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malised overall" sheetId="1" r:id="rId5"/>
    <sheet state="visible" name="normalised male" sheetId="2" r:id="rId6"/>
    <sheet state="visible" name="normalised female" sheetId="3" r:id="rId7"/>
    <sheet state="visible" name="normalised US" sheetId="4" r:id="rId8"/>
    <sheet state="visible" name="normalised US male" sheetId="5" r:id="rId9"/>
    <sheet state="visible" name="whale+ us male" sheetId="6" r:id="rId10"/>
    <sheet state="visible" name="whale+ us female" sheetId="7" r:id="rId11"/>
    <sheet state="visible" name="normalised US female" sheetId="8" r:id="rId12"/>
    <sheet state="visible" name="Whale+ Overall" sheetId="9" r:id="rId13"/>
    <sheet state="visible" name="Whale+ Male" sheetId="10" r:id="rId14"/>
    <sheet state="visible" name="Whale+ Female" sheetId="11" r:id="rId15"/>
    <sheet state="visible" name="Whale+ US" sheetId="12" r:id="rId16"/>
  </sheets>
  <definedNames/>
  <calcPr/>
</workbook>
</file>

<file path=xl/sharedStrings.xml><?xml version="1.0" encoding="utf-8"?>
<sst xmlns="http://schemas.openxmlformats.org/spreadsheetml/2006/main" count="440" uniqueCount="38">
  <si>
    <t>Benchmark</t>
  </si>
  <si>
    <t>Fantasy</t>
  </si>
  <si>
    <t>Romantasy</t>
  </si>
  <si>
    <t>Romance</t>
  </si>
  <si>
    <t>Show ID</t>
  </si>
  <si>
    <t>Show Title</t>
  </si>
  <si>
    <t>Genre</t>
  </si>
  <si>
    <t>LDAU</t>
  </si>
  <si>
    <t>H1 Ret% Nth TD</t>
  </si>
  <si>
    <t>H2 Ret% Nth TD</t>
  </si>
  <si>
    <t>H3 Ret% Nth TD</t>
  </si>
  <si>
    <t>H4 Ret% Nth TD</t>
  </si>
  <si>
    <t>H5 Ret% Nth TD</t>
  </si>
  <si>
    <t>H6 Ret% Nth TD</t>
  </si>
  <si>
    <t>H7 Ret% Nth TD</t>
  </si>
  <si>
    <t>H8 Ret% Nth TD</t>
  </si>
  <si>
    <t>H9 Ret% Nth TD</t>
  </si>
  <si>
    <t>H10 Ret% Nth TD</t>
  </si>
  <si>
    <t>H15 Ret% Nth TD</t>
  </si>
  <si>
    <t>H20 Ret% Nth TD</t>
  </si>
  <si>
    <t>H30 Ret% Nth TD</t>
  </si>
  <si>
    <t>H40 Ret% Nth TD</t>
  </si>
  <si>
    <t>H50 Ret% Nth TD</t>
  </si>
  <si>
    <t>H60 Ret% Nth TD</t>
  </si>
  <si>
    <t>H70 Ret% Nth TD</t>
  </si>
  <si>
    <t>H80 Ret% Nth TD</t>
  </si>
  <si>
    <t>H90 Ret% Nth TD</t>
  </si>
  <si>
    <t>H100 Ret% Nth TD</t>
  </si>
  <si>
    <t>H120 Ret% Nth TD</t>
  </si>
  <si>
    <t>H140 Ret% Nth TD</t>
  </si>
  <si>
    <t>H160 Ret% Nth TD</t>
  </si>
  <si>
    <t>H180 Ret% Nth TD</t>
  </si>
  <si>
    <t>H200 Ret% Nth TD</t>
  </si>
  <si>
    <t>H110 Ret% Nth TD</t>
  </si>
  <si>
    <t>H130 Ret% Nth TD</t>
  </si>
  <si>
    <t>H150 Ret% Nth TD</t>
  </si>
  <si>
    <t>H170 Ret% Nth TD</t>
  </si>
  <si>
    <t>H190 Ret% Nth 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</si>
</sst>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5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164" xfId="0" applyFont="1" applyNumberFormat="1"/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vertical="bottom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3" xfId="0" applyAlignment="1" applyFont="1" applyNumberFormat="1">
      <alignment horizontal="right" vertical="bottom"/>
    </xf>
    <xf borderId="0" fillId="0" fontId="4" numFmtId="0" xfId="0" applyAlignment="1" applyFont="1">
      <alignment readingOrder="0"/>
    </xf>
    <xf borderId="0" fillId="0" fontId="1" numFmtId="3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A9D18E"/>
          <bgColor rgb="FFA9D18E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4" width="12.63"/>
  </cols>
  <sheetData>
    <row r="1" ht="15.75" customHeight="1">
      <c r="A1" s="1"/>
      <c r="B1" s="1" t="s">
        <v>0</v>
      </c>
      <c r="C1" s="3" t="s">
        <v>1</v>
      </c>
      <c r="D1" s="2">
        <v>993840.0</v>
      </c>
      <c r="E1" s="4">
        <v>0.870219547634869</v>
      </c>
      <c r="F1" s="4">
        <v>0.438538293367163</v>
      </c>
      <c r="G1" s="4">
        <v>0.376797326644537</v>
      </c>
      <c r="H1" s="4">
        <v>0.348509068427068</v>
      </c>
      <c r="I1" s="4">
        <v>0.320471896499325</v>
      </c>
      <c r="J1" s="4">
        <v>0.308856309663064</v>
      </c>
      <c r="K1" s="4">
        <v>0.279193599986875</v>
      </c>
      <c r="L1" s="4">
        <v>0.257138892600548</v>
      </c>
      <c r="M1" s="4">
        <v>0.246769041756379</v>
      </c>
      <c r="N1" s="4">
        <v>0.239415332480805</v>
      </c>
      <c r="O1" s="4">
        <v>0.212515230890868</v>
      </c>
      <c r="P1" s="4">
        <v>0.189462553835113</v>
      </c>
      <c r="Q1" s="4">
        <v>0.164732436284281</v>
      </c>
      <c r="R1" s="4">
        <v>0.148402319650685</v>
      </c>
      <c r="S1" s="4">
        <v>0.138531084322246</v>
      </c>
      <c r="T1" s="4">
        <v>0.133910589734545</v>
      </c>
      <c r="U1" s="4">
        <v>0.128600045027622</v>
      </c>
      <c r="V1" s="4">
        <v>0.12428752634775</v>
      </c>
      <c r="W1" s="4">
        <v>0.120057996499718</v>
      </c>
      <c r="X1" s="4">
        <v>0.116129165047321</v>
      </c>
      <c r="Y1" s="4">
        <v>0.111174668484876</v>
      </c>
      <c r="Z1" s="4">
        <v>0.10519469620678</v>
      </c>
      <c r="AA1" s="4">
        <v>0.097452074176302</v>
      </c>
      <c r="AB1" s="4">
        <v>0.0902282476615342</v>
      </c>
      <c r="AC1" s="4">
        <v>0.0830044211467663</v>
      </c>
    </row>
    <row r="2" ht="15.75" customHeight="1">
      <c r="A2" s="1"/>
      <c r="B2" s="1" t="s">
        <v>0</v>
      </c>
      <c r="C2" s="3" t="s">
        <v>2</v>
      </c>
      <c r="D2" s="2">
        <v>1348907.0</v>
      </c>
      <c r="E2" s="4">
        <v>0.849091554863369</v>
      </c>
      <c r="F2" s="4">
        <v>0.694702830237923</v>
      </c>
      <c r="G2" s="4">
        <v>0.617196718726529</v>
      </c>
      <c r="H2" s="4">
        <v>0.550043116700035</v>
      </c>
      <c r="I2" s="4">
        <v>0.444028439688958</v>
      </c>
      <c r="J2" s="4">
        <v>0.380017143800601</v>
      </c>
      <c r="K2" s="4">
        <v>0.340015308816032</v>
      </c>
      <c r="L2" s="4">
        <v>0.31584759257168</v>
      </c>
      <c r="M2" s="4">
        <v>0.297417288863991</v>
      </c>
      <c r="N2" s="4">
        <v>0.284717693868819</v>
      </c>
      <c r="O2" s="4">
        <v>0.241233772263804</v>
      </c>
      <c r="P2" s="4">
        <v>0.217796229977912</v>
      </c>
      <c r="Q2" s="4">
        <v>0.191833412847641</v>
      </c>
      <c r="R2" s="4">
        <v>0.174627261416712</v>
      </c>
      <c r="S2" s="4">
        <v>0.148077893702225</v>
      </c>
      <c r="T2" s="4">
        <v>0.131896931886015</v>
      </c>
      <c r="U2" s="4">
        <v>0.115977125197519</v>
      </c>
      <c r="V2" s="4">
        <v>0.101610860087099</v>
      </c>
      <c r="W2" s="4">
        <v>0.0909636436892954</v>
      </c>
      <c r="X2" s="4">
        <v>0.0790929357025909</v>
      </c>
      <c r="Y2" s="4">
        <v>0.0597651887297854</v>
      </c>
      <c r="Z2" s="4">
        <v>0.0410721565430085</v>
      </c>
      <c r="AA2" s="4">
        <v>0.0</v>
      </c>
      <c r="AB2" s="4">
        <v>0.0</v>
      </c>
      <c r="AC2" s="4">
        <v>0.0</v>
      </c>
    </row>
    <row r="3" ht="15.75" customHeight="1">
      <c r="A3" s="1"/>
      <c r="B3" s="1" t="s">
        <v>0</v>
      </c>
      <c r="C3" s="3" t="s">
        <v>3</v>
      </c>
      <c r="D3" s="2">
        <v>986037.0</v>
      </c>
      <c r="E3" s="4">
        <v>0.910299792826095</v>
      </c>
      <c r="F3" s="4">
        <v>0.563675524259136</v>
      </c>
      <c r="G3" s="4">
        <v>0.500513697582971</v>
      </c>
      <c r="H3" s="4">
        <v>0.416068920789096</v>
      </c>
      <c r="I3" s="4">
        <v>0.371456719496175</v>
      </c>
      <c r="J3" s="4">
        <v>0.308928260357212</v>
      </c>
      <c r="K3" s="4">
        <v>0.282904335701385</v>
      </c>
      <c r="L3" s="4">
        <v>0.265303394676803</v>
      </c>
      <c r="M3" s="4">
        <v>0.254214876033057</v>
      </c>
      <c r="N3" s="4">
        <v>0.24580406516987</v>
      </c>
      <c r="O3" s="4">
        <v>0.213402702784323</v>
      </c>
      <c r="P3" s="4">
        <v>0.193072578580989</v>
      </c>
      <c r="Q3" s="4">
        <v>0.174271881058731</v>
      </c>
      <c r="R3" s="4">
        <v>0.153100268219903</v>
      </c>
      <c r="S3" s="4">
        <v>0.139892815237023</v>
      </c>
      <c r="T3" s="4">
        <v>0.127438215313358</v>
      </c>
      <c r="U3" s="4">
        <v>0.120243369384119</v>
      </c>
      <c r="V3" s="4">
        <v>0.113175824243254</v>
      </c>
      <c r="W3" s="4">
        <v>0.10135929290911</v>
      </c>
      <c r="X3" s="4">
        <v>0.0902328476666601</v>
      </c>
      <c r="Y3" s="4">
        <v>0.0688666873960713</v>
      </c>
      <c r="Z3" s="4">
        <v>0.0485072449674219</v>
      </c>
      <c r="AA3" s="4">
        <v>0.0273858921161825</v>
      </c>
      <c r="AB3" s="4">
        <v>0.0</v>
      </c>
      <c r="AC3" s="4">
        <v>0.0</v>
      </c>
    </row>
    <row r="4" ht="15.75" customHeight="1">
      <c r="A4" s="6" t="s">
        <v>4</v>
      </c>
      <c r="B4" s="6" t="s">
        <v>5</v>
      </c>
      <c r="C4" s="6" t="s">
        <v>6</v>
      </c>
      <c r="D4" s="7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8" t="s">
        <v>13</v>
      </c>
      <c r="K4" s="8" t="s">
        <v>14</v>
      </c>
      <c r="L4" s="8" t="s">
        <v>15</v>
      </c>
      <c r="M4" s="8" t="s">
        <v>16</v>
      </c>
      <c r="N4" s="8" t="s">
        <v>17</v>
      </c>
      <c r="O4" s="8" t="s">
        <v>18</v>
      </c>
      <c r="P4" s="8" t="s">
        <v>19</v>
      </c>
      <c r="Q4" s="8" t="s">
        <v>20</v>
      </c>
      <c r="R4" s="8" t="s">
        <v>21</v>
      </c>
      <c r="S4" s="8" t="s">
        <v>22</v>
      </c>
      <c r="T4" s="8" t="s">
        <v>23</v>
      </c>
      <c r="U4" s="8" t="s">
        <v>24</v>
      </c>
      <c r="V4" s="8" t="s">
        <v>25</v>
      </c>
      <c r="W4" s="8" t="s">
        <v>26</v>
      </c>
      <c r="X4" s="8" t="s">
        <v>27</v>
      </c>
      <c r="Y4" s="8" t="s">
        <v>28</v>
      </c>
      <c r="Z4" s="8" t="s">
        <v>29</v>
      </c>
      <c r="AA4" s="8" t="s">
        <v>30</v>
      </c>
      <c r="AB4" s="8" t="s">
        <v>31</v>
      </c>
      <c r="AC4" s="8" t="s">
        <v>32</v>
      </c>
    </row>
    <row r="5" ht="15.75" customHeight="1">
      <c r="A5" s="10" t="str">
        <f>IFERROR(__xludf.DUMMYFUNCTION("{
  IMPORTRANGE(""https://docs.google.com/spreadsheets/d/1OLoRCn0B2mP-LizDOaFp_LsrXGtZR4ZKvHn3aia4TMo/edit"",""Nml Overall!B5:B""),
  IMPORTRANGE(""https://docs.google.com/spreadsheets/d/1OLoRCn0B2mP-LizDOaFp_LsrXGtZR4ZKvHn3aia4TMo/edit"",""Nml Overall!C5"&amp;":C""),
  IMPORTRANGE(""https://docs.google.com/spreadsheets/d/1OLoRCn0B2mP-LizDOaFp_LsrXGtZR4ZKvHn3aia4TMo/edit"",""Nml Overall!E5:E""),
  IMPORTRANGE(""https://docs.google.com/spreadsheets/d/1OLoRCn0B2mP-LizDOaFp_LsrXGtZR4ZKvHn3aia4TMo/edit"",""Nml Overa"&amp;"ll!AC5:AC""),
  IMPORTRANGE(""https://docs.google.com/spreadsheets/d/1OLoRCn0B2mP-LizDOaFp_LsrXGtZR4ZKvHn3aia4TMo/edit"",""Nml Overall!AJ5:BH"")
}"),"003c0c0b3759df17ce3f0b5feeeed123024f274d")</f>
        <v>003c0c0b3759df17ce3f0b5feeeed123024f274d</v>
      </c>
      <c r="B5" s="6" t="str">
        <f>IFERROR(__xludf.DUMMYFUNCTION("""COMPUTED_VALUE"""),"The Invictus Mage Returns")</f>
        <v>The Invictus Mage Returns</v>
      </c>
      <c r="C5" s="6" t="str">
        <f>IFERROR(__xludf.DUMMYFUNCTION("""COMPUTED_VALUE"""),"Fantasy")</f>
        <v>Fantasy</v>
      </c>
      <c r="D5" s="11">
        <f>IFERROR(__xludf.DUMMYFUNCTION("""COMPUTED_VALUE"""),1885.0)</f>
        <v>1885</v>
      </c>
      <c r="E5" s="8">
        <f>IFERROR(__xludf.DUMMYFUNCTION("""COMPUTED_VALUE"""),0.969729155602761)</f>
        <v>0.9697291556</v>
      </c>
      <c r="F5" s="8">
        <f>IFERROR(__xludf.DUMMYFUNCTION("""COMPUTED_VALUE"""),0.631382978723404)</f>
        <v>0.6313829787</v>
      </c>
      <c r="G5" s="8">
        <f>IFERROR(__xludf.DUMMYFUNCTION("""COMPUTED_VALUE"""),0.591369206180074)</f>
        <v>0.5913692062</v>
      </c>
      <c r="H5" s="8">
        <f>IFERROR(__xludf.DUMMYFUNCTION("""COMPUTED_VALUE"""),0.539978678038379)</f>
        <v>0.539978678</v>
      </c>
      <c r="I5" s="8">
        <f>IFERROR(__xludf.DUMMYFUNCTION("""COMPUTED_VALUE"""),0.488272921108742)</f>
        <v>0.4882729211</v>
      </c>
      <c r="J5" s="8">
        <f>IFERROR(__xludf.DUMMYFUNCTION("""COMPUTED_VALUE"""),0.454642475987193)</f>
        <v>0.454642476</v>
      </c>
      <c r="K5" s="8">
        <f>IFERROR(__xludf.DUMMYFUNCTION("""COMPUTED_VALUE"""),0.434526990913949)</f>
        <v>0.4345269909</v>
      </c>
      <c r="L5" s="8">
        <f>IFERROR(__xludf.DUMMYFUNCTION("""COMPUTED_VALUE"""),0.421306209850107)</f>
        <v>0.4213062099</v>
      </c>
      <c r="M5" s="8">
        <f>IFERROR(__xludf.DUMMYFUNCTION("""COMPUTED_VALUE"""),0.40450643776824)</f>
        <v>0.4045064378</v>
      </c>
      <c r="N5" s="8">
        <f>IFERROR(__xludf.DUMMYFUNCTION("""COMPUTED_VALUE"""),0.386680988184747)</f>
        <v>0.3866809882</v>
      </c>
      <c r="O5" s="8">
        <f>IFERROR(__xludf.DUMMYFUNCTION("""COMPUTED_VALUE"""),0.329571106094808)</f>
        <v>0.3295711061</v>
      </c>
      <c r="P5" s="8">
        <f>IFERROR(__xludf.DUMMYFUNCTION("""COMPUTED_VALUE"""),0.228808535862477)</f>
        <v>0.2288085359</v>
      </c>
      <c r="Q5" s="8">
        <f>IFERROR(__xludf.DUMMYFUNCTION("""COMPUTED_VALUE"""),0.0940416367552045)</f>
        <v>0.09404163676</v>
      </c>
      <c r="R5" s="8">
        <f>IFERROR(__xludf.DUMMYFUNCTION("""COMPUTED_VALUE"""),0.0)</f>
        <v>0</v>
      </c>
      <c r="S5" s="8">
        <f>IFERROR(__xludf.DUMMYFUNCTION("""COMPUTED_VALUE"""),0.0)</f>
        <v>0</v>
      </c>
      <c r="T5" s="8">
        <f>IFERROR(__xludf.DUMMYFUNCTION("""COMPUTED_VALUE"""),0.0)</f>
        <v>0</v>
      </c>
      <c r="U5" s="8">
        <f>IFERROR(__xludf.DUMMYFUNCTION("""COMPUTED_VALUE"""),0.0)</f>
        <v>0</v>
      </c>
      <c r="V5" s="8">
        <f>IFERROR(__xludf.DUMMYFUNCTION("""COMPUTED_VALUE"""),0.0)</f>
        <v>0</v>
      </c>
      <c r="W5" s="8">
        <f>IFERROR(__xludf.DUMMYFUNCTION("""COMPUTED_VALUE"""),0.0)</f>
        <v>0</v>
      </c>
      <c r="X5" s="8">
        <f>IFERROR(__xludf.DUMMYFUNCTION("""COMPUTED_VALUE"""),0.0)</f>
        <v>0</v>
      </c>
      <c r="Y5" s="8">
        <f>IFERROR(__xludf.DUMMYFUNCTION("""COMPUTED_VALUE"""),0.0)</f>
        <v>0</v>
      </c>
      <c r="Z5" s="8">
        <f>IFERROR(__xludf.DUMMYFUNCTION("""COMPUTED_VALUE"""),0.0)</f>
        <v>0</v>
      </c>
      <c r="AA5" s="8">
        <f>IFERROR(__xludf.DUMMYFUNCTION("""COMPUTED_VALUE"""),0.0)</f>
        <v>0</v>
      </c>
      <c r="AB5" s="8">
        <f>IFERROR(__xludf.DUMMYFUNCTION("""COMPUTED_VALUE"""),0.0)</f>
        <v>0</v>
      </c>
      <c r="AC5" s="8">
        <f>IFERROR(__xludf.DUMMYFUNCTION("""COMPUTED_VALUE"""),0.0)</f>
        <v>0</v>
      </c>
    </row>
    <row r="6" ht="15.75" customHeight="1">
      <c r="A6" s="6" t="str">
        <f>IFERROR(__xludf.DUMMYFUNCTION("""COMPUTED_VALUE"""),"01f367b494a414fb7c994e946bddd99820cc7e28")</f>
        <v>01f367b494a414fb7c994e946bddd99820cc7e28</v>
      </c>
      <c r="B6" s="6" t="str">
        <f>IFERROR(__xludf.DUMMYFUNCTION("""COMPUTED_VALUE"""),"The Dragon Prince’s Favor")</f>
        <v>The Dragon Prince’s Favor</v>
      </c>
      <c r="C6" s="6" t="str">
        <f>IFERROR(__xludf.DUMMYFUNCTION("""COMPUTED_VALUE"""),"Romantasy")</f>
        <v>Romantasy</v>
      </c>
      <c r="D6" s="11">
        <f>IFERROR(__xludf.DUMMYFUNCTION("""COMPUTED_VALUE"""),1120.0)</f>
        <v>1120</v>
      </c>
      <c r="E6" s="8">
        <f>IFERROR(__xludf.DUMMYFUNCTION("""COMPUTED_VALUE"""),0.970377019748653)</f>
        <v>0.9703770197</v>
      </c>
      <c r="F6" s="8">
        <f>IFERROR(__xludf.DUMMYFUNCTION("""COMPUTED_VALUE"""),0.545207956600361)</f>
        <v>0.5452079566</v>
      </c>
      <c r="G6" s="8">
        <f>IFERROR(__xludf.DUMMYFUNCTION("""COMPUTED_VALUE"""),0.450409463148316)</f>
        <v>0.4504094631</v>
      </c>
      <c r="H6" s="8">
        <f>IFERROR(__xludf.DUMMYFUNCTION("""COMPUTED_VALUE"""),0.416743330266789)</f>
        <v>0.4167433303</v>
      </c>
      <c r="I6" s="8">
        <f>IFERROR(__xludf.DUMMYFUNCTION("""COMPUTED_VALUE"""),0.37345971563981)</f>
        <v>0.3734597156</v>
      </c>
      <c r="J6" s="8">
        <f>IFERROR(__xludf.DUMMYFUNCTION("""COMPUTED_VALUE"""),0.354743083003952)</f>
        <v>0.354743083</v>
      </c>
      <c r="K6" s="8">
        <f>IFERROR(__xludf.DUMMYFUNCTION("""COMPUTED_VALUE"""),0.331872946330777)</f>
        <v>0.3318729463</v>
      </c>
      <c r="L6" s="8">
        <f>IFERROR(__xludf.DUMMYFUNCTION("""COMPUTED_VALUE"""),0.315723270440251)</f>
        <v>0.3157232704</v>
      </c>
      <c r="M6" s="8">
        <f>IFERROR(__xludf.DUMMYFUNCTION("""COMPUTED_VALUE"""),0.298200514138817)</f>
        <v>0.2982005141</v>
      </c>
      <c r="N6" s="8">
        <f>IFERROR(__xludf.DUMMYFUNCTION("""COMPUTED_VALUE"""),0.306779661016949)</f>
        <v>0.306779661</v>
      </c>
      <c r="O6" s="8">
        <f>IFERROR(__xludf.DUMMYFUNCTION("""COMPUTED_VALUE"""),0.239067055393586)</f>
        <v>0.2390670554</v>
      </c>
      <c r="P6" s="8">
        <f>IFERROR(__xludf.DUMMYFUNCTION("""COMPUTED_VALUE"""),0.218518518518518)</f>
        <v>0.2185185185</v>
      </c>
      <c r="Q6" s="8">
        <f>IFERROR(__xludf.DUMMYFUNCTION("""COMPUTED_VALUE"""),0.2)</f>
        <v>0.2</v>
      </c>
      <c r="R6" s="8">
        <f>IFERROR(__xludf.DUMMYFUNCTION("""COMPUTED_VALUE"""),0.0)</f>
        <v>0</v>
      </c>
      <c r="S6" s="8">
        <f>IFERROR(__xludf.DUMMYFUNCTION("""COMPUTED_VALUE"""),0.0)</f>
        <v>0</v>
      </c>
      <c r="T6" s="8">
        <f>IFERROR(__xludf.DUMMYFUNCTION("""COMPUTED_VALUE"""),0.0)</f>
        <v>0</v>
      </c>
      <c r="U6" s="8">
        <f>IFERROR(__xludf.DUMMYFUNCTION("""COMPUTED_VALUE"""),0.0)</f>
        <v>0</v>
      </c>
      <c r="V6" s="8">
        <f>IFERROR(__xludf.DUMMYFUNCTION("""COMPUTED_VALUE"""),0.0)</f>
        <v>0</v>
      </c>
      <c r="W6" s="8">
        <f>IFERROR(__xludf.DUMMYFUNCTION("""COMPUTED_VALUE"""),0.0)</f>
        <v>0</v>
      </c>
      <c r="X6" s="8">
        <f>IFERROR(__xludf.DUMMYFUNCTION("""COMPUTED_VALUE"""),0.0)</f>
        <v>0</v>
      </c>
      <c r="Y6" s="8">
        <f>IFERROR(__xludf.DUMMYFUNCTION("""COMPUTED_VALUE"""),0.0)</f>
        <v>0</v>
      </c>
      <c r="Z6" s="8">
        <f>IFERROR(__xludf.DUMMYFUNCTION("""COMPUTED_VALUE"""),0.0)</f>
        <v>0</v>
      </c>
      <c r="AA6" s="8">
        <f>IFERROR(__xludf.DUMMYFUNCTION("""COMPUTED_VALUE"""),0.0)</f>
        <v>0</v>
      </c>
      <c r="AB6" s="8">
        <f>IFERROR(__xludf.DUMMYFUNCTION("""COMPUTED_VALUE"""),0.0)</f>
        <v>0</v>
      </c>
      <c r="AC6" s="8">
        <f>IFERROR(__xludf.DUMMYFUNCTION("""COMPUTED_VALUE"""),0.0)</f>
        <v>0</v>
      </c>
    </row>
    <row r="7" ht="15.75" customHeight="1">
      <c r="A7" s="6" t="str">
        <f>IFERROR(__xludf.DUMMYFUNCTION("""COMPUTED_VALUE"""),"026a120c807e0094812e891c9140a3fd3d0f1d48")</f>
        <v>026a120c807e0094812e891c9140a3fd3d0f1d48</v>
      </c>
      <c r="B7" s="6" t="str">
        <f>IFERROR(__xludf.DUMMYFUNCTION("""COMPUTED_VALUE"""),"Vintage Heart")</f>
        <v>Vintage Heart</v>
      </c>
      <c r="C7" s="6" t="str">
        <f>IFERROR(__xludf.DUMMYFUNCTION("""COMPUTED_VALUE"""),"Romance")</f>
        <v>Romance</v>
      </c>
      <c r="D7" s="11">
        <f>IFERROR(__xludf.DUMMYFUNCTION("""COMPUTED_VALUE"""),3290.0)</f>
        <v>3290</v>
      </c>
      <c r="E7" s="8">
        <f>IFERROR(__xludf.DUMMYFUNCTION("""COMPUTED_VALUE"""),0.950744907266646)</f>
        <v>0.9507449073</v>
      </c>
      <c r="F7" s="8">
        <f>IFERROR(__xludf.DUMMYFUNCTION("""COMPUTED_VALUE"""),0.484636446607849)</f>
        <v>0.4846364466</v>
      </c>
      <c r="G7" s="8">
        <f>IFERROR(__xludf.DUMMYFUNCTION("""COMPUTED_VALUE"""),0.436529680365296)</f>
        <v>0.4365296804</v>
      </c>
      <c r="H7" s="8">
        <f>IFERROR(__xludf.DUMMYFUNCTION("""COMPUTED_VALUE"""),0.404203472433749)</f>
        <v>0.4042034724</v>
      </c>
      <c r="I7" s="8">
        <f>IFERROR(__xludf.DUMMYFUNCTION("""COMPUTED_VALUE"""),0.374466788543571)</f>
        <v>0.3744667885</v>
      </c>
      <c r="J7" s="8">
        <f>IFERROR(__xludf.DUMMYFUNCTION("""COMPUTED_VALUE"""),0.354395604395604)</f>
        <v>0.3543956044</v>
      </c>
      <c r="K7" s="8">
        <f>IFERROR(__xludf.DUMMYFUNCTION("""COMPUTED_VALUE"""),0.333740458015267)</f>
        <v>0.333740458</v>
      </c>
      <c r="L7" s="8">
        <f>IFERROR(__xludf.DUMMYFUNCTION("""COMPUTED_VALUE"""),0.31582162492364)</f>
        <v>0.3158216249</v>
      </c>
      <c r="M7" s="8">
        <f>IFERROR(__xludf.DUMMYFUNCTION("""COMPUTED_VALUE"""),0.297677261613691)</f>
        <v>0.2976772616</v>
      </c>
      <c r="N7" s="8">
        <f>IFERROR(__xludf.DUMMYFUNCTION("""COMPUTED_VALUE"""),0.28387886203732)</f>
        <v>0.283878862</v>
      </c>
      <c r="O7" s="8">
        <f>IFERROR(__xludf.DUMMYFUNCTION("""COMPUTED_VALUE"""),0.254945054945054)</f>
        <v>0.2549450549</v>
      </c>
      <c r="P7" s="8">
        <f>IFERROR(__xludf.DUMMYFUNCTION("""COMPUTED_VALUE"""),0.199452617174136)</f>
        <v>0.1994526172</v>
      </c>
      <c r="Q7" s="8">
        <f>IFERROR(__xludf.DUMMYFUNCTION("""COMPUTED_VALUE"""),0.147209985315712)</f>
        <v>0.1472099853</v>
      </c>
      <c r="R7" s="8">
        <f>IFERROR(__xludf.DUMMYFUNCTION("""COMPUTED_VALUE"""),0.102053515868077)</f>
        <v>0.1020535159</v>
      </c>
      <c r="S7" s="8">
        <f>IFERROR(__xludf.DUMMYFUNCTION("""COMPUTED_VALUE"""),0.072595281306715)</f>
        <v>0.07259528131</v>
      </c>
      <c r="T7" s="8">
        <f>IFERROR(__xludf.DUMMYFUNCTION("""COMPUTED_VALUE"""),0.037328094302554)</f>
        <v>0.0373280943</v>
      </c>
      <c r="U7" s="8">
        <f>IFERROR(__xludf.DUMMYFUNCTION("""COMPUTED_VALUE"""),0.5)</f>
        <v>0.5</v>
      </c>
      <c r="V7" s="8">
        <f>IFERROR(__xludf.DUMMYFUNCTION("""COMPUTED_VALUE"""),0.0)</f>
        <v>0</v>
      </c>
      <c r="W7" s="8">
        <f>IFERROR(__xludf.DUMMYFUNCTION("""COMPUTED_VALUE"""),0.0)</f>
        <v>0</v>
      </c>
      <c r="X7" s="8">
        <f>IFERROR(__xludf.DUMMYFUNCTION("""COMPUTED_VALUE"""),0.0)</f>
        <v>0</v>
      </c>
      <c r="Y7" s="8">
        <f>IFERROR(__xludf.DUMMYFUNCTION("""COMPUTED_VALUE"""),0.0)</f>
        <v>0</v>
      </c>
      <c r="Z7" s="8">
        <f>IFERROR(__xludf.DUMMYFUNCTION("""COMPUTED_VALUE"""),0.0)</f>
        <v>0</v>
      </c>
      <c r="AA7" s="8">
        <f>IFERROR(__xludf.DUMMYFUNCTION("""COMPUTED_VALUE"""),0.0)</f>
        <v>0</v>
      </c>
      <c r="AB7" s="8">
        <f>IFERROR(__xludf.DUMMYFUNCTION("""COMPUTED_VALUE"""),0.0)</f>
        <v>0</v>
      </c>
      <c r="AC7" s="8">
        <f>IFERROR(__xludf.DUMMYFUNCTION("""COMPUTED_VALUE"""),0.0)</f>
        <v>0</v>
      </c>
    </row>
    <row r="8" ht="15.75" customHeight="1">
      <c r="A8" s="6" t="str">
        <f>IFERROR(__xludf.DUMMYFUNCTION("""COMPUTED_VALUE"""),"03488a9bdecaf176a7a11138160e470f361ce803")</f>
        <v>03488a9bdecaf176a7a11138160e470f361ce803</v>
      </c>
      <c r="B8" s="6" t="str">
        <f>IFERROR(__xludf.DUMMYFUNCTION("""COMPUTED_VALUE"""),"Reborn to Be His Wife")</f>
        <v>Reborn to Be His Wife</v>
      </c>
      <c r="C8" s="6" t="str">
        <f>IFERROR(__xludf.DUMMYFUNCTION("""COMPUTED_VALUE"""),"Romantasy")</f>
        <v>Romantasy</v>
      </c>
      <c r="D8" s="11">
        <f>IFERROR(__xludf.DUMMYFUNCTION("""COMPUTED_VALUE"""),2322.0)</f>
        <v>2322</v>
      </c>
      <c r="E8" s="8">
        <f>IFERROR(__xludf.DUMMYFUNCTION("""COMPUTED_VALUE"""),0.966393795777682)</f>
        <v>0.9663937958</v>
      </c>
      <c r="F8" s="8">
        <f>IFERROR(__xludf.DUMMYFUNCTION("""COMPUTED_VALUE"""),0.469625161568289)</f>
        <v>0.4696251616</v>
      </c>
      <c r="G8" s="8">
        <f>IFERROR(__xludf.DUMMYFUNCTION("""COMPUTED_VALUE"""),0.40983606557377)</f>
        <v>0.4098360656</v>
      </c>
      <c r="H8" s="8">
        <f>IFERROR(__xludf.DUMMYFUNCTION("""COMPUTED_VALUE"""),0.345987920621225)</f>
        <v>0.3459879206</v>
      </c>
      <c r="I8" s="8">
        <f>IFERROR(__xludf.DUMMYFUNCTION("""COMPUTED_VALUE"""),0.305999136814846)</f>
        <v>0.3059991368</v>
      </c>
      <c r="J8" s="8">
        <f>IFERROR(__xludf.DUMMYFUNCTION("""COMPUTED_VALUE"""),0.278426286208387)</f>
        <v>0.2784262862</v>
      </c>
      <c r="K8" s="8">
        <f>IFERROR(__xludf.DUMMYFUNCTION("""COMPUTED_VALUE"""),0.250324254215304)</f>
        <v>0.2503242542</v>
      </c>
      <c r="L8" s="8">
        <f>IFERROR(__xludf.DUMMYFUNCTION("""COMPUTED_VALUE"""),0.227410289667099)</f>
        <v>0.2274102897</v>
      </c>
      <c r="M8" s="8">
        <f>IFERROR(__xludf.DUMMYFUNCTION("""COMPUTED_VALUE"""),0.213419913419913)</f>
        <v>0.2134199134</v>
      </c>
      <c r="N8" s="8">
        <f>IFERROR(__xludf.DUMMYFUNCTION("""COMPUTED_VALUE"""),0.198178664353859)</f>
        <v>0.1981786644</v>
      </c>
      <c r="O8" s="8">
        <f>IFERROR(__xludf.DUMMYFUNCTION("""COMPUTED_VALUE"""),0.157309054122407)</f>
        <v>0.1573090541</v>
      </c>
      <c r="P8" s="8">
        <f>IFERROR(__xludf.DUMMYFUNCTION("""COMPUTED_VALUE"""),0.133750711439954)</f>
        <v>0.1337507114</v>
      </c>
      <c r="Q8" s="8">
        <f>IFERROR(__xludf.DUMMYFUNCTION("""COMPUTED_VALUE"""),0.0801393728222996)</f>
        <v>0.08013937282</v>
      </c>
      <c r="R8" s="8">
        <f>IFERROR(__xludf.DUMMYFUNCTION("""COMPUTED_VALUE"""),0.064516129032258)</f>
        <v>0.06451612903</v>
      </c>
      <c r="S8" s="8">
        <f>IFERROR(__xludf.DUMMYFUNCTION("""COMPUTED_VALUE"""),0.0522222222222222)</f>
        <v>0.05222222222</v>
      </c>
      <c r="T8" s="8">
        <f>IFERROR(__xludf.DUMMYFUNCTION("""COMPUTED_VALUE"""),0.0413533834586466)</f>
        <v>0.04135338346</v>
      </c>
      <c r="U8" s="8">
        <f>IFERROR(__xludf.DUMMYFUNCTION("""COMPUTED_VALUE"""),0.00970873786407766)</f>
        <v>0.009708737864</v>
      </c>
      <c r="V8" s="8">
        <f>IFERROR(__xludf.DUMMYFUNCTION("""COMPUTED_VALUE"""),0.0)</f>
        <v>0</v>
      </c>
      <c r="W8" s="8">
        <f>IFERROR(__xludf.DUMMYFUNCTION("""COMPUTED_VALUE"""),0.0)</f>
        <v>0</v>
      </c>
      <c r="X8" s="8">
        <f>IFERROR(__xludf.DUMMYFUNCTION("""COMPUTED_VALUE"""),0.0)</f>
        <v>0</v>
      </c>
      <c r="Y8" s="8">
        <f>IFERROR(__xludf.DUMMYFUNCTION("""COMPUTED_VALUE"""),0.0)</f>
        <v>0</v>
      </c>
      <c r="Z8" s="8">
        <f>IFERROR(__xludf.DUMMYFUNCTION("""COMPUTED_VALUE"""),0.0)</f>
        <v>0</v>
      </c>
      <c r="AA8" s="8">
        <f>IFERROR(__xludf.DUMMYFUNCTION("""COMPUTED_VALUE"""),0.0)</f>
        <v>0</v>
      </c>
      <c r="AB8" s="8">
        <f>IFERROR(__xludf.DUMMYFUNCTION("""COMPUTED_VALUE"""),0.0)</f>
        <v>0</v>
      </c>
      <c r="AC8" s="8">
        <f>IFERROR(__xludf.DUMMYFUNCTION("""COMPUTED_VALUE"""),0.0)</f>
        <v>0</v>
      </c>
    </row>
    <row r="9" ht="15.75" customHeight="1">
      <c r="A9" s="6" t="str">
        <f>IFERROR(__xludf.DUMMYFUNCTION("""COMPUTED_VALUE"""),"0433315d89000a02178e5d4fb75f31de3d906cff")</f>
        <v>0433315d89000a02178e5d4fb75f31de3d906cff</v>
      </c>
      <c r="B9" s="6" t="str">
        <f>IFERROR(__xludf.DUMMYFUNCTION("""COMPUTED_VALUE"""),"Billionaire Secret Babies")</f>
        <v>Billionaire Secret Babies</v>
      </c>
      <c r="C9" s="6" t="str">
        <f>IFERROR(__xludf.DUMMYFUNCTION("""COMPUTED_VALUE"""),"Romance")</f>
        <v>Romance</v>
      </c>
      <c r="D9" s="11">
        <f>IFERROR(__xludf.DUMMYFUNCTION("""COMPUTED_VALUE"""),1706.0)</f>
        <v>1706</v>
      </c>
      <c r="E9" s="8">
        <f>IFERROR(__xludf.DUMMYFUNCTION("""COMPUTED_VALUE"""),0.909730363423212)</f>
        <v>0.9097303634</v>
      </c>
      <c r="F9" s="8">
        <f>IFERROR(__xludf.DUMMYFUNCTION("""COMPUTED_VALUE"""),0.47538100820633)</f>
        <v>0.4753810082</v>
      </c>
      <c r="G9" s="8">
        <f>IFERROR(__xludf.DUMMYFUNCTION("""COMPUTED_VALUE"""),0.378663540445486)</f>
        <v>0.3786635404</v>
      </c>
      <c r="H9" s="8">
        <f>IFERROR(__xludf.DUMMYFUNCTION("""COMPUTED_VALUE"""),0.341148886283704)</f>
        <v>0.3411488863</v>
      </c>
      <c r="I9" s="8">
        <f>IFERROR(__xludf.DUMMYFUNCTION("""COMPUTED_VALUE"""),0.328445747800586)</f>
        <v>0.3284457478</v>
      </c>
      <c r="J9" s="8">
        <f>IFERROR(__xludf.DUMMYFUNCTION("""COMPUTED_VALUE"""),0.304985337243401)</f>
        <v>0.3049853372</v>
      </c>
      <c r="K9" s="8">
        <f>IFERROR(__xludf.DUMMYFUNCTION("""COMPUTED_VALUE"""),0.295014662756598)</f>
        <v>0.2950146628</v>
      </c>
      <c r="L9" s="8">
        <f>IFERROR(__xludf.DUMMYFUNCTION("""COMPUTED_VALUE"""),0.29090909090909)</f>
        <v>0.2909090909</v>
      </c>
      <c r="M9" s="8">
        <f>IFERROR(__xludf.DUMMYFUNCTION("""COMPUTED_VALUE"""),0.278592375366568)</f>
        <v>0.2785923754</v>
      </c>
      <c r="N9" s="8">
        <f>IFERROR(__xludf.DUMMYFUNCTION("""COMPUTED_VALUE"""),0.279178885630498)</f>
        <v>0.2791788856</v>
      </c>
      <c r="O9" s="8">
        <f>IFERROR(__xludf.DUMMYFUNCTION("""COMPUTED_VALUE"""),0.248680351906158)</f>
        <v>0.2486803519</v>
      </c>
      <c r="P9" s="8">
        <f>IFERROR(__xludf.DUMMYFUNCTION("""COMPUTED_VALUE"""),0.203051643192488)</f>
        <v>0.2030516432</v>
      </c>
      <c r="Q9" s="8">
        <f>IFERROR(__xludf.DUMMYFUNCTION("""COMPUTED_VALUE"""),0.16166960611405)</f>
        <v>0.1616696061</v>
      </c>
      <c r="R9" s="8">
        <f>IFERROR(__xludf.DUMMYFUNCTION("""COMPUTED_VALUE"""),0.0)</f>
        <v>0</v>
      </c>
      <c r="S9" s="8">
        <f>IFERROR(__xludf.DUMMYFUNCTION("""COMPUTED_VALUE"""),0.0)</f>
        <v>0</v>
      </c>
      <c r="T9" s="8">
        <f>IFERROR(__xludf.DUMMYFUNCTION("""COMPUTED_VALUE"""),0.0)</f>
        <v>0</v>
      </c>
      <c r="U9" s="8">
        <f>IFERROR(__xludf.DUMMYFUNCTION("""COMPUTED_VALUE"""),0.0)</f>
        <v>0</v>
      </c>
      <c r="V9" s="8">
        <f>IFERROR(__xludf.DUMMYFUNCTION("""COMPUTED_VALUE"""),0.0)</f>
        <v>0</v>
      </c>
      <c r="W9" s="8">
        <f>IFERROR(__xludf.DUMMYFUNCTION("""COMPUTED_VALUE"""),0.0)</f>
        <v>0</v>
      </c>
      <c r="X9" s="8">
        <f>IFERROR(__xludf.DUMMYFUNCTION("""COMPUTED_VALUE"""),0.0)</f>
        <v>0</v>
      </c>
      <c r="Y9" s="8">
        <f>IFERROR(__xludf.DUMMYFUNCTION("""COMPUTED_VALUE"""),0.0)</f>
        <v>0</v>
      </c>
      <c r="Z9" s="8">
        <f>IFERROR(__xludf.DUMMYFUNCTION("""COMPUTED_VALUE"""),0.0)</f>
        <v>0</v>
      </c>
      <c r="AA9" s="8">
        <f>IFERROR(__xludf.DUMMYFUNCTION("""COMPUTED_VALUE"""),0.0)</f>
        <v>0</v>
      </c>
      <c r="AB9" s="8">
        <f>IFERROR(__xludf.DUMMYFUNCTION("""COMPUTED_VALUE"""),0.0)</f>
        <v>0</v>
      </c>
      <c r="AC9" s="8">
        <f>IFERROR(__xludf.DUMMYFUNCTION("""COMPUTED_VALUE"""),0.0)</f>
        <v>0</v>
      </c>
    </row>
    <row r="10" ht="15.75" customHeight="1">
      <c r="A10" s="6" t="str">
        <f>IFERROR(__xludf.DUMMYFUNCTION("""COMPUTED_VALUE"""),"048b7efb083246fe7c75b60c3bccf0e015f15e03")</f>
        <v>048b7efb083246fe7c75b60c3bccf0e015f15e03</v>
      </c>
      <c r="B10" s="6" t="str">
        <f>IFERROR(__xludf.DUMMYFUNCTION("""COMPUTED_VALUE"""),"Veterinarian Beast Master")</f>
        <v>Veterinarian Beast Master</v>
      </c>
      <c r="C10" s="6" t="str">
        <f>IFERROR(__xludf.DUMMYFUNCTION("""COMPUTED_VALUE"""),"Fantasy")</f>
        <v>Fantasy</v>
      </c>
      <c r="D10" s="11">
        <f>IFERROR(__xludf.DUMMYFUNCTION("""COMPUTED_VALUE"""),460.0)</f>
        <v>460</v>
      </c>
      <c r="E10" s="8">
        <f>IFERROR(__xludf.DUMMYFUNCTION("""COMPUTED_VALUE"""),0.969565217391304)</f>
        <v>0.9695652174</v>
      </c>
      <c r="F10" s="8">
        <f>IFERROR(__xludf.DUMMYFUNCTION("""COMPUTED_VALUE"""),0.548034934497816)</f>
        <v>0.5480349345</v>
      </c>
      <c r="G10" s="8">
        <f>IFERROR(__xludf.DUMMYFUNCTION("""COMPUTED_VALUE"""),0.462719298245614)</f>
        <v>0.4627192982</v>
      </c>
      <c r="H10" s="8">
        <f>IFERROR(__xludf.DUMMYFUNCTION("""COMPUTED_VALUE"""),0.393805309734513)</f>
        <v>0.3938053097</v>
      </c>
      <c r="I10" s="8">
        <f>IFERROR(__xludf.DUMMYFUNCTION("""COMPUTED_VALUE"""),0.374722838137472)</f>
        <v>0.3747228381</v>
      </c>
      <c r="J10" s="8">
        <f>IFERROR(__xludf.DUMMYFUNCTION("""COMPUTED_VALUE"""),0.351893095768374)</f>
        <v>0.3518930958</v>
      </c>
      <c r="K10" s="8">
        <f>IFERROR(__xludf.DUMMYFUNCTION("""COMPUTED_VALUE"""),0.322072072072072)</f>
        <v>0.3220720721</v>
      </c>
      <c r="L10" s="8">
        <f>IFERROR(__xludf.DUMMYFUNCTION("""COMPUTED_VALUE"""),0.294252873563218)</f>
        <v>0.2942528736</v>
      </c>
      <c r="M10" s="8">
        <f>IFERROR(__xludf.DUMMYFUNCTION("""COMPUTED_VALUE"""),0.286052009456264)</f>
        <v>0.2860520095</v>
      </c>
      <c r="N10" s="8">
        <f>IFERROR(__xludf.DUMMYFUNCTION("""COMPUTED_VALUE"""),0.266033254156769)</f>
        <v>0.2660332542</v>
      </c>
      <c r="O10" s="8">
        <f>IFERROR(__xludf.DUMMYFUNCTION("""COMPUTED_VALUE"""),0.155405405405405)</f>
        <v>0.1554054054</v>
      </c>
      <c r="P10" s="8">
        <f>IFERROR(__xludf.DUMMYFUNCTION("""COMPUTED_VALUE"""),0.111940298507462)</f>
        <v>0.1119402985</v>
      </c>
      <c r="Q10" s="8">
        <f>IFERROR(__xludf.DUMMYFUNCTION("""COMPUTED_VALUE"""),0.0412371134020618)</f>
        <v>0.0412371134</v>
      </c>
      <c r="R10" s="8">
        <f>IFERROR(__xludf.DUMMYFUNCTION("""COMPUTED_VALUE"""),0.0126582278481012)</f>
        <v>0.01265822785</v>
      </c>
      <c r="S10" s="8">
        <f>IFERROR(__xludf.DUMMYFUNCTION("""COMPUTED_VALUE"""),0.0)</f>
        <v>0</v>
      </c>
      <c r="T10" s="8">
        <f>IFERROR(__xludf.DUMMYFUNCTION("""COMPUTED_VALUE"""),0.0)</f>
        <v>0</v>
      </c>
      <c r="U10" s="8">
        <f>IFERROR(__xludf.DUMMYFUNCTION("""COMPUTED_VALUE"""),0.0)</f>
        <v>0</v>
      </c>
      <c r="V10" s="8">
        <f>IFERROR(__xludf.DUMMYFUNCTION("""COMPUTED_VALUE"""),0.0)</f>
        <v>0</v>
      </c>
      <c r="W10" s="8">
        <f>IFERROR(__xludf.DUMMYFUNCTION("""COMPUTED_VALUE"""),0.0)</f>
        <v>0</v>
      </c>
      <c r="X10" s="8">
        <f>IFERROR(__xludf.DUMMYFUNCTION("""COMPUTED_VALUE"""),0.0)</f>
        <v>0</v>
      </c>
      <c r="Y10" s="8">
        <f>IFERROR(__xludf.DUMMYFUNCTION("""COMPUTED_VALUE"""),0.0)</f>
        <v>0</v>
      </c>
      <c r="Z10" s="8">
        <f>IFERROR(__xludf.DUMMYFUNCTION("""COMPUTED_VALUE"""),0.0)</f>
        <v>0</v>
      </c>
      <c r="AA10" s="8">
        <f>IFERROR(__xludf.DUMMYFUNCTION("""COMPUTED_VALUE"""),0.0)</f>
        <v>0</v>
      </c>
      <c r="AB10" s="8">
        <f>IFERROR(__xludf.DUMMYFUNCTION("""COMPUTED_VALUE"""),0.0)</f>
        <v>0</v>
      </c>
      <c r="AC10" s="8">
        <f>IFERROR(__xludf.DUMMYFUNCTION("""COMPUTED_VALUE"""),0.0)</f>
        <v>0</v>
      </c>
    </row>
    <row r="11" ht="15.75" customHeight="1">
      <c r="A11" s="6" t="str">
        <f>IFERROR(__xludf.DUMMYFUNCTION("""COMPUTED_VALUE"""),"05081ee1026b5a4754958dd34670379788a6d672")</f>
        <v>05081ee1026b5a4754958dd34670379788a6d672</v>
      </c>
      <c r="B11" s="6" t="str">
        <f>IFERROR(__xludf.DUMMYFUNCTION("""COMPUTED_VALUE"""),"Billionaire Prison Bride")</f>
        <v>Billionaire Prison Bride</v>
      </c>
      <c r="C11" s="6" t="str">
        <f>IFERROR(__xludf.DUMMYFUNCTION("""COMPUTED_VALUE"""),"Romance")</f>
        <v>Romance</v>
      </c>
      <c r="D11" s="11">
        <f>IFERROR(__xludf.DUMMYFUNCTION("""COMPUTED_VALUE"""),1202.0)</f>
        <v>1202</v>
      </c>
      <c r="E11" s="8">
        <f>IFERROR(__xludf.DUMMYFUNCTION("""COMPUTED_VALUE"""),0.949874686716792)</f>
        <v>0.9498746867</v>
      </c>
      <c r="F11" s="8">
        <f>IFERROR(__xludf.DUMMYFUNCTION("""COMPUTED_VALUE"""),0.679595278246205)</f>
        <v>0.6795952782</v>
      </c>
      <c r="G11" s="8">
        <f>IFERROR(__xludf.DUMMYFUNCTION("""COMPUTED_VALUE"""),0.643648763853367)</f>
        <v>0.6436487639</v>
      </c>
      <c r="H11" s="8">
        <f>IFERROR(__xludf.DUMMYFUNCTION("""COMPUTED_VALUE"""),0.614186851211072)</f>
        <v>0.6141868512</v>
      </c>
      <c r="I11" s="8">
        <f>IFERROR(__xludf.DUMMYFUNCTION("""COMPUTED_VALUE"""),0.596491228070175)</f>
        <v>0.5964912281</v>
      </c>
      <c r="J11" s="8">
        <f>IFERROR(__xludf.DUMMYFUNCTION("""COMPUTED_VALUE"""),0.5875)</f>
        <v>0.5875</v>
      </c>
      <c r="K11" s="8">
        <f>IFERROR(__xludf.DUMMYFUNCTION("""COMPUTED_VALUE"""),0.563143124415341)</f>
        <v>0.5631431244</v>
      </c>
      <c r="L11" s="8">
        <f>IFERROR(__xludf.DUMMYFUNCTION("""COMPUTED_VALUE"""),0.533600802407221)</f>
        <v>0.5336008024</v>
      </c>
      <c r="M11" s="8">
        <f>IFERROR(__xludf.DUMMYFUNCTION("""COMPUTED_VALUE"""),0.509183673469387)</f>
        <v>0.5091836735</v>
      </c>
      <c r="N11" s="8">
        <f>IFERROR(__xludf.DUMMYFUNCTION("""COMPUTED_VALUE"""),0.477521263669501)</f>
        <v>0.4775212637</v>
      </c>
      <c r="O11" s="8">
        <f>IFERROR(__xludf.DUMMYFUNCTION("""COMPUTED_VALUE"""),0.364990689013035)</f>
        <v>0.364990689</v>
      </c>
      <c r="P11" s="8">
        <f>IFERROR(__xludf.DUMMYFUNCTION("""COMPUTED_VALUE"""),0.333333333333333)</f>
        <v>0.3333333333</v>
      </c>
      <c r="Q11" s="8">
        <f>IFERROR(__xludf.DUMMYFUNCTION("""COMPUTED_VALUE"""),0.0)</f>
        <v>0</v>
      </c>
      <c r="R11" s="8">
        <f>IFERROR(__xludf.DUMMYFUNCTION("""COMPUTED_VALUE"""),0.0)</f>
        <v>0</v>
      </c>
      <c r="S11" s="8">
        <f>IFERROR(__xludf.DUMMYFUNCTION("""COMPUTED_VALUE"""),0.0)</f>
        <v>0</v>
      </c>
      <c r="T11" s="8">
        <f>IFERROR(__xludf.DUMMYFUNCTION("""COMPUTED_VALUE"""),0.0)</f>
        <v>0</v>
      </c>
      <c r="U11" s="8">
        <f>IFERROR(__xludf.DUMMYFUNCTION("""COMPUTED_VALUE"""),0.0)</f>
        <v>0</v>
      </c>
      <c r="V11" s="8">
        <f>IFERROR(__xludf.DUMMYFUNCTION("""COMPUTED_VALUE"""),0.0)</f>
        <v>0</v>
      </c>
      <c r="W11" s="8">
        <f>IFERROR(__xludf.DUMMYFUNCTION("""COMPUTED_VALUE"""),0.0)</f>
        <v>0</v>
      </c>
      <c r="X11" s="8">
        <f>IFERROR(__xludf.DUMMYFUNCTION("""COMPUTED_VALUE"""),0.0)</f>
        <v>0</v>
      </c>
      <c r="Y11" s="8">
        <f>IFERROR(__xludf.DUMMYFUNCTION("""COMPUTED_VALUE"""),0.0)</f>
        <v>0</v>
      </c>
      <c r="Z11" s="8">
        <f>IFERROR(__xludf.DUMMYFUNCTION("""COMPUTED_VALUE"""),0.0)</f>
        <v>0</v>
      </c>
      <c r="AA11" s="8">
        <f>IFERROR(__xludf.DUMMYFUNCTION("""COMPUTED_VALUE"""),0.0)</f>
        <v>0</v>
      </c>
      <c r="AB11" s="8">
        <f>IFERROR(__xludf.DUMMYFUNCTION("""COMPUTED_VALUE"""),0.0)</f>
        <v>0</v>
      </c>
      <c r="AC11" s="8">
        <f>IFERROR(__xludf.DUMMYFUNCTION("""COMPUTED_VALUE"""),0.0)</f>
        <v>0</v>
      </c>
    </row>
    <row r="12" ht="15.75" customHeight="1">
      <c r="A12" s="6" t="str">
        <f>IFERROR(__xludf.DUMMYFUNCTION("""COMPUTED_VALUE"""),"05808ad9143ee75794133fd50497137fea47e57b")</f>
        <v>05808ad9143ee75794133fd50497137fea47e57b</v>
      </c>
      <c r="B12" s="6" t="str">
        <f>IFERROR(__xludf.DUMMYFUNCTION("""COMPUTED_VALUE"""),"Infinity Stars")</f>
        <v>Infinity Stars</v>
      </c>
      <c r="C12" s="6" t="str">
        <f>IFERROR(__xludf.DUMMYFUNCTION("""COMPUTED_VALUE"""),"Fantasy")</f>
        <v>Fantasy</v>
      </c>
      <c r="D12" s="11">
        <f>IFERROR(__xludf.DUMMYFUNCTION("""COMPUTED_VALUE"""),4547.0)</f>
        <v>4547</v>
      </c>
      <c r="E12" s="8">
        <f>IFERROR(__xludf.DUMMYFUNCTION("""COMPUTED_VALUE"""),0.928151830094893)</f>
        <v>0.9281518301</v>
      </c>
      <c r="F12" s="8">
        <f>IFERROR(__xludf.DUMMYFUNCTION("""COMPUTED_VALUE"""),0.554728756601056)</f>
        <v>0.5547287566</v>
      </c>
      <c r="G12" s="8">
        <f>IFERROR(__xludf.DUMMYFUNCTION("""COMPUTED_VALUE"""),0.516104868913857)</f>
        <v>0.5161048689</v>
      </c>
      <c r="H12" s="8">
        <f>IFERROR(__xludf.DUMMYFUNCTION("""COMPUTED_VALUE"""),0.494111489138968)</f>
        <v>0.4941114891</v>
      </c>
      <c r="I12" s="8">
        <f>IFERROR(__xludf.DUMMYFUNCTION("""COMPUTED_VALUE"""),0.485793103448275)</f>
        <v>0.4857931034</v>
      </c>
      <c r="J12" s="8">
        <f>IFERROR(__xludf.DUMMYFUNCTION("""COMPUTED_VALUE"""),0.471271038885664)</f>
        <v>0.4712710389</v>
      </c>
      <c r="K12" s="8">
        <f>IFERROR(__xludf.DUMMYFUNCTION("""COMPUTED_VALUE"""),0.453745829542007)</f>
        <v>0.4537458295</v>
      </c>
      <c r="L12" s="8">
        <f>IFERROR(__xludf.DUMMYFUNCTION("""COMPUTED_VALUE"""),0.448275862068965)</f>
        <v>0.4482758621</v>
      </c>
      <c r="M12" s="8">
        <f>IFERROR(__xludf.DUMMYFUNCTION("""COMPUTED_VALUE"""),0.439621409921671)</f>
        <v>0.4396214099</v>
      </c>
      <c r="N12" s="8">
        <f>IFERROR(__xludf.DUMMYFUNCTION("""COMPUTED_VALUE"""),0.432715008431703)</f>
        <v>0.4327150084</v>
      </c>
      <c r="O12" s="8">
        <f>IFERROR(__xludf.DUMMYFUNCTION("""COMPUTED_VALUE"""),0.414951245937161)</f>
        <v>0.4149512459</v>
      </c>
      <c r="P12" s="8">
        <f>IFERROR(__xludf.DUMMYFUNCTION("""COMPUTED_VALUE"""),0.36330003699593)</f>
        <v>0.363300037</v>
      </c>
      <c r="Q12" s="8">
        <f>IFERROR(__xludf.DUMMYFUNCTION("""COMPUTED_VALUE"""),0.296296296296296)</f>
        <v>0.2962962963</v>
      </c>
      <c r="R12" s="8">
        <f>IFERROR(__xludf.DUMMYFUNCTION("""COMPUTED_VALUE"""),0.213163799551234)</f>
        <v>0.2131637996</v>
      </c>
      <c r="S12" s="8">
        <f>IFERROR(__xludf.DUMMYFUNCTION("""COMPUTED_VALUE"""),0.136859781696053)</f>
        <v>0.1368597817</v>
      </c>
      <c r="T12" s="8">
        <f>IFERROR(__xludf.DUMMYFUNCTION("""COMPUTED_VALUE"""),0.121212121212121)</f>
        <v>0.1212121212</v>
      </c>
      <c r="U12" s="8">
        <f>IFERROR(__xludf.DUMMYFUNCTION("""COMPUTED_VALUE"""),0.0)</f>
        <v>0</v>
      </c>
      <c r="V12" s="8">
        <f>IFERROR(__xludf.DUMMYFUNCTION("""COMPUTED_VALUE"""),0.0)</f>
        <v>0</v>
      </c>
      <c r="W12" s="8">
        <f>IFERROR(__xludf.DUMMYFUNCTION("""COMPUTED_VALUE"""),0.0)</f>
        <v>0</v>
      </c>
      <c r="X12" s="8">
        <f>IFERROR(__xludf.DUMMYFUNCTION("""COMPUTED_VALUE"""),0.0)</f>
        <v>0</v>
      </c>
      <c r="Y12" s="8">
        <f>IFERROR(__xludf.DUMMYFUNCTION("""COMPUTED_VALUE"""),0.0)</f>
        <v>0</v>
      </c>
      <c r="Z12" s="8">
        <f>IFERROR(__xludf.DUMMYFUNCTION("""COMPUTED_VALUE"""),0.0)</f>
        <v>0</v>
      </c>
      <c r="AA12" s="8">
        <f>IFERROR(__xludf.DUMMYFUNCTION("""COMPUTED_VALUE"""),0.0)</f>
        <v>0</v>
      </c>
      <c r="AB12" s="8">
        <f>IFERROR(__xludf.DUMMYFUNCTION("""COMPUTED_VALUE"""),0.0)</f>
        <v>0</v>
      </c>
      <c r="AC12" s="8">
        <f>IFERROR(__xludf.DUMMYFUNCTION("""COMPUTED_VALUE"""),0.0)</f>
        <v>0</v>
      </c>
    </row>
    <row r="13" ht="15.75" customHeight="1">
      <c r="A13" s="6" t="str">
        <f>IFERROR(__xludf.DUMMYFUNCTION("""COMPUTED_VALUE"""),"06f83c7bf7296efe61da1c2da6e5c12e8e7d4aa8")</f>
        <v>06f83c7bf7296efe61da1c2da6e5c12e8e7d4aa8</v>
      </c>
      <c r="B13" s="6" t="str">
        <f>IFERROR(__xludf.DUMMYFUNCTION("""COMPUTED_VALUE"""),"Sigil of the Seven")</f>
        <v>Sigil of the Seven</v>
      </c>
      <c r="C13" s="6" t="str">
        <f>IFERROR(__xludf.DUMMYFUNCTION("""COMPUTED_VALUE"""),"Fantasy")</f>
        <v>Fantasy</v>
      </c>
      <c r="D13" s="11">
        <f>IFERROR(__xludf.DUMMYFUNCTION("""COMPUTED_VALUE"""),14857.0)</f>
        <v>14857</v>
      </c>
      <c r="E13" s="8">
        <f>IFERROR(__xludf.DUMMYFUNCTION("""COMPUTED_VALUE"""),0.923909367602299)</f>
        <v>0.9239093676</v>
      </c>
      <c r="F13" s="8">
        <f>IFERROR(__xludf.DUMMYFUNCTION("""COMPUTED_VALUE"""),0.527976555578273)</f>
        <v>0.5279765556</v>
      </c>
      <c r="G13" s="8">
        <f>IFERROR(__xludf.DUMMYFUNCTION("""COMPUTED_VALUE"""),0.460060597713813)</f>
        <v>0.4600605977</v>
      </c>
      <c r="H13" s="8">
        <f>IFERROR(__xludf.DUMMYFUNCTION("""COMPUTED_VALUE"""),0.434743474347434)</f>
        <v>0.4347434743</v>
      </c>
      <c r="I13" s="8">
        <f>IFERROR(__xludf.DUMMYFUNCTION("""COMPUTED_VALUE"""),0.407246782316731)</f>
        <v>0.4072467823</v>
      </c>
      <c r="J13" s="8">
        <f>IFERROR(__xludf.DUMMYFUNCTION("""COMPUTED_VALUE"""),0.390609601576798)</f>
        <v>0.3906096016</v>
      </c>
      <c r="K13" s="8">
        <f>IFERROR(__xludf.DUMMYFUNCTION("""COMPUTED_VALUE"""),0.376691462982642)</f>
        <v>0.376691463</v>
      </c>
      <c r="L13" s="8">
        <f>IFERROR(__xludf.DUMMYFUNCTION("""COMPUTED_VALUE"""),0.368135011441647)</f>
        <v>0.3681350114</v>
      </c>
      <c r="M13" s="8">
        <f>IFERROR(__xludf.DUMMYFUNCTION("""COMPUTED_VALUE"""),0.362308411887457)</f>
        <v>0.3623084119</v>
      </c>
      <c r="N13" s="8">
        <f>IFERROR(__xludf.DUMMYFUNCTION("""COMPUTED_VALUE"""),0.35634598667053)</f>
        <v>0.3563459867</v>
      </c>
      <c r="O13" s="8">
        <f>IFERROR(__xludf.DUMMYFUNCTION("""COMPUTED_VALUE"""),0.341080636723712)</f>
        <v>0.3410806367</v>
      </c>
      <c r="P13" s="8">
        <f>IFERROR(__xludf.DUMMYFUNCTION("""COMPUTED_VALUE"""),0.311174648558494)</f>
        <v>0.3111746486</v>
      </c>
      <c r="Q13" s="8">
        <f>IFERROR(__xludf.DUMMYFUNCTION("""COMPUTED_VALUE"""),0.237419467177433)</f>
        <v>0.2374194672</v>
      </c>
      <c r="R13" s="8">
        <f>IFERROR(__xludf.DUMMYFUNCTION("""COMPUTED_VALUE"""),0.18393928035982)</f>
        <v>0.1839392804</v>
      </c>
      <c r="S13" s="8">
        <f>IFERROR(__xludf.DUMMYFUNCTION("""COMPUTED_VALUE"""),0.149032648125755)</f>
        <v>0.1490326481</v>
      </c>
      <c r="T13" s="8">
        <f>IFERROR(__xludf.DUMMYFUNCTION("""COMPUTED_VALUE"""),0.0895615346287992)</f>
        <v>0.08956153463</v>
      </c>
      <c r="U13" s="8">
        <f>IFERROR(__xludf.DUMMYFUNCTION("""COMPUTED_VALUE"""),0.072326030927835)</f>
        <v>0.07232603093</v>
      </c>
      <c r="V13" s="8">
        <f>IFERROR(__xludf.DUMMYFUNCTION("""COMPUTED_VALUE"""),0.0642150457345529)</f>
        <v>0.06421504573</v>
      </c>
      <c r="W13" s="8">
        <f>IFERROR(__xludf.DUMMYFUNCTION("""COMPUTED_VALUE"""),0.0734725444702242)</f>
        <v>0.07347254447</v>
      </c>
      <c r="X13" s="8">
        <f>IFERROR(__xludf.DUMMYFUNCTION("""COMPUTED_VALUE"""),0.0756437768240343)</f>
        <v>0.07564377682</v>
      </c>
      <c r="Y13" s="8">
        <f>IFERROR(__xludf.DUMMYFUNCTION("""COMPUTED_VALUE"""),0.0)</f>
        <v>0</v>
      </c>
      <c r="Z13" s="8">
        <f>IFERROR(__xludf.DUMMYFUNCTION("""COMPUTED_VALUE"""),0.0)</f>
        <v>0</v>
      </c>
      <c r="AA13" s="8">
        <f>IFERROR(__xludf.DUMMYFUNCTION("""COMPUTED_VALUE"""),0.0)</f>
        <v>0</v>
      </c>
      <c r="AB13" s="8">
        <f>IFERROR(__xludf.DUMMYFUNCTION("""COMPUTED_VALUE"""),0.0)</f>
        <v>0</v>
      </c>
      <c r="AC13" s="8">
        <f>IFERROR(__xludf.DUMMYFUNCTION("""COMPUTED_VALUE"""),0.0)</f>
        <v>0</v>
      </c>
    </row>
    <row r="14" ht="15.75" customHeight="1">
      <c r="A14" s="6" t="str">
        <f>IFERROR(__xludf.DUMMYFUNCTION("""COMPUTED_VALUE"""),"0b07b41ff930aa13e98588f626eef70da51bb47e")</f>
        <v>0b07b41ff930aa13e98588f626eef70da51bb47e</v>
      </c>
      <c r="B14" s="6" t="str">
        <f>IFERROR(__xludf.DUMMYFUNCTION("""COMPUTED_VALUE"""),"Debtbound Between Worlds")</f>
        <v>Debtbound Between Worlds</v>
      </c>
      <c r="C14" s="6" t="str">
        <f>IFERROR(__xludf.DUMMYFUNCTION("""COMPUTED_VALUE"""),"Fantasy")</f>
        <v>Fantasy</v>
      </c>
      <c r="D14" s="11">
        <f>IFERROR(__xludf.DUMMYFUNCTION("""COMPUTED_VALUE"""),1136.0)</f>
        <v>1136</v>
      </c>
      <c r="E14" s="8">
        <f>IFERROR(__xludf.DUMMYFUNCTION("""COMPUTED_VALUE"""),0.971830985915493)</f>
        <v>0.9718309859</v>
      </c>
      <c r="F14" s="8">
        <f>IFERROR(__xludf.DUMMYFUNCTION("""COMPUTED_VALUE"""),0.359154929577464)</f>
        <v>0.3591549296</v>
      </c>
      <c r="G14" s="8">
        <f>IFERROR(__xludf.DUMMYFUNCTION("""COMPUTED_VALUE"""),0.320987654320987)</f>
        <v>0.3209876543</v>
      </c>
      <c r="H14" s="8">
        <f>IFERROR(__xludf.DUMMYFUNCTION("""COMPUTED_VALUE"""),0.293650793650793)</f>
        <v>0.2936507937</v>
      </c>
      <c r="I14" s="8">
        <f>IFERROR(__xludf.DUMMYFUNCTION("""COMPUTED_VALUE"""),0.274492497793468)</f>
        <v>0.2744924978</v>
      </c>
      <c r="J14" s="8">
        <f>IFERROR(__xludf.DUMMYFUNCTION("""COMPUTED_VALUE"""),0.258178603006189)</f>
        <v>0.258178603</v>
      </c>
      <c r="K14" s="8">
        <f>IFERROR(__xludf.DUMMYFUNCTION("""COMPUTED_VALUE"""),0.246684350132626)</f>
        <v>0.2466843501</v>
      </c>
      <c r="L14" s="8">
        <f>IFERROR(__xludf.DUMMYFUNCTION("""COMPUTED_VALUE"""),0.240035429583702)</f>
        <v>0.2400354296</v>
      </c>
      <c r="M14" s="8">
        <f>IFERROR(__xludf.DUMMYFUNCTION("""COMPUTED_VALUE"""),0.2246891651865)</f>
        <v>0.2246891652</v>
      </c>
      <c r="N14" s="8">
        <f>IFERROR(__xludf.DUMMYFUNCTION("""COMPUTED_VALUE"""),0.216411181244364)</f>
        <v>0.2164111812</v>
      </c>
      <c r="O14" s="8">
        <f>IFERROR(__xludf.DUMMYFUNCTION("""COMPUTED_VALUE"""),0.195715676728334)</f>
        <v>0.1957156767</v>
      </c>
      <c r="P14" s="8">
        <f>IFERROR(__xludf.DUMMYFUNCTION("""COMPUTED_VALUE"""),0.170239596469104)</f>
        <v>0.1702395965</v>
      </c>
      <c r="Q14" s="8">
        <f>IFERROR(__xludf.DUMMYFUNCTION("""COMPUTED_VALUE"""),0.111111111111111)</f>
        <v>0.1111111111</v>
      </c>
      <c r="R14" s="8">
        <f>IFERROR(__xludf.DUMMYFUNCTION("""COMPUTED_VALUE"""),0.0)</f>
        <v>0</v>
      </c>
      <c r="S14" s="8">
        <f>IFERROR(__xludf.DUMMYFUNCTION("""COMPUTED_VALUE"""),0.0)</f>
        <v>0</v>
      </c>
      <c r="T14" s="8">
        <f>IFERROR(__xludf.DUMMYFUNCTION("""COMPUTED_VALUE"""),0.0)</f>
        <v>0</v>
      </c>
      <c r="U14" s="8">
        <f>IFERROR(__xludf.DUMMYFUNCTION("""COMPUTED_VALUE"""),0.0)</f>
        <v>0</v>
      </c>
      <c r="V14" s="8">
        <f>IFERROR(__xludf.DUMMYFUNCTION("""COMPUTED_VALUE"""),0.0)</f>
        <v>0</v>
      </c>
      <c r="W14" s="8">
        <f>IFERROR(__xludf.DUMMYFUNCTION("""COMPUTED_VALUE"""),0.0)</f>
        <v>0</v>
      </c>
      <c r="X14" s="8">
        <f>IFERROR(__xludf.DUMMYFUNCTION("""COMPUTED_VALUE"""),0.0)</f>
        <v>0</v>
      </c>
      <c r="Y14" s="8">
        <f>IFERROR(__xludf.DUMMYFUNCTION("""COMPUTED_VALUE"""),0.0)</f>
        <v>0</v>
      </c>
      <c r="Z14" s="8">
        <f>IFERROR(__xludf.DUMMYFUNCTION("""COMPUTED_VALUE"""),0.0)</f>
        <v>0</v>
      </c>
      <c r="AA14" s="8">
        <f>IFERROR(__xludf.DUMMYFUNCTION("""COMPUTED_VALUE"""),0.0)</f>
        <v>0</v>
      </c>
      <c r="AB14" s="8">
        <f>IFERROR(__xludf.DUMMYFUNCTION("""COMPUTED_VALUE"""),0.0)</f>
        <v>0</v>
      </c>
      <c r="AC14" s="8">
        <f>IFERROR(__xludf.DUMMYFUNCTION("""COMPUTED_VALUE"""),0.0)</f>
        <v>0</v>
      </c>
    </row>
    <row r="15" ht="15.75" customHeight="1">
      <c r="A15" s="6" t="str">
        <f>IFERROR(__xludf.DUMMYFUNCTION("""COMPUTED_VALUE"""),"0b24baea319eafeca1995fb9b34e29d6ebfb9a50")</f>
        <v>0b24baea319eafeca1995fb9b34e29d6ebfb9a50</v>
      </c>
      <c r="B15" s="6" t="str">
        <f>IFERROR(__xludf.DUMMYFUNCTION("""COMPUTED_VALUE"""),"Rejected Bride Returns")</f>
        <v>Rejected Bride Returns</v>
      </c>
      <c r="C15" s="6" t="str">
        <f>IFERROR(__xludf.DUMMYFUNCTION("""COMPUTED_VALUE"""),"Romance")</f>
        <v>Romance</v>
      </c>
      <c r="D15" s="11">
        <f>IFERROR(__xludf.DUMMYFUNCTION("""COMPUTED_VALUE"""),1376.0)</f>
        <v>1376</v>
      </c>
      <c r="E15" s="8">
        <f>IFERROR(__xludf.DUMMYFUNCTION("""COMPUTED_VALUE"""),0.974545454545454)</f>
        <v>0.9745454545</v>
      </c>
      <c r="F15" s="8">
        <f>IFERROR(__xludf.DUMMYFUNCTION("""COMPUTED_VALUE"""),0.548104956268221)</f>
        <v>0.5481049563</v>
      </c>
      <c r="G15" s="8">
        <f>IFERROR(__xludf.DUMMYFUNCTION("""COMPUTED_VALUE"""),0.46774193548387)</f>
        <v>0.4677419355</v>
      </c>
      <c r="H15" s="8">
        <f>IFERROR(__xludf.DUMMYFUNCTION("""COMPUTED_VALUE"""),0.386686611817501)</f>
        <v>0.3866866118</v>
      </c>
      <c r="I15" s="8">
        <f>IFERROR(__xludf.DUMMYFUNCTION("""COMPUTED_VALUE"""),0.315267175572519)</f>
        <v>0.3152671756</v>
      </c>
      <c r="J15" s="8">
        <f>IFERROR(__xludf.DUMMYFUNCTION("""COMPUTED_VALUE"""),0.265673981191222)</f>
        <v>0.2656739812</v>
      </c>
      <c r="K15" s="8">
        <f>IFERROR(__xludf.DUMMYFUNCTION("""COMPUTED_VALUE"""),0.224691358024691)</f>
        <v>0.224691358</v>
      </c>
      <c r="L15" s="8">
        <f>IFERROR(__xludf.DUMMYFUNCTION("""COMPUTED_VALUE"""),0.193181818181818)</f>
        <v>0.1931818182</v>
      </c>
      <c r="M15" s="8">
        <f>IFERROR(__xludf.DUMMYFUNCTION("""COMPUTED_VALUE"""),0.162854528819762)</f>
        <v>0.1628545288</v>
      </c>
      <c r="N15" s="8">
        <f>IFERROR(__xludf.DUMMYFUNCTION("""COMPUTED_VALUE"""),0.127884615384615)</f>
        <v>0.1278846154</v>
      </c>
      <c r="O15" s="8">
        <f>IFERROR(__xludf.DUMMYFUNCTION("""COMPUTED_VALUE"""),0.12063492063492)</f>
        <v>0.1206349206</v>
      </c>
      <c r="P15" s="8">
        <f>IFERROR(__xludf.DUMMYFUNCTION("""COMPUTED_VALUE"""),0.0833333333333333)</f>
        <v>0.08333333333</v>
      </c>
      <c r="Q15" s="8">
        <f>IFERROR(__xludf.DUMMYFUNCTION("""COMPUTED_VALUE"""),0.0)</f>
        <v>0</v>
      </c>
      <c r="R15" s="8">
        <f>IFERROR(__xludf.DUMMYFUNCTION("""COMPUTED_VALUE"""),0.0)</f>
        <v>0</v>
      </c>
      <c r="S15" s="8">
        <f>IFERROR(__xludf.DUMMYFUNCTION("""COMPUTED_VALUE"""),0.0)</f>
        <v>0</v>
      </c>
      <c r="T15" s="8">
        <f>IFERROR(__xludf.DUMMYFUNCTION("""COMPUTED_VALUE"""),0.0)</f>
        <v>0</v>
      </c>
      <c r="U15" s="8">
        <f>IFERROR(__xludf.DUMMYFUNCTION("""COMPUTED_VALUE"""),0.0)</f>
        <v>0</v>
      </c>
      <c r="V15" s="8">
        <f>IFERROR(__xludf.DUMMYFUNCTION("""COMPUTED_VALUE"""),0.0)</f>
        <v>0</v>
      </c>
      <c r="W15" s="8">
        <f>IFERROR(__xludf.DUMMYFUNCTION("""COMPUTED_VALUE"""),0.0)</f>
        <v>0</v>
      </c>
      <c r="X15" s="8">
        <f>IFERROR(__xludf.DUMMYFUNCTION("""COMPUTED_VALUE"""),0.0)</f>
        <v>0</v>
      </c>
      <c r="Y15" s="8">
        <f>IFERROR(__xludf.DUMMYFUNCTION("""COMPUTED_VALUE"""),0.0)</f>
        <v>0</v>
      </c>
      <c r="Z15" s="8">
        <f>IFERROR(__xludf.DUMMYFUNCTION("""COMPUTED_VALUE"""),0.0)</f>
        <v>0</v>
      </c>
      <c r="AA15" s="8">
        <f>IFERROR(__xludf.DUMMYFUNCTION("""COMPUTED_VALUE"""),0.0)</f>
        <v>0</v>
      </c>
      <c r="AB15" s="8">
        <f>IFERROR(__xludf.DUMMYFUNCTION("""COMPUTED_VALUE"""),0.0)</f>
        <v>0</v>
      </c>
      <c r="AC15" s="8">
        <f>IFERROR(__xludf.DUMMYFUNCTION("""COMPUTED_VALUE"""),0.0)</f>
        <v>0</v>
      </c>
    </row>
    <row r="16" ht="15.75" customHeight="1">
      <c r="A16" s="6" t="str">
        <f>IFERROR(__xludf.DUMMYFUNCTION("""COMPUTED_VALUE"""),"0c7fa1a2b4bca0746ad0384d77796b98dd7d801c")</f>
        <v>0c7fa1a2b4bca0746ad0384d77796b98dd7d801c</v>
      </c>
      <c r="B16" s="6" t="str">
        <f>IFERROR(__xludf.DUMMYFUNCTION("""COMPUTED_VALUE"""),"Flash Marriage to My Ex’s Boss")</f>
        <v>Flash Marriage to My Ex’s Boss</v>
      </c>
      <c r="C16" s="6" t="str">
        <f>IFERROR(__xludf.DUMMYFUNCTION("""COMPUTED_VALUE"""),"Romance")</f>
        <v>Romance</v>
      </c>
      <c r="D16" s="11">
        <f>IFERROR(__xludf.DUMMYFUNCTION("""COMPUTED_VALUE"""),1752.0)</f>
        <v>1752</v>
      </c>
      <c r="E16" s="8">
        <f>IFERROR(__xludf.DUMMYFUNCTION("""COMPUTED_VALUE"""),0.935391652372784)</f>
        <v>0.9353916524</v>
      </c>
      <c r="F16" s="8">
        <f>IFERROR(__xludf.DUMMYFUNCTION("""COMPUTED_VALUE"""),0.314825414997137)</f>
        <v>0.314825415</v>
      </c>
      <c r="G16" s="8">
        <f>IFERROR(__xludf.DUMMYFUNCTION("""COMPUTED_VALUE"""),0.269914040114613)</f>
        <v>0.2699140401</v>
      </c>
      <c r="H16" s="8">
        <f>IFERROR(__xludf.DUMMYFUNCTION("""COMPUTED_VALUE"""),0.248710601719197)</f>
        <v>0.2487106017</v>
      </c>
      <c r="I16" s="8">
        <f>IFERROR(__xludf.DUMMYFUNCTION("""COMPUTED_VALUE"""),0.235935706084959)</f>
        <v>0.2359357061</v>
      </c>
      <c r="J16" s="8">
        <f>IFERROR(__xludf.DUMMYFUNCTION("""COMPUTED_VALUE"""),0.207807118254879)</f>
        <v>0.2078071183</v>
      </c>
      <c r="K16" s="8">
        <f>IFERROR(__xludf.DUMMYFUNCTION("""COMPUTED_VALUE"""),0.188863375430539)</f>
        <v>0.1888633754</v>
      </c>
      <c r="L16" s="8">
        <f>IFERROR(__xludf.DUMMYFUNCTION("""COMPUTED_VALUE"""),0.179310344827586)</f>
        <v>0.1793103448</v>
      </c>
      <c r="M16" s="8">
        <f>IFERROR(__xludf.DUMMYFUNCTION("""COMPUTED_VALUE"""),0.174813110983323)</f>
        <v>0.174813111</v>
      </c>
      <c r="N16" s="8">
        <f>IFERROR(__xludf.DUMMYFUNCTION("""COMPUTED_VALUE"""),0.167433831990794)</f>
        <v>0.167433832</v>
      </c>
      <c r="O16" s="8">
        <f>IFERROR(__xludf.DUMMYFUNCTION("""COMPUTED_VALUE"""),0.133526011560693)</f>
        <v>0.1335260116</v>
      </c>
      <c r="P16" s="8">
        <f>IFERROR(__xludf.DUMMYFUNCTION("""COMPUTED_VALUE"""),0.0881159420289855)</f>
        <v>0.08811594203</v>
      </c>
      <c r="Q16" s="8">
        <f>IFERROR(__xludf.DUMMYFUNCTION("""COMPUTED_VALUE"""),0.0627198124267292)</f>
        <v>0.06271981243</v>
      </c>
      <c r="R16" s="8">
        <f>IFERROR(__xludf.DUMMYFUNCTION("""COMPUTED_VALUE"""),0.0512065921130076)</f>
        <v>0.05120659211</v>
      </c>
      <c r="S16" s="8">
        <f>IFERROR(__xludf.DUMMYFUNCTION("""COMPUTED_VALUE"""),0.0)</f>
        <v>0</v>
      </c>
      <c r="T16" s="8">
        <f>IFERROR(__xludf.DUMMYFUNCTION("""COMPUTED_VALUE"""),0.0)</f>
        <v>0</v>
      </c>
      <c r="U16" s="8">
        <f>IFERROR(__xludf.DUMMYFUNCTION("""COMPUTED_VALUE"""),0.0)</f>
        <v>0</v>
      </c>
      <c r="V16" s="8">
        <f>IFERROR(__xludf.DUMMYFUNCTION("""COMPUTED_VALUE"""),0.0)</f>
        <v>0</v>
      </c>
      <c r="W16" s="8">
        <f>IFERROR(__xludf.DUMMYFUNCTION("""COMPUTED_VALUE"""),0.0)</f>
        <v>0</v>
      </c>
      <c r="X16" s="8">
        <f>IFERROR(__xludf.DUMMYFUNCTION("""COMPUTED_VALUE"""),0.0)</f>
        <v>0</v>
      </c>
      <c r="Y16" s="8">
        <f>IFERROR(__xludf.DUMMYFUNCTION("""COMPUTED_VALUE"""),0.0)</f>
        <v>0</v>
      </c>
      <c r="Z16" s="8">
        <f>IFERROR(__xludf.DUMMYFUNCTION("""COMPUTED_VALUE"""),0.0)</f>
        <v>0</v>
      </c>
      <c r="AA16" s="8">
        <f>IFERROR(__xludf.DUMMYFUNCTION("""COMPUTED_VALUE"""),0.0)</f>
        <v>0</v>
      </c>
      <c r="AB16" s="8">
        <f>IFERROR(__xludf.DUMMYFUNCTION("""COMPUTED_VALUE"""),0.0)</f>
        <v>0</v>
      </c>
      <c r="AC16" s="8">
        <f>IFERROR(__xludf.DUMMYFUNCTION("""COMPUTED_VALUE"""),0.0)</f>
        <v>0</v>
      </c>
    </row>
    <row r="17" ht="15.75" customHeight="1">
      <c r="A17" s="6" t="str">
        <f>IFERROR(__xludf.DUMMYFUNCTION("""COMPUTED_VALUE"""),"0d62d7798adbffba76234feba6e58e4a73a6baf8")</f>
        <v>0d62d7798adbffba76234feba6e58e4a73a6baf8</v>
      </c>
      <c r="B17" s="6" t="str">
        <f>IFERROR(__xludf.DUMMYFUNCTION("""COMPUTED_VALUE"""),"Devil's Redemption")</f>
        <v>Devil's Redemption</v>
      </c>
      <c r="C17" s="6" t="str">
        <f>IFERROR(__xludf.DUMMYFUNCTION("""COMPUTED_VALUE"""),"Fantasy")</f>
        <v>Fantasy</v>
      </c>
      <c r="D17" s="11">
        <f>IFERROR(__xludf.DUMMYFUNCTION("""COMPUTED_VALUE"""),1027.0)</f>
        <v>1027</v>
      </c>
      <c r="E17" s="8">
        <f>IFERROR(__xludf.DUMMYFUNCTION("""COMPUTED_VALUE"""),0.979166666666666)</f>
        <v>0.9791666667</v>
      </c>
      <c r="F17" s="8">
        <f>IFERROR(__xludf.DUMMYFUNCTION("""COMPUTED_VALUE"""),0.665198237885462)</f>
        <v>0.6651982379</v>
      </c>
      <c r="G17" s="8">
        <f>IFERROR(__xludf.DUMMYFUNCTION("""COMPUTED_VALUE"""),0.598152424942263)</f>
        <v>0.5981524249</v>
      </c>
      <c r="H17" s="8">
        <f>IFERROR(__xludf.DUMMYFUNCTION("""COMPUTED_VALUE"""),0.553990610328638)</f>
        <v>0.5539906103</v>
      </c>
      <c r="I17" s="8">
        <f>IFERROR(__xludf.DUMMYFUNCTION("""COMPUTED_VALUE"""),0.458438287153652)</f>
        <v>0.4584382872</v>
      </c>
      <c r="J17" s="8">
        <f>IFERROR(__xludf.DUMMYFUNCTION("""COMPUTED_VALUE"""),0.423376623376623)</f>
        <v>0.4233766234</v>
      </c>
      <c r="K17" s="8">
        <f>IFERROR(__xludf.DUMMYFUNCTION("""COMPUTED_VALUE"""),0.372654155495978)</f>
        <v>0.3726541555</v>
      </c>
      <c r="L17" s="8">
        <f>IFERROR(__xludf.DUMMYFUNCTION("""COMPUTED_VALUE"""),0.348648648648648)</f>
        <v>0.3486486486</v>
      </c>
      <c r="M17" s="8">
        <f>IFERROR(__xludf.DUMMYFUNCTION("""COMPUTED_VALUE"""),0.32520325203252)</f>
        <v>0.325203252</v>
      </c>
      <c r="N17" s="8">
        <f>IFERROR(__xludf.DUMMYFUNCTION("""COMPUTED_VALUE"""),0.311475409836065)</f>
        <v>0.3114754098</v>
      </c>
      <c r="O17" s="8">
        <f>IFERROR(__xludf.DUMMYFUNCTION("""COMPUTED_VALUE"""),0.253205128205128)</f>
        <v>0.2532051282</v>
      </c>
      <c r="P17" s="8">
        <f>IFERROR(__xludf.DUMMYFUNCTION("""COMPUTED_VALUE"""),0.214285714285714)</f>
        <v>0.2142857143</v>
      </c>
      <c r="Q17" s="8">
        <f>IFERROR(__xludf.DUMMYFUNCTION("""COMPUTED_VALUE"""),0.0)</f>
        <v>0</v>
      </c>
      <c r="R17" s="8">
        <f>IFERROR(__xludf.DUMMYFUNCTION("""COMPUTED_VALUE"""),0.0)</f>
        <v>0</v>
      </c>
      <c r="S17" s="8">
        <f>IFERROR(__xludf.DUMMYFUNCTION("""COMPUTED_VALUE"""),0.0)</f>
        <v>0</v>
      </c>
      <c r="T17" s="8">
        <f>IFERROR(__xludf.DUMMYFUNCTION("""COMPUTED_VALUE"""),0.0)</f>
        <v>0</v>
      </c>
      <c r="U17" s="8">
        <f>IFERROR(__xludf.DUMMYFUNCTION("""COMPUTED_VALUE"""),0.0)</f>
        <v>0</v>
      </c>
      <c r="V17" s="8">
        <f>IFERROR(__xludf.DUMMYFUNCTION("""COMPUTED_VALUE"""),0.0)</f>
        <v>0</v>
      </c>
      <c r="W17" s="8">
        <f>IFERROR(__xludf.DUMMYFUNCTION("""COMPUTED_VALUE"""),0.0)</f>
        <v>0</v>
      </c>
      <c r="X17" s="8">
        <f>IFERROR(__xludf.DUMMYFUNCTION("""COMPUTED_VALUE"""),0.0)</f>
        <v>0</v>
      </c>
      <c r="Y17" s="8">
        <f>IFERROR(__xludf.DUMMYFUNCTION("""COMPUTED_VALUE"""),0.0)</f>
        <v>0</v>
      </c>
      <c r="Z17" s="8">
        <f>IFERROR(__xludf.DUMMYFUNCTION("""COMPUTED_VALUE"""),0.0)</f>
        <v>0</v>
      </c>
      <c r="AA17" s="8">
        <f>IFERROR(__xludf.DUMMYFUNCTION("""COMPUTED_VALUE"""),0.0)</f>
        <v>0</v>
      </c>
      <c r="AB17" s="8">
        <f>IFERROR(__xludf.DUMMYFUNCTION("""COMPUTED_VALUE"""),0.0)</f>
        <v>0</v>
      </c>
      <c r="AC17" s="8">
        <f>IFERROR(__xludf.DUMMYFUNCTION("""COMPUTED_VALUE"""),0.0)</f>
        <v>0</v>
      </c>
    </row>
    <row r="18" ht="15.75" customHeight="1">
      <c r="A18" s="6" t="str">
        <f>IFERROR(__xludf.DUMMYFUNCTION("""COMPUTED_VALUE"""),"0db57923d2182ad47e7480030a03e05da109b1bf")</f>
        <v>0db57923d2182ad47e7480030a03e05da109b1bf</v>
      </c>
      <c r="B18" s="6" t="str">
        <f>IFERROR(__xludf.DUMMYFUNCTION("""COMPUTED_VALUE"""),"The Ceo's Borrowed Beauty")</f>
        <v>The Ceo's Borrowed Beauty</v>
      </c>
      <c r="C18" s="6" t="str">
        <f>IFERROR(__xludf.DUMMYFUNCTION("""COMPUTED_VALUE"""),"Romance")</f>
        <v>Romance</v>
      </c>
      <c r="D18" s="11">
        <f>IFERROR(__xludf.DUMMYFUNCTION("""COMPUTED_VALUE"""),3018.0)</f>
        <v>3018</v>
      </c>
      <c r="E18" s="8">
        <f>IFERROR(__xludf.DUMMYFUNCTION("""COMPUTED_VALUE"""),0.970053835800807)</f>
        <v>0.9700538358</v>
      </c>
      <c r="F18" s="8">
        <f>IFERROR(__xludf.DUMMYFUNCTION("""COMPUTED_VALUE"""),0.477936184657162)</f>
        <v>0.4779361847</v>
      </c>
      <c r="G18" s="8">
        <f>IFERROR(__xludf.DUMMYFUNCTION("""COMPUTED_VALUE"""),0.421608725289706)</f>
        <v>0.4216087253</v>
      </c>
      <c r="H18" s="8">
        <f>IFERROR(__xludf.DUMMYFUNCTION("""COMPUTED_VALUE"""),0.375085557837097)</f>
        <v>0.3750855578</v>
      </c>
      <c r="I18" s="8">
        <f>IFERROR(__xludf.DUMMYFUNCTION("""COMPUTED_VALUE"""),0.352900789564023)</f>
        <v>0.3529007896</v>
      </c>
      <c r="J18" s="8">
        <f>IFERROR(__xludf.DUMMYFUNCTION("""COMPUTED_VALUE"""),0.32266941864465)</f>
        <v>0.3226694186</v>
      </c>
      <c r="K18" s="8">
        <f>IFERROR(__xludf.DUMMYFUNCTION("""COMPUTED_VALUE"""),0.292901447277739)</f>
        <v>0.2929014473</v>
      </c>
      <c r="L18" s="8">
        <f>IFERROR(__xludf.DUMMYFUNCTION("""COMPUTED_VALUE"""),0.27317415730337)</f>
        <v>0.2731741573</v>
      </c>
      <c r="M18" s="8">
        <f>IFERROR(__xludf.DUMMYFUNCTION("""COMPUTED_VALUE"""),0.260405549626467)</f>
        <v>0.2604055496</v>
      </c>
      <c r="N18" s="8">
        <f>IFERROR(__xludf.DUMMYFUNCTION("""COMPUTED_VALUE"""),0.261359505634314)</f>
        <v>0.2613595056</v>
      </c>
      <c r="O18" s="8">
        <f>IFERROR(__xludf.DUMMYFUNCTION("""COMPUTED_VALUE"""),0.245173745173745)</f>
        <v>0.2451737452</v>
      </c>
      <c r="P18" s="8">
        <f>IFERROR(__xludf.DUMMYFUNCTION("""COMPUTED_VALUE"""),0.241379310344827)</f>
        <v>0.2413793103</v>
      </c>
      <c r="Q18" s="8">
        <f>IFERROR(__xludf.DUMMYFUNCTION("""COMPUTED_VALUE"""),0.326923076923076)</f>
        <v>0.3269230769</v>
      </c>
      <c r="R18" s="8">
        <f>IFERROR(__xludf.DUMMYFUNCTION("""COMPUTED_VALUE"""),0.309523809523809)</f>
        <v>0.3095238095</v>
      </c>
      <c r="S18" s="8">
        <f>IFERROR(__xludf.DUMMYFUNCTION("""COMPUTED_VALUE"""),0.0)</f>
        <v>0</v>
      </c>
      <c r="T18" s="8">
        <f>IFERROR(__xludf.DUMMYFUNCTION("""COMPUTED_VALUE"""),0.0)</f>
        <v>0</v>
      </c>
      <c r="U18" s="8">
        <f>IFERROR(__xludf.DUMMYFUNCTION("""COMPUTED_VALUE"""),0.0)</f>
        <v>0</v>
      </c>
      <c r="V18" s="8">
        <f>IFERROR(__xludf.DUMMYFUNCTION("""COMPUTED_VALUE"""),0.0)</f>
        <v>0</v>
      </c>
      <c r="W18" s="8">
        <f>IFERROR(__xludf.DUMMYFUNCTION("""COMPUTED_VALUE"""),0.0)</f>
        <v>0</v>
      </c>
      <c r="X18" s="8">
        <f>IFERROR(__xludf.DUMMYFUNCTION("""COMPUTED_VALUE"""),0.0)</f>
        <v>0</v>
      </c>
      <c r="Y18" s="8">
        <f>IFERROR(__xludf.DUMMYFUNCTION("""COMPUTED_VALUE"""),0.0)</f>
        <v>0</v>
      </c>
      <c r="Z18" s="8">
        <f>IFERROR(__xludf.DUMMYFUNCTION("""COMPUTED_VALUE"""),0.0)</f>
        <v>0</v>
      </c>
      <c r="AA18" s="8">
        <f>IFERROR(__xludf.DUMMYFUNCTION("""COMPUTED_VALUE"""),0.0)</f>
        <v>0</v>
      </c>
      <c r="AB18" s="8">
        <f>IFERROR(__xludf.DUMMYFUNCTION("""COMPUTED_VALUE"""),0.0)</f>
        <v>0</v>
      </c>
      <c r="AC18" s="8">
        <f>IFERROR(__xludf.DUMMYFUNCTION("""COMPUTED_VALUE"""),0.0)</f>
        <v>0</v>
      </c>
    </row>
    <row r="19" ht="15.75" customHeight="1">
      <c r="A19" s="6" t="str">
        <f>IFERROR(__xludf.DUMMYFUNCTION("""COMPUTED_VALUE"""),"0f3d56fd651e66eb62e990fd31d006aa80eaab5f")</f>
        <v>0f3d56fd651e66eb62e990fd31d006aa80eaab5f</v>
      </c>
      <c r="B19" s="6" t="str">
        <f>IFERROR(__xludf.DUMMYFUNCTION("""COMPUTED_VALUE"""),"The Forsaken Tamer")</f>
        <v>The Forsaken Tamer</v>
      </c>
      <c r="C19" s="6" t="str">
        <f>IFERROR(__xludf.DUMMYFUNCTION("""COMPUTED_VALUE"""),"System and Superpower")</f>
        <v>System and Superpower</v>
      </c>
      <c r="D19" s="11">
        <f>IFERROR(__xludf.DUMMYFUNCTION("""COMPUTED_VALUE"""),2498.0)</f>
        <v>2498</v>
      </c>
      <c r="E19" s="8">
        <f>IFERROR(__xludf.DUMMYFUNCTION("""COMPUTED_VALUE"""),0.985547972701726)</f>
        <v>0.9855479727</v>
      </c>
      <c r="F19" s="8">
        <f>IFERROR(__xludf.DUMMYFUNCTION("""COMPUTED_VALUE"""),0.544839255499154)</f>
        <v>0.5448392555</v>
      </c>
      <c r="G19" s="8">
        <f>IFERROR(__xludf.DUMMYFUNCTION("""COMPUTED_VALUE"""),0.469067405355494)</f>
        <v>0.4690674054</v>
      </c>
      <c r="H19" s="8">
        <f>IFERROR(__xludf.DUMMYFUNCTION("""COMPUTED_VALUE"""),0.388211382113821)</f>
        <v>0.3882113821</v>
      </c>
      <c r="I19" s="8">
        <f>IFERROR(__xludf.DUMMYFUNCTION("""COMPUTED_VALUE"""),0.334438916528468)</f>
        <v>0.3344389165</v>
      </c>
      <c r="J19" s="8">
        <f>IFERROR(__xludf.DUMMYFUNCTION("""COMPUTED_VALUE"""),0.256172839506172)</f>
        <v>0.2561728395</v>
      </c>
      <c r="K19" s="8">
        <f>IFERROR(__xludf.DUMMYFUNCTION("""COMPUTED_VALUE"""),0.222772277227722)</f>
        <v>0.2227722772</v>
      </c>
      <c r="L19" s="8">
        <f>IFERROR(__xludf.DUMMYFUNCTION("""COMPUTED_VALUE"""),0.192403486924034)</f>
        <v>0.1924034869</v>
      </c>
      <c r="M19" s="8">
        <f>IFERROR(__xludf.DUMMYFUNCTION("""COMPUTED_VALUE"""),0.175219023779724)</f>
        <v>0.1752190238</v>
      </c>
      <c r="N19" s="8">
        <f>IFERROR(__xludf.DUMMYFUNCTION("""COMPUTED_VALUE"""),0.160276555625392)</f>
        <v>0.1602765556</v>
      </c>
      <c r="O19" s="8">
        <f>IFERROR(__xludf.DUMMYFUNCTION("""COMPUTED_VALUE"""),0.115335868187579)</f>
        <v>0.1153358682</v>
      </c>
      <c r="P19" s="8">
        <f>IFERROR(__xludf.DUMMYFUNCTION("""COMPUTED_VALUE"""),0.080655737704918)</f>
        <v>0.0806557377</v>
      </c>
      <c r="Q19" s="8">
        <f>IFERROR(__xludf.DUMMYFUNCTION("""COMPUTED_VALUE"""),0.034647550776583)</f>
        <v>0.03464755078</v>
      </c>
      <c r="R19" s="8">
        <f>IFERROR(__xludf.DUMMYFUNCTION("""COMPUTED_VALUE"""),0.0225352112676056)</f>
        <v>0.02253521127</v>
      </c>
      <c r="S19" s="8">
        <f>IFERROR(__xludf.DUMMYFUNCTION("""COMPUTED_VALUE"""),0.0)</f>
        <v>0</v>
      </c>
      <c r="T19" s="8">
        <f>IFERROR(__xludf.DUMMYFUNCTION("""COMPUTED_VALUE"""),0.0)</f>
        <v>0</v>
      </c>
      <c r="U19" s="8">
        <f>IFERROR(__xludf.DUMMYFUNCTION("""COMPUTED_VALUE"""),0.0)</f>
        <v>0</v>
      </c>
      <c r="V19" s="8">
        <f>IFERROR(__xludf.DUMMYFUNCTION("""COMPUTED_VALUE"""),0.0)</f>
        <v>0</v>
      </c>
      <c r="W19" s="8">
        <f>IFERROR(__xludf.DUMMYFUNCTION("""COMPUTED_VALUE"""),0.0)</f>
        <v>0</v>
      </c>
      <c r="X19" s="8">
        <f>IFERROR(__xludf.DUMMYFUNCTION("""COMPUTED_VALUE"""),0.0)</f>
        <v>0</v>
      </c>
      <c r="Y19" s="8">
        <f>IFERROR(__xludf.DUMMYFUNCTION("""COMPUTED_VALUE"""),0.0)</f>
        <v>0</v>
      </c>
      <c r="Z19" s="8">
        <f>IFERROR(__xludf.DUMMYFUNCTION("""COMPUTED_VALUE"""),0.0)</f>
        <v>0</v>
      </c>
      <c r="AA19" s="8">
        <f>IFERROR(__xludf.DUMMYFUNCTION("""COMPUTED_VALUE"""),0.0)</f>
        <v>0</v>
      </c>
      <c r="AB19" s="8">
        <f>IFERROR(__xludf.DUMMYFUNCTION("""COMPUTED_VALUE"""),0.0)</f>
        <v>0</v>
      </c>
      <c r="AC19" s="8">
        <f>IFERROR(__xludf.DUMMYFUNCTION("""COMPUTED_VALUE"""),0.0)</f>
        <v>0</v>
      </c>
    </row>
    <row r="20" ht="15.75" customHeight="1">
      <c r="A20" s="6" t="str">
        <f>IFERROR(__xludf.DUMMYFUNCTION("""COMPUTED_VALUE"""),"0fadc6da7c4d814463023dc7ffd8be44c68fa457")</f>
        <v>0fadc6da7c4d814463023dc7ffd8be44c68fa457</v>
      </c>
      <c r="B20" s="6" t="str">
        <f>IFERROR(__xludf.DUMMYFUNCTION("""COMPUTED_VALUE"""),"From Ceo to Young Lord")</f>
        <v>From Ceo to Young Lord</v>
      </c>
      <c r="C20" s="6" t="str">
        <f>IFERROR(__xludf.DUMMYFUNCTION("""COMPUTED_VALUE"""),"Fantasy")</f>
        <v>Fantasy</v>
      </c>
      <c r="D20" s="11">
        <f>IFERROR(__xludf.DUMMYFUNCTION("""COMPUTED_VALUE"""),2491.0)</f>
        <v>2491</v>
      </c>
      <c r="E20" s="8">
        <f>IFERROR(__xludf.DUMMYFUNCTION("""COMPUTED_VALUE"""),0.942834138486312)</f>
        <v>0.9428341385</v>
      </c>
      <c r="F20" s="8">
        <f>IFERROR(__xludf.DUMMYFUNCTION("""COMPUTED_VALUE"""),0.597817299919159)</f>
        <v>0.5978172999</v>
      </c>
      <c r="G20" s="8">
        <f>IFERROR(__xludf.DUMMYFUNCTION("""COMPUTED_VALUE"""),0.565411097610368)</f>
        <v>0.5654110976</v>
      </c>
      <c r="H20" s="8">
        <f>IFERROR(__xludf.DUMMYFUNCTION("""COMPUTED_VALUE"""),0.559122308004876)</f>
        <v>0.559122308</v>
      </c>
      <c r="I20" s="8">
        <f>IFERROR(__xludf.DUMMYFUNCTION("""COMPUTED_VALUE"""),0.526680244399185)</f>
        <v>0.5266802444</v>
      </c>
      <c r="J20" s="8">
        <f>IFERROR(__xludf.DUMMYFUNCTION("""COMPUTED_VALUE"""),0.49795584627964)</f>
        <v>0.4979558463</v>
      </c>
      <c r="K20" s="8">
        <f>IFERROR(__xludf.DUMMYFUNCTION("""COMPUTED_VALUE"""),0.488533988533988)</f>
        <v>0.4885339885</v>
      </c>
      <c r="L20" s="8">
        <f>IFERROR(__xludf.DUMMYFUNCTION("""COMPUTED_VALUE"""),0.459070341423282)</f>
        <v>0.4590703414</v>
      </c>
      <c r="M20" s="8">
        <f>IFERROR(__xludf.DUMMYFUNCTION("""COMPUTED_VALUE"""),0.437989287185826)</f>
        <v>0.4379892872</v>
      </c>
      <c r="N20" s="8">
        <f>IFERROR(__xludf.DUMMYFUNCTION("""COMPUTED_VALUE"""),0.43069921390153)</f>
        <v>0.4306992139</v>
      </c>
      <c r="O20" s="8">
        <f>IFERROR(__xludf.DUMMYFUNCTION("""COMPUTED_VALUE"""),0.385595081247255)</f>
        <v>0.3855950812</v>
      </c>
      <c r="P20" s="8">
        <f>IFERROR(__xludf.DUMMYFUNCTION("""COMPUTED_VALUE"""),0.280987654320987)</f>
        <v>0.2809876543</v>
      </c>
      <c r="Q20" s="8">
        <f>IFERROR(__xludf.DUMMYFUNCTION("""COMPUTED_VALUE"""),0.207740916271721)</f>
        <v>0.2077409163</v>
      </c>
      <c r="R20" s="8">
        <f>IFERROR(__xludf.DUMMYFUNCTION("""COMPUTED_VALUE"""),0.156118143459915)</f>
        <v>0.1561181435</v>
      </c>
      <c r="S20" s="8">
        <f>IFERROR(__xludf.DUMMYFUNCTION("""COMPUTED_VALUE"""),0.0625)</f>
        <v>0.0625</v>
      </c>
      <c r="T20" s="8">
        <f>IFERROR(__xludf.DUMMYFUNCTION("""COMPUTED_VALUE"""),0.0)</f>
        <v>0</v>
      </c>
      <c r="U20" s="8">
        <f>IFERROR(__xludf.DUMMYFUNCTION("""COMPUTED_VALUE"""),0.0)</f>
        <v>0</v>
      </c>
      <c r="V20" s="8">
        <f>IFERROR(__xludf.DUMMYFUNCTION("""COMPUTED_VALUE"""),0.0)</f>
        <v>0</v>
      </c>
      <c r="W20" s="8">
        <f>IFERROR(__xludf.DUMMYFUNCTION("""COMPUTED_VALUE"""),0.0)</f>
        <v>0</v>
      </c>
      <c r="X20" s="8">
        <f>IFERROR(__xludf.DUMMYFUNCTION("""COMPUTED_VALUE"""),0.0)</f>
        <v>0</v>
      </c>
      <c r="Y20" s="8">
        <f>IFERROR(__xludf.DUMMYFUNCTION("""COMPUTED_VALUE"""),0.0)</f>
        <v>0</v>
      </c>
      <c r="Z20" s="8">
        <f>IFERROR(__xludf.DUMMYFUNCTION("""COMPUTED_VALUE"""),0.0)</f>
        <v>0</v>
      </c>
      <c r="AA20" s="8">
        <f>IFERROR(__xludf.DUMMYFUNCTION("""COMPUTED_VALUE"""),0.0)</f>
        <v>0</v>
      </c>
      <c r="AB20" s="8">
        <f>IFERROR(__xludf.DUMMYFUNCTION("""COMPUTED_VALUE"""),0.0)</f>
        <v>0</v>
      </c>
      <c r="AC20" s="8">
        <f>IFERROR(__xludf.DUMMYFUNCTION("""COMPUTED_VALUE"""),0.0)</f>
        <v>0</v>
      </c>
    </row>
    <row r="21" ht="15.75" customHeight="1">
      <c r="A21" s="6" t="str">
        <f>IFERROR(__xludf.DUMMYFUNCTION("""COMPUTED_VALUE"""),"114fed9f0540f90ccc58d03a383c7c69260baeae")</f>
        <v>114fed9f0540f90ccc58d03a383c7c69260baeae</v>
      </c>
      <c r="B21" s="6" t="str">
        <f>IFERROR(__xludf.DUMMYFUNCTION("""COMPUTED_VALUE"""),"Mother's Murder &amp; Secrets")</f>
        <v>Mother's Murder &amp; Secrets</v>
      </c>
      <c r="C21" s="6" t="str">
        <f>IFERROR(__xludf.DUMMYFUNCTION("""COMPUTED_VALUE"""),"Suspense or Thriller")</f>
        <v>Suspense or Thriller</v>
      </c>
      <c r="D21" s="11">
        <f>IFERROR(__xludf.DUMMYFUNCTION("""COMPUTED_VALUE"""),1914.0)</f>
        <v>1914</v>
      </c>
      <c r="E21" s="8">
        <f>IFERROR(__xludf.DUMMYFUNCTION("""COMPUTED_VALUE"""),0.978056426332288)</f>
        <v>0.9780564263</v>
      </c>
      <c r="F21" s="8">
        <f>IFERROR(__xludf.DUMMYFUNCTION("""COMPUTED_VALUE"""),0.316091954022988)</f>
        <v>0.316091954</v>
      </c>
      <c r="G21" s="8">
        <f>IFERROR(__xludf.DUMMYFUNCTION("""COMPUTED_VALUE"""),0.255619445896497)</f>
        <v>0.2556194459</v>
      </c>
      <c r="H21" s="8">
        <f>IFERROR(__xludf.DUMMYFUNCTION("""COMPUTED_VALUE"""),0.211820083682008)</f>
        <v>0.2118200837</v>
      </c>
      <c r="I21" s="8">
        <f>IFERROR(__xludf.DUMMYFUNCTION("""COMPUTED_VALUE"""),0.186813186813186)</f>
        <v>0.1868131868</v>
      </c>
      <c r="J21" s="8">
        <f>IFERROR(__xludf.DUMMYFUNCTION("""COMPUTED_VALUE"""),0.167539267015706)</f>
        <v>0.167539267</v>
      </c>
      <c r="K21" s="8">
        <f>IFERROR(__xludf.DUMMYFUNCTION("""COMPUTED_VALUE"""),0.145702306079664)</f>
        <v>0.1457023061</v>
      </c>
      <c r="L21" s="8">
        <f>IFERROR(__xludf.DUMMYFUNCTION("""COMPUTED_VALUE"""),0.136864184583114)</f>
        <v>0.1368641846</v>
      </c>
      <c r="M21" s="8">
        <f>IFERROR(__xludf.DUMMYFUNCTION("""COMPUTED_VALUE"""),0.12532773990561)</f>
        <v>0.1253277399</v>
      </c>
      <c r="N21" s="8">
        <f>IFERROR(__xludf.DUMMYFUNCTION("""COMPUTED_VALUE"""),0.118572927597061)</f>
        <v>0.1185729276</v>
      </c>
      <c r="O21" s="8">
        <f>IFERROR(__xludf.DUMMYFUNCTION("""COMPUTED_VALUE"""),0.0896328293736501)</f>
        <v>0.08963282937</v>
      </c>
      <c r="P21" s="8">
        <f>IFERROR(__xludf.DUMMYFUNCTION("""COMPUTED_VALUE"""),0.0638888888888888)</f>
        <v>0.06388888889</v>
      </c>
      <c r="Q21" s="8">
        <f>IFERROR(__xludf.DUMMYFUNCTION("""COMPUTED_VALUE"""),0.0452744765138653)</f>
        <v>0.04527447651</v>
      </c>
      <c r="R21" s="8">
        <f>IFERROR(__xludf.DUMMYFUNCTION("""COMPUTED_VALUE"""),0.0323935212957408)</f>
        <v>0.0323935213</v>
      </c>
      <c r="S21" s="8">
        <f>IFERROR(__xludf.DUMMYFUNCTION("""COMPUTED_VALUE"""),0.0185067007019783)</f>
        <v>0.0185067007</v>
      </c>
      <c r="T21" s="8">
        <f>IFERROR(__xludf.DUMMYFUNCTION("""COMPUTED_VALUE"""),0.0119926199261992)</f>
        <v>0.01199261993</v>
      </c>
      <c r="U21" s="8">
        <f>IFERROR(__xludf.DUMMYFUNCTION("""COMPUTED_VALUE"""),0.0118110236220472)</f>
        <v>0.01181102362</v>
      </c>
      <c r="V21" s="8">
        <f>IFERROR(__xludf.DUMMYFUNCTION("""COMPUTED_VALUE"""),0.0307692307692307)</f>
        <v>0.03076923077</v>
      </c>
      <c r="W21" s="8">
        <f>IFERROR(__xludf.DUMMYFUNCTION("""COMPUTED_VALUE"""),0.0)</f>
        <v>0</v>
      </c>
      <c r="X21" s="8">
        <f>IFERROR(__xludf.DUMMYFUNCTION("""COMPUTED_VALUE"""),0.0)</f>
        <v>0</v>
      </c>
      <c r="Y21" s="8">
        <f>IFERROR(__xludf.DUMMYFUNCTION("""COMPUTED_VALUE"""),0.0)</f>
        <v>0</v>
      </c>
      <c r="Z21" s="8">
        <f>IFERROR(__xludf.DUMMYFUNCTION("""COMPUTED_VALUE"""),0.0)</f>
        <v>0</v>
      </c>
      <c r="AA21" s="8">
        <f>IFERROR(__xludf.DUMMYFUNCTION("""COMPUTED_VALUE"""),0.0)</f>
        <v>0</v>
      </c>
      <c r="AB21" s="8">
        <f>IFERROR(__xludf.DUMMYFUNCTION("""COMPUTED_VALUE"""),0.0)</f>
        <v>0</v>
      </c>
      <c r="AC21" s="8">
        <f>IFERROR(__xludf.DUMMYFUNCTION("""COMPUTED_VALUE"""),0.0)</f>
        <v>0</v>
      </c>
    </row>
    <row r="22" ht="15.75" customHeight="1">
      <c r="A22" s="6" t="str">
        <f>IFERROR(__xludf.DUMMYFUNCTION("""COMPUTED_VALUE"""),"123964565c4c79c7f1a3737171a0125020300913")</f>
        <v>123964565c4c79c7f1a3737171a0125020300913</v>
      </c>
      <c r="B22" s="6" t="str">
        <f>IFERROR(__xludf.DUMMYFUNCTION("""COMPUTED_VALUE"""),"My Alien Boxing System")</f>
        <v>My Alien Boxing System</v>
      </c>
      <c r="C22" s="6" t="str">
        <f>IFERROR(__xludf.DUMMYFUNCTION("""COMPUTED_VALUE"""),"Fantasy")</f>
        <v>Fantasy</v>
      </c>
      <c r="D22" s="11">
        <f>IFERROR(__xludf.DUMMYFUNCTION("""COMPUTED_VALUE"""),1151.0)</f>
        <v>1151</v>
      </c>
      <c r="E22" s="8">
        <f>IFERROR(__xludf.DUMMYFUNCTION("""COMPUTED_VALUE"""),0.981723237597911)</f>
        <v>0.9817232376</v>
      </c>
      <c r="F22" s="8">
        <f>IFERROR(__xludf.DUMMYFUNCTION("""COMPUTED_VALUE"""),0.560698689956331)</f>
        <v>0.56069869</v>
      </c>
      <c r="G22" s="8">
        <f>IFERROR(__xludf.DUMMYFUNCTION("""COMPUTED_VALUE"""),0.523601398601398)</f>
        <v>0.5236013986</v>
      </c>
      <c r="H22" s="8">
        <f>IFERROR(__xludf.DUMMYFUNCTION("""COMPUTED_VALUE"""),0.462751971954425)</f>
        <v>0.462751972</v>
      </c>
      <c r="I22" s="8">
        <f>IFERROR(__xludf.DUMMYFUNCTION("""COMPUTED_VALUE"""),0.42530755711775)</f>
        <v>0.4253075571</v>
      </c>
      <c r="J22" s="8">
        <f>IFERROR(__xludf.DUMMYFUNCTION("""COMPUTED_VALUE"""),0.368374558303886)</f>
        <v>0.3683745583</v>
      </c>
      <c r="K22" s="8">
        <f>IFERROR(__xludf.DUMMYFUNCTION("""COMPUTED_VALUE"""),0.326241134751773)</f>
        <v>0.3262411348</v>
      </c>
      <c r="L22" s="8">
        <f>IFERROR(__xludf.DUMMYFUNCTION("""COMPUTED_VALUE"""),0.323843416370106)</f>
        <v>0.3238434164</v>
      </c>
      <c r="M22" s="8">
        <f>IFERROR(__xludf.DUMMYFUNCTION("""COMPUTED_VALUE"""),0.301161751563896)</f>
        <v>0.3011617516</v>
      </c>
      <c r="N22" s="8">
        <f>IFERROR(__xludf.DUMMYFUNCTION("""COMPUTED_VALUE"""),0.263440860215053)</f>
        <v>0.2634408602</v>
      </c>
      <c r="O22" s="8">
        <f>IFERROR(__xludf.DUMMYFUNCTION("""COMPUTED_VALUE"""),0.212979890310786)</f>
        <v>0.2129798903</v>
      </c>
      <c r="P22" s="8">
        <f>IFERROR(__xludf.DUMMYFUNCTION("""COMPUTED_VALUE"""),0.148886283704572)</f>
        <v>0.1488862837</v>
      </c>
      <c r="Q22" s="8">
        <f>IFERROR(__xludf.DUMMYFUNCTION("""COMPUTED_VALUE"""),0.0682926829268292)</f>
        <v>0.06829268293</v>
      </c>
      <c r="R22" s="8">
        <f>IFERROR(__xludf.DUMMYFUNCTION("""COMPUTED_VALUE"""),0.0)</f>
        <v>0</v>
      </c>
      <c r="S22" s="8">
        <f>IFERROR(__xludf.DUMMYFUNCTION("""COMPUTED_VALUE"""),0.0)</f>
        <v>0</v>
      </c>
      <c r="T22" s="8">
        <f>IFERROR(__xludf.DUMMYFUNCTION("""COMPUTED_VALUE"""),0.0)</f>
        <v>0</v>
      </c>
      <c r="U22" s="8">
        <f>IFERROR(__xludf.DUMMYFUNCTION("""COMPUTED_VALUE"""),0.0)</f>
        <v>0</v>
      </c>
      <c r="V22" s="8">
        <f>IFERROR(__xludf.DUMMYFUNCTION("""COMPUTED_VALUE"""),0.0)</f>
        <v>0</v>
      </c>
      <c r="W22" s="8">
        <f>IFERROR(__xludf.DUMMYFUNCTION("""COMPUTED_VALUE"""),0.0)</f>
        <v>0</v>
      </c>
      <c r="X22" s="8">
        <f>IFERROR(__xludf.DUMMYFUNCTION("""COMPUTED_VALUE"""),0.0)</f>
        <v>0</v>
      </c>
      <c r="Y22" s="8">
        <f>IFERROR(__xludf.DUMMYFUNCTION("""COMPUTED_VALUE"""),0.0)</f>
        <v>0</v>
      </c>
      <c r="Z22" s="8">
        <f>IFERROR(__xludf.DUMMYFUNCTION("""COMPUTED_VALUE"""),0.0)</f>
        <v>0</v>
      </c>
      <c r="AA22" s="8">
        <f>IFERROR(__xludf.DUMMYFUNCTION("""COMPUTED_VALUE"""),0.0)</f>
        <v>0</v>
      </c>
      <c r="AB22" s="8">
        <f>IFERROR(__xludf.DUMMYFUNCTION("""COMPUTED_VALUE"""),0.0)</f>
        <v>0</v>
      </c>
      <c r="AC22" s="8">
        <f>IFERROR(__xludf.DUMMYFUNCTION("""COMPUTED_VALUE"""),0.0)</f>
        <v>0</v>
      </c>
    </row>
    <row r="23" ht="15.75" customHeight="1">
      <c r="A23" s="6" t="str">
        <f>IFERROR(__xludf.DUMMYFUNCTION("""COMPUTED_VALUE"""),"158669d764d53a995f111683b8700642d7c4847c")</f>
        <v>158669d764d53a995f111683b8700642d7c4847c</v>
      </c>
      <c r="B23" s="6" t="str">
        <f>IFERROR(__xludf.DUMMYFUNCTION("""COMPUTED_VALUE"""),"The Silent Wife Strikes")</f>
        <v>The Silent Wife Strikes</v>
      </c>
      <c r="C23" s="6" t="str">
        <f>IFERROR(__xludf.DUMMYFUNCTION("""COMPUTED_VALUE"""),"Romance")</f>
        <v>Romance</v>
      </c>
      <c r="D23" s="11">
        <f>IFERROR(__xludf.DUMMYFUNCTION("""COMPUTED_VALUE"""),1997.0)</f>
        <v>1997</v>
      </c>
      <c r="E23" s="8">
        <f>IFERROR(__xludf.DUMMYFUNCTION("""COMPUTED_VALUE"""),0.958437656484727)</f>
        <v>0.9584376565</v>
      </c>
      <c r="F23" s="8">
        <f>IFERROR(__xludf.DUMMYFUNCTION("""COMPUTED_VALUE"""),0.5828743114672)</f>
        <v>0.5828743115</v>
      </c>
      <c r="G23" s="8">
        <f>IFERROR(__xludf.DUMMYFUNCTION("""COMPUTED_VALUE"""),0.523046092184368)</f>
        <v>0.5230460922</v>
      </c>
      <c r="H23" s="8">
        <f>IFERROR(__xludf.DUMMYFUNCTION("""COMPUTED_VALUE"""),0.452858575727181)</f>
        <v>0.4528585757</v>
      </c>
      <c r="I23" s="8">
        <f>IFERROR(__xludf.DUMMYFUNCTION("""COMPUTED_VALUE"""),0.418756268806419)</f>
        <v>0.4187562688</v>
      </c>
      <c r="J23" s="8">
        <f>IFERROR(__xludf.DUMMYFUNCTION("""COMPUTED_VALUE"""),0.388164493480441)</f>
        <v>0.3881644935</v>
      </c>
      <c r="K23" s="8">
        <f>IFERROR(__xludf.DUMMYFUNCTION("""COMPUTED_VALUE"""),0.367787255393878)</f>
        <v>0.3677872554</v>
      </c>
      <c r="L23" s="8">
        <f>IFERROR(__xludf.DUMMYFUNCTION("""COMPUTED_VALUE"""),0.325966850828729)</f>
        <v>0.3259668508</v>
      </c>
      <c r="M23" s="8">
        <f>IFERROR(__xludf.DUMMYFUNCTION("""COMPUTED_VALUE"""),0.321608040201005)</f>
        <v>0.3216080402</v>
      </c>
      <c r="N23" s="8">
        <f>IFERROR(__xludf.DUMMYFUNCTION("""COMPUTED_VALUE"""),0.291603821015585)</f>
        <v>0.291603821</v>
      </c>
      <c r="O23" s="8">
        <f>IFERROR(__xludf.DUMMYFUNCTION("""COMPUTED_VALUE"""),0.242550655542312)</f>
        <v>0.2425506555</v>
      </c>
      <c r="P23" s="8">
        <f>IFERROR(__xludf.DUMMYFUNCTION("""COMPUTED_VALUE"""),0.165769000598444)</f>
        <v>0.1657690006</v>
      </c>
      <c r="Q23" s="8">
        <f>IFERROR(__xludf.DUMMYFUNCTION("""COMPUTED_VALUE"""),0.129740518962075)</f>
        <v>0.129740519</v>
      </c>
      <c r="R23" s="8">
        <f>IFERROR(__xludf.DUMMYFUNCTION("""COMPUTED_VALUE"""),0.0325655281969817)</f>
        <v>0.0325655282</v>
      </c>
      <c r="S23" s="8">
        <f>IFERROR(__xludf.DUMMYFUNCTION("""COMPUTED_VALUE"""),0.0)</f>
        <v>0</v>
      </c>
      <c r="T23" s="8">
        <f>IFERROR(__xludf.DUMMYFUNCTION("""COMPUTED_VALUE"""),0.0)</f>
        <v>0</v>
      </c>
      <c r="U23" s="8">
        <f>IFERROR(__xludf.DUMMYFUNCTION("""COMPUTED_VALUE"""),0.0)</f>
        <v>0</v>
      </c>
      <c r="V23" s="8">
        <f>IFERROR(__xludf.DUMMYFUNCTION("""COMPUTED_VALUE"""),0.0)</f>
        <v>0</v>
      </c>
      <c r="W23" s="8">
        <f>IFERROR(__xludf.DUMMYFUNCTION("""COMPUTED_VALUE"""),0.0)</f>
        <v>0</v>
      </c>
      <c r="X23" s="8">
        <f>IFERROR(__xludf.DUMMYFUNCTION("""COMPUTED_VALUE"""),0.0)</f>
        <v>0</v>
      </c>
      <c r="Y23" s="8">
        <f>IFERROR(__xludf.DUMMYFUNCTION("""COMPUTED_VALUE"""),0.0)</f>
        <v>0</v>
      </c>
      <c r="Z23" s="8">
        <f>IFERROR(__xludf.DUMMYFUNCTION("""COMPUTED_VALUE"""),0.0)</f>
        <v>0</v>
      </c>
      <c r="AA23" s="8">
        <f>IFERROR(__xludf.DUMMYFUNCTION("""COMPUTED_VALUE"""),0.0)</f>
        <v>0</v>
      </c>
      <c r="AB23" s="8">
        <f>IFERROR(__xludf.DUMMYFUNCTION("""COMPUTED_VALUE"""),0.0)</f>
        <v>0</v>
      </c>
      <c r="AC23" s="8">
        <f>IFERROR(__xludf.DUMMYFUNCTION("""COMPUTED_VALUE"""),0.0)</f>
        <v>0</v>
      </c>
    </row>
    <row r="24" ht="15.75" customHeight="1">
      <c r="A24" s="6" t="str">
        <f>IFERROR(__xludf.DUMMYFUNCTION("""COMPUTED_VALUE"""),"170bf0ee514e18fe892383ebee0f53a0f634136f")</f>
        <v>170bf0ee514e18fe892383ebee0f53a0f634136f</v>
      </c>
      <c r="B24" s="6" t="str">
        <f>IFERROR(__xludf.DUMMYFUNCTION("""COMPUTED_VALUE"""),"Started From the Bottom")</f>
        <v>Started From the Bottom</v>
      </c>
      <c r="C24" s="6" t="str">
        <f>IFERROR(__xludf.DUMMYFUNCTION("""COMPUTED_VALUE"""),"Drama")</f>
        <v>Drama</v>
      </c>
      <c r="D24" s="11">
        <f>IFERROR(__xludf.DUMMYFUNCTION("""COMPUTED_VALUE"""),44.0)</f>
        <v>44</v>
      </c>
      <c r="E24" s="8">
        <f>IFERROR(__xludf.DUMMYFUNCTION("""COMPUTED_VALUE"""),0.926829268292683)</f>
        <v>0.9268292683</v>
      </c>
      <c r="F24" s="8">
        <f>IFERROR(__xludf.DUMMYFUNCTION("""COMPUTED_VALUE"""),0.05)</f>
        <v>0.05</v>
      </c>
      <c r="G24" s="8">
        <f>IFERROR(__xludf.DUMMYFUNCTION("""COMPUTED_VALUE"""),0.05)</f>
        <v>0.05</v>
      </c>
      <c r="H24" s="8">
        <f>IFERROR(__xludf.DUMMYFUNCTION("""COMPUTED_VALUE"""),0.05)</f>
        <v>0.05</v>
      </c>
      <c r="I24" s="8">
        <f>IFERROR(__xludf.DUMMYFUNCTION("""COMPUTED_VALUE"""),0.027027027027027)</f>
        <v>0.02702702703</v>
      </c>
      <c r="J24" s="8">
        <f>IFERROR(__xludf.DUMMYFUNCTION("""COMPUTED_VALUE"""),0.138888888888888)</f>
        <v>0.1388888889</v>
      </c>
      <c r="K24" s="8">
        <f>IFERROR(__xludf.DUMMYFUNCTION("""COMPUTED_VALUE"""),0.0833333333333333)</f>
        <v>0.08333333333</v>
      </c>
      <c r="L24" s="8">
        <f>IFERROR(__xludf.DUMMYFUNCTION("""COMPUTED_VALUE"""),0.0571428571428571)</f>
        <v>0.05714285714</v>
      </c>
      <c r="M24" s="8">
        <f>IFERROR(__xludf.DUMMYFUNCTION("""COMPUTED_VALUE"""),0.0588235294117647)</f>
        <v>0.05882352941</v>
      </c>
      <c r="N24" s="8">
        <f>IFERROR(__xludf.DUMMYFUNCTION("""COMPUTED_VALUE"""),0.088235294117647)</f>
        <v>0.08823529412</v>
      </c>
      <c r="O24" s="8">
        <f>IFERROR(__xludf.DUMMYFUNCTION("""COMPUTED_VALUE"""),0.0333333333333333)</f>
        <v>0.03333333333</v>
      </c>
      <c r="P24" s="8">
        <f>IFERROR(__xludf.DUMMYFUNCTION("""COMPUTED_VALUE"""),0.037037037037037)</f>
        <v>0.03703703704</v>
      </c>
      <c r="Q24" s="8">
        <f>IFERROR(__xludf.DUMMYFUNCTION("""COMPUTED_VALUE"""),0.0666666666666666)</f>
        <v>0.06666666667</v>
      </c>
      <c r="R24" s="8">
        <f>IFERROR(__xludf.DUMMYFUNCTION("""COMPUTED_VALUE"""),0.1)</f>
        <v>0.1</v>
      </c>
      <c r="S24" s="8">
        <f>IFERROR(__xludf.DUMMYFUNCTION("""COMPUTED_VALUE"""),0.0)</f>
        <v>0</v>
      </c>
      <c r="T24" s="8">
        <f>IFERROR(__xludf.DUMMYFUNCTION("""COMPUTED_VALUE"""),0.0)</f>
        <v>0</v>
      </c>
      <c r="U24" s="8">
        <f>IFERROR(__xludf.DUMMYFUNCTION("""COMPUTED_VALUE"""),0.0)</f>
        <v>0</v>
      </c>
      <c r="V24" s="8">
        <f>IFERROR(__xludf.DUMMYFUNCTION("""COMPUTED_VALUE"""),0.0)</f>
        <v>0</v>
      </c>
      <c r="W24" s="8">
        <f>IFERROR(__xludf.DUMMYFUNCTION("""COMPUTED_VALUE"""),0.0)</f>
        <v>0</v>
      </c>
      <c r="X24" s="8">
        <f>IFERROR(__xludf.DUMMYFUNCTION("""COMPUTED_VALUE"""),0.0)</f>
        <v>0</v>
      </c>
      <c r="Y24" s="8">
        <f>IFERROR(__xludf.DUMMYFUNCTION("""COMPUTED_VALUE"""),0.0)</f>
        <v>0</v>
      </c>
      <c r="Z24" s="8">
        <f>IFERROR(__xludf.DUMMYFUNCTION("""COMPUTED_VALUE"""),0.0)</f>
        <v>0</v>
      </c>
      <c r="AA24" s="8">
        <f>IFERROR(__xludf.DUMMYFUNCTION("""COMPUTED_VALUE"""),0.0)</f>
        <v>0</v>
      </c>
      <c r="AB24" s="8">
        <f>IFERROR(__xludf.DUMMYFUNCTION("""COMPUTED_VALUE"""),0.0)</f>
        <v>0</v>
      </c>
      <c r="AC24" s="8">
        <f>IFERROR(__xludf.DUMMYFUNCTION("""COMPUTED_VALUE"""),0.0)</f>
        <v>0</v>
      </c>
    </row>
    <row r="25" ht="15.75" customHeight="1">
      <c r="A25" s="6" t="str">
        <f>IFERROR(__xludf.DUMMYFUNCTION("""COMPUTED_VALUE"""),"184b660f61809850b4478d5bf89e9d10794578ee")</f>
        <v>184b660f61809850b4478d5bf89e9d10794578ee</v>
      </c>
      <c r="B25" s="6" t="str">
        <f>IFERROR(__xludf.DUMMYFUNCTION("""COMPUTED_VALUE"""),"Playing with Fire")</f>
        <v>Playing with Fire</v>
      </c>
      <c r="C25" s="6" t="str">
        <f>IFERROR(__xludf.DUMMYFUNCTION("""COMPUTED_VALUE"""),"Romance")</f>
        <v>Romance</v>
      </c>
      <c r="D25" s="11">
        <f>IFERROR(__xludf.DUMMYFUNCTION("""COMPUTED_VALUE"""),180.0)</f>
        <v>180</v>
      </c>
      <c r="E25" s="8">
        <f>IFERROR(__xludf.DUMMYFUNCTION("""COMPUTED_VALUE"""),0.88268156424581)</f>
        <v>0.8826815642</v>
      </c>
      <c r="F25" s="8">
        <f>IFERROR(__xludf.DUMMYFUNCTION("""COMPUTED_VALUE"""),0.340782122905027)</f>
        <v>0.3407821229</v>
      </c>
      <c r="G25" s="8">
        <f>IFERROR(__xludf.DUMMYFUNCTION("""COMPUTED_VALUE"""),0.301675977653631)</f>
        <v>0.3016759777</v>
      </c>
      <c r="H25" s="8">
        <f>IFERROR(__xludf.DUMMYFUNCTION("""COMPUTED_VALUE"""),0.262569832402234)</f>
        <v>0.2625698324</v>
      </c>
      <c r="I25" s="8">
        <f>IFERROR(__xludf.DUMMYFUNCTION("""COMPUTED_VALUE"""),0.24022346368715)</f>
        <v>0.2402234637</v>
      </c>
      <c r="J25" s="8">
        <f>IFERROR(__xludf.DUMMYFUNCTION("""COMPUTED_VALUE"""),0.217877094972067)</f>
        <v>0.217877095</v>
      </c>
      <c r="K25" s="8">
        <f>IFERROR(__xludf.DUMMYFUNCTION("""COMPUTED_VALUE"""),0.223463687150837)</f>
        <v>0.2234636872</v>
      </c>
      <c r="L25" s="8">
        <f>IFERROR(__xludf.DUMMYFUNCTION("""COMPUTED_VALUE"""),0.192090395480226)</f>
        <v>0.1920903955</v>
      </c>
      <c r="M25" s="8">
        <f>IFERROR(__xludf.DUMMYFUNCTION("""COMPUTED_VALUE"""),0.19774011299435)</f>
        <v>0.197740113</v>
      </c>
      <c r="N25" s="8">
        <f>IFERROR(__xludf.DUMMYFUNCTION("""COMPUTED_VALUE"""),0.192090395480226)</f>
        <v>0.1920903955</v>
      </c>
      <c r="O25" s="8">
        <f>IFERROR(__xludf.DUMMYFUNCTION("""COMPUTED_VALUE"""),0.193181818181818)</f>
        <v>0.1931818182</v>
      </c>
      <c r="P25" s="8">
        <f>IFERROR(__xludf.DUMMYFUNCTION("""COMPUTED_VALUE"""),0.119318181818181)</f>
        <v>0.1193181818</v>
      </c>
      <c r="Q25" s="8">
        <f>IFERROR(__xludf.DUMMYFUNCTION("""COMPUTED_VALUE"""),0.0185185185185185)</f>
        <v>0.01851851852</v>
      </c>
      <c r="R25" s="8">
        <f>IFERROR(__xludf.DUMMYFUNCTION("""COMPUTED_VALUE"""),0.0)</f>
        <v>0</v>
      </c>
      <c r="S25" s="8">
        <f>IFERROR(__xludf.DUMMYFUNCTION("""COMPUTED_VALUE"""),0.0)</f>
        <v>0</v>
      </c>
      <c r="T25" s="8">
        <f>IFERROR(__xludf.DUMMYFUNCTION("""COMPUTED_VALUE"""),0.0)</f>
        <v>0</v>
      </c>
      <c r="U25" s="8">
        <f>IFERROR(__xludf.DUMMYFUNCTION("""COMPUTED_VALUE"""),0.0)</f>
        <v>0</v>
      </c>
      <c r="V25" s="8">
        <f>IFERROR(__xludf.DUMMYFUNCTION("""COMPUTED_VALUE"""),0.0)</f>
        <v>0</v>
      </c>
      <c r="W25" s="8">
        <f>IFERROR(__xludf.DUMMYFUNCTION("""COMPUTED_VALUE"""),0.0)</f>
        <v>0</v>
      </c>
      <c r="X25" s="8">
        <f>IFERROR(__xludf.DUMMYFUNCTION("""COMPUTED_VALUE"""),0.0)</f>
        <v>0</v>
      </c>
      <c r="Y25" s="8">
        <f>IFERROR(__xludf.DUMMYFUNCTION("""COMPUTED_VALUE"""),0.0)</f>
        <v>0</v>
      </c>
      <c r="Z25" s="8">
        <f>IFERROR(__xludf.DUMMYFUNCTION("""COMPUTED_VALUE"""),0.0)</f>
        <v>0</v>
      </c>
      <c r="AA25" s="8">
        <f>IFERROR(__xludf.DUMMYFUNCTION("""COMPUTED_VALUE"""),0.0)</f>
        <v>0</v>
      </c>
      <c r="AB25" s="8">
        <f>IFERROR(__xludf.DUMMYFUNCTION("""COMPUTED_VALUE"""),0.0)</f>
        <v>0</v>
      </c>
      <c r="AC25" s="8">
        <f>IFERROR(__xludf.DUMMYFUNCTION("""COMPUTED_VALUE"""),0.0)</f>
        <v>0</v>
      </c>
    </row>
    <row r="26" ht="15.75" customHeight="1">
      <c r="A26" s="6" t="str">
        <f>IFERROR(__xludf.DUMMYFUNCTION("""COMPUTED_VALUE"""),"19153cd9dd2e137f1311235c9104db0ecba38abb")</f>
        <v>19153cd9dd2e137f1311235c9104db0ecba38abb</v>
      </c>
      <c r="B26" s="6" t="str">
        <f>IFERROR(__xludf.DUMMYFUNCTION("""COMPUTED_VALUE"""),"My Apex Trading System")</f>
        <v>My Apex Trading System</v>
      </c>
      <c r="C26" s="6" t="str">
        <f>IFERROR(__xludf.DUMMYFUNCTION("""COMPUTED_VALUE"""),"Sci-Fi")</f>
        <v>Sci-Fi</v>
      </c>
      <c r="D26" s="11">
        <f>IFERROR(__xludf.DUMMYFUNCTION("""COMPUTED_VALUE"""),1036.0)</f>
        <v>1036</v>
      </c>
      <c r="E26" s="8">
        <f>IFERROR(__xludf.DUMMYFUNCTION("""COMPUTED_VALUE"""),0.975840336134453)</f>
        <v>0.9758403361</v>
      </c>
      <c r="F26" s="8">
        <f>IFERROR(__xludf.DUMMYFUNCTION("""COMPUTED_VALUE"""),0.576372315035799)</f>
        <v>0.576372315</v>
      </c>
      <c r="G26" s="8">
        <f>IFERROR(__xludf.DUMMYFUNCTION("""COMPUTED_VALUE"""),0.485221674876847)</f>
        <v>0.4852216749</v>
      </c>
      <c r="H26" s="8">
        <f>IFERROR(__xludf.DUMMYFUNCTION("""COMPUTED_VALUE"""),0.460597826086956)</f>
        <v>0.4605978261</v>
      </c>
      <c r="I26" s="8">
        <f>IFERROR(__xludf.DUMMYFUNCTION("""COMPUTED_VALUE"""),0.434472934472934)</f>
        <v>0.4344729345</v>
      </c>
      <c r="J26" s="8">
        <f>IFERROR(__xludf.DUMMYFUNCTION("""COMPUTED_VALUE"""),0.423780487804878)</f>
        <v>0.4237804878</v>
      </c>
      <c r="K26" s="8">
        <f>IFERROR(__xludf.DUMMYFUNCTION("""COMPUTED_VALUE"""),0.404220779220779)</f>
        <v>0.4042207792</v>
      </c>
      <c r="L26" s="8">
        <f>IFERROR(__xludf.DUMMYFUNCTION("""COMPUTED_VALUE"""),0.401941747572815)</f>
        <v>0.4019417476</v>
      </c>
      <c r="M26" s="8">
        <f>IFERROR(__xludf.DUMMYFUNCTION("""COMPUTED_VALUE"""),0.345898004434589)</f>
        <v>0.3458980044</v>
      </c>
      <c r="N26" s="8">
        <f>IFERROR(__xludf.DUMMYFUNCTION("""COMPUTED_VALUE"""),0.327731092436974)</f>
        <v>0.3277310924</v>
      </c>
      <c r="O26" s="8">
        <f>IFERROR(__xludf.DUMMYFUNCTION("""COMPUTED_VALUE"""),0.246575342465753)</f>
        <v>0.2465753425</v>
      </c>
      <c r="P26" s="8">
        <f>IFERROR(__xludf.DUMMYFUNCTION("""COMPUTED_VALUE"""),0.111111111111111)</f>
        <v>0.1111111111</v>
      </c>
      <c r="Q26" s="8">
        <f>IFERROR(__xludf.DUMMYFUNCTION("""COMPUTED_VALUE"""),0.0)</f>
        <v>0</v>
      </c>
      <c r="R26" s="8">
        <f>IFERROR(__xludf.DUMMYFUNCTION("""COMPUTED_VALUE"""),0.0)</f>
        <v>0</v>
      </c>
      <c r="S26" s="8">
        <f>IFERROR(__xludf.DUMMYFUNCTION("""COMPUTED_VALUE"""),0.0)</f>
        <v>0</v>
      </c>
      <c r="T26" s="8">
        <f>IFERROR(__xludf.DUMMYFUNCTION("""COMPUTED_VALUE"""),0.0)</f>
        <v>0</v>
      </c>
      <c r="U26" s="8">
        <f>IFERROR(__xludf.DUMMYFUNCTION("""COMPUTED_VALUE"""),0.0)</f>
        <v>0</v>
      </c>
      <c r="V26" s="8">
        <f>IFERROR(__xludf.DUMMYFUNCTION("""COMPUTED_VALUE"""),0.0)</f>
        <v>0</v>
      </c>
      <c r="W26" s="8">
        <f>IFERROR(__xludf.DUMMYFUNCTION("""COMPUTED_VALUE"""),0.0)</f>
        <v>0</v>
      </c>
      <c r="X26" s="8">
        <f>IFERROR(__xludf.DUMMYFUNCTION("""COMPUTED_VALUE"""),0.0)</f>
        <v>0</v>
      </c>
      <c r="Y26" s="8">
        <f>IFERROR(__xludf.DUMMYFUNCTION("""COMPUTED_VALUE"""),0.0)</f>
        <v>0</v>
      </c>
      <c r="Z26" s="8">
        <f>IFERROR(__xludf.DUMMYFUNCTION("""COMPUTED_VALUE"""),0.0)</f>
        <v>0</v>
      </c>
      <c r="AA26" s="8">
        <f>IFERROR(__xludf.DUMMYFUNCTION("""COMPUTED_VALUE"""),0.0)</f>
        <v>0</v>
      </c>
      <c r="AB26" s="8">
        <f>IFERROR(__xludf.DUMMYFUNCTION("""COMPUTED_VALUE"""),0.0)</f>
        <v>0</v>
      </c>
      <c r="AC26" s="8">
        <f>IFERROR(__xludf.DUMMYFUNCTION("""COMPUTED_VALUE"""),0.0)</f>
        <v>0</v>
      </c>
    </row>
    <row r="27" ht="15.75" customHeight="1">
      <c r="A27" s="6" t="str">
        <f>IFERROR(__xludf.DUMMYFUNCTION("""COMPUTED_VALUE"""),"1a5df306886a7b0e7736ec2c8efad3467507a1c6")</f>
        <v>1a5df306886a7b0e7736ec2c8efad3467507a1c6</v>
      </c>
      <c r="B27" s="6" t="str">
        <f>IFERROR(__xludf.DUMMYFUNCTION("""COMPUTED_VALUE"""),"Billionaire Bentley’s Runaway Princess")</f>
        <v>Billionaire Bentley’s Runaway Princess</v>
      </c>
      <c r="C27" s="6" t="str">
        <f>IFERROR(__xludf.DUMMYFUNCTION("""COMPUTED_VALUE"""),"Romance")</f>
        <v>Romance</v>
      </c>
      <c r="D27" s="11">
        <f>IFERROR(__xludf.DUMMYFUNCTION("""COMPUTED_VALUE"""),8224.0)</f>
        <v>8224</v>
      </c>
      <c r="E27" s="8">
        <f>IFERROR(__xludf.DUMMYFUNCTION("""COMPUTED_VALUE"""),0.934087316064696)</f>
        <v>0.9340873161</v>
      </c>
      <c r="F27" s="8">
        <f>IFERROR(__xludf.DUMMYFUNCTION("""COMPUTED_VALUE"""),0.480904889321333)</f>
        <v>0.4809048893</v>
      </c>
      <c r="G27" s="8">
        <f>IFERROR(__xludf.DUMMYFUNCTION("""COMPUTED_VALUE"""),0.428606178545366)</f>
        <v>0.4286061785</v>
      </c>
      <c r="H27" s="8">
        <f>IFERROR(__xludf.DUMMYFUNCTION("""COMPUTED_VALUE"""),0.40197152245345)</f>
        <v>0.4019715225</v>
      </c>
      <c r="I27" s="8">
        <f>IFERROR(__xludf.DUMMYFUNCTION("""COMPUTED_VALUE"""),0.384484228473998)</f>
        <v>0.3844842285</v>
      </c>
      <c r="J27" s="8">
        <f>IFERROR(__xludf.DUMMYFUNCTION("""COMPUTED_VALUE"""),0.361276958693798)</f>
        <v>0.3612769587</v>
      </c>
      <c r="K27" s="8">
        <f>IFERROR(__xludf.DUMMYFUNCTION("""COMPUTED_VALUE"""),0.34616790544657)</f>
        <v>0.3461679054</v>
      </c>
      <c r="L27" s="8">
        <f>IFERROR(__xludf.DUMMYFUNCTION("""COMPUTED_VALUE"""),0.331707911739607)</f>
        <v>0.3317079117</v>
      </c>
      <c r="M27" s="8">
        <f>IFERROR(__xludf.DUMMYFUNCTION("""COMPUTED_VALUE"""),0.308405514212516)</f>
        <v>0.3084055142</v>
      </c>
      <c r="N27" s="8">
        <f>IFERROR(__xludf.DUMMYFUNCTION("""COMPUTED_VALUE"""),0.313095528951869)</f>
        <v>0.313095529</v>
      </c>
      <c r="O27" s="8">
        <f>IFERROR(__xludf.DUMMYFUNCTION("""COMPUTED_VALUE"""),0.245828144458281)</f>
        <v>0.2458281445</v>
      </c>
      <c r="P27" s="8">
        <f>IFERROR(__xludf.DUMMYFUNCTION("""COMPUTED_VALUE"""),0.208405373054927)</f>
        <v>0.2084053731</v>
      </c>
      <c r="Q27" s="8">
        <f>IFERROR(__xludf.DUMMYFUNCTION("""COMPUTED_VALUE"""),0.179439001476311)</f>
        <v>0.1794390015</v>
      </c>
      <c r="R27" s="8">
        <f>IFERROR(__xludf.DUMMYFUNCTION("""COMPUTED_VALUE"""),0.0)</f>
        <v>0</v>
      </c>
      <c r="S27" s="8">
        <f>IFERROR(__xludf.DUMMYFUNCTION("""COMPUTED_VALUE"""),0.0)</f>
        <v>0</v>
      </c>
      <c r="T27" s="8">
        <f>IFERROR(__xludf.DUMMYFUNCTION("""COMPUTED_VALUE"""),0.0)</f>
        <v>0</v>
      </c>
      <c r="U27" s="8">
        <f>IFERROR(__xludf.DUMMYFUNCTION("""COMPUTED_VALUE"""),0.0)</f>
        <v>0</v>
      </c>
      <c r="V27" s="8">
        <f>IFERROR(__xludf.DUMMYFUNCTION("""COMPUTED_VALUE"""),0.0)</f>
        <v>0</v>
      </c>
      <c r="W27" s="8">
        <f>IFERROR(__xludf.DUMMYFUNCTION("""COMPUTED_VALUE"""),0.0)</f>
        <v>0</v>
      </c>
      <c r="X27" s="8">
        <f>IFERROR(__xludf.DUMMYFUNCTION("""COMPUTED_VALUE"""),0.0)</f>
        <v>0</v>
      </c>
      <c r="Y27" s="8">
        <f>IFERROR(__xludf.DUMMYFUNCTION("""COMPUTED_VALUE"""),0.0)</f>
        <v>0</v>
      </c>
      <c r="Z27" s="8">
        <f>IFERROR(__xludf.DUMMYFUNCTION("""COMPUTED_VALUE"""),0.0)</f>
        <v>0</v>
      </c>
      <c r="AA27" s="8">
        <f>IFERROR(__xludf.DUMMYFUNCTION("""COMPUTED_VALUE"""),0.0)</f>
        <v>0</v>
      </c>
      <c r="AB27" s="8">
        <f>IFERROR(__xludf.DUMMYFUNCTION("""COMPUTED_VALUE"""),0.0)</f>
        <v>0</v>
      </c>
      <c r="AC27" s="8">
        <f>IFERROR(__xludf.DUMMYFUNCTION("""COMPUTED_VALUE"""),0.0)</f>
        <v>0</v>
      </c>
    </row>
    <row r="28" ht="15.75" customHeight="1">
      <c r="A28" s="6" t="str">
        <f>IFERROR(__xludf.DUMMYFUNCTION("""COMPUTED_VALUE"""),"1b5acb214bfe00156d933b176eef6987dcf9aa8c")</f>
        <v>1b5acb214bfe00156d933b176eef6987dcf9aa8c</v>
      </c>
      <c r="B28" s="6" t="str">
        <f>IFERROR(__xludf.DUMMYFUNCTION("""COMPUTED_VALUE"""),"The Night Forgotten by Us")</f>
        <v>The Night Forgotten by Us</v>
      </c>
      <c r="C28" s="6" t="str">
        <f>IFERROR(__xludf.DUMMYFUNCTION("""COMPUTED_VALUE"""),"Romance")</f>
        <v>Romance</v>
      </c>
      <c r="D28" s="11">
        <f>IFERROR(__xludf.DUMMYFUNCTION("""COMPUTED_VALUE"""),1632.0)</f>
        <v>1632</v>
      </c>
      <c r="E28" s="8">
        <f>IFERROR(__xludf.DUMMYFUNCTION("""COMPUTED_VALUE"""),0.945465686274509)</f>
        <v>0.9454656863</v>
      </c>
      <c r="F28" s="8">
        <f>IFERROR(__xludf.DUMMYFUNCTION("""COMPUTED_VALUE"""),0.526089625537139)</f>
        <v>0.5260896255</v>
      </c>
      <c r="G28" s="8">
        <f>IFERROR(__xludf.DUMMYFUNCTION("""COMPUTED_VALUE"""),0.478501228501228)</f>
        <v>0.4785012285</v>
      </c>
      <c r="H28" s="8">
        <f>IFERROR(__xludf.DUMMYFUNCTION("""COMPUTED_VALUE"""),0.436732186732186)</f>
        <v>0.4367321867</v>
      </c>
      <c r="I28" s="8">
        <f>IFERROR(__xludf.DUMMYFUNCTION("""COMPUTED_VALUE"""),0.421020282728949)</f>
        <v>0.4210202827</v>
      </c>
      <c r="J28" s="8">
        <f>IFERROR(__xludf.DUMMYFUNCTION("""COMPUTED_VALUE"""),0.410571604179471)</f>
        <v>0.4105716042</v>
      </c>
      <c r="K28" s="8">
        <f>IFERROR(__xludf.DUMMYFUNCTION("""COMPUTED_VALUE"""),0.387553912507701)</f>
        <v>0.3875539125</v>
      </c>
      <c r="L28" s="8">
        <f>IFERROR(__xludf.DUMMYFUNCTION("""COMPUTED_VALUE"""),0.375231053604436)</f>
        <v>0.3752310536</v>
      </c>
      <c r="M28" s="8">
        <f>IFERROR(__xludf.DUMMYFUNCTION("""COMPUTED_VALUE"""),0.356921166977032)</f>
        <v>0.356921167</v>
      </c>
      <c r="N28" s="8">
        <f>IFERROR(__xludf.DUMMYFUNCTION("""COMPUTED_VALUE"""),0.350713842333954)</f>
        <v>0.3507138423</v>
      </c>
      <c r="O28" s="8">
        <f>IFERROR(__xludf.DUMMYFUNCTION("""COMPUTED_VALUE"""),0.333548804137039)</f>
        <v>0.3335488041</v>
      </c>
      <c r="P28" s="8">
        <f>IFERROR(__xludf.DUMMYFUNCTION("""COMPUTED_VALUE"""),0.258040388930441)</f>
        <v>0.2580403889</v>
      </c>
      <c r="Q28" s="8">
        <f>IFERROR(__xludf.DUMMYFUNCTION("""COMPUTED_VALUE"""),0.201765447667087)</f>
        <v>0.2017654477</v>
      </c>
      <c r="R28" s="8">
        <f>IFERROR(__xludf.DUMMYFUNCTION("""COMPUTED_VALUE"""),0.0)</f>
        <v>0</v>
      </c>
      <c r="S28" s="8">
        <f>IFERROR(__xludf.DUMMYFUNCTION("""COMPUTED_VALUE"""),0.0)</f>
        <v>0</v>
      </c>
      <c r="T28" s="8">
        <f>IFERROR(__xludf.DUMMYFUNCTION("""COMPUTED_VALUE"""),0.0)</f>
        <v>0</v>
      </c>
      <c r="U28" s="8">
        <f>IFERROR(__xludf.DUMMYFUNCTION("""COMPUTED_VALUE"""),0.0)</f>
        <v>0</v>
      </c>
      <c r="V28" s="8">
        <f>IFERROR(__xludf.DUMMYFUNCTION("""COMPUTED_VALUE"""),0.0)</f>
        <v>0</v>
      </c>
      <c r="W28" s="8">
        <f>IFERROR(__xludf.DUMMYFUNCTION("""COMPUTED_VALUE"""),0.0)</f>
        <v>0</v>
      </c>
      <c r="X28" s="8">
        <f>IFERROR(__xludf.DUMMYFUNCTION("""COMPUTED_VALUE"""),0.0)</f>
        <v>0</v>
      </c>
      <c r="Y28" s="8">
        <f>IFERROR(__xludf.DUMMYFUNCTION("""COMPUTED_VALUE"""),0.0)</f>
        <v>0</v>
      </c>
      <c r="Z28" s="8">
        <f>IFERROR(__xludf.DUMMYFUNCTION("""COMPUTED_VALUE"""),0.0)</f>
        <v>0</v>
      </c>
      <c r="AA28" s="8">
        <f>IFERROR(__xludf.DUMMYFUNCTION("""COMPUTED_VALUE"""),0.0)</f>
        <v>0</v>
      </c>
      <c r="AB28" s="8">
        <f>IFERROR(__xludf.DUMMYFUNCTION("""COMPUTED_VALUE"""),0.0)</f>
        <v>0</v>
      </c>
      <c r="AC28" s="8">
        <f>IFERROR(__xludf.DUMMYFUNCTION("""COMPUTED_VALUE"""),0.0)</f>
        <v>0</v>
      </c>
    </row>
    <row r="29" ht="15.75" customHeight="1">
      <c r="A29" s="6" t="str">
        <f>IFERROR(__xludf.DUMMYFUNCTION("""COMPUTED_VALUE"""),"1b7d7de6c90d2460cfe3da014469e3c056fec830")</f>
        <v>1b7d7de6c90d2460cfe3da014469e3c056fec830</v>
      </c>
      <c r="B29" s="6" t="str">
        <f>IFERROR(__xludf.DUMMYFUNCTION("""COMPUTED_VALUE"""),"The Ceo's Secret Babies")</f>
        <v>The Ceo's Secret Babies</v>
      </c>
      <c r="C29" s="6" t="str">
        <f>IFERROR(__xludf.DUMMYFUNCTION("""COMPUTED_VALUE"""),"Romance")</f>
        <v>Romance</v>
      </c>
      <c r="D29" s="11">
        <f>IFERROR(__xludf.DUMMYFUNCTION("""COMPUTED_VALUE"""),742.0)</f>
        <v>742</v>
      </c>
      <c r="E29" s="8">
        <f>IFERROR(__xludf.DUMMYFUNCTION("""COMPUTED_VALUE"""),0.898236092265943)</f>
        <v>0.8982360923</v>
      </c>
      <c r="F29" s="8">
        <f>IFERROR(__xludf.DUMMYFUNCTION("""COMPUTED_VALUE"""),0.543715846994535)</f>
        <v>0.543715847</v>
      </c>
      <c r="G29" s="8">
        <f>IFERROR(__xludf.DUMMYFUNCTION("""COMPUTED_VALUE"""),0.477241379310344)</f>
        <v>0.4772413793</v>
      </c>
      <c r="H29" s="8">
        <f>IFERROR(__xludf.DUMMYFUNCTION("""COMPUTED_VALUE"""),0.479720279720279)</f>
        <v>0.4797202797</v>
      </c>
      <c r="I29" s="8">
        <f>IFERROR(__xludf.DUMMYFUNCTION("""COMPUTED_VALUE"""),0.464689265536723)</f>
        <v>0.4646892655</v>
      </c>
      <c r="J29" s="8">
        <f>IFERROR(__xludf.DUMMYFUNCTION("""COMPUTED_VALUE"""),0.41678520625889)</f>
        <v>0.4167852063</v>
      </c>
      <c r="K29" s="8">
        <f>IFERROR(__xludf.DUMMYFUNCTION("""COMPUTED_VALUE"""),0.389684813753581)</f>
        <v>0.3896848138</v>
      </c>
      <c r="L29" s="8">
        <f>IFERROR(__xludf.DUMMYFUNCTION("""COMPUTED_VALUE"""),0.373004354136429)</f>
        <v>0.3730043541</v>
      </c>
      <c r="M29" s="8">
        <f>IFERROR(__xludf.DUMMYFUNCTION("""COMPUTED_VALUE"""),0.368035190615835)</f>
        <v>0.3680351906</v>
      </c>
      <c r="N29" s="8">
        <f>IFERROR(__xludf.DUMMYFUNCTION("""COMPUTED_VALUE"""),0.381598793363499)</f>
        <v>0.3815987934</v>
      </c>
      <c r="O29" s="8">
        <f>IFERROR(__xludf.DUMMYFUNCTION("""COMPUTED_VALUE"""),0.267295597484276)</f>
        <v>0.2672955975</v>
      </c>
      <c r="P29" s="8">
        <f>IFERROR(__xludf.DUMMYFUNCTION("""COMPUTED_VALUE"""),0.22626582278481)</f>
        <v>0.2262658228</v>
      </c>
      <c r="Q29" s="8">
        <f>IFERROR(__xludf.DUMMYFUNCTION("""COMPUTED_VALUE"""),0.103338632750397)</f>
        <v>0.1033386328</v>
      </c>
      <c r="R29" s="8">
        <f>IFERROR(__xludf.DUMMYFUNCTION("""COMPUTED_VALUE"""),0.0333863275039745)</f>
        <v>0.0333863275</v>
      </c>
      <c r="S29" s="8">
        <f>IFERROR(__xludf.DUMMYFUNCTION("""COMPUTED_VALUE"""),0.026431718061674)</f>
        <v>0.02643171806</v>
      </c>
      <c r="T29" s="8">
        <f>IFERROR(__xludf.DUMMYFUNCTION("""COMPUTED_VALUE"""),0.0)</f>
        <v>0</v>
      </c>
      <c r="U29" s="8">
        <f>IFERROR(__xludf.DUMMYFUNCTION("""COMPUTED_VALUE"""),0.0)</f>
        <v>0</v>
      </c>
      <c r="V29" s="8">
        <f>IFERROR(__xludf.DUMMYFUNCTION("""COMPUTED_VALUE"""),0.0)</f>
        <v>0</v>
      </c>
      <c r="W29" s="8">
        <f>IFERROR(__xludf.DUMMYFUNCTION("""COMPUTED_VALUE"""),0.0)</f>
        <v>0</v>
      </c>
      <c r="X29" s="8">
        <f>IFERROR(__xludf.DUMMYFUNCTION("""COMPUTED_VALUE"""),0.0)</f>
        <v>0</v>
      </c>
      <c r="Y29" s="8">
        <f>IFERROR(__xludf.DUMMYFUNCTION("""COMPUTED_VALUE"""),0.0)</f>
        <v>0</v>
      </c>
      <c r="Z29" s="8">
        <f>IFERROR(__xludf.DUMMYFUNCTION("""COMPUTED_VALUE"""),0.0)</f>
        <v>0</v>
      </c>
      <c r="AA29" s="8">
        <f>IFERROR(__xludf.DUMMYFUNCTION("""COMPUTED_VALUE"""),0.0)</f>
        <v>0</v>
      </c>
      <c r="AB29" s="8">
        <f>IFERROR(__xludf.DUMMYFUNCTION("""COMPUTED_VALUE"""),0.0)</f>
        <v>0</v>
      </c>
      <c r="AC29" s="8">
        <f>IFERROR(__xludf.DUMMYFUNCTION("""COMPUTED_VALUE"""),0.0)</f>
        <v>0</v>
      </c>
    </row>
    <row r="30" ht="15.75" customHeight="1">
      <c r="A30" s="6" t="str">
        <f>IFERROR(__xludf.DUMMYFUNCTION("""COMPUTED_VALUE"""),"1b7d89c237c133e6c5b15db13e684c2e1f3688e1")</f>
        <v>1b7d89c237c133e6c5b15db13e684c2e1f3688e1</v>
      </c>
      <c r="B30" s="6" t="str">
        <f>IFERROR(__xludf.DUMMYFUNCTION("""COMPUTED_VALUE"""),"War God of the Red Sea!")</f>
        <v>War God of the Red Sea!</v>
      </c>
      <c r="C30" s="6" t="str">
        <f>IFERROR(__xludf.DUMMYFUNCTION("""COMPUTED_VALUE"""),"Drama")</f>
        <v>Drama</v>
      </c>
      <c r="D30" s="11">
        <f>IFERROR(__xludf.DUMMYFUNCTION("""COMPUTED_VALUE"""),1136.0)</f>
        <v>1136</v>
      </c>
      <c r="E30" s="8">
        <f>IFERROR(__xludf.DUMMYFUNCTION("""COMPUTED_VALUE"""),0.982898289828982)</f>
        <v>0.9828982898</v>
      </c>
      <c r="F30" s="8">
        <f>IFERROR(__xludf.DUMMYFUNCTION("""COMPUTED_VALUE"""),0.474951830443159)</f>
        <v>0.4749518304</v>
      </c>
      <c r="G30" s="8">
        <f>IFERROR(__xludf.DUMMYFUNCTION("""COMPUTED_VALUE"""),0.384378211716341)</f>
        <v>0.3843782117</v>
      </c>
      <c r="H30" s="8">
        <f>IFERROR(__xludf.DUMMYFUNCTION("""COMPUTED_VALUE"""),0.326576576576576)</f>
        <v>0.3265765766</v>
      </c>
      <c r="I30" s="8">
        <f>IFERROR(__xludf.DUMMYFUNCTION("""COMPUTED_VALUE"""),0.294457274826789)</f>
        <v>0.2944572748</v>
      </c>
      <c r="J30" s="8">
        <f>IFERROR(__xludf.DUMMYFUNCTION("""COMPUTED_VALUE"""),0.270560190703218)</f>
        <v>0.2705601907</v>
      </c>
      <c r="K30" s="8">
        <f>IFERROR(__xludf.DUMMYFUNCTION("""COMPUTED_VALUE"""),0.244525547445255)</f>
        <v>0.2445255474</v>
      </c>
      <c r="L30" s="8">
        <f>IFERROR(__xludf.DUMMYFUNCTION("""COMPUTED_VALUE"""),0.229551451187335)</f>
        <v>0.2295514512</v>
      </c>
      <c r="M30" s="8">
        <f>IFERROR(__xludf.DUMMYFUNCTION("""COMPUTED_VALUE"""),0.206993006993007)</f>
        <v>0.206993007</v>
      </c>
      <c r="N30" s="8">
        <f>IFERROR(__xludf.DUMMYFUNCTION("""COMPUTED_VALUE"""),0.202453987730061)</f>
        <v>0.2024539877</v>
      </c>
      <c r="O30" s="8">
        <f>IFERROR(__xludf.DUMMYFUNCTION("""COMPUTED_VALUE"""),0.168855534709193)</f>
        <v>0.1688555347</v>
      </c>
      <c r="P30" s="8">
        <f>IFERROR(__xludf.DUMMYFUNCTION("""COMPUTED_VALUE"""),0.138702460850111)</f>
        <v>0.1387024609</v>
      </c>
      <c r="Q30" s="8">
        <f>IFERROR(__xludf.DUMMYFUNCTION("""COMPUTED_VALUE"""),0.0)</f>
        <v>0</v>
      </c>
      <c r="R30" s="8">
        <f>IFERROR(__xludf.DUMMYFUNCTION("""COMPUTED_VALUE"""),0.0)</f>
        <v>0</v>
      </c>
      <c r="S30" s="8">
        <f>IFERROR(__xludf.DUMMYFUNCTION("""COMPUTED_VALUE"""),0.0)</f>
        <v>0</v>
      </c>
      <c r="T30" s="8">
        <f>IFERROR(__xludf.DUMMYFUNCTION("""COMPUTED_VALUE"""),0.0)</f>
        <v>0</v>
      </c>
      <c r="U30" s="8">
        <f>IFERROR(__xludf.DUMMYFUNCTION("""COMPUTED_VALUE"""),0.0)</f>
        <v>0</v>
      </c>
      <c r="V30" s="8">
        <f>IFERROR(__xludf.DUMMYFUNCTION("""COMPUTED_VALUE"""),0.0)</f>
        <v>0</v>
      </c>
      <c r="W30" s="8">
        <f>IFERROR(__xludf.DUMMYFUNCTION("""COMPUTED_VALUE"""),0.0)</f>
        <v>0</v>
      </c>
      <c r="X30" s="8">
        <f>IFERROR(__xludf.DUMMYFUNCTION("""COMPUTED_VALUE"""),0.0)</f>
        <v>0</v>
      </c>
      <c r="Y30" s="8">
        <f>IFERROR(__xludf.DUMMYFUNCTION("""COMPUTED_VALUE"""),0.0)</f>
        <v>0</v>
      </c>
      <c r="Z30" s="8">
        <f>IFERROR(__xludf.DUMMYFUNCTION("""COMPUTED_VALUE"""),0.0)</f>
        <v>0</v>
      </c>
      <c r="AA30" s="8">
        <f>IFERROR(__xludf.DUMMYFUNCTION("""COMPUTED_VALUE"""),0.0)</f>
        <v>0</v>
      </c>
      <c r="AB30" s="8">
        <f>IFERROR(__xludf.DUMMYFUNCTION("""COMPUTED_VALUE"""),0.0)</f>
        <v>0</v>
      </c>
      <c r="AC30" s="8">
        <f>IFERROR(__xludf.DUMMYFUNCTION("""COMPUTED_VALUE"""),0.0)</f>
        <v>0</v>
      </c>
    </row>
    <row r="31" ht="15.75" customHeight="1">
      <c r="A31" s="6" t="str">
        <f>IFERROR(__xludf.DUMMYFUNCTION("""COMPUTED_VALUE"""),"1c56eb2cce6609cb207d235ae3464f7759d4cb84")</f>
        <v>1c56eb2cce6609cb207d235ae3464f7759d4cb84</v>
      </c>
      <c r="B31" s="6" t="str">
        <f>IFERROR(__xludf.DUMMYFUNCTION("""COMPUTED_VALUE"""),"Rage of the Heiress")</f>
        <v>Rage of the Heiress</v>
      </c>
      <c r="C31" s="6" t="str">
        <f>IFERROR(__xludf.DUMMYFUNCTION("""COMPUTED_VALUE"""),"Drama")</f>
        <v>Drama</v>
      </c>
      <c r="D31" s="11">
        <f>IFERROR(__xludf.DUMMYFUNCTION("""COMPUTED_VALUE"""),6366.0)</f>
        <v>6366</v>
      </c>
      <c r="E31" s="8">
        <f>IFERROR(__xludf.DUMMYFUNCTION("""COMPUTED_VALUE"""),0.93735016781205)</f>
        <v>0.9373501678</v>
      </c>
      <c r="F31" s="8">
        <f>IFERROR(__xludf.DUMMYFUNCTION("""COMPUTED_VALUE"""),0.50405427767665)</f>
        <v>0.5040542777</v>
      </c>
      <c r="G31" s="8">
        <f>IFERROR(__xludf.DUMMYFUNCTION("""COMPUTED_VALUE"""),0.483169342309684)</f>
        <v>0.4831693423</v>
      </c>
      <c r="H31" s="8">
        <f>IFERROR(__xludf.DUMMYFUNCTION("""COMPUTED_VALUE"""),0.45040797824116)</f>
        <v>0.4504079782</v>
      </c>
      <c r="I31" s="8">
        <f>IFERROR(__xludf.DUMMYFUNCTION("""COMPUTED_VALUE"""),0.446300252476208)</f>
        <v>0.4463002525</v>
      </c>
      <c r="J31" s="8">
        <f>IFERROR(__xludf.DUMMYFUNCTION("""COMPUTED_VALUE"""),0.43227967343521)</f>
        <v>0.4322796734</v>
      </c>
      <c r="K31" s="8">
        <f>IFERROR(__xludf.DUMMYFUNCTION("""COMPUTED_VALUE"""),0.419969005977418)</f>
        <v>0.419969006</v>
      </c>
      <c r="L31" s="8">
        <f>IFERROR(__xludf.DUMMYFUNCTION("""COMPUTED_VALUE"""),0.411108473771659)</f>
        <v>0.4111084738</v>
      </c>
      <c r="M31" s="8">
        <f>IFERROR(__xludf.DUMMYFUNCTION("""COMPUTED_VALUE"""),0.405945540844366)</f>
        <v>0.4059455408</v>
      </c>
      <c r="N31" s="8">
        <f>IFERROR(__xludf.DUMMYFUNCTION("""COMPUTED_VALUE"""),0.394834930777422)</f>
        <v>0.3948349308</v>
      </c>
      <c r="O31" s="8">
        <f>IFERROR(__xludf.DUMMYFUNCTION("""COMPUTED_VALUE"""),0.4010889292196)</f>
        <v>0.4010889292</v>
      </c>
      <c r="P31" s="8">
        <f>IFERROR(__xludf.DUMMYFUNCTION("""COMPUTED_VALUE"""),0.321762349799732)</f>
        <v>0.3217623498</v>
      </c>
      <c r="Q31" s="8">
        <f>IFERROR(__xludf.DUMMYFUNCTION("""COMPUTED_VALUE"""),0.236972024136039)</f>
        <v>0.2369720241</v>
      </c>
      <c r="R31" s="8">
        <f>IFERROR(__xludf.DUMMYFUNCTION("""COMPUTED_VALUE"""),0.19442761962447)</f>
        <v>0.1944276196</v>
      </c>
      <c r="S31" s="8">
        <f>IFERROR(__xludf.DUMMYFUNCTION("""COMPUTED_VALUE"""),0.185369318181818)</f>
        <v>0.1853693182</v>
      </c>
      <c r="T31" s="8">
        <f>IFERROR(__xludf.DUMMYFUNCTION("""COMPUTED_VALUE"""),0.159650516282764)</f>
        <v>0.1596505163</v>
      </c>
      <c r="U31" s="8">
        <f>IFERROR(__xludf.DUMMYFUNCTION("""COMPUTED_VALUE"""),0.130142737195633)</f>
        <v>0.1301427372</v>
      </c>
      <c r="V31" s="8">
        <f>IFERROR(__xludf.DUMMYFUNCTION("""COMPUTED_VALUE"""),0.125730994152046)</f>
        <v>0.1257309942</v>
      </c>
      <c r="W31" s="8">
        <f>IFERROR(__xludf.DUMMYFUNCTION("""COMPUTED_VALUE"""),0.106666666666666)</f>
        <v>0.1066666667</v>
      </c>
      <c r="X31" s="8">
        <f>IFERROR(__xludf.DUMMYFUNCTION("""COMPUTED_VALUE"""),0.0)</f>
        <v>0</v>
      </c>
      <c r="Y31" s="8">
        <f>IFERROR(__xludf.DUMMYFUNCTION("""COMPUTED_VALUE"""),0.0)</f>
        <v>0</v>
      </c>
      <c r="Z31" s="8">
        <f>IFERROR(__xludf.DUMMYFUNCTION("""COMPUTED_VALUE"""),0.0)</f>
        <v>0</v>
      </c>
      <c r="AA31" s="8">
        <f>IFERROR(__xludf.DUMMYFUNCTION("""COMPUTED_VALUE"""),0.0)</f>
        <v>0</v>
      </c>
      <c r="AB31" s="8">
        <f>IFERROR(__xludf.DUMMYFUNCTION("""COMPUTED_VALUE"""),0.0)</f>
        <v>0</v>
      </c>
      <c r="AC31" s="8">
        <f>IFERROR(__xludf.DUMMYFUNCTION("""COMPUTED_VALUE"""),0.0)</f>
        <v>0</v>
      </c>
    </row>
    <row r="32" ht="15.75" customHeight="1">
      <c r="A32" s="6" t="str">
        <f>IFERROR(__xludf.DUMMYFUNCTION("""COMPUTED_VALUE"""),"1ca4f3c3b8e200f37ec14ed7a11442df6a65f4e6")</f>
        <v>1ca4f3c3b8e200f37ec14ed7a11442df6a65f4e6</v>
      </c>
      <c r="B32" s="6" t="str">
        <f>IFERROR(__xludf.DUMMYFUNCTION("""COMPUTED_VALUE"""),"Unstoppable Cultivator")</f>
        <v>Unstoppable Cultivator</v>
      </c>
      <c r="C32" s="6" t="str">
        <f>IFERROR(__xludf.DUMMYFUNCTION("""COMPUTED_VALUE"""),"Fantasy")</f>
        <v>Fantasy</v>
      </c>
      <c r="D32" s="11">
        <f>IFERROR(__xludf.DUMMYFUNCTION("""COMPUTED_VALUE"""),1307.0)</f>
        <v>1307</v>
      </c>
      <c r="E32" s="8">
        <f>IFERROR(__xludf.DUMMYFUNCTION("""COMPUTED_VALUE"""),0.962365591397849)</f>
        <v>0.9623655914</v>
      </c>
      <c r="F32" s="8">
        <f>IFERROR(__xludf.DUMMYFUNCTION("""COMPUTED_VALUE"""),0.456923076923076)</f>
        <v>0.4569230769</v>
      </c>
      <c r="G32" s="8">
        <f>IFERROR(__xludf.DUMMYFUNCTION("""COMPUTED_VALUE"""),0.398305084745762)</f>
        <v>0.3983050847</v>
      </c>
      <c r="H32" s="8">
        <f>IFERROR(__xludf.DUMMYFUNCTION("""COMPUTED_VALUE"""),0.359073359073359)</f>
        <v>0.3590733591</v>
      </c>
      <c r="I32" s="8">
        <f>IFERROR(__xludf.DUMMYFUNCTION("""COMPUTED_VALUE"""),0.332558139534883)</f>
        <v>0.3325581395</v>
      </c>
      <c r="J32" s="8">
        <f>IFERROR(__xludf.DUMMYFUNCTION("""COMPUTED_VALUE"""),0.310264385692068)</f>
        <v>0.3102643857</v>
      </c>
      <c r="K32" s="8">
        <f>IFERROR(__xludf.DUMMYFUNCTION("""COMPUTED_VALUE"""),0.297107114933541)</f>
        <v>0.2971071149</v>
      </c>
      <c r="L32" s="8">
        <f>IFERROR(__xludf.DUMMYFUNCTION("""COMPUTED_VALUE"""),0.28313725490196)</f>
        <v>0.2831372549</v>
      </c>
      <c r="M32" s="8">
        <f>IFERROR(__xludf.DUMMYFUNCTION("""COMPUTED_VALUE"""),0.266141732283464)</f>
        <v>0.2661417323</v>
      </c>
      <c r="N32" s="8">
        <f>IFERROR(__xludf.DUMMYFUNCTION("""COMPUTED_VALUE"""),0.252773375594294)</f>
        <v>0.2527733756</v>
      </c>
      <c r="O32" s="8">
        <f>IFERROR(__xludf.DUMMYFUNCTION("""COMPUTED_VALUE"""),0.230496453900709)</f>
        <v>0.2304964539</v>
      </c>
      <c r="P32" s="8">
        <f>IFERROR(__xludf.DUMMYFUNCTION("""COMPUTED_VALUE"""),0.143953934740882)</f>
        <v>0.1439539347</v>
      </c>
      <c r="Q32" s="8">
        <f>IFERROR(__xludf.DUMMYFUNCTION("""COMPUTED_VALUE"""),0.103092783505154)</f>
        <v>0.1030927835</v>
      </c>
      <c r="R32" s="8">
        <f>IFERROR(__xludf.DUMMYFUNCTION("""COMPUTED_VALUE"""),0.243243243243243)</f>
        <v>0.2432432432</v>
      </c>
      <c r="S32" s="8">
        <f>IFERROR(__xludf.DUMMYFUNCTION("""COMPUTED_VALUE"""),0.0476190476190476)</f>
        <v>0.04761904762</v>
      </c>
      <c r="T32" s="8">
        <f>IFERROR(__xludf.DUMMYFUNCTION("""COMPUTED_VALUE"""),0.0)</f>
        <v>0</v>
      </c>
      <c r="U32" s="8">
        <f>IFERROR(__xludf.DUMMYFUNCTION("""COMPUTED_VALUE"""),0.0)</f>
        <v>0</v>
      </c>
      <c r="V32" s="8">
        <f>IFERROR(__xludf.DUMMYFUNCTION("""COMPUTED_VALUE"""),0.0)</f>
        <v>0</v>
      </c>
      <c r="W32" s="8">
        <f>IFERROR(__xludf.DUMMYFUNCTION("""COMPUTED_VALUE"""),0.0)</f>
        <v>0</v>
      </c>
      <c r="X32" s="8">
        <f>IFERROR(__xludf.DUMMYFUNCTION("""COMPUTED_VALUE"""),0.0)</f>
        <v>0</v>
      </c>
      <c r="Y32" s="8">
        <f>IFERROR(__xludf.DUMMYFUNCTION("""COMPUTED_VALUE"""),0.0)</f>
        <v>0</v>
      </c>
      <c r="Z32" s="8">
        <f>IFERROR(__xludf.DUMMYFUNCTION("""COMPUTED_VALUE"""),0.0)</f>
        <v>0</v>
      </c>
      <c r="AA32" s="8">
        <f>IFERROR(__xludf.DUMMYFUNCTION("""COMPUTED_VALUE"""),0.0)</f>
        <v>0</v>
      </c>
      <c r="AB32" s="8">
        <f>IFERROR(__xludf.DUMMYFUNCTION("""COMPUTED_VALUE"""),0.0)</f>
        <v>0</v>
      </c>
      <c r="AC32" s="8">
        <f>IFERROR(__xludf.DUMMYFUNCTION("""COMPUTED_VALUE"""),0.0)</f>
        <v>0</v>
      </c>
    </row>
    <row r="33" ht="15.75" customHeight="1">
      <c r="A33" s="6" t="str">
        <f>IFERROR(__xludf.DUMMYFUNCTION("""COMPUTED_VALUE"""),"1d8b1f39e146ede1f7528763445a7a47aad10b05")</f>
        <v>1d8b1f39e146ede1f7528763445a7a47aad10b05</v>
      </c>
      <c r="B33" s="6" t="str">
        <f>IFERROR(__xludf.DUMMYFUNCTION("""COMPUTED_VALUE"""),"Love and Heartbroken")</f>
        <v>Love and Heartbroken</v>
      </c>
      <c r="C33" s="6" t="str">
        <f>IFERROR(__xludf.DUMMYFUNCTION("""COMPUTED_VALUE"""),"System and Superpower")</f>
        <v>System and Superpower</v>
      </c>
      <c r="D33" s="11">
        <f>IFERROR(__xludf.DUMMYFUNCTION("""COMPUTED_VALUE"""),1551.0)</f>
        <v>1551</v>
      </c>
      <c r="E33" s="8">
        <f>IFERROR(__xludf.DUMMYFUNCTION("""COMPUTED_VALUE"""),0.973565441650548)</f>
        <v>0.9735654417</v>
      </c>
      <c r="F33" s="8">
        <f>IFERROR(__xludf.DUMMYFUNCTION("""COMPUTED_VALUE"""),0.453255963894261)</f>
        <v>0.4532559639</v>
      </c>
      <c r="G33" s="8">
        <f>IFERROR(__xludf.DUMMYFUNCTION("""COMPUTED_VALUE"""),0.409032258064516)</f>
        <v>0.4090322581</v>
      </c>
      <c r="H33" s="8">
        <f>IFERROR(__xludf.DUMMYFUNCTION("""COMPUTED_VALUE"""),0.35958683021304)</f>
        <v>0.3595868302</v>
      </c>
      <c r="I33" s="8">
        <f>IFERROR(__xludf.DUMMYFUNCTION("""COMPUTED_VALUE"""),0.323852617970265)</f>
        <v>0.323852618</v>
      </c>
      <c r="J33" s="8">
        <f>IFERROR(__xludf.DUMMYFUNCTION("""COMPUTED_VALUE"""),0.292178409825468)</f>
        <v>0.2921784098</v>
      </c>
      <c r="K33" s="8">
        <f>IFERROR(__xludf.DUMMYFUNCTION("""COMPUTED_VALUE"""),0.276196636481241)</f>
        <v>0.2761966365</v>
      </c>
      <c r="L33" s="8">
        <f>IFERROR(__xludf.DUMMYFUNCTION("""COMPUTED_VALUE"""),0.2503234152652)</f>
        <v>0.2503234153</v>
      </c>
      <c r="M33" s="8">
        <f>IFERROR(__xludf.DUMMYFUNCTION("""COMPUTED_VALUE"""),0.227331606217616)</f>
        <v>0.2273316062</v>
      </c>
      <c r="N33" s="8">
        <f>IFERROR(__xludf.DUMMYFUNCTION("""COMPUTED_VALUE"""),0.197274497079818)</f>
        <v>0.1972744971</v>
      </c>
      <c r="O33" s="8">
        <f>IFERROR(__xludf.DUMMYFUNCTION("""COMPUTED_VALUE"""),0.13125845737483)</f>
        <v>0.1312584574</v>
      </c>
      <c r="P33" s="8">
        <f>IFERROR(__xludf.DUMMYFUNCTION("""COMPUTED_VALUE"""),0.077424023154848)</f>
        <v>0.07742402315</v>
      </c>
      <c r="Q33" s="8">
        <f>IFERROR(__xludf.DUMMYFUNCTION("""COMPUTED_VALUE"""),0.0387832699619771)</f>
        <v>0.03878326996</v>
      </c>
      <c r="R33" s="8">
        <f>IFERROR(__xludf.DUMMYFUNCTION("""COMPUTED_VALUE"""),0.021108179419525)</f>
        <v>0.02110817942</v>
      </c>
      <c r="S33" s="8">
        <f>IFERROR(__xludf.DUMMYFUNCTION("""COMPUTED_VALUE"""),0.0099403578528827)</f>
        <v>0.009940357853</v>
      </c>
      <c r="T33" s="8">
        <f>IFERROR(__xludf.DUMMYFUNCTION("""COMPUTED_VALUE"""),0.0)</f>
        <v>0</v>
      </c>
      <c r="U33" s="8">
        <f>IFERROR(__xludf.DUMMYFUNCTION("""COMPUTED_VALUE"""),0.0)</f>
        <v>0</v>
      </c>
      <c r="V33" s="8">
        <f>IFERROR(__xludf.DUMMYFUNCTION("""COMPUTED_VALUE"""),0.0)</f>
        <v>0</v>
      </c>
      <c r="W33" s="8">
        <f>IFERROR(__xludf.DUMMYFUNCTION("""COMPUTED_VALUE"""),0.0)</f>
        <v>0</v>
      </c>
      <c r="X33" s="8">
        <f>IFERROR(__xludf.DUMMYFUNCTION("""COMPUTED_VALUE"""),0.0)</f>
        <v>0</v>
      </c>
      <c r="Y33" s="8">
        <f>IFERROR(__xludf.DUMMYFUNCTION("""COMPUTED_VALUE"""),0.0)</f>
        <v>0</v>
      </c>
      <c r="Z33" s="8">
        <f>IFERROR(__xludf.DUMMYFUNCTION("""COMPUTED_VALUE"""),0.0)</f>
        <v>0</v>
      </c>
      <c r="AA33" s="8">
        <f>IFERROR(__xludf.DUMMYFUNCTION("""COMPUTED_VALUE"""),0.0)</f>
        <v>0</v>
      </c>
      <c r="AB33" s="8">
        <f>IFERROR(__xludf.DUMMYFUNCTION("""COMPUTED_VALUE"""),0.0)</f>
        <v>0</v>
      </c>
      <c r="AC33" s="8">
        <f>IFERROR(__xludf.DUMMYFUNCTION("""COMPUTED_VALUE"""),0.0)</f>
        <v>0</v>
      </c>
    </row>
    <row r="34" ht="15.75" customHeight="1">
      <c r="A34" s="6" t="str">
        <f>IFERROR(__xludf.DUMMYFUNCTION("""COMPUTED_VALUE"""),"1e1205d9e93348005e7eb4b2e071c8c63b7914ca")</f>
        <v>1e1205d9e93348005e7eb4b2e071c8c63b7914ca</v>
      </c>
      <c r="B34" s="6" t="str">
        <f>IFERROR(__xludf.DUMMYFUNCTION("""COMPUTED_VALUE"""),"The Heart's Captive")</f>
        <v>The Heart's Captive</v>
      </c>
      <c r="C34" s="6" t="str">
        <f>IFERROR(__xludf.DUMMYFUNCTION("""COMPUTED_VALUE"""),"Romantasy")</f>
        <v>Romantasy</v>
      </c>
      <c r="D34" s="11">
        <f>IFERROR(__xludf.DUMMYFUNCTION("""COMPUTED_VALUE"""),343.0)</f>
        <v>343</v>
      </c>
      <c r="E34" s="8">
        <f>IFERROR(__xludf.DUMMYFUNCTION("""COMPUTED_VALUE"""),0.923976608187134)</f>
        <v>0.9239766082</v>
      </c>
      <c r="F34" s="8">
        <f>IFERROR(__xludf.DUMMYFUNCTION("""COMPUTED_VALUE"""),0.280701754385964)</f>
        <v>0.2807017544</v>
      </c>
      <c r="G34" s="8">
        <f>IFERROR(__xludf.DUMMYFUNCTION("""COMPUTED_VALUE"""),0.236842105263157)</f>
        <v>0.2368421053</v>
      </c>
      <c r="H34" s="8">
        <f>IFERROR(__xludf.DUMMYFUNCTION("""COMPUTED_VALUE"""),0.23391812865497)</f>
        <v>0.2339181287</v>
      </c>
      <c r="I34" s="8">
        <f>IFERROR(__xludf.DUMMYFUNCTION("""COMPUTED_VALUE"""),0.21345029239766)</f>
        <v>0.2134502924</v>
      </c>
      <c r="J34" s="8">
        <f>IFERROR(__xludf.DUMMYFUNCTION("""COMPUTED_VALUE"""),0.219941348973607)</f>
        <v>0.219941349</v>
      </c>
      <c r="K34" s="8">
        <f>IFERROR(__xludf.DUMMYFUNCTION("""COMPUTED_VALUE"""),0.217647058823529)</f>
        <v>0.2176470588</v>
      </c>
      <c r="L34" s="8">
        <f>IFERROR(__xludf.DUMMYFUNCTION("""COMPUTED_VALUE"""),0.220588235294117)</f>
        <v>0.2205882353</v>
      </c>
      <c r="M34" s="8">
        <f>IFERROR(__xludf.DUMMYFUNCTION("""COMPUTED_VALUE"""),0.226470588235294)</f>
        <v>0.2264705882</v>
      </c>
      <c r="N34" s="8">
        <f>IFERROR(__xludf.DUMMYFUNCTION("""COMPUTED_VALUE"""),0.226470588235294)</f>
        <v>0.2264705882</v>
      </c>
      <c r="O34" s="8">
        <f>IFERROR(__xludf.DUMMYFUNCTION("""COMPUTED_VALUE"""),0.211764705882352)</f>
        <v>0.2117647059</v>
      </c>
      <c r="P34" s="8">
        <f>IFERROR(__xludf.DUMMYFUNCTION("""COMPUTED_VALUE"""),0.103244837758112)</f>
        <v>0.1032448378</v>
      </c>
      <c r="Q34" s="8">
        <f>IFERROR(__xludf.DUMMYFUNCTION("""COMPUTED_VALUE"""),0.0385756676557863)</f>
        <v>0.03857566766</v>
      </c>
      <c r="R34" s="8">
        <f>IFERROR(__xludf.DUMMYFUNCTION("""COMPUTED_VALUE"""),0.0148809523809523)</f>
        <v>0.01488095238</v>
      </c>
      <c r="S34" s="8">
        <f>IFERROR(__xludf.DUMMYFUNCTION("""COMPUTED_VALUE"""),0.0)</f>
        <v>0</v>
      </c>
      <c r="T34" s="8">
        <f>IFERROR(__xludf.DUMMYFUNCTION("""COMPUTED_VALUE"""),0.0)</f>
        <v>0</v>
      </c>
      <c r="U34" s="8">
        <f>IFERROR(__xludf.DUMMYFUNCTION("""COMPUTED_VALUE"""),0.0)</f>
        <v>0</v>
      </c>
      <c r="V34" s="8">
        <f>IFERROR(__xludf.DUMMYFUNCTION("""COMPUTED_VALUE"""),0.0)</f>
        <v>0</v>
      </c>
      <c r="W34" s="8">
        <f>IFERROR(__xludf.DUMMYFUNCTION("""COMPUTED_VALUE"""),0.0)</f>
        <v>0</v>
      </c>
      <c r="X34" s="8">
        <f>IFERROR(__xludf.DUMMYFUNCTION("""COMPUTED_VALUE"""),0.0)</f>
        <v>0</v>
      </c>
      <c r="Y34" s="8">
        <f>IFERROR(__xludf.DUMMYFUNCTION("""COMPUTED_VALUE"""),0.0)</f>
        <v>0</v>
      </c>
      <c r="Z34" s="8">
        <f>IFERROR(__xludf.DUMMYFUNCTION("""COMPUTED_VALUE"""),0.0)</f>
        <v>0</v>
      </c>
      <c r="AA34" s="8">
        <f>IFERROR(__xludf.DUMMYFUNCTION("""COMPUTED_VALUE"""),0.0)</f>
        <v>0</v>
      </c>
      <c r="AB34" s="8">
        <f>IFERROR(__xludf.DUMMYFUNCTION("""COMPUTED_VALUE"""),0.0)</f>
        <v>0</v>
      </c>
      <c r="AC34" s="8">
        <f>IFERROR(__xludf.DUMMYFUNCTION("""COMPUTED_VALUE"""),0.0)</f>
        <v>0</v>
      </c>
    </row>
    <row r="35" ht="15.75" customHeight="1">
      <c r="A35" s="6" t="str">
        <f>IFERROR(__xludf.DUMMYFUNCTION("""COMPUTED_VALUE"""),"1e2b4197fd4a9f595c560bc8d4530339758b031a")</f>
        <v>1e2b4197fd4a9f595c560bc8d4530339758b031a</v>
      </c>
      <c r="B35" s="6" t="str">
        <f>IFERROR(__xludf.DUMMYFUNCTION("""COMPUTED_VALUE"""),"Becoming Garrison Green")</f>
        <v>Becoming Garrison Green</v>
      </c>
      <c r="C35" s="6" t="str">
        <f>IFERROR(__xludf.DUMMYFUNCTION("""COMPUTED_VALUE"""),"Drama")</f>
        <v>Drama</v>
      </c>
      <c r="D35" s="11">
        <f>IFERROR(__xludf.DUMMYFUNCTION("""COMPUTED_VALUE"""),2518.0)</f>
        <v>2518</v>
      </c>
      <c r="E35" s="8">
        <f>IFERROR(__xludf.DUMMYFUNCTION("""COMPUTED_VALUE"""),0.958300238284352)</f>
        <v>0.9583002383</v>
      </c>
      <c r="F35" s="8">
        <f>IFERROR(__xludf.DUMMYFUNCTION("""COMPUTED_VALUE"""),0.48449920508744)</f>
        <v>0.4844992051</v>
      </c>
      <c r="G35" s="8">
        <f>IFERROR(__xludf.DUMMYFUNCTION("""COMPUTED_VALUE"""),0.454473161033797)</f>
        <v>0.454473161</v>
      </c>
      <c r="H35" s="8">
        <f>IFERROR(__xludf.DUMMYFUNCTION("""COMPUTED_VALUE"""),0.419984076433121)</f>
        <v>0.4199840764</v>
      </c>
      <c r="I35" s="8">
        <f>IFERROR(__xludf.DUMMYFUNCTION("""COMPUTED_VALUE"""),0.389796731765643)</f>
        <v>0.3897967318</v>
      </c>
      <c r="J35" s="8">
        <f>IFERROR(__xludf.DUMMYFUNCTION("""COMPUTED_VALUE"""),0.371759074591144)</f>
        <v>0.3717590746</v>
      </c>
      <c r="K35" s="8">
        <f>IFERROR(__xludf.DUMMYFUNCTION("""COMPUTED_VALUE"""),0.345432788193059)</f>
        <v>0.3454327882</v>
      </c>
      <c r="L35" s="8">
        <f>IFERROR(__xludf.DUMMYFUNCTION("""COMPUTED_VALUE"""),0.327606871753895)</f>
        <v>0.3276068718</v>
      </c>
      <c r="M35" s="8">
        <f>IFERROR(__xludf.DUMMYFUNCTION("""COMPUTED_VALUE"""),0.317346123101518)</f>
        <v>0.3173461231</v>
      </c>
      <c r="N35" s="8">
        <f>IFERROR(__xludf.DUMMYFUNCTION("""COMPUTED_VALUE"""),0.307908470493777)</f>
        <v>0.3079084705</v>
      </c>
      <c r="O35" s="8">
        <f>IFERROR(__xludf.DUMMYFUNCTION("""COMPUTED_VALUE"""),0.271440823327615)</f>
        <v>0.2714408233</v>
      </c>
      <c r="P35" s="8">
        <f>IFERROR(__xludf.DUMMYFUNCTION("""COMPUTED_VALUE"""),0.194342587742273)</f>
        <v>0.1943425877</v>
      </c>
      <c r="Q35" s="8">
        <f>IFERROR(__xludf.DUMMYFUNCTION("""COMPUTED_VALUE"""),0.132010353753235)</f>
        <v>0.1320103538</v>
      </c>
      <c r="R35" s="8">
        <f>IFERROR(__xludf.DUMMYFUNCTION("""COMPUTED_VALUE"""),0.15)</f>
        <v>0.15</v>
      </c>
      <c r="S35" s="8">
        <f>IFERROR(__xludf.DUMMYFUNCTION("""COMPUTED_VALUE"""),0.0)</f>
        <v>0</v>
      </c>
      <c r="T35" s="8">
        <f>IFERROR(__xludf.DUMMYFUNCTION("""COMPUTED_VALUE"""),0.0)</f>
        <v>0</v>
      </c>
      <c r="U35" s="8">
        <f>IFERROR(__xludf.DUMMYFUNCTION("""COMPUTED_VALUE"""),0.0)</f>
        <v>0</v>
      </c>
      <c r="V35" s="8">
        <f>IFERROR(__xludf.DUMMYFUNCTION("""COMPUTED_VALUE"""),0.0)</f>
        <v>0</v>
      </c>
      <c r="W35" s="8">
        <f>IFERROR(__xludf.DUMMYFUNCTION("""COMPUTED_VALUE"""),0.0)</f>
        <v>0</v>
      </c>
      <c r="X35" s="8">
        <f>IFERROR(__xludf.DUMMYFUNCTION("""COMPUTED_VALUE"""),0.0)</f>
        <v>0</v>
      </c>
      <c r="Y35" s="8">
        <f>IFERROR(__xludf.DUMMYFUNCTION("""COMPUTED_VALUE"""),0.0)</f>
        <v>0</v>
      </c>
      <c r="Z35" s="8">
        <f>IFERROR(__xludf.DUMMYFUNCTION("""COMPUTED_VALUE"""),0.0)</f>
        <v>0</v>
      </c>
      <c r="AA35" s="8">
        <f>IFERROR(__xludf.DUMMYFUNCTION("""COMPUTED_VALUE"""),0.0)</f>
        <v>0</v>
      </c>
      <c r="AB35" s="8">
        <f>IFERROR(__xludf.DUMMYFUNCTION("""COMPUTED_VALUE"""),0.0)</f>
        <v>0</v>
      </c>
      <c r="AC35" s="8">
        <f>IFERROR(__xludf.DUMMYFUNCTION("""COMPUTED_VALUE"""),0.0)</f>
        <v>0</v>
      </c>
    </row>
    <row r="36" ht="15.75" customHeight="1">
      <c r="A36" s="6" t="str">
        <f>IFERROR(__xludf.DUMMYFUNCTION("""COMPUTED_VALUE"""),"1e8c33b5d824973efcdca4b5194f961aed4ba258")</f>
        <v>1e8c33b5d824973efcdca4b5194f961aed4ba258</v>
      </c>
      <c r="B36" s="6" t="str">
        <f>IFERROR(__xludf.DUMMYFUNCTION("""COMPUTED_VALUE"""),"Mafia's Reluctant Bride")</f>
        <v>Mafia's Reluctant Bride</v>
      </c>
      <c r="C36" s="6" t="str">
        <f>IFERROR(__xludf.DUMMYFUNCTION("""COMPUTED_VALUE"""),"Romance")</f>
        <v>Romance</v>
      </c>
      <c r="D36" s="11">
        <f>IFERROR(__xludf.DUMMYFUNCTION("""COMPUTED_VALUE"""),3026.0)</f>
        <v>3026</v>
      </c>
      <c r="E36" s="8">
        <f>IFERROR(__xludf.DUMMYFUNCTION("""COMPUTED_VALUE"""),0.975338659256686)</f>
        <v>0.9753386593</v>
      </c>
      <c r="F36" s="8">
        <f>IFERROR(__xludf.DUMMYFUNCTION("""COMPUTED_VALUE"""),0.396396396396396)</f>
        <v>0.3963963964</v>
      </c>
      <c r="G36" s="8">
        <f>IFERROR(__xludf.DUMMYFUNCTION("""COMPUTED_VALUE"""),0.332950191570881)</f>
        <v>0.3329501916</v>
      </c>
      <c r="H36" s="8">
        <f>IFERROR(__xludf.DUMMYFUNCTION("""COMPUTED_VALUE"""),0.293512658227848)</f>
        <v>0.2935126582</v>
      </c>
      <c r="I36" s="8">
        <f>IFERROR(__xludf.DUMMYFUNCTION("""COMPUTED_VALUE"""),0.263665594855305)</f>
        <v>0.2636655949</v>
      </c>
      <c r="J36" s="8">
        <f>IFERROR(__xludf.DUMMYFUNCTION("""COMPUTED_VALUE"""),0.238075657894736)</f>
        <v>0.2380756579</v>
      </c>
      <c r="K36" s="8">
        <f>IFERROR(__xludf.DUMMYFUNCTION("""COMPUTED_VALUE"""),0.222409435551811)</f>
        <v>0.2224094356</v>
      </c>
      <c r="L36" s="8">
        <f>IFERROR(__xludf.DUMMYFUNCTION("""COMPUTED_VALUE"""),0.211193703541757)</f>
        <v>0.2111937035</v>
      </c>
      <c r="M36" s="8">
        <f>IFERROR(__xludf.DUMMYFUNCTION("""COMPUTED_VALUE"""),0.190195188379482)</f>
        <v>0.1901951884</v>
      </c>
      <c r="N36" s="8">
        <f>IFERROR(__xludf.DUMMYFUNCTION("""COMPUTED_VALUE"""),0.183830606352261)</f>
        <v>0.1838306064</v>
      </c>
      <c r="O36" s="8">
        <f>IFERROR(__xludf.DUMMYFUNCTION("""COMPUTED_VALUE"""),0.154712507409602)</f>
        <v>0.1547125074</v>
      </c>
      <c r="P36" s="8">
        <f>IFERROR(__xludf.DUMMYFUNCTION("""COMPUTED_VALUE"""),0.125581395348837)</f>
        <v>0.1255813953</v>
      </c>
      <c r="Q36" s="8">
        <f>IFERROR(__xludf.DUMMYFUNCTION("""COMPUTED_VALUE"""),0.0)</f>
        <v>0</v>
      </c>
      <c r="R36" s="8">
        <f>IFERROR(__xludf.DUMMYFUNCTION("""COMPUTED_VALUE"""),0.0)</f>
        <v>0</v>
      </c>
      <c r="S36" s="8">
        <f>IFERROR(__xludf.DUMMYFUNCTION("""COMPUTED_VALUE"""),0.0)</f>
        <v>0</v>
      </c>
      <c r="T36" s="8">
        <f>IFERROR(__xludf.DUMMYFUNCTION("""COMPUTED_VALUE"""),0.0)</f>
        <v>0</v>
      </c>
      <c r="U36" s="8">
        <f>IFERROR(__xludf.DUMMYFUNCTION("""COMPUTED_VALUE"""),0.0)</f>
        <v>0</v>
      </c>
      <c r="V36" s="8">
        <f>IFERROR(__xludf.DUMMYFUNCTION("""COMPUTED_VALUE"""),0.0)</f>
        <v>0</v>
      </c>
      <c r="W36" s="8">
        <f>IFERROR(__xludf.DUMMYFUNCTION("""COMPUTED_VALUE"""),0.0)</f>
        <v>0</v>
      </c>
      <c r="X36" s="8">
        <f>IFERROR(__xludf.DUMMYFUNCTION("""COMPUTED_VALUE"""),0.0)</f>
        <v>0</v>
      </c>
      <c r="Y36" s="8">
        <f>IFERROR(__xludf.DUMMYFUNCTION("""COMPUTED_VALUE"""),0.0)</f>
        <v>0</v>
      </c>
      <c r="Z36" s="8">
        <f>IFERROR(__xludf.DUMMYFUNCTION("""COMPUTED_VALUE"""),0.0)</f>
        <v>0</v>
      </c>
      <c r="AA36" s="8">
        <f>IFERROR(__xludf.DUMMYFUNCTION("""COMPUTED_VALUE"""),0.0)</f>
        <v>0</v>
      </c>
      <c r="AB36" s="8">
        <f>IFERROR(__xludf.DUMMYFUNCTION("""COMPUTED_VALUE"""),0.0)</f>
        <v>0</v>
      </c>
      <c r="AC36" s="8">
        <f>IFERROR(__xludf.DUMMYFUNCTION("""COMPUTED_VALUE"""),0.0)</f>
        <v>0</v>
      </c>
    </row>
    <row r="37" ht="15.75" customHeight="1">
      <c r="A37" s="6" t="str">
        <f>IFERROR(__xludf.DUMMYFUNCTION("""COMPUTED_VALUE"""),"1f78098e196cc2154bbadfe054e0bdd13c10fa60")</f>
        <v>1f78098e196cc2154bbadfe054e0bdd13c10fa60</v>
      </c>
      <c r="B37" s="6" t="str">
        <f>IFERROR(__xludf.DUMMYFUNCTION("""COMPUTED_VALUE"""),"The Marriage Timer")</f>
        <v>The Marriage Timer</v>
      </c>
      <c r="C37" s="6" t="str">
        <f>IFERROR(__xludf.DUMMYFUNCTION("""COMPUTED_VALUE"""),"Romance")</f>
        <v>Romance</v>
      </c>
      <c r="D37" s="11">
        <f>IFERROR(__xludf.DUMMYFUNCTION("""COMPUTED_VALUE"""),4047.0)</f>
        <v>4047</v>
      </c>
      <c r="E37" s="8">
        <f>IFERROR(__xludf.DUMMYFUNCTION("""COMPUTED_VALUE"""),0.959148304035652)</f>
        <v>0.959148304</v>
      </c>
      <c r="F37" s="8">
        <f>IFERROR(__xludf.DUMMYFUNCTION("""COMPUTED_VALUE"""),0.42499380114059)</f>
        <v>0.4249938011</v>
      </c>
      <c r="G37" s="8">
        <f>IFERROR(__xludf.DUMMYFUNCTION("""COMPUTED_VALUE"""),0.347966269841269)</f>
        <v>0.3479662698</v>
      </c>
      <c r="H37" s="8">
        <f>IFERROR(__xludf.DUMMYFUNCTION("""COMPUTED_VALUE"""),0.308819875776397)</f>
        <v>0.3088198758</v>
      </c>
      <c r="I37" s="8">
        <f>IFERROR(__xludf.DUMMYFUNCTION("""COMPUTED_VALUE"""),0.287384921622294)</f>
        <v>0.2873849216</v>
      </c>
      <c r="J37" s="8">
        <f>IFERROR(__xludf.DUMMYFUNCTION("""COMPUTED_VALUE"""),0.270007479431563)</f>
        <v>0.2700074794</v>
      </c>
      <c r="K37" s="8">
        <f>IFERROR(__xludf.DUMMYFUNCTION("""COMPUTED_VALUE"""),0.253928660513843)</f>
        <v>0.2539286605</v>
      </c>
      <c r="L37" s="8">
        <f>IFERROR(__xludf.DUMMYFUNCTION("""COMPUTED_VALUE"""),0.251811141643767)</f>
        <v>0.2518111416</v>
      </c>
      <c r="M37" s="8">
        <f>IFERROR(__xludf.DUMMYFUNCTION("""COMPUTED_VALUE"""),0.2445)</f>
        <v>0.2445</v>
      </c>
      <c r="N37" s="8">
        <f>IFERROR(__xludf.DUMMYFUNCTION("""COMPUTED_VALUE"""),0.227534418022528)</f>
        <v>0.227534418</v>
      </c>
      <c r="O37" s="8">
        <f>IFERROR(__xludf.DUMMYFUNCTION("""COMPUTED_VALUE"""),0.21060606060606)</f>
        <v>0.2106060606</v>
      </c>
      <c r="P37" s="8">
        <f>IFERROR(__xludf.DUMMYFUNCTION("""COMPUTED_VALUE"""),0.12584138132865)</f>
        <v>0.1258413813</v>
      </c>
      <c r="Q37" s="8">
        <f>IFERROR(__xludf.DUMMYFUNCTION("""COMPUTED_VALUE"""),0.0730721393034825)</f>
        <v>0.0730721393</v>
      </c>
      <c r="R37" s="8">
        <f>IFERROR(__xludf.DUMMYFUNCTION("""COMPUTED_VALUE"""),0.0)</f>
        <v>0</v>
      </c>
      <c r="S37" s="8">
        <f>IFERROR(__xludf.DUMMYFUNCTION("""COMPUTED_VALUE"""),0.0)</f>
        <v>0</v>
      </c>
      <c r="T37" s="8">
        <f>IFERROR(__xludf.DUMMYFUNCTION("""COMPUTED_VALUE"""),0.0)</f>
        <v>0</v>
      </c>
      <c r="U37" s="8">
        <f>IFERROR(__xludf.DUMMYFUNCTION("""COMPUTED_VALUE"""),0.0)</f>
        <v>0</v>
      </c>
      <c r="V37" s="8">
        <f>IFERROR(__xludf.DUMMYFUNCTION("""COMPUTED_VALUE"""),0.0)</f>
        <v>0</v>
      </c>
      <c r="W37" s="8">
        <f>IFERROR(__xludf.DUMMYFUNCTION("""COMPUTED_VALUE"""),0.0)</f>
        <v>0</v>
      </c>
      <c r="X37" s="8">
        <f>IFERROR(__xludf.DUMMYFUNCTION("""COMPUTED_VALUE"""),0.0)</f>
        <v>0</v>
      </c>
      <c r="Y37" s="8">
        <f>IFERROR(__xludf.DUMMYFUNCTION("""COMPUTED_VALUE"""),0.0)</f>
        <v>0</v>
      </c>
      <c r="Z37" s="8">
        <f>IFERROR(__xludf.DUMMYFUNCTION("""COMPUTED_VALUE"""),0.0)</f>
        <v>0</v>
      </c>
      <c r="AA37" s="8">
        <f>IFERROR(__xludf.DUMMYFUNCTION("""COMPUTED_VALUE"""),0.0)</f>
        <v>0</v>
      </c>
      <c r="AB37" s="8">
        <f>IFERROR(__xludf.DUMMYFUNCTION("""COMPUTED_VALUE"""),0.0)</f>
        <v>0</v>
      </c>
      <c r="AC37" s="8">
        <f>IFERROR(__xludf.DUMMYFUNCTION("""COMPUTED_VALUE"""),0.0)</f>
        <v>0</v>
      </c>
    </row>
    <row r="38" ht="15.75" customHeight="1">
      <c r="A38" s="6" t="str">
        <f>IFERROR(__xludf.DUMMYFUNCTION("""COMPUTED_VALUE"""),"2039c770620dbd485e50118a476f0b91b4bd035b")</f>
        <v>2039c770620dbd485e50118a476f0b91b4bd035b</v>
      </c>
      <c r="B38" s="6" t="str">
        <f>IFERROR(__xludf.DUMMYFUNCTION("""COMPUTED_VALUE"""),"Princess Ebony &amp; the Silver Dragon - Remastered Edition")</f>
        <v>Princess Ebony &amp; the Silver Dragon - Remastered Edition</v>
      </c>
      <c r="C38" s="6" t="str">
        <f>IFERROR(__xludf.DUMMYFUNCTION("""COMPUTED_VALUE"""),"Fantasy")</f>
        <v>Fantasy</v>
      </c>
      <c r="D38" s="11">
        <f>IFERROR(__xludf.DUMMYFUNCTION("""COMPUTED_VALUE"""),25761.0)</f>
        <v>25761</v>
      </c>
      <c r="E38" s="8">
        <f>IFERROR(__xludf.DUMMYFUNCTION("""COMPUTED_VALUE"""),0.93560872624912)</f>
        <v>0.9356087262</v>
      </c>
      <c r="F38" s="8">
        <f>IFERROR(__xludf.DUMMYFUNCTION("""COMPUTED_VALUE"""),0.459090191123045)</f>
        <v>0.4590901911</v>
      </c>
      <c r="G38" s="8">
        <f>IFERROR(__xludf.DUMMYFUNCTION("""COMPUTED_VALUE"""),0.413442766644089)</f>
        <v>0.4134427666</v>
      </c>
      <c r="H38" s="8">
        <f>IFERROR(__xludf.DUMMYFUNCTION("""COMPUTED_VALUE"""),0.385844473884941)</f>
        <v>0.3858444739</v>
      </c>
      <c r="I38" s="8">
        <f>IFERROR(__xludf.DUMMYFUNCTION("""COMPUTED_VALUE"""),0.368557641620372)</f>
        <v>0.3685576416</v>
      </c>
      <c r="J38" s="8">
        <f>IFERROR(__xludf.DUMMYFUNCTION("""COMPUTED_VALUE"""),0.351763935499713)</f>
        <v>0.3517639355</v>
      </c>
      <c r="K38" s="8">
        <f>IFERROR(__xludf.DUMMYFUNCTION("""COMPUTED_VALUE"""),0.339846331791143)</f>
        <v>0.3398463318</v>
      </c>
      <c r="L38" s="8">
        <f>IFERROR(__xludf.DUMMYFUNCTION("""COMPUTED_VALUE"""),0.33160621761658)</f>
        <v>0.3316062176</v>
      </c>
      <c r="M38" s="8">
        <f>IFERROR(__xludf.DUMMYFUNCTION("""COMPUTED_VALUE"""),0.324830003801157)</f>
        <v>0.3248300038</v>
      </c>
      <c r="N38" s="8">
        <f>IFERROR(__xludf.DUMMYFUNCTION("""COMPUTED_VALUE"""),0.319375746205014)</f>
        <v>0.3193757462</v>
      </c>
      <c r="O38" s="8">
        <f>IFERROR(__xludf.DUMMYFUNCTION("""COMPUTED_VALUE"""),0.300959396171509)</f>
        <v>0.3009593962</v>
      </c>
      <c r="P38" s="8">
        <f>IFERROR(__xludf.DUMMYFUNCTION("""COMPUTED_VALUE"""),0.273812435790812)</f>
        <v>0.2738124358</v>
      </c>
      <c r="Q38" s="8">
        <f>IFERROR(__xludf.DUMMYFUNCTION("""COMPUTED_VALUE"""),0.220467936616898)</f>
        <v>0.2204679366</v>
      </c>
      <c r="R38" s="8">
        <f>IFERROR(__xludf.DUMMYFUNCTION("""COMPUTED_VALUE"""),0.171003950586317)</f>
        <v>0.1710039506</v>
      </c>
      <c r="S38" s="8">
        <f>IFERROR(__xludf.DUMMYFUNCTION("""COMPUTED_VALUE"""),0.134998265695456)</f>
        <v>0.1349982657</v>
      </c>
      <c r="T38" s="8">
        <f>IFERROR(__xludf.DUMMYFUNCTION("""COMPUTED_VALUE"""),0.103568596352101)</f>
        <v>0.1035685964</v>
      </c>
      <c r="U38" s="8">
        <f>IFERROR(__xludf.DUMMYFUNCTION("""COMPUTED_VALUE"""),0.0861398243859064)</f>
        <v>0.08613982439</v>
      </c>
      <c r="V38" s="8">
        <f>IFERROR(__xludf.DUMMYFUNCTION("""COMPUTED_VALUE"""),0.0760243028509113)</f>
        <v>0.07602430285</v>
      </c>
      <c r="W38" s="8">
        <f>IFERROR(__xludf.DUMMYFUNCTION("""COMPUTED_VALUE"""),0.0543502572131514)</f>
        <v>0.05435025721</v>
      </c>
      <c r="X38" s="8">
        <f>IFERROR(__xludf.DUMMYFUNCTION("""COMPUTED_VALUE"""),0.025735294117647)</f>
        <v>0.02573529412</v>
      </c>
      <c r="Y38" s="8">
        <f>IFERROR(__xludf.DUMMYFUNCTION("""COMPUTED_VALUE"""),0.0)</f>
        <v>0</v>
      </c>
      <c r="Z38" s="8">
        <f>IFERROR(__xludf.DUMMYFUNCTION("""COMPUTED_VALUE"""),0.0)</f>
        <v>0</v>
      </c>
      <c r="AA38" s="8">
        <f>IFERROR(__xludf.DUMMYFUNCTION("""COMPUTED_VALUE"""),0.0)</f>
        <v>0</v>
      </c>
      <c r="AB38" s="8">
        <f>IFERROR(__xludf.DUMMYFUNCTION("""COMPUTED_VALUE"""),0.0)</f>
        <v>0</v>
      </c>
      <c r="AC38" s="8">
        <f>IFERROR(__xludf.DUMMYFUNCTION("""COMPUTED_VALUE"""),0.0)</f>
        <v>0</v>
      </c>
    </row>
    <row r="39" ht="15.75" customHeight="1">
      <c r="A39" s="6" t="str">
        <f>IFERROR(__xludf.DUMMYFUNCTION("""COMPUTED_VALUE"""),"215d4622bad0b1fca5cb36bca9f92b3c41d21f7e")</f>
        <v>215d4622bad0b1fca5cb36bca9f92b3c41d21f7e</v>
      </c>
      <c r="B39" s="6" t="str">
        <f>IFERROR(__xludf.DUMMYFUNCTION("""COMPUTED_VALUE"""),"Aiden's Regression")</f>
        <v>Aiden's Regression</v>
      </c>
      <c r="C39" s="6" t="str">
        <f>IFERROR(__xludf.DUMMYFUNCTION("""COMPUTED_VALUE"""),"System and Superpower")</f>
        <v>System and Superpower</v>
      </c>
      <c r="D39" s="11">
        <f>IFERROR(__xludf.DUMMYFUNCTION("""COMPUTED_VALUE"""),1349.0)</f>
        <v>1349</v>
      </c>
      <c r="E39" s="8">
        <f>IFERROR(__xludf.DUMMYFUNCTION("""COMPUTED_VALUE"""),0.961338289962825)</f>
        <v>0.96133829</v>
      </c>
      <c r="F39" s="8">
        <f>IFERROR(__xludf.DUMMYFUNCTION("""COMPUTED_VALUE"""),0.57100149476831)</f>
        <v>0.5710014948</v>
      </c>
      <c r="G39" s="8">
        <f>IFERROR(__xludf.DUMMYFUNCTION("""COMPUTED_VALUE"""),0.523952095808383)</f>
        <v>0.5239520958</v>
      </c>
      <c r="H39" s="8">
        <f>IFERROR(__xludf.DUMMYFUNCTION("""COMPUTED_VALUE"""),0.499625468164794)</f>
        <v>0.4996254682</v>
      </c>
      <c r="I39" s="8">
        <f>IFERROR(__xludf.DUMMYFUNCTION("""COMPUTED_VALUE"""),0.47593984962406)</f>
        <v>0.4759398496</v>
      </c>
      <c r="J39" s="8">
        <f>IFERROR(__xludf.DUMMYFUNCTION("""COMPUTED_VALUE"""),0.456948640483383)</f>
        <v>0.4569486405</v>
      </c>
      <c r="K39" s="8">
        <f>IFERROR(__xludf.DUMMYFUNCTION("""COMPUTED_VALUE"""),0.44081942336874)</f>
        <v>0.4408194234</v>
      </c>
      <c r="L39" s="8">
        <f>IFERROR(__xludf.DUMMYFUNCTION("""COMPUTED_VALUE"""),0.419649657273419)</f>
        <v>0.4196496573</v>
      </c>
      <c r="M39" s="8">
        <f>IFERROR(__xludf.DUMMYFUNCTION("""COMPUTED_VALUE"""),0.402905198776758)</f>
        <v>0.4029051988</v>
      </c>
      <c r="N39" s="8">
        <f>IFERROR(__xludf.DUMMYFUNCTION("""COMPUTED_VALUE"""),0.385208012326656)</f>
        <v>0.3852080123</v>
      </c>
      <c r="O39" s="8">
        <f>IFERROR(__xludf.DUMMYFUNCTION("""COMPUTED_VALUE"""),0.361060329067641)</f>
        <v>0.3610603291</v>
      </c>
      <c r="P39" s="8">
        <f>IFERROR(__xludf.DUMMYFUNCTION("""COMPUTED_VALUE"""),0.280701754385964)</f>
        <v>0.2807017544</v>
      </c>
      <c r="Q39" s="8">
        <f>IFERROR(__xludf.DUMMYFUNCTION("""COMPUTED_VALUE"""),0.0)</f>
        <v>0</v>
      </c>
      <c r="R39" s="8">
        <f>IFERROR(__xludf.DUMMYFUNCTION("""COMPUTED_VALUE"""),0.0)</f>
        <v>0</v>
      </c>
      <c r="S39" s="8">
        <f>IFERROR(__xludf.DUMMYFUNCTION("""COMPUTED_VALUE"""),0.0)</f>
        <v>0</v>
      </c>
      <c r="T39" s="8">
        <f>IFERROR(__xludf.DUMMYFUNCTION("""COMPUTED_VALUE"""),0.0)</f>
        <v>0</v>
      </c>
      <c r="U39" s="8">
        <f>IFERROR(__xludf.DUMMYFUNCTION("""COMPUTED_VALUE"""),0.0)</f>
        <v>0</v>
      </c>
      <c r="V39" s="8">
        <f>IFERROR(__xludf.DUMMYFUNCTION("""COMPUTED_VALUE"""),0.0)</f>
        <v>0</v>
      </c>
      <c r="W39" s="8">
        <f>IFERROR(__xludf.DUMMYFUNCTION("""COMPUTED_VALUE"""),0.0)</f>
        <v>0</v>
      </c>
      <c r="X39" s="8">
        <f>IFERROR(__xludf.DUMMYFUNCTION("""COMPUTED_VALUE"""),0.0)</f>
        <v>0</v>
      </c>
      <c r="Y39" s="8">
        <f>IFERROR(__xludf.DUMMYFUNCTION("""COMPUTED_VALUE"""),0.0)</f>
        <v>0</v>
      </c>
      <c r="Z39" s="8">
        <f>IFERROR(__xludf.DUMMYFUNCTION("""COMPUTED_VALUE"""),0.0)</f>
        <v>0</v>
      </c>
      <c r="AA39" s="8">
        <f>IFERROR(__xludf.DUMMYFUNCTION("""COMPUTED_VALUE"""),0.0)</f>
        <v>0</v>
      </c>
      <c r="AB39" s="8">
        <f>IFERROR(__xludf.DUMMYFUNCTION("""COMPUTED_VALUE"""),0.0)</f>
        <v>0</v>
      </c>
      <c r="AC39" s="8">
        <f>IFERROR(__xludf.DUMMYFUNCTION("""COMPUTED_VALUE"""),0.0)</f>
        <v>0</v>
      </c>
    </row>
    <row r="40" ht="15.75" customHeight="1">
      <c r="A40" s="6" t="str">
        <f>IFERROR(__xludf.DUMMYFUNCTION("""COMPUTED_VALUE"""),"2217881cc8f3c05fb3e0dbf70a118129e4e12471")</f>
        <v>2217881cc8f3c05fb3e0dbf70a118129e4e12471</v>
      </c>
      <c r="B40" s="6" t="str">
        <f>IFERROR(__xludf.DUMMYFUNCTION("""COMPUTED_VALUE"""),"Sevenfold Saint's Rise")</f>
        <v>Sevenfold Saint's Rise</v>
      </c>
      <c r="C40" s="6" t="str">
        <f>IFERROR(__xludf.DUMMYFUNCTION("""COMPUTED_VALUE"""),"Fantasy")</f>
        <v>Fantasy</v>
      </c>
      <c r="D40" s="11">
        <f>IFERROR(__xludf.DUMMYFUNCTION("""COMPUTED_VALUE"""),806.0)</f>
        <v>806</v>
      </c>
      <c r="E40" s="8">
        <f>IFERROR(__xludf.DUMMYFUNCTION("""COMPUTED_VALUE"""),0.977667493796526)</f>
        <v>0.9776674938</v>
      </c>
      <c r="F40" s="8">
        <f>IFERROR(__xludf.DUMMYFUNCTION("""COMPUTED_VALUE"""),0.610486891385767)</f>
        <v>0.6104868914</v>
      </c>
      <c r="G40" s="8">
        <f>IFERROR(__xludf.DUMMYFUNCTION("""COMPUTED_VALUE"""),0.533919597989949)</f>
        <v>0.533919598</v>
      </c>
      <c r="H40" s="8">
        <f>IFERROR(__xludf.DUMMYFUNCTION("""COMPUTED_VALUE"""),0.520253164556962)</f>
        <v>0.5202531646</v>
      </c>
      <c r="I40" s="8">
        <f>IFERROR(__xludf.DUMMYFUNCTION("""COMPUTED_VALUE"""),0.446564885496183)</f>
        <v>0.4465648855</v>
      </c>
      <c r="J40" s="8">
        <f>IFERROR(__xludf.DUMMYFUNCTION("""COMPUTED_VALUE"""),0.392487046632124)</f>
        <v>0.3924870466</v>
      </c>
      <c r="K40" s="8">
        <f>IFERROR(__xludf.DUMMYFUNCTION("""COMPUTED_VALUE"""),0.342555994729907)</f>
        <v>0.3425559947</v>
      </c>
      <c r="L40" s="8">
        <f>IFERROR(__xludf.DUMMYFUNCTION("""COMPUTED_VALUE"""),0.323699421965317)</f>
        <v>0.323699422</v>
      </c>
      <c r="M40" s="8">
        <f>IFERROR(__xludf.DUMMYFUNCTION("""COMPUTED_VALUE"""),0.289473684210526)</f>
        <v>0.2894736842</v>
      </c>
      <c r="N40" s="8">
        <f>IFERROR(__xludf.DUMMYFUNCTION("""COMPUTED_VALUE"""),0.241935483870967)</f>
        <v>0.2419354839</v>
      </c>
      <c r="O40" s="8">
        <f>IFERROR(__xludf.DUMMYFUNCTION("""COMPUTED_VALUE"""),0.0)</f>
        <v>0</v>
      </c>
      <c r="P40" s="8">
        <f>IFERROR(__xludf.DUMMYFUNCTION("""COMPUTED_VALUE"""),0.0)</f>
        <v>0</v>
      </c>
      <c r="Q40" s="8">
        <f>IFERROR(__xludf.DUMMYFUNCTION("""COMPUTED_VALUE"""),0.0)</f>
        <v>0</v>
      </c>
      <c r="R40" s="8">
        <f>IFERROR(__xludf.DUMMYFUNCTION("""COMPUTED_VALUE"""),0.0)</f>
        <v>0</v>
      </c>
      <c r="S40" s="8">
        <f>IFERROR(__xludf.DUMMYFUNCTION("""COMPUTED_VALUE"""),0.0)</f>
        <v>0</v>
      </c>
      <c r="T40" s="8">
        <f>IFERROR(__xludf.DUMMYFUNCTION("""COMPUTED_VALUE"""),0.0)</f>
        <v>0</v>
      </c>
      <c r="U40" s="8">
        <f>IFERROR(__xludf.DUMMYFUNCTION("""COMPUTED_VALUE"""),0.0)</f>
        <v>0</v>
      </c>
      <c r="V40" s="8">
        <f>IFERROR(__xludf.DUMMYFUNCTION("""COMPUTED_VALUE"""),0.0)</f>
        <v>0</v>
      </c>
      <c r="W40" s="8">
        <f>IFERROR(__xludf.DUMMYFUNCTION("""COMPUTED_VALUE"""),0.0)</f>
        <v>0</v>
      </c>
      <c r="X40" s="8">
        <f>IFERROR(__xludf.DUMMYFUNCTION("""COMPUTED_VALUE"""),0.0)</f>
        <v>0</v>
      </c>
      <c r="Y40" s="8">
        <f>IFERROR(__xludf.DUMMYFUNCTION("""COMPUTED_VALUE"""),0.0)</f>
        <v>0</v>
      </c>
      <c r="Z40" s="8">
        <f>IFERROR(__xludf.DUMMYFUNCTION("""COMPUTED_VALUE"""),0.0)</f>
        <v>0</v>
      </c>
      <c r="AA40" s="8">
        <f>IFERROR(__xludf.DUMMYFUNCTION("""COMPUTED_VALUE"""),0.0)</f>
        <v>0</v>
      </c>
      <c r="AB40" s="8">
        <f>IFERROR(__xludf.DUMMYFUNCTION("""COMPUTED_VALUE"""),0.0)</f>
        <v>0</v>
      </c>
      <c r="AC40" s="8">
        <f>IFERROR(__xludf.DUMMYFUNCTION("""COMPUTED_VALUE"""),0.0)</f>
        <v>0</v>
      </c>
    </row>
    <row r="41" ht="15.75" customHeight="1">
      <c r="A41" s="6" t="str">
        <f>IFERROR(__xludf.DUMMYFUNCTION("""COMPUTED_VALUE"""),"23200139c53ab123429a0f621a7519272bf21ea7")</f>
        <v>23200139c53ab123429a0f621a7519272bf21ea7</v>
      </c>
      <c r="B41" s="6" t="str">
        <f>IFERROR(__xludf.DUMMYFUNCTION("""COMPUTED_VALUE"""),"The Fae Lycan Abomination")</f>
        <v>The Fae Lycan Abomination</v>
      </c>
      <c r="C41" s="6" t="str">
        <f>IFERROR(__xludf.DUMMYFUNCTION("""COMPUTED_VALUE"""),"Fantasy")</f>
        <v>Fantasy</v>
      </c>
      <c r="D41" s="11">
        <f>IFERROR(__xludf.DUMMYFUNCTION("""COMPUTED_VALUE"""),503.0)</f>
        <v>503</v>
      </c>
      <c r="E41" s="8">
        <f>IFERROR(__xludf.DUMMYFUNCTION("""COMPUTED_VALUE"""),0.9738430583501)</f>
        <v>0.9738430584</v>
      </c>
      <c r="F41" s="8">
        <f>IFERROR(__xludf.DUMMYFUNCTION("""COMPUTED_VALUE"""),0.387163561076604)</f>
        <v>0.3871635611</v>
      </c>
      <c r="G41" s="8">
        <f>IFERROR(__xludf.DUMMYFUNCTION("""COMPUTED_VALUE"""),0.283298097251585)</f>
        <v>0.2832980973</v>
      </c>
      <c r="H41" s="8">
        <f>IFERROR(__xludf.DUMMYFUNCTION("""COMPUTED_VALUE"""),0.228506787330316)</f>
        <v>0.2285067873</v>
      </c>
      <c r="I41" s="8">
        <f>IFERROR(__xludf.DUMMYFUNCTION("""COMPUTED_VALUE"""),0.218823529411764)</f>
        <v>0.2188235294</v>
      </c>
      <c r="J41" s="8">
        <f>IFERROR(__xludf.DUMMYFUNCTION("""COMPUTED_VALUE"""),0.195)</f>
        <v>0.195</v>
      </c>
      <c r="K41" s="8">
        <f>IFERROR(__xludf.DUMMYFUNCTION("""COMPUTED_VALUE"""),0.167979002624671)</f>
        <v>0.1679790026</v>
      </c>
      <c r="L41" s="8">
        <f>IFERROR(__xludf.DUMMYFUNCTION("""COMPUTED_VALUE"""),0.156164383561643)</f>
        <v>0.1561643836</v>
      </c>
      <c r="M41" s="8">
        <f>IFERROR(__xludf.DUMMYFUNCTION("""COMPUTED_VALUE"""),0.148459383753501)</f>
        <v>0.1484593838</v>
      </c>
      <c r="N41" s="8">
        <f>IFERROR(__xludf.DUMMYFUNCTION("""COMPUTED_VALUE"""),0.139465875370919)</f>
        <v>0.1394658754</v>
      </c>
      <c r="O41" s="8">
        <f>IFERROR(__xludf.DUMMYFUNCTION("""COMPUTED_VALUE"""),0.108771929824561)</f>
        <v>0.1087719298</v>
      </c>
      <c r="P41" s="8">
        <f>IFERROR(__xludf.DUMMYFUNCTION("""COMPUTED_VALUE"""),0.113043478260869)</f>
        <v>0.1130434783</v>
      </c>
      <c r="Q41" s="8">
        <f>IFERROR(__xludf.DUMMYFUNCTION("""COMPUTED_VALUE"""),0.0)</f>
        <v>0</v>
      </c>
      <c r="R41" s="8">
        <f>IFERROR(__xludf.DUMMYFUNCTION("""COMPUTED_VALUE"""),0.0)</f>
        <v>0</v>
      </c>
      <c r="S41" s="8">
        <f>IFERROR(__xludf.DUMMYFUNCTION("""COMPUTED_VALUE"""),0.0)</f>
        <v>0</v>
      </c>
      <c r="T41" s="8">
        <f>IFERROR(__xludf.DUMMYFUNCTION("""COMPUTED_VALUE"""),0.0)</f>
        <v>0</v>
      </c>
      <c r="U41" s="8">
        <f>IFERROR(__xludf.DUMMYFUNCTION("""COMPUTED_VALUE"""),0.0)</f>
        <v>0</v>
      </c>
      <c r="V41" s="8">
        <f>IFERROR(__xludf.DUMMYFUNCTION("""COMPUTED_VALUE"""),0.0)</f>
        <v>0</v>
      </c>
      <c r="W41" s="8">
        <f>IFERROR(__xludf.DUMMYFUNCTION("""COMPUTED_VALUE"""),0.0)</f>
        <v>0</v>
      </c>
      <c r="X41" s="8">
        <f>IFERROR(__xludf.DUMMYFUNCTION("""COMPUTED_VALUE"""),0.0)</f>
        <v>0</v>
      </c>
      <c r="Y41" s="8">
        <f>IFERROR(__xludf.DUMMYFUNCTION("""COMPUTED_VALUE"""),0.0)</f>
        <v>0</v>
      </c>
      <c r="Z41" s="8">
        <f>IFERROR(__xludf.DUMMYFUNCTION("""COMPUTED_VALUE"""),0.0)</f>
        <v>0</v>
      </c>
      <c r="AA41" s="8">
        <f>IFERROR(__xludf.DUMMYFUNCTION("""COMPUTED_VALUE"""),0.0)</f>
        <v>0</v>
      </c>
      <c r="AB41" s="8">
        <f>IFERROR(__xludf.DUMMYFUNCTION("""COMPUTED_VALUE"""),0.0)</f>
        <v>0</v>
      </c>
      <c r="AC41" s="8">
        <f>IFERROR(__xludf.DUMMYFUNCTION("""COMPUTED_VALUE"""),0.0)</f>
        <v>0</v>
      </c>
    </row>
    <row r="42" ht="15.75" customHeight="1">
      <c r="A42" s="6" t="str">
        <f>IFERROR(__xludf.DUMMYFUNCTION("""COMPUTED_VALUE"""),"234ed47144507d63e9a903acfe37512c24bc9290")</f>
        <v>234ed47144507d63e9a903acfe37512c24bc9290</v>
      </c>
      <c r="B42" s="6" t="str">
        <f>IFERROR(__xludf.DUMMYFUNCTION("""COMPUTED_VALUE"""),"Twists of Love &amp; Revenge")</f>
        <v>Twists of Love &amp; Revenge</v>
      </c>
      <c r="C42" s="6" t="str">
        <f>IFERROR(__xludf.DUMMYFUNCTION("""COMPUTED_VALUE"""),"Drama")</f>
        <v>Drama</v>
      </c>
      <c r="D42" s="11">
        <f>IFERROR(__xludf.DUMMYFUNCTION("""COMPUTED_VALUE"""),35528.0)</f>
        <v>35528</v>
      </c>
      <c r="E42" s="8">
        <f>IFERROR(__xludf.DUMMYFUNCTION("""COMPUTED_VALUE"""),0.913283506030236)</f>
        <v>0.913283506</v>
      </c>
      <c r="F42" s="8">
        <f>IFERROR(__xludf.DUMMYFUNCTION("""COMPUTED_VALUE"""),0.607687510629854)</f>
        <v>0.6076875106</v>
      </c>
      <c r="G42" s="8">
        <f>IFERROR(__xludf.DUMMYFUNCTION("""COMPUTED_VALUE"""),0.546958347520145)</f>
        <v>0.5469583475</v>
      </c>
      <c r="H42" s="8">
        <f>IFERROR(__xludf.DUMMYFUNCTION("""COMPUTED_VALUE"""),0.496647536791863)</f>
        <v>0.4966475368</v>
      </c>
      <c r="I42" s="8">
        <f>IFERROR(__xludf.DUMMYFUNCTION("""COMPUTED_VALUE"""),0.469656016160696)</f>
        <v>0.4696560162</v>
      </c>
      <c r="J42" s="8">
        <f>IFERROR(__xludf.DUMMYFUNCTION("""COMPUTED_VALUE"""),0.453061340778939)</f>
        <v>0.4530613408</v>
      </c>
      <c r="K42" s="8">
        <f>IFERROR(__xludf.DUMMYFUNCTION("""COMPUTED_VALUE"""),0.434312606959498)</f>
        <v>0.434312607</v>
      </c>
      <c r="L42" s="8">
        <f>IFERROR(__xludf.DUMMYFUNCTION("""COMPUTED_VALUE"""),0.419666323848703)</f>
        <v>0.4196663238</v>
      </c>
      <c r="M42" s="8">
        <f>IFERROR(__xludf.DUMMYFUNCTION("""COMPUTED_VALUE"""),0.407998626845176)</f>
        <v>0.4079986268</v>
      </c>
      <c r="N42" s="8">
        <f>IFERROR(__xludf.DUMMYFUNCTION("""COMPUTED_VALUE"""),0.400063006558409)</f>
        <v>0.4000630066</v>
      </c>
      <c r="O42" s="8">
        <f>IFERROR(__xludf.DUMMYFUNCTION("""COMPUTED_VALUE"""),0.376669840445483)</f>
        <v>0.3766698404</v>
      </c>
      <c r="P42" s="8">
        <f>IFERROR(__xludf.DUMMYFUNCTION("""COMPUTED_VALUE"""),0.325930706721037)</f>
        <v>0.3259307067</v>
      </c>
      <c r="Q42" s="8">
        <f>IFERROR(__xludf.DUMMYFUNCTION("""COMPUTED_VALUE"""),0.260638455827765)</f>
        <v>0.2606384558</v>
      </c>
      <c r="R42" s="8">
        <f>IFERROR(__xludf.DUMMYFUNCTION("""COMPUTED_VALUE"""),0.205580865603644)</f>
        <v>0.2055808656</v>
      </c>
      <c r="S42" s="8">
        <f>IFERROR(__xludf.DUMMYFUNCTION("""COMPUTED_VALUE"""),0.184392661770483)</f>
        <v>0.1843926618</v>
      </c>
      <c r="T42" s="8">
        <f>IFERROR(__xludf.DUMMYFUNCTION("""COMPUTED_VALUE"""),0.173343488194973)</f>
        <v>0.1733434882</v>
      </c>
      <c r="U42" s="8">
        <f>IFERROR(__xludf.DUMMYFUNCTION("""COMPUTED_VALUE"""),0.157680945347119)</f>
        <v>0.1576809453</v>
      </c>
      <c r="V42" s="8">
        <f>IFERROR(__xludf.DUMMYFUNCTION("""COMPUTED_VALUE"""),0.144195450716091)</f>
        <v>0.1441954507</v>
      </c>
      <c r="W42" s="8">
        <f>IFERROR(__xludf.DUMMYFUNCTION("""COMPUTED_VALUE"""),0.133234116438113)</f>
        <v>0.1332341164</v>
      </c>
      <c r="X42" s="8">
        <f>IFERROR(__xludf.DUMMYFUNCTION("""COMPUTED_VALUE"""),0.121386621920524)</f>
        <v>0.1213866219</v>
      </c>
      <c r="Y42" s="8">
        <f>IFERROR(__xludf.DUMMYFUNCTION("""COMPUTED_VALUE"""),0.10710864948153)</f>
        <v>0.1071086495</v>
      </c>
      <c r="Z42" s="8">
        <f>IFERROR(__xludf.DUMMYFUNCTION("""COMPUTED_VALUE"""),0.087266004159926)</f>
        <v>0.08726600416</v>
      </c>
      <c r="AA42" s="8">
        <f>IFERROR(__xludf.DUMMYFUNCTION("""COMPUTED_VALUE"""),0.054337279254803)</f>
        <v>0.05433727925</v>
      </c>
      <c r="AB42" s="8">
        <f>IFERROR(__xludf.DUMMYFUNCTION("""COMPUTED_VALUE"""),0.0392156862745098)</f>
        <v>0.03921568627</v>
      </c>
      <c r="AC42" s="8">
        <f>IFERROR(__xludf.DUMMYFUNCTION("""COMPUTED_VALUE"""),0.0)</f>
        <v>0</v>
      </c>
    </row>
    <row r="43" ht="15.75" customHeight="1">
      <c r="A43" s="6" t="str">
        <f>IFERROR(__xludf.DUMMYFUNCTION("""COMPUTED_VALUE"""),"239987644f409ac822be4ca9051a98eb8bf7e766")</f>
        <v>239987644f409ac822be4ca9051a98eb8bf7e766</v>
      </c>
      <c r="B43" s="6" t="str">
        <f>IFERROR(__xludf.DUMMYFUNCTION("""COMPUTED_VALUE"""),"The Silent Rebirth")</f>
        <v>The Silent Rebirth</v>
      </c>
      <c r="C43" s="6" t="str">
        <f>IFERROR(__xludf.DUMMYFUNCTION("""COMPUTED_VALUE"""),"Romantasy")</f>
        <v>Romantasy</v>
      </c>
      <c r="D43" s="11">
        <f>IFERROR(__xludf.DUMMYFUNCTION("""COMPUTED_VALUE"""),14243.0)</f>
        <v>14243</v>
      </c>
      <c r="E43" s="8">
        <f>IFERROR(__xludf.DUMMYFUNCTION("""COMPUTED_VALUE"""),0.940990516332982)</f>
        <v>0.9409905163</v>
      </c>
      <c r="F43" s="8">
        <f>IFERROR(__xludf.DUMMYFUNCTION("""COMPUTED_VALUE"""),0.511912291798439)</f>
        <v>0.5119122918</v>
      </c>
      <c r="G43" s="8">
        <f>IFERROR(__xludf.DUMMYFUNCTION("""COMPUTED_VALUE"""),0.447834645669291)</f>
        <v>0.4478346457</v>
      </c>
      <c r="H43" s="8">
        <f>IFERROR(__xludf.DUMMYFUNCTION("""COMPUTED_VALUE"""),0.418342945561963)</f>
        <v>0.4183429456</v>
      </c>
      <c r="I43" s="8">
        <f>IFERROR(__xludf.DUMMYFUNCTION("""COMPUTED_VALUE"""),0.40263120866751)</f>
        <v>0.4026312087</v>
      </c>
      <c r="J43" s="8">
        <f>IFERROR(__xludf.DUMMYFUNCTION("""COMPUTED_VALUE"""),0.382574424660426)</f>
        <v>0.3825744247</v>
      </c>
      <c r="K43" s="8">
        <f>IFERROR(__xludf.DUMMYFUNCTION("""COMPUTED_VALUE"""),0.357811729916214)</f>
        <v>0.3578117299</v>
      </c>
      <c r="L43" s="8">
        <f>IFERROR(__xludf.DUMMYFUNCTION("""COMPUTED_VALUE"""),0.347443301873503)</f>
        <v>0.3474433019</v>
      </c>
      <c r="M43" s="8">
        <f>IFERROR(__xludf.DUMMYFUNCTION("""COMPUTED_VALUE"""),0.33763122666103)</f>
        <v>0.3376312267</v>
      </c>
      <c r="N43" s="8">
        <f>IFERROR(__xludf.DUMMYFUNCTION("""COMPUTED_VALUE"""),0.329173716864072)</f>
        <v>0.3291737169</v>
      </c>
      <c r="O43" s="8">
        <f>IFERROR(__xludf.DUMMYFUNCTION("""COMPUTED_VALUE"""),0.314524112572479)</f>
        <v>0.3145241126</v>
      </c>
      <c r="P43" s="8">
        <f>IFERROR(__xludf.DUMMYFUNCTION("""COMPUTED_VALUE"""),0.266391986929033)</f>
        <v>0.2663919869</v>
      </c>
      <c r="Q43" s="8">
        <f>IFERROR(__xludf.DUMMYFUNCTION("""COMPUTED_VALUE"""),0.197210439283916)</f>
        <v>0.1972104393</v>
      </c>
      <c r="R43" s="8">
        <f>IFERROR(__xludf.DUMMYFUNCTION("""COMPUTED_VALUE"""),0.168743631946077)</f>
        <v>0.1687436319</v>
      </c>
      <c r="S43" s="8">
        <f>IFERROR(__xludf.DUMMYFUNCTION("""COMPUTED_VALUE"""),0.14819265970232)</f>
        <v>0.1481926597</v>
      </c>
      <c r="T43" s="8">
        <f>IFERROR(__xludf.DUMMYFUNCTION("""COMPUTED_VALUE"""),0.126655223148602)</f>
        <v>0.1266552231</v>
      </c>
      <c r="U43" s="8">
        <f>IFERROR(__xludf.DUMMYFUNCTION("""COMPUTED_VALUE"""),0.113117596070499)</f>
        <v>0.1131175961</v>
      </c>
      <c r="V43" s="8">
        <f>IFERROR(__xludf.DUMMYFUNCTION("""COMPUTED_VALUE"""),0.101403180542563)</f>
        <v>0.1014031805</v>
      </c>
      <c r="W43" s="8">
        <f>IFERROR(__xludf.DUMMYFUNCTION("""COMPUTED_VALUE"""),0.0848623853211009)</f>
        <v>0.08486238532</v>
      </c>
      <c r="X43" s="8">
        <f>IFERROR(__xludf.DUMMYFUNCTION("""COMPUTED_VALUE"""),0.0585392051557465)</f>
        <v>0.05853920516</v>
      </c>
      <c r="Y43" s="8">
        <f>IFERROR(__xludf.DUMMYFUNCTION("""COMPUTED_VALUE"""),0.0)</f>
        <v>0</v>
      </c>
      <c r="Z43" s="8">
        <f>IFERROR(__xludf.DUMMYFUNCTION("""COMPUTED_VALUE"""),0.0)</f>
        <v>0</v>
      </c>
      <c r="AA43" s="8">
        <f>IFERROR(__xludf.DUMMYFUNCTION("""COMPUTED_VALUE"""),0.0)</f>
        <v>0</v>
      </c>
      <c r="AB43" s="8">
        <f>IFERROR(__xludf.DUMMYFUNCTION("""COMPUTED_VALUE"""),0.0)</f>
        <v>0</v>
      </c>
      <c r="AC43" s="8">
        <f>IFERROR(__xludf.DUMMYFUNCTION("""COMPUTED_VALUE"""),0.0)</f>
        <v>0</v>
      </c>
    </row>
    <row r="44" ht="15.75" customHeight="1">
      <c r="A44" s="6" t="str">
        <f>IFERROR(__xludf.DUMMYFUNCTION("""COMPUTED_VALUE"""),"239fafc880752526fba110a11c49b101aec7192f")</f>
        <v>239fafc880752526fba110a11c49b101aec7192f</v>
      </c>
      <c r="B44" s="6" t="str">
        <f>IFERROR(__xludf.DUMMYFUNCTION("""COMPUTED_VALUE"""),"Mama's Lil Kings")</f>
        <v>Mama's Lil Kings</v>
      </c>
      <c r="C44" s="6" t="str">
        <f>IFERROR(__xludf.DUMMYFUNCTION("""COMPUTED_VALUE"""),"Drama")</f>
        <v>Drama</v>
      </c>
      <c r="D44" s="11">
        <f>IFERROR(__xludf.DUMMYFUNCTION("""COMPUTED_VALUE"""),289.0)</f>
        <v>289</v>
      </c>
      <c r="E44" s="8">
        <f>IFERROR(__xludf.DUMMYFUNCTION("""COMPUTED_VALUE"""),0.872791519434629)</f>
        <v>0.8727915194</v>
      </c>
      <c r="F44" s="8">
        <f>IFERROR(__xludf.DUMMYFUNCTION("""COMPUTED_VALUE"""),0.202127659574468)</f>
        <v>0.2021276596</v>
      </c>
      <c r="G44" s="8">
        <f>IFERROR(__xludf.DUMMYFUNCTION("""COMPUTED_VALUE"""),0.169675090252707)</f>
        <v>0.1696750903</v>
      </c>
      <c r="H44" s="8">
        <f>IFERROR(__xludf.DUMMYFUNCTION("""COMPUTED_VALUE"""),0.131868131868131)</f>
        <v>0.1318681319</v>
      </c>
      <c r="I44" s="8">
        <f>IFERROR(__xludf.DUMMYFUNCTION("""COMPUTED_VALUE"""),0.129629629629629)</f>
        <v>0.1296296296</v>
      </c>
      <c r="J44" s="8">
        <f>IFERROR(__xludf.DUMMYFUNCTION("""COMPUTED_VALUE"""),0.117424242424242)</f>
        <v>0.1174242424</v>
      </c>
      <c r="K44" s="8">
        <f>IFERROR(__xludf.DUMMYFUNCTION("""COMPUTED_VALUE"""),0.122605363984674)</f>
        <v>0.122605364</v>
      </c>
      <c r="L44" s="8">
        <f>IFERROR(__xludf.DUMMYFUNCTION("""COMPUTED_VALUE"""),0.13095238095238)</f>
        <v>0.130952381</v>
      </c>
      <c r="M44" s="8">
        <f>IFERROR(__xludf.DUMMYFUNCTION("""COMPUTED_VALUE"""),0.117408906882591)</f>
        <v>0.1174089069</v>
      </c>
      <c r="N44" s="8">
        <f>IFERROR(__xludf.DUMMYFUNCTION("""COMPUTED_VALUE"""),0.117647058823529)</f>
        <v>0.1176470588</v>
      </c>
      <c r="O44" s="8">
        <f>IFERROR(__xludf.DUMMYFUNCTION("""COMPUTED_VALUE"""),0.114155251141552)</f>
        <v>0.1141552511</v>
      </c>
      <c r="P44" s="8">
        <f>IFERROR(__xludf.DUMMYFUNCTION("""COMPUTED_VALUE"""),0.0817307692307692)</f>
        <v>0.08173076923</v>
      </c>
      <c r="Q44" s="8">
        <f>IFERROR(__xludf.DUMMYFUNCTION("""COMPUTED_VALUE"""),0.0726256983240223)</f>
        <v>0.07262569832</v>
      </c>
      <c r="R44" s="8">
        <f>IFERROR(__xludf.DUMMYFUNCTION("""COMPUTED_VALUE"""),0.0628930817610062)</f>
        <v>0.06289308176</v>
      </c>
      <c r="S44" s="8">
        <f>IFERROR(__xludf.DUMMYFUNCTION("""COMPUTED_VALUE"""),0.0652173913043478)</f>
        <v>0.0652173913</v>
      </c>
      <c r="T44" s="8">
        <f>IFERROR(__xludf.DUMMYFUNCTION("""COMPUTED_VALUE"""),0.073170731707317)</f>
        <v>0.07317073171</v>
      </c>
      <c r="U44" s="8">
        <f>IFERROR(__xludf.DUMMYFUNCTION("""COMPUTED_VALUE"""),0.0769230769230769)</f>
        <v>0.07692307692</v>
      </c>
      <c r="V44" s="8">
        <f>IFERROR(__xludf.DUMMYFUNCTION("""COMPUTED_VALUE"""),0.0483870967741935)</f>
        <v>0.04838709677</v>
      </c>
      <c r="W44" s="8">
        <f>IFERROR(__xludf.DUMMYFUNCTION("""COMPUTED_VALUE"""),0.0545454545454545)</f>
        <v>0.05454545455</v>
      </c>
      <c r="X44" s="8">
        <f>IFERROR(__xludf.DUMMYFUNCTION("""COMPUTED_VALUE"""),0.0188679245283018)</f>
        <v>0.01886792453</v>
      </c>
      <c r="Y44" s="8">
        <f>IFERROR(__xludf.DUMMYFUNCTION("""COMPUTED_VALUE"""),0.0425531914893617)</f>
        <v>0.04255319149</v>
      </c>
      <c r="Z44" s="8">
        <f>IFERROR(__xludf.DUMMYFUNCTION("""COMPUTED_VALUE"""),0.0)</f>
        <v>0</v>
      </c>
      <c r="AA44" s="8">
        <f>IFERROR(__xludf.DUMMYFUNCTION("""COMPUTED_VALUE"""),0.0)</f>
        <v>0</v>
      </c>
      <c r="AB44" s="8">
        <f>IFERROR(__xludf.DUMMYFUNCTION("""COMPUTED_VALUE"""),0.0)</f>
        <v>0</v>
      </c>
      <c r="AC44" s="8">
        <f>IFERROR(__xludf.DUMMYFUNCTION("""COMPUTED_VALUE"""),0.0)</f>
        <v>0</v>
      </c>
    </row>
    <row r="45" ht="15.75" customHeight="1">
      <c r="A45" s="6" t="str">
        <f>IFERROR(__xludf.DUMMYFUNCTION("""COMPUTED_VALUE"""),"23a0bb3d5deb8d4707bdb34175170e288d724c97")</f>
        <v>23a0bb3d5deb8d4707bdb34175170e288d724c97</v>
      </c>
      <c r="B45" s="6" t="str">
        <f>IFERROR(__xludf.DUMMYFUNCTION("""COMPUTED_VALUE"""),"System of Super Tech")</f>
        <v>System of Super Tech</v>
      </c>
      <c r="C45" s="6" t="str">
        <f>IFERROR(__xludf.DUMMYFUNCTION("""COMPUTED_VALUE"""),"System and Superpower")</f>
        <v>System and Superpower</v>
      </c>
      <c r="D45" s="11">
        <f>IFERROR(__xludf.DUMMYFUNCTION("""COMPUTED_VALUE"""),1062.0)</f>
        <v>1062</v>
      </c>
      <c r="E45" s="8">
        <f>IFERROR(__xludf.DUMMYFUNCTION("""COMPUTED_VALUE"""),0.975425330812854)</f>
        <v>0.9754253308</v>
      </c>
      <c r="F45" s="8">
        <f>IFERROR(__xludf.DUMMYFUNCTION("""COMPUTED_VALUE"""),0.517175572519084)</f>
        <v>0.5171755725</v>
      </c>
      <c r="G45" s="8">
        <f>IFERROR(__xludf.DUMMYFUNCTION("""COMPUTED_VALUE"""),0.412272291466922)</f>
        <v>0.4122722915</v>
      </c>
      <c r="H45" s="8">
        <f>IFERROR(__xludf.DUMMYFUNCTION("""COMPUTED_VALUE"""),0.379710144927536)</f>
        <v>0.3797101449</v>
      </c>
      <c r="I45" s="8">
        <f>IFERROR(__xludf.DUMMYFUNCTION("""COMPUTED_VALUE"""),0.345132743362831)</f>
        <v>0.3451327434</v>
      </c>
      <c r="J45" s="8">
        <f>IFERROR(__xludf.DUMMYFUNCTION("""COMPUTED_VALUE"""),0.320525783619818)</f>
        <v>0.3205257836</v>
      </c>
      <c r="K45" s="8">
        <f>IFERROR(__xludf.DUMMYFUNCTION("""COMPUTED_VALUE"""),0.296256684491978)</f>
        <v>0.2962566845</v>
      </c>
      <c r="L45" s="8">
        <f>IFERROR(__xludf.DUMMYFUNCTION("""COMPUTED_VALUE"""),0.281323877068557)</f>
        <v>0.2813238771</v>
      </c>
      <c r="M45" s="8">
        <f>IFERROR(__xludf.DUMMYFUNCTION("""COMPUTED_VALUE"""),0.269607843137254)</f>
        <v>0.2696078431</v>
      </c>
      <c r="N45" s="8">
        <f>IFERROR(__xludf.DUMMYFUNCTION("""COMPUTED_VALUE"""),0.251184834123222)</f>
        <v>0.2511848341</v>
      </c>
      <c r="O45" s="8">
        <f>IFERROR(__xludf.DUMMYFUNCTION("""COMPUTED_VALUE"""),0.176470588235294)</f>
        <v>0.1764705882</v>
      </c>
      <c r="P45" s="8">
        <f>IFERROR(__xludf.DUMMYFUNCTION("""COMPUTED_VALUE"""),0.132743362831858)</f>
        <v>0.1327433628</v>
      </c>
      <c r="Q45" s="8">
        <f>IFERROR(__xludf.DUMMYFUNCTION("""COMPUTED_VALUE"""),0.0857142857142857)</f>
        <v>0.08571428571</v>
      </c>
      <c r="R45" s="8">
        <f>IFERROR(__xludf.DUMMYFUNCTION("""COMPUTED_VALUE"""),0.0)</f>
        <v>0</v>
      </c>
      <c r="S45" s="8">
        <f>IFERROR(__xludf.DUMMYFUNCTION("""COMPUTED_VALUE"""),0.0)</f>
        <v>0</v>
      </c>
      <c r="T45" s="8">
        <f>IFERROR(__xludf.DUMMYFUNCTION("""COMPUTED_VALUE"""),0.0)</f>
        <v>0</v>
      </c>
      <c r="U45" s="8">
        <f>IFERROR(__xludf.DUMMYFUNCTION("""COMPUTED_VALUE"""),0.0)</f>
        <v>0</v>
      </c>
      <c r="V45" s="8">
        <f>IFERROR(__xludf.DUMMYFUNCTION("""COMPUTED_VALUE"""),0.0)</f>
        <v>0</v>
      </c>
      <c r="W45" s="8">
        <f>IFERROR(__xludf.DUMMYFUNCTION("""COMPUTED_VALUE"""),0.0)</f>
        <v>0</v>
      </c>
      <c r="X45" s="8">
        <f>IFERROR(__xludf.DUMMYFUNCTION("""COMPUTED_VALUE"""),0.0)</f>
        <v>0</v>
      </c>
      <c r="Y45" s="8">
        <f>IFERROR(__xludf.DUMMYFUNCTION("""COMPUTED_VALUE"""),0.0)</f>
        <v>0</v>
      </c>
      <c r="Z45" s="8">
        <f>IFERROR(__xludf.DUMMYFUNCTION("""COMPUTED_VALUE"""),0.0)</f>
        <v>0</v>
      </c>
      <c r="AA45" s="8">
        <f>IFERROR(__xludf.DUMMYFUNCTION("""COMPUTED_VALUE"""),0.0)</f>
        <v>0</v>
      </c>
      <c r="AB45" s="8">
        <f>IFERROR(__xludf.DUMMYFUNCTION("""COMPUTED_VALUE"""),0.0)</f>
        <v>0</v>
      </c>
      <c r="AC45" s="8">
        <f>IFERROR(__xludf.DUMMYFUNCTION("""COMPUTED_VALUE"""),0.0)</f>
        <v>0</v>
      </c>
    </row>
    <row r="46" ht="15.75" customHeight="1">
      <c r="A46" s="6" t="str">
        <f>IFERROR(__xludf.DUMMYFUNCTION("""COMPUTED_VALUE"""),"247dcedeaecc161909c6ddd57b599f4e38d758d8")</f>
        <v>247dcedeaecc161909c6ddd57b599f4e38d758d8</v>
      </c>
      <c r="B46" s="6" t="str">
        <f>IFERROR(__xludf.DUMMYFUNCTION("""COMPUTED_VALUE"""),"A Christmas of Betrayals")</f>
        <v>A Christmas of Betrayals</v>
      </c>
      <c r="C46" s="6" t="str">
        <f>IFERROR(__xludf.DUMMYFUNCTION("""COMPUTED_VALUE"""),"Romance")</f>
        <v>Romance</v>
      </c>
      <c r="D46" s="11">
        <f>IFERROR(__xludf.DUMMYFUNCTION("""COMPUTED_VALUE"""),907.0)</f>
        <v>907</v>
      </c>
      <c r="E46" s="8">
        <f>IFERROR(__xludf.DUMMYFUNCTION("""COMPUTED_VALUE"""),0.960264900662251)</f>
        <v>0.9602649007</v>
      </c>
      <c r="F46" s="8">
        <f>IFERROR(__xludf.DUMMYFUNCTION("""COMPUTED_VALUE"""),0.507743362831858)</f>
        <v>0.5077433628</v>
      </c>
      <c r="G46" s="8">
        <f>IFERROR(__xludf.DUMMYFUNCTION("""COMPUTED_VALUE"""),0.452433628318584)</f>
        <v>0.4524336283</v>
      </c>
      <c r="H46" s="8">
        <f>IFERROR(__xludf.DUMMYFUNCTION("""COMPUTED_VALUE"""),0.399113082039911)</f>
        <v>0.399113082</v>
      </c>
      <c r="I46" s="8">
        <f>IFERROR(__xludf.DUMMYFUNCTION("""COMPUTED_VALUE"""),0.353658536585365)</f>
        <v>0.3536585366</v>
      </c>
      <c r="J46" s="8">
        <f>IFERROR(__xludf.DUMMYFUNCTION("""COMPUTED_VALUE"""),0.322616407982261)</f>
        <v>0.322616408</v>
      </c>
      <c r="K46" s="8">
        <f>IFERROR(__xludf.DUMMYFUNCTION("""COMPUTED_VALUE"""),0.304878048780487)</f>
        <v>0.3048780488</v>
      </c>
      <c r="L46" s="8">
        <f>IFERROR(__xludf.DUMMYFUNCTION("""COMPUTED_VALUE"""),0.270056497175141)</f>
        <v>0.2700564972</v>
      </c>
      <c r="M46" s="8">
        <f>IFERROR(__xludf.DUMMYFUNCTION("""COMPUTED_VALUE"""),0.256556442417331)</f>
        <v>0.2565564424</v>
      </c>
      <c r="N46" s="8">
        <f>IFERROR(__xludf.DUMMYFUNCTION("""COMPUTED_VALUE"""),0.242250287026406)</f>
        <v>0.242250287</v>
      </c>
      <c r="O46" s="8">
        <f>IFERROR(__xludf.DUMMYFUNCTION("""COMPUTED_VALUE"""),0.200696055684454)</f>
        <v>0.2006960557</v>
      </c>
      <c r="P46" s="8">
        <f>IFERROR(__xludf.DUMMYFUNCTION("""COMPUTED_VALUE"""),0.110137672090112)</f>
        <v>0.1101376721</v>
      </c>
      <c r="Q46" s="8">
        <f>IFERROR(__xludf.DUMMYFUNCTION("""COMPUTED_VALUE"""),0.0735294117647058)</f>
        <v>0.07352941176</v>
      </c>
      <c r="R46" s="8">
        <f>IFERROR(__xludf.DUMMYFUNCTION("""COMPUTED_VALUE"""),0.0)</f>
        <v>0</v>
      </c>
      <c r="S46" s="8">
        <f>IFERROR(__xludf.DUMMYFUNCTION("""COMPUTED_VALUE"""),0.0)</f>
        <v>0</v>
      </c>
      <c r="T46" s="8">
        <f>IFERROR(__xludf.DUMMYFUNCTION("""COMPUTED_VALUE"""),0.0)</f>
        <v>0</v>
      </c>
      <c r="U46" s="8">
        <f>IFERROR(__xludf.DUMMYFUNCTION("""COMPUTED_VALUE"""),0.0)</f>
        <v>0</v>
      </c>
      <c r="V46" s="8">
        <f>IFERROR(__xludf.DUMMYFUNCTION("""COMPUTED_VALUE"""),0.0)</f>
        <v>0</v>
      </c>
      <c r="W46" s="8">
        <f>IFERROR(__xludf.DUMMYFUNCTION("""COMPUTED_VALUE"""),0.0)</f>
        <v>0</v>
      </c>
      <c r="X46" s="8">
        <f>IFERROR(__xludf.DUMMYFUNCTION("""COMPUTED_VALUE"""),0.0)</f>
        <v>0</v>
      </c>
      <c r="Y46" s="8">
        <f>IFERROR(__xludf.DUMMYFUNCTION("""COMPUTED_VALUE"""),0.0)</f>
        <v>0</v>
      </c>
      <c r="Z46" s="8">
        <f>IFERROR(__xludf.DUMMYFUNCTION("""COMPUTED_VALUE"""),0.0)</f>
        <v>0</v>
      </c>
      <c r="AA46" s="8">
        <f>IFERROR(__xludf.DUMMYFUNCTION("""COMPUTED_VALUE"""),0.0)</f>
        <v>0</v>
      </c>
      <c r="AB46" s="8">
        <f>IFERROR(__xludf.DUMMYFUNCTION("""COMPUTED_VALUE"""),0.0)</f>
        <v>0</v>
      </c>
      <c r="AC46" s="8">
        <f>IFERROR(__xludf.DUMMYFUNCTION("""COMPUTED_VALUE"""),0.0)</f>
        <v>0</v>
      </c>
    </row>
    <row r="47" ht="15.75" customHeight="1">
      <c r="A47" s="6" t="str">
        <f>IFERROR(__xludf.DUMMYFUNCTION("""COMPUTED_VALUE"""),"248aae390e84177edc04ecc06fac6c17aed375ff")</f>
        <v>248aae390e84177edc04ecc06fac6c17aed375ff</v>
      </c>
      <c r="B47" s="6" t="str">
        <f>IFERROR(__xludf.DUMMYFUNCTION("""COMPUTED_VALUE"""),"Silver Onyx: Dragonbound")</f>
        <v>Silver Onyx: Dragonbound</v>
      </c>
      <c r="C47" s="6" t="str">
        <f>IFERROR(__xludf.DUMMYFUNCTION("""COMPUTED_VALUE"""),"Romantasy")</f>
        <v>Romantasy</v>
      </c>
      <c r="D47" s="11">
        <f>IFERROR(__xludf.DUMMYFUNCTION("""COMPUTED_VALUE"""),1427.0)</f>
        <v>1427</v>
      </c>
      <c r="E47" s="8">
        <f>IFERROR(__xludf.DUMMYFUNCTION("""COMPUTED_VALUE"""),0.956245589273112)</f>
        <v>0.9562455893</v>
      </c>
      <c r="F47" s="8">
        <f>IFERROR(__xludf.DUMMYFUNCTION("""COMPUTED_VALUE"""),0.494160583941605)</f>
        <v>0.4941605839</v>
      </c>
      <c r="G47" s="8">
        <f>IFERROR(__xludf.DUMMYFUNCTION("""COMPUTED_VALUE"""),0.447916666666666)</f>
        <v>0.4479166667</v>
      </c>
      <c r="H47" s="8">
        <f>IFERROR(__xludf.DUMMYFUNCTION("""COMPUTED_VALUE"""),0.420289855072463)</f>
        <v>0.4202898551</v>
      </c>
      <c r="I47" s="8">
        <f>IFERROR(__xludf.DUMMYFUNCTION("""COMPUTED_VALUE"""),0.405092592592592)</f>
        <v>0.4050925926</v>
      </c>
      <c r="J47" s="8">
        <f>IFERROR(__xludf.DUMMYFUNCTION("""COMPUTED_VALUE"""),0.392049883086516)</f>
        <v>0.3920498831</v>
      </c>
      <c r="K47" s="8">
        <f>IFERROR(__xludf.DUMMYFUNCTION("""COMPUTED_VALUE"""),0.378271213322759)</f>
        <v>0.3782712133</v>
      </c>
      <c r="L47" s="8">
        <f>IFERROR(__xludf.DUMMYFUNCTION("""COMPUTED_VALUE"""),0.369687249398556)</f>
        <v>0.3696872494</v>
      </c>
      <c r="M47" s="8">
        <f>IFERROR(__xludf.DUMMYFUNCTION("""COMPUTED_VALUE"""),0.361719383617193)</f>
        <v>0.3617193836</v>
      </c>
      <c r="N47" s="8">
        <f>IFERROR(__xludf.DUMMYFUNCTION("""COMPUTED_VALUE"""),0.356846473029045)</f>
        <v>0.356846473</v>
      </c>
      <c r="O47" s="8">
        <f>IFERROR(__xludf.DUMMYFUNCTION("""COMPUTED_VALUE"""),0.44485294117647)</f>
        <v>0.4448529412</v>
      </c>
      <c r="P47" s="8">
        <f>IFERROR(__xludf.DUMMYFUNCTION("""COMPUTED_VALUE"""),0.41860465116279)</f>
        <v>0.4186046512</v>
      </c>
      <c r="Q47" s="8">
        <f>IFERROR(__xludf.DUMMYFUNCTION("""COMPUTED_VALUE"""),0.0)</f>
        <v>0</v>
      </c>
      <c r="R47" s="8">
        <f>IFERROR(__xludf.DUMMYFUNCTION("""COMPUTED_VALUE"""),0.0)</f>
        <v>0</v>
      </c>
      <c r="S47" s="8">
        <f>IFERROR(__xludf.DUMMYFUNCTION("""COMPUTED_VALUE"""),0.0)</f>
        <v>0</v>
      </c>
      <c r="T47" s="8">
        <f>IFERROR(__xludf.DUMMYFUNCTION("""COMPUTED_VALUE"""),0.0)</f>
        <v>0</v>
      </c>
      <c r="U47" s="8">
        <f>IFERROR(__xludf.DUMMYFUNCTION("""COMPUTED_VALUE"""),0.0)</f>
        <v>0</v>
      </c>
      <c r="V47" s="8">
        <f>IFERROR(__xludf.DUMMYFUNCTION("""COMPUTED_VALUE"""),0.0)</f>
        <v>0</v>
      </c>
      <c r="W47" s="8">
        <f>IFERROR(__xludf.DUMMYFUNCTION("""COMPUTED_VALUE"""),0.0)</f>
        <v>0</v>
      </c>
      <c r="X47" s="8">
        <f>IFERROR(__xludf.DUMMYFUNCTION("""COMPUTED_VALUE"""),0.0)</f>
        <v>0</v>
      </c>
      <c r="Y47" s="8">
        <f>IFERROR(__xludf.DUMMYFUNCTION("""COMPUTED_VALUE"""),0.0)</f>
        <v>0</v>
      </c>
      <c r="Z47" s="8">
        <f>IFERROR(__xludf.DUMMYFUNCTION("""COMPUTED_VALUE"""),0.0)</f>
        <v>0</v>
      </c>
      <c r="AA47" s="8">
        <f>IFERROR(__xludf.DUMMYFUNCTION("""COMPUTED_VALUE"""),0.0)</f>
        <v>0</v>
      </c>
      <c r="AB47" s="8">
        <f>IFERROR(__xludf.DUMMYFUNCTION("""COMPUTED_VALUE"""),0.0)</f>
        <v>0</v>
      </c>
      <c r="AC47" s="8">
        <f>IFERROR(__xludf.DUMMYFUNCTION("""COMPUTED_VALUE"""),0.0)</f>
        <v>0</v>
      </c>
    </row>
    <row r="48" ht="15.75" customHeight="1">
      <c r="A48" s="6" t="str">
        <f>IFERROR(__xludf.DUMMYFUNCTION("""COMPUTED_VALUE"""),"248ba0ec55862a22dd7993c8b49d5f052ce03954")</f>
        <v>248ba0ec55862a22dd7993c8b49d5f052ce03954</v>
      </c>
      <c r="B48" s="6" t="str">
        <f>IFERROR(__xludf.DUMMYFUNCTION("""COMPUTED_VALUE"""),"The Silent Sovereign")</f>
        <v>The Silent Sovereign</v>
      </c>
      <c r="C48" s="6" t="str">
        <f>IFERROR(__xludf.DUMMYFUNCTION("""COMPUTED_VALUE"""),"Fantasy")</f>
        <v>Fantasy</v>
      </c>
      <c r="D48" s="11">
        <f>IFERROR(__xludf.DUMMYFUNCTION("""COMPUTED_VALUE"""),1673.0)</f>
        <v>1673</v>
      </c>
      <c r="E48" s="8">
        <f>IFERROR(__xludf.DUMMYFUNCTION("""COMPUTED_VALUE"""),0.966527196652719)</f>
        <v>0.9665271967</v>
      </c>
      <c r="F48" s="8">
        <f>IFERROR(__xludf.DUMMYFUNCTION("""COMPUTED_VALUE"""),0.716175586289837)</f>
        <v>0.7161755863</v>
      </c>
      <c r="G48" s="8">
        <f>IFERROR(__xludf.DUMMYFUNCTION("""COMPUTED_VALUE"""),0.648125755743651)</f>
        <v>0.6481257557</v>
      </c>
      <c r="H48" s="8">
        <f>IFERROR(__xludf.DUMMYFUNCTION("""COMPUTED_VALUE"""),0.592751842751842)</f>
        <v>0.5927518428</v>
      </c>
      <c r="I48" s="8">
        <f>IFERROR(__xludf.DUMMYFUNCTION("""COMPUTED_VALUE"""),0.549968573224387)</f>
        <v>0.5499685732</v>
      </c>
      <c r="J48" s="8">
        <f>IFERROR(__xludf.DUMMYFUNCTION("""COMPUTED_VALUE"""),0.511051574012056)</f>
        <v>0.511051574</v>
      </c>
      <c r="K48" s="8">
        <f>IFERROR(__xludf.DUMMYFUNCTION("""COMPUTED_VALUE"""),0.464361326746647)</f>
        <v>0.4643613267</v>
      </c>
      <c r="L48" s="8">
        <f>IFERROR(__xludf.DUMMYFUNCTION("""COMPUTED_VALUE"""),0.434815373021853)</f>
        <v>0.434815373</v>
      </c>
      <c r="M48" s="8">
        <f>IFERROR(__xludf.DUMMYFUNCTION("""COMPUTED_VALUE"""),0.411670663469224)</f>
        <v>0.4116706635</v>
      </c>
      <c r="N48" s="8">
        <f>IFERROR(__xludf.DUMMYFUNCTION("""COMPUTED_VALUE"""),0.379924953095684)</f>
        <v>0.3799249531</v>
      </c>
      <c r="O48" s="8">
        <f>IFERROR(__xludf.DUMMYFUNCTION("""COMPUTED_VALUE"""),0.293132328308207)</f>
        <v>0.2931323283</v>
      </c>
      <c r="P48" s="8">
        <f>IFERROR(__xludf.DUMMYFUNCTION("""COMPUTED_VALUE"""),0.208092485549132)</f>
        <v>0.2080924855</v>
      </c>
      <c r="Q48" s="8">
        <f>IFERROR(__xludf.DUMMYFUNCTION("""COMPUTED_VALUE"""),0.142857142857142)</f>
        <v>0.1428571429</v>
      </c>
      <c r="R48" s="8">
        <f>IFERROR(__xludf.DUMMYFUNCTION("""COMPUTED_VALUE"""),0.0)</f>
        <v>0</v>
      </c>
      <c r="S48" s="8">
        <f>IFERROR(__xludf.DUMMYFUNCTION("""COMPUTED_VALUE"""),0.0)</f>
        <v>0</v>
      </c>
      <c r="T48" s="8">
        <f>IFERROR(__xludf.DUMMYFUNCTION("""COMPUTED_VALUE"""),0.0)</f>
        <v>0</v>
      </c>
      <c r="U48" s="8">
        <f>IFERROR(__xludf.DUMMYFUNCTION("""COMPUTED_VALUE"""),0.0)</f>
        <v>0</v>
      </c>
      <c r="V48" s="8">
        <f>IFERROR(__xludf.DUMMYFUNCTION("""COMPUTED_VALUE"""),0.0)</f>
        <v>0</v>
      </c>
      <c r="W48" s="8">
        <f>IFERROR(__xludf.DUMMYFUNCTION("""COMPUTED_VALUE"""),0.0)</f>
        <v>0</v>
      </c>
      <c r="X48" s="8">
        <f>IFERROR(__xludf.DUMMYFUNCTION("""COMPUTED_VALUE"""),0.0)</f>
        <v>0</v>
      </c>
      <c r="Y48" s="8">
        <f>IFERROR(__xludf.DUMMYFUNCTION("""COMPUTED_VALUE"""),0.0)</f>
        <v>0</v>
      </c>
      <c r="Z48" s="8">
        <f>IFERROR(__xludf.DUMMYFUNCTION("""COMPUTED_VALUE"""),0.0)</f>
        <v>0</v>
      </c>
      <c r="AA48" s="8">
        <f>IFERROR(__xludf.DUMMYFUNCTION("""COMPUTED_VALUE"""),0.0)</f>
        <v>0</v>
      </c>
      <c r="AB48" s="8">
        <f>IFERROR(__xludf.DUMMYFUNCTION("""COMPUTED_VALUE"""),0.0)</f>
        <v>0</v>
      </c>
      <c r="AC48" s="8">
        <f>IFERROR(__xludf.DUMMYFUNCTION("""COMPUTED_VALUE"""),0.0)</f>
        <v>0</v>
      </c>
    </row>
    <row r="49" ht="15.75" customHeight="1">
      <c r="A49" s="6" t="str">
        <f>IFERROR(__xludf.DUMMYFUNCTION("""COMPUTED_VALUE"""),"26e1fd07be016edcad6988356011ef8b49038bd1")</f>
        <v>26e1fd07be016edcad6988356011ef8b49038bd1</v>
      </c>
      <c r="B49" s="6" t="str">
        <f>IFERROR(__xludf.DUMMYFUNCTION("""COMPUTED_VALUE"""),"The Last Anniversary Lie")</f>
        <v>The Last Anniversary Lie</v>
      </c>
      <c r="C49" s="6" t="str">
        <f>IFERROR(__xludf.DUMMYFUNCTION("""COMPUTED_VALUE"""),"Romance")</f>
        <v>Romance</v>
      </c>
      <c r="D49" s="11">
        <f>IFERROR(__xludf.DUMMYFUNCTION("""COMPUTED_VALUE"""),1160.0)</f>
        <v>1160</v>
      </c>
      <c r="E49" s="8">
        <f>IFERROR(__xludf.DUMMYFUNCTION("""COMPUTED_VALUE"""),0.958549222797927)</f>
        <v>0.9585492228</v>
      </c>
      <c r="F49" s="8">
        <f>IFERROR(__xludf.DUMMYFUNCTION("""COMPUTED_VALUE"""),0.604509973980919)</f>
        <v>0.604509974</v>
      </c>
      <c r="G49" s="8">
        <f>IFERROR(__xludf.DUMMYFUNCTION("""COMPUTED_VALUE"""),0.525629887054735)</f>
        <v>0.5256298871</v>
      </c>
      <c r="H49" s="8">
        <f>IFERROR(__xludf.DUMMYFUNCTION("""COMPUTED_VALUE"""),0.482999128160418)</f>
        <v>0.4829991282</v>
      </c>
      <c r="I49" s="8">
        <f>IFERROR(__xludf.DUMMYFUNCTION("""COMPUTED_VALUE"""),0.431818181818181)</f>
        <v>0.4318181818</v>
      </c>
      <c r="J49" s="8">
        <f>IFERROR(__xludf.DUMMYFUNCTION("""COMPUTED_VALUE"""),0.405263157894736)</f>
        <v>0.4052631579</v>
      </c>
      <c r="K49" s="8">
        <f>IFERROR(__xludf.DUMMYFUNCTION("""COMPUTED_VALUE"""),0.370826010544815)</f>
        <v>0.3708260105</v>
      </c>
      <c r="L49" s="8">
        <f>IFERROR(__xludf.DUMMYFUNCTION("""COMPUTED_VALUE"""),0.370697263901147)</f>
        <v>0.3706972639</v>
      </c>
      <c r="M49" s="8">
        <f>IFERROR(__xludf.DUMMYFUNCTION("""COMPUTED_VALUE"""),0.373873873873873)</f>
        <v>0.3738738739</v>
      </c>
      <c r="N49" s="8">
        <f>IFERROR(__xludf.DUMMYFUNCTION("""COMPUTED_VALUE"""),0.367729831144465)</f>
        <v>0.3677298311</v>
      </c>
      <c r="O49" s="8">
        <f>IFERROR(__xludf.DUMMYFUNCTION("""COMPUTED_VALUE"""),0.233856893542757)</f>
        <v>0.2338568935</v>
      </c>
      <c r="P49" s="8">
        <f>IFERROR(__xludf.DUMMYFUNCTION("""COMPUTED_VALUE"""),0.166666666666666)</f>
        <v>0.1666666667</v>
      </c>
      <c r="Q49" s="8">
        <f>IFERROR(__xludf.DUMMYFUNCTION("""COMPUTED_VALUE"""),0.0)</f>
        <v>0</v>
      </c>
      <c r="R49" s="8">
        <f>IFERROR(__xludf.DUMMYFUNCTION("""COMPUTED_VALUE"""),0.0)</f>
        <v>0</v>
      </c>
      <c r="S49" s="8">
        <f>IFERROR(__xludf.DUMMYFUNCTION("""COMPUTED_VALUE"""),0.0)</f>
        <v>0</v>
      </c>
      <c r="T49" s="8">
        <f>IFERROR(__xludf.DUMMYFUNCTION("""COMPUTED_VALUE"""),0.0)</f>
        <v>0</v>
      </c>
      <c r="U49" s="8">
        <f>IFERROR(__xludf.DUMMYFUNCTION("""COMPUTED_VALUE"""),0.0)</f>
        <v>0</v>
      </c>
      <c r="V49" s="8">
        <f>IFERROR(__xludf.DUMMYFUNCTION("""COMPUTED_VALUE"""),0.0)</f>
        <v>0</v>
      </c>
      <c r="W49" s="8">
        <f>IFERROR(__xludf.DUMMYFUNCTION("""COMPUTED_VALUE"""),0.0)</f>
        <v>0</v>
      </c>
      <c r="X49" s="8">
        <f>IFERROR(__xludf.DUMMYFUNCTION("""COMPUTED_VALUE"""),0.0)</f>
        <v>0</v>
      </c>
      <c r="Y49" s="8">
        <f>IFERROR(__xludf.DUMMYFUNCTION("""COMPUTED_VALUE"""),0.0)</f>
        <v>0</v>
      </c>
      <c r="Z49" s="8">
        <f>IFERROR(__xludf.DUMMYFUNCTION("""COMPUTED_VALUE"""),0.0)</f>
        <v>0</v>
      </c>
      <c r="AA49" s="8">
        <f>IFERROR(__xludf.DUMMYFUNCTION("""COMPUTED_VALUE"""),0.0)</f>
        <v>0</v>
      </c>
      <c r="AB49" s="8">
        <f>IFERROR(__xludf.DUMMYFUNCTION("""COMPUTED_VALUE"""),0.0)</f>
        <v>0</v>
      </c>
      <c r="AC49" s="8">
        <f>IFERROR(__xludf.DUMMYFUNCTION("""COMPUTED_VALUE"""),0.0)</f>
        <v>0</v>
      </c>
    </row>
    <row r="50" ht="15.75" customHeight="1">
      <c r="A50" s="6" t="str">
        <f>IFERROR(__xludf.DUMMYFUNCTION("""COMPUTED_VALUE"""),"2804c5c0d94ac97e4b67564cc852e784e64583e5")</f>
        <v>2804c5c0d94ac97e4b67564cc852e784e64583e5</v>
      </c>
      <c r="B50" s="6" t="str">
        <f>IFERROR(__xludf.DUMMYFUNCTION("""COMPUTED_VALUE"""),"Rebirth in Beauty")</f>
        <v>Rebirth in Beauty</v>
      </c>
      <c r="C50" s="6" t="str">
        <f>IFERROR(__xludf.DUMMYFUNCTION("""COMPUTED_VALUE"""),"Fantasy")</f>
        <v>Fantasy</v>
      </c>
      <c r="D50" s="11">
        <f>IFERROR(__xludf.DUMMYFUNCTION("""COMPUTED_VALUE"""),887.0)</f>
        <v>887</v>
      </c>
      <c r="E50" s="8">
        <f>IFERROR(__xludf.DUMMYFUNCTION("""COMPUTED_VALUE"""),0.963344788087056)</f>
        <v>0.9633447881</v>
      </c>
      <c r="F50" s="8">
        <f>IFERROR(__xludf.DUMMYFUNCTION("""COMPUTED_VALUE"""),0.565320665083135)</f>
        <v>0.5653206651</v>
      </c>
      <c r="G50" s="8">
        <f>IFERROR(__xludf.DUMMYFUNCTION("""COMPUTED_VALUE"""),0.498181818181818)</f>
        <v>0.4981818182</v>
      </c>
      <c r="H50" s="8">
        <f>IFERROR(__xludf.DUMMYFUNCTION("""COMPUTED_VALUE"""),0.45045045045045)</f>
        <v>0.4504504505</v>
      </c>
      <c r="I50" s="8">
        <f>IFERROR(__xludf.DUMMYFUNCTION("""COMPUTED_VALUE"""),0.400530503978779)</f>
        <v>0.400530504</v>
      </c>
      <c r="J50" s="8">
        <f>IFERROR(__xludf.DUMMYFUNCTION("""COMPUTED_VALUE"""),0.369230769230769)</f>
        <v>0.3692307692</v>
      </c>
      <c r="K50" s="8">
        <f>IFERROR(__xludf.DUMMYFUNCTION("""COMPUTED_VALUE"""),0.339762611275964)</f>
        <v>0.3397626113</v>
      </c>
      <c r="L50" s="8">
        <f>IFERROR(__xludf.DUMMYFUNCTION("""COMPUTED_VALUE"""),0.318627450980392)</f>
        <v>0.318627451</v>
      </c>
      <c r="M50" s="8">
        <f>IFERROR(__xludf.DUMMYFUNCTION("""COMPUTED_VALUE"""),0.316091954022988)</f>
        <v>0.316091954</v>
      </c>
      <c r="N50" s="8">
        <f>IFERROR(__xludf.DUMMYFUNCTION("""COMPUTED_VALUE"""),0.269135802469135)</f>
        <v>0.2691358025</v>
      </c>
      <c r="O50" s="8">
        <f>IFERROR(__xludf.DUMMYFUNCTION("""COMPUTED_VALUE"""),0.210526315789473)</f>
        <v>0.2105263158</v>
      </c>
      <c r="P50" s="8">
        <f>IFERROR(__xludf.DUMMYFUNCTION("""COMPUTED_VALUE"""),0.0)</f>
        <v>0</v>
      </c>
      <c r="Q50" s="8">
        <f>IFERROR(__xludf.DUMMYFUNCTION("""COMPUTED_VALUE"""),0.0)</f>
        <v>0</v>
      </c>
      <c r="R50" s="8">
        <f>IFERROR(__xludf.DUMMYFUNCTION("""COMPUTED_VALUE"""),0.0)</f>
        <v>0</v>
      </c>
      <c r="S50" s="8">
        <f>IFERROR(__xludf.DUMMYFUNCTION("""COMPUTED_VALUE"""),0.0)</f>
        <v>0</v>
      </c>
      <c r="T50" s="8">
        <f>IFERROR(__xludf.DUMMYFUNCTION("""COMPUTED_VALUE"""),0.0)</f>
        <v>0</v>
      </c>
      <c r="U50" s="8">
        <f>IFERROR(__xludf.DUMMYFUNCTION("""COMPUTED_VALUE"""),0.0)</f>
        <v>0</v>
      </c>
      <c r="V50" s="8">
        <f>IFERROR(__xludf.DUMMYFUNCTION("""COMPUTED_VALUE"""),0.0)</f>
        <v>0</v>
      </c>
      <c r="W50" s="8">
        <f>IFERROR(__xludf.DUMMYFUNCTION("""COMPUTED_VALUE"""),0.0)</f>
        <v>0</v>
      </c>
      <c r="X50" s="8">
        <f>IFERROR(__xludf.DUMMYFUNCTION("""COMPUTED_VALUE"""),0.0)</f>
        <v>0</v>
      </c>
      <c r="Y50" s="8">
        <f>IFERROR(__xludf.DUMMYFUNCTION("""COMPUTED_VALUE"""),0.0)</f>
        <v>0</v>
      </c>
      <c r="Z50" s="8">
        <f>IFERROR(__xludf.DUMMYFUNCTION("""COMPUTED_VALUE"""),0.0)</f>
        <v>0</v>
      </c>
      <c r="AA50" s="8">
        <f>IFERROR(__xludf.DUMMYFUNCTION("""COMPUTED_VALUE"""),0.0)</f>
        <v>0</v>
      </c>
      <c r="AB50" s="8">
        <f>IFERROR(__xludf.DUMMYFUNCTION("""COMPUTED_VALUE"""),0.0)</f>
        <v>0</v>
      </c>
      <c r="AC50" s="8">
        <f>IFERROR(__xludf.DUMMYFUNCTION("""COMPUTED_VALUE"""),0.0)</f>
        <v>0</v>
      </c>
    </row>
    <row r="51" ht="15.75" customHeight="1">
      <c r="A51" s="6" t="str">
        <f>IFERROR(__xludf.DUMMYFUNCTION("""COMPUTED_VALUE"""),"2969766ce2d0cd5c21da961666ea357622d5d073")</f>
        <v>2969766ce2d0cd5c21da961666ea357622d5d073</v>
      </c>
      <c r="B51" s="6" t="str">
        <f>IFERROR(__xludf.DUMMYFUNCTION("""COMPUTED_VALUE"""),"The Magical Mystic Master")</f>
        <v>The Magical Mystic Master</v>
      </c>
      <c r="C51" s="6" t="str">
        <f>IFERROR(__xludf.DUMMYFUNCTION("""COMPUTED_VALUE"""),"Fantasy")</f>
        <v>Fantasy</v>
      </c>
      <c r="D51" s="11">
        <f>IFERROR(__xludf.DUMMYFUNCTION("""COMPUTED_VALUE"""),3095.0)</f>
        <v>3095</v>
      </c>
      <c r="E51" s="8">
        <f>IFERROR(__xludf.DUMMYFUNCTION("""COMPUTED_VALUE"""),0.971853769006793)</f>
        <v>0.971853769</v>
      </c>
      <c r="F51" s="8">
        <f>IFERROR(__xludf.DUMMYFUNCTION("""COMPUTED_VALUE"""),0.48106183230819)</f>
        <v>0.4810618323</v>
      </c>
      <c r="G51" s="8">
        <f>IFERROR(__xludf.DUMMYFUNCTION("""COMPUTED_VALUE"""),0.35795270489148)</f>
        <v>0.3579527049</v>
      </c>
      <c r="H51" s="8">
        <f>IFERROR(__xludf.DUMMYFUNCTION("""COMPUTED_VALUE"""),0.307068741893644)</f>
        <v>0.3070687419</v>
      </c>
      <c r="I51" s="8">
        <f>IFERROR(__xludf.DUMMYFUNCTION("""COMPUTED_VALUE"""),0.260220635950681)</f>
        <v>0.260220636</v>
      </c>
      <c r="J51" s="8">
        <f>IFERROR(__xludf.DUMMYFUNCTION("""COMPUTED_VALUE"""),0.234988640051931)</f>
        <v>0.2349886401</v>
      </c>
      <c r="K51" s="8">
        <f>IFERROR(__xludf.DUMMYFUNCTION("""COMPUTED_VALUE"""),0.218994778067885)</f>
        <v>0.2189947781</v>
      </c>
      <c r="L51" s="8">
        <f>IFERROR(__xludf.DUMMYFUNCTION("""COMPUTED_VALUE"""),0.205622752533507)</f>
        <v>0.2056227525</v>
      </c>
      <c r="M51" s="8">
        <f>IFERROR(__xludf.DUMMYFUNCTION("""COMPUTED_VALUE"""),0.19332679097154)</f>
        <v>0.193326791</v>
      </c>
      <c r="N51" s="8">
        <f>IFERROR(__xludf.DUMMYFUNCTION("""COMPUTED_VALUE"""),0.184020956123117)</f>
        <v>0.1840209561</v>
      </c>
      <c r="O51" s="8">
        <f>IFERROR(__xludf.DUMMYFUNCTION("""COMPUTED_VALUE"""),0.150179211469534)</f>
        <v>0.1501792115</v>
      </c>
      <c r="P51" s="8">
        <f>IFERROR(__xludf.DUMMYFUNCTION("""COMPUTED_VALUE"""),0.094059405940594)</f>
        <v>0.09405940594</v>
      </c>
      <c r="Q51" s="8">
        <f>IFERROR(__xludf.DUMMYFUNCTION("""COMPUTED_VALUE"""),0.0798927613941018)</f>
        <v>0.07989276139</v>
      </c>
      <c r="R51" s="8">
        <f>IFERROR(__xludf.DUMMYFUNCTION("""COMPUTED_VALUE"""),0.0498583569405099)</f>
        <v>0.04985835694</v>
      </c>
      <c r="S51" s="8">
        <f>IFERROR(__xludf.DUMMYFUNCTION("""COMPUTED_VALUE"""),0.00696864111498257)</f>
        <v>0.006968641115</v>
      </c>
      <c r="T51" s="8">
        <f>IFERROR(__xludf.DUMMYFUNCTION("""COMPUTED_VALUE"""),0.0)</f>
        <v>0</v>
      </c>
      <c r="U51" s="8">
        <f>IFERROR(__xludf.DUMMYFUNCTION("""COMPUTED_VALUE"""),0.0)</f>
        <v>0</v>
      </c>
      <c r="V51" s="8">
        <f>IFERROR(__xludf.DUMMYFUNCTION("""COMPUTED_VALUE"""),0.0)</f>
        <v>0</v>
      </c>
      <c r="W51" s="8">
        <f>IFERROR(__xludf.DUMMYFUNCTION("""COMPUTED_VALUE"""),0.0)</f>
        <v>0</v>
      </c>
      <c r="X51" s="8">
        <f>IFERROR(__xludf.DUMMYFUNCTION("""COMPUTED_VALUE"""),0.0)</f>
        <v>0</v>
      </c>
      <c r="Y51" s="8">
        <f>IFERROR(__xludf.DUMMYFUNCTION("""COMPUTED_VALUE"""),0.0)</f>
        <v>0</v>
      </c>
      <c r="Z51" s="8">
        <f>IFERROR(__xludf.DUMMYFUNCTION("""COMPUTED_VALUE"""),0.0)</f>
        <v>0</v>
      </c>
      <c r="AA51" s="8">
        <f>IFERROR(__xludf.DUMMYFUNCTION("""COMPUTED_VALUE"""),0.0)</f>
        <v>0</v>
      </c>
      <c r="AB51" s="8">
        <f>IFERROR(__xludf.DUMMYFUNCTION("""COMPUTED_VALUE"""),0.0)</f>
        <v>0</v>
      </c>
      <c r="AC51" s="8">
        <f>IFERROR(__xludf.DUMMYFUNCTION("""COMPUTED_VALUE"""),0.0)</f>
        <v>0</v>
      </c>
    </row>
    <row r="52" ht="15.75" customHeight="1">
      <c r="A52" s="6" t="str">
        <f>IFERROR(__xludf.DUMMYFUNCTION("""COMPUTED_VALUE"""),"29b6547143fa9e79e6e0d3e0463e7b79ac00c7fd")</f>
        <v>29b6547143fa9e79e6e0d3e0463e7b79ac00c7fd</v>
      </c>
      <c r="B52" s="6" t="str">
        <f>IFERROR(__xludf.DUMMYFUNCTION("""COMPUTED_VALUE"""),"Love, Revenge &amp; My Past")</f>
        <v>Love, Revenge &amp; My Past</v>
      </c>
      <c r="C52" s="6" t="str">
        <f>IFERROR(__xludf.DUMMYFUNCTION("""COMPUTED_VALUE"""),"Romance")</f>
        <v>Romance</v>
      </c>
      <c r="D52" s="11">
        <f>IFERROR(__xludf.DUMMYFUNCTION("""COMPUTED_VALUE"""),1873.0)</f>
        <v>1873</v>
      </c>
      <c r="E52" s="8">
        <f>IFERROR(__xludf.DUMMYFUNCTION("""COMPUTED_VALUE"""),0.966328166755745)</f>
        <v>0.9663281668</v>
      </c>
      <c r="F52" s="8">
        <f>IFERROR(__xludf.DUMMYFUNCTION("""COMPUTED_VALUE"""),0.390374331550802)</f>
        <v>0.3903743316</v>
      </c>
      <c r="G52" s="8">
        <f>IFERROR(__xludf.DUMMYFUNCTION("""COMPUTED_VALUE"""),0.35614973262032)</f>
        <v>0.3561497326</v>
      </c>
      <c r="H52" s="8">
        <f>IFERROR(__xludf.DUMMYFUNCTION("""COMPUTED_VALUE"""),0.329946524064171)</f>
        <v>0.3299465241</v>
      </c>
      <c r="I52" s="8">
        <f>IFERROR(__xludf.DUMMYFUNCTION("""COMPUTED_VALUE"""),0.308516336368505)</f>
        <v>0.3085163364</v>
      </c>
      <c r="J52" s="8">
        <f>IFERROR(__xludf.DUMMYFUNCTION("""COMPUTED_VALUE"""),0.2785216925549)</f>
        <v>0.2785216926</v>
      </c>
      <c r="K52" s="8">
        <f>IFERROR(__xludf.DUMMYFUNCTION("""COMPUTED_VALUE"""),0.262988752008569)</f>
        <v>0.262988752</v>
      </c>
      <c r="L52" s="8">
        <f>IFERROR(__xludf.DUMMYFUNCTION("""COMPUTED_VALUE"""),0.245980707395498)</f>
        <v>0.2459807074</v>
      </c>
      <c r="M52" s="8">
        <f>IFERROR(__xludf.DUMMYFUNCTION("""COMPUTED_VALUE"""),0.231347289318303)</f>
        <v>0.2313472893</v>
      </c>
      <c r="N52" s="8">
        <f>IFERROR(__xludf.DUMMYFUNCTION("""COMPUTED_VALUE"""),0.218396987627756)</f>
        <v>0.2183969876</v>
      </c>
      <c r="O52" s="8">
        <f>IFERROR(__xludf.DUMMYFUNCTION("""COMPUTED_VALUE"""),0.151103565365025)</f>
        <v>0.1511035654</v>
      </c>
      <c r="P52" s="8">
        <f>IFERROR(__xludf.DUMMYFUNCTION("""COMPUTED_VALUE"""),0.107692307692307)</f>
        <v>0.1076923077</v>
      </c>
      <c r="Q52" s="8">
        <f>IFERROR(__xludf.DUMMYFUNCTION("""COMPUTED_VALUE"""),0.0542907180385289)</f>
        <v>0.05429071804</v>
      </c>
      <c r="R52" s="8">
        <f>IFERROR(__xludf.DUMMYFUNCTION("""COMPUTED_VALUE"""),0.0412757973733583)</f>
        <v>0.04127579737</v>
      </c>
      <c r="S52" s="8">
        <f>IFERROR(__xludf.DUMMYFUNCTION("""COMPUTED_VALUE"""),0.0294117647058823)</f>
        <v>0.02941176471</v>
      </c>
      <c r="T52" s="8">
        <f>IFERROR(__xludf.DUMMYFUNCTION("""COMPUTED_VALUE"""),0.0)</f>
        <v>0</v>
      </c>
      <c r="U52" s="8">
        <f>IFERROR(__xludf.DUMMYFUNCTION("""COMPUTED_VALUE"""),0.0)</f>
        <v>0</v>
      </c>
      <c r="V52" s="8">
        <f>IFERROR(__xludf.DUMMYFUNCTION("""COMPUTED_VALUE"""),0.0)</f>
        <v>0</v>
      </c>
      <c r="W52" s="8">
        <f>IFERROR(__xludf.DUMMYFUNCTION("""COMPUTED_VALUE"""),0.0)</f>
        <v>0</v>
      </c>
      <c r="X52" s="8">
        <f>IFERROR(__xludf.DUMMYFUNCTION("""COMPUTED_VALUE"""),0.0)</f>
        <v>0</v>
      </c>
      <c r="Y52" s="8">
        <f>IFERROR(__xludf.DUMMYFUNCTION("""COMPUTED_VALUE"""),0.0)</f>
        <v>0</v>
      </c>
      <c r="Z52" s="8">
        <f>IFERROR(__xludf.DUMMYFUNCTION("""COMPUTED_VALUE"""),0.0)</f>
        <v>0</v>
      </c>
      <c r="AA52" s="8">
        <f>IFERROR(__xludf.DUMMYFUNCTION("""COMPUTED_VALUE"""),0.0)</f>
        <v>0</v>
      </c>
      <c r="AB52" s="8">
        <f>IFERROR(__xludf.DUMMYFUNCTION("""COMPUTED_VALUE"""),0.0)</f>
        <v>0</v>
      </c>
      <c r="AC52" s="8">
        <f>IFERROR(__xludf.DUMMYFUNCTION("""COMPUTED_VALUE"""),0.0)</f>
        <v>0</v>
      </c>
    </row>
    <row r="53" ht="15.75" customHeight="1">
      <c r="A53" s="6" t="str">
        <f>IFERROR(__xludf.DUMMYFUNCTION("""COMPUTED_VALUE"""),"2a8120a20d0bebaa0f325746e4058859d5e610ee")</f>
        <v>2a8120a20d0bebaa0f325746e4058859d5e610ee</v>
      </c>
      <c r="B53" s="6" t="str">
        <f>IFERROR(__xludf.DUMMYFUNCTION("""COMPUTED_VALUE"""),"Cultivated Love")</f>
        <v>Cultivated Love</v>
      </c>
      <c r="C53" s="6" t="str">
        <f>IFERROR(__xludf.DUMMYFUNCTION("""COMPUTED_VALUE"""),"Romance")</f>
        <v>Romance</v>
      </c>
      <c r="D53" s="11">
        <f>IFERROR(__xludf.DUMMYFUNCTION("""COMPUTED_VALUE"""),450.0)</f>
        <v>450</v>
      </c>
      <c r="E53" s="8">
        <f>IFERROR(__xludf.DUMMYFUNCTION("""COMPUTED_VALUE"""),0.893095768374164)</f>
        <v>0.8930957684</v>
      </c>
      <c r="F53" s="8">
        <f>IFERROR(__xludf.DUMMYFUNCTION("""COMPUTED_VALUE"""),0.284753363228699)</f>
        <v>0.2847533632</v>
      </c>
      <c r="G53" s="8">
        <f>IFERROR(__xludf.DUMMYFUNCTION("""COMPUTED_VALUE"""),0.256179775280898)</f>
        <v>0.2561797753</v>
      </c>
      <c r="H53" s="8">
        <f>IFERROR(__xludf.DUMMYFUNCTION("""COMPUTED_VALUE"""),0.200913242009132)</f>
        <v>0.200913242</v>
      </c>
      <c r="I53" s="8">
        <f>IFERROR(__xludf.DUMMYFUNCTION("""COMPUTED_VALUE"""),0.200460829493087)</f>
        <v>0.2004608295</v>
      </c>
      <c r="J53" s="8">
        <f>IFERROR(__xludf.DUMMYFUNCTION("""COMPUTED_VALUE"""),0.210772833723653)</f>
        <v>0.2107728337</v>
      </c>
      <c r="K53" s="8">
        <f>IFERROR(__xludf.DUMMYFUNCTION("""COMPUTED_VALUE"""),0.198113207547169)</f>
        <v>0.1981132075</v>
      </c>
      <c r="L53" s="8">
        <f>IFERROR(__xludf.DUMMYFUNCTION("""COMPUTED_VALUE"""),0.18978102189781)</f>
        <v>0.1897810219</v>
      </c>
      <c r="M53" s="8">
        <f>IFERROR(__xludf.DUMMYFUNCTION("""COMPUTED_VALUE"""),0.2)</f>
        <v>0.2</v>
      </c>
      <c r="N53" s="8">
        <f>IFERROR(__xludf.DUMMYFUNCTION("""COMPUTED_VALUE"""),0.172151898734177)</f>
        <v>0.1721518987</v>
      </c>
      <c r="O53" s="8">
        <f>IFERROR(__xludf.DUMMYFUNCTION("""COMPUTED_VALUE"""),0.194117647058823)</f>
        <v>0.1941176471</v>
      </c>
      <c r="P53" s="8">
        <f>IFERROR(__xludf.DUMMYFUNCTION("""COMPUTED_VALUE"""),0.171091445427728)</f>
        <v>0.1710914454</v>
      </c>
      <c r="Q53" s="8">
        <f>IFERROR(__xludf.DUMMYFUNCTION("""COMPUTED_VALUE"""),0.0967741935483871)</f>
        <v>0.09677419355</v>
      </c>
      <c r="R53" s="8">
        <f>IFERROR(__xludf.DUMMYFUNCTION("""COMPUTED_VALUE"""),0.0617283950617283)</f>
        <v>0.06172839506</v>
      </c>
      <c r="S53" s="8">
        <f>IFERROR(__xludf.DUMMYFUNCTION("""COMPUTED_VALUE"""),0.024793388429752)</f>
        <v>0.02479338843</v>
      </c>
      <c r="T53" s="8">
        <f>IFERROR(__xludf.DUMMYFUNCTION("""COMPUTED_VALUE"""),0.0571428571428571)</f>
        <v>0.05714285714</v>
      </c>
      <c r="U53" s="8">
        <f>IFERROR(__xludf.DUMMYFUNCTION("""COMPUTED_VALUE"""),0.04)</f>
        <v>0.04</v>
      </c>
      <c r="V53" s="8">
        <f>IFERROR(__xludf.DUMMYFUNCTION("""COMPUTED_VALUE"""),0.0)</f>
        <v>0</v>
      </c>
      <c r="W53" s="8">
        <f>IFERROR(__xludf.DUMMYFUNCTION("""COMPUTED_VALUE"""),0.0)</f>
        <v>0</v>
      </c>
      <c r="X53" s="8">
        <f>IFERROR(__xludf.DUMMYFUNCTION("""COMPUTED_VALUE"""),0.0)</f>
        <v>0</v>
      </c>
      <c r="Y53" s="8">
        <f>IFERROR(__xludf.DUMMYFUNCTION("""COMPUTED_VALUE"""),0.0)</f>
        <v>0</v>
      </c>
      <c r="Z53" s="8">
        <f>IFERROR(__xludf.DUMMYFUNCTION("""COMPUTED_VALUE"""),0.0)</f>
        <v>0</v>
      </c>
      <c r="AA53" s="8">
        <f>IFERROR(__xludf.DUMMYFUNCTION("""COMPUTED_VALUE"""),0.0)</f>
        <v>0</v>
      </c>
      <c r="AB53" s="8">
        <f>IFERROR(__xludf.DUMMYFUNCTION("""COMPUTED_VALUE"""),0.0)</f>
        <v>0</v>
      </c>
      <c r="AC53" s="8">
        <f>IFERROR(__xludf.DUMMYFUNCTION("""COMPUTED_VALUE"""),0.0)</f>
        <v>0</v>
      </c>
    </row>
    <row r="54" ht="15.75" customHeight="1">
      <c r="A54" s="6" t="str">
        <f>IFERROR(__xludf.DUMMYFUNCTION("""COMPUTED_VALUE"""),"2b967281ca19c941aa99d03c959adaf6349da9b3")</f>
        <v>2b967281ca19c941aa99d03c959adaf6349da9b3</v>
      </c>
      <c r="B54" s="6" t="str">
        <f>IFERROR(__xludf.DUMMYFUNCTION("""COMPUTED_VALUE"""),"The Unlikely Heiress")</f>
        <v>The Unlikely Heiress</v>
      </c>
      <c r="C54" s="6" t="str">
        <f>IFERROR(__xludf.DUMMYFUNCTION("""COMPUTED_VALUE"""),"Romance")</f>
        <v>Romance</v>
      </c>
      <c r="D54" s="11">
        <f>IFERROR(__xludf.DUMMYFUNCTION("""COMPUTED_VALUE"""),17568.0)</f>
        <v>17568</v>
      </c>
      <c r="E54" s="8">
        <f>IFERROR(__xludf.DUMMYFUNCTION("""COMPUTED_VALUE"""),0.938529026377257)</f>
        <v>0.9385290264</v>
      </c>
      <c r="F54" s="8">
        <f>IFERROR(__xludf.DUMMYFUNCTION("""COMPUTED_VALUE"""),0.460078870663542)</f>
        <v>0.4600788707</v>
      </c>
      <c r="G54" s="8">
        <f>IFERROR(__xludf.DUMMYFUNCTION("""COMPUTED_VALUE"""),0.431531944126402)</f>
        <v>0.4315319441</v>
      </c>
      <c r="H54" s="8">
        <f>IFERROR(__xludf.DUMMYFUNCTION("""COMPUTED_VALUE"""),0.405583581747305)</f>
        <v>0.4055835817</v>
      </c>
      <c r="I54" s="8">
        <f>IFERROR(__xludf.DUMMYFUNCTION("""COMPUTED_VALUE"""),0.387924094307073)</f>
        <v>0.3879240943</v>
      </c>
      <c r="J54" s="8">
        <f>IFERROR(__xludf.DUMMYFUNCTION("""COMPUTED_VALUE"""),0.372463099630996)</f>
        <v>0.3724630996</v>
      </c>
      <c r="K54" s="8">
        <f>IFERROR(__xludf.DUMMYFUNCTION("""COMPUTED_VALUE"""),0.354646797204412)</f>
        <v>0.3546467972</v>
      </c>
      <c r="L54" s="8">
        <f>IFERROR(__xludf.DUMMYFUNCTION("""COMPUTED_VALUE"""),0.340974875535486)</f>
        <v>0.3409748755</v>
      </c>
      <c r="M54" s="8">
        <f>IFERROR(__xludf.DUMMYFUNCTION("""COMPUTED_VALUE"""),0.332150130928135)</f>
        <v>0.3321501309</v>
      </c>
      <c r="N54" s="8">
        <f>IFERROR(__xludf.DUMMYFUNCTION("""COMPUTED_VALUE"""),0.329190009337068)</f>
        <v>0.3291900093</v>
      </c>
      <c r="O54" s="8">
        <f>IFERROR(__xludf.DUMMYFUNCTION("""COMPUTED_VALUE"""),0.292677156039276)</f>
        <v>0.292677156</v>
      </c>
      <c r="P54" s="8">
        <f>IFERROR(__xludf.DUMMYFUNCTION("""COMPUTED_VALUE"""),0.234357155737212)</f>
        <v>0.2343571557</v>
      </c>
      <c r="Q54" s="8">
        <f>IFERROR(__xludf.DUMMYFUNCTION("""COMPUTED_VALUE"""),0.154672192916352)</f>
        <v>0.1546721929</v>
      </c>
      <c r="R54" s="8">
        <f>IFERROR(__xludf.DUMMYFUNCTION("""COMPUTED_VALUE"""),0.137615270522989)</f>
        <v>0.1376152705</v>
      </c>
      <c r="S54" s="8">
        <f>IFERROR(__xludf.DUMMYFUNCTION("""COMPUTED_VALUE"""),0.109642178594046)</f>
        <v>0.1096421786</v>
      </c>
      <c r="T54" s="8">
        <f>IFERROR(__xludf.DUMMYFUNCTION("""COMPUTED_VALUE"""),0.0789881259679917)</f>
        <v>0.07898812597</v>
      </c>
      <c r="U54" s="8">
        <f>IFERROR(__xludf.DUMMYFUNCTION("""COMPUTED_VALUE"""),0.0171428571428571)</f>
        <v>0.01714285714</v>
      </c>
      <c r="V54" s="8">
        <f>IFERROR(__xludf.DUMMYFUNCTION("""COMPUTED_VALUE"""),0.0)</f>
        <v>0</v>
      </c>
      <c r="W54" s="8">
        <f>IFERROR(__xludf.DUMMYFUNCTION("""COMPUTED_VALUE"""),0.0)</f>
        <v>0</v>
      </c>
      <c r="X54" s="8">
        <f>IFERROR(__xludf.DUMMYFUNCTION("""COMPUTED_VALUE"""),0.0)</f>
        <v>0</v>
      </c>
      <c r="Y54" s="8">
        <f>IFERROR(__xludf.DUMMYFUNCTION("""COMPUTED_VALUE"""),0.0)</f>
        <v>0</v>
      </c>
      <c r="Z54" s="8">
        <f>IFERROR(__xludf.DUMMYFUNCTION("""COMPUTED_VALUE"""),0.0)</f>
        <v>0</v>
      </c>
      <c r="AA54" s="8">
        <f>IFERROR(__xludf.DUMMYFUNCTION("""COMPUTED_VALUE"""),0.0)</f>
        <v>0</v>
      </c>
      <c r="AB54" s="8">
        <f>IFERROR(__xludf.DUMMYFUNCTION("""COMPUTED_VALUE"""),0.0)</f>
        <v>0</v>
      </c>
      <c r="AC54" s="8">
        <f>IFERROR(__xludf.DUMMYFUNCTION("""COMPUTED_VALUE"""),0.0)</f>
        <v>0</v>
      </c>
    </row>
    <row r="55" ht="15.75" customHeight="1">
      <c r="A55" s="6" t="str">
        <f>IFERROR(__xludf.DUMMYFUNCTION("""COMPUTED_VALUE"""),"2fb79ac2c90574002aaeec2f842f6693eb8ff7c2")</f>
        <v>2fb79ac2c90574002aaeec2f842f6693eb8ff7c2</v>
      </c>
      <c r="B55" s="6" t="str">
        <f>IFERROR(__xludf.DUMMYFUNCTION("""COMPUTED_VALUE"""),"Dear Boss")</f>
        <v>Dear Boss</v>
      </c>
      <c r="C55" s="6" t="str">
        <f>IFERROR(__xludf.DUMMYFUNCTION("""COMPUTED_VALUE"""),"Romance")</f>
        <v>Romance</v>
      </c>
      <c r="D55" s="11">
        <f>IFERROR(__xludf.DUMMYFUNCTION("""COMPUTED_VALUE"""),1122.0)</f>
        <v>1122</v>
      </c>
      <c r="E55" s="8">
        <f>IFERROR(__xludf.DUMMYFUNCTION("""COMPUTED_VALUE"""),0.969561324977618)</f>
        <v>0.969561325</v>
      </c>
      <c r="F55" s="8">
        <f>IFERROR(__xludf.DUMMYFUNCTION("""COMPUTED_VALUE"""),0.539910313901345)</f>
        <v>0.5399103139</v>
      </c>
      <c r="G55" s="8">
        <f>IFERROR(__xludf.DUMMYFUNCTION("""COMPUTED_VALUE"""),0.471748878923766)</f>
        <v>0.4717488789</v>
      </c>
      <c r="H55" s="8">
        <f>IFERROR(__xludf.DUMMYFUNCTION("""COMPUTED_VALUE"""),0.433843384338433)</f>
        <v>0.4338433843</v>
      </c>
      <c r="I55" s="8">
        <f>IFERROR(__xludf.DUMMYFUNCTION("""COMPUTED_VALUE"""),0.408108108108108)</f>
        <v>0.4081081081</v>
      </c>
      <c r="J55" s="8">
        <f>IFERROR(__xludf.DUMMYFUNCTION("""COMPUTED_VALUE"""),0.372585096596136)</f>
        <v>0.3725850966</v>
      </c>
      <c r="K55" s="8">
        <f>IFERROR(__xludf.DUMMYFUNCTION("""COMPUTED_VALUE"""),0.350515463917525)</f>
        <v>0.3505154639</v>
      </c>
      <c r="L55" s="8">
        <f>IFERROR(__xludf.DUMMYFUNCTION("""COMPUTED_VALUE"""),0.332372718539865)</f>
        <v>0.3323727185</v>
      </c>
      <c r="M55" s="8">
        <f>IFERROR(__xludf.DUMMYFUNCTION("""COMPUTED_VALUE"""),0.315954118873826)</f>
        <v>0.3159541189</v>
      </c>
      <c r="N55" s="8">
        <f>IFERROR(__xludf.DUMMYFUNCTION("""COMPUTED_VALUE"""),0.317966903073286)</f>
        <v>0.3179669031</v>
      </c>
      <c r="O55" s="8">
        <f>IFERROR(__xludf.DUMMYFUNCTION("""COMPUTED_VALUE"""),0.280927835051546)</f>
        <v>0.2809278351</v>
      </c>
      <c r="P55" s="8">
        <f>IFERROR(__xludf.DUMMYFUNCTION("""COMPUTED_VALUE"""),0.219780219780219)</f>
        <v>0.2197802198</v>
      </c>
      <c r="Q55" s="8">
        <f>IFERROR(__xludf.DUMMYFUNCTION("""COMPUTED_VALUE"""),0.0)</f>
        <v>0</v>
      </c>
      <c r="R55" s="8">
        <f>IFERROR(__xludf.DUMMYFUNCTION("""COMPUTED_VALUE"""),0.0)</f>
        <v>0</v>
      </c>
      <c r="S55" s="8">
        <f>IFERROR(__xludf.DUMMYFUNCTION("""COMPUTED_VALUE"""),0.0)</f>
        <v>0</v>
      </c>
      <c r="T55" s="8">
        <f>IFERROR(__xludf.DUMMYFUNCTION("""COMPUTED_VALUE"""),0.0)</f>
        <v>0</v>
      </c>
      <c r="U55" s="8">
        <f>IFERROR(__xludf.DUMMYFUNCTION("""COMPUTED_VALUE"""),0.0)</f>
        <v>0</v>
      </c>
      <c r="V55" s="8">
        <f>IFERROR(__xludf.DUMMYFUNCTION("""COMPUTED_VALUE"""),0.0)</f>
        <v>0</v>
      </c>
      <c r="W55" s="8">
        <f>IFERROR(__xludf.DUMMYFUNCTION("""COMPUTED_VALUE"""),0.0)</f>
        <v>0</v>
      </c>
      <c r="X55" s="8">
        <f>IFERROR(__xludf.DUMMYFUNCTION("""COMPUTED_VALUE"""),0.0)</f>
        <v>0</v>
      </c>
      <c r="Y55" s="8">
        <f>IFERROR(__xludf.DUMMYFUNCTION("""COMPUTED_VALUE"""),0.0)</f>
        <v>0</v>
      </c>
      <c r="Z55" s="8">
        <f>IFERROR(__xludf.DUMMYFUNCTION("""COMPUTED_VALUE"""),0.0)</f>
        <v>0</v>
      </c>
      <c r="AA55" s="8">
        <f>IFERROR(__xludf.DUMMYFUNCTION("""COMPUTED_VALUE"""),0.0)</f>
        <v>0</v>
      </c>
      <c r="AB55" s="8">
        <f>IFERROR(__xludf.DUMMYFUNCTION("""COMPUTED_VALUE"""),0.0)</f>
        <v>0</v>
      </c>
      <c r="AC55" s="8">
        <f>IFERROR(__xludf.DUMMYFUNCTION("""COMPUTED_VALUE"""),0.0)</f>
        <v>0</v>
      </c>
    </row>
    <row r="56" ht="15.75" customHeight="1">
      <c r="A56" s="6" t="str">
        <f>IFERROR(__xludf.DUMMYFUNCTION("""COMPUTED_VALUE"""),"31b86ee5ffeadf52fab3148c3add083a2f90b442")</f>
        <v>31b86ee5ffeadf52fab3148c3add083a2f90b442</v>
      </c>
      <c r="B56" s="6" t="str">
        <f>IFERROR(__xludf.DUMMYFUNCTION("""COMPUTED_VALUE"""),"Enchanted by Blood ")</f>
        <v>Enchanted by Blood </v>
      </c>
      <c r="C56" s="6" t="str">
        <f>IFERROR(__xludf.DUMMYFUNCTION("""COMPUTED_VALUE"""),"Romantasy")</f>
        <v>Romantasy</v>
      </c>
      <c r="D56" s="11">
        <f>IFERROR(__xludf.DUMMYFUNCTION("""COMPUTED_VALUE"""),233.0)</f>
        <v>233</v>
      </c>
      <c r="E56" s="8">
        <f>IFERROR(__xludf.DUMMYFUNCTION("""COMPUTED_VALUE"""),0.973333333333333)</f>
        <v>0.9733333333</v>
      </c>
      <c r="F56" s="8">
        <f>IFERROR(__xludf.DUMMYFUNCTION("""COMPUTED_VALUE"""),0.328767123287671)</f>
        <v>0.3287671233</v>
      </c>
      <c r="G56" s="8">
        <f>IFERROR(__xludf.DUMMYFUNCTION("""COMPUTED_VALUE"""),0.259259259259259)</f>
        <v>0.2592592593</v>
      </c>
      <c r="H56" s="8">
        <f>IFERROR(__xludf.DUMMYFUNCTION("""COMPUTED_VALUE"""),0.229665071770334)</f>
        <v>0.2296650718</v>
      </c>
      <c r="I56" s="8">
        <f>IFERROR(__xludf.DUMMYFUNCTION("""COMPUTED_VALUE"""),0.206896551724137)</f>
        <v>0.2068965517</v>
      </c>
      <c r="J56" s="8">
        <f>IFERROR(__xludf.DUMMYFUNCTION("""COMPUTED_VALUE"""),0.153846153846153)</f>
        <v>0.1538461538</v>
      </c>
      <c r="K56" s="8">
        <f>IFERROR(__xludf.DUMMYFUNCTION("""COMPUTED_VALUE"""),0.142857142857142)</f>
        <v>0.1428571429</v>
      </c>
      <c r="L56" s="8">
        <f>IFERROR(__xludf.DUMMYFUNCTION("""COMPUTED_VALUE"""),0.127167630057803)</f>
        <v>0.1271676301</v>
      </c>
      <c r="M56" s="8">
        <f>IFERROR(__xludf.DUMMYFUNCTION("""COMPUTED_VALUE"""),0.108974358974358)</f>
        <v>0.108974359</v>
      </c>
      <c r="N56" s="8">
        <f>IFERROR(__xludf.DUMMYFUNCTION("""COMPUTED_VALUE"""),0.100719424460431)</f>
        <v>0.1007194245</v>
      </c>
      <c r="O56" s="8">
        <f>IFERROR(__xludf.DUMMYFUNCTION("""COMPUTED_VALUE"""),0.112676056338028)</f>
        <v>0.1126760563</v>
      </c>
      <c r="P56" s="8">
        <f>IFERROR(__xludf.DUMMYFUNCTION("""COMPUTED_VALUE"""),0.112676056338028)</f>
        <v>0.1126760563</v>
      </c>
      <c r="Q56" s="8">
        <f>IFERROR(__xludf.DUMMYFUNCTION("""COMPUTED_VALUE"""),0.0923076923076923)</f>
        <v>0.09230769231</v>
      </c>
      <c r="R56" s="8">
        <f>IFERROR(__xludf.DUMMYFUNCTION("""COMPUTED_VALUE"""),0.0)</f>
        <v>0</v>
      </c>
      <c r="S56" s="8">
        <f>IFERROR(__xludf.DUMMYFUNCTION("""COMPUTED_VALUE"""),0.0)</f>
        <v>0</v>
      </c>
      <c r="T56" s="8">
        <f>IFERROR(__xludf.DUMMYFUNCTION("""COMPUTED_VALUE"""),0.0)</f>
        <v>0</v>
      </c>
      <c r="U56" s="8">
        <f>IFERROR(__xludf.DUMMYFUNCTION("""COMPUTED_VALUE"""),0.0)</f>
        <v>0</v>
      </c>
      <c r="V56" s="8">
        <f>IFERROR(__xludf.DUMMYFUNCTION("""COMPUTED_VALUE"""),0.0)</f>
        <v>0</v>
      </c>
      <c r="W56" s="8">
        <f>IFERROR(__xludf.DUMMYFUNCTION("""COMPUTED_VALUE"""),0.0)</f>
        <v>0</v>
      </c>
      <c r="X56" s="8">
        <f>IFERROR(__xludf.DUMMYFUNCTION("""COMPUTED_VALUE"""),0.0)</f>
        <v>0</v>
      </c>
      <c r="Y56" s="8">
        <f>IFERROR(__xludf.DUMMYFUNCTION("""COMPUTED_VALUE"""),0.0)</f>
        <v>0</v>
      </c>
      <c r="Z56" s="8">
        <f>IFERROR(__xludf.DUMMYFUNCTION("""COMPUTED_VALUE"""),0.0)</f>
        <v>0</v>
      </c>
      <c r="AA56" s="8">
        <f>IFERROR(__xludf.DUMMYFUNCTION("""COMPUTED_VALUE"""),0.0)</f>
        <v>0</v>
      </c>
      <c r="AB56" s="8">
        <f>IFERROR(__xludf.DUMMYFUNCTION("""COMPUTED_VALUE"""),0.0)</f>
        <v>0</v>
      </c>
      <c r="AC56" s="8">
        <f>IFERROR(__xludf.DUMMYFUNCTION("""COMPUTED_VALUE"""),0.0)</f>
        <v>0</v>
      </c>
    </row>
    <row r="57" ht="15.75" customHeight="1">
      <c r="A57" s="6" t="str">
        <f>IFERROR(__xludf.DUMMYFUNCTION("""COMPUTED_VALUE"""),"31e58f7ec421b1daaed1f4ac654ecd9eb855bc93")</f>
        <v>31e58f7ec421b1daaed1f4ac654ecd9eb855bc93</v>
      </c>
      <c r="B57" s="6" t="str">
        <f>IFERROR(__xludf.DUMMYFUNCTION("""COMPUTED_VALUE"""),"The Forsaken Path")</f>
        <v>The Forsaken Path</v>
      </c>
      <c r="C57" s="6" t="str">
        <f>IFERROR(__xludf.DUMMYFUNCTION("""COMPUTED_VALUE"""),"Fantasy")</f>
        <v>Fantasy</v>
      </c>
      <c r="D57" s="11">
        <f>IFERROR(__xludf.DUMMYFUNCTION("""COMPUTED_VALUE"""),3168.0)</f>
        <v>3168</v>
      </c>
      <c r="E57" s="8">
        <f>IFERROR(__xludf.DUMMYFUNCTION("""COMPUTED_VALUE"""),0.97914032869785)</f>
        <v>0.9791403287</v>
      </c>
      <c r="F57" s="8">
        <f>IFERROR(__xludf.DUMMYFUNCTION("""COMPUTED_VALUE"""),0.324478178368121)</f>
        <v>0.3244781784</v>
      </c>
      <c r="G57" s="8">
        <f>IFERROR(__xludf.DUMMYFUNCTION("""COMPUTED_VALUE"""),0.27753164556962)</f>
        <v>0.2775316456</v>
      </c>
      <c r="H57" s="8">
        <f>IFERROR(__xludf.DUMMYFUNCTION("""COMPUTED_VALUE"""),0.237868696479543)</f>
        <v>0.2378686965</v>
      </c>
      <c r="I57" s="8">
        <f>IFERROR(__xludf.DUMMYFUNCTION("""COMPUTED_VALUE"""),0.224094087730451)</f>
        <v>0.2240940877</v>
      </c>
      <c r="J57" s="8">
        <f>IFERROR(__xludf.DUMMYFUNCTION("""COMPUTED_VALUE"""),0.214490903287583)</f>
        <v>0.2144909033</v>
      </c>
      <c r="K57" s="8">
        <f>IFERROR(__xludf.DUMMYFUNCTION("""COMPUTED_VALUE"""),0.201353092783505)</f>
        <v>0.2013530928</v>
      </c>
      <c r="L57" s="8">
        <f>IFERROR(__xludf.DUMMYFUNCTION("""COMPUTED_VALUE"""),0.191011235955056)</f>
        <v>0.191011236</v>
      </c>
      <c r="M57" s="8">
        <f>IFERROR(__xludf.DUMMYFUNCTION("""COMPUTED_VALUE"""),0.182971619365609)</f>
        <v>0.1829716194</v>
      </c>
      <c r="N57" s="8">
        <f>IFERROR(__xludf.DUMMYFUNCTION("""COMPUTED_VALUE"""),0.170596393897364)</f>
        <v>0.1705963939</v>
      </c>
      <c r="O57" s="8">
        <f>IFERROR(__xludf.DUMMYFUNCTION("""COMPUTED_VALUE"""),0.115464776990412)</f>
        <v>0.115464777</v>
      </c>
      <c r="P57" s="8">
        <f>IFERROR(__xludf.DUMMYFUNCTION("""COMPUTED_VALUE"""),0.0781108083560399)</f>
        <v>0.07811080836</v>
      </c>
      <c r="Q57" s="8">
        <f>IFERROR(__xludf.DUMMYFUNCTION("""COMPUTED_VALUE"""),0.0486918604651162)</f>
        <v>0.04869186047</v>
      </c>
      <c r="R57" s="8">
        <f>IFERROR(__xludf.DUMMYFUNCTION("""COMPUTED_VALUE"""),0.125)</f>
        <v>0.125</v>
      </c>
      <c r="S57" s="8">
        <f>IFERROR(__xludf.DUMMYFUNCTION("""COMPUTED_VALUE"""),0.0)</f>
        <v>0</v>
      </c>
      <c r="T57" s="8">
        <f>IFERROR(__xludf.DUMMYFUNCTION("""COMPUTED_VALUE"""),0.0)</f>
        <v>0</v>
      </c>
      <c r="U57" s="8">
        <f>IFERROR(__xludf.DUMMYFUNCTION("""COMPUTED_VALUE"""),0.0)</f>
        <v>0</v>
      </c>
      <c r="V57" s="8">
        <f>IFERROR(__xludf.DUMMYFUNCTION("""COMPUTED_VALUE"""),0.0)</f>
        <v>0</v>
      </c>
      <c r="W57" s="8">
        <f>IFERROR(__xludf.DUMMYFUNCTION("""COMPUTED_VALUE"""),0.0)</f>
        <v>0</v>
      </c>
      <c r="X57" s="8">
        <f>IFERROR(__xludf.DUMMYFUNCTION("""COMPUTED_VALUE"""),0.0)</f>
        <v>0</v>
      </c>
      <c r="Y57" s="8">
        <f>IFERROR(__xludf.DUMMYFUNCTION("""COMPUTED_VALUE"""),0.0)</f>
        <v>0</v>
      </c>
      <c r="Z57" s="8">
        <f>IFERROR(__xludf.DUMMYFUNCTION("""COMPUTED_VALUE"""),0.0)</f>
        <v>0</v>
      </c>
      <c r="AA57" s="8">
        <f>IFERROR(__xludf.DUMMYFUNCTION("""COMPUTED_VALUE"""),0.0)</f>
        <v>0</v>
      </c>
      <c r="AB57" s="8">
        <f>IFERROR(__xludf.DUMMYFUNCTION("""COMPUTED_VALUE"""),0.0)</f>
        <v>0</v>
      </c>
      <c r="AC57" s="8">
        <f>IFERROR(__xludf.DUMMYFUNCTION("""COMPUTED_VALUE"""),0.0)</f>
        <v>0</v>
      </c>
    </row>
    <row r="58" ht="15.75" customHeight="1">
      <c r="A58" s="6" t="str">
        <f>IFERROR(__xludf.DUMMYFUNCTION("""COMPUTED_VALUE"""),"328a6c95d732271bc4717aa2abf3a7c15f89a25e")</f>
        <v>328a6c95d732271bc4717aa2abf3a7c15f89a25e</v>
      </c>
      <c r="B58" s="6" t="str">
        <f>IFERROR(__xludf.DUMMYFUNCTION("""COMPUTED_VALUE"""),"Braving the Rapid Waters")</f>
        <v>Braving the Rapid Waters</v>
      </c>
      <c r="C58" s="6" t="str">
        <f>IFERROR(__xludf.DUMMYFUNCTION("""COMPUTED_VALUE"""),"Romance")</f>
        <v>Romance</v>
      </c>
      <c r="D58" s="11">
        <f>IFERROR(__xludf.DUMMYFUNCTION("""COMPUTED_VALUE"""),1127.0)</f>
        <v>1127</v>
      </c>
      <c r="E58" s="8">
        <f>IFERROR(__xludf.DUMMYFUNCTION("""COMPUTED_VALUE"""),0.968)</f>
        <v>0.968</v>
      </c>
      <c r="F58" s="8">
        <f>IFERROR(__xludf.DUMMYFUNCTION("""COMPUTED_VALUE"""),0.473309608540925)</f>
        <v>0.4733096085</v>
      </c>
      <c r="G58" s="8">
        <f>IFERROR(__xludf.DUMMYFUNCTION("""COMPUTED_VALUE"""),0.397686832740213)</f>
        <v>0.3976868327</v>
      </c>
      <c r="H58" s="8">
        <f>IFERROR(__xludf.DUMMYFUNCTION("""COMPUTED_VALUE"""),0.374555160142348)</f>
        <v>0.3745551601</v>
      </c>
      <c r="I58" s="8">
        <f>IFERROR(__xludf.DUMMYFUNCTION("""COMPUTED_VALUE"""),0.346085409252669)</f>
        <v>0.3460854093</v>
      </c>
      <c r="J58" s="8">
        <f>IFERROR(__xludf.DUMMYFUNCTION("""COMPUTED_VALUE"""),0.338379341050756)</f>
        <v>0.3383793411</v>
      </c>
      <c r="K58" s="8">
        <f>IFERROR(__xludf.DUMMYFUNCTION("""COMPUTED_VALUE"""),0.315508021390374)</f>
        <v>0.3155080214</v>
      </c>
      <c r="L58" s="8">
        <f>IFERROR(__xludf.DUMMYFUNCTION("""COMPUTED_VALUE"""),0.302055406613047)</f>
        <v>0.3020554066</v>
      </c>
      <c r="M58" s="8">
        <f>IFERROR(__xludf.DUMMYFUNCTION("""COMPUTED_VALUE"""),0.290437890974084)</f>
        <v>0.290437891</v>
      </c>
      <c r="N58" s="8">
        <f>IFERROR(__xludf.DUMMYFUNCTION("""COMPUTED_VALUE"""),0.270777479892761)</f>
        <v>0.2707774799</v>
      </c>
      <c r="O58" s="8">
        <f>IFERROR(__xludf.DUMMYFUNCTION("""COMPUTED_VALUE"""),0.20110701107011)</f>
        <v>0.2011070111</v>
      </c>
      <c r="P58" s="8">
        <f>IFERROR(__xludf.DUMMYFUNCTION("""COMPUTED_VALUE"""),0.109158186864014)</f>
        <v>0.1091581869</v>
      </c>
      <c r="Q58" s="8">
        <f>IFERROR(__xludf.DUMMYFUNCTION("""COMPUTED_VALUE"""),0.0628342245989304)</f>
        <v>0.0628342246</v>
      </c>
      <c r="R58" s="8">
        <f>IFERROR(__xludf.DUMMYFUNCTION("""COMPUTED_VALUE"""),0.0241134751773049)</f>
        <v>0.02411347518</v>
      </c>
      <c r="S58" s="8">
        <f>IFERROR(__xludf.DUMMYFUNCTION("""COMPUTED_VALUE"""),0.0)</f>
        <v>0</v>
      </c>
      <c r="T58" s="8">
        <f>IFERROR(__xludf.DUMMYFUNCTION("""COMPUTED_VALUE"""),0.0)</f>
        <v>0</v>
      </c>
      <c r="U58" s="8">
        <f>IFERROR(__xludf.DUMMYFUNCTION("""COMPUTED_VALUE"""),0.0)</f>
        <v>0</v>
      </c>
      <c r="V58" s="8">
        <f>IFERROR(__xludf.DUMMYFUNCTION("""COMPUTED_VALUE"""),0.0)</f>
        <v>0</v>
      </c>
      <c r="W58" s="8">
        <f>IFERROR(__xludf.DUMMYFUNCTION("""COMPUTED_VALUE"""),0.0)</f>
        <v>0</v>
      </c>
      <c r="X58" s="8">
        <f>IFERROR(__xludf.DUMMYFUNCTION("""COMPUTED_VALUE"""),0.0)</f>
        <v>0</v>
      </c>
      <c r="Y58" s="8">
        <f>IFERROR(__xludf.DUMMYFUNCTION("""COMPUTED_VALUE"""),0.0)</f>
        <v>0</v>
      </c>
      <c r="Z58" s="8">
        <f>IFERROR(__xludf.DUMMYFUNCTION("""COMPUTED_VALUE"""),0.0)</f>
        <v>0</v>
      </c>
      <c r="AA58" s="8">
        <f>IFERROR(__xludf.DUMMYFUNCTION("""COMPUTED_VALUE"""),0.0)</f>
        <v>0</v>
      </c>
      <c r="AB58" s="8">
        <f>IFERROR(__xludf.DUMMYFUNCTION("""COMPUTED_VALUE"""),0.0)</f>
        <v>0</v>
      </c>
      <c r="AC58" s="8">
        <f>IFERROR(__xludf.DUMMYFUNCTION("""COMPUTED_VALUE"""),0.0)</f>
        <v>0</v>
      </c>
    </row>
    <row r="59" ht="15.75" customHeight="1">
      <c r="A59" s="6" t="str">
        <f>IFERROR(__xludf.DUMMYFUNCTION("""COMPUTED_VALUE"""),"328d4b017d5db890a886902acdade960088fb3d8")</f>
        <v>328d4b017d5db890a886902acdade960088fb3d8</v>
      </c>
      <c r="B59" s="6" t="str">
        <f>IFERROR(__xludf.DUMMYFUNCTION("""COMPUTED_VALUE"""),"Her Worthless Son-in-Law")</f>
        <v>Her Worthless Son-in-Law</v>
      </c>
      <c r="C59" s="6" t="str">
        <f>IFERROR(__xludf.DUMMYFUNCTION("""COMPUTED_VALUE"""),"System and Superpower")</f>
        <v>System and Superpower</v>
      </c>
      <c r="D59" s="11">
        <f>IFERROR(__xludf.DUMMYFUNCTION("""COMPUTED_VALUE"""),547.0)</f>
        <v>547</v>
      </c>
      <c r="E59" s="8">
        <f>IFERROR(__xludf.DUMMYFUNCTION("""COMPUTED_VALUE"""),0.9375)</f>
        <v>0.9375</v>
      </c>
      <c r="F59" s="8">
        <f>IFERROR(__xludf.DUMMYFUNCTION("""COMPUTED_VALUE"""),0.719626168224299)</f>
        <v>0.7196261682</v>
      </c>
      <c r="G59" s="8">
        <f>IFERROR(__xludf.DUMMYFUNCTION("""COMPUTED_VALUE"""),0.669793621013133)</f>
        <v>0.669793621</v>
      </c>
      <c r="H59" s="8">
        <f>IFERROR(__xludf.DUMMYFUNCTION("""COMPUTED_VALUE"""),0.646034816247582)</f>
        <v>0.6460348162</v>
      </c>
      <c r="I59" s="8">
        <f>IFERROR(__xludf.DUMMYFUNCTION("""COMPUTED_VALUE"""),0.619140625)</f>
        <v>0.619140625</v>
      </c>
      <c r="J59" s="8">
        <f>IFERROR(__xludf.DUMMYFUNCTION("""COMPUTED_VALUE"""),0.579051383399209)</f>
        <v>0.5790513834</v>
      </c>
      <c r="K59" s="8">
        <f>IFERROR(__xludf.DUMMYFUNCTION("""COMPUTED_VALUE"""),0.57455268389662)</f>
        <v>0.5745526839</v>
      </c>
      <c r="L59" s="8">
        <f>IFERROR(__xludf.DUMMYFUNCTION("""COMPUTED_VALUE"""),0.552)</f>
        <v>0.552</v>
      </c>
      <c r="M59" s="8">
        <f>IFERROR(__xludf.DUMMYFUNCTION("""COMPUTED_VALUE"""),0.542168674698795)</f>
        <v>0.5421686747</v>
      </c>
      <c r="N59" s="8">
        <f>IFERROR(__xludf.DUMMYFUNCTION("""COMPUTED_VALUE"""),0.531313131313131)</f>
        <v>0.5313131313</v>
      </c>
      <c r="O59" s="8">
        <f>IFERROR(__xludf.DUMMYFUNCTION("""COMPUTED_VALUE"""),0.433760683760683)</f>
        <v>0.4337606838</v>
      </c>
      <c r="P59" s="8">
        <f>IFERROR(__xludf.DUMMYFUNCTION("""COMPUTED_VALUE"""),0.332402234636871)</f>
        <v>0.3324022346</v>
      </c>
      <c r="Q59" s="8">
        <f>IFERROR(__xludf.DUMMYFUNCTION("""COMPUTED_VALUE"""),0.216494845360824)</f>
        <v>0.2164948454</v>
      </c>
      <c r="R59" s="8">
        <f>IFERROR(__xludf.DUMMYFUNCTION("""COMPUTED_VALUE"""),0.0769230769230769)</f>
        <v>0.07692307692</v>
      </c>
      <c r="S59" s="8">
        <f>IFERROR(__xludf.DUMMYFUNCTION("""COMPUTED_VALUE"""),0.0)</f>
        <v>0</v>
      </c>
      <c r="T59" s="8">
        <f>IFERROR(__xludf.DUMMYFUNCTION("""COMPUTED_VALUE"""),0.0)</f>
        <v>0</v>
      </c>
      <c r="U59" s="8">
        <f>IFERROR(__xludf.DUMMYFUNCTION("""COMPUTED_VALUE"""),0.0)</f>
        <v>0</v>
      </c>
      <c r="V59" s="8">
        <f>IFERROR(__xludf.DUMMYFUNCTION("""COMPUTED_VALUE"""),0.0)</f>
        <v>0</v>
      </c>
      <c r="W59" s="8">
        <f>IFERROR(__xludf.DUMMYFUNCTION("""COMPUTED_VALUE"""),0.0)</f>
        <v>0</v>
      </c>
      <c r="X59" s="8">
        <f>IFERROR(__xludf.DUMMYFUNCTION("""COMPUTED_VALUE"""),0.0)</f>
        <v>0</v>
      </c>
      <c r="Y59" s="8">
        <f>IFERROR(__xludf.DUMMYFUNCTION("""COMPUTED_VALUE"""),0.0)</f>
        <v>0</v>
      </c>
      <c r="Z59" s="8">
        <f>IFERROR(__xludf.DUMMYFUNCTION("""COMPUTED_VALUE"""),0.0)</f>
        <v>0</v>
      </c>
      <c r="AA59" s="8">
        <f>IFERROR(__xludf.DUMMYFUNCTION("""COMPUTED_VALUE"""),0.0)</f>
        <v>0</v>
      </c>
      <c r="AB59" s="8">
        <f>IFERROR(__xludf.DUMMYFUNCTION("""COMPUTED_VALUE"""),0.0)</f>
        <v>0</v>
      </c>
      <c r="AC59" s="8">
        <f>IFERROR(__xludf.DUMMYFUNCTION("""COMPUTED_VALUE"""),0.0)</f>
        <v>0</v>
      </c>
    </row>
    <row r="60" ht="15.75" customHeight="1">
      <c r="A60" s="6" t="str">
        <f>IFERROR(__xludf.DUMMYFUNCTION("""COMPUTED_VALUE"""),"33e8ab0db9ae32917785af78276932f16eac10c0")</f>
        <v>33e8ab0db9ae32917785af78276932f16eac10c0</v>
      </c>
      <c r="B60" s="6" t="str">
        <f>IFERROR(__xludf.DUMMYFUNCTION("""COMPUTED_VALUE"""),"The Crowns Selection")</f>
        <v>The Crowns Selection</v>
      </c>
      <c r="C60" s="6" t="str">
        <f>IFERROR(__xludf.DUMMYFUNCTION("""COMPUTED_VALUE"""),"Romance")</f>
        <v>Romance</v>
      </c>
      <c r="D60" s="11">
        <f>IFERROR(__xludf.DUMMYFUNCTION("""COMPUTED_VALUE"""),3352.0)</f>
        <v>3352</v>
      </c>
      <c r="E60" s="8">
        <f>IFERROR(__xludf.DUMMYFUNCTION("""COMPUTED_VALUE"""),0.978494623655914)</f>
        <v>0.9784946237</v>
      </c>
      <c r="F60" s="8">
        <f>IFERROR(__xludf.DUMMYFUNCTION("""COMPUTED_VALUE"""),0.40108075652957)</f>
        <v>0.4010807565</v>
      </c>
      <c r="G60" s="8">
        <f>IFERROR(__xludf.DUMMYFUNCTION("""COMPUTED_VALUE"""),0.349279362158847)</f>
        <v>0.3492793622</v>
      </c>
      <c r="H60" s="8">
        <f>IFERROR(__xludf.DUMMYFUNCTION("""COMPUTED_VALUE"""),0.315589353612167)</f>
        <v>0.3155893536</v>
      </c>
      <c r="I60" s="8">
        <f>IFERROR(__xludf.DUMMYFUNCTION("""COMPUTED_VALUE"""),0.252950558213716)</f>
        <v>0.2529505582</v>
      </c>
      <c r="J60" s="8">
        <f>IFERROR(__xludf.DUMMYFUNCTION("""COMPUTED_VALUE"""),0.232761411460019)</f>
        <v>0.2327614115</v>
      </c>
      <c r="K60" s="8">
        <f>IFERROR(__xludf.DUMMYFUNCTION("""COMPUTED_VALUE"""),0.213120213120213)</f>
        <v>0.2131202131</v>
      </c>
      <c r="L60" s="8">
        <f>IFERROR(__xludf.DUMMYFUNCTION("""COMPUTED_VALUE"""),0.198569482288828)</f>
        <v>0.1985694823</v>
      </c>
      <c r="M60" s="8">
        <f>IFERROR(__xludf.DUMMYFUNCTION("""COMPUTED_VALUE"""),0.183374083129584)</f>
        <v>0.1833740831</v>
      </c>
      <c r="N60" s="8">
        <f>IFERROR(__xludf.DUMMYFUNCTION("""COMPUTED_VALUE"""),0.170793882010196)</f>
        <v>0.170793882</v>
      </c>
      <c r="O60" s="8">
        <f>IFERROR(__xludf.DUMMYFUNCTION("""COMPUTED_VALUE"""),0.135585783238262)</f>
        <v>0.1355857832</v>
      </c>
      <c r="P60" s="8">
        <f>IFERROR(__xludf.DUMMYFUNCTION("""COMPUTED_VALUE"""),0.119124275595621)</f>
        <v>0.1191242756</v>
      </c>
      <c r="Q60" s="8">
        <f>IFERROR(__xludf.DUMMYFUNCTION("""COMPUTED_VALUE"""),0.206896551724137)</f>
        <v>0.2068965517</v>
      </c>
      <c r="R60" s="8">
        <f>IFERROR(__xludf.DUMMYFUNCTION("""COMPUTED_VALUE"""),0.0)</f>
        <v>0</v>
      </c>
      <c r="S60" s="8">
        <f>IFERROR(__xludf.DUMMYFUNCTION("""COMPUTED_VALUE"""),0.0)</f>
        <v>0</v>
      </c>
      <c r="T60" s="8">
        <f>IFERROR(__xludf.DUMMYFUNCTION("""COMPUTED_VALUE"""),0.0)</f>
        <v>0</v>
      </c>
      <c r="U60" s="8">
        <f>IFERROR(__xludf.DUMMYFUNCTION("""COMPUTED_VALUE"""),0.0)</f>
        <v>0</v>
      </c>
      <c r="V60" s="8">
        <f>IFERROR(__xludf.DUMMYFUNCTION("""COMPUTED_VALUE"""),0.0)</f>
        <v>0</v>
      </c>
      <c r="W60" s="8">
        <f>IFERROR(__xludf.DUMMYFUNCTION("""COMPUTED_VALUE"""),0.0)</f>
        <v>0</v>
      </c>
      <c r="X60" s="8">
        <f>IFERROR(__xludf.DUMMYFUNCTION("""COMPUTED_VALUE"""),0.0)</f>
        <v>0</v>
      </c>
      <c r="Y60" s="8">
        <f>IFERROR(__xludf.DUMMYFUNCTION("""COMPUTED_VALUE"""),0.0)</f>
        <v>0</v>
      </c>
      <c r="Z60" s="8">
        <f>IFERROR(__xludf.DUMMYFUNCTION("""COMPUTED_VALUE"""),0.0)</f>
        <v>0</v>
      </c>
      <c r="AA60" s="8">
        <f>IFERROR(__xludf.DUMMYFUNCTION("""COMPUTED_VALUE"""),0.0)</f>
        <v>0</v>
      </c>
      <c r="AB60" s="8">
        <f>IFERROR(__xludf.DUMMYFUNCTION("""COMPUTED_VALUE"""),0.0)</f>
        <v>0</v>
      </c>
      <c r="AC60" s="8">
        <f>IFERROR(__xludf.DUMMYFUNCTION("""COMPUTED_VALUE"""),0.0)</f>
        <v>0</v>
      </c>
    </row>
    <row r="61" ht="15.75" customHeight="1">
      <c r="A61" s="6" t="str">
        <f>IFERROR(__xludf.DUMMYFUNCTION("""COMPUTED_VALUE"""),"344fcbb2ea419c5e240def842cb2949db59acee4")</f>
        <v>344fcbb2ea419c5e240def842cb2949db59acee4</v>
      </c>
      <c r="B61" s="6" t="str">
        <f>IFERROR(__xludf.DUMMYFUNCTION("""COMPUTED_VALUE"""),"Gate of Immortality")</f>
        <v>Gate of Immortality</v>
      </c>
      <c r="C61" s="6" t="str">
        <f>IFERROR(__xludf.DUMMYFUNCTION("""COMPUTED_VALUE"""),"Drama")</f>
        <v>Drama</v>
      </c>
      <c r="D61" s="11">
        <f>IFERROR(__xludf.DUMMYFUNCTION("""COMPUTED_VALUE"""),1243.0)</f>
        <v>1243</v>
      </c>
      <c r="E61" s="8">
        <f>IFERROR(__xludf.DUMMYFUNCTION("""COMPUTED_VALUE"""),0.968776371308016)</f>
        <v>0.9687763713</v>
      </c>
      <c r="F61" s="8">
        <f>IFERROR(__xludf.DUMMYFUNCTION("""COMPUTED_VALUE"""),0.507978723404255)</f>
        <v>0.5079787234</v>
      </c>
      <c r="G61" s="8">
        <f>IFERROR(__xludf.DUMMYFUNCTION("""COMPUTED_VALUE"""),0.446869070208728)</f>
        <v>0.4468690702</v>
      </c>
      <c r="H61" s="8">
        <f>IFERROR(__xludf.DUMMYFUNCTION("""COMPUTED_VALUE"""),0.40563086548488)</f>
        <v>0.4056308655</v>
      </c>
      <c r="I61" s="8">
        <f>IFERROR(__xludf.DUMMYFUNCTION("""COMPUTED_VALUE"""),0.387845303867403)</f>
        <v>0.3878453039</v>
      </c>
      <c r="J61" s="8">
        <f>IFERROR(__xludf.DUMMYFUNCTION("""COMPUTED_VALUE"""),0.348754448398576)</f>
        <v>0.3487544484</v>
      </c>
      <c r="K61" s="8">
        <f>IFERROR(__xludf.DUMMYFUNCTION("""COMPUTED_VALUE"""),0.3083645443196)</f>
        <v>0.3083645443</v>
      </c>
      <c r="L61" s="8">
        <f>IFERROR(__xludf.DUMMYFUNCTION("""COMPUTED_VALUE"""),0.289893617021276)</f>
        <v>0.289893617</v>
      </c>
      <c r="M61" s="8">
        <f>IFERROR(__xludf.DUMMYFUNCTION("""COMPUTED_VALUE"""),0.270833333333333)</f>
        <v>0.2708333333</v>
      </c>
      <c r="N61" s="8">
        <f>IFERROR(__xludf.DUMMYFUNCTION("""COMPUTED_VALUE"""),0.258720930232558)</f>
        <v>0.2587209302</v>
      </c>
      <c r="O61" s="8">
        <f>IFERROR(__xludf.DUMMYFUNCTION("""COMPUTED_VALUE"""),0.204878048780487)</f>
        <v>0.2048780488</v>
      </c>
      <c r="P61" s="8">
        <f>IFERROR(__xludf.DUMMYFUNCTION("""COMPUTED_VALUE"""),0.158081705150976)</f>
        <v>0.1580817052</v>
      </c>
      <c r="Q61" s="8">
        <f>IFERROR(__xludf.DUMMYFUNCTION("""COMPUTED_VALUE"""),0.129032258064516)</f>
        <v>0.1290322581</v>
      </c>
      <c r="R61" s="8">
        <f>IFERROR(__xludf.DUMMYFUNCTION("""COMPUTED_VALUE"""),0.1)</f>
        <v>0.1</v>
      </c>
      <c r="S61" s="8">
        <f>IFERROR(__xludf.DUMMYFUNCTION("""COMPUTED_VALUE"""),0.0)</f>
        <v>0</v>
      </c>
      <c r="T61" s="8">
        <f>IFERROR(__xludf.DUMMYFUNCTION("""COMPUTED_VALUE"""),0.0)</f>
        <v>0</v>
      </c>
      <c r="U61" s="8">
        <f>IFERROR(__xludf.DUMMYFUNCTION("""COMPUTED_VALUE"""),0.0)</f>
        <v>0</v>
      </c>
      <c r="V61" s="8">
        <f>IFERROR(__xludf.DUMMYFUNCTION("""COMPUTED_VALUE"""),0.0)</f>
        <v>0</v>
      </c>
      <c r="W61" s="8">
        <f>IFERROR(__xludf.DUMMYFUNCTION("""COMPUTED_VALUE"""),0.0)</f>
        <v>0</v>
      </c>
      <c r="X61" s="8">
        <f>IFERROR(__xludf.DUMMYFUNCTION("""COMPUTED_VALUE"""),0.0)</f>
        <v>0</v>
      </c>
      <c r="Y61" s="8">
        <f>IFERROR(__xludf.DUMMYFUNCTION("""COMPUTED_VALUE"""),0.0)</f>
        <v>0</v>
      </c>
      <c r="Z61" s="8">
        <f>IFERROR(__xludf.DUMMYFUNCTION("""COMPUTED_VALUE"""),0.0)</f>
        <v>0</v>
      </c>
      <c r="AA61" s="8">
        <f>IFERROR(__xludf.DUMMYFUNCTION("""COMPUTED_VALUE"""),0.0)</f>
        <v>0</v>
      </c>
      <c r="AB61" s="8">
        <f>IFERROR(__xludf.DUMMYFUNCTION("""COMPUTED_VALUE"""),0.0)</f>
        <v>0</v>
      </c>
      <c r="AC61" s="8">
        <f>IFERROR(__xludf.DUMMYFUNCTION("""COMPUTED_VALUE"""),0.0)</f>
        <v>0</v>
      </c>
    </row>
    <row r="62" ht="15.75" customHeight="1">
      <c r="A62" s="6" t="str">
        <f>IFERROR(__xludf.DUMMYFUNCTION("""COMPUTED_VALUE"""),"34997bc4167305107b251e0bf8431553064ef3a5")</f>
        <v>34997bc4167305107b251e0bf8431553064ef3a5</v>
      </c>
      <c r="B62" s="6" t="str">
        <f>IFERROR(__xludf.DUMMYFUNCTION("""COMPUTED_VALUE"""),"The Ghost Heiress")</f>
        <v>The Ghost Heiress</v>
      </c>
      <c r="C62" s="6" t="str">
        <f>IFERROR(__xludf.DUMMYFUNCTION("""COMPUTED_VALUE"""),"Romance")</f>
        <v>Romance</v>
      </c>
      <c r="D62" s="11">
        <f>IFERROR(__xludf.DUMMYFUNCTION("""COMPUTED_VALUE"""),991.0)</f>
        <v>991</v>
      </c>
      <c r="E62" s="8">
        <f>IFERROR(__xludf.DUMMYFUNCTION("""COMPUTED_VALUE"""),0.960662525879917)</f>
        <v>0.9606625259</v>
      </c>
      <c r="F62" s="8">
        <f>IFERROR(__xludf.DUMMYFUNCTION("""COMPUTED_VALUE"""),0.537946428571428)</f>
        <v>0.5379464286</v>
      </c>
      <c r="G62" s="8">
        <f>IFERROR(__xludf.DUMMYFUNCTION("""COMPUTED_VALUE"""),0.479674796747967)</f>
        <v>0.4796747967</v>
      </c>
      <c r="H62" s="8">
        <f>IFERROR(__xludf.DUMMYFUNCTION("""COMPUTED_VALUE"""),0.426270136307311)</f>
        <v>0.4262701363</v>
      </c>
      <c r="I62" s="8">
        <f>IFERROR(__xludf.DUMMYFUNCTION("""COMPUTED_VALUE"""),0.394329896907216)</f>
        <v>0.3943298969</v>
      </c>
      <c r="J62" s="8">
        <f>IFERROR(__xludf.DUMMYFUNCTION("""COMPUTED_VALUE"""),0.347240915208613)</f>
        <v>0.3472409152</v>
      </c>
      <c r="K62" s="8">
        <f>IFERROR(__xludf.DUMMYFUNCTION("""COMPUTED_VALUE"""),0.261474269819193)</f>
        <v>0.2614742698</v>
      </c>
      <c r="L62" s="8">
        <f>IFERROR(__xludf.DUMMYFUNCTION("""COMPUTED_VALUE"""),0.295839753466872)</f>
        <v>0.2958397535</v>
      </c>
      <c r="M62" s="8">
        <f>IFERROR(__xludf.DUMMYFUNCTION("""COMPUTED_VALUE"""),0.314662273476112)</f>
        <v>0.3146622735</v>
      </c>
      <c r="N62" s="8">
        <f>IFERROR(__xludf.DUMMYFUNCTION("""COMPUTED_VALUE"""),0.318505338078291)</f>
        <v>0.3185053381</v>
      </c>
      <c r="O62" s="8">
        <f>IFERROR(__xludf.DUMMYFUNCTION("""COMPUTED_VALUE"""),0.186246418338108)</f>
        <v>0.1862464183</v>
      </c>
      <c r="P62" s="8">
        <f>IFERROR(__xludf.DUMMYFUNCTION("""COMPUTED_VALUE"""),0.145833333333333)</f>
        <v>0.1458333333</v>
      </c>
      <c r="Q62" s="8">
        <f>IFERROR(__xludf.DUMMYFUNCTION("""COMPUTED_VALUE"""),0.25)</f>
        <v>0.25</v>
      </c>
      <c r="R62" s="8">
        <f>IFERROR(__xludf.DUMMYFUNCTION("""COMPUTED_VALUE"""),0.0)</f>
        <v>0</v>
      </c>
      <c r="S62" s="8">
        <f>IFERROR(__xludf.DUMMYFUNCTION("""COMPUTED_VALUE"""),0.0)</f>
        <v>0</v>
      </c>
      <c r="T62" s="8">
        <f>IFERROR(__xludf.DUMMYFUNCTION("""COMPUTED_VALUE"""),0.0)</f>
        <v>0</v>
      </c>
      <c r="U62" s="8">
        <f>IFERROR(__xludf.DUMMYFUNCTION("""COMPUTED_VALUE"""),0.0)</f>
        <v>0</v>
      </c>
      <c r="V62" s="8">
        <f>IFERROR(__xludf.DUMMYFUNCTION("""COMPUTED_VALUE"""),0.0)</f>
        <v>0</v>
      </c>
      <c r="W62" s="8">
        <f>IFERROR(__xludf.DUMMYFUNCTION("""COMPUTED_VALUE"""),0.0)</f>
        <v>0</v>
      </c>
      <c r="X62" s="8">
        <f>IFERROR(__xludf.DUMMYFUNCTION("""COMPUTED_VALUE"""),0.0)</f>
        <v>0</v>
      </c>
      <c r="Y62" s="8">
        <f>IFERROR(__xludf.DUMMYFUNCTION("""COMPUTED_VALUE"""),0.0)</f>
        <v>0</v>
      </c>
      <c r="Z62" s="8">
        <f>IFERROR(__xludf.DUMMYFUNCTION("""COMPUTED_VALUE"""),0.0)</f>
        <v>0</v>
      </c>
      <c r="AA62" s="8">
        <f>IFERROR(__xludf.DUMMYFUNCTION("""COMPUTED_VALUE"""),0.0)</f>
        <v>0</v>
      </c>
      <c r="AB62" s="8">
        <f>IFERROR(__xludf.DUMMYFUNCTION("""COMPUTED_VALUE"""),0.0)</f>
        <v>0</v>
      </c>
      <c r="AC62" s="8">
        <f>IFERROR(__xludf.DUMMYFUNCTION("""COMPUTED_VALUE"""),0.0)</f>
        <v>0</v>
      </c>
    </row>
    <row r="63" ht="15.75" customHeight="1">
      <c r="A63" s="6" t="str">
        <f>IFERROR(__xludf.DUMMYFUNCTION("""COMPUTED_VALUE"""),"34f2f307c600eaadeadd185f5681a891034fb635")</f>
        <v>34f2f307c600eaadeadd185f5681a891034fb635</v>
      </c>
      <c r="B63" s="6" t="str">
        <f>IFERROR(__xludf.DUMMYFUNCTION("""COMPUTED_VALUE"""),"Complete Deception")</f>
        <v>Complete Deception</v>
      </c>
      <c r="C63" s="6" t="str">
        <f>IFERROR(__xludf.DUMMYFUNCTION("""COMPUTED_VALUE"""),"Romance")</f>
        <v>Romance</v>
      </c>
      <c r="D63" s="11">
        <f>IFERROR(__xludf.DUMMYFUNCTION("""COMPUTED_VALUE"""),1002.0)</f>
        <v>1002</v>
      </c>
      <c r="E63" s="8">
        <f>IFERROR(__xludf.DUMMYFUNCTION("""COMPUTED_VALUE"""),0.953046953046953)</f>
        <v>0.953046953</v>
      </c>
      <c r="F63" s="8">
        <f>IFERROR(__xludf.DUMMYFUNCTION("""COMPUTED_VALUE"""),0.501002004008016)</f>
        <v>0.501002004</v>
      </c>
      <c r="G63" s="8">
        <f>IFERROR(__xludf.DUMMYFUNCTION("""COMPUTED_VALUE"""),0.400602409638554)</f>
        <v>0.4006024096</v>
      </c>
      <c r="H63" s="8">
        <f>IFERROR(__xludf.DUMMYFUNCTION("""COMPUTED_VALUE"""),0.364824120603015)</f>
        <v>0.3648241206</v>
      </c>
      <c r="I63" s="8">
        <f>IFERROR(__xludf.DUMMYFUNCTION("""COMPUTED_VALUE"""),0.364824120603015)</f>
        <v>0.3648241206</v>
      </c>
      <c r="J63" s="8">
        <f>IFERROR(__xludf.DUMMYFUNCTION("""COMPUTED_VALUE"""),0.32964824120603)</f>
        <v>0.3296482412</v>
      </c>
      <c r="K63" s="8">
        <f>IFERROR(__xludf.DUMMYFUNCTION("""COMPUTED_VALUE"""),0.289738430583501)</f>
        <v>0.2897384306</v>
      </c>
      <c r="L63" s="8">
        <f>IFERROR(__xludf.DUMMYFUNCTION("""COMPUTED_VALUE"""),0.284848484848484)</f>
        <v>0.2848484848</v>
      </c>
      <c r="M63" s="8">
        <f>IFERROR(__xludf.DUMMYFUNCTION("""COMPUTED_VALUE"""),0.284842319430315)</f>
        <v>0.2848423194</v>
      </c>
      <c r="N63" s="8">
        <f>IFERROR(__xludf.DUMMYFUNCTION("""COMPUTED_VALUE"""),0.276663146779303)</f>
        <v>0.2766631468</v>
      </c>
      <c r="O63" s="8">
        <f>IFERROR(__xludf.DUMMYFUNCTION("""COMPUTED_VALUE"""),0.240162822252374)</f>
        <v>0.2401628223</v>
      </c>
      <c r="P63" s="8">
        <f>IFERROR(__xludf.DUMMYFUNCTION("""COMPUTED_VALUE"""),0.163934426229508)</f>
        <v>0.1639344262</v>
      </c>
      <c r="Q63" s="8">
        <f>IFERROR(__xludf.DUMMYFUNCTION("""COMPUTED_VALUE"""),0.0755064456721915)</f>
        <v>0.07550644567</v>
      </c>
      <c r="R63" s="8">
        <f>IFERROR(__xludf.DUMMYFUNCTION("""COMPUTED_VALUE"""),0.0517560073937153)</f>
        <v>0.05175600739</v>
      </c>
      <c r="S63" s="8">
        <f>IFERROR(__xludf.DUMMYFUNCTION("""COMPUTED_VALUE"""),0.037037037037037)</f>
        <v>0.03703703704</v>
      </c>
      <c r="T63" s="8">
        <f>IFERROR(__xludf.DUMMYFUNCTION("""COMPUTED_VALUE"""),0.0271844660194174)</f>
        <v>0.02718446602</v>
      </c>
      <c r="U63" s="8">
        <f>IFERROR(__xludf.DUMMYFUNCTION("""COMPUTED_VALUE"""),0.0291777188328912)</f>
        <v>0.02917771883</v>
      </c>
      <c r="V63" s="8">
        <f>IFERROR(__xludf.DUMMYFUNCTION("""COMPUTED_VALUE"""),0.0126582278481012)</f>
        <v>0.01265822785</v>
      </c>
      <c r="W63" s="8">
        <f>IFERROR(__xludf.DUMMYFUNCTION("""COMPUTED_VALUE"""),0.0)</f>
        <v>0</v>
      </c>
      <c r="X63" s="8">
        <f>IFERROR(__xludf.DUMMYFUNCTION("""COMPUTED_VALUE"""),0.0)</f>
        <v>0</v>
      </c>
      <c r="Y63" s="8">
        <f>IFERROR(__xludf.DUMMYFUNCTION("""COMPUTED_VALUE"""),0.0)</f>
        <v>0</v>
      </c>
      <c r="Z63" s="8">
        <f>IFERROR(__xludf.DUMMYFUNCTION("""COMPUTED_VALUE"""),0.0)</f>
        <v>0</v>
      </c>
      <c r="AA63" s="8">
        <f>IFERROR(__xludf.DUMMYFUNCTION("""COMPUTED_VALUE"""),0.0)</f>
        <v>0</v>
      </c>
      <c r="AB63" s="8">
        <f>IFERROR(__xludf.DUMMYFUNCTION("""COMPUTED_VALUE"""),0.0)</f>
        <v>0</v>
      </c>
      <c r="AC63" s="8">
        <f>IFERROR(__xludf.DUMMYFUNCTION("""COMPUTED_VALUE"""),0.0)</f>
        <v>0</v>
      </c>
    </row>
    <row r="64" ht="15.75" customHeight="1">
      <c r="A64" s="6" t="str">
        <f>IFERROR(__xludf.DUMMYFUNCTION("""COMPUTED_VALUE"""),"362902a5f0edf9862b88e64b166bdf3fa44487fc")</f>
        <v>362902a5f0edf9862b88e64b166bdf3fa44487fc</v>
      </c>
      <c r="B64" s="6" t="str">
        <f>IFERROR(__xludf.DUMMYFUNCTION("""COMPUTED_VALUE"""),"Almighty Sword Domain")</f>
        <v>Almighty Sword Domain</v>
      </c>
      <c r="C64" s="6" t="str">
        <f>IFERROR(__xludf.DUMMYFUNCTION("""COMPUTED_VALUE"""),"Fantasy")</f>
        <v>Fantasy</v>
      </c>
      <c r="D64" s="11">
        <f>IFERROR(__xludf.DUMMYFUNCTION("""COMPUTED_VALUE"""),398.0)</f>
        <v>398</v>
      </c>
      <c r="E64" s="8">
        <f>IFERROR(__xludf.DUMMYFUNCTION("""COMPUTED_VALUE"""),0.975206611570247)</f>
        <v>0.9752066116</v>
      </c>
      <c r="F64" s="8">
        <f>IFERROR(__xludf.DUMMYFUNCTION("""COMPUTED_VALUE"""),0.369565217391304)</f>
        <v>0.3695652174</v>
      </c>
      <c r="G64" s="8">
        <f>IFERROR(__xludf.DUMMYFUNCTION("""COMPUTED_VALUE"""),0.349775784753363)</f>
        <v>0.3497757848</v>
      </c>
      <c r="H64" s="8">
        <f>IFERROR(__xludf.DUMMYFUNCTION("""COMPUTED_VALUE"""),0.329608938547486)</f>
        <v>0.3296089385</v>
      </c>
      <c r="I64" s="8">
        <f>IFERROR(__xludf.DUMMYFUNCTION("""COMPUTED_VALUE"""),0.314814814814814)</f>
        <v>0.3148148148</v>
      </c>
      <c r="J64" s="8">
        <f>IFERROR(__xludf.DUMMYFUNCTION("""COMPUTED_VALUE"""),0.285714285714285)</f>
        <v>0.2857142857</v>
      </c>
      <c r="K64" s="8">
        <f>IFERROR(__xludf.DUMMYFUNCTION("""COMPUTED_VALUE"""),0.274193548387096)</f>
        <v>0.2741935484</v>
      </c>
      <c r="L64" s="8">
        <f>IFERROR(__xludf.DUMMYFUNCTION("""COMPUTED_VALUE"""),0.289719626168224)</f>
        <v>0.2897196262</v>
      </c>
      <c r="M64" s="8">
        <f>IFERROR(__xludf.DUMMYFUNCTION("""COMPUTED_VALUE"""),0.298076923076923)</f>
        <v>0.2980769231</v>
      </c>
      <c r="N64" s="8">
        <f>IFERROR(__xludf.DUMMYFUNCTION("""COMPUTED_VALUE"""),0.29126213592233)</f>
        <v>0.2912621359</v>
      </c>
      <c r="O64" s="8">
        <f>IFERROR(__xludf.DUMMYFUNCTION("""COMPUTED_VALUE"""),0.287128712871287)</f>
        <v>0.2871287129</v>
      </c>
      <c r="P64" s="8">
        <f>IFERROR(__xludf.DUMMYFUNCTION("""COMPUTED_VALUE"""),0.237113402061855)</f>
        <v>0.2371134021</v>
      </c>
      <c r="Q64" s="8">
        <f>IFERROR(__xludf.DUMMYFUNCTION("""COMPUTED_VALUE"""),0.191011235955056)</f>
        <v>0.191011236</v>
      </c>
      <c r="R64" s="8">
        <f>IFERROR(__xludf.DUMMYFUNCTION("""COMPUTED_VALUE"""),0.142857142857142)</f>
        <v>0.1428571429</v>
      </c>
      <c r="S64" s="8">
        <f>IFERROR(__xludf.DUMMYFUNCTION("""COMPUTED_VALUE"""),0.146666666666666)</f>
        <v>0.1466666667</v>
      </c>
      <c r="T64" s="8">
        <f>IFERROR(__xludf.DUMMYFUNCTION("""COMPUTED_VALUE"""),0.0980392156862745)</f>
        <v>0.09803921569</v>
      </c>
      <c r="U64" s="8">
        <f>IFERROR(__xludf.DUMMYFUNCTION("""COMPUTED_VALUE"""),0.0)</f>
        <v>0</v>
      </c>
      <c r="V64" s="8">
        <f>IFERROR(__xludf.DUMMYFUNCTION("""COMPUTED_VALUE"""),0.0)</f>
        <v>0</v>
      </c>
      <c r="W64" s="8">
        <f>IFERROR(__xludf.DUMMYFUNCTION("""COMPUTED_VALUE"""),0.0)</f>
        <v>0</v>
      </c>
      <c r="X64" s="8">
        <f>IFERROR(__xludf.DUMMYFUNCTION("""COMPUTED_VALUE"""),0.0)</f>
        <v>0</v>
      </c>
      <c r="Y64" s="8">
        <f>IFERROR(__xludf.DUMMYFUNCTION("""COMPUTED_VALUE"""),0.0)</f>
        <v>0</v>
      </c>
      <c r="Z64" s="8">
        <f>IFERROR(__xludf.DUMMYFUNCTION("""COMPUTED_VALUE"""),0.0)</f>
        <v>0</v>
      </c>
      <c r="AA64" s="8">
        <f>IFERROR(__xludf.DUMMYFUNCTION("""COMPUTED_VALUE"""),0.0)</f>
        <v>0</v>
      </c>
      <c r="AB64" s="8">
        <f>IFERROR(__xludf.DUMMYFUNCTION("""COMPUTED_VALUE"""),0.0)</f>
        <v>0</v>
      </c>
      <c r="AC64" s="8">
        <f>IFERROR(__xludf.DUMMYFUNCTION("""COMPUTED_VALUE"""),0.0)</f>
        <v>0</v>
      </c>
    </row>
    <row r="65" ht="15.75" customHeight="1">
      <c r="A65" s="6" t="str">
        <f>IFERROR(__xludf.DUMMYFUNCTION("""COMPUTED_VALUE"""),"37a4619595e440ac361cdc0df4d1bd0a9bd5d60c")</f>
        <v>37a4619595e440ac361cdc0df4d1bd0a9bd5d60c</v>
      </c>
      <c r="B65" s="6" t="str">
        <f>IFERROR(__xludf.DUMMYFUNCTION("""COMPUTED_VALUE"""),"The Bloodline Copy System")</f>
        <v>The Bloodline Copy System</v>
      </c>
      <c r="C65" s="6" t="str">
        <f>IFERROR(__xludf.DUMMYFUNCTION("""COMPUTED_VALUE"""),"System and Superpower")</f>
        <v>System and Superpower</v>
      </c>
      <c r="D65" s="11">
        <f>IFERROR(__xludf.DUMMYFUNCTION("""COMPUTED_VALUE"""),2435.0)</f>
        <v>2435</v>
      </c>
      <c r="E65" s="8">
        <f>IFERROR(__xludf.DUMMYFUNCTION("""COMPUTED_VALUE"""),0.975288303130148)</f>
        <v>0.9752883031</v>
      </c>
      <c r="F65" s="8">
        <f>IFERROR(__xludf.DUMMYFUNCTION("""COMPUTED_VALUE"""),0.60487200660611)</f>
        <v>0.6048720066</v>
      </c>
      <c r="G65" s="8">
        <f>IFERROR(__xludf.DUMMYFUNCTION("""COMPUTED_VALUE"""),0.530848861283644)</f>
        <v>0.5308488613</v>
      </c>
      <c r="H65" s="8">
        <f>IFERROR(__xludf.DUMMYFUNCTION("""COMPUTED_VALUE"""),0.476705490848585)</f>
        <v>0.4767054908</v>
      </c>
      <c r="I65" s="8">
        <f>IFERROR(__xludf.DUMMYFUNCTION("""COMPUTED_VALUE"""),0.447137484329293)</f>
        <v>0.4471374843</v>
      </c>
      <c r="J65" s="8">
        <f>IFERROR(__xludf.DUMMYFUNCTION("""COMPUTED_VALUE"""),0.413865546218487)</f>
        <v>0.4138655462</v>
      </c>
      <c r="K65" s="8">
        <f>IFERROR(__xludf.DUMMYFUNCTION("""COMPUTED_VALUE"""),0.39108280254777)</f>
        <v>0.3910828025</v>
      </c>
      <c r="L65" s="8">
        <f>IFERROR(__xludf.DUMMYFUNCTION("""COMPUTED_VALUE"""),0.380114386273647)</f>
        <v>0.3801143863</v>
      </c>
      <c r="M65" s="8">
        <f>IFERROR(__xludf.DUMMYFUNCTION("""COMPUTED_VALUE"""),0.369139736003641)</f>
        <v>0.369139736</v>
      </c>
      <c r="N65" s="8">
        <f>IFERROR(__xludf.DUMMYFUNCTION("""COMPUTED_VALUE"""),0.356844547563805)</f>
        <v>0.3568445476</v>
      </c>
      <c r="O65" s="8">
        <f>IFERROR(__xludf.DUMMYFUNCTION("""COMPUTED_VALUE"""),0.291495198902606)</f>
        <v>0.2914951989</v>
      </c>
      <c r="P65" s="8">
        <f>IFERROR(__xludf.DUMMYFUNCTION("""COMPUTED_VALUE"""),0.219227967953386)</f>
        <v>0.219227968</v>
      </c>
      <c r="Q65" s="8">
        <f>IFERROR(__xludf.DUMMYFUNCTION("""COMPUTED_VALUE"""),0.0901856763925729)</f>
        <v>0.09018567639</v>
      </c>
      <c r="R65" s="8">
        <f>IFERROR(__xludf.DUMMYFUNCTION("""COMPUTED_VALUE"""),0.0529801324503311)</f>
        <v>0.05298013245</v>
      </c>
      <c r="S65" s="8">
        <f>IFERROR(__xludf.DUMMYFUNCTION("""COMPUTED_VALUE"""),0.063063063063063)</f>
        <v>0.06306306306</v>
      </c>
      <c r="T65" s="8">
        <f>IFERROR(__xludf.DUMMYFUNCTION("""COMPUTED_VALUE"""),0.0238095238095238)</f>
        <v>0.02380952381</v>
      </c>
      <c r="U65" s="8">
        <f>IFERROR(__xludf.DUMMYFUNCTION("""COMPUTED_VALUE"""),0.0)</f>
        <v>0</v>
      </c>
      <c r="V65" s="8">
        <f>IFERROR(__xludf.DUMMYFUNCTION("""COMPUTED_VALUE"""),0.0)</f>
        <v>0</v>
      </c>
      <c r="W65" s="8">
        <f>IFERROR(__xludf.DUMMYFUNCTION("""COMPUTED_VALUE"""),0.0)</f>
        <v>0</v>
      </c>
      <c r="X65" s="8">
        <f>IFERROR(__xludf.DUMMYFUNCTION("""COMPUTED_VALUE"""),0.0)</f>
        <v>0</v>
      </c>
      <c r="Y65" s="8">
        <f>IFERROR(__xludf.DUMMYFUNCTION("""COMPUTED_VALUE"""),0.0)</f>
        <v>0</v>
      </c>
      <c r="Z65" s="8">
        <f>IFERROR(__xludf.DUMMYFUNCTION("""COMPUTED_VALUE"""),0.0)</f>
        <v>0</v>
      </c>
      <c r="AA65" s="8">
        <f>IFERROR(__xludf.DUMMYFUNCTION("""COMPUTED_VALUE"""),0.0)</f>
        <v>0</v>
      </c>
      <c r="AB65" s="8">
        <f>IFERROR(__xludf.DUMMYFUNCTION("""COMPUTED_VALUE"""),0.0)</f>
        <v>0</v>
      </c>
      <c r="AC65" s="8">
        <f>IFERROR(__xludf.DUMMYFUNCTION("""COMPUTED_VALUE"""),0.0)</f>
        <v>0</v>
      </c>
    </row>
    <row r="66" ht="15.75" customHeight="1">
      <c r="A66" s="6" t="str">
        <f>IFERROR(__xludf.DUMMYFUNCTION("""COMPUTED_VALUE"""),"381f2f23cfe6043e04a4a705bfde2d0832cb6847")</f>
        <v>381f2f23cfe6043e04a4a705bfde2d0832cb6847</v>
      </c>
      <c r="B66" s="6" t="str">
        <f>IFERROR(__xludf.DUMMYFUNCTION("""COMPUTED_VALUE"""),"The Personal Maid")</f>
        <v>The Personal Maid</v>
      </c>
      <c r="C66" s="6" t="str">
        <f>IFERROR(__xludf.DUMMYFUNCTION("""COMPUTED_VALUE"""),"Romance")</f>
        <v>Romance</v>
      </c>
      <c r="D66" s="11">
        <f>IFERROR(__xludf.DUMMYFUNCTION("""COMPUTED_VALUE"""),235.0)</f>
        <v>235</v>
      </c>
      <c r="E66" s="8">
        <f>IFERROR(__xludf.DUMMYFUNCTION("""COMPUTED_VALUE"""),0.936170212765957)</f>
        <v>0.9361702128</v>
      </c>
      <c r="F66" s="8">
        <f>IFERROR(__xludf.DUMMYFUNCTION("""COMPUTED_VALUE"""),0.463829787234042)</f>
        <v>0.4638297872</v>
      </c>
      <c r="G66" s="8">
        <f>IFERROR(__xludf.DUMMYFUNCTION("""COMPUTED_VALUE"""),0.344680851063829)</f>
        <v>0.3446808511</v>
      </c>
      <c r="H66" s="8">
        <f>IFERROR(__xludf.DUMMYFUNCTION("""COMPUTED_VALUE"""),0.327659574468085)</f>
        <v>0.3276595745</v>
      </c>
      <c r="I66" s="8">
        <f>IFERROR(__xludf.DUMMYFUNCTION("""COMPUTED_VALUE"""),0.327659574468085)</f>
        <v>0.3276595745</v>
      </c>
      <c r="J66" s="8">
        <f>IFERROR(__xludf.DUMMYFUNCTION("""COMPUTED_VALUE"""),0.293617021276595)</f>
        <v>0.2936170213</v>
      </c>
      <c r="K66" s="8">
        <f>IFERROR(__xludf.DUMMYFUNCTION("""COMPUTED_VALUE"""),0.246808510638297)</f>
        <v>0.2468085106</v>
      </c>
      <c r="L66" s="8">
        <f>IFERROR(__xludf.DUMMYFUNCTION("""COMPUTED_VALUE"""),0.22127659574468)</f>
        <v>0.2212765957</v>
      </c>
      <c r="M66" s="8">
        <f>IFERROR(__xludf.DUMMYFUNCTION("""COMPUTED_VALUE"""),0.179487179487179)</f>
        <v>0.1794871795</v>
      </c>
      <c r="N66" s="8">
        <f>IFERROR(__xludf.DUMMYFUNCTION("""COMPUTED_VALUE"""),0.166666666666666)</f>
        <v>0.1666666667</v>
      </c>
      <c r="O66" s="8">
        <f>IFERROR(__xludf.DUMMYFUNCTION("""COMPUTED_VALUE"""),0.162393162393162)</f>
        <v>0.1623931624</v>
      </c>
      <c r="P66" s="8">
        <f>IFERROR(__xludf.DUMMYFUNCTION("""COMPUTED_VALUE"""),0.102564102564102)</f>
        <v>0.1025641026</v>
      </c>
      <c r="Q66" s="8">
        <f>IFERROR(__xludf.DUMMYFUNCTION("""COMPUTED_VALUE"""),0.0335570469798657)</f>
        <v>0.03355704698</v>
      </c>
      <c r="R66" s="8">
        <f>IFERROR(__xludf.DUMMYFUNCTION("""COMPUTED_VALUE"""),0.0)</f>
        <v>0</v>
      </c>
      <c r="S66" s="8">
        <f>IFERROR(__xludf.DUMMYFUNCTION("""COMPUTED_VALUE"""),0.0)</f>
        <v>0</v>
      </c>
      <c r="T66" s="8">
        <f>IFERROR(__xludf.DUMMYFUNCTION("""COMPUTED_VALUE"""),0.0)</f>
        <v>0</v>
      </c>
      <c r="U66" s="8">
        <f>IFERROR(__xludf.DUMMYFUNCTION("""COMPUTED_VALUE"""),0.0)</f>
        <v>0</v>
      </c>
      <c r="V66" s="8">
        <f>IFERROR(__xludf.DUMMYFUNCTION("""COMPUTED_VALUE"""),0.0)</f>
        <v>0</v>
      </c>
      <c r="W66" s="8">
        <f>IFERROR(__xludf.DUMMYFUNCTION("""COMPUTED_VALUE"""),0.0)</f>
        <v>0</v>
      </c>
      <c r="X66" s="8">
        <f>IFERROR(__xludf.DUMMYFUNCTION("""COMPUTED_VALUE"""),0.0)</f>
        <v>0</v>
      </c>
      <c r="Y66" s="8">
        <f>IFERROR(__xludf.DUMMYFUNCTION("""COMPUTED_VALUE"""),0.0)</f>
        <v>0</v>
      </c>
      <c r="Z66" s="8">
        <f>IFERROR(__xludf.DUMMYFUNCTION("""COMPUTED_VALUE"""),0.0)</f>
        <v>0</v>
      </c>
      <c r="AA66" s="8">
        <f>IFERROR(__xludf.DUMMYFUNCTION("""COMPUTED_VALUE"""),0.0)</f>
        <v>0</v>
      </c>
      <c r="AB66" s="8">
        <f>IFERROR(__xludf.DUMMYFUNCTION("""COMPUTED_VALUE"""),0.0)</f>
        <v>0</v>
      </c>
      <c r="AC66" s="8">
        <f>IFERROR(__xludf.DUMMYFUNCTION("""COMPUTED_VALUE"""),0.0)</f>
        <v>0</v>
      </c>
    </row>
    <row r="67" ht="15.75" customHeight="1">
      <c r="A67" s="6" t="str">
        <f>IFERROR(__xludf.DUMMYFUNCTION("""COMPUTED_VALUE"""),"3a6212d18e444c9585676ce7dba35b7111dd1613")</f>
        <v>3a6212d18e444c9585676ce7dba35b7111dd1613</v>
      </c>
      <c r="B67" s="6" t="str">
        <f>IFERROR(__xludf.DUMMYFUNCTION("""COMPUTED_VALUE"""),"King of Throne")</f>
        <v>King of Throne</v>
      </c>
      <c r="C67" s="6" t="str">
        <f>IFERROR(__xludf.DUMMYFUNCTION("""COMPUTED_VALUE"""),"Fantasy")</f>
        <v>Fantasy</v>
      </c>
      <c r="D67" s="11">
        <f>IFERROR(__xludf.DUMMYFUNCTION("""COMPUTED_VALUE"""),716.0)</f>
        <v>716</v>
      </c>
      <c r="E67" s="8">
        <f>IFERROR(__xludf.DUMMYFUNCTION("""COMPUTED_VALUE"""),0.984352773826458)</f>
        <v>0.9843527738</v>
      </c>
      <c r="F67" s="8">
        <f>IFERROR(__xludf.DUMMYFUNCTION("""COMPUTED_VALUE"""),0.413416536661466)</f>
        <v>0.4134165367</v>
      </c>
      <c r="G67" s="8">
        <f>IFERROR(__xludf.DUMMYFUNCTION("""COMPUTED_VALUE"""),0.361111111111111)</f>
        <v>0.3611111111</v>
      </c>
      <c r="H67" s="8">
        <f>IFERROR(__xludf.DUMMYFUNCTION("""COMPUTED_VALUE"""),0.357142857142857)</f>
        <v>0.3571428571</v>
      </c>
      <c r="I67" s="8">
        <f>IFERROR(__xludf.DUMMYFUNCTION("""COMPUTED_VALUE"""),0.344512195121951)</f>
        <v>0.3445121951</v>
      </c>
      <c r="J67" s="8">
        <f>IFERROR(__xludf.DUMMYFUNCTION("""COMPUTED_VALUE"""),0.316326530612244)</f>
        <v>0.3163265306</v>
      </c>
      <c r="K67" s="8">
        <f>IFERROR(__xludf.DUMMYFUNCTION("""COMPUTED_VALUE"""),0.284722222222222)</f>
        <v>0.2847222222</v>
      </c>
      <c r="L67" s="8">
        <f>IFERROR(__xludf.DUMMYFUNCTION("""COMPUTED_VALUE"""),0.248062015503875)</f>
        <v>0.2480620155</v>
      </c>
      <c r="M67" s="8">
        <f>IFERROR(__xludf.DUMMYFUNCTION("""COMPUTED_VALUE"""),0.237704918032786)</f>
        <v>0.237704918</v>
      </c>
      <c r="N67" s="8">
        <f>IFERROR(__xludf.DUMMYFUNCTION("""COMPUTED_VALUE"""),0.235294117647058)</f>
        <v>0.2352941176</v>
      </c>
      <c r="O67" s="8">
        <f>IFERROR(__xludf.DUMMYFUNCTION("""COMPUTED_VALUE"""),0.23)</f>
        <v>0.23</v>
      </c>
      <c r="P67" s="8">
        <f>IFERROR(__xludf.DUMMYFUNCTION("""COMPUTED_VALUE"""),0.142857142857142)</f>
        <v>0.1428571429</v>
      </c>
      <c r="Q67" s="8">
        <f>IFERROR(__xludf.DUMMYFUNCTION("""COMPUTED_VALUE"""),0.0)</f>
        <v>0</v>
      </c>
      <c r="R67" s="8">
        <f>IFERROR(__xludf.DUMMYFUNCTION("""COMPUTED_VALUE"""),0.0)</f>
        <v>0</v>
      </c>
      <c r="S67" s="8">
        <f>IFERROR(__xludf.DUMMYFUNCTION("""COMPUTED_VALUE"""),0.0)</f>
        <v>0</v>
      </c>
      <c r="T67" s="8">
        <f>IFERROR(__xludf.DUMMYFUNCTION("""COMPUTED_VALUE"""),0.0)</f>
        <v>0</v>
      </c>
      <c r="U67" s="8">
        <f>IFERROR(__xludf.DUMMYFUNCTION("""COMPUTED_VALUE"""),0.0)</f>
        <v>0</v>
      </c>
      <c r="V67" s="8">
        <f>IFERROR(__xludf.DUMMYFUNCTION("""COMPUTED_VALUE"""),0.0)</f>
        <v>0</v>
      </c>
      <c r="W67" s="8">
        <f>IFERROR(__xludf.DUMMYFUNCTION("""COMPUTED_VALUE"""),0.0)</f>
        <v>0</v>
      </c>
      <c r="X67" s="8">
        <f>IFERROR(__xludf.DUMMYFUNCTION("""COMPUTED_VALUE"""),0.0)</f>
        <v>0</v>
      </c>
      <c r="Y67" s="8">
        <f>IFERROR(__xludf.DUMMYFUNCTION("""COMPUTED_VALUE"""),0.0)</f>
        <v>0</v>
      </c>
      <c r="Z67" s="8">
        <f>IFERROR(__xludf.DUMMYFUNCTION("""COMPUTED_VALUE"""),0.0)</f>
        <v>0</v>
      </c>
      <c r="AA67" s="8">
        <f>IFERROR(__xludf.DUMMYFUNCTION("""COMPUTED_VALUE"""),0.0)</f>
        <v>0</v>
      </c>
      <c r="AB67" s="8">
        <f>IFERROR(__xludf.DUMMYFUNCTION("""COMPUTED_VALUE"""),0.0)</f>
        <v>0</v>
      </c>
      <c r="AC67" s="8">
        <f>IFERROR(__xludf.DUMMYFUNCTION("""COMPUTED_VALUE"""),0.0)</f>
        <v>0</v>
      </c>
    </row>
    <row r="68" ht="15.75" customHeight="1">
      <c r="A68" s="6" t="str">
        <f>IFERROR(__xludf.DUMMYFUNCTION("""COMPUTED_VALUE"""),"3b626e0d14c34edb82f4b215f3b8d2e50455bbdd")</f>
        <v>3b626e0d14c34edb82f4b215f3b8d2e50455bbdd</v>
      </c>
      <c r="B68" s="6" t="str">
        <f>IFERROR(__xludf.DUMMYFUNCTION("""COMPUTED_VALUE"""),"His Lady Boss Is a Mafia")</f>
        <v>His Lady Boss Is a Mafia</v>
      </c>
      <c r="C68" s="6" t="str">
        <f>IFERROR(__xludf.DUMMYFUNCTION("""COMPUTED_VALUE"""),"Romance")</f>
        <v>Romance</v>
      </c>
      <c r="D68" s="11">
        <f>IFERROR(__xludf.DUMMYFUNCTION("""COMPUTED_VALUE"""),2706.0)</f>
        <v>2706</v>
      </c>
      <c r="E68" s="8">
        <f>IFERROR(__xludf.DUMMYFUNCTION("""COMPUTED_VALUE"""),0.930189379873746)</f>
        <v>0.9301893799</v>
      </c>
      <c r="F68" s="8">
        <f>IFERROR(__xludf.DUMMYFUNCTION("""COMPUTED_VALUE"""),0.365449755363191)</f>
        <v>0.3654497554</v>
      </c>
      <c r="G68" s="8">
        <f>IFERROR(__xludf.DUMMYFUNCTION("""COMPUTED_VALUE"""),0.344106463878327)</f>
        <v>0.3441064639</v>
      </c>
      <c r="H68" s="8">
        <f>IFERROR(__xludf.DUMMYFUNCTION("""COMPUTED_VALUE"""),0.317624521072796)</f>
        <v>0.3176245211</v>
      </c>
      <c r="I68" s="8">
        <f>IFERROR(__xludf.DUMMYFUNCTION("""COMPUTED_VALUE"""),0.289077576225395)</f>
        <v>0.2890775762</v>
      </c>
      <c r="J68" s="8">
        <f>IFERROR(__xludf.DUMMYFUNCTION("""COMPUTED_VALUE"""),0.275728155339805)</f>
        <v>0.2757281553</v>
      </c>
      <c r="K68" s="8">
        <f>IFERROR(__xludf.DUMMYFUNCTION("""COMPUTED_VALUE"""),0.255950058525165)</f>
        <v>0.2559500585</v>
      </c>
      <c r="L68" s="8">
        <f>IFERROR(__xludf.DUMMYFUNCTION("""COMPUTED_VALUE"""),0.242817788272333)</f>
        <v>0.2428177883</v>
      </c>
      <c r="M68" s="8">
        <f>IFERROR(__xludf.DUMMYFUNCTION("""COMPUTED_VALUE"""),0.253159557661927)</f>
        <v>0.2531595577</v>
      </c>
      <c r="N68" s="8">
        <f>IFERROR(__xludf.DUMMYFUNCTION("""COMPUTED_VALUE"""),0.240047770700636)</f>
        <v>0.2400477707</v>
      </c>
      <c r="O68" s="8">
        <f>IFERROR(__xludf.DUMMYFUNCTION("""COMPUTED_VALUE"""),0.212671509281678)</f>
        <v>0.2126715093</v>
      </c>
      <c r="P68" s="8">
        <f>IFERROR(__xludf.DUMMYFUNCTION("""COMPUTED_VALUE"""),0.175922172679367)</f>
        <v>0.1759221727</v>
      </c>
      <c r="Q68" s="8">
        <f>IFERROR(__xludf.DUMMYFUNCTION("""COMPUTED_VALUE"""),0.333333333333333)</f>
        <v>0.3333333333</v>
      </c>
      <c r="R68" s="8">
        <f>IFERROR(__xludf.DUMMYFUNCTION("""COMPUTED_VALUE"""),0.0)</f>
        <v>0</v>
      </c>
      <c r="S68" s="8">
        <f>IFERROR(__xludf.DUMMYFUNCTION("""COMPUTED_VALUE"""),0.0)</f>
        <v>0</v>
      </c>
      <c r="T68" s="8">
        <f>IFERROR(__xludf.DUMMYFUNCTION("""COMPUTED_VALUE"""),0.0)</f>
        <v>0</v>
      </c>
      <c r="U68" s="8">
        <f>IFERROR(__xludf.DUMMYFUNCTION("""COMPUTED_VALUE"""),0.0)</f>
        <v>0</v>
      </c>
      <c r="V68" s="8">
        <f>IFERROR(__xludf.DUMMYFUNCTION("""COMPUTED_VALUE"""),0.0)</f>
        <v>0</v>
      </c>
      <c r="W68" s="8">
        <f>IFERROR(__xludf.DUMMYFUNCTION("""COMPUTED_VALUE"""),0.0)</f>
        <v>0</v>
      </c>
      <c r="X68" s="8">
        <f>IFERROR(__xludf.DUMMYFUNCTION("""COMPUTED_VALUE"""),0.0)</f>
        <v>0</v>
      </c>
      <c r="Y68" s="8">
        <f>IFERROR(__xludf.DUMMYFUNCTION("""COMPUTED_VALUE"""),0.0)</f>
        <v>0</v>
      </c>
      <c r="Z68" s="8">
        <f>IFERROR(__xludf.DUMMYFUNCTION("""COMPUTED_VALUE"""),0.0)</f>
        <v>0</v>
      </c>
      <c r="AA68" s="8">
        <f>IFERROR(__xludf.DUMMYFUNCTION("""COMPUTED_VALUE"""),0.0)</f>
        <v>0</v>
      </c>
      <c r="AB68" s="8">
        <f>IFERROR(__xludf.DUMMYFUNCTION("""COMPUTED_VALUE"""),0.0)</f>
        <v>0</v>
      </c>
      <c r="AC68" s="8">
        <f>IFERROR(__xludf.DUMMYFUNCTION("""COMPUTED_VALUE"""),0.0)</f>
        <v>0</v>
      </c>
    </row>
    <row r="69" ht="15.75" customHeight="1">
      <c r="A69" s="6" t="str">
        <f>IFERROR(__xludf.DUMMYFUNCTION("""COMPUTED_VALUE"""),"3c57dd9bd6f929bdb36d8716aa9f261a72778e24")</f>
        <v>3c57dd9bd6f929bdb36d8716aa9f261a72778e24</v>
      </c>
      <c r="B69" s="6" t="str">
        <f>IFERROR(__xludf.DUMMYFUNCTION("""COMPUTED_VALUE"""),"Resurrected as a Secret Billionaire Liam Carson")</f>
        <v>Resurrected as a Secret Billionaire Liam Carson</v>
      </c>
      <c r="C69" s="6" t="str">
        <f>IFERROR(__xludf.DUMMYFUNCTION("""COMPUTED_VALUE"""),"Fantasy")</f>
        <v>Fantasy</v>
      </c>
      <c r="D69" s="11">
        <f>IFERROR(__xludf.DUMMYFUNCTION("""COMPUTED_VALUE"""),65482.0)</f>
        <v>65482</v>
      </c>
      <c r="E69" s="8">
        <f>IFERROR(__xludf.DUMMYFUNCTION("""COMPUTED_VALUE"""),0.879577550895641)</f>
        <v>0.8795775509</v>
      </c>
      <c r="F69" s="8">
        <f>IFERROR(__xludf.DUMMYFUNCTION("""COMPUTED_VALUE"""),0.402277214085671)</f>
        <v>0.4022772141</v>
      </c>
      <c r="G69" s="8">
        <f>IFERROR(__xludf.DUMMYFUNCTION("""COMPUTED_VALUE"""),0.357846365933981)</f>
        <v>0.3578463659</v>
      </c>
      <c r="H69" s="8">
        <f>IFERROR(__xludf.DUMMYFUNCTION("""COMPUTED_VALUE"""),0.335551330798479)</f>
        <v>0.3355513308</v>
      </c>
      <c r="I69" s="8">
        <f>IFERROR(__xludf.DUMMYFUNCTION("""COMPUTED_VALUE"""),0.319266843713062)</f>
        <v>0.3192668437</v>
      </c>
      <c r="J69" s="8">
        <f>IFERROR(__xludf.DUMMYFUNCTION("""COMPUTED_VALUE"""),0.307762079726966)</f>
        <v>0.3077620797</v>
      </c>
      <c r="K69" s="8">
        <f>IFERROR(__xludf.DUMMYFUNCTION("""COMPUTED_VALUE"""),0.303307833207628)</f>
        <v>0.3033078332</v>
      </c>
      <c r="L69" s="8">
        <f>IFERROR(__xludf.DUMMYFUNCTION("""COMPUTED_VALUE"""),0.296787817133697)</f>
        <v>0.2967878171</v>
      </c>
      <c r="M69" s="8">
        <f>IFERROR(__xludf.DUMMYFUNCTION("""COMPUTED_VALUE"""),0.290243902439024)</f>
        <v>0.2902439024</v>
      </c>
      <c r="N69" s="8">
        <f>IFERROR(__xludf.DUMMYFUNCTION("""COMPUTED_VALUE"""),0.28676118179991)</f>
        <v>0.2867611818</v>
      </c>
      <c r="O69" s="8">
        <f>IFERROR(__xludf.DUMMYFUNCTION("""COMPUTED_VALUE"""),0.274351333218916)</f>
        <v>0.2743513332</v>
      </c>
      <c r="P69" s="8">
        <f>IFERROR(__xludf.DUMMYFUNCTION("""COMPUTED_VALUE"""),0.239875782272175)</f>
        <v>0.2398757823</v>
      </c>
      <c r="Q69" s="8">
        <f>IFERROR(__xludf.DUMMYFUNCTION("""COMPUTED_VALUE"""),0.195815845961618)</f>
        <v>0.195815846</v>
      </c>
      <c r="R69" s="8">
        <f>IFERROR(__xludf.DUMMYFUNCTION("""COMPUTED_VALUE"""),0.170269177916094)</f>
        <v>0.1702691779</v>
      </c>
      <c r="S69" s="8">
        <f>IFERROR(__xludf.DUMMYFUNCTION("""COMPUTED_VALUE"""),0.140326886761737)</f>
        <v>0.1403268868</v>
      </c>
      <c r="T69" s="8">
        <f>IFERROR(__xludf.DUMMYFUNCTION("""COMPUTED_VALUE"""),0.122135523613963)</f>
        <v>0.1221355236</v>
      </c>
      <c r="U69" s="8">
        <f>IFERROR(__xludf.DUMMYFUNCTION("""COMPUTED_VALUE"""),0.112547606442026)</f>
        <v>0.1125476064</v>
      </c>
      <c r="V69" s="8">
        <f>IFERROR(__xludf.DUMMYFUNCTION("""COMPUTED_VALUE"""),0.10390564786435)</f>
        <v>0.1039056479</v>
      </c>
      <c r="W69" s="8">
        <f>IFERROR(__xludf.DUMMYFUNCTION("""COMPUTED_VALUE"""),0.109379010991575)</f>
        <v>0.109379011</v>
      </c>
      <c r="X69" s="8">
        <f>IFERROR(__xludf.DUMMYFUNCTION("""COMPUTED_VALUE"""),0.0932027230681286)</f>
        <v>0.09320272307</v>
      </c>
      <c r="Y69" s="8">
        <f>IFERROR(__xludf.DUMMYFUNCTION("""COMPUTED_VALUE"""),0.0452970125459208)</f>
        <v>0.04529701255</v>
      </c>
      <c r="Z69" s="8">
        <f>IFERROR(__xludf.DUMMYFUNCTION("""COMPUTED_VALUE"""),0.0319673434766474)</f>
        <v>0.03196734348</v>
      </c>
      <c r="AA69" s="8">
        <f>IFERROR(__xludf.DUMMYFUNCTION("""COMPUTED_VALUE"""),0.0253037884203002)</f>
        <v>0.02530378842</v>
      </c>
      <c r="AB69" s="8">
        <f>IFERROR(__xludf.DUMMYFUNCTION("""COMPUTED_VALUE"""),0.0666666666666666)</f>
        <v>0.06666666667</v>
      </c>
      <c r="AC69" s="8">
        <f>IFERROR(__xludf.DUMMYFUNCTION("""COMPUTED_VALUE"""),0.0)</f>
        <v>0</v>
      </c>
    </row>
    <row r="70" ht="15.75" customHeight="1">
      <c r="A70" s="6" t="str">
        <f>IFERROR(__xludf.DUMMYFUNCTION("""COMPUTED_VALUE"""),"4010f733ac400156fd9f4d75852b8ebdeabe1689")</f>
        <v>4010f733ac400156fd9f4d75852b8ebdeabe1689</v>
      </c>
      <c r="B70" s="6" t="str">
        <f>IFERROR(__xludf.DUMMYFUNCTION("""COMPUTED_VALUE"""),"My Ceo Husband's Secret")</f>
        <v>My Ceo Husband's Secret</v>
      </c>
      <c r="C70" s="6" t="str">
        <f>IFERROR(__xludf.DUMMYFUNCTION("""COMPUTED_VALUE"""),"Romance")</f>
        <v>Romance</v>
      </c>
      <c r="D70" s="11">
        <f>IFERROR(__xludf.DUMMYFUNCTION("""COMPUTED_VALUE"""),1559.0)</f>
        <v>1559</v>
      </c>
      <c r="E70" s="8">
        <f>IFERROR(__xludf.DUMMYFUNCTION("""COMPUTED_VALUE"""),0.949163449163449)</f>
        <v>0.9491634492</v>
      </c>
      <c r="F70" s="8">
        <f>IFERROR(__xludf.DUMMYFUNCTION("""COMPUTED_VALUE"""),0.609173126614987)</f>
        <v>0.6091731266</v>
      </c>
      <c r="G70" s="8">
        <f>IFERROR(__xludf.DUMMYFUNCTION("""COMPUTED_VALUE"""),0.545278137128072)</f>
        <v>0.5452781371</v>
      </c>
      <c r="H70" s="8">
        <f>IFERROR(__xludf.DUMMYFUNCTION("""COMPUTED_VALUE"""),0.504533678756476)</f>
        <v>0.5045336788</v>
      </c>
      <c r="I70" s="8">
        <f>IFERROR(__xludf.DUMMYFUNCTION("""COMPUTED_VALUE"""),0.464633354964308)</f>
        <v>0.464633355</v>
      </c>
      <c r="J70" s="8">
        <f>IFERROR(__xludf.DUMMYFUNCTION("""COMPUTED_VALUE"""),0.428478543563068)</f>
        <v>0.4284785436</v>
      </c>
      <c r="K70" s="8">
        <f>IFERROR(__xludf.DUMMYFUNCTION("""COMPUTED_VALUE"""),0.40338321405335)</f>
        <v>0.4033832141</v>
      </c>
      <c r="L70" s="8">
        <f>IFERROR(__xludf.DUMMYFUNCTION("""COMPUTED_VALUE"""),0.37410071942446)</f>
        <v>0.3741007194</v>
      </c>
      <c r="M70" s="8">
        <f>IFERROR(__xludf.DUMMYFUNCTION("""COMPUTED_VALUE"""),0.350589777195281)</f>
        <v>0.3505897772</v>
      </c>
      <c r="N70" s="8">
        <f>IFERROR(__xludf.DUMMYFUNCTION("""COMPUTED_VALUE"""),0.320445609436435)</f>
        <v>0.3204456094</v>
      </c>
      <c r="O70" s="8">
        <f>IFERROR(__xludf.DUMMYFUNCTION("""COMPUTED_VALUE"""),0.277419354838709)</f>
        <v>0.2774193548</v>
      </c>
      <c r="P70" s="8">
        <f>IFERROR(__xludf.DUMMYFUNCTION("""COMPUTED_VALUE"""),0.244516653127538)</f>
        <v>0.2445166531</v>
      </c>
      <c r="Q70" s="8">
        <f>IFERROR(__xludf.DUMMYFUNCTION("""COMPUTED_VALUE"""),0.287128712871287)</f>
        <v>0.2871287129</v>
      </c>
      <c r="R70" s="8">
        <f>IFERROR(__xludf.DUMMYFUNCTION("""COMPUTED_VALUE"""),0.278205128205128)</f>
        <v>0.2782051282</v>
      </c>
      <c r="S70" s="8">
        <f>IFERROR(__xludf.DUMMYFUNCTION("""COMPUTED_VALUE"""),0.193370165745856)</f>
        <v>0.1933701657</v>
      </c>
      <c r="T70" s="8">
        <f>IFERROR(__xludf.DUMMYFUNCTION("""COMPUTED_VALUE"""),0.0903426791277258)</f>
        <v>0.09034267913</v>
      </c>
      <c r="U70" s="8">
        <f>IFERROR(__xludf.DUMMYFUNCTION("""COMPUTED_VALUE"""),0.0684931506849315)</f>
        <v>0.06849315068</v>
      </c>
      <c r="V70" s="8">
        <f>IFERROR(__xludf.DUMMYFUNCTION("""COMPUTED_VALUE"""),0.0)</f>
        <v>0</v>
      </c>
      <c r="W70" s="8">
        <f>IFERROR(__xludf.DUMMYFUNCTION("""COMPUTED_VALUE"""),0.0)</f>
        <v>0</v>
      </c>
      <c r="X70" s="8">
        <f>IFERROR(__xludf.DUMMYFUNCTION("""COMPUTED_VALUE"""),0.0)</f>
        <v>0</v>
      </c>
      <c r="Y70" s="8">
        <f>IFERROR(__xludf.DUMMYFUNCTION("""COMPUTED_VALUE"""),0.0)</f>
        <v>0</v>
      </c>
      <c r="Z70" s="8">
        <f>IFERROR(__xludf.DUMMYFUNCTION("""COMPUTED_VALUE"""),0.0)</f>
        <v>0</v>
      </c>
      <c r="AA70" s="8">
        <f>IFERROR(__xludf.DUMMYFUNCTION("""COMPUTED_VALUE"""),0.0)</f>
        <v>0</v>
      </c>
      <c r="AB70" s="8">
        <f>IFERROR(__xludf.DUMMYFUNCTION("""COMPUTED_VALUE"""),0.0)</f>
        <v>0</v>
      </c>
      <c r="AC70" s="8">
        <f>IFERROR(__xludf.DUMMYFUNCTION("""COMPUTED_VALUE"""),0.0)</f>
        <v>0</v>
      </c>
    </row>
    <row r="71" ht="15.75" customHeight="1">
      <c r="A71" s="6" t="str">
        <f>IFERROR(__xludf.DUMMYFUNCTION("""COMPUTED_VALUE"""),"4056d8e031445adbb80d52b1fd723609be585a3b")</f>
        <v>4056d8e031445adbb80d52b1fd723609be585a3b</v>
      </c>
      <c r="B71" s="6" t="str">
        <f>IFERROR(__xludf.DUMMYFUNCTION("""COMPUTED_VALUE"""),"Only Boy on the Bus")</f>
        <v>Only Boy on the Bus</v>
      </c>
      <c r="C71" s="6" t="str">
        <f>IFERROR(__xludf.DUMMYFUNCTION("""COMPUTED_VALUE"""),"Fantasy")</f>
        <v>Fantasy</v>
      </c>
      <c r="D71" s="11">
        <f>IFERROR(__xludf.DUMMYFUNCTION("""COMPUTED_VALUE"""),905.0)</f>
        <v>905</v>
      </c>
      <c r="E71" s="8">
        <f>IFERROR(__xludf.DUMMYFUNCTION("""COMPUTED_VALUE"""),0.9679203539823)</f>
        <v>0.967920354</v>
      </c>
      <c r="F71" s="8">
        <f>IFERROR(__xludf.DUMMYFUNCTION("""COMPUTED_VALUE"""),0.620155038759689)</f>
        <v>0.6201550388</v>
      </c>
      <c r="G71" s="8">
        <f>IFERROR(__xludf.DUMMYFUNCTION("""COMPUTED_VALUE"""),0.522172949002217)</f>
        <v>0.522172949</v>
      </c>
      <c r="H71" s="8">
        <f>IFERROR(__xludf.DUMMYFUNCTION("""COMPUTED_VALUE"""),0.472160356347438)</f>
        <v>0.4721603563</v>
      </c>
      <c r="I71" s="8">
        <f>IFERROR(__xludf.DUMMYFUNCTION("""COMPUTED_VALUE"""),0.444196428571428)</f>
        <v>0.4441964286</v>
      </c>
      <c r="J71" s="8">
        <f>IFERROR(__xludf.DUMMYFUNCTION("""COMPUTED_VALUE"""),0.424719101123595)</f>
        <v>0.4247191011</v>
      </c>
      <c r="K71" s="8">
        <f>IFERROR(__xludf.DUMMYFUNCTION("""COMPUTED_VALUE"""),0.384441939120631)</f>
        <v>0.3844419391</v>
      </c>
      <c r="L71" s="8">
        <f>IFERROR(__xludf.DUMMYFUNCTION("""COMPUTED_VALUE"""),0.372171945701357)</f>
        <v>0.3721719457</v>
      </c>
      <c r="M71" s="8">
        <f>IFERROR(__xludf.DUMMYFUNCTION("""COMPUTED_VALUE"""),0.366628830874006)</f>
        <v>0.3666288309</v>
      </c>
      <c r="N71" s="8">
        <f>IFERROR(__xludf.DUMMYFUNCTION("""COMPUTED_VALUE"""),0.357630979498861)</f>
        <v>0.3576309795</v>
      </c>
      <c r="O71" s="8">
        <f>IFERROR(__xludf.DUMMYFUNCTION("""COMPUTED_VALUE"""),0.344059405940594)</f>
        <v>0.3440594059</v>
      </c>
      <c r="P71" s="8">
        <f>IFERROR(__xludf.DUMMYFUNCTION("""COMPUTED_VALUE"""),0.278688524590163)</f>
        <v>0.2786885246</v>
      </c>
      <c r="Q71" s="8">
        <f>IFERROR(__xludf.DUMMYFUNCTION("""COMPUTED_VALUE"""),0.0808823529411764)</f>
        <v>0.08088235294</v>
      </c>
      <c r="R71" s="8">
        <f>IFERROR(__xludf.DUMMYFUNCTION("""COMPUTED_VALUE"""),0.0)</f>
        <v>0</v>
      </c>
      <c r="S71" s="8">
        <f>IFERROR(__xludf.DUMMYFUNCTION("""COMPUTED_VALUE"""),0.0)</f>
        <v>0</v>
      </c>
      <c r="T71" s="8">
        <f>IFERROR(__xludf.DUMMYFUNCTION("""COMPUTED_VALUE"""),0.0)</f>
        <v>0</v>
      </c>
      <c r="U71" s="8">
        <f>IFERROR(__xludf.DUMMYFUNCTION("""COMPUTED_VALUE"""),0.0)</f>
        <v>0</v>
      </c>
      <c r="V71" s="8">
        <f>IFERROR(__xludf.DUMMYFUNCTION("""COMPUTED_VALUE"""),0.0)</f>
        <v>0</v>
      </c>
      <c r="W71" s="8">
        <f>IFERROR(__xludf.DUMMYFUNCTION("""COMPUTED_VALUE"""),0.0)</f>
        <v>0</v>
      </c>
      <c r="X71" s="8">
        <f>IFERROR(__xludf.DUMMYFUNCTION("""COMPUTED_VALUE"""),0.0)</f>
        <v>0</v>
      </c>
      <c r="Y71" s="8">
        <f>IFERROR(__xludf.DUMMYFUNCTION("""COMPUTED_VALUE"""),0.0)</f>
        <v>0</v>
      </c>
      <c r="Z71" s="8">
        <f>IFERROR(__xludf.DUMMYFUNCTION("""COMPUTED_VALUE"""),0.0)</f>
        <v>0</v>
      </c>
      <c r="AA71" s="8">
        <f>IFERROR(__xludf.DUMMYFUNCTION("""COMPUTED_VALUE"""),0.0)</f>
        <v>0</v>
      </c>
      <c r="AB71" s="8">
        <f>IFERROR(__xludf.DUMMYFUNCTION("""COMPUTED_VALUE"""),0.0)</f>
        <v>0</v>
      </c>
      <c r="AC71" s="8">
        <f>IFERROR(__xludf.DUMMYFUNCTION("""COMPUTED_VALUE"""),0.0)</f>
        <v>0</v>
      </c>
    </row>
    <row r="72" ht="15.75" customHeight="1">
      <c r="A72" s="6" t="str">
        <f>IFERROR(__xludf.DUMMYFUNCTION("""COMPUTED_VALUE"""),"40e06046d3679811f910f8beed9306369f59c60e")</f>
        <v>40e06046d3679811f910f8beed9306369f59c60e</v>
      </c>
      <c r="B72" s="6" t="str">
        <f>IFERROR(__xludf.DUMMYFUNCTION("""COMPUTED_VALUE"""),"Lycan Unity Academy")</f>
        <v>Lycan Unity Academy</v>
      </c>
      <c r="C72" s="6" t="str">
        <f>IFERROR(__xludf.DUMMYFUNCTION("""COMPUTED_VALUE"""),"Romantasy")</f>
        <v>Romantasy</v>
      </c>
      <c r="D72" s="11">
        <f>IFERROR(__xludf.DUMMYFUNCTION("""COMPUTED_VALUE"""),3167.0)</f>
        <v>3167</v>
      </c>
      <c r="E72" s="8">
        <f>IFERROR(__xludf.DUMMYFUNCTION("""COMPUTED_VALUE"""),0.967078189300411)</f>
        <v>0.9670781893</v>
      </c>
      <c r="F72" s="8">
        <f>IFERROR(__xludf.DUMMYFUNCTION("""COMPUTED_VALUE"""),0.46782884310618)</f>
        <v>0.4678288431</v>
      </c>
      <c r="G72" s="8">
        <f>IFERROR(__xludf.DUMMYFUNCTION("""COMPUTED_VALUE"""),0.404316090130117)</f>
        <v>0.4043160901</v>
      </c>
      <c r="H72" s="8">
        <f>IFERROR(__xludf.DUMMYFUNCTION("""COMPUTED_VALUE"""),0.368888888888888)</f>
        <v>0.3688888889</v>
      </c>
      <c r="I72" s="8">
        <f>IFERROR(__xludf.DUMMYFUNCTION("""COMPUTED_VALUE"""),0.337992376111817)</f>
        <v>0.3379923761</v>
      </c>
      <c r="J72" s="8">
        <f>IFERROR(__xludf.DUMMYFUNCTION("""COMPUTED_VALUE"""),0.325285895806861)</f>
        <v>0.3252858958</v>
      </c>
      <c r="K72" s="8">
        <f>IFERROR(__xludf.DUMMYFUNCTION("""COMPUTED_VALUE"""),0.317531021317212)</f>
        <v>0.3175310213</v>
      </c>
      <c r="L72" s="8">
        <f>IFERROR(__xludf.DUMMYFUNCTION("""COMPUTED_VALUE"""),0.2958240357029)</f>
        <v>0.2958240357</v>
      </c>
      <c r="M72" s="8">
        <f>IFERROR(__xludf.DUMMYFUNCTION("""COMPUTED_VALUE"""),0.276731567187998)</f>
        <v>0.2767315672</v>
      </c>
      <c r="N72" s="8">
        <f>IFERROR(__xludf.DUMMYFUNCTION("""COMPUTED_VALUE"""),0.269673704414587)</f>
        <v>0.2696737044</v>
      </c>
      <c r="O72" s="8">
        <f>IFERROR(__xludf.DUMMYFUNCTION("""COMPUTED_VALUE"""),0.23006993006993)</f>
        <v>0.2300699301</v>
      </c>
      <c r="P72" s="8">
        <f>IFERROR(__xludf.DUMMYFUNCTION("""COMPUTED_VALUE"""),0.179587482219061)</f>
        <v>0.1795874822</v>
      </c>
      <c r="Q72" s="8">
        <f>IFERROR(__xludf.DUMMYFUNCTION("""COMPUTED_VALUE"""),0.102308172177167)</f>
        <v>0.1023081722</v>
      </c>
      <c r="R72" s="8">
        <f>IFERROR(__xludf.DUMMYFUNCTION("""COMPUTED_VALUE"""),0.142857142857142)</f>
        <v>0.1428571429</v>
      </c>
      <c r="S72" s="8">
        <f>IFERROR(__xludf.DUMMYFUNCTION("""COMPUTED_VALUE"""),0.0)</f>
        <v>0</v>
      </c>
      <c r="T72" s="8">
        <f>IFERROR(__xludf.DUMMYFUNCTION("""COMPUTED_VALUE"""),0.0)</f>
        <v>0</v>
      </c>
      <c r="U72" s="8">
        <f>IFERROR(__xludf.DUMMYFUNCTION("""COMPUTED_VALUE"""),0.0)</f>
        <v>0</v>
      </c>
      <c r="V72" s="8">
        <f>IFERROR(__xludf.DUMMYFUNCTION("""COMPUTED_VALUE"""),0.0)</f>
        <v>0</v>
      </c>
      <c r="W72" s="8">
        <f>IFERROR(__xludf.DUMMYFUNCTION("""COMPUTED_VALUE"""),0.0)</f>
        <v>0</v>
      </c>
      <c r="X72" s="8">
        <f>IFERROR(__xludf.DUMMYFUNCTION("""COMPUTED_VALUE"""),0.0)</f>
        <v>0</v>
      </c>
      <c r="Y72" s="8">
        <f>IFERROR(__xludf.DUMMYFUNCTION("""COMPUTED_VALUE"""),0.0)</f>
        <v>0</v>
      </c>
      <c r="Z72" s="8">
        <f>IFERROR(__xludf.DUMMYFUNCTION("""COMPUTED_VALUE"""),0.0)</f>
        <v>0</v>
      </c>
      <c r="AA72" s="8">
        <f>IFERROR(__xludf.DUMMYFUNCTION("""COMPUTED_VALUE"""),0.0)</f>
        <v>0</v>
      </c>
      <c r="AB72" s="8">
        <f>IFERROR(__xludf.DUMMYFUNCTION("""COMPUTED_VALUE"""),0.0)</f>
        <v>0</v>
      </c>
      <c r="AC72" s="8">
        <f>IFERROR(__xludf.DUMMYFUNCTION("""COMPUTED_VALUE"""),0.0)</f>
        <v>0</v>
      </c>
    </row>
    <row r="73" ht="15.75" customHeight="1">
      <c r="A73" s="6" t="str">
        <f>IFERROR(__xludf.DUMMYFUNCTION("""COMPUTED_VALUE"""),"41afeacb4e481e249d618ae39936f1173864e026")</f>
        <v>41afeacb4e481e249d618ae39936f1173864e026</v>
      </c>
      <c r="B73" s="6" t="str">
        <f>IFERROR(__xludf.DUMMYFUNCTION("""COMPUTED_VALUE"""),"Disguised Successor")</f>
        <v>Disguised Successor</v>
      </c>
      <c r="C73" s="6" t="str">
        <f>IFERROR(__xludf.DUMMYFUNCTION("""COMPUTED_VALUE"""),"Drama")</f>
        <v>Drama</v>
      </c>
      <c r="D73" s="11">
        <f>IFERROR(__xludf.DUMMYFUNCTION("""COMPUTED_VALUE"""),1589.0)</f>
        <v>1589</v>
      </c>
      <c r="E73" s="8">
        <f>IFERROR(__xludf.DUMMYFUNCTION("""COMPUTED_VALUE"""),0.954030226700251)</f>
        <v>0.9540302267</v>
      </c>
      <c r="F73" s="8">
        <f>IFERROR(__xludf.DUMMYFUNCTION("""COMPUTED_VALUE"""),0.627599243856332)</f>
        <v>0.6275992439</v>
      </c>
      <c r="G73" s="8">
        <f>IFERROR(__xludf.DUMMYFUNCTION("""COMPUTED_VALUE"""),0.558286074354127)</f>
        <v>0.5582860744</v>
      </c>
      <c r="H73" s="8">
        <f>IFERROR(__xludf.DUMMYFUNCTION("""COMPUTED_VALUE"""),0.513564668769716)</f>
        <v>0.5135646688</v>
      </c>
      <c r="I73" s="8">
        <f>IFERROR(__xludf.DUMMYFUNCTION("""COMPUTED_VALUE"""),0.490220820189274)</f>
        <v>0.4902208202</v>
      </c>
      <c r="J73" s="8">
        <f>IFERROR(__xludf.DUMMYFUNCTION("""COMPUTED_VALUE"""),0.459544879898862)</f>
        <v>0.4595448799</v>
      </c>
      <c r="K73" s="8">
        <f>IFERROR(__xludf.DUMMYFUNCTION("""COMPUTED_VALUE"""),0.427485750474984)</f>
        <v>0.4274857505</v>
      </c>
      <c r="L73" s="8">
        <f>IFERROR(__xludf.DUMMYFUNCTION("""COMPUTED_VALUE"""),0.414340101522842)</f>
        <v>0.4143401015</v>
      </c>
      <c r="M73" s="8">
        <f>IFERROR(__xludf.DUMMYFUNCTION("""COMPUTED_VALUE"""),0.39135959339263)</f>
        <v>0.3913595934</v>
      </c>
      <c r="N73" s="8">
        <f>IFERROR(__xludf.DUMMYFUNCTION("""COMPUTED_VALUE"""),0.365776081424936)</f>
        <v>0.3657760814</v>
      </c>
      <c r="O73" s="8">
        <f>IFERROR(__xludf.DUMMYFUNCTION("""COMPUTED_VALUE"""),0.301833568406205)</f>
        <v>0.3018335684</v>
      </c>
      <c r="P73" s="8">
        <f>IFERROR(__xludf.DUMMYFUNCTION("""COMPUTED_VALUE"""),0.209866220735785)</f>
        <v>0.2098662207</v>
      </c>
      <c r="Q73" s="8">
        <f>IFERROR(__xludf.DUMMYFUNCTION("""COMPUTED_VALUE"""),0.131891891891891)</f>
        <v>0.1318918919</v>
      </c>
      <c r="R73" s="8">
        <f>IFERROR(__xludf.DUMMYFUNCTION("""COMPUTED_VALUE"""),0.0663176265270506)</f>
        <v>0.06631762653</v>
      </c>
      <c r="S73" s="8">
        <f>IFERROR(__xludf.DUMMYFUNCTION("""COMPUTED_VALUE"""),0.0)</f>
        <v>0</v>
      </c>
      <c r="T73" s="8">
        <f>IFERROR(__xludf.DUMMYFUNCTION("""COMPUTED_VALUE"""),0.0)</f>
        <v>0</v>
      </c>
      <c r="U73" s="8">
        <f>IFERROR(__xludf.DUMMYFUNCTION("""COMPUTED_VALUE"""),0.0)</f>
        <v>0</v>
      </c>
      <c r="V73" s="8">
        <f>IFERROR(__xludf.DUMMYFUNCTION("""COMPUTED_VALUE"""),0.0)</f>
        <v>0</v>
      </c>
      <c r="W73" s="8">
        <f>IFERROR(__xludf.DUMMYFUNCTION("""COMPUTED_VALUE"""),0.0)</f>
        <v>0</v>
      </c>
      <c r="X73" s="8">
        <f>IFERROR(__xludf.DUMMYFUNCTION("""COMPUTED_VALUE"""),0.0)</f>
        <v>0</v>
      </c>
      <c r="Y73" s="8">
        <f>IFERROR(__xludf.DUMMYFUNCTION("""COMPUTED_VALUE"""),0.0)</f>
        <v>0</v>
      </c>
      <c r="Z73" s="8">
        <f>IFERROR(__xludf.DUMMYFUNCTION("""COMPUTED_VALUE"""),0.0)</f>
        <v>0</v>
      </c>
      <c r="AA73" s="8">
        <f>IFERROR(__xludf.DUMMYFUNCTION("""COMPUTED_VALUE"""),0.0)</f>
        <v>0</v>
      </c>
      <c r="AB73" s="8">
        <f>IFERROR(__xludf.DUMMYFUNCTION("""COMPUTED_VALUE"""),0.0)</f>
        <v>0</v>
      </c>
      <c r="AC73" s="8">
        <f>IFERROR(__xludf.DUMMYFUNCTION("""COMPUTED_VALUE"""),0.0)</f>
        <v>0</v>
      </c>
    </row>
    <row r="74" ht="15.75" customHeight="1">
      <c r="A74" s="6" t="str">
        <f>IFERROR(__xludf.DUMMYFUNCTION("""COMPUTED_VALUE"""),"41fe3152f98c34f655d93ac2fc85bf506eac3371")</f>
        <v>41fe3152f98c34f655d93ac2fc85bf506eac3371</v>
      </c>
      <c r="B74" s="6" t="str">
        <f>IFERROR(__xludf.DUMMYFUNCTION("""COMPUTED_VALUE"""),"Owen &amp; Liam")</f>
        <v>Owen &amp; Liam</v>
      </c>
      <c r="C74" s="6" t="str">
        <f>IFERROR(__xludf.DUMMYFUNCTION("""COMPUTED_VALUE"""),"Romance")</f>
        <v>Romance</v>
      </c>
      <c r="D74" s="11">
        <f>IFERROR(__xludf.DUMMYFUNCTION("""COMPUTED_VALUE"""),25228.0)</f>
        <v>25228</v>
      </c>
      <c r="E74" s="8">
        <f>IFERROR(__xludf.DUMMYFUNCTION("""COMPUTED_VALUE"""),0.906829094083568)</f>
        <v>0.9068290941</v>
      </c>
      <c r="F74" s="8">
        <f>IFERROR(__xludf.DUMMYFUNCTION("""COMPUTED_VALUE"""),0.482487491065046)</f>
        <v>0.4824874911</v>
      </c>
      <c r="G74" s="8">
        <f>IFERROR(__xludf.DUMMYFUNCTION("""COMPUTED_VALUE"""),0.401573239044932)</f>
        <v>0.401573239</v>
      </c>
      <c r="H74" s="8">
        <f>IFERROR(__xludf.DUMMYFUNCTION("""COMPUTED_VALUE"""),0.361395977422688)</f>
        <v>0.3613959774</v>
      </c>
      <c r="I74" s="8">
        <f>IFERROR(__xludf.DUMMYFUNCTION("""COMPUTED_VALUE"""),0.334778630812681)</f>
        <v>0.3347786308</v>
      </c>
      <c r="J74" s="8">
        <f>IFERROR(__xludf.DUMMYFUNCTION("""COMPUTED_VALUE"""),0.319654513612482)</f>
        <v>0.3196545136</v>
      </c>
      <c r="K74" s="8">
        <f>IFERROR(__xludf.DUMMYFUNCTION("""COMPUTED_VALUE"""),0.300788404873775)</f>
        <v>0.3007884049</v>
      </c>
      <c r="L74" s="8">
        <f>IFERROR(__xludf.DUMMYFUNCTION("""COMPUTED_VALUE"""),0.291674969114892)</f>
        <v>0.2916749691</v>
      </c>
      <c r="M74" s="8">
        <f>IFERROR(__xludf.DUMMYFUNCTION("""COMPUTED_VALUE"""),0.283042940871576)</f>
        <v>0.2830429409</v>
      </c>
      <c r="N74" s="8">
        <f>IFERROR(__xludf.DUMMYFUNCTION("""COMPUTED_VALUE"""),0.273333067315749)</f>
        <v>0.2733330673</v>
      </c>
      <c r="O74" s="8">
        <f>IFERROR(__xludf.DUMMYFUNCTION("""COMPUTED_VALUE"""),0.249719865535457)</f>
        <v>0.2497198655</v>
      </c>
      <c r="P74" s="8">
        <f>IFERROR(__xludf.DUMMYFUNCTION("""COMPUTED_VALUE"""),0.219459285742979)</f>
        <v>0.2194592857</v>
      </c>
      <c r="Q74" s="8">
        <f>IFERROR(__xludf.DUMMYFUNCTION("""COMPUTED_VALUE"""),0.174106379339832)</f>
        <v>0.1741063793</v>
      </c>
      <c r="R74" s="8">
        <f>IFERROR(__xludf.DUMMYFUNCTION("""COMPUTED_VALUE"""),0.136722465284382)</f>
        <v>0.1367224653</v>
      </c>
      <c r="S74" s="8">
        <f>IFERROR(__xludf.DUMMYFUNCTION("""COMPUTED_VALUE"""),0.123158317706938)</f>
        <v>0.1231583177</v>
      </c>
      <c r="T74" s="8">
        <f>IFERROR(__xludf.DUMMYFUNCTION("""COMPUTED_VALUE"""),0.10992275698158)</f>
        <v>0.109922757</v>
      </c>
      <c r="U74" s="8">
        <f>IFERROR(__xludf.DUMMYFUNCTION("""COMPUTED_VALUE"""),0.0997044020132619)</f>
        <v>0.09970440201</v>
      </c>
      <c r="V74" s="8">
        <f>IFERROR(__xludf.DUMMYFUNCTION("""COMPUTED_VALUE"""),0.0899370526860394)</f>
        <v>0.08993705269</v>
      </c>
      <c r="W74" s="8">
        <f>IFERROR(__xludf.DUMMYFUNCTION("""COMPUTED_VALUE"""),0.0787141779788838)</f>
        <v>0.07871417798</v>
      </c>
      <c r="X74" s="8">
        <f>IFERROR(__xludf.DUMMYFUNCTION("""COMPUTED_VALUE"""),0.071383382539013)</f>
        <v>0.07138338254</v>
      </c>
      <c r="Y74" s="8">
        <f>IFERROR(__xludf.DUMMYFUNCTION("""COMPUTED_VALUE"""),0.0693333333333333)</f>
        <v>0.06933333333</v>
      </c>
      <c r="Z74" s="8">
        <f>IFERROR(__xludf.DUMMYFUNCTION("""COMPUTED_VALUE"""),0.0950570342205323)</f>
        <v>0.09505703422</v>
      </c>
      <c r="AA74" s="8">
        <f>IFERROR(__xludf.DUMMYFUNCTION("""COMPUTED_VALUE"""),0.0)</f>
        <v>0</v>
      </c>
      <c r="AB74" s="8">
        <f>IFERROR(__xludf.DUMMYFUNCTION("""COMPUTED_VALUE"""),0.0)</f>
        <v>0</v>
      </c>
      <c r="AC74" s="8">
        <f>IFERROR(__xludf.DUMMYFUNCTION("""COMPUTED_VALUE"""),0.0)</f>
        <v>0</v>
      </c>
    </row>
    <row r="75" ht="15.75" customHeight="1">
      <c r="A75" s="6" t="str">
        <f>IFERROR(__xludf.DUMMYFUNCTION("""COMPUTED_VALUE"""),"424b450dc35cc4bf4fc088069830e978aa97884a")</f>
        <v>424b450dc35cc4bf4fc088069830e978aa97884a</v>
      </c>
      <c r="B75" s="6" t="str">
        <f>IFERROR(__xludf.DUMMYFUNCTION("""COMPUTED_VALUE"""),"The Alpha's Witch")</f>
        <v>The Alpha's Witch</v>
      </c>
      <c r="C75" s="6" t="str">
        <f>IFERROR(__xludf.DUMMYFUNCTION("""COMPUTED_VALUE"""),"Romantasy")</f>
        <v>Romantasy</v>
      </c>
      <c r="D75" s="11">
        <f>IFERROR(__xludf.DUMMYFUNCTION("""COMPUTED_VALUE"""),3734.0)</f>
        <v>3734</v>
      </c>
      <c r="E75" s="8">
        <f>IFERROR(__xludf.DUMMYFUNCTION("""COMPUTED_VALUE"""),0.981516206804179)</f>
        <v>0.9815162068</v>
      </c>
      <c r="F75" s="8">
        <f>IFERROR(__xludf.DUMMYFUNCTION("""COMPUTED_VALUE"""),0.403753351206434)</f>
        <v>0.4037533512</v>
      </c>
      <c r="G75" s="8">
        <f>IFERROR(__xludf.DUMMYFUNCTION("""COMPUTED_VALUE"""),0.347546259050683)</f>
        <v>0.3475462591</v>
      </c>
      <c r="H75" s="8">
        <f>IFERROR(__xludf.DUMMYFUNCTION("""COMPUTED_VALUE"""),0.299087982832618)</f>
        <v>0.2990879828</v>
      </c>
      <c r="I75" s="8">
        <f>IFERROR(__xludf.DUMMYFUNCTION("""COMPUTED_VALUE"""),0.272849462365591)</f>
        <v>0.2728494624</v>
      </c>
      <c r="J75" s="8">
        <f>IFERROR(__xludf.DUMMYFUNCTION("""COMPUTED_VALUE"""),0.256734913793103)</f>
        <v>0.2567349138</v>
      </c>
      <c r="K75" s="8">
        <f>IFERROR(__xludf.DUMMYFUNCTION("""COMPUTED_VALUE"""),0.245618765165812)</f>
        <v>0.2456187652</v>
      </c>
      <c r="L75" s="8">
        <f>IFERROR(__xludf.DUMMYFUNCTION("""COMPUTED_VALUE"""),0.240485829959514)</f>
        <v>0.24048583</v>
      </c>
      <c r="M75" s="8">
        <f>IFERROR(__xludf.DUMMYFUNCTION("""COMPUTED_VALUE"""),0.234451054624121)</f>
        <v>0.2344510546</v>
      </c>
      <c r="N75" s="8">
        <f>IFERROR(__xludf.DUMMYFUNCTION("""COMPUTED_VALUE"""),0.222252301028695)</f>
        <v>0.222252301</v>
      </c>
      <c r="O75" s="8">
        <f>IFERROR(__xludf.DUMMYFUNCTION("""COMPUTED_VALUE"""),0.138950892857142)</f>
        <v>0.1389508929</v>
      </c>
      <c r="P75" s="8">
        <f>IFERROR(__xludf.DUMMYFUNCTION("""COMPUTED_VALUE"""),0.118628067967275)</f>
        <v>0.118628068</v>
      </c>
      <c r="Q75" s="8">
        <f>IFERROR(__xludf.DUMMYFUNCTION("""COMPUTED_VALUE"""),0.0951792336217552)</f>
        <v>0.09517923362</v>
      </c>
      <c r="R75" s="8">
        <f>IFERROR(__xludf.DUMMYFUNCTION("""COMPUTED_VALUE"""),0.0809716599190283)</f>
        <v>0.08097165992</v>
      </c>
      <c r="S75" s="8">
        <f>IFERROR(__xludf.DUMMYFUNCTION("""COMPUTED_VALUE"""),0.0)</f>
        <v>0</v>
      </c>
      <c r="T75" s="8">
        <f>IFERROR(__xludf.DUMMYFUNCTION("""COMPUTED_VALUE"""),0.0)</f>
        <v>0</v>
      </c>
      <c r="U75" s="8">
        <f>IFERROR(__xludf.DUMMYFUNCTION("""COMPUTED_VALUE"""),0.0)</f>
        <v>0</v>
      </c>
      <c r="V75" s="8">
        <f>IFERROR(__xludf.DUMMYFUNCTION("""COMPUTED_VALUE"""),0.0)</f>
        <v>0</v>
      </c>
      <c r="W75" s="8">
        <f>IFERROR(__xludf.DUMMYFUNCTION("""COMPUTED_VALUE"""),0.0)</f>
        <v>0</v>
      </c>
      <c r="X75" s="8">
        <f>IFERROR(__xludf.DUMMYFUNCTION("""COMPUTED_VALUE"""),0.0)</f>
        <v>0</v>
      </c>
      <c r="Y75" s="8">
        <f>IFERROR(__xludf.DUMMYFUNCTION("""COMPUTED_VALUE"""),0.0)</f>
        <v>0</v>
      </c>
      <c r="Z75" s="8">
        <f>IFERROR(__xludf.DUMMYFUNCTION("""COMPUTED_VALUE"""),0.0)</f>
        <v>0</v>
      </c>
      <c r="AA75" s="8">
        <f>IFERROR(__xludf.DUMMYFUNCTION("""COMPUTED_VALUE"""),0.0)</f>
        <v>0</v>
      </c>
      <c r="AB75" s="8">
        <f>IFERROR(__xludf.DUMMYFUNCTION("""COMPUTED_VALUE"""),0.0)</f>
        <v>0</v>
      </c>
      <c r="AC75" s="8">
        <f>IFERROR(__xludf.DUMMYFUNCTION("""COMPUTED_VALUE"""),0.0)</f>
        <v>0</v>
      </c>
    </row>
    <row r="76" ht="15.75" customHeight="1">
      <c r="A76" s="6" t="str">
        <f>IFERROR(__xludf.DUMMYFUNCTION("""COMPUTED_VALUE"""),"42515091e7b47b7b2d2381d7512fdb9f9866aa1e")</f>
        <v>42515091e7b47b7b2d2381d7512fdb9f9866aa1e</v>
      </c>
      <c r="B76" s="6" t="str">
        <f>IFERROR(__xludf.DUMMYFUNCTION("""COMPUTED_VALUE"""),"The Tomboy Love Story")</f>
        <v>The Tomboy Love Story</v>
      </c>
      <c r="C76" s="6" t="str">
        <f>IFERROR(__xludf.DUMMYFUNCTION("""COMPUTED_VALUE"""),"Romance")</f>
        <v>Romance</v>
      </c>
      <c r="D76" s="11">
        <f>IFERROR(__xludf.DUMMYFUNCTION("""COMPUTED_VALUE"""),6801.0)</f>
        <v>6801</v>
      </c>
      <c r="E76" s="8">
        <f>IFERROR(__xludf.DUMMYFUNCTION("""COMPUTED_VALUE"""),0.960353721444362)</f>
        <v>0.9603537214</v>
      </c>
      <c r="F76" s="8">
        <f>IFERROR(__xludf.DUMMYFUNCTION("""COMPUTED_VALUE"""),0.531453041937389)</f>
        <v>0.5314530419</v>
      </c>
      <c r="G76" s="8">
        <f>IFERROR(__xludf.DUMMYFUNCTION("""COMPUTED_VALUE"""),0.455082742316784)</f>
        <v>0.4550827423</v>
      </c>
      <c r="H76" s="8">
        <f>IFERROR(__xludf.DUMMYFUNCTION("""COMPUTED_VALUE"""),0.417837597988463)</f>
        <v>0.417837598</v>
      </c>
      <c r="I76" s="8">
        <f>IFERROR(__xludf.DUMMYFUNCTION("""COMPUTED_VALUE"""),0.393459603432968)</f>
        <v>0.3934596034</v>
      </c>
      <c r="J76" s="8">
        <f>IFERROR(__xludf.DUMMYFUNCTION("""COMPUTED_VALUE"""),0.375425610658771)</f>
        <v>0.3754256107</v>
      </c>
      <c r="K76" s="8">
        <f>IFERROR(__xludf.DUMMYFUNCTION("""COMPUTED_VALUE"""),0.364390460672493)</f>
        <v>0.3643904607</v>
      </c>
      <c r="L76" s="8">
        <f>IFERROR(__xludf.DUMMYFUNCTION("""COMPUTED_VALUE"""),0.355479756784813)</f>
        <v>0.3554797568</v>
      </c>
      <c r="M76" s="8">
        <f>IFERROR(__xludf.DUMMYFUNCTION("""COMPUTED_VALUE"""),0.348122866894197)</f>
        <v>0.3481228669</v>
      </c>
      <c r="N76" s="8">
        <f>IFERROR(__xludf.DUMMYFUNCTION("""COMPUTED_VALUE"""),0.342140418583939)</f>
        <v>0.3421404186</v>
      </c>
      <c r="O76" s="8">
        <f>IFERROR(__xludf.DUMMYFUNCTION("""COMPUTED_VALUE"""),0.313134328358209)</f>
        <v>0.3131343284</v>
      </c>
      <c r="P76" s="8">
        <f>IFERROR(__xludf.DUMMYFUNCTION("""COMPUTED_VALUE"""),0.228682800064966)</f>
        <v>0.2286828001</v>
      </c>
      <c r="Q76" s="8">
        <f>IFERROR(__xludf.DUMMYFUNCTION("""COMPUTED_VALUE"""),0.155026020268419)</f>
        <v>0.1550260203</v>
      </c>
      <c r="R76" s="8">
        <f>IFERROR(__xludf.DUMMYFUNCTION("""COMPUTED_VALUE"""),0.119610570236439)</f>
        <v>0.1196105702</v>
      </c>
      <c r="S76" s="8">
        <f>IFERROR(__xludf.DUMMYFUNCTION("""COMPUTED_VALUE"""),0.105263157894736)</f>
        <v>0.1052631579</v>
      </c>
      <c r="T76" s="8">
        <f>IFERROR(__xludf.DUMMYFUNCTION("""COMPUTED_VALUE"""),0.0)</f>
        <v>0</v>
      </c>
      <c r="U76" s="8">
        <f>IFERROR(__xludf.DUMMYFUNCTION("""COMPUTED_VALUE"""),0.0)</f>
        <v>0</v>
      </c>
      <c r="V76" s="8">
        <f>IFERROR(__xludf.DUMMYFUNCTION("""COMPUTED_VALUE"""),0.0)</f>
        <v>0</v>
      </c>
      <c r="W76" s="8">
        <f>IFERROR(__xludf.DUMMYFUNCTION("""COMPUTED_VALUE"""),0.0)</f>
        <v>0</v>
      </c>
      <c r="X76" s="8">
        <f>IFERROR(__xludf.DUMMYFUNCTION("""COMPUTED_VALUE"""),0.0)</f>
        <v>0</v>
      </c>
      <c r="Y76" s="8">
        <f>IFERROR(__xludf.DUMMYFUNCTION("""COMPUTED_VALUE"""),0.0)</f>
        <v>0</v>
      </c>
      <c r="Z76" s="8">
        <f>IFERROR(__xludf.DUMMYFUNCTION("""COMPUTED_VALUE"""),0.0)</f>
        <v>0</v>
      </c>
      <c r="AA76" s="8">
        <f>IFERROR(__xludf.DUMMYFUNCTION("""COMPUTED_VALUE"""),0.0)</f>
        <v>0</v>
      </c>
      <c r="AB76" s="8">
        <f>IFERROR(__xludf.DUMMYFUNCTION("""COMPUTED_VALUE"""),0.0)</f>
        <v>0</v>
      </c>
      <c r="AC76" s="8">
        <f>IFERROR(__xludf.DUMMYFUNCTION("""COMPUTED_VALUE"""),0.0)</f>
        <v>0</v>
      </c>
    </row>
    <row r="77" ht="15.75" customHeight="1">
      <c r="A77" s="6" t="str">
        <f>IFERROR(__xludf.DUMMYFUNCTION("""COMPUTED_VALUE"""),"4335258b71733375cbccc0fbf7ce0bf0975b095d")</f>
        <v>4335258b71733375cbccc0fbf7ce0bf0975b095d</v>
      </c>
      <c r="B77" s="6" t="str">
        <f>IFERROR(__xludf.DUMMYFUNCTION("""COMPUTED_VALUE"""),"Alex &amp; the Prison System")</f>
        <v>Alex &amp; the Prison System</v>
      </c>
      <c r="C77" s="6" t="str">
        <f>IFERROR(__xludf.DUMMYFUNCTION("""COMPUTED_VALUE"""),"System and Superpower")</f>
        <v>System and Superpower</v>
      </c>
      <c r="D77" s="11">
        <f>IFERROR(__xludf.DUMMYFUNCTION("""COMPUTED_VALUE"""),2788.0)</f>
        <v>2788</v>
      </c>
      <c r="E77" s="8">
        <f>IFERROR(__xludf.DUMMYFUNCTION("""COMPUTED_VALUE"""),0.947538627380524)</f>
        <v>0.9475386274</v>
      </c>
      <c r="F77" s="8">
        <f>IFERROR(__xludf.DUMMYFUNCTION("""COMPUTED_VALUE"""),0.646508279337653)</f>
        <v>0.6465082793</v>
      </c>
      <c r="G77" s="8">
        <f>IFERROR(__xludf.DUMMYFUNCTION("""COMPUTED_VALUE"""),0.593648502345723)</f>
        <v>0.5936485023</v>
      </c>
      <c r="H77" s="8">
        <f>IFERROR(__xludf.DUMMYFUNCTION("""COMPUTED_VALUE"""),0.570911722141823)</f>
        <v>0.5709117221</v>
      </c>
      <c r="I77" s="8">
        <f>IFERROR(__xludf.DUMMYFUNCTION("""COMPUTED_VALUE"""),0.548855793679622)</f>
        <v>0.5488557937</v>
      </c>
      <c r="J77" s="8">
        <f>IFERROR(__xludf.DUMMYFUNCTION("""COMPUTED_VALUE"""),0.540029112081513)</f>
        <v>0.5400291121</v>
      </c>
      <c r="K77" s="8">
        <f>IFERROR(__xludf.DUMMYFUNCTION("""COMPUTED_VALUE"""),0.534671532846715)</f>
        <v>0.5346715328</v>
      </c>
      <c r="L77" s="8">
        <f>IFERROR(__xludf.DUMMYFUNCTION("""COMPUTED_VALUE"""),0.524926686217008)</f>
        <v>0.5249266862</v>
      </c>
      <c r="M77" s="8">
        <f>IFERROR(__xludf.DUMMYFUNCTION("""COMPUTED_VALUE"""),0.505873715124816)</f>
        <v>0.5058737151</v>
      </c>
      <c r="N77" s="8">
        <f>IFERROR(__xludf.DUMMYFUNCTION("""COMPUTED_VALUE"""),0.488749538915529)</f>
        <v>0.4887495389</v>
      </c>
      <c r="O77" s="8">
        <f>IFERROR(__xludf.DUMMYFUNCTION("""COMPUTED_VALUE"""),0.395739451044653)</f>
        <v>0.395739451</v>
      </c>
      <c r="P77" s="8">
        <f>IFERROR(__xludf.DUMMYFUNCTION("""COMPUTED_VALUE"""),0.287249633610161)</f>
        <v>0.2872496336</v>
      </c>
      <c r="Q77" s="8">
        <f>IFERROR(__xludf.DUMMYFUNCTION("""COMPUTED_VALUE"""),0.235512630014858)</f>
        <v>0.23551263</v>
      </c>
      <c r="R77" s="8">
        <f>IFERROR(__xludf.DUMMYFUNCTION("""COMPUTED_VALUE"""),0.214953271028037)</f>
        <v>0.214953271</v>
      </c>
      <c r="S77" s="8">
        <f>IFERROR(__xludf.DUMMYFUNCTION("""COMPUTED_VALUE"""),0.0909090909090909)</f>
        <v>0.09090909091</v>
      </c>
      <c r="T77" s="8">
        <f>IFERROR(__xludf.DUMMYFUNCTION("""COMPUTED_VALUE"""),0.0)</f>
        <v>0</v>
      </c>
      <c r="U77" s="8">
        <f>IFERROR(__xludf.DUMMYFUNCTION("""COMPUTED_VALUE"""),0.0)</f>
        <v>0</v>
      </c>
      <c r="V77" s="8">
        <f>IFERROR(__xludf.DUMMYFUNCTION("""COMPUTED_VALUE"""),0.0)</f>
        <v>0</v>
      </c>
      <c r="W77" s="8">
        <f>IFERROR(__xludf.DUMMYFUNCTION("""COMPUTED_VALUE"""),0.0)</f>
        <v>0</v>
      </c>
      <c r="X77" s="8">
        <f>IFERROR(__xludf.DUMMYFUNCTION("""COMPUTED_VALUE"""),0.0)</f>
        <v>0</v>
      </c>
      <c r="Y77" s="8">
        <f>IFERROR(__xludf.DUMMYFUNCTION("""COMPUTED_VALUE"""),0.0)</f>
        <v>0</v>
      </c>
      <c r="Z77" s="8">
        <f>IFERROR(__xludf.DUMMYFUNCTION("""COMPUTED_VALUE"""),0.0)</f>
        <v>0</v>
      </c>
      <c r="AA77" s="8">
        <f>IFERROR(__xludf.DUMMYFUNCTION("""COMPUTED_VALUE"""),0.0)</f>
        <v>0</v>
      </c>
      <c r="AB77" s="8">
        <f>IFERROR(__xludf.DUMMYFUNCTION("""COMPUTED_VALUE"""),0.0)</f>
        <v>0</v>
      </c>
      <c r="AC77" s="8">
        <f>IFERROR(__xludf.DUMMYFUNCTION("""COMPUTED_VALUE"""),0.0)</f>
        <v>0</v>
      </c>
    </row>
    <row r="78" ht="15.75" customHeight="1">
      <c r="A78" s="6" t="str">
        <f>IFERROR(__xludf.DUMMYFUNCTION("""COMPUTED_VALUE"""),"43de49339ed40a2c4d8acef5644870ce292f541e")</f>
        <v>43de49339ed40a2c4d8acef5644870ce292f541e</v>
      </c>
      <c r="B78" s="6" t="str">
        <f>IFERROR(__xludf.DUMMYFUNCTION("""COMPUTED_VALUE"""),"Second Chances: Reborn to Be a CEO’s Wife")</f>
        <v>Second Chances: Reborn to Be a CEO’s Wife</v>
      </c>
      <c r="C78" s="6" t="str">
        <f>IFERROR(__xludf.DUMMYFUNCTION("""COMPUTED_VALUE"""),"Romance")</f>
        <v>Romance</v>
      </c>
      <c r="D78" s="11">
        <f>IFERROR(__xludf.DUMMYFUNCTION("""COMPUTED_VALUE"""),3426.0)</f>
        <v>3426</v>
      </c>
      <c r="E78" s="8">
        <f>IFERROR(__xludf.DUMMYFUNCTION("""COMPUTED_VALUE"""),0.952102803738317)</f>
        <v>0.9521028037</v>
      </c>
      <c r="F78" s="8">
        <f>IFERROR(__xludf.DUMMYFUNCTION("""COMPUTED_VALUE"""),0.439894706054401)</f>
        <v>0.4398947061</v>
      </c>
      <c r="G78" s="8">
        <f>IFERROR(__xludf.DUMMYFUNCTION("""COMPUTED_VALUE"""),0.386103781882146)</f>
        <v>0.3861037819</v>
      </c>
      <c r="H78" s="8">
        <f>IFERROR(__xludf.DUMMYFUNCTION("""COMPUTED_VALUE"""),0.344392248972401)</f>
        <v>0.344392249</v>
      </c>
      <c r="I78" s="8">
        <f>IFERROR(__xludf.DUMMYFUNCTION("""COMPUTED_VALUE"""),0.31814172302264)</f>
        <v>0.318141723</v>
      </c>
      <c r="J78" s="8">
        <f>IFERROR(__xludf.DUMMYFUNCTION("""COMPUTED_VALUE"""),0.290759270158917)</f>
        <v>0.2907592702</v>
      </c>
      <c r="K78" s="8">
        <f>IFERROR(__xludf.DUMMYFUNCTION("""COMPUTED_VALUE"""),0.276238207547169)</f>
        <v>0.2762382075</v>
      </c>
      <c r="L78" s="8">
        <f>IFERROR(__xludf.DUMMYFUNCTION("""COMPUTED_VALUE"""),0.259675036927621)</f>
        <v>0.2596750369</v>
      </c>
      <c r="M78" s="8">
        <f>IFERROR(__xludf.DUMMYFUNCTION("""COMPUTED_VALUE"""),0.235137533274179)</f>
        <v>0.2351375333</v>
      </c>
      <c r="N78" s="8">
        <f>IFERROR(__xludf.DUMMYFUNCTION("""COMPUTED_VALUE"""),0.215703703703703)</f>
        <v>0.2157037037</v>
      </c>
      <c r="O78" s="8">
        <f>IFERROR(__xludf.DUMMYFUNCTION("""COMPUTED_VALUE"""),0.186455847255369)</f>
        <v>0.1864558473</v>
      </c>
      <c r="P78" s="8">
        <f>IFERROR(__xludf.DUMMYFUNCTION("""COMPUTED_VALUE"""),0.090497737556561)</f>
        <v>0.09049773756</v>
      </c>
      <c r="Q78" s="8">
        <f>IFERROR(__xludf.DUMMYFUNCTION("""COMPUTED_VALUE"""),0.0180981595092024)</f>
        <v>0.01809815951</v>
      </c>
      <c r="R78" s="8">
        <f>IFERROR(__xludf.DUMMYFUNCTION("""COMPUTED_VALUE"""),0.0)</f>
        <v>0</v>
      </c>
      <c r="S78" s="8">
        <f>IFERROR(__xludf.DUMMYFUNCTION("""COMPUTED_VALUE"""),0.0)</f>
        <v>0</v>
      </c>
      <c r="T78" s="8">
        <f>IFERROR(__xludf.DUMMYFUNCTION("""COMPUTED_VALUE"""),0.0)</f>
        <v>0</v>
      </c>
      <c r="U78" s="8">
        <f>IFERROR(__xludf.DUMMYFUNCTION("""COMPUTED_VALUE"""),0.0)</f>
        <v>0</v>
      </c>
      <c r="V78" s="8">
        <f>IFERROR(__xludf.DUMMYFUNCTION("""COMPUTED_VALUE"""),0.0)</f>
        <v>0</v>
      </c>
      <c r="W78" s="8">
        <f>IFERROR(__xludf.DUMMYFUNCTION("""COMPUTED_VALUE"""),0.0)</f>
        <v>0</v>
      </c>
      <c r="X78" s="8">
        <f>IFERROR(__xludf.DUMMYFUNCTION("""COMPUTED_VALUE"""),0.0)</f>
        <v>0</v>
      </c>
      <c r="Y78" s="8">
        <f>IFERROR(__xludf.DUMMYFUNCTION("""COMPUTED_VALUE"""),0.0)</f>
        <v>0</v>
      </c>
      <c r="Z78" s="8">
        <f>IFERROR(__xludf.DUMMYFUNCTION("""COMPUTED_VALUE"""),0.0)</f>
        <v>0</v>
      </c>
      <c r="AA78" s="8">
        <f>IFERROR(__xludf.DUMMYFUNCTION("""COMPUTED_VALUE"""),0.0)</f>
        <v>0</v>
      </c>
      <c r="AB78" s="8">
        <f>IFERROR(__xludf.DUMMYFUNCTION("""COMPUTED_VALUE"""),0.0)</f>
        <v>0</v>
      </c>
      <c r="AC78" s="8">
        <f>IFERROR(__xludf.DUMMYFUNCTION("""COMPUTED_VALUE"""),0.0)</f>
        <v>0</v>
      </c>
    </row>
    <row r="79" ht="15.75" customHeight="1">
      <c r="A79" s="6" t="str">
        <f>IFERROR(__xludf.DUMMYFUNCTION("""COMPUTED_VALUE"""),"442d4dce8ca376c2bb4438209980daa53b761b51")</f>
        <v>442d4dce8ca376c2bb4438209980daa53b761b51</v>
      </c>
      <c r="B79" s="6" t="str">
        <f>IFERROR(__xludf.DUMMYFUNCTION("""COMPUTED_VALUE"""),"Rejected and Craved")</f>
        <v>Rejected and Craved</v>
      </c>
      <c r="C79" s="6" t="str">
        <f>IFERROR(__xludf.DUMMYFUNCTION("""COMPUTED_VALUE"""),"Romantasy")</f>
        <v>Romantasy</v>
      </c>
      <c r="D79" s="11">
        <f>IFERROR(__xludf.DUMMYFUNCTION("""COMPUTED_VALUE"""),1488.0)</f>
        <v>1488</v>
      </c>
      <c r="E79" s="8">
        <f>IFERROR(__xludf.DUMMYFUNCTION("""COMPUTED_VALUE"""),0.959005376344086)</f>
        <v>0.9590053763</v>
      </c>
      <c r="F79" s="8">
        <f>IFERROR(__xludf.DUMMYFUNCTION("""COMPUTED_VALUE"""),0.559515803631472)</f>
        <v>0.5595158036</v>
      </c>
      <c r="G79" s="8">
        <f>IFERROR(__xludf.DUMMYFUNCTION("""COMPUTED_VALUE"""),0.525606469002695)</f>
        <v>0.525606469</v>
      </c>
      <c r="H79" s="8">
        <f>IFERROR(__xludf.DUMMYFUNCTION("""COMPUTED_VALUE"""),0.511126095751854)</f>
        <v>0.5111260958</v>
      </c>
      <c r="I79" s="8">
        <f>IFERROR(__xludf.DUMMYFUNCTION("""COMPUTED_VALUE"""),0.491204330175913)</f>
        <v>0.4912043302</v>
      </c>
      <c r="J79" s="8">
        <f>IFERROR(__xludf.DUMMYFUNCTION("""COMPUTED_VALUE"""),0.461277173913043)</f>
        <v>0.4612771739</v>
      </c>
      <c r="K79" s="8">
        <f>IFERROR(__xludf.DUMMYFUNCTION("""COMPUTED_VALUE"""),0.444595513256288)</f>
        <v>0.4445955133</v>
      </c>
      <c r="L79" s="8">
        <f>IFERROR(__xludf.DUMMYFUNCTION("""COMPUTED_VALUE"""),0.431679129843643)</f>
        <v>0.4316791298</v>
      </c>
      <c r="M79" s="8">
        <f>IFERROR(__xludf.DUMMYFUNCTION("""COMPUTED_VALUE"""),0.43711760707002)</f>
        <v>0.4371176071</v>
      </c>
      <c r="N79" s="8">
        <f>IFERROR(__xludf.DUMMYFUNCTION("""COMPUTED_VALUE"""),0.415248468345813)</f>
        <v>0.4152484683</v>
      </c>
      <c r="O79" s="8">
        <f>IFERROR(__xludf.DUMMYFUNCTION("""COMPUTED_VALUE"""),0.348820586132952)</f>
        <v>0.3488205861</v>
      </c>
      <c r="P79" s="8">
        <f>IFERROR(__xludf.DUMMYFUNCTION("""COMPUTED_VALUE"""),0.242376856919468)</f>
        <v>0.2423768569</v>
      </c>
      <c r="Q79" s="8">
        <f>IFERROR(__xludf.DUMMYFUNCTION("""COMPUTED_VALUE"""),0.0769230769230769)</f>
        <v>0.07692307692</v>
      </c>
      <c r="R79" s="8">
        <f>IFERROR(__xludf.DUMMYFUNCTION("""COMPUTED_VALUE"""),0.0)</f>
        <v>0</v>
      </c>
      <c r="S79" s="8">
        <f>IFERROR(__xludf.DUMMYFUNCTION("""COMPUTED_VALUE"""),0.0)</f>
        <v>0</v>
      </c>
      <c r="T79" s="8">
        <f>IFERROR(__xludf.DUMMYFUNCTION("""COMPUTED_VALUE"""),0.0)</f>
        <v>0</v>
      </c>
      <c r="U79" s="8">
        <f>IFERROR(__xludf.DUMMYFUNCTION("""COMPUTED_VALUE"""),0.0)</f>
        <v>0</v>
      </c>
      <c r="V79" s="8">
        <f>IFERROR(__xludf.DUMMYFUNCTION("""COMPUTED_VALUE"""),0.0)</f>
        <v>0</v>
      </c>
      <c r="W79" s="8">
        <f>IFERROR(__xludf.DUMMYFUNCTION("""COMPUTED_VALUE"""),0.0)</f>
        <v>0</v>
      </c>
      <c r="X79" s="8">
        <f>IFERROR(__xludf.DUMMYFUNCTION("""COMPUTED_VALUE"""),0.0)</f>
        <v>0</v>
      </c>
      <c r="Y79" s="8">
        <f>IFERROR(__xludf.DUMMYFUNCTION("""COMPUTED_VALUE"""),0.0)</f>
        <v>0</v>
      </c>
      <c r="Z79" s="8">
        <f>IFERROR(__xludf.DUMMYFUNCTION("""COMPUTED_VALUE"""),0.0)</f>
        <v>0</v>
      </c>
      <c r="AA79" s="8">
        <f>IFERROR(__xludf.DUMMYFUNCTION("""COMPUTED_VALUE"""),0.0)</f>
        <v>0</v>
      </c>
      <c r="AB79" s="8">
        <f>IFERROR(__xludf.DUMMYFUNCTION("""COMPUTED_VALUE"""),0.0)</f>
        <v>0</v>
      </c>
      <c r="AC79" s="8">
        <f>IFERROR(__xludf.DUMMYFUNCTION("""COMPUTED_VALUE"""),0.0)</f>
        <v>0</v>
      </c>
    </row>
    <row r="80" ht="15.75" customHeight="1">
      <c r="A80" s="6" t="str">
        <f>IFERROR(__xludf.DUMMYFUNCTION("""COMPUTED_VALUE"""),"446d5769edafce0d5daf04c6cfc40515f289004f")</f>
        <v>446d5769edafce0d5daf04c6cfc40515f289004f</v>
      </c>
      <c r="B80" s="6" t="str">
        <f>IFERROR(__xludf.DUMMYFUNCTION("""COMPUTED_VALUE"""),"The Cloaked Mogul")</f>
        <v>The Cloaked Mogul</v>
      </c>
      <c r="C80" s="6" t="str">
        <f>IFERROR(__xludf.DUMMYFUNCTION("""COMPUTED_VALUE"""),"Drama")</f>
        <v>Drama</v>
      </c>
      <c r="D80" s="11">
        <f>IFERROR(__xludf.DUMMYFUNCTION("""COMPUTED_VALUE"""),14952.0)</f>
        <v>14952</v>
      </c>
      <c r="E80" s="8">
        <f>IFERROR(__xludf.DUMMYFUNCTION("""COMPUTED_VALUE"""),0.916403467508904)</f>
        <v>0.9164034675</v>
      </c>
      <c r="F80" s="8">
        <f>IFERROR(__xludf.DUMMYFUNCTION("""COMPUTED_VALUE"""),0.403188758275908)</f>
        <v>0.4031887583</v>
      </c>
      <c r="G80" s="8">
        <f>IFERROR(__xludf.DUMMYFUNCTION("""COMPUTED_VALUE"""),0.361525929948411)</f>
        <v>0.3615259299</v>
      </c>
      <c r="H80" s="8">
        <f>IFERROR(__xludf.DUMMYFUNCTION("""COMPUTED_VALUE"""),0.338405896001091)</f>
        <v>0.338405896</v>
      </c>
      <c r="I80" s="8">
        <f>IFERROR(__xludf.DUMMYFUNCTION("""COMPUTED_VALUE"""),0.324602303894679)</f>
        <v>0.3246023039</v>
      </c>
      <c r="J80" s="8">
        <f>IFERROR(__xludf.DUMMYFUNCTION("""COMPUTED_VALUE"""),0.313869117545435)</f>
        <v>0.3138691175</v>
      </c>
      <c r="K80" s="8">
        <f>IFERROR(__xludf.DUMMYFUNCTION("""COMPUTED_VALUE"""),0.304578447794528)</f>
        <v>0.3045784478</v>
      </c>
      <c r="L80" s="8">
        <f>IFERROR(__xludf.DUMMYFUNCTION("""COMPUTED_VALUE"""),0.299240292628024)</f>
        <v>0.2992402926</v>
      </c>
      <c r="M80" s="8">
        <f>IFERROR(__xludf.DUMMYFUNCTION("""COMPUTED_VALUE"""),0.295144533182557)</f>
        <v>0.2951445332</v>
      </c>
      <c r="N80" s="8">
        <f>IFERROR(__xludf.DUMMYFUNCTION("""COMPUTED_VALUE"""),0.287994299964374)</f>
        <v>0.2879943</v>
      </c>
      <c r="O80" s="8">
        <f>IFERROR(__xludf.DUMMYFUNCTION("""COMPUTED_VALUE"""),0.268106361098868)</f>
        <v>0.2681063611</v>
      </c>
      <c r="P80" s="8">
        <f>IFERROR(__xludf.DUMMYFUNCTION("""COMPUTED_VALUE"""),0.239720300980466)</f>
        <v>0.239720301</v>
      </c>
      <c r="Q80" s="8">
        <f>IFERROR(__xludf.DUMMYFUNCTION("""COMPUTED_VALUE"""),0.185227458014022)</f>
        <v>0.185227458</v>
      </c>
      <c r="R80" s="8">
        <f>IFERROR(__xludf.DUMMYFUNCTION("""COMPUTED_VALUE"""),0.125343179021111)</f>
        <v>0.125343179</v>
      </c>
      <c r="S80" s="8">
        <f>IFERROR(__xludf.DUMMYFUNCTION("""COMPUTED_VALUE"""),0.11332503113325)</f>
        <v>0.1133250311</v>
      </c>
      <c r="T80" s="8">
        <f>IFERROR(__xludf.DUMMYFUNCTION("""COMPUTED_VALUE"""),0.103178565485105)</f>
        <v>0.1031785655</v>
      </c>
      <c r="U80" s="8">
        <f>IFERROR(__xludf.DUMMYFUNCTION("""COMPUTED_VALUE"""),0.0891337973704563)</f>
        <v>0.08913379737</v>
      </c>
      <c r="V80" s="8">
        <f>IFERROR(__xludf.DUMMYFUNCTION("""COMPUTED_VALUE"""),0.0752660922453117)</f>
        <v>0.07526609225</v>
      </c>
      <c r="W80" s="8">
        <f>IFERROR(__xludf.DUMMYFUNCTION("""COMPUTED_VALUE"""),0.04135737009544)</f>
        <v>0.0413573701</v>
      </c>
      <c r="X80" s="8">
        <f>IFERROR(__xludf.DUMMYFUNCTION("""COMPUTED_VALUE"""),0.0)</f>
        <v>0</v>
      </c>
      <c r="Y80" s="8">
        <f>IFERROR(__xludf.DUMMYFUNCTION("""COMPUTED_VALUE"""),0.0)</f>
        <v>0</v>
      </c>
      <c r="Z80" s="8">
        <f>IFERROR(__xludf.DUMMYFUNCTION("""COMPUTED_VALUE"""),0.0)</f>
        <v>0</v>
      </c>
      <c r="AA80" s="8">
        <f>IFERROR(__xludf.DUMMYFUNCTION("""COMPUTED_VALUE"""),0.0)</f>
        <v>0</v>
      </c>
      <c r="AB80" s="8">
        <f>IFERROR(__xludf.DUMMYFUNCTION("""COMPUTED_VALUE"""),0.0)</f>
        <v>0</v>
      </c>
      <c r="AC80" s="8">
        <f>IFERROR(__xludf.DUMMYFUNCTION("""COMPUTED_VALUE"""),0.0)</f>
        <v>0</v>
      </c>
    </row>
    <row r="81" ht="15.75" customHeight="1">
      <c r="A81" s="6" t="str">
        <f>IFERROR(__xludf.DUMMYFUNCTION("""COMPUTED_VALUE"""),"44c616c59b6b2cd7fcb80263ece968b250ad9dbe")</f>
        <v>44c616c59b6b2cd7fcb80263ece968b250ad9dbe</v>
      </c>
      <c r="B81" s="6" t="str">
        <f>IFERROR(__xludf.DUMMYFUNCTION("""COMPUTED_VALUE"""),"Supreme Miracle Doctor")</f>
        <v>Supreme Miracle Doctor</v>
      </c>
      <c r="C81" s="6" t="str">
        <f>IFERROR(__xludf.DUMMYFUNCTION("""COMPUTED_VALUE"""),"Drama")</f>
        <v>Drama</v>
      </c>
      <c r="D81" s="11">
        <f>IFERROR(__xludf.DUMMYFUNCTION("""COMPUTED_VALUE"""),1250.0)</f>
        <v>1250</v>
      </c>
      <c r="E81" s="8">
        <f>IFERROR(__xludf.DUMMYFUNCTION("""COMPUTED_VALUE"""),0.970564186426819)</f>
        <v>0.9705641864</v>
      </c>
      <c r="F81" s="8">
        <f>IFERROR(__xludf.DUMMYFUNCTION("""COMPUTED_VALUE"""),0.541488451668092)</f>
        <v>0.5414884517</v>
      </c>
      <c r="G81" s="8">
        <f>IFERROR(__xludf.DUMMYFUNCTION("""COMPUTED_VALUE"""),0.478798586572438)</f>
        <v>0.4787985866</v>
      </c>
      <c r="H81" s="8">
        <f>IFERROR(__xludf.DUMMYFUNCTION("""COMPUTED_VALUE"""),0.430555555555555)</f>
        <v>0.4305555556</v>
      </c>
      <c r="I81" s="8">
        <f>IFERROR(__xludf.DUMMYFUNCTION("""COMPUTED_VALUE"""),0.403241182078169)</f>
        <v>0.4032411821</v>
      </c>
      <c r="J81" s="8">
        <f>IFERROR(__xludf.DUMMYFUNCTION("""COMPUTED_VALUE"""),0.364271457085828)</f>
        <v>0.3642714571</v>
      </c>
      <c r="K81" s="8">
        <f>IFERROR(__xludf.DUMMYFUNCTION("""COMPUTED_VALUE"""),0.34156378600823)</f>
        <v>0.341563786</v>
      </c>
      <c r="L81" s="8">
        <f>IFERROR(__xludf.DUMMYFUNCTION("""COMPUTED_VALUE"""),0.335195530726256)</f>
        <v>0.3351955307</v>
      </c>
      <c r="M81" s="8">
        <f>IFERROR(__xludf.DUMMYFUNCTION("""COMPUTED_VALUE"""),0.320231213872832)</f>
        <v>0.3202312139</v>
      </c>
      <c r="N81" s="8">
        <f>IFERROR(__xludf.DUMMYFUNCTION("""COMPUTED_VALUE"""),0.309638554216867)</f>
        <v>0.3096385542</v>
      </c>
      <c r="O81" s="8">
        <f>IFERROR(__xludf.DUMMYFUNCTION("""COMPUTED_VALUE"""),0.219092331768388)</f>
        <v>0.2190923318</v>
      </c>
      <c r="P81" s="8">
        <f>IFERROR(__xludf.DUMMYFUNCTION("""COMPUTED_VALUE"""),0.138418079096045)</f>
        <v>0.1384180791</v>
      </c>
      <c r="Q81" s="8">
        <f>IFERROR(__xludf.DUMMYFUNCTION("""COMPUTED_VALUE"""),0.0)</f>
        <v>0</v>
      </c>
      <c r="R81" s="8">
        <f>IFERROR(__xludf.DUMMYFUNCTION("""COMPUTED_VALUE"""),0.0)</f>
        <v>0</v>
      </c>
      <c r="S81" s="8">
        <f>IFERROR(__xludf.DUMMYFUNCTION("""COMPUTED_VALUE"""),0.0)</f>
        <v>0</v>
      </c>
      <c r="T81" s="8">
        <f>IFERROR(__xludf.DUMMYFUNCTION("""COMPUTED_VALUE"""),0.0)</f>
        <v>0</v>
      </c>
      <c r="U81" s="8">
        <f>IFERROR(__xludf.DUMMYFUNCTION("""COMPUTED_VALUE"""),0.0)</f>
        <v>0</v>
      </c>
      <c r="V81" s="8">
        <f>IFERROR(__xludf.DUMMYFUNCTION("""COMPUTED_VALUE"""),0.0)</f>
        <v>0</v>
      </c>
      <c r="W81" s="8">
        <f>IFERROR(__xludf.DUMMYFUNCTION("""COMPUTED_VALUE"""),0.0)</f>
        <v>0</v>
      </c>
      <c r="X81" s="8">
        <f>IFERROR(__xludf.DUMMYFUNCTION("""COMPUTED_VALUE"""),0.0)</f>
        <v>0</v>
      </c>
      <c r="Y81" s="8">
        <f>IFERROR(__xludf.DUMMYFUNCTION("""COMPUTED_VALUE"""),0.0)</f>
        <v>0</v>
      </c>
      <c r="Z81" s="8">
        <f>IFERROR(__xludf.DUMMYFUNCTION("""COMPUTED_VALUE"""),0.0)</f>
        <v>0</v>
      </c>
      <c r="AA81" s="8">
        <f>IFERROR(__xludf.DUMMYFUNCTION("""COMPUTED_VALUE"""),0.0)</f>
        <v>0</v>
      </c>
      <c r="AB81" s="8">
        <f>IFERROR(__xludf.DUMMYFUNCTION("""COMPUTED_VALUE"""),0.0)</f>
        <v>0</v>
      </c>
      <c r="AC81" s="8">
        <f>IFERROR(__xludf.DUMMYFUNCTION("""COMPUTED_VALUE"""),0.0)</f>
        <v>0</v>
      </c>
    </row>
    <row r="82" ht="15.75" customHeight="1">
      <c r="A82" s="6" t="str">
        <f>IFERROR(__xludf.DUMMYFUNCTION("""COMPUTED_VALUE"""),"44f5a6fb4876567a5eec3722df1d0a3d436d8bdf")</f>
        <v>44f5a6fb4876567a5eec3722df1d0a3d436d8bdf</v>
      </c>
      <c r="B82" s="6" t="str">
        <f>IFERROR(__xludf.DUMMYFUNCTION("""COMPUTED_VALUE"""),"Alpha Kyros")</f>
        <v>Alpha Kyros</v>
      </c>
      <c r="C82" s="6" t="str">
        <f>IFERROR(__xludf.DUMMYFUNCTION("""COMPUTED_VALUE"""),"Romantasy")</f>
        <v>Romantasy</v>
      </c>
      <c r="D82" s="11">
        <f>IFERROR(__xludf.DUMMYFUNCTION("""COMPUTED_VALUE"""),8319.0)</f>
        <v>8319</v>
      </c>
      <c r="E82" s="8">
        <f>IFERROR(__xludf.DUMMYFUNCTION("""COMPUTED_VALUE"""),0.960048134777376)</f>
        <v>0.9600481348</v>
      </c>
      <c r="F82" s="8">
        <f>IFERROR(__xludf.DUMMYFUNCTION("""COMPUTED_VALUE"""),0.583574181117533)</f>
        <v>0.5835741811</v>
      </c>
      <c r="G82" s="8">
        <f>IFERROR(__xludf.DUMMYFUNCTION("""COMPUTED_VALUE"""),0.533132530120481)</f>
        <v>0.5331325301</v>
      </c>
      <c r="H82" s="8">
        <f>IFERROR(__xludf.DUMMYFUNCTION("""COMPUTED_VALUE"""),0.509643201542912)</f>
        <v>0.5096432015</v>
      </c>
      <c r="I82" s="8">
        <f>IFERROR(__xludf.DUMMYFUNCTION("""COMPUTED_VALUE"""),0.493425021112317)</f>
        <v>0.4934250211</v>
      </c>
      <c r="J82" s="8">
        <f>IFERROR(__xludf.DUMMYFUNCTION("""COMPUTED_VALUE"""),0.475380159304851)</f>
        <v>0.4753801593</v>
      </c>
      <c r="K82" s="8">
        <f>IFERROR(__xludf.DUMMYFUNCTION("""COMPUTED_VALUE"""),0.463285024154589)</f>
        <v>0.4632850242</v>
      </c>
      <c r="L82" s="8">
        <f>IFERROR(__xludf.DUMMYFUNCTION("""COMPUTED_VALUE"""),0.453138227113314)</f>
        <v>0.4531382271</v>
      </c>
      <c r="M82" s="8">
        <f>IFERROR(__xludf.DUMMYFUNCTION("""COMPUTED_VALUE"""),0.440905788326471)</f>
        <v>0.4409057883</v>
      </c>
      <c r="N82" s="8">
        <f>IFERROR(__xludf.DUMMYFUNCTION("""COMPUTED_VALUE"""),0.429820301117047)</f>
        <v>0.4298203011</v>
      </c>
      <c r="O82" s="8">
        <f>IFERROR(__xludf.DUMMYFUNCTION("""COMPUTED_VALUE"""),0.378709433009218)</f>
        <v>0.378709433</v>
      </c>
      <c r="P82" s="8">
        <f>IFERROR(__xludf.DUMMYFUNCTION("""COMPUTED_VALUE"""),0.314634146341463)</f>
        <v>0.3146341463</v>
      </c>
      <c r="Q82" s="8">
        <f>IFERROR(__xludf.DUMMYFUNCTION("""COMPUTED_VALUE"""),0.183343691733996)</f>
        <v>0.1833436917</v>
      </c>
      <c r="R82" s="8">
        <f>IFERROR(__xludf.DUMMYFUNCTION("""COMPUTED_VALUE"""),0.0601503759398496)</f>
        <v>0.06015037594</v>
      </c>
      <c r="S82" s="8">
        <f>IFERROR(__xludf.DUMMYFUNCTION("""COMPUTED_VALUE"""),0.0)</f>
        <v>0</v>
      </c>
      <c r="T82" s="8">
        <f>IFERROR(__xludf.DUMMYFUNCTION("""COMPUTED_VALUE"""),0.0)</f>
        <v>0</v>
      </c>
      <c r="U82" s="8">
        <f>IFERROR(__xludf.DUMMYFUNCTION("""COMPUTED_VALUE"""),0.0)</f>
        <v>0</v>
      </c>
      <c r="V82" s="8">
        <f>IFERROR(__xludf.DUMMYFUNCTION("""COMPUTED_VALUE"""),0.0)</f>
        <v>0</v>
      </c>
      <c r="W82" s="8">
        <f>IFERROR(__xludf.DUMMYFUNCTION("""COMPUTED_VALUE"""),0.0)</f>
        <v>0</v>
      </c>
      <c r="X82" s="8">
        <f>IFERROR(__xludf.DUMMYFUNCTION("""COMPUTED_VALUE"""),0.0)</f>
        <v>0</v>
      </c>
      <c r="Y82" s="8">
        <f>IFERROR(__xludf.DUMMYFUNCTION("""COMPUTED_VALUE"""),0.0)</f>
        <v>0</v>
      </c>
      <c r="Z82" s="8">
        <f>IFERROR(__xludf.DUMMYFUNCTION("""COMPUTED_VALUE"""),0.0)</f>
        <v>0</v>
      </c>
      <c r="AA82" s="8">
        <f>IFERROR(__xludf.DUMMYFUNCTION("""COMPUTED_VALUE"""),0.0)</f>
        <v>0</v>
      </c>
      <c r="AB82" s="8">
        <f>IFERROR(__xludf.DUMMYFUNCTION("""COMPUTED_VALUE"""),0.0)</f>
        <v>0</v>
      </c>
      <c r="AC82" s="8">
        <f>IFERROR(__xludf.DUMMYFUNCTION("""COMPUTED_VALUE"""),0.0)</f>
        <v>0</v>
      </c>
    </row>
    <row r="83" ht="15.75" customHeight="1">
      <c r="A83" s="6" t="str">
        <f>IFERROR(__xludf.DUMMYFUNCTION("""COMPUTED_VALUE"""),"462b561ac0c6d238fc5ed6d8ce632a9e6a2152d9")</f>
        <v>462b561ac0c6d238fc5ed6d8ce632a9e6a2152d9</v>
      </c>
      <c r="B83" s="6" t="str">
        <f>IFERROR(__xludf.DUMMYFUNCTION("""COMPUTED_VALUE"""),"My Billionaire System")</f>
        <v>My Billionaire System</v>
      </c>
      <c r="C83" s="6" t="str">
        <f>IFERROR(__xludf.DUMMYFUNCTION("""COMPUTED_VALUE"""),"System and Superpower")</f>
        <v>System and Superpower</v>
      </c>
      <c r="D83" s="11">
        <f>IFERROR(__xludf.DUMMYFUNCTION("""COMPUTED_VALUE"""),2063.0)</f>
        <v>2063</v>
      </c>
      <c r="E83" s="8">
        <f>IFERROR(__xludf.DUMMYFUNCTION("""COMPUTED_VALUE"""),0.973262032085561)</f>
        <v>0.9732620321</v>
      </c>
      <c r="F83" s="8">
        <f>IFERROR(__xludf.DUMMYFUNCTION("""COMPUTED_VALUE"""),0.555609995100441)</f>
        <v>0.5556099951</v>
      </c>
      <c r="G83" s="8">
        <f>IFERROR(__xludf.DUMMYFUNCTION("""COMPUTED_VALUE"""),0.473554127533366)</f>
        <v>0.4735541275</v>
      </c>
      <c r="H83" s="8">
        <f>IFERROR(__xludf.DUMMYFUNCTION("""COMPUTED_VALUE"""),0.418697165589259)</f>
        <v>0.4186971656</v>
      </c>
      <c r="I83" s="8">
        <f>IFERROR(__xludf.DUMMYFUNCTION("""COMPUTED_VALUE"""),0.365780230807827)</f>
        <v>0.3657802308</v>
      </c>
      <c r="J83" s="8">
        <f>IFERROR(__xludf.DUMMYFUNCTION("""COMPUTED_VALUE"""),0.328418912048805)</f>
        <v>0.328418912</v>
      </c>
      <c r="K83" s="8">
        <f>IFERROR(__xludf.DUMMYFUNCTION("""COMPUTED_VALUE"""),0.28)</f>
        <v>0.28</v>
      </c>
      <c r="L83" s="8">
        <f>IFERROR(__xludf.DUMMYFUNCTION("""COMPUTED_VALUE"""),0.261394838001098)</f>
        <v>0.261394838</v>
      </c>
      <c r="M83" s="8">
        <f>IFERROR(__xludf.DUMMYFUNCTION("""COMPUTED_VALUE"""),0.246760563380281)</f>
        <v>0.2467605634</v>
      </c>
      <c r="N83" s="8">
        <f>IFERROR(__xludf.DUMMYFUNCTION("""COMPUTED_VALUE"""),0.229340166559897)</f>
        <v>0.2293401666</v>
      </c>
      <c r="O83" s="8">
        <f>IFERROR(__xludf.DUMMYFUNCTION("""COMPUTED_VALUE"""),0.176842105263157)</f>
        <v>0.1768421053</v>
      </c>
      <c r="P83" s="8">
        <f>IFERROR(__xludf.DUMMYFUNCTION("""COMPUTED_VALUE"""),0.149700598802395)</f>
        <v>0.1497005988</v>
      </c>
      <c r="Q83" s="8">
        <f>IFERROR(__xludf.DUMMYFUNCTION("""COMPUTED_VALUE"""),0.0)</f>
        <v>0</v>
      </c>
      <c r="R83" s="8">
        <f>IFERROR(__xludf.DUMMYFUNCTION("""COMPUTED_VALUE"""),0.0)</f>
        <v>0</v>
      </c>
      <c r="S83" s="8">
        <f>IFERROR(__xludf.DUMMYFUNCTION("""COMPUTED_VALUE"""),0.0)</f>
        <v>0</v>
      </c>
      <c r="T83" s="8">
        <f>IFERROR(__xludf.DUMMYFUNCTION("""COMPUTED_VALUE"""),0.0)</f>
        <v>0</v>
      </c>
      <c r="U83" s="8">
        <f>IFERROR(__xludf.DUMMYFUNCTION("""COMPUTED_VALUE"""),0.0)</f>
        <v>0</v>
      </c>
      <c r="V83" s="8">
        <f>IFERROR(__xludf.DUMMYFUNCTION("""COMPUTED_VALUE"""),0.0)</f>
        <v>0</v>
      </c>
      <c r="W83" s="8">
        <f>IFERROR(__xludf.DUMMYFUNCTION("""COMPUTED_VALUE"""),0.0)</f>
        <v>0</v>
      </c>
      <c r="X83" s="8">
        <f>IFERROR(__xludf.DUMMYFUNCTION("""COMPUTED_VALUE"""),0.0)</f>
        <v>0</v>
      </c>
      <c r="Y83" s="8">
        <f>IFERROR(__xludf.DUMMYFUNCTION("""COMPUTED_VALUE"""),0.0)</f>
        <v>0</v>
      </c>
      <c r="Z83" s="8">
        <f>IFERROR(__xludf.DUMMYFUNCTION("""COMPUTED_VALUE"""),0.0)</f>
        <v>0</v>
      </c>
      <c r="AA83" s="8">
        <f>IFERROR(__xludf.DUMMYFUNCTION("""COMPUTED_VALUE"""),0.0)</f>
        <v>0</v>
      </c>
      <c r="AB83" s="8">
        <f>IFERROR(__xludf.DUMMYFUNCTION("""COMPUTED_VALUE"""),0.0)</f>
        <v>0</v>
      </c>
      <c r="AC83" s="8">
        <f>IFERROR(__xludf.DUMMYFUNCTION("""COMPUTED_VALUE"""),0.0)</f>
        <v>0</v>
      </c>
    </row>
    <row r="84" ht="15.75" customHeight="1">
      <c r="A84" s="6" t="str">
        <f>IFERROR(__xludf.DUMMYFUNCTION("""COMPUTED_VALUE"""),"46b27558432dbda1475a912729ae1e1dee8ac6fa")</f>
        <v>46b27558432dbda1475a912729ae1e1dee8ac6fa</v>
      </c>
      <c r="B84" s="6" t="str">
        <f>IFERROR(__xludf.DUMMYFUNCTION("""COMPUTED_VALUE"""),"Secrets of Thunder Eyes ")</f>
        <v>Secrets of Thunder Eyes </v>
      </c>
      <c r="C84" s="6" t="str">
        <f>IFERROR(__xludf.DUMMYFUNCTION("""COMPUTED_VALUE"""),"Fantasy")</f>
        <v>Fantasy</v>
      </c>
      <c r="D84" s="11">
        <f>IFERROR(__xludf.DUMMYFUNCTION("""COMPUTED_VALUE"""),688.0)</f>
        <v>688</v>
      </c>
      <c r="E84" s="8">
        <f>IFERROR(__xludf.DUMMYFUNCTION("""COMPUTED_VALUE"""),0.953101361573373)</f>
        <v>0.9531013616</v>
      </c>
      <c r="F84" s="8">
        <f>IFERROR(__xludf.DUMMYFUNCTION("""COMPUTED_VALUE"""),0.323899371069182)</f>
        <v>0.3238993711</v>
      </c>
      <c r="G84" s="8">
        <f>IFERROR(__xludf.DUMMYFUNCTION("""COMPUTED_VALUE"""),0.242225859247135)</f>
        <v>0.2422258592</v>
      </c>
      <c r="H84" s="8">
        <f>IFERROR(__xludf.DUMMYFUNCTION("""COMPUTED_VALUE"""),0.218965517241379)</f>
        <v>0.2189655172</v>
      </c>
      <c r="I84" s="8">
        <f>IFERROR(__xludf.DUMMYFUNCTION("""COMPUTED_VALUE"""),0.195340501792114)</f>
        <v>0.1953405018</v>
      </c>
      <c r="J84" s="8">
        <f>IFERROR(__xludf.DUMMYFUNCTION("""COMPUTED_VALUE"""),0.176691729323308)</f>
        <v>0.1766917293</v>
      </c>
      <c r="K84" s="8">
        <f>IFERROR(__xludf.DUMMYFUNCTION("""COMPUTED_VALUE"""),0.153241650294695)</f>
        <v>0.1532416503</v>
      </c>
      <c r="L84" s="8">
        <f>IFERROR(__xludf.DUMMYFUNCTION("""COMPUTED_VALUE"""),0.148148148148148)</f>
        <v>0.1481481481</v>
      </c>
      <c r="M84" s="8">
        <f>IFERROR(__xludf.DUMMYFUNCTION("""COMPUTED_VALUE"""),0.148401826484018)</f>
        <v>0.1484018265</v>
      </c>
      <c r="N84" s="8">
        <f>IFERROR(__xludf.DUMMYFUNCTION("""COMPUTED_VALUE"""),0.131578947368421)</f>
        <v>0.1315789474</v>
      </c>
      <c r="O84" s="8">
        <f>IFERROR(__xludf.DUMMYFUNCTION("""COMPUTED_VALUE"""),0.126582278481012)</f>
        <v>0.1265822785</v>
      </c>
      <c r="P84" s="8">
        <f>IFERROR(__xludf.DUMMYFUNCTION("""COMPUTED_VALUE"""),0.0909090909090909)</f>
        <v>0.09090909091</v>
      </c>
      <c r="Q84" s="8">
        <f>IFERROR(__xludf.DUMMYFUNCTION("""COMPUTED_VALUE"""),0.0267857142857142)</f>
        <v>0.02678571429</v>
      </c>
      <c r="R84" s="8">
        <f>IFERROR(__xludf.DUMMYFUNCTION("""COMPUTED_VALUE"""),0.018018018018018)</f>
        <v>0.01801801802</v>
      </c>
      <c r="S84" s="8">
        <f>IFERROR(__xludf.DUMMYFUNCTION("""COMPUTED_VALUE"""),0.0136363636363636)</f>
        <v>0.01363636364</v>
      </c>
      <c r="T84" s="8">
        <f>IFERROR(__xludf.DUMMYFUNCTION("""COMPUTED_VALUE"""),0.0142857142857142)</f>
        <v>0.01428571429</v>
      </c>
      <c r="U84" s="8">
        <f>IFERROR(__xludf.DUMMYFUNCTION("""COMPUTED_VALUE"""),0.02)</f>
        <v>0.02</v>
      </c>
      <c r="V84" s="8">
        <f>IFERROR(__xludf.DUMMYFUNCTION("""COMPUTED_VALUE"""),0.0117647058823529)</f>
        <v>0.01176470588</v>
      </c>
      <c r="W84" s="8">
        <f>IFERROR(__xludf.DUMMYFUNCTION("""COMPUTED_VALUE"""),0.0128205128205128)</f>
        <v>0.01282051282</v>
      </c>
      <c r="X84" s="8">
        <f>IFERROR(__xludf.DUMMYFUNCTION("""COMPUTED_VALUE"""),0.0)</f>
        <v>0</v>
      </c>
      <c r="Y84" s="8">
        <f>IFERROR(__xludf.DUMMYFUNCTION("""COMPUTED_VALUE"""),0.0)</f>
        <v>0</v>
      </c>
      <c r="Z84" s="8">
        <f>IFERROR(__xludf.DUMMYFUNCTION("""COMPUTED_VALUE"""),0.0)</f>
        <v>0</v>
      </c>
      <c r="AA84" s="8">
        <f>IFERROR(__xludf.DUMMYFUNCTION("""COMPUTED_VALUE"""),0.0)</f>
        <v>0</v>
      </c>
      <c r="AB84" s="8">
        <f>IFERROR(__xludf.DUMMYFUNCTION("""COMPUTED_VALUE"""),0.0)</f>
        <v>0</v>
      </c>
      <c r="AC84" s="8">
        <f>IFERROR(__xludf.DUMMYFUNCTION("""COMPUTED_VALUE"""),0.0)</f>
        <v>0</v>
      </c>
    </row>
    <row r="85" ht="15.75" customHeight="1">
      <c r="A85" s="6" t="str">
        <f>IFERROR(__xludf.DUMMYFUNCTION("""COMPUTED_VALUE"""),"48b422f2dbf0dc909fde9fadad832fde3d20f4a4")</f>
        <v>48b422f2dbf0dc909fde9fadad832fde3d20f4a4</v>
      </c>
      <c r="B85" s="6" t="str">
        <f>IFERROR(__xludf.DUMMYFUNCTION("""COMPUTED_VALUE"""),"Bride of the Ice Ceo")</f>
        <v>Bride of the Ice Ceo</v>
      </c>
      <c r="C85" s="6" t="str">
        <f>IFERROR(__xludf.DUMMYFUNCTION("""COMPUTED_VALUE"""),"Romance")</f>
        <v>Romance</v>
      </c>
      <c r="D85" s="11">
        <f>IFERROR(__xludf.DUMMYFUNCTION("""COMPUTED_VALUE"""),2465.0)</f>
        <v>2465</v>
      </c>
      <c r="E85" s="8">
        <f>IFERROR(__xludf.DUMMYFUNCTION("""COMPUTED_VALUE"""),0.95413961038961)</f>
        <v>0.9541396104</v>
      </c>
      <c r="F85" s="8">
        <f>IFERROR(__xludf.DUMMYFUNCTION("""COMPUTED_VALUE"""),0.626016260162601)</f>
        <v>0.6260162602</v>
      </c>
      <c r="G85" s="8">
        <f>IFERROR(__xludf.DUMMYFUNCTION("""COMPUTED_VALUE"""),0.56753458096013)</f>
        <v>0.567534581</v>
      </c>
      <c r="H85" s="8">
        <f>IFERROR(__xludf.DUMMYFUNCTION("""COMPUTED_VALUE"""),0.538273615635179)</f>
        <v>0.5382736156</v>
      </c>
      <c r="I85" s="8">
        <f>IFERROR(__xludf.DUMMYFUNCTION("""COMPUTED_VALUE"""),0.50122249388753)</f>
        <v>0.5012224939</v>
      </c>
      <c r="J85" s="8">
        <f>IFERROR(__xludf.DUMMYFUNCTION("""COMPUTED_VALUE"""),0.47735618115055)</f>
        <v>0.4773561812</v>
      </c>
      <c r="K85" s="8">
        <f>IFERROR(__xludf.DUMMYFUNCTION("""COMPUTED_VALUE"""),0.453246222948142)</f>
        <v>0.4532462229</v>
      </c>
      <c r="L85" s="8">
        <f>IFERROR(__xludf.DUMMYFUNCTION("""COMPUTED_VALUE"""),0.445852063751532)</f>
        <v>0.4458520638</v>
      </c>
      <c r="M85" s="8">
        <f>IFERROR(__xludf.DUMMYFUNCTION("""COMPUTED_VALUE"""),0.43236616264814)</f>
        <v>0.4323661626</v>
      </c>
      <c r="N85" s="8">
        <f>IFERROR(__xludf.DUMMYFUNCTION("""COMPUTED_VALUE"""),0.408549116317303)</f>
        <v>0.4085491163</v>
      </c>
      <c r="O85" s="8">
        <f>IFERROR(__xludf.DUMMYFUNCTION("""COMPUTED_VALUE"""),0.352586206896551)</f>
        <v>0.3525862069</v>
      </c>
      <c r="P85" s="8">
        <f>IFERROR(__xludf.DUMMYFUNCTION("""COMPUTED_VALUE"""),0.28162291169451)</f>
        <v>0.2816229117</v>
      </c>
      <c r="Q85" s="8">
        <f>IFERROR(__xludf.DUMMYFUNCTION("""COMPUTED_VALUE"""),0.178308823529411)</f>
        <v>0.1783088235</v>
      </c>
      <c r="R85" s="8">
        <f>IFERROR(__xludf.DUMMYFUNCTION("""COMPUTED_VALUE"""),0.130272952853598)</f>
        <v>0.1302729529</v>
      </c>
      <c r="S85" s="8">
        <f>IFERROR(__xludf.DUMMYFUNCTION("""COMPUTED_VALUE"""),0.0)</f>
        <v>0</v>
      </c>
      <c r="T85" s="8">
        <f>IFERROR(__xludf.DUMMYFUNCTION("""COMPUTED_VALUE"""),0.0)</f>
        <v>0</v>
      </c>
      <c r="U85" s="8">
        <f>IFERROR(__xludf.DUMMYFUNCTION("""COMPUTED_VALUE"""),0.0)</f>
        <v>0</v>
      </c>
      <c r="V85" s="8">
        <f>IFERROR(__xludf.DUMMYFUNCTION("""COMPUTED_VALUE"""),0.0)</f>
        <v>0</v>
      </c>
      <c r="W85" s="8">
        <f>IFERROR(__xludf.DUMMYFUNCTION("""COMPUTED_VALUE"""),0.0)</f>
        <v>0</v>
      </c>
      <c r="X85" s="8">
        <f>IFERROR(__xludf.DUMMYFUNCTION("""COMPUTED_VALUE"""),0.0)</f>
        <v>0</v>
      </c>
      <c r="Y85" s="8">
        <f>IFERROR(__xludf.DUMMYFUNCTION("""COMPUTED_VALUE"""),0.0)</f>
        <v>0</v>
      </c>
      <c r="Z85" s="8">
        <f>IFERROR(__xludf.DUMMYFUNCTION("""COMPUTED_VALUE"""),0.0)</f>
        <v>0</v>
      </c>
      <c r="AA85" s="8">
        <f>IFERROR(__xludf.DUMMYFUNCTION("""COMPUTED_VALUE"""),0.0)</f>
        <v>0</v>
      </c>
      <c r="AB85" s="8">
        <f>IFERROR(__xludf.DUMMYFUNCTION("""COMPUTED_VALUE"""),0.0)</f>
        <v>0</v>
      </c>
      <c r="AC85" s="8">
        <f>IFERROR(__xludf.DUMMYFUNCTION("""COMPUTED_VALUE"""),0.0)</f>
        <v>0</v>
      </c>
    </row>
    <row r="86" ht="15.75" customHeight="1">
      <c r="A86" s="6" t="str">
        <f>IFERROR(__xludf.DUMMYFUNCTION("""COMPUTED_VALUE"""),"4a310051c4c56c2fab46c3a7f528a09901399ecd")</f>
        <v>4a310051c4c56c2fab46c3a7f528a09901399ecd</v>
      </c>
      <c r="B86" s="6" t="str">
        <f>IFERROR(__xludf.DUMMYFUNCTION("""COMPUTED_VALUE"""),"Strongest Warlock ")</f>
        <v>Strongest Warlock </v>
      </c>
      <c r="C86" s="6" t="str">
        <f>IFERROR(__xludf.DUMMYFUNCTION("""COMPUTED_VALUE"""),"Fantasy")</f>
        <v>Fantasy</v>
      </c>
      <c r="D86" s="11">
        <f>IFERROR(__xludf.DUMMYFUNCTION("""COMPUTED_VALUE"""),136413.0)</f>
        <v>136413</v>
      </c>
      <c r="E86" s="8">
        <f>IFERROR(__xludf.DUMMYFUNCTION("""COMPUTED_VALUE"""),0.917092005589468)</f>
        <v>0.9170920056</v>
      </c>
      <c r="F86" s="8">
        <f>IFERROR(__xludf.DUMMYFUNCTION("""COMPUTED_VALUE"""),0.482349814713655)</f>
        <v>0.4823498147</v>
      </c>
      <c r="G86" s="8">
        <f>IFERROR(__xludf.DUMMYFUNCTION("""COMPUTED_VALUE"""),0.436713408446113)</f>
        <v>0.4367134084</v>
      </c>
      <c r="H86" s="8">
        <f>IFERROR(__xludf.DUMMYFUNCTION("""COMPUTED_VALUE"""),0.407046900077275)</f>
        <v>0.4070469001</v>
      </c>
      <c r="I86" s="8">
        <f>IFERROR(__xludf.DUMMYFUNCTION("""COMPUTED_VALUE"""),0.387496362184629)</f>
        <v>0.3874963622</v>
      </c>
      <c r="J86" s="8">
        <f>IFERROR(__xludf.DUMMYFUNCTION("""COMPUTED_VALUE"""),0.373025379950587)</f>
        <v>0.37302538</v>
      </c>
      <c r="K86" s="8">
        <f>IFERROR(__xludf.DUMMYFUNCTION("""COMPUTED_VALUE"""),0.357623503612358)</f>
        <v>0.3576235036</v>
      </c>
      <c r="L86" s="8">
        <f>IFERROR(__xludf.DUMMYFUNCTION("""COMPUTED_VALUE"""),0.347833308168503)</f>
        <v>0.3478333082</v>
      </c>
      <c r="M86" s="8">
        <f>IFERROR(__xludf.DUMMYFUNCTION("""COMPUTED_VALUE"""),0.339681794431023)</f>
        <v>0.3396817944</v>
      </c>
      <c r="N86" s="8">
        <f>IFERROR(__xludf.DUMMYFUNCTION("""COMPUTED_VALUE"""),0.332419376889307)</f>
        <v>0.3324193769</v>
      </c>
      <c r="O86" s="8">
        <f>IFERROR(__xludf.DUMMYFUNCTION("""COMPUTED_VALUE"""),0.306525767361084)</f>
        <v>0.3065257674</v>
      </c>
      <c r="P86" s="8">
        <f>IFERROR(__xludf.DUMMYFUNCTION("""COMPUTED_VALUE"""),0.271216862302841)</f>
        <v>0.2712168623</v>
      </c>
      <c r="Q86" s="8">
        <f>IFERROR(__xludf.DUMMYFUNCTION("""COMPUTED_VALUE"""),0.21665438467207)</f>
        <v>0.2166543847</v>
      </c>
      <c r="R86" s="8">
        <f>IFERROR(__xludf.DUMMYFUNCTION("""COMPUTED_VALUE"""),0.184416177540215)</f>
        <v>0.1844161775</v>
      </c>
      <c r="S86" s="8">
        <f>IFERROR(__xludf.DUMMYFUNCTION("""COMPUTED_VALUE"""),0.15823057316065)</f>
        <v>0.1582305732</v>
      </c>
      <c r="T86" s="8">
        <f>IFERROR(__xludf.DUMMYFUNCTION("""COMPUTED_VALUE"""),0.141350044322739)</f>
        <v>0.1413500443</v>
      </c>
      <c r="U86" s="8">
        <f>IFERROR(__xludf.DUMMYFUNCTION("""COMPUTED_VALUE"""),0.129350914778991)</f>
        <v>0.1293509148</v>
      </c>
      <c r="V86" s="8">
        <f>IFERROR(__xludf.DUMMYFUNCTION("""COMPUTED_VALUE"""),0.119584388050699)</f>
        <v>0.1195843881</v>
      </c>
      <c r="W86" s="8">
        <f>IFERROR(__xludf.DUMMYFUNCTION("""COMPUTED_VALUE"""),0.110812044220506)</f>
        <v>0.1108120442</v>
      </c>
      <c r="X86" s="8">
        <f>IFERROR(__xludf.DUMMYFUNCTION("""COMPUTED_VALUE"""),0.0954705748521158)</f>
        <v>0.09547057485</v>
      </c>
      <c r="Y86" s="8">
        <f>IFERROR(__xludf.DUMMYFUNCTION("""COMPUTED_VALUE"""),0.0678078972109056)</f>
        <v>0.06780789721</v>
      </c>
      <c r="Z86" s="8">
        <f>IFERROR(__xludf.DUMMYFUNCTION("""COMPUTED_VALUE"""),0.00863473613201183)</f>
        <v>0.008634736132</v>
      </c>
      <c r="AA86" s="8">
        <f>IFERROR(__xludf.DUMMYFUNCTION("""COMPUTED_VALUE"""),0.0)</f>
        <v>0</v>
      </c>
      <c r="AB86" s="8">
        <f>IFERROR(__xludf.DUMMYFUNCTION("""COMPUTED_VALUE"""),0.0)</f>
        <v>0</v>
      </c>
      <c r="AC86" s="8">
        <f>IFERROR(__xludf.DUMMYFUNCTION("""COMPUTED_VALUE"""),0.0)</f>
        <v>0</v>
      </c>
    </row>
    <row r="87" ht="15.75" customHeight="1">
      <c r="A87" s="6" t="str">
        <f>IFERROR(__xludf.DUMMYFUNCTION("""COMPUTED_VALUE"""),"4b2d918a2f639175cf29754151e058356b36f273")</f>
        <v>4b2d918a2f639175cf29754151e058356b36f273</v>
      </c>
      <c r="B87" s="6" t="str">
        <f>IFERROR(__xludf.DUMMYFUNCTION("""COMPUTED_VALUE"""),"Surviving Zombies Rising")</f>
        <v>Surviving Zombies Rising</v>
      </c>
      <c r="C87" s="6" t="str">
        <f>IFERROR(__xludf.DUMMYFUNCTION("""COMPUTED_VALUE"""),"Sci-Fi")</f>
        <v>Sci-Fi</v>
      </c>
      <c r="D87" s="11">
        <f>IFERROR(__xludf.DUMMYFUNCTION("""COMPUTED_VALUE"""),1039.0)</f>
        <v>1039</v>
      </c>
      <c r="E87" s="8">
        <f>IFERROR(__xludf.DUMMYFUNCTION("""COMPUTED_VALUE"""),0.977604673807205)</f>
        <v>0.9776046738</v>
      </c>
      <c r="F87" s="8">
        <f>IFERROR(__xludf.DUMMYFUNCTION("""COMPUTED_VALUE"""),0.398601398601398)</f>
        <v>0.3986013986</v>
      </c>
      <c r="G87" s="8">
        <f>IFERROR(__xludf.DUMMYFUNCTION("""COMPUTED_VALUE"""),0.31027466937945)</f>
        <v>0.3102746694</v>
      </c>
      <c r="H87" s="8">
        <f>IFERROR(__xludf.DUMMYFUNCTION("""COMPUTED_VALUE"""),0.257559958289885)</f>
        <v>0.2575599583</v>
      </c>
      <c r="I87" s="8">
        <f>IFERROR(__xludf.DUMMYFUNCTION("""COMPUTED_VALUE"""),0.229715489989462)</f>
        <v>0.22971549</v>
      </c>
      <c r="J87" s="8">
        <f>IFERROR(__xludf.DUMMYFUNCTION("""COMPUTED_VALUE"""),0.211538461538461)</f>
        <v>0.2115384615</v>
      </c>
      <c r="K87" s="8">
        <f>IFERROR(__xludf.DUMMYFUNCTION("""COMPUTED_VALUE"""),0.203225806451612)</f>
        <v>0.2032258065</v>
      </c>
      <c r="L87" s="8">
        <f>IFERROR(__xludf.DUMMYFUNCTION("""COMPUTED_VALUE"""),0.184782608695652)</f>
        <v>0.1847826087</v>
      </c>
      <c r="M87" s="8">
        <f>IFERROR(__xludf.DUMMYFUNCTION("""COMPUTED_VALUE"""),0.180525164113785)</f>
        <v>0.1805251641</v>
      </c>
      <c r="N87" s="8">
        <f>IFERROR(__xludf.DUMMYFUNCTION("""COMPUTED_VALUE"""),0.171806167400881)</f>
        <v>0.1718061674</v>
      </c>
      <c r="O87" s="8">
        <f>IFERROR(__xludf.DUMMYFUNCTION("""COMPUTED_VALUE"""),0.146820809248554)</f>
        <v>0.1468208092</v>
      </c>
      <c r="P87" s="8">
        <f>IFERROR(__xludf.DUMMYFUNCTION("""COMPUTED_VALUE"""),0.10814606741573)</f>
        <v>0.1081460674</v>
      </c>
      <c r="Q87" s="8">
        <f>IFERROR(__xludf.DUMMYFUNCTION("""COMPUTED_VALUE"""),0.0696202531645569)</f>
        <v>0.06962025316</v>
      </c>
      <c r="R87" s="8">
        <f>IFERROR(__xludf.DUMMYFUNCTION("""COMPUTED_VALUE"""),0.0)</f>
        <v>0</v>
      </c>
      <c r="S87" s="8">
        <f>IFERROR(__xludf.DUMMYFUNCTION("""COMPUTED_VALUE"""),0.0)</f>
        <v>0</v>
      </c>
      <c r="T87" s="8">
        <f>IFERROR(__xludf.DUMMYFUNCTION("""COMPUTED_VALUE"""),0.0)</f>
        <v>0</v>
      </c>
      <c r="U87" s="8">
        <f>IFERROR(__xludf.DUMMYFUNCTION("""COMPUTED_VALUE"""),0.0)</f>
        <v>0</v>
      </c>
      <c r="V87" s="8">
        <f>IFERROR(__xludf.DUMMYFUNCTION("""COMPUTED_VALUE"""),0.0)</f>
        <v>0</v>
      </c>
      <c r="W87" s="8">
        <f>IFERROR(__xludf.DUMMYFUNCTION("""COMPUTED_VALUE"""),0.0)</f>
        <v>0</v>
      </c>
      <c r="X87" s="8">
        <f>IFERROR(__xludf.DUMMYFUNCTION("""COMPUTED_VALUE"""),0.0)</f>
        <v>0</v>
      </c>
      <c r="Y87" s="8">
        <f>IFERROR(__xludf.DUMMYFUNCTION("""COMPUTED_VALUE"""),0.0)</f>
        <v>0</v>
      </c>
      <c r="Z87" s="8">
        <f>IFERROR(__xludf.DUMMYFUNCTION("""COMPUTED_VALUE"""),0.0)</f>
        <v>0</v>
      </c>
      <c r="AA87" s="8">
        <f>IFERROR(__xludf.DUMMYFUNCTION("""COMPUTED_VALUE"""),0.0)</f>
        <v>0</v>
      </c>
      <c r="AB87" s="8">
        <f>IFERROR(__xludf.DUMMYFUNCTION("""COMPUTED_VALUE"""),0.0)</f>
        <v>0</v>
      </c>
      <c r="AC87" s="8">
        <f>IFERROR(__xludf.DUMMYFUNCTION("""COMPUTED_VALUE"""),0.0)</f>
        <v>0</v>
      </c>
    </row>
    <row r="88" ht="15.75" customHeight="1">
      <c r="A88" s="6" t="str">
        <f>IFERROR(__xludf.DUMMYFUNCTION("""COMPUTED_VALUE"""),"4bb85319b3dd3ab4ec654bdd13098e3f37cb3e3b")</f>
        <v>4bb85319b3dd3ab4ec654bdd13098e3f37cb3e3b</v>
      </c>
      <c r="B88" s="6" t="str">
        <f>IFERROR(__xludf.DUMMYFUNCTION("""COMPUTED_VALUE"""),"Shadowed Wealth")</f>
        <v>Shadowed Wealth</v>
      </c>
      <c r="C88" s="6" t="str">
        <f>IFERROR(__xludf.DUMMYFUNCTION("""COMPUTED_VALUE"""),"System and Superpower")</f>
        <v>System and Superpower</v>
      </c>
      <c r="D88" s="11">
        <f>IFERROR(__xludf.DUMMYFUNCTION("""COMPUTED_VALUE"""),638.0)</f>
        <v>638</v>
      </c>
      <c r="E88" s="8">
        <f>IFERROR(__xludf.DUMMYFUNCTION("""COMPUTED_VALUE"""),0.918495297805642)</f>
        <v>0.9184952978</v>
      </c>
      <c r="F88" s="8">
        <f>IFERROR(__xludf.DUMMYFUNCTION("""COMPUTED_VALUE"""),0.503924646781789)</f>
        <v>0.5039246468</v>
      </c>
      <c r="G88" s="8">
        <f>IFERROR(__xludf.DUMMYFUNCTION("""COMPUTED_VALUE"""),0.456828885400313)</f>
        <v>0.4568288854</v>
      </c>
      <c r="H88" s="8">
        <f>IFERROR(__xludf.DUMMYFUNCTION("""COMPUTED_VALUE"""),0.403453689167974)</f>
        <v>0.4034536892</v>
      </c>
      <c r="I88" s="8">
        <f>IFERROR(__xludf.DUMMYFUNCTION("""COMPUTED_VALUE"""),0.319182389937106)</f>
        <v>0.3191823899</v>
      </c>
      <c r="J88" s="8">
        <f>IFERROR(__xludf.DUMMYFUNCTION("""COMPUTED_VALUE"""),0.270866141732283)</f>
        <v>0.2708661417</v>
      </c>
      <c r="K88" s="8">
        <f>IFERROR(__xludf.DUMMYFUNCTION("""COMPUTED_VALUE"""),0.277165354330708)</f>
        <v>0.2771653543</v>
      </c>
      <c r="L88" s="8">
        <f>IFERROR(__xludf.DUMMYFUNCTION("""COMPUTED_VALUE"""),0.261417322834645)</f>
        <v>0.2614173228</v>
      </c>
      <c r="M88" s="8">
        <f>IFERROR(__xludf.DUMMYFUNCTION("""COMPUTED_VALUE"""),0.253543307086614)</f>
        <v>0.2535433071</v>
      </c>
      <c r="N88" s="8">
        <f>IFERROR(__xludf.DUMMYFUNCTION("""COMPUTED_VALUE"""),0.238546603475513)</f>
        <v>0.2385466035</v>
      </c>
      <c r="O88" s="8">
        <f>IFERROR(__xludf.DUMMYFUNCTION("""COMPUTED_VALUE"""),0.191693290734824)</f>
        <v>0.1916932907</v>
      </c>
      <c r="P88" s="8">
        <f>IFERROR(__xludf.DUMMYFUNCTION("""COMPUTED_VALUE"""),0.113782051282051)</f>
        <v>0.1137820513</v>
      </c>
      <c r="Q88" s="8">
        <f>IFERROR(__xludf.DUMMYFUNCTION("""COMPUTED_VALUE"""),0.0355411954765751)</f>
        <v>0.03554119548</v>
      </c>
      <c r="R88" s="8">
        <f>IFERROR(__xludf.DUMMYFUNCTION("""COMPUTED_VALUE"""),0.0)</f>
        <v>0</v>
      </c>
      <c r="S88" s="8">
        <f>IFERROR(__xludf.DUMMYFUNCTION("""COMPUTED_VALUE"""),0.0)</f>
        <v>0</v>
      </c>
      <c r="T88" s="8">
        <f>IFERROR(__xludf.DUMMYFUNCTION("""COMPUTED_VALUE"""),0.0)</f>
        <v>0</v>
      </c>
      <c r="U88" s="8">
        <f>IFERROR(__xludf.DUMMYFUNCTION("""COMPUTED_VALUE"""),0.0)</f>
        <v>0</v>
      </c>
      <c r="V88" s="8">
        <f>IFERROR(__xludf.DUMMYFUNCTION("""COMPUTED_VALUE"""),0.0)</f>
        <v>0</v>
      </c>
      <c r="W88" s="8">
        <f>IFERROR(__xludf.DUMMYFUNCTION("""COMPUTED_VALUE"""),0.0)</f>
        <v>0</v>
      </c>
      <c r="X88" s="8">
        <f>IFERROR(__xludf.DUMMYFUNCTION("""COMPUTED_VALUE"""),0.0)</f>
        <v>0</v>
      </c>
      <c r="Y88" s="8">
        <f>IFERROR(__xludf.DUMMYFUNCTION("""COMPUTED_VALUE"""),0.0)</f>
        <v>0</v>
      </c>
      <c r="Z88" s="8">
        <f>IFERROR(__xludf.DUMMYFUNCTION("""COMPUTED_VALUE"""),0.0)</f>
        <v>0</v>
      </c>
      <c r="AA88" s="8">
        <f>IFERROR(__xludf.DUMMYFUNCTION("""COMPUTED_VALUE"""),0.0)</f>
        <v>0</v>
      </c>
      <c r="AB88" s="8">
        <f>IFERROR(__xludf.DUMMYFUNCTION("""COMPUTED_VALUE"""),0.0)</f>
        <v>0</v>
      </c>
      <c r="AC88" s="8">
        <f>IFERROR(__xludf.DUMMYFUNCTION("""COMPUTED_VALUE"""),0.0)</f>
        <v>0</v>
      </c>
    </row>
    <row r="89" ht="15.75" customHeight="1">
      <c r="A89" s="6" t="str">
        <f>IFERROR(__xludf.DUMMYFUNCTION("""COMPUTED_VALUE"""),"4c43207d3f7885c90d8aaafbb8952de80561f21d")</f>
        <v>4c43207d3f7885c90d8aaafbb8952de80561f21d</v>
      </c>
      <c r="B89" s="6" t="str">
        <f>IFERROR(__xludf.DUMMYFUNCTION("""COMPUTED_VALUE"""),"The Boss &amp; His Fake Wife")</f>
        <v>The Boss &amp; His Fake Wife</v>
      </c>
      <c r="C89" s="6" t="str">
        <f>IFERROR(__xludf.DUMMYFUNCTION("""COMPUTED_VALUE"""),"Romance")</f>
        <v>Romance</v>
      </c>
      <c r="D89" s="11">
        <f>IFERROR(__xludf.DUMMYFUNCTION("""COMPUTED_VALUE"""),2497.0)</f>
        <v>2497</v>
      </c>
      <c r="E89" s="8">
        <f>IFERROR(__xludf.DUMMYFUNCTION("""COMPUTED_VALUE"""),0.975824175824175)</f>
        <v>0.9758241758</v>
      </c>
      <c r="F89" s="8">
        <f>IFERROR(__xludf.DUMMYFUNCTION("""COMPUTED_VALUE"""),0.370983935742971)</f>
        <v>0.3709839357</v>
      </c>
      <c r="G89" s="8">
        <f>IFERROR(__xludf.DUMMYFUNCTION("""COMPUTED_VALUE"""),0.332829046898638)</f>
        <v>0.3328290469</v>
      </c>
      <c r="H89" s="8">
        <f>IFERROR(__xludf.DUMMYFUNCTION("""COMPUTED_VALUE"""),0.322188449848024)</f>
        <v>0.3221884498</v>
      </c>
      <c r="I89" s="8">
        <f>IFERROR(__xludf.DUMMYFUNCTION("""COMPUTED_VALUE"""),0.304281345565749)</f>
        <v>0.3042813456</v>
      </c>
      <c r="J89" s="8">
        <f>IFERROR(__xludf.DUMMYFUNCTION("""COMPUTED_VALUE"""),0.292284108329075)</f>
        <v>0.2922841083</v>
      </c>
      <c r="K89" s="8">
        <f>IFERROR(__xludf.DUMMYFUNCTION("""COMPUTED_VALUE"""),0.28051282051282)</f>
        <v>0.2805128205</v>
      </c>
      <c r="L89" s="8">
        <f>IFERROR(__xludf.DUMMYFUNCTION("""COMPUTED_VALUE"""),0.278950077200205)</f>
        <v>0.2789500772</v>
      </c>
      <c r="M89" s="8">
        <f>IFERROR(__xludf.DUMMYFUNCTION("""COMPUTED_VALUE"""),0.275248560962846)</f>
        <v>0.275248561</v>
      </c>
      <c r="N89" s="8">
        <f>IFERROR(__xludf.DUMMYFUNCTION("""COMPUTED_VALUE"""),0.266281512605042)</f>
        <v>0.2662815126</v>
      </c>
      <c r="O89" s="8">
        <f>IFERROR(__xludf.DUMMYFUNCTION("""COMPUTED_VALUE"""),0.24757281553398)</f>
        <v>0.2475728155</v>
      </c>
      <c r="P89" s="8">
        <f>IFERROR(__xludf.DUMMYFUNCTION("""COMPUTED_VALUE"""),0.216867469879518)</f>
        <v>0.2168674699</v>
      </c>
      <c r="Q89" s="8">
        <f>IFERROR(__xludf.DUMMYFUNCTION("""COMPUTED_VALUE"""),0.0)</f>
        <v>0</v>
      </c>
      <c r="R89" s="8">
        <f>IFERROR(__xludf.DUMMYFUNCTION("""COMPUTED_VALUE"""),0.0)</f>
        <v>0</v>
      </c>
      <c r="S89" s="8">
        <f>IFERROR(__xludf.DUMMYFUNCTION("""COMPUTED_VALUE"""),0.0)</f>
        <v>0</v>
      </c>
      <c r="T89" s="8">
        <f>IFERROR(__xludf.DUMMYFUNCTION("""COMPUTED_VALUE"""),0.0)</f>
        <v>0</v>
      </c>
      <c r="U89" s="8">
        <f>IFERROR(__xludf.DUMMYFUNCTION("""COMPUTED_VALUE"""),0.0)</f>
        <v>0</v>
      </c>
      <c r="V89" s="8">
        <f>IFERROR(__xludf.DUMMYFUNCTION("""COMPUTED_VALUE"""),0.0)</f>
        <v>0</v>
      </c>
      <c r="W89" s="8">
        <f>IFERROR(__xludf.DUMMYFUNCTION("""COMPUTED_VALUE"""),0.0)</f>
        <v>0</v>
      </c>
      <c r="X89" s="8">
        <f>IFERROR(__xludf.DUMMYFUNCTION("""COMPUTED_VALUE"""),0.0)</f>
        <v>0</v>
      </c>
      <c r="Y89" s="8">
        <f>IFERROR(__xludf.DUMMYFUNCTION("""COMPUTED_VALUE"""),0.0)</f>
        <v>0</v>
      </c>
      <c r="Z89" s="8">
        <f>IFERROR(__xludf.DUMMYFUNCTION("""COMPUTED_VALUE"""),0.0)</f>
        <v>0</v>
      </c>
      <c r="AA89" s="8">
        <f>IFERROR(__xludf.DUMMYFUNCTION("""COMPUTED_VALUE"""),0.0)</f>
        <v>0</v>
      </c>
      <c r="AB89" s="8">
        <f>IFERROR(__xludf.DUMMYFUNCTION("""COMPUTED_VALUE"""),0.0)</f>
        <v>0</v>
      </c>
      <c r="AC89" s="8">
        <f>IFERROR(__xludf.DUMMYFUNCTION("""COMPUTED_VALUE"""),0.0)</f>
        <v>0</v>
      </c>
    </row>
    <row r="90" ht="15.75" customHeight="1">
      <c r="A90" s="6" t="str">
        <f>IFERROR(__xludf.DUMMYFUNCTION("""COMPUTED_VALUE"""),"4d01d84cdfff217f33b380cdb07a2a1c706749ea")</f>
        <v>4d01d84cdfff217f33b380cdb07a2a1c706749ea</v>
      </c>
      <c r="B90" s="6" t="str">
        <f>IFERROR(__xludf.DUMMYFUNCTION("""COMPUTED_VALUE"""),"The Fifth Bride")</f>
        <v>The Fifth Bride</v>
      </c>
      <c r="C90" s="6" t="str">
        <f>IFERROR(__xludf.DUMMYFUNCTION("""COMPUTED_VALUE"""),"Suspense or Thriller")</f>
        <v>Suspense or Thriller</v>
      </c>
      <c r="D90" s="11">
        <f>IFERROR(__xludf.DUMMYFUNCTION("""COMPUTED_VALUE"""),408.0)</f>
        <v>408</v>
      </c>
      <c r="E90" s="8">
        <f>IFERROR(__xludf.DUMMYFUNCTION("""COMPUTED_VALUE"""),0.926470588235294)</f>
        <v>0.9264705882</v>
      </c>
      <c r="F90" s="8">
        <f>IFERROR(__xludf.DUMMYFUNCTION("""COMPUTED_VALUE"""),0.480392156862745)</f>
        <v>0.4803921569</v>
      </c>
      <c r="G90" s="8">
        <f>IFERROR(__xludf.DUMMYFUNCTION("""COMPUTED_VALUE"""),0.409313725490196)</f>
        <v>0.4093137255</v>
      </c>
      <c r="H90" s="8">
        <f>IFERROR(__xludf.DUMMYFUNCTION("""COMPUTED_VALUE"""),0.362745098039215)</f>
        <v>0.362745098</v>
      </c>
      <c r="I90" s="8">
        <f>IFERROR(__xludf.DUMMYFUNCTION("""COMPUTED_VALUE"""),0.357843137254901)</f>
        <v>0.3578431373</v>
      </c>
      <c r="J90" s="8">
        <f>IFERROR(__xludf.DUMMYFUNCTION("""COMPUTED_VALUE"""),0.34313725490196)</f>
        <v>0.3431372549</v>
      </c>
      <c r="K90" s="8">
        <f>IFERROR(__xludf.DUMMYFUNCTION("""COMPUTED_VALUE"""),0.321078431372549)</f>
        <v>0.3210784314</v>
      </c>
      <c r="L90" s="8">
        <f>IFERROR(__xludf.DUMMYFUNCTION("""COMPUTED_VALUE"""),0.289215686274509)</f>
        <v>0.2892156863</v>
      </c>
      <c r="M90" s="8">
        <f>IFERROR(__xludf.DUMMYFUNCTION("""COMPUTED_VALUE"""),0.29656862745098)</f>
        <v>0.2965686275</v>
      </c>
      <c r="N90" s="8">
        <f>IFERROR(__xludf.DUMMYFUNCTION("""COMPUTED_VALUE"""),0.269607843137254)</f>
        <v>0.2696078431</v>
      </c>
      <c r="O90" s="8">
        <f>IFERROR(__xludf.DUMMYFUNCTION("""COMPUTED_VALUE"""),0.238916256157635)</f>
        <v>0.2389162562</v>
      </c>
      <c r="P90" s="8">
        <f>IFERROR(__xludf.DUMMYFUNCTION("""COMPUTED_VALUE"""),0.17487684729064)</f>
        <v>0.1748768473</v>
      </c>
      <c r="Q90" s="8">
        <f>IFERROR(__xludf.DUMMYFUNCTION("""COMPUTED_VALUE"""),0.0666666666666666)</f>
        <v>0.06666666667</v>
      </c>
      <c r="R90" s="8">
        <f>IFERROR(__xludf.DUMMYFUNCTION("""COMPUTED_VALUE"""),0.0)</f>
        <v>0</v>
      </c>
      <c r="S90" s="8">
        <f>IFERROR(__xludf.DUMMYFUNCTION("""COMPUTED_VALUE"""),0.0)</f>
        <v>0</v>
      </c>
      <c r="T90" s="8">
        <f>IFERROR(__xludf.DUMMYFUNCTION("""COMPUTED_VALUE"""),0.0)</f>
        <v>0</v>
      </c>
      <c r="U90" s="8">
        <f>IFERROR(__xludf.DUMMYFUNCTION("""COMPUTED_VALUE"""),0.0)</f>
        <v>0</v>
      </c>
      <c r="V90" s="8">
        <f>IFERROR(__xludf.DUMMYFUNCTION("""COMPUTED_VALUE"""),0.0)</f>
        <v>0</v>
      </c>
      <c r="W90" s="8">
        <f>IFERROR(__xludf.DUMMYFUNCTION("""COMPUTED_VALUE"""),0.0)</f>
        <v>0</v>
      </c>
      <c r="X90" s="8">
        <f>IFERROR(__xludf.DUMMYFUNCTION("""COMPUTED_VALUE"""),0.0)</f>
        <v>0</v>
      </c>
      <c r="Y90" s="8">
        <f>IFERROR(__xludf.DUMMYFUNCTION("""COMPUTED_VALUE"""),0.0)</f>
        <v>0</v>
      </c>
      <c r="Z90" s="8">
        <f>IFERROR(__xludf.DUMMYFUNCTION("""COMPUTED_VALUE"""),0.0)</f>
        <v>0</v>
      </c>
      <c r="AA90" s="8">
        <f>IFERROR(__xludf.DUMMYFUNCTION("""COMPUTED_VALUE"""),0.0)</f>
        <v>0</v>
      </c>
      <c r="AB90" s="8">
        <f>IFERROR(__xludf.DUMMYFUNCTION("""COMPUTED_VALUE"""),0.0)</f>
        <v>0</v>
      </c>
      <c r="AC90" s="8">
        <f>IFERROR(__xludf.DUMMYFUNCTION("""COMPUTED_VALUE"""),0.0)</f>
        <v>0</v>
      </c>
    </row>
    <row r="91" ht="15.75" customHeight="1">
      <c r="A91" s="6" t="str">
        <f>IFERROR(__xludf.DUMMYFUNCTION("""COMPUTED_VALUE"""),"4d887dec2a071a00150fdcd6417f16bcaf5f02b0")</f>
        <v>4d887dec2a071a00150fdcd6417f16bcaf5f02b0</v>
      </c>
      <c r="B91" s="6" t="str">
        <f>IFERROR(__xludf.DUMMYFUNCTION("""COMPUTED_VALUE"""),"Loving Nathaniel Hawthorne: The Billionaire Playboy")</f>
        <v>Loving Nathaniel Hawthorne: The Billionaire Playboy</v>
      </c>
      <c r="C91" s="6" t="str">
        <f>IFERROR(__xludf.DUMMYFUNCTION("""COMPUTED_VALUE"""),"Romance")</f>
        <v>Romance</v>
      </c>
      <c r="D91" s="11">
        <f>IFERROR(__xludf.DUMMYFUNCTION("""COMPUTED_VALUE"""),33907.0)</f>
        <v>33907</v>
      </c>
      <c r="E91" s="8">
        <f>IFERROR(__xludf.DUMMYFUNCTION("""COMPUTED_VALUE"""),0.889393715887299)</f>
        <v>0.8893937159</v>
      </c>
      <c r="F91" s="8">
        <f>IFERROR(__xludf.DUMMYFUNCTION("""COMPUTED_VALUE"""),0.469803412243934)</f>
        <v>0.4698034122</v>
      </c>
      <c r="G91" s="8">
        <f>IFERROR(__xludf.DUMMYFUNCTION("""COMPUTED_VALUE"""),0.427913431161238)</f>
        <v>0.4279134312</v>
      </c>
      <c r="H91" s="8">
        <f>IFERROR(__xludf.DUMMYFUNCTION("""COMPUTED_VALUE"""),0.405150772320505)</f>
        <v>0.4051507723</v>
      </c>
      <c r="I91" s="8">
        <f>IFERROR(__xludf.DUMMYFUNCTION("""COMPUTED_VALUE"""),0.384579025110782)</f>
        <v>0.3845790251</v>
      </c>
      <c r="J91" s="8">
        <f>IFERROR(__xludf.DUMMYFUNCTION("""COMPUTED_VALUE"""),0.374445954730807)</f>
        <v>0.3744459547</v>
      </c>
      <c r="K91" s="8">
        <f>IFERROR(__xludf.DUMMYFUNCTION("""COMPUTED_VALUE"""),0.360734237829209)</f>
        <v>0.3607342378</v>
      </c>
      <c r="L91" s="8">
        <f>IFERROR(__xludf.DUMMYFUNCTION("""COMPUTED_VALUE"""),0.352556708958093)</f>
        <v>0.352556709</v>
      </c>
      <c r="M91" s="8">
        <f>IFERROR(__xludf.DUMMYFUNCTION("""COMPUTED_VALUE"""),0.347661450167144)</f>
        <v>0.3476614502</v>
      </c>
      <c r="N91" s="8">
        <f>IFERROR(__xludf.DUMMYFUNCTION("""COMPUTED_VALUE"""),0.342240767045454)</f>
        <v>0.342240767</v>
      </c>
      <c r="O91" s="8">
        <f>IFERROR(__xludf.DUMMYFUNCTION("""COMPUTED_VALUE"""),0.322454424188528)</f>
        <v>0.3224544242</v>
      </c>
      <c r="P91" s="8">
        <f>IFERROR(__xludf.DUMMYFUNCTION("""COMPUTED_VALUE"""),0.263695477894236)</f>
        <v>0.2636954779</v>
      </c>
      <c r="Q91" s="8">
        <f>IFERROR(__xludf.DUMMYFUNCTION("""COMPUTED_VALUE"""),0.192606945893575)</f>
        <v>0.1926069459</v>
      </c>
      <c r="R91" s="8">
        <f>IFERROR(__xludf.DUMMYFUNCTION("""COMPUTED_VALUE"""),0.152595072949055)</f>
        <v>0.1525950729</v>
      </c>
      <c r="S91" s="8">
        <f>IFERROR(__xludf.DUMMYFUNCTION("""COMPUTED_VALUE"""),0.132598009830955)</f>
        <v>0.1325980098</v>
      </c>
      <c r="T91" s="8">
        <f>IFERROR(__xludf.DUMMYFUNCTION("""COMPUTED_VALUE"""),0.122372891548152)</f>
        <v>0.1223728915</v>
      </c>
      <c r="U91" s="8">
        <f>IFERROR(__xludf.DUMMYFUNCTION("""COMPUTED_VALUE"""),0.114746669083658)</f>
        <v>0.1147466691</v>
      </c>
      <c r="V91" s="8">
        <f>IFERROR(__xludf.DUMMYFUNCTION("""COMPUTED_VALUE"""),0.10806615131162)</f>
        <v>0.1080661513</v>
      </c>
      <c r="W91" s="8">
        <f>IFERROR(__xludf.DUMMYFUNCTION("""COMPUTED_VALUE"""),0.100533364030543)</f>
        <v>0.100533364</v>
      </c>
      <c r="X91" s="8">
        <f>IFERROR(__xludf.DUMMYFUNCTION("""COMPUTED_VALUE"""),0.0976241242765763)</f>
        <v>0.09762412428</v>
      </c>
      <c r="Y91" s="8">
        <f>IFERROR(__xludf.DUMMYFUNCTION("""COMPUTED_VALUE"""),0.0887227526571788)</f>
        <v>0.08872275266</v>
      </c>
      <c r="Z91" s="8">
        <f>IFERROR(__xludf.DUMMYFUNCTION("""COMPUTED_VALUE"""),0.0671369496472877)</f>
        <v>0.06713694965</v>
      </c>
      <c r="AA91" s="8">
        <f>IFERROR(__xludf.DUMMYFUNCTION("""COMPUTED_VALUE"""),0.0)</f>
        <v>0</v>
      </c>
      <c r="AB91" s="8">
        <f>IFERROR(__xludf.DUMMYFUNCTION("""COMPUTED_VALUE"""),0.0)</f>
        <v>0</v>
      </c>
      <c r="AC91" s="8">
        <f>IFERROR(__xludf.DUMMYFUNCTION("""COMPUTED_VALUE"""),0.0)</f>
        <v>0</v>
      </c>
    </row>
    <row r="92" ht="15.75" customHeight="1">
      <c r="A92" s="6" t="str">
        <f>IFERROR(__xludf.DUMMYFUNCTION("""COMPUTED_VALUE"""),"4e3bbfc86993cf8c574bdebca34a49627f4a386a")</f>
        <v>4e3bbfc86993cf8c574bdebca34a49627f4a386a</v>
      </c>
      <c r="B92" s="6" t="str">
        <f>IFERROR(__xludf.DUMMYFUNCTION("""COMPUTED_VALUE"""),"Our Beloved Villains ")</f>
        <v>Our Beloved Villains </v>
      </c>
      <c r="C92" s="6" t="str">
        <f>IFERROR(__xludf.DUMMYFUNCTION("""COMPUTED_VALUE"""),"Fantasy")</f>
        <v>Fantasy</v>
      </c>
      <c r="D92" s="11">
        <f>IFERROR(__xludf.DUMMYFUNCTION("""COMPUTED_VALUE"""),705.0)</f>
        <v>705</v>
      </c>
      <c r="E92" s="8">
        <f>IFERROR(__xludf.DUMMYFUNCTION("""COMPUTED_VALUE"""),0.958748221906116)</f>
        <v>0.9587482219</v>
      </c>
      <c r="F92" s="8">
        <f>IFERROR(__xludf.DUMMYFUNCTION("""COMPUTED_VALUE"""),0.438122332859174)</f>
        <v>0.4381223329</v>
      </c>
      <c r="G92" s="8">
        <f>IFERROR(__xludf.DUMMYFUNCTION("""COMPUTED_VALUE"""),0.351351351351351)</f>
        <v>0.3513513514</v>
      </c>
      <c r="H92" s="8">
        <f>IFERROR(__xludf.DUMMYFUNCTION("""COMPUTED_VALUE"""),0.2981455064194)</f>
        <v>0.2981455064</v>
      </c>
      <c r="I92" s="8">
        <f>IFERROR(__xludf.DUMMYFUNCTION("""COMPUTED_VALUE"""),0.27)</f>
        <v>0.27</v>
      </c>
      <c r="J92" s="8">
        <f>IFERROR(__xludf.DUMMYFUNCTION("""COMPUTED_VALUE"""),0.258249641319942)</f>
        <v>0.2582496413</v>
      </c>
      <c r="K92" s="8">
        <f>IFERROR(__xludf.DUMMYFUNCTION("""COMPUTED_VALUE"""),0.235632183908045)</f>
        <v>0.2356321839</v>
      </c>
      <c r="L92" s="8">
        <f>IFERROR(__xludf.DUMMYFUNCTION("""COMPUTED_VALUE"""),0.199421965317919)</f>
        <v>0.1994219653</v>
      </c>
      <c r="M92" s="8">
        <f>IFERROR(__xludf.DUMMYFUNCTION("""COMPUTED_VALUE"""),0.169319826338639)</f>
        <v>0.1693198263</v>
      </c>
      <c r="N92" s="8">
        <f>IFERROR(__xludf.DUMMYFUNCTION("""COMPUTED_VALUE"""),0.151953690303907)</f>
        <v>0.1519536903</v>
      </c>
      <c r="O92" s="8">
        <f>IFERROR(__xludf.DUMMYFUNCTION("""COMPUTED_VALUE"""),0.0969899665551839)</f>
        <v>0.09698996656</v>
      </c>
      <c r="P92" s="8">
        <f>IFERROR(__xludf.DUMMYFUNCTION("""COMPUTED_VALUE"""),0.0681818181818181)</f>
        <v>0.06818181818</v>
      </c>
      <c r="Q92" s="8">
        <f>IFERROR(__xludf.DUMMYFUNCTION("""COMPUTED_VALUE"""),0.0338266384778012)</f>
        <v>0.03382663848</v>
      </c>
      <c r="R92" s="8">
        <f>IFERROR(__xludf.DUMMYFUNCTION("""COMPUTED_VALUE"""),0.0104986876640419)</f>
        <v>0.01049868766</v>
      </c>
      <c r="S92" s="8">
        <f>IFERROR(__xludf.DUMMYFUNCTION("""COMPUTED_VALUE"""),0.0)</f>
        <v>0</v>
      </c>
      <c r="T92" s="8">
        <f>IFERROR(__xludf.DUMMYFUNCTION("""COMPUTED_VALUE"""),0.0)</f>
        <v>0</v>
      </c>
      <c r="U92" s="8">
        <f>IFERROR(__xludf.DUMMYFUNCTION("""COMPUTED_VALUE"""),0.0)</f>
        <v>0</v>
      </c>
      <c r="V92" s="8">
        <f>IFERROR(__xludf.DUMMYFUNCTION("""COMPUTED_VALUE"""),0.0)</f>
        <v>0</v>
      </c>
      <c r="W92" s="8">
        <f>IFERROR(__xludf.DUMMYFUNCTION("""COMPUTED_VALUE"""),0.0)</f>
        <v>0</v>
      </c>
      <c r="X92" s="8">
        <f>IFERROR(__xludf.DUMMYFUNCTION("""COMPUTED_VALUE"""),0.0)</f>
        <v>0</v>
      </c>
      <c r="Y92" s="8">
        <f>IFERROR(__xludf.DUMMYFUNCTION("""COMPUTED_VALUE"""),0.0)</f>
        <v>0</v>
      </c>
      <c r="Z92" s="8">
        <f>IFERROR(__xludf.DUMMYFUNCTION("""COMPUTED_VALUE"""),0.0)</f>
        <v>0</v>
      </c>
      <c r="AA92" s="8">
        <f>IFERROR(__xludf.DUMMYFUNCTION("""COMPUTED_VALUE"""),0.0)</f>
        <v>0</v>
      </c>
      <c r="AB92" s="8">
        <f>IFERROR(__xludf.DUMMYFUNCTION("""COMPUTED_VALUE"""),0.0)</f>
        <v>0</v>
      </c>
      <c r="AC92" s="8">
        <f>IFERROR(__xludf.DUMMYFUNCTION("""COMPUTED_VALUE"""),0.0)</f>
        <v>0</v>
      </c>
    </row>
    <row r="93" ht="15.75" customHeight="1">
      <c r="A93" s="6" t="str">
        <f>IFERROR(__xludf.DUMMYFUNCTION("""COMPUTED_VALUE"""),"4e767fe3eae1eb30991fabcb73be16e9925ab124")</f>
        <v>4e767fe3eae1eb30991fabcb73be16e9925ab124</v>
      </c>
      <c r="B93" s="6" t="str">
        <f>IFERROR(__xludf.DUMMYFUNCTION("""COMPUTED_VALUE"""),"The Ill-Fated Aristocrat")</f>
        <v>The Ill-Fated Aristocrat</v>
      </c>
      <c r="C93" s="6" t="str">
        <f>IFERROR(__xludf.DUMMYFUNCTION("""COMPUTED_VALUE"""),"Romance")</f>
        <v>Romance</v>
      </c>
      <c r="D93" s="11">
        <f>IFERROR(__xludf.DUMMYFUNCTION("""COMPUTED_VALUE"""),2219.0)</f>
        <v>2219</v>
      </c>
      <c r="E93" s="8">
        <f>IFERROR(__xludf.DUMMYFUNCTION("""COMPUTED_VALUE"""),0.939106901217862)</f>
        <v>0.9391069012</v>
      </c>
      <c r="F93" s="8">
        <f>IFERROR(__xludf.DUMMYFUNCTION("""COMPUTED_VALUE"""),0.478004535147392)</f>
        <v>0.4780045351</v>
      </c>
      <c r="G93" s="8">
        <f>IFERROR(__xludf.DUMMYFUNCTION("""COMPUTED_VALUE"""),0.439545454545454)</f>
        <v>0.4395454545</v>
      </c>
      <c r="H93" s="8">
        <f>IFERROR(__xludf.DUMMYFUNCTION("""COMPUTED_VALUE"""),0.394077448747152)</f>
        <v>0.3940774487</v>
      </c>
      <c r="I93" s="8">
        <f>IFERROR(__xludf.DUMMYFUNCTION("""COMPUTED_VALUE"""),0.367001828153564)</f>
        <v>0.3670018282</v>
      </c>
      <c r="J93" s="8">
        <f>IFERROR(__xludf.DUMMYFUNCTION("""COMPUTED_VALUE"""),0.348422496570644)</f>
        <v>0.3484224966</v>
      </c>
      <c r="K93" s="8">
        <f>IFERROR(__xludf.DUMMYFUNCTION("""COMPUTED_VALUE"""),0.33623055809698)</f>
        <v>0.3362305581</v>
      </c>
      <c r="L93" s="8">
        <f>IFERROR(__xludf.DUMMYFUNCTION("""COMPUTED_VALUE"""),0.320366132723112)</f>
        <v>0.3203661327</v>
      </c>
      <c r="M93" s="8">
        <f>IFERROR(__xludf.DUMMYFUNCTION("""COMPUTED_VALUE"""),0.307093821510297)</f>
        <v>0.3070938215</v>
      </c>
      <c r="N93" s="8">
        <f>IFERROR(__xludf.DUMMYFUNCTION("""COMPUTED_VALUE"""),0.295652173913043)</f>
        <v>0.2956521739</v>
      </c>
      <c r="O93" s="8">
        <f>IFERROR(__xludf.DUMMYFUNCTION("""COMPUTED_VALUE"""),0.276194852941176)</f>
        <v>0.2761948529</v>
      </c>
      <c r="P93" s="8">
        <f>IFERROR(__xludf.DUMMYFUNCTION("""COMPUTED_VALUE"""),0.220676866017617)</f>
        <v>0.220676866</v>
      </c>
      <c r="Q93" s="8">
        <f>IFERROR(__xludf.DUMMYFUNCTION("""COMPUTED_VALUE"""),0.15964024732996)</f>
        <v>0.1596402473</v>
      </c>
      <c r="R93" s="8">
        <f>IFERROR(__xludf.DUMMYFUNCTION("""COMPUTED_VALUE"""),0.109090909090909)</f>
        <v>0.1090909091</v>
      </c>
      <c r="S93" s="8">
        <f>IFERROR(__xludf.DUMMYFUNCTION("""COMPUTED_VALUE"""),0.111111111111111)</f>
        <v>0.1111111111</v>
      </c>
      <c r="T93" s="8">
        <f>IFERROR(__xludf.DUMMYFUNCTION("""COMPUTED_VALUE"""),0.0)</f>
        <v>0</v>
      </c>
      <c r="U93" s="8">
        <f>IFERROR(__xludf.DUMMYFUNCTION("""COMPUTED_VALUE"""),0.0)</f>
        <v>0</v>
      </c>
      <c r="V93" s="8">
        <f>IFERROR(__xludf.DUMMYFUNCTION("""COMPUTED_VALUE"""),0.0)</f>
        <v>0</v>
      </c>
      <c r="W93" s="8">
        <f>IFERROR(__xludf.DUMMYFUNCTION("""COMPUTED_VALUE"""),0.0)</f>
        <v>0</v>
      </c>
      <c r="X93" s="8">
        <f>IFERROR(__xludf.DUMMYFUNCTION("""COMPUTED_VALUE"""),0.0)</f>
        <v>0</v>
      </c>
      <c r="Y93" s="8">
        <f>IFERROR(__xludf.DUMMYFUNCTION("""COMPUTED_VALUE"""),0.0)</f>
        <v>0</v>
      </c>
      <c r="Z93" s="8">
        <f>IFERROR(__xludf.DUMMYFUNCTION("""COMPUTED_VALUE"""),0.0)</f>
        <v>0</v>
      </c>
      <c r="AA93" s="8">
        <f>IFERROR(__xludf.DUMMYFUNCTION("""COMPUTED_VALUE"""),0.0)</f>
        <v>0</v>
      </c>
      <c r="AB93" s="8">
        <f>IFERROR(__xludf.DUMMYFUNCTION("""COMPUTED_VALUE"""),0.0)</f>
        <v>0</v>
      </c>
      <c r="AC93" s="8">
        <f>IFERROR(__xludf.DUMMYFUNCTION("""COMPUTED_VALUE"""),0.0)</f>
        <v>0</v>
      </c>
    </row>
    <row r="94" ht="15.75" customHeight="1">
      <c r="A94" s="6" t="str">
        <f>IFERROR(__xludf.DUMMYFUNCTION("""COMPUTED_VALUE"""),"4e82e5be987e78daa5bb2bb67006b68256170925")</f>
        <v>4e82e5be987e78daa5bb2bb67006b68256170925</v>
      </c>
      <c r="B94" s="6" t="str">
        <f>IFERROR(__xludf.DUMMYFUNCTION("""COMPUTED_VALUE"""),"Machine Invasion")</f>
        <v>Machine Invasion</v>
      </c>
      <c r="C94" s="6" t="str">
        <f>IFERROR(__xludf.DUMMYFUNCTION("""COMPUTED_VALUE"""),"System and Superpower")</f>
        <v>System and Superpower</v>
      </c>
      <c r="D94" s="11">
        <f>IFERROR(__xludf.DUMMYFUNCTION("""COMPUTED_VALUE"""),3455.0)</f>
        <v>3455</v>
      </c>
      <c r="E94" s="8">
        <f>IFERROR(__xludf.DUMMYFUNCTION("""COMPUTED_VALUE"""),0.955111497248769)</f>
        <v>0.9551114972</v>
      </c>
      <c r="F94" s="8">
        <f>IFERROR(__xludf.DUMMYFUNCTION("""COMPUTED_VALUE"""),0.557039187227866)</f>
        <v>0.5570391872</v>
      </c>
      <c r="G94" s="8">
        <f>IFERROR(__xludf.DUMMYFUNCTION("""COMPUTED_VALUE"""),0.507124164001163)</f>
        <v>0.507124164</v>
      </c>
      <c r="H94" s="8">
        <f>IFERROR(__xludf.DUMMYFUNCTION("""COMPUTED_VALUE"""),0.470759383183008)</f>
        <v>0.4707593832</v>
      </c>
      <c r="I94" s="8">
        <f>IFERROR(__xludf.DUMMYFUNCTION("""COMPUTED_VALUE"""),0.452318460192475)</f>
        <v>0.4523184602</v>
      </c>
      <c r="J94" s="8">
        <f>IFERROR(__xludf.DUMMYFUNCTION("""COMPUTED_VALUE"""),0.424525547445255)</f>
        <v>0.4245255474</v>
      </c>
      <c r="K94" s="8">
        <f>IFERROR(__xludf.DUMMYFUNCTION("""COMPUTED_VALUE"""),0.410421545667447)</f>
        <v>0.4104215457</v>
      </c>
      <c r="L94" s="8">
        <f>IFERROR(__xludf.DUMMYFUNCTION("""COMPUTED_VALUE"""),0.38337250293772)</f>
        <v>0.3833725029</v>
      </c>
      <c r="M94" s="8">
        <f>IFERROR(__xludf.DUMMYFUNCTION("""COMPUTED_VALUE"""),0.377174874668239)</f>
        <v>0.3771748747</v>
      </c>
      <c r="N94" s="8">
        <f>IFERROR(__xludf.DUMMYFUNCTION("""COMPUTED_VALUE"""),0.369680851063829)</f>
        <v>0.3696808511</v>
      </c>
      <c r="O94" s="8">
        <f>IFERROR(__xludf.DUMMYFUNCTION("""COMPUTED_VALUE"""),0.333122429610882)</f>
        <v>0.3331224296</v>
      </c>
      <c r="P94" s="8">
        <f>IFERROR(__xludf.DUMMYFUNCTION("""COMPUTED_VALUE"""),0.262689225289403)</f>
        <v>0.2626892253</v>
      </c>
      <c r="Q94" s="8">
        <f>IFERROR(__xludf.DUMMYFUNCTION("""COMPUTED_VALUE"""),0.224609375)</f>
        <v>0.224609375</v>
      </c>
      <c r="R94" s="8">
        <f>IFERROR(__xludf.DUMMYFUNCTION("""COMPUTED_VALUE"""),0.0)</f>
        <v>0</v>
      </c>
      <c r="S94" s="8">
        <f>IFERROR(__xludf.DUMMYFUNCTION("""COMPUTED_VALUE"""),0.0)</f>
        <v>0</v>
      </c>
      <c r="T94" s="8">
        <f>IFERROR(__xludf.DUMMYFUNCTION("""COMPUTED_VALUE"""),0.0)</f>
        <v>0</v>
      </c>
      <c r="U94" s="8">
        <f>IFERROR(__xludf.DUMMYFUNCTION("""COMPUTED_VALUE"""),0.0)</f>
        <v>0</v>
      </c>
      <c r="V94" s="8">
        <f>IFERROR(__xludf.DUMMYFUNCTION("""COMPUTED_VALUE"""),0.0)</f>
        <v>0</v>
      </c>
      <c r="W94" s="8">
        <f>IFERROR(__xludf.DUMMYFUNCTION("""COMPUTED_VALUE"""),0.0)</f>
        <v>0</v>
      </c>
      <c r="X94" s="8">
        <f>IFERROR(__xludf.DUMMYFUNCTION("""COMPUTED_VALUE"""),0.0)</f>
        <v>0</v>
      </c>
      <c r="Y94" s="8">
        <f>IFERROR(__xludf.DUMMYFUNCTION("""COMPUTED_VALUE"""),0.0)</f>
        <v>0</v>
      </c>
      <c r="Z94" s="8">
        <f>IFERROR(__xludf.DUMMYFUNCTION("""COMPUTED_VALUE"""),0.0)</f>
        <v>0</v>
      </c>
      <c r="AA94" s="8">
        <f>IFERROR(__xludf.DUMMYFUNCTION("""COMPUTED_VALUE"""),0.0)</f>
        <v>0</v>
      </c>
      <c r="AB94" s="8">
        <f>IFERROR(__xludf.DUMMYFUNCTION("""COMPUTED_VALUE"""),0.0)</f>
        <v>0</v>
      </c>
      <c r="AC94" s="8">
        <f>IFERROR(__xludf.DUMMYFUNCTION("""COMPUTED_VALUE"""),0.0)</f>
        <v>0</v>
      </c>
    </row>
    <row r="95" ht="15.75" customHeight="1">
      <c r="A95" s="6" t="str">
        <f>IFERROR(__xludf.DUMMYFUNCTION("""COMPUTED_VALUE"""),"4e8fc1ec90ca0e70f873bdd45aea984fc56b5c89")</f>
        <v>4e8fc1ec90ca0e70f873bdd45aea984fc56b5c89</v>
      </c>
      <c r="B95" s="6" t="str">
        <f>IFERROR(__xludf.DUMMYFUNCTION("""COMPUTED_VALUE"""),"When Strangers Say I Do")</f>
        <v>When Strangers Say I Do</v>
      </c>
      <c r="C95" s="6" t="str">
        <f>IFERROR(__xludf.DUMMYFUNCTION("""COMPUTED_VALUE"""),"Drama")</f>
        <v>Drama</v>
      </c>
      <c r="D95" s="11">
        <f>IFERROR(__xludf.DUMMYFUNCTION("""COMPUTED_VALUE"""),1053.0)</f>
        <v>1053</v>
      </c>
      <c r="E95" s="8">
        <f>IFERROR(__xludf.DUMMYFUNCTION("""COMPUTED_VALUE"""),0.973256924546322)</f>
        <v>0.9732569245</v>
      </c>
      <c r="F95" s="8">
        <f>IFERROR(__xludf.DUMMYFUNCTION("""COMPUTED_VALUE"""),0.446153846153846)</f>
        <v>0.4461538462</v>
      </c>
      <c r="G95" s="8">
        <f>IFERROR(__xludf.DUMMYFUNCTION("""COMPUTED_VALUE"""),0.381274131274131)</f>
        <v>0.3812741313</v>
      </c>
      <c r="H95" s="8">
        <f>IFERROR(__xludf.DUMMYFUNCTION("""COMPUTED_VALUE"""),0.311953352769679)</f>
        <v>0.3119533528</v>
      </c>
      <c r="I95" s="8">
        <f>IFERROR(__xludf.DUMMYFUNCTION("""COMPUTED_VALUE"""),0.278752436647173)</f>
        <v>0.2787524366</v>
      </c>
      <c r="J95" s="8">
        <f>IFERROR(__xludf.DUMMYFUNCTION("""COMPUTED_VALUE"""),0.250980392156862)</f>
        <v>0.2509803922</v>
      </c>
      <c r="K95" s="8">
        <f>IFERROR(__xludf.DUMMYFUNCTION("""COMPUTED_VALUE"""),0.238703339882121)</f>
        <v>0.2387033399</v>
      </c>
      <c r="L95" s="8">
        <f>IFERROR(__xludf.DUMMYFUNCTION("""COMPUTED_VALUE"""),0.225074037512339)</f>
        <v>0.2250740375</v>
      </c>
      <c r="M95" s="8">
        <f>IFERROR(__xludf.DUMMYFUNCTION("""COMPUTED_VALUE"""),0.212723658051689)</f>
        <v>0.2127236581</v>
      </c>
      <c r="N95" s="8">
        <f>IFERROR(__xludf.DUMMYFUNCTION("""COMPUTED_VALUE"""),0.193124368048533)</f>
        <v>0.193124368</v>
      </c>
      <c r="O95" s="8">
        <f>IFERROR(__xludf.DUMMYFUNCTION("""COMPUTED_VALUE"""),0.173754556500607)</f>
        <v>0.1737545565</v>
      </c>
      <c r="P95" s="8">
        <f>IFERROR(__xludf.DUMMYFUNCTION("""COMPUTED_VALUE"""),0.11265164644714)</f>
        <v>0.1126516464</v>
      </c>
      <c r="Q95" s="8">
        <f>IFERROR(__xludf.DUMMYFUNCTION("""COMPUTED_VALUE"""),0.0556660039761431)</f>
        <v>0.05566600398</v>
      </c>
      <c r="R95" s="8">
        <f>IFERROR(__xludf.DUMMYFUNCTION("""COMPUTED_VALUE"""),0.00840336134453781)</f>
        <v>0.008403361345</v>
      </c>
      <c r="S95" s="8">
        <f>IFERROR(__xludf.DUMMYFUNCTION("""COMPUTED_VALUE"""),0.0)</f>
        <v>0</v>
      </c>
      <c r="T95" s="8">
        <f>IFERROR(__xludf.DUMMYFUNCTION("""COMPUTED_VALUE"""),0.0)</f>
        <v>0</v>
      </c>
      <c r="U95" s="8">
        <f>IFERROR(__xludf.DUMMYFUNCTION("""COMPUTED_VALUE"""),0.0)</f>
        <v>0</v>
      </c>
      <c r="V95" s="8">
        <f>IFERROR(__xludf.DUMMYFUNCTION("""COMPUTED_VALUE"""),0.0)</f>
        <v>0</v>
      </c>
      <c r="W95" s="8">
        <f>IFERROR(__xludf.DUMMYFUNCTION("""COMPUTED_VALUE"""),0.0)</f>
        <v>0</v>
      </c>
      <c r="X95" s="8">
        <f>IFERROR(__xludf.DUMMYFUNCTION("""COMPUTED_VALUE"""),0.0)</f>
        <v>0</v>
      </c>
      <c r="Y95" s="8">
        <f>IFERROR(__xludf.DUMMYFUNCTION("""COMPUTED_VALUE"""),0.0)</f>
        <v>0</v>
      </c>
      <c r="Z95" s="8">
        <f>IFERROR(__xludf.DUMMYFUNCTION("""COMPUTED_VALUE"""),0.0)</f>
        <v>0</v>
      </c>
      <c r="AA95" s="8">
        <f>IFERROR(__xludf.DUMMYFUNCTION("""COMPUTED_VALUE"""),0.0)</f>
        <v>0</v>
      </c>
      <c r="AB95" s="8">
        <f>IFERROR(__xludf.DUMMYFUNCTION("""COMPUTED_VALUE"""),0.0)</f>
        <v>0</v>
      </c>
      <c r="AC95" s="8">
        <f>IFERROR(__xludf.DUMMYFUNCTION("""COMPUTED_VALUE"""),0.0)</f>
        <v>0</v>
      </c>
    </row>
    <row r="96" ht="15.75" customHeight="1">
      <c r="A96" s="6" t="str">
        <f>IFERROR(__xludf.DUMMYFUNCTION("""COMPUTED_VALUE"""),"4ef829b74ddfb2f550d1c5ceb22a6d68f5936dff")</f>
        <v>4ef829b74ddfb2f550d1c5ceb22a6d68f5936dff</v>
      </c>
      <c r="B96" s="6" t="str">
        <f>IFERROR(__xludf.DUMMYFUNCTION("""COMPUTED_VALUE"""),"The Mad Alpha’s True Luna")</f>
        <v>The Mad Alpha’s True Luna</v>
      </c>
      <c r="C96" s="6" t="str">
        <f>IFERROR(__xludf.DUMMYFUNCTION("""COMPUTED_VALUE"""),"Romantasy")</f>
        <v>Romantasy</v>
      </c>
      <c r="D96" s="11">
        <f>IFERROR(__xludf.DUMMYFUNCTION("""COMPUTED_VALUE"""),1426.0)</f>
        <v>1426</v>
      </c>
      <c r="E96" s="8">
        <f>IFERROR(__xludf.DUMMYFUNCTION("""COMPUTED_VALUE"""),0.970380818053596)</f>
        <v>0.9703808181</v>
      </c>
      <c r="F96" s="8">
        <f>IFERROR(__xludf.DUMMYFUNCTION("""COMPUTED_VALUE"""),0.647103085026335)</f>
        <v>0.647103085</v>
      </c>
      <c r="G96" s="8">
        <f>IFERROR(__xludf.DUMMYFUNCTION("""COMPUTED_VALUE"""),0.55017006802721)</f>
        <v>0.550170068</v>
      </c>
      <c r="H96" s="8">
        <f>IFERROR(__xludf.DUMMYFUNCTION("""COMPUTED_VALUE"""),0.509143407122232)</f>
        <v>0.5091434071</v>
      </c>
      <c r="I96" s="8">
        <f>IFERROR(__xludf.DUMMYFUNCTION("""COMPUTED_VALUE"""),0.479310344827586)</f>
        <v>0.4793103448</v>
      </c>
      <c r="J96" s="8">
        <f>IFERROR(__xludf.DUMMYFUNCTION("""COMPUTED_VALUE"""),0.435600578871201)</f>
        <v>0.4356005789</v>
      </c>
      <c r="K96" s="8">
        <f>IFERROR(__xludf.DUMMYFUNCTION("""COMPUTED_VALUE"""),0.413476263399693)</f>
        <v>0.4134762634</v>
      </c>
      <c r="L96" s="8">
        <f>IFERROR(__xludf.DUMMYFUNCTION("""COMPUTED_VALUE"""),0.402777777777777)</f>
        <v>0.4027777778</v>
      </c>
      <c r="M96" s="8">
        <f>IFERROR(__xludf.DUMMYFUNCTION("""COMPUTED_VALUE"""),0.372093023255813)</f>
        <v>0.3720930233</v>
      </c>
      <c r="N96" s="8">
        <f>IFERROR(__xludf.DUMMYFUNCTION("""COMPUTED_VALUE"""),0.358695652173913)</f>
        <v>0.3586956522</v>
      </c>
      <c r="O96" s="8">
        <f>IFERROR(__xludf.DUMMYFUNCTION("""COMPUTED_VALUE"""),0.300248138957816)</f>
        <v>0.300248139</v>
      </c>
      <c r="P96" s="8">
        <f>IFERROR(__xludf.DUMMYFUNCTION("""COMPUTED_VALUE"""),0.233082706766917)</f>
        <v>0.2330827068</v>
      </c>
      <c r="Q96" s="8">
        <f>IFERROR(__xludf.DUMMYFUNCTION("""COMPUTED_VALUE"""),0.0)</f>
        <v>0</v>
      </c>
      <c r="R96" s="8">
        <f>IFERROR(__xludf.DUMMYFUNCTION("""COMPUTED_VALUE"""),0.0)</f>
        <v>0</v>
      </c>
      <c r="S96" s="8">
        <f>IFERROR(__xludf.DUMMYFUNCTION("""COMPUTED_VALUE"""),0.0)</f>
        <v>0</v>
      </c>
      <c r="T96" s="8">
        <f>IFERROR(__xludf.DUMMYFUNCTION("""COMPUTED_VALUE"""),0.0)</f>
        <v>0</v>
      </c>
      <c r="U96" s="8">
        <f>IFERROR(__xludf.DUMMYFUNCTION("""COMPUTED_VALUE"""),0.0)</f>
        <v>0</v>
      </c>
      <c r="V96" s="8">
        <f>IFERROR(__xludf.DUMMYFUNCTION("""COMPUTED_VALUE"""),0.0)</f>
        <v>0</v>
      </c>
      <c r="W96" s="8">
        <f>IFERROR(__xludf.DUMMYFUNCTION("""COMPUTED_VALUE"""),0.0)</f>
        <v>0</v>
      </c>
      <c r="X96" s="8">
        <f>IFERROR(__xludf.DUMMYFUNCTION("""COMPUTED_VALUE"""),0.0)</f>
        <v>0</v>
      </c>
      <c r="Y96" s="8">
        <f>IFERROR(__xludf.DUMMYFUNCTION("""COMPUTED_VALUE"""),0.0)</f>
        <v>0</v>
      </c>
      <c r="Z96" s="8">
        <f>IFERROR(__xludf.DUMMYFUNCTION("""COMPUTED_VALUE"""),0.0)</f>
        <v>0</v>
      </c>
      <c r="AA96" s="8">
        <f>IFERROR(__xludf.DUMMYFUNCTION("""COMPUTED_VALUE"""),0.0)</f>
        <v>0</v>
      </c>
      <c r="AB96" s="8">
        <f>IFERROR(__xludf.DUMMYFUNCTION("""COMPUTED_VALUE"""),0.0)</f>
        <v>0</v>
      </c>
      <c r="AC96" s="8">
        <f>IFERROR(__xludf.DUMMYFUNCTION("""COMPUTED_VALUE"""),0.0)</f>
        <v>0</v>
      </c>
    </row>
    <row r="97" ht="15.75" customHeight="1">
      <c r="A97" s="6" t="str">
        <f>IFERROR(__xludf.DUMMYFUNCTION("""COMPUTED_VALUE"""),"4fed71af64877bcaf79252f171bf022a3b80e926")</f>
        <v>4fed71af64877bcaf79252f171bf022a3b80e926</v>
      </c>
      <c r="B97" s="6" t="str">
        <f>IFERROR(__xludf.DUMMYFUNCTION("""COMPUTED_VALUE"""),"Doomsday Hoarder")</f>
        <v>Doomsday Hoarder</v>
      </c>
      <c r="C97" s="6" t="str">
        <f>IFERROR(__xludf.DUMMYFUNCTION("""COMPUTED_VALUE"""),"Fantasy")</f>
        <v>Fantasy</v>
      </c>
      <c r="D97" s="11">
        <f>IFERROR(__xludf.DUMMYFUNCTION("""COMPUTED_VALUE"""),169.0)</f>
        <v>169</v>
      </c>
      <c r="E97" s="8">
        <f>IFERROR(__xludf.DUMMYFUNCTION("""COMPUTED_VALUE"""),0.952662721893491)</f>
        <v>0.9526627219</v>
      </c>
      <c r="F97" s="8">
        <f>IFERROR(__xludf.DUMMYFUNCTION("""COMPUTED_VALUE"""),0.668639053254437)</f>
        <v>0.6686390533</v>
      </c>
      <c r="G97" s="8">
        <f>IFERROR(__xludf.DUMMYFUNCTION("""COMPUTED_VALUE"""),0.639053254437869)</f>
        <v>0.6390532544</v>
      </c>
      <c r="H97" s="8">
        <f>IFERROR(__xludf.DUMMYFUNCTION("""COMPUTED_VALUE"""),0.615384615384615)</f>
        <v>0.6153846154</v>
      </c>
      <c r="I97" s="8">
        <f>IFERROR(__xludf.DUMMYFUNCTION("""COMPUTED_VALUE"""),0.621301775147929)</f>
        <v>0.6213017751</v>
      </c>
      <c r="J97" s="8">
        <f>IFERROR(__xludf.DUMMYFUNCTION("""COMPUTED_VALUE"""),0.609467455621301)</f>
        <v>0.6094674556</v>
      </c>
      <c r="K97" s="8">
        <f>IFERROR(__xludf.DUMMYFUNCTION("""COMPUTED_VALUE"""),0.603550295857988)</f>
        <v>0.6035502959</v>
      </c>
      <c r="L97" s="8">
        <f>IFERROR(__xludf.DUMMYFUNCTION("""COMPUTED_VALUE"""),0.589285714285714)</f>
        <v>0.5892857143</v>
      </c>
      <c r="M97" s="8">
        <f>IFERROR(__xludf.DUMMYFUNCTION("""COMPUTED_VALUE"""),0.559523809523809)</f>
        <v>0.5595238095</v>
      </c>
      <c r="N97" s="8">
        <f>IFERROR(__xludf.DUMMYFUNCTION("""COMPUTED_VALUE"""),0.547619047619047)</f>
        <v>0.5476190476</v>
      </c>
      <c r="O97" s="8">
        <f>IFERROR(__xludf.DUMMYFUNCTION("""COMPUTED_VALUE"""),0.40880503144654)</f>
        <v>0.4088050314</v>
      </c>
      <c r="P97" s="8">
        <f>IFERROR(__xludf.DUMMYFUNCTION("""COMPUTED_VALUE"""),0.331125827814569)</f>
        <v>0.3311258278</v>
      </c>
      <c r="Q97" s="8">
        <f>IFERROR(__xludf.DUMMYFUNCTION("""COMPUTED_VALUE"""),0.206521739130434)</f>
        <v>0.2065217391</v>
      </c>
      <c r="R97" s="8">
        <f>IFERROR(__xludf.DUMMYFUNCTION("""COMPUTED_VALUE"""),0.0)</f>
        <v>0</v>
      </c>
      <c r="S97" s="8">
        <f>IFERROR(__xludf.DUMMYFUNCTION("""COMPUTED_VALUE"""),0.0)</f>
        <v>0</v>
      </c>
      <c r="T97" s="8">
        <f>IFERROR(__xludf.DUMMYFUNCTION("""COMPUTED_VALUE"""),0.0)</f>
        <v>0</v>
      </c>
      <c r="U97" s="8">
        <f>IFERROR(__xludf.DUMMYFUNCTION("""COMPUTED_VALUE"""),0.0)</f>
        <v>0</v>
      </c>
      <c r="V97" s="8">
        <f>IFERROR(__xludf.DUMMYFUNCTION("""COMPUTED_VALUE"""),0.0)</f>
        <v>0</v>
      </c>
      <c r="W97" s="8">
        <f>IFERROR(__xludf.DUMMYFUNCTION("""COMPUTED_VALUE"""),0.0)</f>
        <v>0</v>
      </c>
      <c r="X97" s="8">
        <f>IFERROR(__xludf.DUMMYFUNCTION("""COMPUTED_VALUE"""),0.0)</f>
        <v>0</v>
      </c>
      <c r="Y97" s="8">
        <f>IFERROR(__xludf.DUMMYFUNCTION("""COMPUTED_VALUE"""),0.0)</f>
        <v>0</v>
      </c>
      <c r="Z97" s="8">
        <f>IFERROR(__xludf.DUMMYFUNCTION("""COMPUTED_VALUE"""),0.0)</f>
        <v>0</v>
      </c>
      <c r="AA97" s="8">
        <f>IFERROR(__xludf.DUMMYFUNCTION("""COMPUTED_VALUE"""),0.0)</f>
        <v>0</v>
      </c>
      <c r="AB97" s="8">
        <f>IFERROR(__xludf.DUMMYFUNCTION("""COMPUTED_VALUE"""),0.0)</f>
        <v>0</v>
      </c>
      <c r="AC97" s="8">
        <f>IFERROR(__xludf.DUMMYFUNCTION("""COMPUTED_VALUE"""),0.0)</f>
        <v>0</v>
      </c>
    </row>
    <row r="98" ht="15.75" customHeight="1">
      <c r="A98" s="6" t="str">
        <f>IFERROR(__xludf.DUMMYFUNCTION("""COMPUTED_VALUE"""),"514efd834428337923e640a1254ea9d7477b18b3")</f>
        <v>514efd834428337923e640a1254ea9d7477b18b3</v>
      </c>
      <c r="B98" s="6" t="str">
        <f>IFERROR(__xludf.DUMMYFUNCTION("""COMPUTED_VALUE"""),"Bride of a Dragon")</f>
        <v>Bride of a Dragon</v>
      </c>
      <c r="C98" s="6" t="str">
        <f>IFERROR(__xludf.DUMMYFUNCTION("""COMPUTED_VALUE"""),"Romantasy")</f>
        <v>Romantasy</v>
      </c>
      <c r="D98" s="11">
        <f>IFERROR(__xludf.DUMMYFUNCTION("""COMPUTED_VALUE"""),11203.0)</f>
        <v>11203</v>
      </c>
      <c r="E98" s="8">
        <f>IFERROR(__xludf.DUMMYFUNCTION("""COMPUTED_VALUE"""),0.925626515763945)</f>
        <v>0.9256265158</v>
      </c>
      <c r="F98" s="8">
        <f>IFERROR(__xludf.DUMMYFUNCTION("""COMPUTED_VALUE"""),0.579716683208517)</f>
        <v>0.5797166832</v>
      </c>
      <c r="G98" s="8">
        <f>IFERROR(__xludf.DUMMYFUNCTION("""COMPUTED_VALUE"""),0.540604087538433)</f>
        <v>0.5406040875</v>
      </c>
      <c r="H98" s="8">
        <f>IFERROR(__xludf.DUMMYFUNCTION("""COMPUTED_VALUE"""),0.5)</f>
        <v>0.5</v>
      </c>
      <c r="I98" s="8">
        <f>IFERROR(__xludf.DUMMYFUNCTION("""COMPUTED_VALUE"""),0.48496720116618)</f>
        <v>0.4849672012</v>
      </c>
      <c r="J98" s="8">
        <f>IFERROR(__xludf.DUMMYFUNCTION("""COMPUTED_VALUE"""),0.457090576395242)</f>
        <v>0.4570905764</v>
      </c>
      <c r="K98" s="8">
        <f>IFERROR(__xludf.DUMMYFUNCTION("""COMPUTED_VALUE"""),0.451070476890563)</f>
        <v>0.4510704769</v>
      </c>
      <c r="L98" s="8">
        <f>IFERROR(__xludf.DUMMYFUNCTION("""COMPUTED_VALUE"""),0.435392998984021)</f>
        <v>0.435392999</v>
      </c>
      <c r="M98" s="8">
        <f>IFERROR(__xludf.DUMMYFUNCTION("""COMPUTED_VALUE"""),0.425153032832498)</f>
        <v>0.4251530328</v>
      </c>
      <c r="N98" s="8">
        <f>IFERROR(__xludf.DUMMYFUNCTION("""COMPUTED_VALUE"""),0.417776949594707)</f>
        <v>0.4177769496</v>
      </c>
      <c r="O98" s="8">
        <f>IFERROR(__xludf.DUMMYFUNCTION("""COMPUTED_VALUE"""),0.377625746772017)</f>
        <v>0.3776257468</v>
      </c>
      <c r="P98" s="8">
        <f>IFERROR(__xludf.DUMMYFUNCTION("""COMPUTED_VALUE"""),0.345018450184501)</f>
        <v>0.3450184502</v>
      </c>
      <c r="Q98" s="8">
        <f>IFERROR(__xludf.DUMMYFUNCTION("""COMPUTED_VALUE"""),0.303067941870575)</f>
        <v>0.3030679419</v>
      </c>
      <c r="R98" s="8">
        <f>IFERROR(__xludf.DUMMYFUNCTION("""COMPUTED_VALUE"""),0.270103503184713)</f>
        <v>0.2701035032</v>
      </c>
      <c r="S98" s="8">
        <f>IFERROR(__xludf.DUMMYFUNCTION("""COMPUTED_VALUE"""),0.216233626798368)</f>
        <v>0.2162336268</v>
      </c>
      <c r="T98" s="8">
        <f>IFERROR(__xludf.DUMMYFUNCTION("""COMPUTED_VALUE"""),0.114695340501792)</f>
        <v>0.1146953405</v>
      </c>
      <c r="U98" s="8">
        <f>IFERROR(__xludf.DUMMYFUNCTION("""COMPUTED_VALUE"""),0.0588235294117647)</f>
        <v>0.05882352941</v>
      </c>
      <c r="V98" s="8">
        <f>IFERROR(__xludf.DUMMYFUNCTION("""COMPUTED_VALUE"""),0.0)</f>
        <v>0</v>
      </c>
      <c r="W98" s="8">
        <f>IFERROR(__xludf.DUMMYFUNCTION("""COMPUTED_VALUE"""),0.0)</f>
        <v>0</v>
      </c>
      <c r="X98" s="8">
        <f>IFERROR(__xludf.DUMMYFUNCTION("""COMPUTED_VALUE"""),0.0)</f>
        <v>0</v>
      </c>
      <c r="Y98" s="8">
        <f>IFERROR(__xludf.DUMMYFUNCTION("""COMPUTED_VALUE"""),0.0)</f>
        <v>0</v>
      </c>
      <c r="Z98" s="8">
        <f>IFERROR(__xludf.DUMMYFUNCTION("""COMPUTED_VALUE"""),0.0)</f>
        <v>0</v>
      </c>
      <c r="AA98" s="8">
        <f>IFERROR(__xludf.DUMMYFUNCTION("""COMPUTED_VALUE"""),0.0)</f>
        <v>0</v>
      </c>
      <c r="AB98" s="8">
        <f>IFERROR(__xludf.DUMMYFUNCTION("""COMPUTED_VALUE"""),0.0)</f>
        <v>0</v>
      </c>
      <c r="AC98" s="8">
        <f>IFERROR(__xludf.DUMMYFUNCTION("""COMPUTED_VALUE"""),0.0)</f>
        <v>0</v>
      </c>
    </row>
    <row r="99" ht="15.75" customHeight="1">
      <c r="A99" s="6" t="str">
        <f>IFERROR(__xludf.DUMMYFUNCTION("""COMPUTED_VALUE"""),"5269f35d5665dd7c25aa81eac9fa9e452b693897")</f>
        <v>5269f35d5665dd7c25aa81eac9fa9e452b693897</v>
      </c>
      <c r="B99" s="6" t="str">
        <f>IFERROR(__xludf.DUMMYFUNCTION("""COMPUTED_VALUE"""),"Her Royal Vampire")</f>
        <v>Her Royal Vampire</v>
      </c>
      <c r="C99" s="6" t="str">
        <f>IFERROR(__xludf.DUMMYFUNCTION("""COMPUTED_VALUE"""),"Romantasy")</f>
        <v>Romantasy</v>
      </c>
      <c r="D99" s="11">
        <f>IFERROR(__xludf.DUMMYFUNCTION("""COMPUTED_VALUE"""),3190.0)</f>
        <v>3190</v>
      </c>
      <c r="E99" s="8">
        <f>IFERROR(__xludf.DUMMYFUNCTION("""COMPUTED_VALUE"""),0.959510357815442)</f>
        <v>0.9595103578</v>
      </c>
      <c r="F99" s="8">
        <f>IFERROR(__xludf.DUMMYFUNCTION("""COMPUTED_VALUE"""),0.568596601636249)</f>
        <v>0.5685966016</v>
      </c>
      <c r="G99" s="8">
        <f>IFERROR(__xludf.DUMMYFUNCTION("""COMPUTED_VALUE"""),0.506935687263556)</f>
        <v>0.5069356873</v>
      </c>
      <c r="H99" s="8">
        <f>IFERROR(__xludf.DUMMYFUNCTION("""COMPUTED_VALUE"""),0.467024297885768)</f>
        <v>0.4670242979</v>
      </c>
      <c r="I99" s="8">
        <f>IFERROR(__xludf.DUMMYFUNCTION("""COMPUTED_VALUE"""),0.438390877415267)</f>
        <v>0.4383908774</v>
      </c>
      <c r="J99" s="8">
        <f>IFERROR(__xludf.DUMMYFUNCTION("""COMPUTED_VALUE"""),0.416005080978088)</f>
        <v>0.416005081</v>
      </c>
      <c r="K99" s="8">
        <f>IFERROR(__xludf.DUMMYFUNCTION("""COMPUTED_VALUE"""),0.401016841436288)</f>
        <v>0.4010168414</v>
      </c>
      <c r="L99" s="8">
        <f>IFERROR(__xludf.DUMMYFUNCTION("""COMPUTED_VALUE"""),0.39036067666773)</f>
        <v>0.3903606767</v>
      </c>
      <c r="M99" s="8">
        <f>IFERROR(__xludf.DUMMYFUNCTION("""COMPUTED_VALUE"""),0.380372033354714)</f>
        <v>0.3803720334</v>
      </c>
      <c r="N99" s="8">
        <f>IFERROR(__xludf.DUMMYFUNCTION("""COMPUTED_VALUE"""),0.366839043309631)</f>
        <v>0.3668390433</v>
      </c>
      <c r="O99" s="8">
        <f>IFERROR(__xludf.DUMMYFUNCTION("""COMPUTED_VALUE"""),0.306438467807661)</f>
        <v>0.3064384678</v>
      </c>
      <c r="P99" s="8">
        <f>IFERROR(__xludf.DUMMYFUNCTION("""COMPUTED_VALUE"""),0.233594515181194)</f>
        <v>0.2335945152</v>
      </c>
      <c r="Q99" s="8">
        <f>IFERROR(__xludf.DUMMYFUNCTION("""COMPUTED_VALUE"""),0.152612826603325)</f>
        <v>0.1526128266</v>
      </c>
      <c r="R99" s="8">
        <f>IFERROR(__xludf.DUMMYFUNCTION("""COMPUTED_VALUE"""),0.0909090909090909)</f>
        <v>0.09090909091</v>
      </c>
      <c r="S99" s="8">
        <f>IFERROR(__xludf.DUMMYFUNCTION("""COMPUTED_VALUE"""),0.0597014925373134)</f>
        <v>0.05970149254</v>
      </c>
      <c r="T99" s="8">
        <f>IFERROR(__xludf.DUMMYFUNCTION("""COMPUTED_VALUE"""),0.0327868852459016)</f>
        <v>0.03278688525</v>
      </c>
      <c r="U99" s="8">
        <f>IFERROR(__xludf.DUMMYFUNCTION("""COMPUTED_VALUE"""),0.0)</f>
        <v>0</v>
      </c>
      <c r="V99" s="8">
        <f>IFERROR(__xludf.DUMMYFUNCTION("""COMPUTED_VALUE"""),0.0)</f>
        <v>0</v>
      </c>
      <c r="W99" s="8">
        <f>IFERROR(__xludf.DUMMYFUNCTION("""COMPUTED_VALUE"""),0.0)</f>
        <v>0</v>
      </c>
      <c r="X99" s="8">
        <f>IFERROR(__xludf.DUMMYFUNCTION("""COMPUTED_VALUE"""),0.0)</f>
        <v>0</v>
      </c>
      <c r="Y99" s="8">
        <f>IFERROR(__xludf.DUMMYFUNCTION("""COMPUTED_VALUE"""),0.0)</f>
        <v>0</v>
      </c>
      <c r="Z99" s="8">
        <f>IFERROR(__xludf.DUMMYFUNCTION("""COMPUTED_VALUE"""),0.0)</f>
        <v>0</v>
      </c>
      <c r="AA99" s="8">
        <f>IFERROR(__xludf.DUMMYFUNCTION("""COMPUTED_VALUE"""),0.0)</f>
        <v>0</v>
      </c>
      <c r="AB99" s="8">
        <f>IFERROR(__xludf.DUMMYFUNCTION("""COMPUTED_VALUE"""),0.0)</f>
        <v>0</v>
      </c>
      <c r="AC99" s="8">
        <f>IFERROR(__xludf.DUMMYFUNCTION("""COMPUTED_VALUE"""),0.0)</f>
        <v>0</v>
      </c>
    </row>
    <row r="100" ht="15.75" customHeight="1">
      <c r="A100" s="6" t="str">
        <f>IFERROR(__xludf.DUMMYFUNCTION("""COMPUTED_VALUE"""),"5276da779c8fe48836102d34eea2143d4421865c")</f>
        <v>5276da779c8fe48836102d34eea2143d4421865c</v>
      </c>
      <c r="B100" s="6" t="str">
        <f>IFERROR(__xludf.DUMMYFUNCTION("""COMPUTED_VALUE"""),"The Single Father's Surrender")</f>
        <v>The Single Father's Surrender</v>
      </c>
      <c r="C100" s="6" t="str">
        <f>IFERROR(__xludf.DUMMYFUNCTION("""COMPUTED_VALUE"""),"Romance")</f>
        <v>Romance</v>
      </c>
      <c r="D100" s="11">
        <f>IFERROR(__xludf.DUMMYFUNCTION("""COMPUTED_VALUE"""),1364.0)</f>
        <v>1364</v>
      </c>
      <c r="E100" s="8">
        <f>IFERROR(__xludf.DUMMYFUNCTION("""COMPUTED_VALUE"""),0.963837638376383)</f>
        <v>0.9638376384</v>
      </c>
      <c r="F100" s="8">
        <f>IFERROR(__xludf.DUMMYFUNCTION("""COMPUTED_VALUE"""),0.571109456440804)</f>
        <v>0.5711094564</v>
      </c>
      <c r="G100" s="8">
        <f>IFERROR(__xludf.DUMMYFUNCTION("""COMPUTED_VALUE"""),0.49175412293853)</f>
        <v>0.4917541229</v>
      </c>
      <c r="H100" s="8">
        <f>IFERROR(__xludf.DUMMYFUNCTION("""COMPUTED_VALUE"""),0.447209653092006)</f>
        <v>0.4472096531</v>
      </c>
      <c r="I100" s="8">
        <f>IFERROR(__xludf.DUMMYFUNCTION("""COMPUTED_VALUE"""),0.430091185410334)</f>
        <v>0.4300911854</v>
      </c>
      <c r="J100" s="8">
        <f>IFERROR(__xludf.DUMMYFUNCTION("""COMPUTED_VALUE"""),0.408288564850345)</f>
        <v>0.4082885649</v>
      </c>
      <c r="K100" s="8">
        <f>IFERROR(__xludf.DUMMYFUNCTION("""COMPUTED_VALUE"""),0.389235569422776)</f>
        <v>0.3892355694</v>
      </c>
      <c r="L100" s="8">
        <f>IFERROR(__xludf.DUMMYFUNCTION("""COMPUTED_VALUE"""),0.374798061389337)</f>
        <v>0.3747980614</v>
      </c>
      <c r="M100" s="8">
        <f>IFERROR(__xludf.DUMMYFUNCTION("""COMPUTED_VALUE"""),0.338589211618257)</f>
        <v>0.3385892116</v>
      </c>
      <c r="N100" s="8">
        <f>IFERROR(__xludf.DUMMYFUNCTION("""COMPUTED_VALUE"""),0.330434782608695)</f>
        <v>0.3304347826</v>
      </c>
      <c r="O100" s="8">
        <f>IFERROR(__xludf.DUMMYFUNCTION("""COMPUTED_VALUE"""),0.275)</f>
        <v>0.275</v>
      </c>
      <c r="P100" s="8">
        <f>IFERROR(__xludf.DUMMYFUNCTION("""COMPUTED_VALUE"""),0.178445229681978)</f>
        <v>0.1784452297</v>
      </c>
      <c r="Q100" s="8">
        <f>IFERROR(__xludf.DUMMYFUNCTION("""COMPUTED_VALUE"""),0.06)</f>
        <v>0.06</v>
      </c>
      <c r="R100" s="8">
        <f>IFERROR(__xludf.DUMMYFUNCTION("""COMPUTED_VALUE"""),0.0212765957446808)</f>
        <v>0.02127659574</v>
      </c>
      <c r="S100" s="8">
        <f>IFERROR(__xludf.DUMMYFUNCTION("""COMPUTED_VALUE"""),0.0144927536231884)</f>
        <v>0.01449275362</v>
      </c>
      <c r="T100" s="8">
        <f>IFERROR(__xludf.DUMMYFUNCTION("""COMPUTED_VALUE"""),0.0)</f>
        <v>0</v>
      </c>
      <c r="U100" s="8">
        <f>IFERROR(__xludf.DUMMYFUNCTION("""COMPUTED_VALUE"""),0.0)</f>
        <v>0</v>
      </c>
      <c r="V100" s="8">
        <f>IFERROR(__xludf.DUMMYFUNCTION("""COMPUTED_VALUE"""),0.0)</f>
        <v>0</v>
      </c>
      <c r="W100" s="8">
        <f>IFERROR(__xludf.DUMMYFUNCTION("""COMPUTED_VALUE"""),0.0)</f>
        <v>0</v>
      </c>
      <c r="X100" s="8">
        <f>IFERROR(__xludf.DUMMYFUNCTION("""COMPUTED_VALUE"""),0.0)</f>
        <v>0</v>
      </c>
      <c r="Y100" s="8">
        <f>IFERROR(__xludf.DUMMYFUNCTION("""COMPUTED_VALUE"""),0.0)</f>
        <v>0</v>
      </c>
      <c r="Z100" s="8">
        <f>IFERROR(__xludf.DUMMYFUNCTION("""COMPUTED_VALUE"""),0.0)</f>
        <v>0</v>
      </c>
      <c r="AA100" s="8">
        <f>IFERROR(__xludf.DUMMYFUNCTION("""COMPUTED_VALUE"""),0.0)</f>
        <v>0</v>
      </c>
      <c r="AB100" s="8">
        <f>IFERROR(__xludf.DUMMYFUNCTION("""COMPUTED_VALUE"""),0.0)</f>
        <v>0</v>
      </c>
      <c r="AC100" s="8">
        <f>IFERROR(__xludf.DUMMYFUNCTION("""COMPUTED_VALUE"""),0.0)</f>
        <v>0</v>
      </c>
    </row>
    <row r="101" ht="15.75" customHeight="1">
      <c r="A101" s="6" t="str">
        <f>IFERROR(__xludf.DUMMYFUNCTION("""COMPUTED_VALUE"""),"53bd90147df4228136243c0a218345e3a338b8c1")</f>
        <v>53bd90147df4228136243c0a218345e3a338b8c1</v>
      </c>
      <c r="B101" s="6" t="str">
        <f>IFERROR(__xludf.DUMMYFUNCTION("""COMPUTED_VALUE"""),"His Abandoned Wife")</f>
        <v>His Abandoned Wife</v>
      </c>
      <c r="C101" s="6" t="str">
        <f>IFERROR(__xludf.DUMMYFUNCTION("""COMPUTED_VALUE"""),"Romance")</f>
        <v>Romance</v>
      </c>
      <c r="D101" s="11">
        <f>IFERROR(__xludf.DUMMYFUNCTION("""COMPUTED_VALUE"""),321.0)</f>
        <v>321</v>
      </c>
      <c r="E101" s="8">
        <f>IFERROR(__xludf.DUMMYFUNCTION("""COMPUTED_VALUE"""),0.97160883280757)</f>
        <v>0.9716088328</v>
      </c>
      <c r="F101" s="8">
        <f>IFERROR(__xludf.DUMMYFUNCTION("""COMPUTED_VALUE"""),0.544554455445544)</f>
        <v>0.5445544554</v>
      </c>
      <c r="G101" s="8">
        <f>IFERROR(__xludf.DUMMYFUNCTION("""COMPUTED_VALUE"""),0.481481481481481)</f>
        <v>0.4814814815</v>
      </c>
      <c r="H101" s="8">
        <f>IFERROR(__xludf.DUMMYFUNCTION("""COMPUTED_VALUE"""),0.447552447552447)</f>
        <v>0.4475524476</v>
      </c>
      <c r="I101" s="8">
        <f>IFERROR(__xludf.DUMMYFUNCTION("""COMPUTED_VALUE"""),0.408921933085501)</f>
        <v>0.4089219331</v>
      </c>
      <c r="J101" s="8">
        <f>IFERROR(__xludf.DUMMYFUNCTION("""COMPUTED_VALUE"""),0.373076923076923)</f>
        <v>0.3730769231</v>
      </c>
      <c r="K101" s="8">
        <f>IFERROR(__xludf.DUMMYFUNCTION("""COMPUTED_VALUE"""),0.362204724409448)</f>
        <v>0.3622047244</v>
      </c>
      <c r="L101" s="8">
        <f>IFERROR(__xludf.DUMMYFUNCTION("""COMPUTED_VALUE"""),0.338582677165354)</f>
        <v>0.3385826772</v>
      </c>
      <c r="M101" s="8">
        <f>IFERROR(__xludf.DUMMYFUNCTION("""COMPUTED_VALUE"""),0.303149606299212)</f>
        <v>0.3031496063</v>
      </c>
      <c r="N101" s="8">
        <f>IFERROR(__xludf.DUMMYFUNCTION("""COMPUTED_VALUE"""),0.278884462151394)</f>
        <v>0.2788844622</v>
      </c>
      <c r="O101" s="8">
        <f>IFERROR(__xludf.DUMMYFUNCTION("""COMPUTED_VALUE"""),0.227467811158798)</f>
        <v>0.2274678112</v>
      </c>
      <c r="P101" s="8">
        <f>IFERROR(__xludf.DUMMYFUNCTION("""COMPUTED_VALUE"""),0.214285714285714)</f>
        <v>0.2142857143</v>
      </c>
      <c r="Q101" s="8">
        <f>IFERROR(__xludf.DUMMYFUNCTION("""COMPUTED_VALUE"""),0.0)</f>
        <v>0</v>
      </c>
      <c r="R101" s="8">
        <f>IFERROR(__xludf.DUMMYFUNCTION("""COMPUTED_VALUE"""),0.0)</f>
        <v>0</v>
      </c>
      <c r="S101" s="8">
        <f>IFERROR(__xludf.DUMMYFUNCTION("""COMPUTED_VALUE"""),0.0)</f>
        <v>0</v>
      </c>
      <c r="T101" s="8">
        <f>IFERROR(__xludf.DUMMYFUNCTION("""COMPUTED_VALUE"""),0.0)</f>
        <v>0</v>
      </c>
      <c r="U101" s="8">
        <f>IFERROR(__xludf.DUMMYFUNCTION("""COMPUTED_VALUE"""),0.0)</f>
        <v>0</v>
      </c>
      <c r="V101" s="8">
        <f>IFERROR(__xludf.DUMMYFUNCTION("""COMPUTED_VALUE"""),0.0)</f>
        <v>0</v>
      </c>
      <c r="W101" s="8">
        <f>IFERROR(__xludf.DUMMYFUNCTION("""COMPUTED_VALUE"""),0.0)</f>
        <v>0</v>
      </c>
      <c r="X101" s="8">
        <f>IFERROR(__xludf.DUMMYFUNCTION("""COMPUTED_VALUE"""),0.0)</f>
        <v>0</v>
      </c>
      <c r="Y101" s="8">
        <f>IFERROR(__xludf.DUMMYFUNCTION("""COMPUTED_VALUE"""),0.0)</f>
        <v>0</v>
      </c>
      <c r="Z101" s="8">
        <f>IFERROR(__xludf.DUMMYFUNCTION("""COMPUTED_VALUE"""),0.0)</f>
        <v>0</v>
      </c>
      <c r="AA101" s="8">
        <f>IFERROR(__xludf.DUMMYFUNCTION("""COMPUTED_VALUE"""),0.0)</f>
        <v>0</v>
      </c>
      <c r="AB101" s="8">
        <f>IFERROR(__xludf.DUMMYFUNCTION("""COMPUTED_VALUE"""),0.0)</f>
        <v>0</v>
      </c>
      <c r="AC101" s="8">
        <f>IFERROR(__xludf.DUMMYFUNCTION("""COMPUTED_VALUE"""),0.0)</f>
        <v>0</v>
      </c>
    </row>
    <row r="102" ht="15.75" customHeight="1">
      <c r="A102" s="6" t="str">
        <f>IFERROR(__xludf.DUMMYFUNCTION("""COMPUTED_VALUE"""),"54a2cb963cd2e93491b9f03d9cf379ed72d3271f")</f>
        <v>54a2cb963cd2e93491b9f03d9cf379ed72d3271f</v>
      </c>
      <c r="B102" s="6" t="str">
        <f>IFERROR(__xludf.DUMMYFUNCTION("""COMPUTED_VALUE"""),"The One He Can't Break")</f>
        <v>The One He Can't Break</v>
      </c>
      <c r="C102" s="6" t="str">
        <f>IFERROR(__xludf.DUMMYFUNCTION("""COMPUTED_VALUE"""),"Romance")</f>
        <v>Romance</v>
      </c>
      <c r="D102" s="11">
        <f>IFERROR(__xludf.DUMMYFUNCTION("""COMPUTED_VALUE"""),2154.0)</f>
        <v>2154</v>
      </c>
      <c r="E102" s="8">
        <f>IFERROR(__xludf.DUMMYFUNCTION("""COMPUTED_VALUE"""),0.956339990710636)</f>
        <v>0.9563399907</v>
      </c>
      <c r="F102" s="8">
        <f>IFERROR(__xludf.DUMMYFUNCTION("""COMPUTED_VALUE"""),0.537674418604651)</f>
        <v>0.5376744186</v>
      </c>
      <c r="G102" s="8">
        <f>IFERROR(__xludf.DUMMYFUNCTION("""COMPUTED_VALUE"""),0.464368886818816)</f>
        <v>0.4643688868</v>
      </c>
      <c r="H102" s="8">
        <f>IFERROR(__xludf.DUMMYFUNCTION("""COMPUTED_VALUE"""),0.407943925233644)</f>
        <v>0.4079439252</v>
      </c>
      <c r="I102" s="8">
        <f>IFERROR(__xludf.DUMMYFUNCTION("""COMPUTED_VALUE"""),0.381554307116104)</f>
        <v>0.3815543071</v>
      </c>
      <c r="J102" s="8">
        <f>IFERROR(__xludf.DUMMYFUNCTION("""COMPUTED_VALUE"""),0.346135609293504)</f>
        <v>0.3461356093</v>
      </c>
      <c r="K102" s="8">
        <f>IFERROR(__xludf.DUMMYFUNCTION("""COMPUTED_VALUE"""),0.331886155330438)</f>
        <v>0.3318861553</v>
      </c>
      <c r="L102" s="8">
        <f>IFERROR(__xludf.DUMMYFUNCTION("""COMPUTED_VALUE"""),0.296277915632754)</f>
        <v>0.2962779156</v>
      </c>
      <c r="M102" s="8">
        <f>IFERROR(__xludf.DUMMYFUNCTION("""COMPUTED_VALUE"""),0.293147861926841)</f>
        <v>0.2931478619</v>
      </c>
      <c r="N102" s="8">
        <f>IFERROR(__xludf.DUMMYFUNCTION("""COMPUTED_VALUE"""),0.265395095367847)</f>
        <v>0.2653950954</v>
      </c>
      <c r="O102" s="8">
        <f>IFERROR(__xludf.DUMMYFUNCTION("""COMPUTED_VALUE"""),0.205862304021813)</f>
        <v>0.205862304</v>
      </c>
      <c r="P102" s="8">
        <f>IFERROR(__xludf.DUMMYFUNCTION("""COMPUTED_VALUE"""),0.108240223463687)</f>
        <v>0.1082402235</v>
      </c>
      <c r="Q102" s="8">
        <f>IFERROR(__xludf.DUMMYFUNCTION("""COMPUTED_VALUE"""),0.0705693664795509)</f>
        <v>0.07056936648</v>
      </c>
      <c r="R102" s="8">
        <f>IFERROR(__xludf.DUMMYFUNCTION("""COMPUTED_VALUE"""),0.0613333333333333)</f>
        <v>0.06133333333</v>
      </c>
      <c r="S102" s="8">
        <f>IFERROR(__xludf.DUMMYFUNCTION("""COMPUTED_VALUE"""),0.0384615384615384)</f>
        <v>0.03846153846</v>
      </c>
      <c r="T102" s="8">
        <f>IFERROR(__xludf.DUMMYFUNCTION("""COMPUTED_VALUE"""),0.0952380952380952)</f>
        <v>0.09523809524</v>
      </c>
      <c r="U102" s="8">
        <f>IFERROR(__xludf.DUMMYFUNCTION("""COMPUTED_VALUE"""),0.0)</f>
        <v>0</v>
      </c>
      <c r="V102" s="8">
        <f>IFERROR(__xludf.DUMMYFUNCTION("""COMPUTED_VALUE"""),0.0)</f>
        <v>0</v>
      </c>
      <c r="W102" s="8">
        <f>IFERROR(__xludf.DUMMYFUNCTION("""COMPUTED_VALUE"""),0.0)</f>
        <v>0</v>
      </c>
      <c r="X102" s="8">
        <f>IFERROR(__xludf.DUMMYFUNCTION("""COMPUTED_VALUE"""),0.0)</f>
        <v>0</v>
      </c>
      <c r="Y102" s="8">
        <f>IFERROR(__xludf.DUMMYFUNCTION("""COMPUTED_VALUE"""),0.0)</f>
        <v>0</v>
      </c>
      <c r="Z102" s="8">
        <f>IFERROR(__xludf.DUMMYFUNCTION("""COMPUTED_VALUE"""),0.0)</f>
        <v>0</v>
      </c>
      <c r="AA102" s="8">
        <f>IFERROR(__xludf.DUMMYFUNCTION("""COMPUTED_VALUE"""),0.0)</f>
        <v>0</v>
      </c>
      <c r="AB102" s="8">
        <f>IFERROR(__xludf.DUMMYFUNCTION("""COMPUTED_VALUE"""),0.0)</f>
        <v>0</v>
      </c>
      <c r="AC102" s="8">
        <f>IFERROR(__xludf.DUMMYFUNCTION("""COMPUTED_VALUE"""),0.0)</f>
        <v>0</v>
      </c>
    </row>
    <row r="103" ht="15.75" customHeight="1">
      <c r="A103" s="6" t="str">
        <f>IFERROR(__xludf.DUMMYFUNCTION("""COMPUTED_VALUE"""),"55254a77c40862bb825ededf69a85438157d664f")</f>
        <v>55254a77c40862bb825ededf69a85438157d664f</v>
      </c>
      <c r="B103" s="6" t="str">
        <f>IFERROR(__xludf.DUMMYFUNCTION("""COMPUTED_VALUE"""),"The Billionaire With Mask")</f>
        <v>The Billionaire With Mask</v>
      </c>
      <c r="C103" s="6" t="str">
        <f>IFERROR(__xludf.DUMMYFUNCTION("""COMPUTED_VALUE"""),"Drama")</f>
        <v>Drama</v>
      </c>
      <c r="D103" s="11">
        <f>IFERROR(__xludf.DUMMYFUNCTION("""COMPUTED_VALUE"""),1464.0)</f>
        <v>1464</v>
      </c>
      <c r="E103" s="8">
        <f>IFERROR(__xludf.DUMMYFUNCTION("""COMPUTED_VALUE"""),0.960824742268041)</f>
        <v>0.9608247423</v>
      </c>
      <c r="F103" s="8">
        <f>IFERROR(__xludf.DUMMYFUNCTION("""COMPUTED_VALUE"""),0.437414030261348)</f>
        <v>0.4374140303</v>
      </c>
      <c r="G103" s="8">
        <f>IFERROR(__xludf.DUMMYFUNCTION("""COMPUTED_VALUE"""),0.372077028885832)</f>
        <v>0.3720770289</v>
      </c>
      <c r="H103" s="8">
        <f>IFERROR(__xludf.DUMMYFUNCTION("""COMPUTED_VALUE"""),0.3331039229181)</f>
        <v>0.3331039229</v>
      </c>
      <c r="I103" s="8">
        <f>IFERROR(__xludf.DUMMYFUNCTION("""COMPUTED_VALUE"""),0.302133516861665)</f>
        <v>0.3021335169</v>
      </c>
      <c r="J103" s="8">
        <f>IFERROR(__xludf.DUMMYFUNCTION("""COMPUTED_VALUE"""),0.287190082644628)</f>
        <v>0.2871900826</v>
      </c>
      <c r="K103" s="8">
        <f>IFERROR(__xludf.DUMMYFUNCTION("""COMPUTED_VALUE"""),0.270344827586206)</f>
        <v>0.2703448276</v>
      </c>
      <c r="L103" s="8">
        <f>IFERROR(__xludf.DUMMYFUNCTION("""COMPUTED_VALUE"""),0.260869565217391)</f>
        <v>0.2608695652</v>
      </c>
      <c r="M103" s="8">
        <f>IFERROR(__xludf.DUMMYFUNCTION("""COMPUTED_VALUE"""),0.251897860593512)</f>
        <v>0.2518978606</v>
      </c>
      <c r="N103" s="8">
        <f>IFERROR(__xludf.DUMMYFUNCTION("""COMPUTED_VALUE"""),0.24585635359116)</f>
        <v>0.2458563536</v>
      </c>
      <c r="O103" s="8">
        <f>IFERROR(__xludf.DUMMYFUNCTION("""COMPUTED_VALUE"""),0.219444444444444)</f>
        <v>0.2194444444</v>
      </c>
      <c r="P103" s="8">
        <f>IFERROR(__xludf.DUMMYFUNCTION("""COMPUTED_VALUE"""),0.194366197183098)</f>
        <v>0.1943661972</v>
      </c>
      <c r="Q103" s="8">
        <f>IFERROR(__xludf.DUMMYFUNCTION("""COMPUTED_VALUE"""),0.108356290174471)</f>
        <v>0.1083562902</v>
      </c>
      <c r="R103" s="8">
        <f>IFERROR(__xludf.DUMMYFUNCTION("""COMPUTED_VALUE"""),0.0619469026548672)</f>
        <v>0.06194690265</v>
      </c>
      <c r="S103" s="8">
        <f>IFERROR(__xludf.DUMMYFUNCTION("""COMPUTED_VALUE"""),0.0518806744487678)</f>
        <v>0.05188067445</v>
      </c>
      <c r="T103" s="8">
        <f>IFERROR(__xludf.DUMMYFUNCTION("""COMPUTED_VALUE"""),0.0)</f>
        <v>0</v>
      </c>
      <c r="U103" s="8">
        <f>IFERROR(__xludf.DUMMYFUNCTION("""COMPUTED_VALUE"""),0.0)</f>
        <v>0</v>
      </c>
      <c r="V103" s="8">
        <f>IFERROR(__xludf.DUMMYFUNCTION("""COMPUTED_VALUE"""),0.0)</f>
        <v>0</v>
      </c>
      <c r="W103" s="8">
        <f>IFERROR(__xludf.DUMMYFUNCTION("""COMPUTED_VALUE"""),0.0)</f>
        <v>0</v>
      </c>
      <c r="X103" s="8">
        <f>IFERROR(__xludf.DUMMYFUNCTION("""COMPUTED_VALUE"""),0.0)</f>
        <v>0</v>
      </c>
      <c r="Y103" s="8">
        <f>IFERROR(__xludf.DUMMYFUNCTION("""COMPUTED_VALUE"""),0.0)</f>
        <v>0</v>
      </c>
      <c r="Z103" s="8">
        <f>IFERROR(__xludf.DUMMYFUNCTION("""COMPUTED_VALUE"""),0.0)</f>
        <v>0</v>
      </c>
      <c r="AA103" s="8">
        <f>IFERROR(__xludf.DUMMYFUNCTION("""COMPUTED_VALUE"""),0.0)</f>
        <v>0</v>
      </c>
      <c r="AB103" s="8">
        <f>IFERROR(__xludf.DUMMYFUNCTION("""COMPUTED_VALUE"""),0.0)</f>
        <v>0</v>
      </c>
      <c r="AC103" s="8">
        <f>IFERROR(__xludf.DUMMYFUNCTION("""COMPUTED_VALUE"""),0.0)</f>
        <v>0</v>
      </c>
    </row>
    <row r="104" ht="15.75" customHeight="1">
      <c r="A104" s="6" t="str">
        <f>IFERROR(__xludf.DUMMYFUNCTION("""COMPUTED_VALUE"""),"559db21e99cf5bc0720a814784386a0617e020b9")</f>
        <v>559db21e99cf5bc0720a814784386a0617e020b9</v>
      </c>
      <c r="B104" s="6" t="str">
        <f>IFERROR(__xludf.DUMMYFUNCTION("""COMPUTED_VALUE"""),"The Reborn Sovereign")</f>
        <v>The Reborn Sovereign</v>
      </c>
      <c r="C104" s="6" t="str">
        <f>IFERROR(__xludf.DUMMYFUNCTION("""COMPUTED_VALUE"""),"Fantasy")</f>
        <v>Fantasy</v>
      </c>
      <c r="D104" s="11">
        <f>IFERROR(__xludf.DUMMYFUNCTION("""COMPUTED_VALUE"""),7212.0)</f>
        <v>7212</v>
      </c>
      <c r="E104" s="8">
        <f>IFERROR(__xludf.DUMMYFUNCTION("""COMPUTED_VALUE"""),0.950177430801987)</f>
        <v>0.9501774308</v>
      </c>
      <c r="F104" s="8">
        <f>IFERROR(__xludf.DUMMYFUNCTION("""COMPUTED_VALUE"""),0.512740277156906)</f>
        <v>0.5127402772</v>
      </c>
      <c r="G104" s="8">
        <f>IFERROR(__xludf.DUMMYFUNCTION("""COMPUTED_VALUE"""),0.480471171729696)</f>
        <v>0.4804711717</v>
      </c>
      <c r="H104" s="8">
        <f>IFERROR(__xludf.DUMMYFUNCTION("""COMPUTED_VALUE"""),0.461921593830334)</f>
        <v>0.4619215938</v>
      </c>
      <c r="I104" s="8">
        <f>IFERROR(__xludf.DUMMYFUNCTION("""COMPUTED_VALUE"""),0.444168734491315)</f>
        <v>0.4441687345</v>
      </c>
      <c r="J104" s="8">
        <f>IFERROR(__xludf.DUMMYFUNCTION("""COMPUTED_VALUE"""),0.422912021951637)</f>
        <v>0.422912022</v>
      </c>
      <c r="K104" s="8">
        <f>IFERROR(__xludf.DUMMYFUNCTION("""COMPUTED_VALUE"""),0.409518735570946)</f>
        <v>0.4095187356</v>
      </c>
      <c r="L104" s="8">
        <f>IFERROR(__xludf.DUMMYFUNCTION("""COMPUTED_VALUE"""),0.399600218062874)</f>
        <v>0.3996002181</v>
      </c>
      <c r="M104" s="8">
        <f>IFERROR(__xludf.DUMMYFUNCTION("""COMPUTED_VALUE"""),0.392942473809961)</f>
        <v>0.3929424738</v>
      </c>
      <c r="N104" s="8">
        <f>IFERROR(__xludf.DUMMYFUNCTION("""COMPUTED_VALUE"""),0.384485349361382)</f>
        <v>0.3844853494</v>
      </c>
      <c r="O104" s="8">
        <f>IFERROR(__xludf.DUMMYFUNCTION("""COMPUTED_VALUE"""),0.342095090838809)</f>
        <v>0.3420950908</v>
      </c>
      <c r="P104" s="8">
        <f>IFERROR(__xludf.DUMMYFUNCTION("""COMPUTED_VALUE"""),0.279590948651)</f>
        <v>0.2795909487</v>
      </c>
      <c r="Q104" s="8">
        <f>IFERROR(__xludf.DUMMYFUNCTION("""COMPUTED_VALUE"""),0.234893617021276)</f>
        <v>0.234893617</v>
      </c>
      <c r="R104" s="8">
        <f>IFERROR(__xludf.DUMMYFUNCTION("""COMPUTED_VALUE"""),0.198922097011268)</f>
        <v>0.198922097</v>
      </c>
      <c r="S104" s="8">
        <f>IFERROR(__xludf.DUMMYFUNCTION("""COMPUTED_VALUE"""),0.169278996865203)</f>
        <v>0.1692789969</v>
      </c>
      <c r="T104" s="8">
        <f>IFERROR(__xludf.DUMMYFUNCTION("""COMPUTED_VALUE"""),0.0)</f>
        <v>0</v>
      </c>
      <c r="U104" s="8">
        <f>IFERROR(__xludf.DUMMYFUNCTION("""COMPUTED_VALUE"""),0.0)</f>
        <v>0</v>
      </c>
      <c r="V104" s="8">
        <f>IFERROR(__xludf.DUMMYFUNCTION("""COMPUTED_VALUE"""),0.0)</f>
        <v>0</v>
      </c>
      <c r="W104" s="8">
        <f>IFERROR(__xludf.DUMMYFUNCTION("""COMPUTED_VALUE"""),0.0)</f>
        <v>0</v>
      </c>
      <c r="X104" s="8">
        <f>IFERROR(__xludf.DUMMYFUNCTION("""COMPUTED_VALUE"""),0.0)</f>
        <v>0</v>
      </c>
      <c r="Y104" s="8">
        <f>IFERROR(__xludf.DUMMYFUNCTION("""COMPUTED_VALUE"""),0.0)</f>
        <v>0</v>
      </c>
      <c r="Z104" s="8">
        <f>IFERROR(__xludf.DUMMYFUNCTION("""COMPUTED_VALUE"""),0.0)</f>
        <v>0</v>
      </c>
      <c r="AA104" s="8">
        <f>IFERROR(__xludf.DUMMYFUNCTION("""COMPUTED_VALUE"""),0.0)</f>
        <v>0</v>
      </c>
      <c r="AB104" s="8">
        <f>IFERROR(__xludf.DUMMYFUNCTION("""COMPUTED_VALUE"""),0.0)</f>
        <v>0</v>
      </c>
      <c r="AC104" s="8">
        <f>IFERROR(__xludf.DUMMYFUNCTION("""COMPUTED_VALUE"""),0.0)</f>
        <v>0</v>
      </c>
    </row>
    <row r="105" ht="15.75" customHeight="1">
      <c r="A105" s="6" t="str">
        <f>IFERROR(__xludf.DUMMYFUNCTION("""COMPUTED_VALUE"""),"562f725dcc83392df0b3d429b6d1ff538f81e71b")</f>
        <v>562f725dcc83392df0b3d429b6d1ff538f81e71b</v>
      </c>
      <c r="B105" s="6" t="str">
        <f>IFERROR(__xludf.DUMMYFUNCTION("""COMPUTED_VALUE"""),"Their Contracted Hearts")</f>
        <v>Their Contracted Hearts</v>
      </c>
      <c r="C105" s="6" t="str">
        <f>IFERROR(__xludf.DUMMYFUNCTION("""COMPUTED_VALUE"""),"Romance")</f>
        <v>Romance</v>
      </c>
      <c r="D105" s="11">
        <f>IFERROR(__xludf.DUMMYFUNCTION("""COMPUTED_VALUE"""),1715.0)</f>
        <v>1715</v>
      </c>
      <c r="E105" s="8">
        <f>IFERROR(__xludf.DUMMYFUNCTION("""COMPUTED_VALUE"""),0.960326721120186)</f>
        <v>0.9603267211</v>
      </c>
      <c r="F105" s="8">
        <f>IFERROR(__xludf.DUMMYFUNCTION("""COMPUTED_VALUE"""),0.526254375729288)</f>
        <v>0.5262543757</v>
      </c>
      <c r="G105" s="8">
        <f>IFERROR(__xludf.DUMMYFUNCTION("""COMPUTED_VALUE"""),0.525700934579439)</f>
        <v>0.5257009346</v>
      </c>
      <c r="H105" s="8">
        <f>IFERROR(__xludf.DUMMYFUNCTION("""COMPUTED_VALUE"""),0.492694330800701)</f>
        <v>0.4926943308</v>
      </c>
      <c r="I105" s="8">
        <f>IFERROR(__xludf.DUMMYFUNCTION("""COMPUTED_VALUE"""),0.485680888369374)</f>
        <v>0.4856808884</v>
      </c>
      <c r="J105" s="8">
        <f>IFERROR(__xludf.DUMMYFUNCTION("""COMPUTED_VALUE"""),0.435087719298245)</f>
        <v>0.4350877193</v>
      </c>
      <c r="K105" s="8">
        <f>IFERROR(__xludf.DUMMYFUNCTION("""COMPUTED_VALUE"""),0.401989467524868)</f>
        <v>0.4019894675</v>
      </c>
      <c r="L105" s="8">
        <f>IFERROR(__xludf.DUMMYFUNCTION("""COMPUTED_VALUE"""),0.416861826697892)</f>
        <v>0.4168618267</v>
      </c>
      <c r="M105" s="8">
        <f>IFERROR(__xludf.DUMMYFUNCTION("""COMPUTED_VALUE"""),0.388986526069127)</f>
        <v>0.3889865261</v>
      </c>
      <c r="N105" s="8">
        <f>IFERROR(__xludf.DUMMYFUNCTION("""COMPUTED_VALUE"""),0.368112543962485)</f>
        <v>0.368112544</v>
      </c>
      <c r="O105" s="8">
        <f>IFERROR(__xludf.DUMMYFUNCTION("""COMPUTED_VALUE"""),0.252017380509)</f>
        <v>0.2520173805</v>
      </c>
      <c r="P105" s="8">
        <f>IFERROR(__xludf.DUMMYFUNCTION("""COMPUTED_VALUE"""),0.148468708388814)</f>
        <v>0.1484687084</v>
      </c>
      <c r="Q105" s="8">
        <f>IFERROR(__xludf.DUMMYFUNCTION("""COMPUTED_VALUE"""),0.0886644219977553)</f>
        <v>0.088664422</v>
      </c>
      <c r="R105" s="8">
        <f>IFERROR(__xludf.DUMMYFUNCTION("""COMPUTED_VALUE"""),0.06150061500615)</f>
        <v>0.06150061501</v>
      </c>
      <c r="S105" s="8">
        <f>IFERROR(__xludf.DUMMYFUNCTION("""COMPUTED_VALUE"""),0.0193861066235864)</f>
        <v>0.01938610662</v>
      </c>
      <c r="T105" s="8">
        <f>IFERROR(__xludf.DUMMYFUNCTION("""COMPUTED_VALUE"""),0.0)</f>
        <v>0</v>
      </c>
      <c r="U105" s="8">
        <f>IFERROR(__xludf.DUMMYFUNCTION("""COMPUTED_VALUE"""),0.0)</f>
        <v>0</v>
      </c>
      <c r="V105" s="8">
        <f>IFERROR(__xludf.DUMMYFUNCTION("""COMPUTED_VALUE"""),0.0)</f>
        <v>0</v>
      </c>
      <c r="W105" s="8">
        <f>IFERROR(__xludf.DUMMYFUNCTION("""COMPUTED_VALUE"""),0.0)</f>
        <v>0</v>
      </c>
      <c r="X105" s="8">
        <f>IFERROR(__xludf.DUMMYFUNCTION("""COMPUTED_VALUE"""),0.0)</f>
        <v>0</v>
      </c>
      <c r="Y105" s="8">
        <f>IFERROR(__xludf.DUMMYFUNCTION("""COMPUTED_VALUE"""),0.0)</f>
        <v>0</v>
      </c>
      <c r="Z105" s="8">
        <f>IFERROR(__xludf.DUMMYFUNCTION("""COMPUTED_VALUE"""),0.0)</f>
        <v>0</v>
      </c>
      <c r="AA105" s="8">
        <f>IFERROR(__xludf.DUMMYFUNCTION("""COMPUTED_VALUE"""),0.0)</f>
        <v>0</v>
      </c>
      <c r="AB105" s="8">
        <f>IFERROR(__xludf.DUMMYFUNCTION("""COMPUTED_VALUE"""),0.0)</f>
        <v>0</v>
      </c>
      <c r="AC105" s="8">
        <f>IFERROR(__xludf.DUMMYFUNCTION("""COMPUTED_VALUE"""),0.0)</f>
        <v>0</v>
      </c>
    </row>
    <row r="106" ht="15.75" customHeight="1">
      <c r="A106" s="6" t="str">
        <f>IFERROR(__xludf.DUMMYFUNCTION("""COMPUTED_VALUE"""),"56fd2f13dbccca0c55f9b02f7334d302737ec3df")</f>
        <v>56fd2f13dbccca0c55f9b02f7334d302737ec3df</v>
      </c>
      <c r="B106" s="6" t="str">
        <f>IFERROR(__xludf.DUMMYFUNCTION("""COMPUTED_VALUE"""),"Heaven-Shaking Doctor")</f>
        <v>Heaven-Shaking Doctor</v>
      </c>
      <c r="C106" s="6" t="str">
        <f>IFERROR(__xludf.DUMMYFUNCTION("""COMPUTED_VALUE"""),"Drama")</f>
        <v>Drama</v>
      </c>
      <c r="D106" s="11">
        <f>IFERROR(__xludf.DUMMYFUNCTION("""COMPUTED_VALUE"""),2112.0)</f>
        <v>2112</v>
      </c>
      <c r="E106" s="8">
        <f>IFERROR(__xludf.DUMMYFUNCTION("""COMPUTED_VALUE"""),0.969682614874467)</f>
        <v>0.9696826149</v>
      </c>
      <c r="F106" s="8">
        <f>IFERROR(__xludf.DUMMYFUNCTION("""COMPUTED_VALUE"""),0.445760303173851)</f>
        <v>0.4457603032</v>
      </c>
      <c r="G106" s="8">
        <f>IFERROR(__xludf.DUMMYFUNCTION("""COMPUTED_VALUE"""),0.363851992409867)</f>
        <v>0.3638519924</v>
      </c>
      <c r="H106" s="8">
        <f>IFERROR(__xludf.DUMMYFUNCTION("""COMPUTED_VALUE"""),0.314990512333965)</f>
        <v>0.3149905123</v>
      </c>
      <c r="I106" s="8">
        <f>IFERROR(__xludf.DUMMYFUNCTION("""COMPUTED_VALUE"""),0.269139324774132)</f>
        <v>0.2691393248</v>
      </c>
      <c r="J106" s="8">
        <f>IFERROR(__xludf.DUMMYFUNCTION("""COMPUTED_VALUE"""),0.24)</f>
        <v>0.24</v>
      </c>
      <c r="K106" s="8">
        <f>IFERROR(__xludf.DUMMYFUNCTION("""COMPUTED_VALUE"""),0.220314735336194)</f>
        <v>0.2203147353</v>
      </c>
      <c r="L106" s="8">
        <f>IFERROR(__xludf.DUMMYFUNCTION("""COMPUTED_VALUE"""),0.195797516714422)</f>
        <v>0.1957975167</v>
      </c>
      <c r="M106" s="8">
        <f>IFERROR(__xludf.DUMMYFUNCTION("""COMPUTED_VALUE"""),0.175035868005738)</f>
        <v>0.175035868</v>
      </c>
      <c r="N106" s="8">
        <f>IFERROR(__xludf.DUMMYFUNCTION("""COMPUTED_VALUE"""),0.1665868836764)</f>
        <v>0.1665868837</v>
      </c>
      <c r="O106" s="8">
        <f>IFERROR(__xludf.DUMMYFUNCTION("""COMPUTED_VALUE"""),0.125427037579306)</f>
        <v>0.1254270376</v>
      </c>
      <c r="P106" s="8">
        <f>IFERROR(__xludf.DUMMYFUNCTION("""COMPUTED_VALUE"""),0.0924281984334203)</f>
        <v>0.09242819843</v>
      </c>
      <c r="Q106" s="8">
        <f>IFERROR(__xludf.DUMMYFUNCTION("""COMPUTED_VALUE"""),0.0)</f>
        <v>0</v>
      </c>
      <c r="R106" s="8">
        <f>IFERROR(__xludf.DUMMYFUNCTION("""COMPUTED_VALUE"""),0.0)</f>
        <v>0</v>
      </c>
      <c r="S106" s="8">
        <f>IFERROR(__xludf.DUMMYFUNCTION("""COMPUTED_VALUE"""),0.0)</f>
        <v>0</v>
      </c>
      <c r="T106" s="8">
        <f>IFERROR(__xludf.DUMMYFUNCTION("""COMPUTED_VALUE"""),0.0)</f>
        <v>0</v>
      </c>
      <c r="U106" s="8">
        <f>IFERROR(__xludf.DUMMYFUNCTION("""COMPUTED_VALUE"""),0.0)</f>
        <v>0</v>
      </c>
      <c r="V106" s="8">
        <f>IFERROR(__xludf.DUMMYFUNCTION("""COMPUTED_VALUE"""),0.0)</f>
        <v>0</v>
      </c>
      <c r="W106" s="8">
        <f>IFERROR(__xludf.DUMMYFUNCTION("""COMPUTED_VALUE"""),0.0)</f>
        <v>0</v>
      </c>
      <c r="X106" s="8">
        <f>IFERROR(__xludf.DUMMYFUNCTION("""COMPUTED_VALUE"""),0.0)</f>
        <v>0</v>
      </c>
      <c r="Y106" s="8">
        <f>IFERROR(__xludf.DUMMYFUNCTION("""COMPUTED_VALUE"""),0.0)</f>
        <v>0</v>
      </c>
      <c r="Z106" s="8">
        <f>IFERROR(__xludf.DUMMYFUNCTION("""COMPUTED_VALUE"""),0.0)</f>
        <v>0</v>
      </c>
      <c r="AA106" s="8">
        <f>IFERROR(__xludf.DUMMYFUNCTION("""COMPUTED_VALUE"""),0.0)</f>
        <v>0</v>
      </c>
      <c r="AB106" s="8">
        <f>IFERROR(__xludf.DUMMYFUNCTION("""COMPUTED_VALUE"""),0.0)</f>
        <v>0</v>
      </c>
      <c r="AC106" s="8">
        <f>IFERROR(__xludf.DUMMYFUNCTION("""COMPUTED_VALUE"""),0.0)</f>
        <v>0</v>
      </c>
    </row>
    <row r="107" ht="15.75" customHeight="1">
      <c r="A107" s="6" t="str">
        <f>IFERROR(__xludf.DUMMYFUNCTION("""COMPUTED_VALUE"""),"5710ee62e2cd01947d8f11e6bcaaa653fd1281b2")</f>
        <v>5710ee62e2cd01947d8f11e6bcaaa653fd1281b2</v>
      </c>
      <c r="B107" s="6" t="str">
        <f>IFERROR(__xludf.DUMMYFUNCTION("""COMPUTED_VALUE"""),"The Greatest Son-in-Law")</f>
        <v>The Greatest Son-in-Law</v>
      </c>
      <c r="C107" s="6" t="str">
        <f>IFERROR(__xludf.DUMMYFUNCTION("""COMPUTED_VALUE"""),"Drama")</f>
        <v>Drama</v>
      </c>
      <c r="D107" s="11">
        <f>IFERROR(__xludf.DUMMYFUNCTION("""COMPUTED_VALUE"""),1449.0)</f>
        <v>1449</v>
      </c>
      <c r="E107" s="8">
        <f>IFERROR(__xludf.DUMMYFUNCTION("""COMPUTED_VALUE"""),0.967406380027739)</f>
        <v>0.96740638</v>
      </c>
      <c r="F107" s="8">
        <f>IFERROR(__xludf.DUMMYFUNCTION("""COMPUTED_VALUE"""),0.522616562282533)</f>
        <v>0.5226165623</v>
      </c>
      <c r="G107" s="8">
        <f>IFERROR(__xludf.DUMMYFUNCTION("""COMPUTED_VALUE"""),0.416783216783216)</f>
        <v>0.4167832168</v>
      </c>
      <c r="H107" s="8">
        <f>IFERROR(__xludf.DUMMYFUNCTION("""COMPUTED_VALUE"""),0.36168691922802)</f>
        <v>0.3616869192</v>
      </c>
      <c r="I107" s="8">
        <f>IFERROR(__xludf.DUMMYFUNCTION("""COMPUTED_VALUE"""),0.317436661698956)</f>
        <v>0.3174366617</v>
      </c>
      <c r="J107" s="8">
        <f>IFERROR(__xludf.DUMMYFUNCTION("""COMPUTED_VALUE"""),0.286525974025974)</f>
        <v>0.286525974</v>
      </c>
      <c r="K107" s="8">
        <f>IFERROR(__xludf.DUMMYFUNCTION("""COMPUTED_VALUE"""),0.265866209262435)</f>
        <v>0.2658662093</v>
      </c>
      <c r="L107" s="8">
        <f>IFERROR(__xludf.DUMMYFUNCTION("""COMPUTED_VALUE"""),0.253649635036496)</f>
        <v>0.253649635</v>
      </c>
      <c r="M107" s="8">
        <f>IFERROR(__xludf.DUMMYFUNCTION("""COMPUTED_VALUE"""),0.239959839357429)</f>
        <v>0.2399598394</v>
      </c>
      <c r="N107" s="8">
        <f>IFERROR(__xludf.DUMMYFUNCTION("""COMPUTED_VALUE"""),0.230508474576271)</f>
        <v>0.2305084746</v>
      </c>
      <c r="O107" s="8">
        <f>IFERROR(__xludf.DUMMYFUNCTION("""COMPUTED_VALUE"""),0.197836166924265)</f>
        <v>0.1978361669</v>
      </c>
      <c r="P107" s="8">
        <f>IFERROR(__xludf.DUMMYFUNCTION("""COMPUTED_VALUE"""),0.16243654822335)</f>
        <v>0.1624365482</v>
      </c>
      <c r="Q107" s="8">
        <f>IFERROR(__xludf.DUMMYFUNCTION("""COMPUTED_VALUE"""),0.25)</f>
        <v>0.25</v>
      </c>
      <c r="R107" s="8">
        <f>IFERROR(__xludf.DUMMYFUNCTION("""COMPUTED_VALUE"""),0.0)</f>
        <v>0</v>
      </c>
      <c r="S107" s="8">
        <f>IFERROR(__xludf.DUMMYFUNCTION("""COMPUTED_VALUE"""),0.0)</f>
        <v>0</v>
      </c>
      <c r="T107" s="8">
        <f>IFERROR(__xludf.DUMMYFUNCTION("""COMPUTED_VALUE"""),0.0)</f>
        <v>0</v>
      </c>
      <c r="U107" s="8">
        <f>IFERROR(__xludf.DUMMYFUNCTION("""COMPUTED_VALUE"""),0.0)</f>
        <v>0</v>
      </c>
      <c r="V107" s="8">
        <f>IFERROR(__xludf.DUMMYFUNCTION("""COMPUTED_VALUE"""),0.0)</f>
        <v>0</v>
      </c>
      <c r="W107" s="8">
        <f>IFERROR(__xludf.DUMMYFUNCTION("""COMPUTED_VALUE"""),0.0)</f>
        <v>0</v>
      </c>
      <c r="X107" s="8">
        <f>IFERROR(__xludf.DUMMYFUNCTION("""COMPUTED_VALUE"""),0.0)</f>
        <v>0</v>
      </c>
      <c r="Y107" s="8">
        <f>IFERROR(__xludf.DUMMYFUNCTION("""COMPUTED_VALUE"""),0.0)</f>
        <v>0</v>
      </c>
      <c r="Z107" s="8">
        <f>IFERROR(__xludf.DUMMYFUNCTION("""COMPUTED_VALUE"""),0.0)</f>
        <v>0</v>
      </c>
      <c r="AA107" s="8">
        <f>IFERROR(__xludf.DUMMYFUNCTION("""COMPUTED_VALUE"""),0.0)</f>
        <v>0</v>
      </c>
      <c r="AB107" s="8">
        <f>IFERROR(__xludf.DUMMYFUNCTION("""COMPUTED_VALUE"""),0.0)</f>
        <v>0</v>
      </c>
      <c r="AC107" s="8">
        <f>IFERROR(__xludf.DUMMYFUNCTION("""COMPUTED_VALUE"""),0.0)</f>
        <v>0</v>
      </c>
    </row>
    <row r="108" ht="15.75" customHeight="1">
      <c r="A108" s="6" t="str">
        <f>IFERROR(__xludf.DUMMYFUNCTION("""COMPUTED_VALUE"""),"57c4ad36d88c94c3d6132c931c371b08f21ab0e1")</f>
        <v>57c4ad36d88c94c3d6132c931c371b08f21ab0e1</v>
      </c>
      <c r="B108" s="6" t="str">
        <f>IFERROR(__xludf.DUMMYFUNCTION("""COMPUTED_VALUE"""),"Warlord of the Frozen Daw")</f>
        <v>Warlord of the Frozen Daw</v>
      </c>
      <c r="C108" s="6" t="str">
        <f>IFERROR(__xludf.DUMMYFUNCTION("""COMPUTED_VALUE"""),"Drama")</f>
        <v>Drama</v>
      </c>
      <c r="D108" s="11">
        <f>IFERROR(__xludf.DUMMYFUNCTION("""COMPUTED_VALUE"""),195.0)</f>
        <v>195</v>
      </c>
      <c r="E108" s="8">
        <f>IFERROR(__xludf.DUMMYFUNCTION("""COMPUTED_VALUE"""),0.969072164948453)</f>
        <v>0.9690721649</v>
      </c>
      <c r="F108" s="8">
        <f>IFERROR(__xludf.DUMMYFUNCTION("""COMPUTED_VALUE"""),0.556701030927835)</f>
        <v>0.5567010309</v>
      </c>
      <c r="G108" s="8">
        <f>IFERROR(__xludf.DUMMYFUNCTION("""COMPUTED_VALUE"""),0.463917525773195)</f>
        <v>0.4639175258</v>
      </c>
      <c r="H108" s="8">
        <f>IFERROR(__xludf.DUMMYFUNCTION("""COMPUTED_VALUE"""),0.412371134020618)</f>
        <v>0.412371134</v>
      </c>
      <c r="I108" s="8">
        <f>IFERROR(__xludf.DUMMYFUNCTION("""COMPUTED_VALUE"""),0.376288659793814)</f>
        <v>0.3762886598</v>
      </c>
      <c r="J108" s="8">
        <f>IFERROR(__xludf.DUMMYFUNCTION("""COMPUTED_VALUE"""),0.362694300518134)</f>
        <v>0.3626943005</v>
      </c>
      <c r="K108" s="8">
        <f>IFERROR(__xludf.DUMMYFUNCTION("""COMPUTED_VALUE"""),0.336842105263157)</f>
        <v>0.3368421053</v>
      </c>
      <c r="L108" s="8">
        <f>IFERROR(__xludf.DUMMYFUNCTION("""COMPUTED_VALUE"""),0.319148936170212)</f>
        <v>0.3191489362</v>
      </c>
      <c r="M108" s="8">
        <f>IFERROR(__xludf.DUMMYFUNCTION("""COMPUTED_VALUE"""),0.303191489361702)</f>
        <v>0.3031914894</v>
      </c>
      <c r="N108" s="8">
        <f>IFERROR(__xludf.DUMMYFUNCTION("""COMPUTED_VALUE"""),0.276595744680851)</f>
        <v>0.2765957447</v>
      </c>
      <c r="O108" s="8">
        <f>IFERROR(__xludf.DUMMYFUNCTION("""COMPUTED_VALUE"""),0.279329608938547)</f>
        <v>0.2793296089</v>
      </c>
      <c r="P108" s="8">
        <f>IFERROR(__xludf.DUMMYFUNCTION("""COMPUTED_VALUE"""),0.162962962962962)</f>
        <v>0.162962963</v>
      </c>
      <c r="Q108" s="8">
        <f>IFERROR(__xludf.DUMMYFUNCTION("""COMPUTED_VALUE"""),0.0970149253731343)</f>
        <v>0.09701492537</v>
      </c>
      <c r="R108" s="8">
        <f>IFERROR(__xludf.DUMMYFUNCTION("""COMPUTED_VALUE"""),0.0555555555555555)</f>
        <v>0.05555555556</v>
      </c>
      <c r="S108" s="8">
        <f>IFERROR(__xludf.DUMMYFUNCTION("""COMPUTED_VALUE"""),0.0)</f>
        <v>0</v>
      </c>
      <c r="T108" s="8">
        <f>IFERROR(__xludf.DUMMYFUNCTION("""COMPUTED_VALUE"""),0.0)</f>
        <v>0</v>
      </c>
      <c r="U108" s="8">
        <f>IFERROR(__xludf.DUMMYFUNCTION("""COMPUTED_VALUE"""),0.0)</f>
        <v>0</v>
      </c>
      <c r="V108" s="8">
        <f>IFERROR(__xludf.DUMMYFUNCTION("""COMPUTED_VALUE"""),0.0)</f>
        <v>0</v>
      </c>
      <c r="W108" s="8">
        <f>IFERROR(__xludf.DUMMYFUNCTION("""COMPUTED_VALUE"""),0.0)</f>
        <v>0</v>
      </c>
      <c r="X108" s="8">
        <f>IFERROR(__xludf.DUMMYFUNCTION("""COMPUTED_VALUE"""),0.0)</f>
        <v>0</v>
      </c>
      <c r="Y108" s="8">
        <f>IFERROR(__xludf.DUMMYFUNCTION("""COMPUTED_VALUE"""),0.0)</f>
        <v>0</v>
      </c>
      <c r="Z108" s="8">
        <f>IFERROR(__xludf.DUMMYFUNCTION("""COMPUTED_VALUE"""),0.0)</f>
        <v>0</v>
      </c>
      <c r="AA108" s="8">
        <f>IFERROR(__xludf.DUMMYFUNCTION("""COMPUTED_VALUE"""),0.0)</f>
        <v>0</v>
      </c>
      <c r="AB108" s="8">
        <f>IFERROR(__xludf.DUMMYFUNCTION("""COMPUTED_VALUE"""),0.0)</f>
        <v>0</v>
      </c>
      <c r="AC108" s="8">
        <f>IFERROR(__xludf.DUMMYFUNCTION("""COMPUTED_VALUE"""),0.0)</f>
        <v>0</v>
      </c>
    </row>
    <row r="109" ht="15.75" customHeight="1">
      <c r="A109" s="6" t="str">
        <f>IFERROR(__xludf.DUMMYFUNCTION("""COMPUTED_VALUE"""),"57e670da35fed12abf270953b1cf3cf942fc89e1")</f>
        <v>57e670da35fed12abf270953b1cf3cf942fc89e1</v>
      </c>
      <c r="B109" s="6" t="str">
        <f>IFERROR(__xludf.DUMMYFUNCTION("""COMPUTED_VALUE"""),"You Are Mine Alone, Love")</f>
        <v>You Are Mine Alone, Love</v>
      </c>
      <c r="C109" s="6" t="str">
        <f>IFERROR(__xludf.DUMMYFUNCTION("""COMPUTED_VALUE"""),"Romance")</f>
        <v>Romance</v>
      </c>
      <c r="D109" s="11">
        <f>IFERROR(__xludf.DUMMYFUNCTION("""COMPUTED_VALUE"""),952.0)</f>
        <v>952</v>
      </c>
      <c r="E109" s="8">
        <f>IFERROR(__xludf.DUMMYFUNCTION("""COMPUTED_VALUE"""),0.962105263157894)</f>
        <v>0.9621052632</v>
      </c>
      <c r="F109" s="8">
        <f>IFERROR(__xludf.DUMMYFUNCTION("""COMPUTED_VALUE"""),0.475079533404029)</f>
        <v>0.4750795334</v>
      </c>
      <c r="G109" s="8">
        <f>IFERROR(__xludf.DUMMYFUNCTION("""COMPUTED_VALUE"""),0.409381663113006)</f>
        <v>0.4093816631</v>
      </c>
      <c r="H109" s="8">
        <f>IFERROR(__xludf.DUMMYFUNCTION("""COMPUTED_VALUE"""),0.341278439869989)</f>
        <v>0.3412784399</v>
      </c>
      <c r="I109" s="8">
        <f>IFERROR(__xludf.DUMMYFUNCTION("""COMPUTED_VALUE"""),0.313876651982378)</f>
        <v>0.313876652</v>
      </c>
      <c r="J109" s="8">
        <f>IFERROR(__xludf.DUMMYFUNCTION("""COMPUTED_VALUE"""),0.28555431131019)</f>
        <v>0.2855543113</v>
      </c>
      <c r="K109" s="8">
        <f>IFERROR(__xludf.DUMMYFUNCTION("""COMPUTED_VALUE"""),0.253968253968253)</f>
        <v>0.253968254</v>
      </c>
      <c r="L109" s="8">
        <f>IFERROR(__xludf.DUMMYFUNCTION("""COMPUTED_VALUE"""),0.24074074074074)</f>
        <v>0.2407407407</v>
      </c>
      <c r="M109" s="8">
        <f>IFERROR(__xludf.DUMMYFUNCTION("""COMPUTED_VALUE"""),0.217598097502972)</f>
        <v>0.2175980975</v>
      </c>
      <c r="N109" s="8">
        <f>IFERROR(__xludf.DUMMYFUNCTION("""COMPUTED_VALUE"""),0.206134969325153)</f>
        <v>0.2061349693</v>
      </c>
      <c r="O109" s="8">
        <f>IFERROR(__xludf.DUMMYFUNCTION("""COMPUTED_VALUE"""),0.166666666666666)</f>
        <v>0.1666666667</v>
      </c>
      <c r="P109" s="8">
        <f>IFERROR(__xludf.DUMMYFUNCTION("""COMPUTED_VALUE"""),0.122362869198312)</f>
        <v>0.1223628692</v>
      </c>
      <c r="Q109" s="8">
        <f>IFERROR(__xludf.DUMMYFUNCTION("""COMPUTED_VALUE"""),0.0839160839160839)</f>
        <v>0.08391608392</v>
      </c>
      <c r="R109" s="8">
        <f>IFERROR(__xludf.DUMMYFUNCTION("""COMPUTED_VALUE"""),0.0)</f>
        <v>0</v>
      </c>
      <c r="S109" s="8">
        <f>IFERROR(__xludf.DUMMYFUNCTION("""COMPUTED_VALUE"""),0.0)</f>
        <v>0</v>
      </c>
      <c r="T109" s="8">
        <f>IFERROR(__xludf.DUMMYFUNCTION("""COMPUTED_VALUE"""),0.0)</f>
        <v>0</v>
      </c>
      <c r="U109" s="8">
        <f>IFERROR(__xludf.DUMMYFUNCTION("""COMPUTED_VALUE"""),0.0)</f>
        <v>0</v>
      </c>
      <c r="V109" s="8">
        <f>IFERROR(__xludf.DUMMYFUNCTION("""COMPUTED_VALUE"""),0.0)</f>
        <v>0</v>
      </c>
      <c r="W109" s="8">
        <f>IFERROR(__xludf.DUMMYFUNCTION("""COMPUTED_VALUE"""),0.0)</f>
        <v>0</v>
      </c>
      <c r="X109" s="8">
        <f>IFERROR(__xludf.DUMMYFUNCTION("""COMPUTED_VALUE"""),0.0)</f>
        <v>0</v>
      </c>
      <c r="Y109" s="8">
        <f>IFERROR(__xludf.DUMMYFUNCTION("""COMPUTED_VALUE"""),0.0)</f>
        <v>0</v>
      </c>
      <c r="Z109" s="8">
        <f>IFERROR(__xludf.DUMMYFUNCTION("""COMPUTED_VALUE"""),0.0)</f>
        <v>0</v>
      </c>
      <c r="AA109" s="8">
        <f>IFERROR(__xludf.DUMMYFUNCTION("""COMPUTED_VALUE"""),0.0)</f>
        <v>0</v>
      </c>
      <c r="AB109" s="8">
        <f>IFERROR(__xludf.DUMMYFUNCTION("""COMPUTED_VALUE"""),0.0)</f>
        <v>0</v>
      </c>
      <c r="AC109" s="8">
        <f>IFERROR(__xludf.DUMMYFUNCTION("""COMPUTED_VALUE"""),0.0)</f>
        <v>0</v>
      </c>
    </row>
    <row r="110" ht="15.75" customHeight="1">
      <c r="A110" s="6" t="str">
        <f>IFERROR(__xludf.DUMMYFUNCTION("""COMPUTED_VALUE"""),"57ebfa5b58a3257a521a5b9c12c5af19771e4403")</f>
        <v>57ebfa5b58a3257a521a5b9c12c5af19771e4403</v>
      </c>
      <c r="B110" s="6" t="str">
        <f>IFERROR(__xludf.DUMMYFUNCTION("""COMPUTED_VALUE"""),"Unmasking the Bride")</f>
        <v>Unmasking the Bride</v>
      </c>
      <c r="C110" s="6" t="str">
        <f>IFERROR(__xludf.DUMMYFUNCTION("""COMPUTED_VALUE"""),"Romance")</f>
        <v>Romance</v>
      </c>
      <c r="D110" s="11">
        <f>IFERROR(__xludf.DUMMYFUNCTION("""COMPUTED_VALUE"""),1164.0)</f>
        <v>1164</v>
      </c>
      <c r="E110" s="8">
        <f>IFERROR(__xludf.DUMMYFUNCTION("""COMPUTED_VALUE"""),0.743986254295532)</f>
        <v>0.7439862543</v>
      </c>
      <c r="F110" s="8">
        <f>IFERROR(__xludf.DUMMYFUNCTION("""COMPUTED_VALUE"""),0.373711340206185)</f>
        <v>0.3737113402</v>
      </c>
      <c r="G110" s="8">
        <f>IFERROR(__xludf.DUMMYFUNCTION("""COMPUTED_VALUE"""),0.322164948453608)</f>
        <v>0.3221649485</v>
      </c>
      <c r="H110" s="8">
        <f>IFERROR(__xludf.DUMMYFUNCTION("""COMPUTED_VALUE"""),0.295532646048109)</f>
        <v>0.295532646</v>
      </c>
      <c r="I110" s="8">
        <f>IFERROR(__xludf.DUMMYFUNCTION("""COMPUTED_VALUE"""),0.282029234737747)</f>
        <v>0.2820292347</v>
      </c>
      <c r="J110" s="8">
        <f>IFERROR(__xludf.DUMMYFUNCTION("""COMPUTED_VALUE"""),0.269363166953528)</f>
        <v>0.269363167</v>
      </c>
      <c r="K110" s="8">
        <f>IFERROR(__xludf.DUMMYFUNCTION("""COMPUTED_VALUE"""),0.253448275862069)</f>
        <v>0.2534482759</v>
      </c>
      <c r="L110" s="8">
        <f>IFERROR(__xludf.DUMMYFUNCTION("""COMPUTED_VALUE"""),0.24051724137931)</f>
        <v>0.2405172414</v>
      </c>
      <c r="M110" s="8">
        <f>IFERROR(__xludf.DUMMYFUNCTION("""COMPUTED_VALUE"""),0.224525043177892)</f>
        <v>0.2245250432</v>
      </c>
      <c r="N110" s="8">
        <f>IFERROR(__xludf.DUMMYFUNCTION("""COMPUTED_VALUE"""),0.213852813852813)</f>
        <v>0.2138528139</v>
      </c>
      <c r="O110" s="8">
        <f>IFERROR(__xludf.DUMMYFUNCTION("""COMPUTED_VALUE"""),0.193661971830985)</f>
        <v>0.1936619718</v>
      </c>
      <c r="P110" s="8">
        <f>IFERROR(__xludf.DUMMYFUNCTION("""COMPUTED_VALUE"""),0.116920152091254)</f>
        <v>0.1169201521</v>
      </c>
      <c r="Q110" s="8">
        <f>IFERROR(__xludf.DUMMYFUNCTION("""COMPUTED_VALUE"""),0.0382716049382716)</f>
        <v>0.03827160494</v>
      </c>
      <c r="R110" s="8">
        <f>IFERROR(__xludf.DUMMYFUNCTION("""COMPUTED_VALUE"""),0.0)</f>
        <v>0</v>
      </c>
      <c r="S110" s="8">
        <f>IFERROR(__xludf.DUMMYFUNCTION("""COMPUTED_VALUE"""),0.0)</f>
        <v>0</v>
      </c>
      <c r="T110" s="8">
        <f>IFERROR(__xludf.DUMMYFUNCTION("""COMPUTED_VALUE"""),0.0)</f>
        <v>0</v>
      </c>
      <c r="U110" s="8">
        <f>IFERROR(__xludf.DUMMYFUNCTION("""COMPUTED_VALUE"""),0.0)</f>
        <v>0</v>
      </c>
      <c r="V110" s="8">
        <f>IFERROR(__xludf.DUMMYFUNCTION("""COMPUTED_VALUE"""),0.0)</f>
        <v>0</v>
      </c>
      <c r="W110" s="8">
        <f>IFERROR(__xludf.DUMMYFUNCTION("""COMPUTED_VALUE"""),0.0)</f>
        <v>0</v>
      </c>
      <c r="X110" s="8">
        <f>IFERROR(__xludf.DUMMYFUNCTION("""COMPUTED_VALUE"""),0.0)</f>
        <v>0</v>
      </c>
      <c r="Y110" s="8">
        <f>IFERROR(__xludf.DUMMYFUNCTION("""COMPUTED_VALUE"""),0.0)</f>
        <v>0</v>
      </c>
      <c r="Z110" s="8">
        <f>IFERROR(__xludf.DUMMYFUNCTION("""COMPUTED_VALUE"""),0.0)</f>
        <v>0</v>
      </c>
      <c r="AA110" s="8">
        <f>IFERROR(__xludf.DUMMYFUNCTION("""COMPUTED_VALUE"""),0.0)</f>
        <v>0</v>
      </c>
      <c r="AB110" s="8">
        <f>IFERROR(__xludf.DUMMYFUNCTION("""COMPUTED_VALUE"""),0.0)</f>
        <v>0</v>
      </c>
      <c r="AC110" s="8">
        <f>IFERROR(__xludf.DUMMYFUNCTION("""COMPUTED_VALUE"""),0.0)</f>
        <v>0</v>
      </c>
    </row>
    <row r="111" ht="15.75" customHeight="1">
      <c r="A111" s="6" t="str">
        <f>IFERROR(__xludf.DUMMYFUNCTION("""COMPUTED_VALUE"""),"5843f25ac24c8ba34301e2cfe9e73ddc0bfd8fc7")</f>
        <v>5843f25ac24c8ba34301e2cfe9e73ddc0bfd8fc7</v>
      </c>
      <c r="B111" s="6" t="str">
        <f>IFERROR(__xludf.DUMMYFUNCTION("""COMPUTED_VALUE"""),"The Fire Reborn Xavier")</f>
        <v>The Fire Reborn Xavier</v>
      </c>
      <c r="C111" s="6" t="str">
        <f>IFERROR(__xludf.DUMMYFUNCTION("""COMPUTED_VALUE"""),"System and Superpower")</f>
        <v>System and Superpower</v>
      </c>
      <c r="D111" s="11">
        <f>IFERROR(__xludf.DUMMYFUNCTION("""COMPUTED_VALUE"""),1600.0)</f>
        <v>1600</v>
      </c>
      <c r="E111" s="8">
        <f>IFERROR(__xludf.DUMMYFUNCTION("""COMPUTED_VALUE"""),0.976875)</f>
        <v>0.976875</v>
      </c>
      <c r="F111" s="8">
        <f>IFERROR(__xludf.DUMMYFUNCTION("""COMPUTED_VALUE"""),0.459324155193992)</f>
        <v>0.4593241552</v>
      </c>
      <c r="G111" s="8">
        <f>IFERROR(__xludf.DUMMYFUNCTION("""COMPUTED_VALUE"""),0.380653266331658)</f>
        <v>0.3806532663</v>
      </c>
      <c r="H111" s="8">
        <f>IFERROR(__xludf.DUMMYFUNCTION("""COMPUTED_VALUE"""),0.333333333333333)</f>
        <v>0.3333333333</v>
      </c>
      <c r="I111" s="8">
        <f>IFERROR(__xludf.DUMMYFUNCTION("""COMPUTED_VALUE"""),0.306277742549143)</f>
        <v>0.3062777425</v>
      </c>
      <c r="J111" s="8">
        <f>IFERROR(__xludf.DUMMYFUNCTION("""COMPUTED_VALUE"""),0.276774193548387)</f>
        <v>0.2767741935</v>
      </c>
      <c r="K111" s="8">
        <f>IFERROR(__xludf.DUMMYFUNCTION("""COMPUTED_VALUE"""),0.25131926121372)</f>
        <v>0.2513192612</v>
      </c>
      <c r="L111" s="8">
        <f>IFERROR(__xludf.DUMMYFUNCTION("""COMPUTED_VALUE"""),0.241666666666666)</f>
        <v>0.2416666667</v>
      </c>
      <c r="M111" s="8">
        <f>IFERROR(__xludf.DUMMYFUNCTION("""COMPUTED_VALUE"""),0.225146198830409)</f>
        <v>0.2251461988</v>
      </c>
      <c r="N111" s="8">
        <f>IFERROR(__xludf.DUMMYFUNCTION("""COMPUTED_VALUE"""),0.205287713841368)</f>
        <v>0.2052877138</v>
      </c>
      <c r="O111" s="8">
        <f>IFERROR(__xludf.DUMMYFUNCTION("""COMPUTED_VALUE"""),0.139043381535038)</f>
        <v>0.1390433815</v>
      </c>
      <c r="P111" s="8">
        <f>IFERROR(__xludf.DUMMYFUNCTION("""COMPUTED_VALUE"""),0.119507908611599)</f>
        <v>0.1195079086</v>
      </c>
      <c r="Q111" s="8">
        <f>IFERROR(__xludf.DUMMYFUNCTION("""COMPUTED_VALUE"""),0.074656188605108)</f>
        <v>0.07465618861</v>
      </c>
      <c r="R111" s="8">
        <f>IFERROR(__xludf.DUMMYFUNCTION("""COMPUTED_VALUE"""),0.0704697986577181)</f>
        <v>0.07046979866</v>
      </c>
      <c r="S111" s="8">
        <f>IFERROR(__xludf.DUMMYFUNCTION("""COMPUTED_VALUE"""),0.0424528301886792)</f>
        <v>0.04245283019</v>
      </c>
      <c r="T111" s="8">
        <f>IFERROR(__xludf.DUMMYFUNCTION("""COMPUTED_VALUE"""),0.00775193798449612)</f>
        <v>0.007751937984</v>
      </c>
      <c r="U111" s="8">
        <f>IFERROR(__xludf.DUMMYFUNCTION("""COMPUTED_VALUE"""),0.0)</f>
        <v>0</v>
      </c>
      <c r="V111" s="8">
        <f>IFERROR(__xludf.DUMMYFUNCTION("""COMPUTED_VALUE"""),0.0)</f>
        <v>0</v>
      </c>
      <c r="W111" s="8">
        <f>IFERROR(__xludf.DUMMYFUNCTION("""COMPUTED_VALUE"""),0.0)</f>
        <v>0</v>
      </c>
      <c r="X111" s="8">
        <f>IFERROR(__xludf.DUMMYFUNCTION("""COMPUTED_VALUE"""),0.0)</f>
        <v>0</v>
      </c>
      <c r="Y111" s="8">
        <f>IFERROR(__xludf.DUMMYFUNCTION("""COMPUTED_VALUE"""),0.0)</f>
        <v>0</v>
      </c>
      <c r="Z111" s="8">
        <f>IFERROR(__xludf.DUMMYFUNCTION("""COMPUTED_VALUE"""),0.0)</f>
        <v>0</v>
      </c>
      <c r="AA111" s="8">
        <f>IFERROR(__xludf.DUMMYFUNCTION("""COMPUTED_VALUE"""),0.0)</f>
        <v>0</v>
      </c>
      <c r="AB111" s="8">
        <f>IFERROR(__xludf.DUMMYFUNCTION("""COMPUTED_VALUE"""),0.0)</f>
        <v>0</v>
      </c>
      <c r="AC111" s="8">
        <f>IFERROR(__xludf.DUMMYFUNCTION("""COMPUTED_VALUE"""),0.0)</f>
        <v>0</v>
      </c>
    </row>
    <row r="112" ht="15.75" customHeight="1">
      <c r="A112" s="6" t="str">
        <f>IFERROR(__xludf.DUMMYFUNCTION("""COMPUTED_VALUE"""),"596d213162507bbf543b3c2a618f8bb54acd4623")</f>
        <v>596d213162507bbf543b3c2a618f8bb54acd4623</v>
      </c>
      <c r="B112" s="6" t="str">
        <f>IFERROR(__xludf.DUMMYFUNCTION("""COMPUTED_VALUE"""),"Echoes of Regrets")</f>
        <v>Echoes of Regrets</v>
      </c>
      <c r="C112" s="6" t="str">
        <f>IFERROR(__xludf.DUMMYFUNCTION("""COMPUTED_VALUE"""),"Romance")</f>
        <v>Romance</v>
      </c>
      <c r="D112" s="11">
        <f>IFERROR(__xludf.DUMMYFUNCTION("""COMPUTED_VALUE"""),809.0)</f>
        <v>809</v>
      </c>
      <c r="E112" s="8">
        <f>IFERROR(__xludf.DUMMYFUNCTION("""COMPUTED_VALUE"""),0.978316326530612)</f>
        <v>0.9783163265</v>
      </c>
      <c r="F112" s="8">
        <f>IFERROR(__xludf.DUMMYFUNCTION("""COMPUTED_VALUE"""),0.51766304347826)</f>
        <v>0.5176630435</v>
      </c>
      <c r="G112" s="8">
        <f>IFERROR(__xludf.DUMMYFUNCTION("""COMPUTED_VALUE"""),0.384722222222222)</f>
        <v>0.3847222222</v>
      </c>
      <c r="H112" s="8">
        <f>IFERROR(__xludf.DUMMYFUNCTION("""COMPUTED_VALUE"""),0.277936962750716)</f>
        <v>0.2779369628</v>
      </c>
      <c r="I112" s="8">
        <f>IFERROR(__xludf.DUMMYFUNCTION("""COMPUTED_VALUE"""),0.223858615611192)</f>
        <v>0.2238586156</v>
      </c>
      <c r="J112" s="8">
        <f>IFERROR(__xludf.DUMMYFUNCTION("""COMPUTED_VALUE"""),0.187306501547987)</f>
        <v>0.1873065015</v>
      </c>
      <c r="K112" s="8">
        <f>IFERROR(__xludf.DUMMYFUNCTION("""COMPUTED_VALUE"""),0.165354330708661)</f>
        <v>0.1653543307</v>
      </c>
      <c r="L112" s="8">
        <f>IFERROR(__xludf.DUMMYFUNCTION("""COMPUTED_VALUE"""),0.155258764607679)</f>
        <v>0.1552587646</v>
      </c>
      <c r="M112" s="8">
        <f>IFERROR(__xludf.DUMMYFUNCTION("""COMPUTED_VALUE"""),0.134948096885813)</f>
        <v>0.1349480969</v>
      </c>
      <c r="N112" s="8">
        <f>IFERROR(__xludf.DUMMYFUNCTION("""COMPUTED_VALUE"""),0.0889679715302491)</f>
        <v>0.08896797153</v>
      </c>
      <c r="O112" s="8">
        <f>IFERROR(__xludf.DUMMYFUNCTION("""COMPUTED_VALUE"""),0.0772058823529411)</f>
        <v>0.07720588235</v>
      </c>
      <c r="P112" s="8">
        <f>IFERROR(__xludf.DUMMYFUNCTION("""COMPUTED_VALUE"""),0.0662983425414364)</f>
        <v>0.06629834254</v>
      </c>
      <c r="Q112" s="8">
        <f>IFERROR(__xludf.DUMMYFUNCTION("""COMPUTED_VALUE"""),0.0463157894736842)</f>
        <v>0.04631578947</v>
      </c>
      <c r="R112" s="8">
        <f>IFERROR(__xludf.DUMMYFUNCTION("""COMPUTED_VALUE"""),0.0113636363636363)</f>
        <v>0.01136363636</v>
      </c>
      <c r="S112" s="8">
        <f>IFERROR(__xludf.DUMMYFUNCTION("""COMPUTED_VALUE"""),0.0)</f>
        <v>0</v>
      </c>
      <c r="T112" s="8">
        <f>IFERROR(__xludf.DUMMYFUNCTION("""COMPUTED_VALUE"""),0.0)</f>
        <v>0</v>
      </c>
      <c r="U112" s="8">
        <f>IFERROR(__xludf.DUMMYFUNCTION("""COMPUTED_VALUE"""),0.0)</f>
        <v>0</v>
      </c>
      <c r="V112" s="8">
        <f>IFERROR(__xludf.DUMMYFUNCTION("""COMPUTED_VALUE"""),0.0)</f>
        <v>0</v>
      </c>
      <c r="W112" s="8">
        <f>IFERROR(__xludf.DUMMYFUNCTION("""COMPUTED_VALUE"""),0.0)</f>
        <v>0</v>
      </c>
      <c r="X112" s="8">
        <f>IFERROR(__xludf.DUMMYFUNCTION("""COMPUTED_VALUE"""),0.0)</f>
        <v>0</v>
      </c>
      <c r="Y112" s="8">
        <f>IFERROR(__xludf.DUMMYFUNCTION("""COMPUTED_VALUE"""),0.0)</f>
        <v>0</v>
      </c>
      <c r="Z112" s="8">
        <f>IFERROR(__xludf.DUMMYFUNCTION("""COMPUTED_VALUE"""),0.0)</f>
        <v>0</v>
      </c>
      <c r="AA112" s="8">
        <f>IFERROR(__xludf.DUMMYFUNCTION("""COMPUTED_VALUE"""),0.0)</f>
        <v>0</v>
      </c>
      <c r="AB112" s="8">
        <f>IFERROR(__xludf.DUMMYFUNCTION("""COMPUTED_VALUE"""),0.0)</f>
        <v>0</v>
      </c>
      <c r="AC112" s="8">
        <f>IFERROR(__xludf.DUMMYFUNCTION("""COMPUTED_VALUE"""),0.0)</f>
        <v>0</v>
      </c>
    </row>
    <row r="113" ht="15.75" customHeight="1">
      <c r="A113" s="6" t="str">
        <f>IFERROR(__xludf.DUMMYFUNCTION("""COMPUTED_VALUE"""),"5c0a4a3bda3c16a4ed94c8945bade52e165a2848")</f>
        <v>5c0a4a3bda3c16a4ed94c8945bade52e165a2848</v>
      </c>
      <c r="B113" s="6" t="str">
        <f>IFERROR(__xludf.DUMMYFUNCTION("""COMPUTED_VALUE"""),"Bound to Reclusive Alpha")</f>
        <v>Bound to Reclusive Alpha</v>
      </c>
      <c r="C113" s="6" t="str">
        <f>IFERROR(__xludf.DUMMYFUNCTION("""COMPUTED_VALUE"""),"Fantasy")</f>
        <v>Fantasy</v>
      </c>
      <c r="D113" s="11">
        <f>IFERROR(__xludf.DUMMYFUNCTION("""COMPUTED_VALUE"""),2409.0)</f>
        <v>2409</v>
      </c>
      <c r="E113" s="8">
        <f>IFERROR(__xludf.DUMMYFUNCTION("""COMPUTED_VALUE"""),0.976744186046511)</f>
        <v>0.976744186</v>
      </c>
      <c r="F113" s="8">
        <f>IFERROR(__xludf.DUMMYFUNCTION("""COMPUTED_VALUE"""),0.431364392678868)</f>
        <v>0.4313643927</v>
      </c>
      <c r="G113" s="8">
        <f>IFERROR(__xludf.DUMMYFUNCTION("""COMPUTED_VALUE"""),0.359865940511101)</f>
        <v>0.3598659405</v>
      </c>
      <c r="H113" s="8">
        <f>IFERROR(__xludf.DUMMYFUNCTION("""COMPUTED_VALUE"""),0.327959270258803)</f>
        <v>0.3279592703</v>
      </c>
      <c r="I113" s="8">
        <f>IFERROR(__xludf.DUMMYFUNCTION("""COMPUTED_VALUE"""),0.299276287782034)</f>
        <v>0.2992762878</v>
      </c>
      <c r="J113" s="8">
        <f>IFERROR(__xludf.DUMMYFUNCTION("""COMPUTED_VALUE"""),0.268983268983268)</f>
        <v>0.268983269</v>
      </c>
      <c r="K113" s="8">
        <f>IFERROR(__xludf.DUMMYFUNCTION("""COMPUTED_VALUE"""),0.245372363323288)</f>
        <v>0.2453723633</v>
      </c>
      <c r="L113" s="8">
        <f>IFERROR(__xludf.DUMMYFUNCTION("""COMPUTED_VALUE"""),0.229565217391304)</f>
        <v>0.2295652174</v>
      </c>
      <c r="M113" s="8">
        <f>IFERROR(__xludf.DUMMYFUNCTION("""COMPUTED_VALUE"""),0.203991130820399)</f>
        <v>0.2039911308</v>
      </c>
      <c r="N113" s="8">
        <f>IFERROR(__xludf.DUMMYFUNCTION("""COMPUTED_VALUE"""),0.184400360685302)</f>
        <v>0.1844003607</v>
      </c>
      <c r="O113" s="8">
        <f>IFERROR(__xludf.DUMMYFUNCTION("""COMPUTED_VALUE"""),0.136720796228391)</f>
        <v>0.1367207962</v>
      </c>
      <c r="P113" s="8">
        <f>IFERROR(__xludf.DUMMYFUNCTION("""COMPUTED_VALUE"""),0.109058402860548)</f>
        <v>0.1090584029</v>
      </c>
      <c r="Q113" s="8">
        <f>IFERROR(__xludf.DUMMYFUNCTION("""COMPUTED_VALUE"""),0.01578627808136)</f>
        <v>0.01578627808</v>
      </c>
      <c r="R113" s="8">
        <f>IFERROR(__xludf.DUMMYFUNCTION("""COMPUTED_VALUE"""),0.0245398773006134)</f>
        <v>0.0245398773</v>
      </c>
      <c r="S113" s="8">
        <f>IFERROR(__xludf.DUMMYFUNCTION("""COMPUTED_VALUE"""),0.03125)</f>
        <v>0.03125</v>
      </c>
      <c r="T113" s="8">
        <f>IFERROR(__xludf.DUMMYFUNCTION("""COMPUTED_VALUE"""),0.0)</f>
        <v>0</v>
      </c>
      <c r="U113" s="8">
        <f>IFERROR(__xludf.DUMMYFUNCTION("""COMPUTED_VALUE"""),0.0)</f>
        <v>0</v>
      </c>
      <c r="V113" s="8">
        <f>IFERROR(__xludf.DUMMYFUNCTION("""COMPUTED_VALUE"""),0.0)</f>
        <v>0</v>
      </c>
      <c r="W113" s="8">
        <f>IFERROR(__xludf.DUMMYFUNCTION("""COMPUTED_VALUE"""),0.0)</f>
        <v>0</v>
      </c>
      <c r="X113" s="8">
        <f>IFERROR(__xludf.DUMMYFUNCTION("""COMPUTED_VALUE"""),0.0)</f>
        <v>0</v>
      </c>
      <c r="Y113" s="8">
        <f>IFERROR(__xludf.DUMMYFUNCTION("""COMPUTED_VALUE"""),0.0)</f>
        <v>0</v>
      </c>
      <c r="Z113" s="8">
        <f>IFERROR(__xludf.DUMMYFUNCTION("""COMPUTED_VALUE"""),0.0)</f>
        <v>0</v>
      </c>
      <c r="AA113" s="8">
        <f>IFERROR(__xludf.DUMMYFUNCTION("""COMPUTED_VALUE"""),0.0)</f>
        <v>0</v>
      </c>
      <c r="AB113" s="8">
        <f>IFERROR(__xludf.DUMMYFUNCTION("""COMPUTED_VALUE"""),0.0)</f>
        <v>0</v>
      </c>
      <c r="AC113" s="8">
        <f>IFERROR(__xludf.DUMMYFUNCTION("""COMPUTED_VALUE"""),0.0)</f>
        <v>0</v>
      </c>
    </row>
    <row r="114" ht="15.75" customHeight="1">
      <c r="A114" s="6" t="str">
        <f>IFERROR(__xludf.DUMMYFUNCTION("""COMPUTED_VALUE"""),"5cf4b46f18d6bb7294440595874ef70922a2b9a3")</f>
        <v>5cf4b46f18d6bb7294440595874ef70922a2b9a3</v>
      </c>
      <c r="B114" s="6" t="str">
        <f>IFERROR(__xludf.DUMMYFUNCTION("""COMPUTED_VALUE"""),"Alabama Royal")</f>
        <v>Alabama Royal</v>
      </c>
      <c r="C114" s="6" t="str">
        <f>IFERROR(__xludf.DUMMYFUNCTION("""COMPUTED_VALUE"""),"Romance")</f>
        <v>Romance</v>
      </c>
      <c r="D114" s="11">
        <f>IFERROR(__xludf.DUMMYFUNCTION("""COMPUTED_VALUE"""),1511.0)</f>
        <v>1511</v>
      </c>
      <c r="E114" s="8">
        <f>IFERROR(__xludf.DUMMYFUNCTION("""COMPUTED_VALUE"""),0.978779840848806)</f>
        <v>0.9787798408</v>
      </c>
      <c r="F114" s="8">
        <f>IFERROR(__xludf.DUMMYFUNCTION("""COMPUTED_VALUE"""),0.416445623342175)</f>
        <v>0.4164456233</v>
      </c>
      <c r="G114" s="8">
        <f>IFERROR(__xludf.DUMMYFUNCTION("""COMPUTED_VALUE"""),0.36472148541114)</f>
        <v>0.3647214854</v>
      </c>
      <c r="H114" s="8">
        <f>IFERROR(__xludf.DUMMYFUNCTION("""COMPUTED_VALUE"""),0.338645418326693)</f>
        <v>0.3386454183</v>
      </c>
      <c r="I114" s="8">
        <f>IFERROR(__xludf.DUMMYFUNCTION("""COMPUTED_VALUE"""),0.315159574468085)</f>
        <v>0.3151595745</v>
      </c>
      <c r="J114" s="8">
        <f>IFERROR(__xludf.DUMMYFUNCTION("""COMPUTED_VALUE"""),0.280106453759148)</f>
        <v>0.2801064538</v>
      </c>
      <c r="K114" s="8">
        <f>IFERROR(__xludf.DUMMYFUNCTION("""COMPUTED_VALUE"""),0.268357810413885)</f>
        <v>0.2683578104</v>
      </c>
      <c r="L114" s="8">
        <f>IFERROR(__xludf.DUMMYFUNCTION("""COMPUTED_VALUE"""),0.253511705685618)</f>
        <v>0.2535117057</v>
      </c>
      <c r="M114" s="8">
        <f>IFERROR(__xludf.DUMMYFUNCTION("""COMPUTED_VALUE"""),0.241795043536503)</f>
        <v>0.2417950435</v>
      </c>
      <c r="N114" s="8">
        <f>IFERROR(__xludf.DUMMYFUNCTION("""COMPUTED_VALUE"""),0.232904536222071)</f>
        <v>0.2329045362</v>
      </c>
      <c r="O114" s="8">
        <f>IFERROR(__xludf.DUMMYFUNCTION("""COMPUTED_VALUE"""),0.198218262806236)</f>
        <v>0.1982182628</v>
      </c>
      <c r="P114" s="8">
        <f>IFERROR(__xludf.DUMMYFUNCTION("""COMPUTED_VALUE"""),0.177742193755004)</f>
        <v>0.1777421938</v>
      </c>
      <c r="Q114" s="8">
        <f>IFERROR(__xludf.DUMMYFUNCTION("""COMPUTED_VALUE"""),0.129523809523809)</f>
        <v>0.1295238095</v>
      </c>
      <c r="R114" s="8">
        <f>IFERROR(__xludf.DUMMYFUNCTION("""COMPUTED_VALUE"""),0.0)</f>
        <v>0</v>
      </c>
      <c r="S114" s="8">
        <f>IFERROR(__xludf.DUMMYFUNCTION("""COMPUTED_VALUE"""),0.0)</f>
        <v>0</v>
      </c>
      <c r="T114" s="8">
        <f>IFERROR(__xludf.DUMMYFUNCTION("""COMPUTED_VALUE"""),0.0)</f>
        <v>0</v>
      </c>
      <c r="U114" s="8">
        <f>IFERROR(__xludf.DUMMYFUNCTION("""COMPUTED_VALUE"""),0.0)</f>
        <v>0</v>
      </c>
      <c r="V114" s="8">
        <f>IFERROR(__xludf.DUMMYFUNCTION("""COMPUTED_VALUE"""),0.0)</f>
        <v>0</v>
      </c>
      <c r="W114" s="8">
        <f>IFERROR(__xludf.DUMMYFUNCTION("""COMPUTED_VALUE"""),0.0)</f>
        <v>0</v>
      </c>
      <c r="X114" s="8">
        <f>IFERROR(__xludf.DUMMYFUNCTION("""COMPUTED_VALUE"""),0.0)</f>
        <v>0</v>
      </c>
      <c r="Y114" s="8">
        <f>IFERROR(__xludf.DUMMYFUNCTION("""COMPUTED_VALUE"""),0.0)</f>
        <v>0</v>
      </c>
      <c r="Z114" s="8">
        <f>IFERROR(__xludf.DUMMYFUNCTION("""COMPUTED_VALUE"""),0.0)</f>
        <v>0</v>
      </c>
      <c r="AA114" s="8">
        <f>IFERROR(__xludf.DUMMYFUNCTION("""COMPUTED_VALUE"""),0.0)</f>
        <v>0</v>
      </c>
      <c r="AB114" s="8">
        <f>IFERROR(__xludf.DUMMYFUNCTION("""COMPUTED_VALUE"""),0.0)</f>
        <v>0</v>
      </c>
      <c r="AC114" s="8">
        <f>IFERROR(__xludf.DUMMYFUNCTION("""COMPUTED_VALUE"""),0.0)</f>
        <v>0</v>
      </c>
    </row>
    <row r="115" ht="15.75" customHeight="1">
      <c r="A115" s="6" t="str">
        <f>IFERROR(__xludf.DUMMYFUNCTION("""COMPUTED_VALUE"""),"5d4e7e8696e74e383e0ea0e4f4f535ba9758496a")</f>
        <v>5d4e7e8696e74e383e0ea0e4f4f535ba9758496a</v>
      </c>
      <c r="B115" s="6" t="str">
        <f>IFERROR(__xludf.DUMMYFUNCTION("""COMPUTED_VALUE"""),"Who Fathered My Twins")</f>
        <v>Who Fathered My Twins</v>
      </c>
      <c r="C115" s="6" t="str">
        <f>IFERROR(__xludf.DUMMYFUNCTION("""COMPUTED_VALUE"""),"Romance")</f>
        <v>Romance</v>
      </c>
      <c r="D115" s="11">
        <f>IFERROR(__xludf.DUMMYFUNCTION("""COMPUTED_VALUE"""),962.0)</f>
        <v>962</v>
      </c>
      <c r="E115" s="8">
        <f>IFERROR(__xludf.DUMMYFUNCTION("""COMPUTED_VALUE"""),0.956204379562043)</f>
        <v>0.9562043796</v>
      </c>
      <c r="F115" s="8">
        <f>IFERROR(__xludf.DUMMYFUNCTION("""COMPUTED_VALUE"""),0.449426485922836)</f>
        <v>0.4494264859</v>
      </c>
      <c r="G115" s="8">
        <f>IFERROR(__xludf.DUMMYFUNCTION("""COMPUTED_VALUE"""),0.396029258098223)</f>
        <v>0.3960292581</v>
      </c>
      <c r="H115" s="8">
        <f>IFERROR(__xludf.DUMMYFUNCTION("""COMPUTED_VALUE"""),0.376050420168067)</f>
        <v>0.3760504202</v>
      </c>
      <c r="I115" s="8">
        <f>IFERROR(__xludf.DUMMYFUNCTION("""COMPUTED_VALUE"""),0.339642481598317)</f>
        <v>0.3396424816</v>
      </c>
      <c r="J115" s="8">
        <f>IFERROR(__xludf.DUMMYFUNCTION("""COMPUTED_VALUE"""),0.350157728706624)</f>
        <v>0.3501577287</v>
      </c>
      <c r="K115" s="8">
        <f>IFERROR(__xludf.DUMMYFUNCTION("""COMPUTED_VALUE"""),0.327024185068349)</f>
        <v>0.3270241851</v>
      </c>
      <c r="L115" s="8">
        <f>IFERROR(__xludf.DUMMYFUNCTION("""COMPUTED_VALUE"""),0.312302839116719)</f>
        <v>0.3123028391</v>
      </c>
      <c r="M115" s="8">
        <f>IFERROR(__xludf.DUMMYFUNCTION("""COMPUTED_VALUE"""),0.302839116719242)</f>
        <v>0.3028391167</v>
      </c>
      <c r="N115" s="8">
        <f>IFERROR(__xludf.DUMMYFUNCTION("""COMPUTED_VALUE"""),0.315450643776824)</f>
        <v>0.3154506438</v>
      </c>
      <c r="O115" s="8">
        <f>IFERROR(__xludf.DUMMYFUNCTION("""COMPUTED_VALUE"""),0.236632536973833)</f>
        <v>0.236632537</v>
      </c>
      <c r="P115" s="8">
        <f>IFERROR(__xludf.DUMMYFUNCTION("""COMPUTED_VALUE"""),0.146399055489964)</f>
        <v>0.1463990555</v>
      </c>
      <c r="Q115" s="8">
        <f>IFERROR(__xludf.DUMMYFUNCTION("""COMPUTED_VALUE"""),0.0569948186528497)</f>
        <v>0.05699481865</v>
      </c>
      <c r="R115" s="8">
        <f>IFERROR(__xludf.DUMMYFUNCTION("""COMPUTED_VALUE"""),0.046)</f>
        <v>0.046</v>
      </c>
      <c r="S115" s="8">
        <f>IFERROR(__xludf.DUMMYFUNCTION("""COMPUTED_VALUE"""),0.0)</f>
        <v>0</v>
      </c>
      <c r="T115" s="8">
        <f>IFERROR(__xludf.DUMMYFUNCTION("""COMPUTED_VALUE"""),0.0)</f>
        <v>0</v>
      </c>
      <c r="U115" s="8">
        <f>IFERROR(__xludf.DUMMYFUNCTION("""COMPUTED_VALUE"""),0.0)</f>
        <v>0</v>
      </c>
      <c r="V115" s="8">
        <f>IFERROR(__xludf.DUMMYFUNCTION("""COMPUTED_VALUE"""),0.0)</f>
        <v>0</v>
      </c>
      <c r="W115" s="8">
        <f>IFERROR(__xludf.DUMMYFUNCTION("""COMPUTED_VALUE"""),0.0)</f>
        <v>0</v>
      </c>
      <c r="X115" s="8">
        <f>IFERROR(__xludf.DUMMYFUNCTION("""COMPUTED_VALUE"""),0.0)</f>
        <v>0</v>
      </c>
      <c r="Y115" s="8">
        <f>IFERROR(__xludf.DUMMYFUNCTION("""COMPUTED_VALUE"""),0.0)</f>
        <v>0</v>
      </c>
      <c r="Z115" s="8">
        <f>IFERROR(__xludf.DUMMYFUNCTION("""COMPUTED_VALUE"""),0.0)</f>
        <v>0</v>
      </c>
      <c r="AA115" s="8">
        <f>IFERROR(__xludf.DUMMYFUNCTION("""COMPUTED_VALUE"""),0.0)</f>
        <v>0</v>
      </c>
      <c r="AB115" s="8">
        <f>IFERROR(__xludf.DUMMYFUNCTION("""COMPUTED_VALUE"""),0.0)</f>
        <v>0</v>
      </c>
      <c r="AC115" s="8">
        <f>IFERROR(__xludf.DUMMYFUNCTION("""COMPUTED_VALUE"""),0.0)</f>
        <v>0</v>
      </c>
    </row>
    <row r="116" ht="15.75" customHeight="1">
      <c r="A116" s="6" t="str">
        <f>IFERROR(__xludf.DUMMYFUNCTION("""COMPUTED_VALUE"""),"5e570d3fccfb5029774b4d9f9669429f580d0791")</f>
        <v>5e570d3fccfb5029774b4d9f9669429f580d0791</v>
      </c>
      <c r="B116" s="6" t="str">
        <f>IFERROR(__xludf.DUMMYFUNCTION("""COMPUTED_VALUE"""),"Princess Ebony &amp; the Silver Dragon")</f>
        <v>Princess Ebony &amp; the Silver Dragon</v>
      </c>
      <c r="C116" s="6" t="str">
        <f>IFERROR(__xludf.DUMMYFUNCTION("""COMPUTED_VALUE"""),"Fantasy")</f>
        <v>Fantasy</v>
      </c>
      <c r="D116" s="11">
        <f>IFERROR(__xludf.DUMMYFUNCTION("""COMPUTED_VALUE"""),5021.0)</f>
        <v>5021</v>
      </c>
      <c r="E116" s="8">
        <f>IFERROR(__xludf.DUMMYFUNCTION("""COMPUTED_VALUE"""),0.839210998206814)</f>
        <v>0.8392109982</v>
      </c>
      <c r="F116" s="8">
        <f>IFERROR(__xludf.DUMMYFUNCTION("""COMPUTED_VALUE"""),0.491721524037502)</f>
        <v>0.491721524</v>
      </c>
      <c r="G116" s="8">
        <f>IFERROR(__xludf.DUMMYFUNCTION("""COMPUTED_VALUE"""),0.440853780171553)</f>
        <v>0.4408537802</v>
      </c>
      <c r="H116" s="8">
        <f>IFERROR(__xludf.DUMMYFUNCTION("""COMPUTED_VALUE"""),0.412527428685417)</f>
        <v>0.4125274287</v>
      </c>
      <c r="I116" s="8">
        <f>IFERROR(__xludf.DUMMYFUNCTION("""COMPUTED_VALUE"""),0.398523248852524)</f>
        <v>0.3985232489</v>
      </c>
      <c r="J116" s="8">
        <f>IFERROR(__xludf.DUMMYFUNCTION("""COMPUTED_VALUE"""),0.38734783476352)</f>
        <v>0.3873478348</v>
      </c>
      <c r="K116" s="8">
        <f>IFERROR(__xludf.DUMMYFUNCTION("""COMPUTED_VALUE"""),0.369061876247504)</f>
        <v>0.3690618762</v>
      </c>
      <c r="L116" s="8">
        <f>IFERROR(__xludf.DUMMYFUNCTION("""COMPUTED_VALUE"""),0.359496704613541)</f>
        <v>0.3594967046</v>
      </c>
      <c r="M116" s="8">
        <f>IFERROR(__xludf.DUMMYFUNCTION("""COMPUTED_VALUE"""),0.35130816856401)</f>
        <v>0.3513081686</v>
      </c>
      <c r="N116" s="8">
        <f>IFERROR(__xludf.DUMMYFUNCTION("""COMPUTED_VALUE"""),0.34398721534159)</f>
        <v>0.3439872153</v>
      </c>
      <c r="O116" s="8">
        <f>IFERROR(__xludf.DUMMYFUNCTION("""COMPUTED_VALUE"""),0.317409554267439)</f>
        <v>0.3174095543</v>
      </c>
      <c r="P116" s="8">
        <f>IFERROR(__xludf.DUMMYFUNCTION("""COMPUTED_VALUE"""),0.276489404238304)</f>
        <v>0.2764894042</v>
      </c>
      <c r="Q116" s="8">
        <f>IFERROR(__xludf.DUMMYFUNCTION("""COMPUTED_VALUE"""),0.228147554129911)</f>
        <v>0.2281475541</v>
      </c>
      <c r="R116" s="8">
        <f>IFERROR(__xludf.DUMMYFUNCTION("""COMPUTED_VALUE"""),0.206502107164358)</f>
        <v>0.2065021072</v>
      </c>
      <c r="S116" s="8">
        <f>IFERROR(__xludf.DUMMYFUNCTION("""COMPUTED_VALUE"""),0.179518072289156)</f>
        <v>0.1795180723</v>
      </c>
      <c r="T116" s="8">
        <f>IFERROR(__xludf.DUMMYFUNCTION("""COMPUTED_VALUE"""),0.152811244979919)</f>
        <v>0.152811245</v>
      </c>
      <c r="U116" s="8">
        <f>IFERROR(__xludf.DUMMYFUNCTION("""COMPUTED_VALUE"""),0.139723414401526)</f>
        <v>0.1397234144</v>
      </c>
      <c r="V116" s="8">
        <f>IFERROR(__xludf.DUMMYFUNCTION("""COMPUTED_VALUE"""),0.123875432525951)</f>
        <v>0.1238754325</v>
      </c>
      <c r="W116" s="8">
        <f>IFERROR(__xludf.DUMMYFUNCTION("""COMPUTED_VALUE"""),0.107932379713914)</f>
        <v>0.1079323797</v>
      </c>
      <c r="X116" s="8">
        <f>IFERROR(__xludf.DUMMYFUNCTION("""COMPUTED_VALUE"""),0.0269058295964125)</f>
        <v>0.0269058296</v>
      </c>
      <c r="Y116" s="8">
        <f>IFERROR(__xludf.DUMMYFUNCTION("""COMPUTED_VALUE"""),0.103658536585365)</f>
        <v>0.1036585366</v>
      </c>
      <c r="Z116" s="8">
        <f>IFERROR(__xludf.DUMMYFUNCTION("""COMPUTED_VALUE"""),0.0)</f>
        <v>0</v>
      </c>
      <c r="AA116" s="8">
        <f>IFERROR(__xludf.DUMMYFUNCTION("""COMPUTED_VALUE"""),0.0)</f>
        <v>0</v>
      </c>
      <c r="AB116" s="8">
        <f>IFERROR(__xludf.DUMMYFUNCTION("""COMPUTED_VALUE"""),0.0)</f>
        <v>0</v>
      </c>
      <c r="AC116" s="8">
        <f>IFERROR(__xludf.DUMMYFUNCTION("""COMPUTED_VALUE"""),0.0)</f>
        <v>0</v>
      </c>
    </row>
    <row r="117" ht="15.75" customHeight="1">
      <c r="A117" s="6" t="str">
        <f>IFERROR(__xludf.DUMMYFUNCTION("""COMPUTED_VALUE"""),"600fd3dce36442cc62b42d3dc874d91d13e1d8e4")</f>
        <v>600fd3dce36442cc62b42d3dc874d91d13e1d8e4</v>
      </c>
      <c r="B117" s="6" t="str">
        <f>IFERROR(__xludf.DUMMYFUNCTION("""COMPUTED_VALUE"""),"Solo Leveling Respawn")</f>
        <v>Solo Leveling Respawn</v>
      </c>
      <c r="C117" s="6" t="str">
        <f>IFERROR(__xludf.DUMMYFUNCTION("""COMPUTED_VALUE"""),"System and Superpower")</f>
        <v>System and Superpower</v>
      </c>
      <c r="D117" s="11">
        <f>IFERROR(__xludf.DUMMYFUNCTION("""COMPUTED_VALUE"""),322.0)</f>
        <v>322</v>
      </c>
      <c r="E117" s="8">
        <f>IFERROR(__xludf.DUMMYFUNCTION("""COMPUTED_VALUE"""),0.968944099378882)</f>
        <v>0.9689440994</v>
      </c>
      <c r="F117" s="8">
        <f>IFERROR(__xludf.DUMMYFUNCTION("""COMPUTED_VALUE"""),0.414330218068535)</f>
        <v>0.4143302181</v>
      </c>
      <c r="G117" s="8">
        <f>IFERROR(__xludf.DUMMYFUNCTION("""COMPUTED_VALUE"""),0.304075235109717)</f>
        <v>0.3040752351</v>
      </c>
      <c r="H117" s="8">
        <f>IFERROR(__xludf.DUMMYFUNCTION("""COMPUTED_VALUE"""),0.268987341772151)</f>
        <v>0.2689873418</v>
      </c>
      <c r="I117" s="8">
        <f>IFERROR(__xludf.DUMMYFUNCTION("""COMPUTED_VALUE"""),0.246006389776357)</f>
        <v>0.2460063898</v>
      </c>
      <c r="J117" s="8">
        <f>IFERROR(__xludf.DUMMYFUNCTION("""COMPUTED_VALUE"""),0.212903225806451)</f>
        <v>0.2129032258</v>
      </c>
      <c r="K117" s="8">
        <f>IFERROR(__xludf.DUMMYFUNCTION("""COMPUTED_VALUE"""),0.182410423452768)</f>
        <v>0.1824104235</v>
      </c>
      <c r="L117" s="8">
        <f>IFERROR(__xludf.DUMMYFUNCTION("""COMPUTED_VALUE"""),0.184818481848184)</f>
        <v>0.1848184818</v>
      </c>
      <c r="M117" s="8">
        <f>IFERROR(__xludf.DUMMYFUNCTION("""COMPUTED_VALUE"""),0.180602006688963)</f>
        <v>0.1806020067</v>
      </c>
      <c r="N117" s="8">
        <f>IFERROR(__xludf.DUMMYFUNCTION("""COMPUTED_VALUE"""),0.173469387755102)</f>
        <v>0.1734693878</v>
      </c>
      <c r="O117" s="8">
        <f>IFERROR(__xludf.DUMMYFUNCTION("""COMPUTED_VALUE"""),0.126126126126126)</f>
        <v>0.1261261261</v>
      </c>
      <c r="P117" s="8">
        <f>IFERROR(__xludf.DUMMYFUNCTION("""COMPUTED_VALUE"""),0.109004739336492)</f>
        <v>0.1090047393</v>
      </c>
      <c r="Q117" s="8">
        <f>IFERROR(__xludf.DUMMYFUNCTION("""COMPUTED_VALUE"""),0.0681818181818181)</f>
        <v>0.06818181818</v>
      </c>
      <c r="R117" s="8">
        <f>IFERROR(__xludf.DUMMYFUNCTION("""COMPUTED_VALUE"""),0.0389610389610389)</f>
        <v>0.03896103896</v>
      </c>
      <c r="S117" s="8">
        <f>IFERROR(__xludf.DUMMYFUNCTION("""COMPUTED_VALUE"""),0.0546875)</f>
        <v>0.0546875</v>
      </c>
      <c r="T117" s="8">
        <f>IFERROR(__xludf.DUMMYFUNCTION("""COMPUTED_VALUE"""),0.0373831775700934)</f>
        <v>0.03738317757</v>
      </c>
      <c r="U117" s="8">
        <f>IFERROR(__xludf.DUMMYFUNCTION("""COMPUTED_VALUE"""),0.0454545454545454)</f>
        <v>0.04545454545</v>
      </c>
      <c r="V117" s="8">
        <f>IFERROR(__xludf.DUMMYFUNCTION("""COMPUTED_VALUE"""),0.0289855072463768)</f>
        <v>0.02898550725</v>
      </c>
      <c r="W117" s="8">
        <f>IFERROR(__xludf.DUMMYFUNCTION("""COMPUTED_VALUE"""),0.0)</f>
        <v>0</v>
      </c>
      <c r="X117" s="8">
        <f>IFERROR(__xludf.DUMMYFUNCTION("""COMPUTED_VALUE"""),0.0)</f>
        <v>0</v>
      </c>
      <c r="Y117" s="8">
        <f>IFERROR(__xludf.DUMMYFUNCTION("""COMPUTED_VALUE"""),0.0)</f>
        <v>0</v>
      </c>
      <c r="Z117" s="8">
        <f>IFERROR(__xludf.DUMMYFUNCTION("""COMPUTED_VALUE"""),0.0)</f>
        <v>0</v>
      </c>
      <c r="AA117" s="8">
        <f>IFERROR(__xludf.DUMMYFUNCTION("""COMPUTED_VALUE"""),0.0)</f>
        <v>0</v>
      </c>
      <c r="AB117" s="8">
        <f>IFERROR(__xludf.DUMMYFUNCTION("""COMPUTED_VALUE"""),0.0)</f>
        <v>0</v>
      </c>
      <c r="AC117" s="8">
        <f>IFERROR(__xludf.DUMMYFUNCTION("""COMPUTED_VALUE"""),0.0)</f>
        <v>0</v>
      </c>
    </row>
    <row r="118" ht="15.75" customHeight="1">
      <c r="A118" s="6" t="str">
        <f>IFERROR(__xludf.DUMMYFUNCTION("""COMPUTED_VALUE"""),"607c0f609185406d26ef53f75ec53702dfb292d7")</f>
        <v>607c0f609185406d26ef53f75ec53702dfb292d7</v>
      </c>
      <c r="B118" s="6" t="str">
        <f>IFERROR(__xludf.DUMMYFUNCTION("""COMPUTED_VALUE"""),"The Chaosborn Child")</f>
        <v>The Chaosborn Child</v>
      </c>
      <c r="C118" s="6" t="str">
        <f>IFERROR(__xludf.DUMMYFUNCTION("""COMPUTED_VALUE"""),"Fantasy")</f>
        <v>Fantasy</v>
      </c>
      <c r="D118" s="11">
        <f>IFERROR(__xludf.DUMMYFUNCTION("""COMPUTED_VALUE"""),694.0)</f>
        <v>694</v>
      </c>
      <c r="E118" s="8">
        <f>IFERROR(__xludf.DUMMYFUNCTION("""COMPUTED_VALUE"""),0.965367965367965)</f>
        <v>0.9653679654</v>
      </c>
      <c r="F118" s="8">
        <f>IFERROR(__xludf.DUMMYFUNCTION("""COMPUTED_VALUE"""),0.525252525252525)</f>
        <v>0.5252525253</v>
      </c>
      <c r="G118" s="8">
        <f>IFERROR(__xludf.DUMMYFUNCTION("""COMPUTED_VALUE"""),0.434971098265896)</f>
        <v>0.4349710983</v>
      </c>
      <c r="H118" s="8">
        <f>IFERROR(__xludf.DUMMYFUNCTION("""COMPUTED_VALUE"""),0.406069364161849)</f>
        <v>0.4060693642</v>
      </c>
      <c r="I118" s="8">
        <f>IFERROR(__xludf.DUMMYFUNCTION("""COMPUTED_VALUE"""),0.377167630057803)</f>
        <v>0.3771676301</v>
      </c>
      <c r="J118" s="8">
        <f>IFERROR(__xludf.DUMMYFUNCTION("""COMPUTED_VALUE"""),0.365747460087082)</f>
        <v>0.3657474601</v>
      </c>
      <c r="K118" s="8">
        <f>IFERROR(__xludf.DUMMYFUNCTION("""COMPUTED_VALUE"""),0.343976777939042)</f>
        <v>0.3439767779</v>
      </c>
      <c r="L118" s="8">
        <f>IFERROR(__xludf.DUMMYFUNCTION("""COMPUTED_VALUE"""),0.314949201741654)</f>
        <v>0.3149492017</v>
      </c>
      <c r="M118" s="8">
        <f>IFERROR(__xludf.DUMMYFUNCTION("""COMPUTED_VALUE"""),0.294117647058823)</f>
        <v>0.2941176471</v>
      </c>
      <c r="N118" s="8">
        <f>IFERROR(__xludf.DUMMYFUNCTION("""COMPUTED_VALUE"""),0.28235294117647)</f>
        <v>0.2823529412</v>
      </c>
      <c r="O118" s="8">
        <f>IFERROR(__xludf.DUMMYFUNCTION("""COMPUTED_VALUE"""),0.262548262548262)</f>
        <v>0.2625482625</v>
      </c>
      <c r="P118" s="8">
        <f>IFERROR(__xludf.DUMMYFUNCTION("""COMPUTED_VALUE"""),0.233606557377049)</f>
        <v>0.2336065574</v>
      </c>
      <c r="Q118" s="8">
        <f>IFERROR(__xludf.DUMMYFUNCTION("""COMPUTED_VALUE"""),0.125)</f>
        <v>0.125</v>
      </c>
      <c r="R118" s="8">
        <f>IFERROR(__xludf.DUMMYFUNCTION("""COMPUTED_VALUE"""),0.0775862068965517)</f>
        <v>0.0775862069</v>
      </c>
      <c r="S118" s="8">
        <f>IFERROR(__xludf.DUMMYFUNCTION("""COMPUTED_VALUE"""),0.0)</f>
        <v>0</v>
      </c>
      <c r="T118" s="8">
        <f>IFERROR(__xludf.DUMMYFUNCTION("""COMPUTED_VALUE"""),0.0)</f>
        <v>0</v>
      </c>
      <c r="U118" s="8">
        <f>IFERROR(__xludf.DUMMYFUNCTION("""COMPUTED_VALUE"""),0.0)</f>
        <v>0</v>
      </c>
      <c r="V118" s="8">
        <f>IFERROR(__xludf.DUMMYFUNCTION("""COMPUTED_VALUE"""),0.0)</f>
        <v>0</v>
      </c>
      <c r="W118" s="8">
        <f>IFERROR(__xludf.DUMMYFUNCTION("""COMPUTED_VALUE"""),0.0)</f>
        <v>0</v>
      </c>
      <c r="X118" s="8">
        <f>IFERROR(__xludf.DUMMYFUNCTION("""COMPUTED_VALUE"""),0.0)</f>
        <v>0</v>
      </c>
      <c r="Y118" s="8">
        <f>IFERROR(__xludf.DUMMYFUNCTION("""COMPUTED_VALUE"""),0.0)</f>
        <v>0</v>
      </c>
      <c r="Z118" s="8">
        <f>IFERROR(__xludf.DUMMYFUNCTION("""COMPUTED_VALUE"""),0.0)</f>
        <v>0</v>
      </c>
      <c r="AA118" s="8">
        <f>IFERROR(__xludf.DUMMYFUNCTION("""COMPUTED_VALUE"""),0.0)</f>
        <v>0</v>
      </c>
      <c r="AB118" s="8">
        <f>IFERROR(__xludf.DUMMYFUNCTION("""COMPUTED_VALUE"""),0.0)</f>
        <v>0</v>
      </c>
      <c r="AC118" s="8">
        <f>IFERROR(__xludf.DUMMYFUNCTION("""COMPUTED_VALUE"""),0.0)</f>
        <v>0</v>
      </c>
    </row>
    <row r="119" ht="15.75" customHeight="1">
      <c r="A119" s="6" t="str">
        <f>IFERROR(__xludf.DUMMYFUNCTION("""COMPUTED_VALUE"""),"616431aa030a50bfb34a59a1919f5a8db0c29017")</f>
        <v>616431aa030a50bfb34a59a1919f5a8db0c29017</v>
      </c>
      <c r="B119" s="6" t="str">
        <f>IFERROR(__xludf.DUMMYFUNCTION("""COMPUTED_VALUE"""),"She Came Back Fabulous")</f>
        <v>She Came Back Fabulous</v>
      </c>
      <c r="C119" s="6" t="str">
        <f>IFERROR(__xludf.DUMMYFUNCTION("""COMPUTED_VALUE"""),"Romance")</f>
        <v>Romance</v>
      </c>
      <c r="D119" s="11">
        <f>IFERROR(__xludf.DUMMYFUNCTION("""COMPUTED_VALUE"""),1360.0)</f>
        <v>1360</v>
      </c>
      <c r="E119" s="8">
        <f>IFERROR(__xludf.DUMMYFUNCTION("""COMPUTED_VALUE"""),0.967455621301775)</f>
        <v>0.9674556213</v>
      </c>
      <c r="F119" s="8">
        <f>IFERROR(__xludf.DUMMYFUNCTION("""COMPUTED_VALUE"""),0.529940119760479)</f>
        <v>0.5299401198</v>
      </c>
      <c r="G119" s="8">
        <f>IFERROR(__xludf.DUMMYFUNCTION("""COMPUTED_VALUE"""),0.471698113207547)</f>
        <v>0.4716981132</v>
      </c>
      <c r="H119" s="8">
        <f>IFERROR(__xludf.DUMMYFUNCTION("""COMPUTED_VALUE"""),0.416158536585365)</f>
        <v>0.4161585366</v>
      </c>
      <c r="I119" s="8">
        <f>IFERROR(__xludf.DUMMYFUNCTION("""COMPUTED_VALUE"""),0.388760585065434)</f>
        <v>0.3887605851</v>
      </c>
      <c r="J119" s="8">
        <f>IFERROR(__xludf.DUMMYFUNCTION("""COMPUTED_VALUE"""),0.355397951142632)</f>
        <v>0.3553979511</v>
      </c>
      <c r="K119" s="8">
        <f>IFERROR(__xludf.DUMMYFUNCTION("""COMPUTED_VALUE"""),0.336341263330598)</f>
        <v>0.3363412633</v>
      </c>
      <c r="L119" s="8">
        <f>IFERROR(__xludf.DUMMYFUNCTION("""COMPUTED_VALUE"""),0.298052497883149)</f>
        <v>0.2980524979</v>
      </c>
      <c r="M119" s="8">
        <f>IFERROR(__xludf.DUMMYFUNCTION("""COMPUTED_VALUE"""),0.298076923076923)</f>
        <v>0.2980769231</v>
      </c>
      <c r="N119" s="8">
        <f>IFERROR(__xludf.DUMMYFUNCTION("""COMPUTED_VALUE"""),0.276255707762557)</f>
        <v>0.2762557078</v>
      </c>
      <c r="O119" s="8">
        <f>IFERROR(__xludf.DUMMYFUNCTION("""COMPUTED_VALUE"""),0.253353204172876)</f>
        <v>0.2533532042</v>
      </c>
      <c r="P119" s="8">
        <f>IFERROR(__xludf.DUMMYFUNCTION("""COMPUTED_VALUE"""),0.208835341365461)</f>
        <v>0.2088353414</v>
      </c>
      <c r="Q119" s="8">
        <f>IFERROR(__xludf.DUMMYFUNCTION("""COMPUTED_VALUE"""),0.136363636363636)</f>
        <v>0.1363636364</v>
      </c>
      <c r="R119" s="8">
        <f>IFERROR(__xludf.DUMMYFUNCTION("""COMPUTED_VALUE"""),0.0)</f>
        <v>0</v>
      </c>
      <c r="S119" s="8">
        <f>IFERROR(__xludf.DUMMYFUNCTION("""COMPUTED_VALUE"""),0.0)</f>
        <v>0</v>
      </c>
      <c r="T119" s="8">
        <f>IFERROR(__xludf.DUMMYFUNCTION("""COMPUTED_VALUE"""),0.0)</f>
        <v>0</v>
      </c>
      <c r="U119" s="8">
        <f>IFERROR(__xludf.DUMMYFUNCTION("""COMPUTED_VALUE"""),0.0)</f>
        <v>0</v>
      </c>
      <c r="V119" s="8">
        <f>IFERROR(__xludf.DUMMYFUNCTION("""COMPUTED_VALUE"""),0.0)</f>
        <v>0</v>
      </c>
      <c r="W119" s="8">
        <f>IFERROR(__xludf.DUMMYFUNCTION("""COMPUTED_VALUE"""),0.0)</f>
        <v>0</v>
      </c>
      <c r="X119" s="8">
        <f>IFERROR(__xludf.DUMMYFUNCTION("""COMPUTED_VALUE"""),0.0)</f>
        <v>0</v>
      </c>
      <c r="Y119" s="8">
        <f>IFERROR(__xludf.DUMMYFUNCTION("""COMPUTED_VALUE"""),0.0)</f>
        <v>0</v>
      </c>
      <c r="Z119" s="8">
        <f>IFERROR(__xludf.DUMMYFUNCTION("""COMPUTED_VALUE"""),0.0)</f>
        <v>0</v>
      </c>
      <c r="AA119" s="8">
        <f>IFERROR(__xludf.DUMMYFUNCTION("""COMPUTED_VALUE"""),0.0)</f>
        <v>0</v>
      </c>
      <c r="AB119" s="8">
        <f>IFERROR(__xludf.DUMMYFUNCTION("""COMPUTED_VALUE"""),0.0)</f>
        <v>0</v>
      </c>
      <c r="AC119" s="8">
        <f>IFERROR(__xludf.DUMMYFUNCTION("""COMPUTED_VALUE"""),0.0)</f>
        <v>0</v>
      </c>
    </row>
    <row r="120" ht="15.75" customHeight="1">
      <c r="A120" s="6" t="str">
        <f>IFERROR(__xludf.DUMMYFUNCTION("""COMPUTED_VALUE"""),"6214ecac2801afde28aa63c555faf06203321c85")</f>
        <v>6214ecac2801afde28aa63c555faf06203321c85</v>
      </c>
      <c r="B120" s="6" t="str">
        <f>IFERROR(__xludf.DUMMYFUNCTION("""COMPUTED_VALUE"""),"Love Behind the Screen")</f>
        <v>Love Behind the Screen</v>
      </c>
      <c r="C120" s="6" t="str">
        <f>IFERROR(__xludf.DUMMYFUNCTION("""COMPUTED_VALUE"""),"Romance")</f>
        <v>Romance</v>
      </c>
      <c r="D120" s="11">
        <f>IFERROR(__xludf.DUMMYFUNCTION("""COMPUTED_VALUE"""),2035.0)</f>
        <v>2035</v>
      </c>
      <c r="E120" s="8">
        <f>IFERROR(__xludf.DUMMYFUNCTION("""COMPUTED_VALUE"""),0.955730447614363)</f>
        <v>0.9557304476</v>
      </c>
      <c r="F120" s="8">
        <f>IFERROR(__xludf.DUMMYFUNCTION("""COMPUTED_VALUE"""),0.468672915638875)</f>
        <v>0.4686729156</v>
      </c>
      <c r="G120" s="8">
        <f>IFERROR(__xludf.DUMMYFUNCTION("""COMPUTED_VALUE"""),0.407407407407407)</f>
        <v>0.4074074074</v>
      </c>
      <c r="H120" s="8">
        <f>IFERROR(__xludf.DUMMYFUNCTION("""COMPUTED_VALUE"""),0.390207715133531)</f>
        <v>0.3902077151</v>
      </c>
      <c r="I120" s="8">
        <f>IFERROR(__xludf.DUMMYFUNCTION("""COMPUTED_VALUE"""),0.348837209302325)</f>
        <v>0.3488372093</v>
      </c>
      <c r="J120" s="8">
        <f>IFERROR(__xludf.DUMMYFUNCTION("""COMPUTED_VALUE"""),0.33531746031746)</f>
        <v>0.3353174603</v>
      </c>
      <c r="K120" s="8">
        <f>IFERROR(__xludf.DUMMYFUNCTION("""COMPUTED_VALUE"""),0.320079522862823)</f>
        <v>0.3200795229</v>
      </c>
      <c r="L120" s="8">
        <f>IFERROR(__xludf.DUMMYFUNCTION("""COMPUTED_VALUE"""),0.303828940825459)</f>
        <v>0.3038289408</v>
      </c>
      <c r="M120" s="8">
        <f>IFERROR(__xludf.DUMMYFUNCTION("""COMPUTED_VALUE"""),0.2954658694569)</f>
        <v>0.2954658695</v>
      </c>
      <c r="N120" s="8">
        <f>IFERROR(__xludf.DUMMYFUNCTION("""COMPUTED_VALUE"""),0.286215538847117)</f>
        <v>0.2862155388</v>
      </c>
      <c r="O120" s="8">
        <f>IFERROR(__xludf.DUMMYFUNCTION("""COMPUTED_VALUE"""),0.263636363636363)</f>
        <v>0.2636363636</v>
      </c>
      <c r="P120" s="8">
        <f>IFERROR(__xludf.DUMMYFUNCTION("""COMPUTED_VALUE"""),0.16982214572576)</f>
        <v>0.1698221457</v>
      </c>
      <c r="Q120" s="8">
        <f>IFERROR(__xludf.DUMMYFUNCTION("""COMPUTED_VALUE"""),0.0972684876748834)</f>
        <v>0.09726848767</v>
      </c>
      <c r="R120" s="8">
        <f>IFERROR(__xludf.DUMMYFUNCTION("""COMPUTED_VALUE"""),0.0806188925081433)</f>
        <v>0.08061889251</v>
      </c>
      <c r="S120" s="8">
        <f>IFERROR(__xludf.DUMMYFUNCTION("""COMPUTED_VALUE"""),0.0606060606060606)</f>
        <v>0.06060606061</v>
      </c>
      <c r="T120" s="8">
        <f>IFERROR(__xludf.DUMMYFUNCTION("""COMPUTED_VALUE"""),0.0256410256410256)</f>
        <v>0.02564102564</v>
      </c>
      <c r="U120" s="8">
        <f>IFERROR(__xludf.DUMMYFUNCTION("""COMPUTED_VALUE"""),0.0)</f>
        <v>0</v>
      </c>
      <c r="V120" s="8">
        <f>IFERROR(__xludf.DUMMYFUNCTION("""COMPUTED_VALUE"""),0.0)</f>
        <v>0</v>
      </c>
      <c r="W120" s="8">
        <f>IFERROR(__xludf.DUMMYFUNCTION("""COMPUTED_VALUE"""),0.0)</f>
        <v>0</v>
      </c>
      <c r="X120" s="8">
        <f>IFERROR(__xludf.DUMMYFUNCTION("""COMPUTED_VALUE"""),0.0)</f>
        <v>0</v>
      </c>
      <c r="Y120" s="8">
        <f>IFERROR(__xludf.DUMMYFUNCTION("""COMPUTED_VALUE"""),0.0)</f>
        <v>0</v>
      </c>
      <c r="Z120" s="8">
        <f>IFERROR(__xludf.DUMMYFUNCTION("""COMPUTED_VALUE"""),0.0)</f>
        <v>0</v>
      </c>
      <c r="AA120" s="8">
        <f>IFERROR(__xludf.DUMMYFUNCTION("""COMPUTED_VALUE"""),0.0)</f>
        <v>0</v>
      </c>
      <c r="AB120" s="8">
        <f>IFERROR(__xludf.DUMMYFUNCTION("""COMPUTED_VALUE"""),0.0)</f>
        <v>0</v>
      </c>
      <c r="AC120" s="8">
        <f>IFERROR(__xludf.DUMMYFUNCTION("""COMPUTED_VALUE"""),0.0)</f>
        <v>0</v>
      </c>
    </row>
    <row r="121" ht="15.75" customHeight="1">
      <c r="A121" s="6" t="str">
        <f>IFERROR(__xludf.DUMMYFUNCTION("""COMPUTED_VALUE"""),"622c96a576425047d6bff8447205921132d7f61c")</f>
        <v>622c96a576425047d6bff8447205921132d7f61c</v>
      </c>
      <c r="B121" s="6" t="str">
        <f>IFERROR(__xludf.DUMMYFUNCTION("""COMPUTED_VALUE"""),"The Exit Nobody Expected")</f>
        <v>The Exit Nobody Expected</v>
      </c>
      <c r="C121" s="6" t="str">
        <f>IFERROR(__xludf.DUMMYFUNCTION("""COMPUTED_VALUE"""),"Suspense or Thriller")</f>
        <v>Suspense or Thriller</v>
      </c>
      <c r="D121" s="11">
        <f>IFERROR(__xludf.DUMMYFUNCTION("""COMPUTED_VALUE"""),155.0)</f>
        <v>155</v>
      </c>
      <c r="E121" s="8">
        <f>IFERROR(__xludf.DUMMYFUNCTION("""COMPUTED_VALUE"""),0.953020134228187)</f>
        <v>0.9530201342</v>
      </c>
      <c r="F121" s="8">
        <f>IFERROR(__xludf.DUMMYFUNCTION("""COMPUTED_VALUE"""),0.385714285714285)</f>
        <v>0.3857142857</v>
      </c>
      <c r="G121" s="8">
        <f>IFERROR(__xludf.DUMMYFUNCTION("""COMPUTED_VALUE"""),0.372262773722627)</f>
        <v>0.3722627737</v>
      </c>
      <c r="H121" s="8">
        <f>IFERROR(__xludf.DUMMYFUNCTION("""COMPUTED_VALUE"""),0.350746268656716)</f>
        <v>0.3507462687</v>
      </c>
      <c r="I121" s="8">
        <f>IFERROR(__xludf.DUMMYFUNCTION("""COMPUTED_VALUE"""),0.283464566929133)</f>
        <v>0.2834645669</v>
      </c>
      <c r="J121" s="8">
        <f>IFERROR(__xludf.DUMMYFUNCTION("""COMPUTED_VALUE"""),0.28099173553719)</f>
        <v>0.2809917355</v>
      </c>
      <c r="K121" s="8">
        <f>IFERROR(__xludf.DUMMYFUNCTION("""COMPUTED_VALUE"""),0.283185840707964)</f>
        <v>0.2831858407</v>
      </c>
      <c r="L121" s="8">
        <f>IFERROR(__xludf.DUMMYFUNCTION("""COMPUTED_VALUE"""),0.266666666666666)</f>
        <v>0.2666666667</v>
      </c>
      <c r="M121" s="8">
        <f>IFERROR(__xludf.DUMMYFUNCTION("""COMPUTED_VALUE"""),0.247524752475247)</f>
        <v>0.2475247525</v>
      </c>
      <c r="N121" s="8">
        <f>IFERROR(__xludf.DUMMYFUNCTION("""COMPUTED_VALUE"""),0.242105263157894)</f>
        <v>0.2421052632</v>
      </c>
      <c r="O121" s="8">
        <f>IFERROR(__xludf.DUMMYFUNCTION("""COMPUTED_VALUE"""),0.166666666666666)</f>
        <v>0.1666666667</v>
      </c>
      <c r="P121" s="8">
        <f>IFERROR(__xludf.DUMMYFUNCTION("""COMPUTED_VALUE"""),0.142857142857142)</f>
        <v>0.1428571429</v>
      </c>
      <c r="Q121" s="8">
        <f>IFERROR(__xludf.DUMMYFUNCTION("""COMPUTED_VALUE"""),0.11864406779661)</f>
        <v>0.1186440678</v>
      </c>
      <c r="R121" s="8">
        <f>IFERROR(__xludf.DUMMYFUNCTION("""COMPUTED_VALUE"""),0.0)</f>
        <v>0</v>
      </c>
      <c r="S121" s="8">
        <f>IFERROR(__xludf.DUMMYFUNCTION("""COMPUTED_VALUE"""),0.0)</f>
        <v>0</v>
      </c>
      <c r="T121" s="8">
        <f>IFERROR(__xludf.DUMMYFUNCTION("""COMPUTED_VALUE"""),0.0)</f>
        <v>0</v>
      </c>
      <c r="U121" s="8">
        <f>IFERROR(__xludf.DUMMYFUNCTION("""COMPUTED_VALUE"""),0.0)</f>
        <v>0</v>
      </c>
      <c r="V121" s="8">
        <f>IFERROR(__xludf.DUMMYFUNCTION("""COMPUTED_VALUE"""),0.0)</f>
        <v>0</v>
      </c>
      <c r="W121" s="8">
        <f>IFERROR(__xludf.DUMMYFUNCTION("""COMPUTED_VALUE"""),0.0)</f>
        <v>0</v>
      </c>
      <c r="X121" s="8">
        <f>IFERROR(__xludf.DUMMYFUNCTION("""COMPUTED_VALUE"""),0.0)</f>
        <v>0</v>
      </c>
      <c r="Y121" s="8">
        <f>IFERROR(__xludf.DUMMYFUNCTION("""COMPUTED_VALUE"""),0.0)</f>
        <v>0</v>
      </c>
      <c r="Z121" s="8">
        <f>IFERROR(__xludf.DUMMYFUNCTION("""COMPUTED_VALUE"""),0.0)</f>
        <v>0</v>
      </c>
      <c r="AA121" s="8">
        <f>IFERROR(__xludf.DUMMYFUNCTION("""COMPUTED_VALUE"""),0.0)</f>
        <v>0</v>
      </c>
      <c r="AB121" s="8">
        <f>IFERROR(__xludf.DUMMYFUNCTION("""COMPUTED_VALUE"""),0.0)</f>
        <v>0</v>
      </c>
      <c r="AC121" s="8">
        <f>IFERROR(__xludf.DUMMYFUNCTION("""COMPUTED_VALUE"""),0.0)</f>
        <v>0</v>
      </c>
    </row>
    <row r="122" ht="15.75" customHeight="1">
      <c r="A122" s="6" t="str">
        <f>IFERROR(__xludf.DUMMYFUNCTION("""COMPUTED_VALUE"""),"6346e154f10078de4f17cbc6268066519b02789f")</f>
        <v>6346e154f10078de4f17cbc6268066519b02789f</v>
      </c>
      <c r="B122" s="6" t="str">
        <f>IFERROR(__xludf.DUMMYFUNCTION("""COMPUTED_VALUE"""),"Doctor Young")</f>
        <v>Doctor Young</v>
      </c>
      <c r="C122" s="6" t="str">
        <f>IFERROR(__xludf.DUMMYFUNCTION("""COMPUTED_VALUE"""),"Suspense or Thriller")</f>
        <v>Suspense or Thriller</v>
      </c>
      <c r="D122" s="11">
        <f>IFERROR(__xludf.DUMMYFUNCTION("""COMPUTED_VALUE"""),1162.0)</f>
        <v>1162</v>
      </c>
      <c r="E122" s="8">
        <f>IFERROR(__xludf.DUMMYFUNCTION("""COMPUTED_VALUE"""),0.959342560553633)</f>
        <v>0.9593425606</v>
      </c>
      <c r="F122" s="8">
        <f>IFERROR(__xludf.DUMMYFUNCTION("""COMPUTED_VALUE"""),0.335646140503035)</f>
        <v>0.3356461405</v>
      </c>
      <c r="G122" s="8">
        <f>IFERROR(__xludf.DUMMYFUNCTION("""COMPUTED_VALUE"""),0.28633594429939)</f>
        <v>0.2863359443</v>
      </c>
      <c r="H122" s="8">
        <f>IFERROR(__xludf.DUMMYFUNCTION("""COMPUTED_VALUE"""),0.260334212840809)</f>
        <v>0.2603342128</v>
      </c>
      <c r="I122" s="8">
        <f>IFERROR(__xludf.DUMMYFUNCTION("""COMPUTED_VALUE"""),0.228873239436619)</f>
        <v>0.2288732394</v>
      </c>
      <c r="J122" s="8">
        <f>IFERROR(__xludf.DUMMYFUNCTION("""COMPUTED_VALUE"""),0.218005295675198)</f>
        <v>0.2180052957</v>
      </c>
      <c r="K122" s="8">
        <f>IFERROR(__xludf.DUMMYFUNCTION("""COMPUTED_VALUE"""),0.195575221238938)</f>
        <v>0.1955752212</v>
      </c>
      <c r="L122" s="8">
        <f>IFERROR(__xludf.DUMMYFUNCTION("""COMPUTED_VALUE"""),0.174532502226179)</f>
        <v>0.1745325022</v>
      </c>
      <c r="M122" s="8">
        <f>IFERROR(__xludf.DUMMYFUNCTION("""COMPUTED_VALUE"""),0.154879140555058)</f>
        <v>0.1548791406</v>
      </c>
      <c r="N122" s="8">
        <f>IFERROR(__xludf.DUMMYFUNCTION("""COMPUTED_VALUE"""),0.153357531760435)</f>
        <v>0.1533575318</v>
      </c>
      <c r="O122" s="8">
        <f>IFERROR(__xludf.DUMMYFUNCTION("""COMPUTED_VALUE"""),0.125356125356125)</f>
        <v>0.1253561254</v>
      </c>
      <c r="P122" s="8">
        <f>IFERROR(__xludf.DUMMYFUNCTION("""COMPUTED_VALUE"""),0.100767754318618)</f>
        <v>0.1007677543</v>
      </c>
      <c r="Q122" s="8">
        <f>IFERROR(__xludf.DUMMYFUNCTION("""COMPUTED_VALUE"""),0.0689990281827016)</f>
        <v>0.06899902818</v>
      </c>
      <c r="R122" s="8">
        <f>IFERROR(__xludf.DUMMYFUNCTION("""COMPUTED_VALUE"""),0.0428432327166504)</f>
        <v>0.04284323272</v>
      </c>
      <c r="S122" s="8">
        <f>IFERROR(__xludf.DUMMYFUNCTION("""COMPUTED_VALUE"""),0.0)</f>
        <v>0</v>
      </c>
      <c r="T122" s="8">
        <f>IFERROR(__xludf.DUMMYFUNCTION("""COMPUTED_VALUE"""),0.0)</f>
        <v>0</v>
      </c>
      <c r="U122" s="8">
        <f>IFERROR(__xludf.DUMMYFUNCTION("""COMPUTED_VALUE"""),0.0)</f>
        <v>0</v>
      </c>
      <c r="V122" s="8">
        <f>IFERROR(__xludf.DUMMYFUNCTION("""COMPUTED_VALUE"""),0.0)</f>
        <v>0</v>
      </c>
      <c r="W122" s="8">
        <f>IFERROR(__xludf.DUMMYFUNCTION("""COMPUTED_VALUE"""),0.0)</f>
        <v>0</v>
      </c>
      <c r="X122" s="8">
        <f>IFERROR(__xludf.DUMMYFUNCTION("""COMPUTED_VALUE"""),0.0)</f>
        <v>0</v>
      </c>
      <c r="Y122" s="8">
        <f>IFERROR(__xludf.DUMMYFUNCTION("""COMPUTED_VALUE"""),0.0)</f>
        <v>0</v>
      </c>
      <c r="Z122" s="8">
        <f>IFERROR(__xludf.DUMMYFUNCTION("""COMPUTED_VALUE"""),0.0)</f>
        <v>0</v>
      </c>
      <c r="AA122" s="8">
        <f>IFERROR(__xludf.DUMMYFUNCTION("""COMPUTED_VALUE"""),0.0)</f>
        <v>0</v>
      </c>
      <c r="AB122" s="8">
        <f>IFERROR(__xludf.DUMMYFUNCTION("""COMPUTED_VALUE"""),0.0)</f>
        <v>0</v>
      </c>
      <c r="AC122" s="8">
        <f>IFERROR(__xludf.DUMMYFUNCTION("""COMPUTED_VALUE"""),0.0)</f>
        <v>0</v>
      </c>
    </row>
    <row r="123" ht="15.75" customHeight="1">
      <c r="A123" s="6" t="str">
        <f>IFERROR(__xludf.DUMMYFUNCTION("""COMPUTED_VALUE"""),"646112abf2d6a5c232155a853f029ad1737b504e")</f>
        <v>646112abf2d6a5c232155a853f029ad1737b504e</v>
      </c>
      <c r="B123" s="6" t="str">
        <f>IFERROR(__xludf.DUMMYFUNCTION("""COMPUTED_VALUE"""),"Gatebreak")</f>
        <v>Gatebreak</v>
      </c>
      <c r="C123" s="6" t="str">
        <f>IFERROR(__xludf.DUMMYFUNCTION("""COMPUTED_VALUE"""),"Fantasy")</f>
        <v>Fantasy</v>
      </c>
      <c r="D123" s="11">
        <f>IFERROR(__xludf.DUMMYFUNCTION("""COMPUTED_VALUE"""),1408.0)</f>
        <v>1408</v>
      </c>
      <c r="E123" s="8">
        <f>IFERROR(__xludf.DUMMYFUNCTION("""COMPUTED_VALUE"""),0.935851746258018)</f>
        <v>0.9358517463</v>
      </c>
      <c r="F123" s="8">
        <f>IFERROR(__xludf.DUMMYFUNCTION("""COMPUTED_VALUE"""),0.606580829756795)</f>
        <v>0.6065808298</v>
      </c>
      <c r="G123" s="8">
        <f>IFERROR(__xludf.DUMMYFUNCTION("""COMPUTED_VALUE"""),0.557788944723618)</f>
        <v>0.5577889447</v>
      </c>
      <c r="H123" s="8">
        <f>IFERROR(__xludf.DUMMYFUNCTION("""COMPUTED_VALUE"""),0.525325615050651)</f>
        <v>0.5253256151</v>
      </c>
      <c r="I123" s="8">
        <f>IFERROR(__xludf.DUMMYFUNCTION("""COMPUTED_VALUE"""),0.511627906976744)</f>
        <v>0.511627907</v>
      </c>
      <c r="J123" s="8">
        <f>IFERROR(__xludf.DUMMYFUNCTION("""COMPUTED_VALUE"""),0.501826150474799)</f>
        <v>0.5018261505</v>
      </c>
      <c r="K123" s="8">
        <f>IFERROR(__xludf.DUMMYFUNCTION("""COMPUTED_VALUE"""),0.487160674981658)</f>
        <v>0.487160675</v>
      </c>
      <c r="L123" s="8">
        <f>IFERROR(__xludf.DUMMYFUNCTION("""COMPUTED_VALUE"""),0.478904515173945)</f>
        <v>0.4789045152</v>
      </c>
      <c r="M123" s="8">
        <f>IFERROR(__xludf.DUMMYFUNCTION("""COMPUTED_VALUE"""),0.47037037037037)</f>
        <v>0.4703703704</v>
      </c>
      <c r="N123" s="8">
        <f>IFERROR(__xludf.DUMMYFUNCTION("""COMPUTED_VALUE"""),0.465376023827252)</f>
        <v>0.4653760238</v>
      </c>
      <c r="O123" s="8">
        <f>IFERROR(__xludf.DUMMYFUNCTION("""COMPUTED_VALUE"""),0.404024767801857)</f>
        <v>0.4040247678</v>
      </c>
      <c r="P123" s="8">
        <f>IFERROR(__xludf.DUMMYFUNCTION("""COMPUTED_VALUE"""),0.295328582739509)</f>
        <v>0.2953285827</v>
      </c>
      <c r="Q123" s="8">
        <f>IFERROR(__xludf.DUMMYFUNCTION("""COMPUTED_VALUE"""),0.2213608957795)</f>
        <v>0.2213608958</v>
      </c>
      <c r="R123" s="8">
        <f>IFERROR(__xludf.DUMMYFUNCTION("""COMPUTED_VALUE"""),0.159090909090909)</f>
        <v>0.1590909091</v>
      </c>
      <c r="S123" s="8">
        <f>IFERROR(__xludf.DUMMYFUNCTION("""COMPUTED_VALUE"""),0.119858989424206)</f>
        <v>0.1198589894</v>
      </c>
      <c r="T123" s="8">
        <f>IFERROR(__xludf.DUMMYFUNCTION("""COMPUTED_VALUE"""),0.101109741060419)</f>
        <v>0.1011097411</v>
      </c>
      <c r="U123" s="8">
        <f>IFERROR(__xludf.DUMMYFUNCTION("""COMPUTED_VALUE"""),0.0666666666666666)</f>
        <v>0.06666666667</v>
      </c>
      <c r="V123" s="8">
        <f>IFERROR(__xludf.DUMMYFUNCTION("""COMPUTED_VALUE"""),0.0)</f>
        <v>0</v>
      </c>
      <c r="W123" s="8">
        <f>IFERROR(__xludf.DUMMYFUNCTION("""COMPUTED_VALUE"""),0.0)</f>
        <v>0</v>
      </c>
      <c r="X123" s="8">
        <f>IFERROR(__xludf.DUMMYFUNCTION("""COMPUTED_VALUE"""),0.0)</f>
        <v>0</v>
      </c>
      <c r="Y123" s="8">
        <f>IFERROR(__xludf.DUMMYFUNCTION("""COMPUTED_VALUE"""),0.0)</f>
        <v>0</v>
      </c>
      <c r="Z123" s="8">
        <f>IFERROR(__xludf.DUMMYFUNCTION("""COMPUTED_VALUE"""),0.0)</f>
        <v>0</v>
      </c>
      <c r="AA123" s="8">
        <f>IFERROR(__xludf.DUMMYFUNCTION("""COMPUTED_VALUE"""),0.0)</f>
        <v>0</v>
      </c>
      <c r="AB123" s="8">
        <f>IFERROR(__xludf.DUMMYFUNCTION("""COMPUTED_VALUE"""),0.0)</f>
        <v>0</v>
      </c>
      <c r="AC123" s="8">
        <f>IFERROR(__xludf.DUMMYFUNCTION("""COMPUTED_VALUE"""),0.0)</f>
        <v>0</v>
      </c>
    </row>
    <row r="124" ht="15.75" customHeight="1">
      <c r="A124" s="6" t="str">
        <f>IFERROR(__xludf.DUMMYFUNCTION("""COMPUTED_VALUE"""),"6537ebcf99ebb2572c378cc92edd07b6d165b13b")</f>
        <v>6537ebcf99ebb2572c378cc92edd07b6d165b13b</v>
      </c>
      <c r="B124" s="6" t="str">
        <f>IFERROR(__xludf.DUMMYFUNCTION("""COMPUTED_VALUE"""),"The Legendary Beast Archi")</f>
        <v>The Legendary Beast Archi</v>
      </c>
      <c r="C124" s="6" t="str">
        <f>IFERROR(__xludf.DUMMYFUNCTION("""COMPUTED_VALUE"""),"Fantasy")</f>
        <v>Fantasy</v>
      </c>
      <c r="D124" s="11">
        <f>IFERROR(__xludf.DUMMYFUNCTION("""COMPUTED_VALUE"""),883.0)</f>
        <v>883</v>
      </c>
      <c r="E124" s="8">
        <f>IFERROR(__xludf.DUMMYFUNCTION("""COMPUTED_VALUE"""),0.979568671963677)</f>
        <v>0.979568672</v>
      </c>
      <c r="F124" s="8">
        <f>IFERROR(__xludf.DUMMYFUNCTION("""COMPUTED_VALUE"""),0.554285714285714)</f>
        <v>0.5542857143</v>
      </c>
      <c r="G124" s="8">
        <f>IFERROR(__xludf.DUMMYFUNCTION("""COMPUTED_VALUE"""),0.496567505720823)</f>
        <v>0.4965675057</v>
      </c>
      <c r="H124" s="8">
        <f>IFERROR(__xludf.DUMMYFUNCTION("""COMPUTED_VALUE"""),0.459242250287026)</f>
        <v>0.4592422503</v>
      </c>
      <c r="I124" s="8">
        <f>IFERROR(__xludf.DUMMYFUNCTION("""COMPUTED_VALUE"""),0.430787589498806)</f>
        <v>0.4307875895</v>
      </c>
      <c r="J124" s="8">
        <f>IFERROR(__xludf.DUMMYFUNCTION("""COMPUTED_VALUE"""),0.395061728395061)</f>
        <v>0.3950617284</v>
      </c>
      <c r="K124" s="8">
        <f>IFERROR(__xludf.DUMMYFUNCTION("""COMPUTED_VALUE"""),0.386612021857923)</f>
        <v>0.3866120219</v>
      </c>
      <c r="L124" s="8">
        <f>IFERROR(__xludf.DUMMYFUNCTION("""COMPUTED_VALUE"""),0.372448979591836)</f>
        <v>0.3724489796</v>
      </c>
      <c r="M124" s="8">
        <f>IFERROR(__xludf.DUMMYFUNCTION("""COMPUTED_VALUE"""),0.347294938917975)</f>
        <v>0.3472949389</v>
      </c>
      <c r="N124" s="8">
        <f>IFERROR(__xludf.DUMMYFUNCTION("""COMPUTED_VALUE"""),0.305699481865284)</f>
        <v>0.3056994819</v>
      </c>
      <c r="O124" s="8">
        <f>IFERROR(__xludf.DUMMYFUNCTION("""COMPUTED_VALUE"""),0.228915662650602)</f>
        <v>0.2289156627</v>
      </c>
      <c r="P124" s="8">
        <f>IFERROR(__xludf.DUMMYFUNCTION("""COMPUTED_VALUE"""),0.136363636363636)</f>
        <v>0.1363636364</v>
      </c>
      <c r="Q124" s="8">
        <f>IFERROR(__xludf.DUMMYFUNCTION("""COMPUTED_VALUE"""),0.0)</f>
        <v>0</v>
      </c>
      <c r="R124" s="8">
        <f>IFERROR(__xludf.DUMMYFUNCTION("""COMPUTED_VALUE"""),0.0)</f>
        <v>0</v>
      </c>
      <c r="S124" s="8">
        <f>IFERROR(__xludf.DUMMYFUNCTION("""COMPUTED_VALUE"""),0.0)</f>
        <v>0</v>
      </c>
      <c r="T124" s="8">
        <f>IFERROR(__xludf.DUMMYFUNCTION("""COMPUTED_VALUE"""),0.0)</f>
        <v>0</v>
      </c>
      <c r="U124" s="8">
        <f>IFERROR(__xludf.DUMMYFUNCTION("""COMPUTED_VALUE"""),0.0)</f>
        <v>0</v>
      </c>
      <c r="V124" s="8">
        <f>IFERROR(__xludf.DUMMYFUNCTION("""COMPUTED_VALUE"""),0.0)</f>
        <v>0</v>
      </c>
      <c r="W124" s="8">
        <f>IFERROR(__xludf.DUMMYFUNCTION("""COMPUTED_VALUE"""),0.0)</f>
        <v>0</v>
      </c>
      <c r="X124" s="8">
        <f>IFERROR(__xludf.DUMMYFUNCTION("""COMPUTED_VALUE"""),0.0)</f>
        <v>0</v>
      </c>
      <c r="Y124" s="8">
        <f>IFERROR(__xludf.DUMMYFUNCTION("""COMPUTED_VALUE"""),0.0)</f>
        <v>0</v>
      </c>
      <c r="Z124" s="8">
        <f>IFERROR(__xludf.DUMMYFUNCTION("""COMPUTED_VALUE"""),0.0)</f>
        <v>0</v>
      </c>
      <c r="AA124" s="8">
        <f>IFERROR(__xludf.DUMMYFUNCTION("""COMPUTED_VALUE"""),0.0)</f>
        <v>0</v>
      </c>
      <c r="AB124" s="8">
        <f>IFERROR(__xludf.DUMMYFUNCTION("""COMPUTED_VALUE"""),0.0)</f>
        <v>0</v>
      </c>
      <c r="AC124" s="8">
        <f>IFERROR(__xludf.DUMMYFUNCTION("""COMPUTED_VALUE"""),0.0)</f>
        <v>0</v>
      </c>
    </row>
    <row r="125" ht="15.75" customHeight="1">
      <c r="A125" s="6" t="str">
        <f>IFERROR(__xludf.DUMMYFUNCTION("""COMPUTED_VALUE"""),"66e5597d741c6d87c2bc8e35ec83065242c0e34d")</f>
        <v>66e5597d741c6d87c2bc8e35ec83065242c0e34d</v>
      </c>
      <c r="B125" s="6" t="str">
        <f>IFERROR(__xludf.DUMMYFUNCTION("""COMPUTED_VALUE"""),"Sky Lord")</f>
        <v>Sky Lord</v>
      </c>
      <c r="C125" s="6" t="str">
        <f>IFERROR(__xludf.DUMMYFUNCTION("""COMPUTED_VALUE"""),"Fantasy")</f>
        <v>Fantasy</v>
      </c>
      <c r="D125" s="11">
        <f>IFERROR(__xludf.DUMMYFUNCTION("""COMPUTED_VALUE"""),1505.0)</f>
        <v>1505</v>
      </c>
      <c r="E125" s="8">
        <f>IFERROR(__xludf.DUMMYFUNCTION("""COMPUTED_VALUE"""),0.958583834335337)</f>
        <v>0.9585838343</v>
      </c>
      <c r="F125" s="8">
        <f>IFERROR(__xludf.DUMMYFUNCTION("""COMPUTED_VALUE"""),0.62087542087542)</f>
        <v>0.6208754209</v>
      </c>
      <c r="G125" s="8">
        <f>IFERROR(__xludf.DUMMYFUNCTION("""COMPUTED_VALUE"""),0.565896739130434)</f>
        <v>0.5658967391</v>
      </c>
      <c r="H125" s="8">
        <f>IFERROR(__xludf.DUMMYFUNCTION("""COMPUTED_VALUE"""),0.548076923076923)</f>
        <v>0.5480769231</v>
      </c>
      <c r="I125" s="8">
        <f>IFERROR(__xludf.DUMMYFUNCTION("""COMPUTED_VALUE"""),0.500693481276005)</f>
        <v>0.5006934813</v>
      </c>
      <c r="J125" s="8">
        <f>IFERROR(__xludf.DUMMYFUNCTION("""COMPUTED_VALUE"""),0.481767180925666)</f>
        <v>0.4817671809</v>
      </c>
      <c r="K125" s="8">
        <f>IFERROR(__xludf.DUMMYFUNCTION("""COMPUTED_VALUE"""),0.441810344827586)</f>
        <v>0.4418103448</v>
      </c>
      <c r="L125" s="8">
        <f>IFERROR(__xludf.DUMMYFUNCTION("""COMPUTED_VALUE"""),0.423135464231354)</f>
        <v>0.4231354642</v>
      </c>
      <c r="M125" s="8">
        <f>IFERROR(__xludf.DUMMYFUNCTION("""COMPUTED_VALUE"""),0.410926365795724)</f>
        <v>0.4109263658</v>
      </c>
      <c r="N125" s="8">
        <f>IFERROR(__xludf.DUMMYFUNCTION("""COMPUTED_VALUE"""),0.387720773759461)</f>
        <v>0.3877207738</v>
      </c>
      <c r="O125" s="8">
        <f>IFERROR(__xludf.DUMMYFUNCTION("""COMPUTED_VALUE"""),0.324420677361853)</f>
        <v>0.3244206774</v>
      </c>
      <c r="P125" s="8">
        <f>IFERROR(__xludf.DUMMYFUNCTION("""COMPUTED_VALUE"""),0.29090909090909)</f>
        <v>0.2909090909</v>
      </c>
      <c r="Q125" s="8">
        <f>IFERROR(__xludf.DUMMYFUNCTION("""COMPUTED_VALUE"""),0.0)</f>
        <v>0</v>
      </c>
      <c r="R125" s="8">
        <f>IFERROR(__xludf.DUMMYFUNCTION("""COMPUTED_VALUE"""),0.0)</f>
        <v>0</v>
      </c>
      <c r="S125" s="8">
        <f>IFERROR(__xludf.DUMMYFUNCTION("""COMPUTED_VALUE"""),0.0)</f>
        <v>0</v>
      </c>
      <c r="T125" s="8">
        <f>IFERROR(__xludf.DUMMYFUNCTION("""COMPUTED_VALUE"""),0.0)</f>
        <v>0</v>
      </c>
      <c r="U125" s="8">
        <f>IFERROR(__xludf.DUMMYFUNCTION("""COMPUTED_VALUE"""),0.0)</f>
        <v>0</v>
      </c>
      <c r="V125" s="8">
        <f>IFERROR(__xludf.DUMMYFUNCTION("""COMPUTED_VALUE"""),0.0)</f>
        <v>0</v>
      </c>
      <c r="W125" s="8">
        <f>IFERROR(__xludf.DUMMYFUNCTION("""COMPUTED_VALUE"""),0.0)</f>
        <v>0</v>
      </c>
      <c r="X125" s="8">
        <f>IFERROR(__xludf.DUMMYFUNCTION("""COMPUTED_VALUE"""),0.0)</f>
        <v>0</v>
      </c>
      <c r="Y125" s="8">
        <f>IFERROR(__xludf.DUMMYFUNCTION("""COMPUTED_VALUE"""),0.0)</f>
        <v>0</v>
      </c>
      <c r="Z125" s="8">
        <f>IFERROR(__xludf.DUMMYFUNCTION("""COMPUTED_VALUE"""),0.0)</f>
        <v>0</v>
      </c>
      <c r="AA125" s="8">
        <f>IFERROR(__xludf.DUMMYFUNCTION("""COMPUTED_VALUE"""),0.0)</f>
        <v>0</v>
      </c>
      <c r="AB125" s="8">
        <f>IFERROR(__xludf.DUMMYFUNCTION("""COMPUTED_VALUE"""),0.0)</f>
        <v>0</v>
      </c>
      <c r="AC125" s="8">
        <f>IFERROR(__xludf.DUMMYFUNCTION("""COMPUTED_VALUE"""),0.0)</f>
        <v>0</v>
      </c>
    </row>
    <row r="126" ht="15.75" customHeight="1">
      <c r="A126" s="6" t="str">
        <f>IFERROR(__xludf.DUMMYFUNCTION("""COMPUTED_VALUE"""),"69e29d606b65c300fffe9a9af149d4b81b170a78")</f>
        <v>69e29d606b65c300fffe9a9af149d4b81b170a78</v>
      </c>
      <c r="B126" s="6" t="str">
        <f>IFERROR(__xludf.DUMMYFUNCTION("""COMPUTED_VALUE"""),"Unexpectedly Entwined")</f>
        <v>Unexpectedly Entwined</v>
      </c>
      <c r="C126" s="6" t="str">
        <f>IFERROR(__xludf.DUMMYFUNCTION("""COMPUTED_VALUE"""),"Romance")</f>
        <v>Romance</v>
      </c>
      <c r="D126" s="11">
        <f>IFERROR(__xludf.DUMMYFUNCTION("""COMPUTED_VALUE"""),685.0)</f>
        <v>685</v>
      </c>
      <c r="E126" s="8">
        <f>IFERROR(__xludf.DUMMYFUNCTION("""COMPUTED_VALUE"""),0.957540263543191)</f>
        <v>0.9575402635</v>
      </c>
      <c r="F126" s="8">
        <f>IFERROR(__xludf.DUMMYFUNCTION("""COMPUTED_VALUE"""),0.436310395314787)</f>
        <v>0.4363103953</v>
      </c>
      <c r="G126" s="8">
        <f>IFERROR(__xludf.DUMMYFUNCTION("""COMPUTED_VALUE"""),0.37628111273792)</f>
        <v>0.3762811127</v>
      </c>
      <c r="H126" s="8">
        <f>IFERROR(__xludf.DUMMYFUNCTION("""COMPUTED_VALUE"""),0.335294117647058)</f>
        <v>0.3352941176</v>
      </c>
      <c r="I126" s="8">
        <f>IFERROR(__xludf.DUMMYFUNCTION("""COMPUTED_VALUE"""),0.301470588235294)</f>
        <v>0.3014705882</v>
      </c>
      <c r="J126" s="8">
        <f>IFERROR(__xludf.DUMMYFUNCTION("""COMPUTED_VALUE"""),0.266568483063328)</f>
        <v>0.2665684831</v>
      </c>
      <c r="K126" s="8">
        <f>IFERROR(__xludf.DUMMYFUNCTION("""COMPUTED_VALUE"""),0.250737463126843)</f>
        <v>0.2507374631</v>
      </c>
      <c r="L126" s="8">
        <f>IFERROR(__xludf.DUMMYFUNCTION("""COMPUTED_VALUE"""),0.232592592592592)</f>
        <v>0.2325925926</v>
      </c>
      <c r="M126" s="8">
        <f>IFERROR(__xludf.DUMMYFUNCTION("""COMPUTED_VALUE"""),0.197037037037037)</f>
        <v>0.197037037</v>
      </c>
      <c r="N126" s="8">
        <f>IFERROR(__xludf.DUMMYFUNCTION("""COMPUTED_VALUE"""),0.201481481481481)</f>
        <v>0.2014814815</v>
      </c>
      <c r="O126" s="8">
        <f>IFERROR(__xludf.DUMMYFUNCTION("""COMPUTED_VALUE"""),0.164885496183206)</f>
        <v>0.1648854962</v>
      </c>
      <c r="P126" s="8">
        <f>IFERROR(__xludf.DUMMYFUNCTION("""COMPUTED_VALUE"""),0.1)</f>
        <v>0.1</v>
      </c>
      <c r="Q126" s="8">
        <f>IFERROR(__xludf.DUMMYFUNCTION("""COMPUTED_VALUE"""),0.0874439461883408)</f>
        <v>0.08744394619</v>
      </c>
      <c r="R126" s="8">
        <f>IFERROR(__xludf.DUMMYFUNCTION("""COMPUTED_VALUE"""),0.0773195876288659)</f>
        <v>0.07731958763</v>
      </c>
      <c r="S126" s="8">
        <f>IFERROR(__xludf.DUMMYFUNCTION("""COMPUTED_VALUE"""),0.104)</f>
        <v>0.104</v>
      </c>
      <c r="T126" s="8">
        <f>IFERROR(__xludf.DUMMYFUNCTION("""COMPUTED_VALUE"""),0.0410958904109589)</f>
        <v>0.04109589041</v>
      </c>
      <c r="U126" s="8">
        <f>IFERROR(__xludf.DUMMYFUNCTION("""COMPUTED_VALUE"""),0.0)</f>
        <v>0</v>
      </c>
      <c r="V126" s="8">
        <f>IFERROR(__xludf.DUMMYFUNCTION("""COMPUTED_VALUE"""),0.0)</f>
        <v>0</v>
      </c>
      <c r="W126" s="8">
        <f>IFERROR(__xludf.DUMMYFUNCTION("""COMPUTED_VALUE"""),0.0)</f>
        <v>0</v>
      </c>
      <c r="X126" s="8">
        <f>IFERROR(__xludf.DUMMYFUNCTION("""COMPUTED_VALUE"""),0.0)</f>
        <v>0</v>
      </c>
      <c r="Y126" s="8">
        <f>IFERROR(__xludf.DUMMYFUNCTION("""COMPUTED_VALUE"""),0.0)</f>
        <v>0</v>
      </c>
      <c r="Z126" s="8">
        <f>IFERROR(__xludf.DUMMYFUNCTION("""COMPUTED_VALUE"""),0.0)</f>
        <v>0</v>
      </c>
      <c r="AA126" s="8">
        <f>IFERROR(__xludf.DUMMYFUNCTION("""COMPUTED_VALUE"""),0.0)</f>
        <v>0</v>
      </c>
      <c r="AB126" s="8">
        <f>IFERROR(__xludf.DUMMYFUNCTION("""COMPUTED_VALUE"""),0.0)</f>
        <v>0</v>
      </c>
      <c r="AC126" s="8">
        <f>IFERROR(__xludf.DUMMYFUNCTION("""COMPUTED_VALUE"""),0.0)</f>
        <v>0</v>
      </c>
    </row>
    <row r="127" ht="15.75" customHeight="1">
      <c r="A127" s="6" t="str">
        <f>IFERROR(__xludf.DUMMYFUNCTION("""COMPUTED_VALUE"""),"69e2eb3772b49e749fed57ae96a86147dde154cb")</f>
        <v>69e2eb3772b49e749fed57ae96a86147dde154cb</v>
      </c>
      <c r="B127" s="6" t="str">
        <f>IFERROR(__xludf.DUMMYFUNCTION("""COMPUTED_VALUE"""),"The Alpha She Chose")</f>
        <v>The Alpha She Chose</v>
      </c>
      <c r="C127" s="6" t="str">
        <f>IFERROR(__xludf.DUMMYFUNCTION("""COMPUTED_VALUE"""),"Romantasy")</f>
        <v>Romantasy</v>
      </c>
      <c r="D127" s="11">
        <f>IFERROR(__xludf.DUMMYFUNCTION("""COMPUTED_VALUE"""),2007.0)</f>
        <v>2007</v>
      </c>
      <c r="E127" s="8">
        <f>IFERROR(__xludf.DUMMYFUNCTION("""COMPUTED_VALUE"""),0.954363089267803)</f>
        <v>0.9543630893</v>
      </c>
      <c r="F127" s="8">
        <f>IFERROR(__xludf.DUMMYFUNCTION("""COMPUTED_VALUE"""),0.545959595959596)</f>
        <v>0.545959596</v>
      </c>
      <c r="G127" s="8">
        <f>IFERROR(__xludf.DUMMYFUNCTION("""COMPUTED_VALUE"""),0.504056795131845)</f>
        <v>0.5040567951</v>
      </c>
      <c r="H127" s="8">
        <f>IFERROR(__xludf.DUMMYFUNCTION("""COMPUTED_VALUE"""),0.459266802443991)</f>
        <v>0.4592668024</v>
      </c>
      <c r="I127" s="8">
        <f>IFERROR(__xludf.DUMMYFUNCTION("""COMPUTED_VALUE"""),0.436159346271705)</f>
        <v>0.4361593463</v>
      </c>
      <c r="J127" s="8">
        <f>IFERROR(__xludf.DUMMYFUNCTION("""COMPUTED_VALUE"""),0.415811088295687)</f>
        <v>0.4158110883</v>
      </c>
      <c r="K127" s="8">
        <f>IFERROR(__xludf.DUMMYFUNCTION("""COMPUTED_VALUE"""),0.401762571280456)</f>
        <v>0.4017625713</v>
      </c>
      <c r="L127" s="8">
        <f>IFERROR(__xludf.DUMMYFUNCTION("""COMPUTED_VALUE"""),0.385135135135135)</f>
        <v>0.3851351351</v>
      </c>
      <c r="M127" s="8">
        <f>IFERROR(__xludf.DUMMYFUNCTION("""COMPUTED_VALUE"""),0.370721432332806)</f>
        <v>0.3707214323</v>
      </c>
      <c r="N127" s="8">
        <f>IFERROR(__xludf.DUMMYFUNCTION("""COMPUTED_VALUE"""),0.353165938864628)</f>
        <v>0.3531659389</v>
      </c>
      <c r="O127" s="8">
        <f>IFERROR(__xludf.DUMMYFUNCTION("""COMPUTED_VALUE"""),0.328230251071647)</f>
        <v>0.3282302511</v>
      </c>
      <c r="P127" s="8">
        <f>IFERROR(__xludf.DUMMYFUNCTION("""COMPUTED_VALUE"""),0.260672703751617)</f>
        <v>0.2606727038</v>
      </c>
      <c r="Q127" s="8">
        <f>IFERROR(__xludf.DUMMYFUNCTION("""COMPUTED_VALUE"""),0.215350223546944)</f>
        <v>0.2153502235</v>
      </c>
      <c r="R127" s="8">
        <f>IFERROR(__xludf.DUMMYFUNCTION("""COMPUTED_VALUE"""),0.18283166109253)</f>
        <v>0.1828316611</v>
      </c>
      <c r="S127" s="8">
        <f>IFERROR(__xludf.DUMMYFUNCTION("""COMPUTED_VALUE"""),0.115384615384615)</f>
        <v>0.1153846154</v>
      </c>
      <c r="T127" s="8">
        <f>IFERROR(__xludf.DUMMYFUNCTION("""COMPUTED_VALUE"""),0.0)</f>
        <v>0</v>
      </c>
      <c r="U127" s="8">
        <f>IFERROR(__xludf.DUMMYFUNCTION("""COMPUTED_VALUE"""),0.0)</f>
        <v>0</v>
      </c>
      <c r="V127" s="8">
        <f>IFERROR(__xludf.DUMMYFUNCTION("""COMPUTED_VALUE"""),0.0)</f>
        <v>0</v>
      </c>
      <c r="W127" s="8">
        <f>IFERROR(__xludf.DUMMYFUNCTION("""COMPUTED_VALUE"""),0.0)</f>
        <v>0</v>
      </c>
      <c r="X127" s="8">
        <f>IFERROR(__xludf.DUMMYFUNCTION("""COMPUTED_VALUE"""),0.0)</f>
        <v>0</v>
      </c>
      <c r="Y127" s="8">
        <f>IFERROR(__xludf.DUMMYFUNCTION("""COMPUTED_VALUE"""),0.0)</f>
        <v>0</v>
      </c>
      <c r="Z127" s="8">
        <f>IFERROR(__xludf.DUMMYFUNCTION("""COMPUTED_VALUE"""),0.0)</f>
        <v>0</v>
      </c>
      <c r="AA127" s="8">
        <f>IFERROR(__xludf.DUMMYFUNCTION("""COMPUTED_VALUE"""),0.0)</f>
        <v>0</v>
      </c>
      <c r="AB127" s="8">
        <f>IFERROR(__xludf.DUMMYFUNCTION("""COMPUTED_VALUE"""),0.0)</f>
        <v>0</v>
      </c>
      <c r="AC127" s="8">
        <f>IFERROR(__xludf.DUMMYFUNCTION("""COMPUTED_VALUE"""),0.0)</f>
        <v>0</v>
      </c>
    </row>
    <row r="128" ht="15.75" customHeight="1">
      <c r="A128" s="6" t="str">
        <f>IFERROR(__xludf.DUMMYFUNCTION("""COMPUTED_VALUE"""),"6c13ac0e01a86e60a2d75bbcee5bb8f9be472700")</f>
        <v>6c13ac0e01a86e60a2d75bbcee5bb8f9be472700</v>
      </c>
      <c r="B128" s="6" t="str">
        <f>IFERROR(__xludf.DUMMYFUNCTION("""COMPUTED_VALUE"""),"Fated to You")</f>
        <v>Fated to You</v>
      </c>
      <c r="C128" s="6" t="str">
        <f>IFERROR(__xludf.DUMMYFUNCTION("""COMPUTED_VALUE"""),"Romance")</f>
        <v>Romance</v>
      </c>
      <c r="D128" s="11">
        <f>IFERROR(__xludf.DUMMYFUNCTION("""COMPUTED_VALUE"""),341.0)</f>
        <v>341</v>
      </c>
      <c r="E128" s="8">
        <f>IFERROR(__xludf.DUMMYFUNCTION("""COMPUTED_VALUE"""),0.466275659824046)</f>
        <v>0.4662756598</v>
      </c>
      <c r="F128" s="8">
        <f>IFERROR(__xludf.DUMMYFUNCTION("""COMPUTED_VALUE"""),0.271386430678466)</f>
        <v>0.2713864307</v>
      </c>
      <c r="G128" s="8">
        <f>IFERROR(__xludf.DUMMYFUNCTION("""COMPUTED_VALUE"""),0.265486725663716)</f>
        <v>0.2654867257</v>
      </c>
      <c r="H128" s="8">
        <f>IFERROR(__xludf.DUMMYFUNCTION("""COMPUTED_VALUE"""),0.242603550295857)</f>
        <v>0.2426035503</v>
      </c>
      <c r="I128" s="8">
        <f>IFERROR(__xludf.DUMMYFUNCTION("""COMPUTED_VALUE"""),0.210059171597633)</f>
        <v>0.2100591716</v>
      </c>
      <c r="J128" s="8">
        <f>IFERROR(__xludf.DUMMYFUNCTION("""COMPUTED_VALUE"""),0.19047619047619)</f>
        <v>0.1904761905</v>
      </c>
      <c r="K128" s="8">
        <f>IFERROR(__xludf.DUMMYFUNCTION("""COMPUTED_VALUE"""),0.1875)</f>
        <v>0.1875</v>
      </c>
      <c r="L128" s="8">
        <f>IFERROR(__xludf.DUMMYFUNCTION("""COMPUTED_VALUE"""),0.19047619047619)</f>
        <v>0.1904761905</v>
      </c>
      <c r="M128" s="8">
        <f>IFERROR(__xludf.DUMMYFUNCTION("""COMPUTED_VALUE"""),0.167164179104477)</f>
        <v>0.1671641791</v>
      </c>
      <c r="N128" s="8">
        <f>IFERROR(__xludf.DUMMYFUNCTION("""COMPUTED_VALUE"""),0.204204204204204)</f>
        <v>0.2042042042</v>
      </c>
      <c r="O128" s="8">
        <f>IFERROR(__xludf.DUMMYFUNCTION("""COMPUTED_VALUE"""),0.139817629179331)</f>
        <v>0.1398176292</v>
      </c>
      <c r="P128" s="8">
        <f>IFERROR(__xludf.DUMMYFUNCTION("""COMPUTED_VALUE"""),0.155015197568389)</f>
        <v>0.1550151976</v>
      </c>
      <c r="Q128" s="8">
        <f>IFERROR(__xludf.DUMMYFUNCTION("""COMPUTED_VALUE"""),0.0764525993883792)</f>
        <v>0.07645259939</v>
      </c>
      <c r="R128" s="8">
        <f>IFERROR(__xludf.DUMMYFUNCTION("""COMPUTED_VALUE"""),0.0401234567901234)</f>
        <v>0.04012345679</v>
      </c>
      <c r="S128" s="8">
        <f>IFERROR(__xludf.DUMMYFUNCTION("""COMPUTED_VALUE"""),0.0463320463320463)</f>
        <v>0.04633204633</v>
      </c>
      <c r="T128" s="8">
        <f>IFERROR(__xludf.DUMMYFUNCTION("""COMPUTED_VALUE"""),0.0317460317460317)</f>
        <v>0.03174603175</v>
      </c>
      <c r="U128" s="8">
        <f>IFERROR(__xludf.DUMMYFUNCTION("""COMPUTED_VALUE"""),0.0162162162162162)</f>
        <v>0.01621621622</v>
      </c>
      <c r="V128" s="8">
        <f>IFERROR(__xludf.DUMMYFUNCTION("""COMPUTED_VALUE"""),0.0218579234972677)</f>
        <v>0.0218579235</v>
      </c>
      <c r="W128" s="8">
        <f>IFERROR(__xludf.DUMMYFUNCTION("""COMPUTED_VALUE"""),0.0169491525423728)</f>
        <v>0.01694915254</v>
      </c>
      <c r="X128" s="8">
        <f>IFERROR(__xludf.DUMMYFUNCTION("""COMPUTED_VALUE"""),0.0115606936416184)</f>
        <v>0.01156069364</v>
      </c>
      <c r="Y128" s="8">
        <f>IFERROR(__xludf.DUMMYFUNCTION("""COMPUTED_VALUE"""),0.0)</f>
        <v>0</v>
      </c>
      <c r="Z128" s="8">
        <f>IFERROR(__xludf.DUMMYFUNCTION("""COMPUTED_VALUE"""),0.03125)</f>
        <v>0.03125</v>
      </c>
      <c r="AA128" s="8">
        <f>IFERROR(__xludf.DUMMYFUNCTION("""COMPUTED_VALUE"""),0.0384615384615384)</f>
        <v>0.03846153846</v>
      </c>
      <c r="AB128" s="8">
        <f>IFERROR(__xludf.DUMMYFUNCTION("""COMPUTED_VALUE"""),0.0)</f>
        <v>0</v>
      </c>
      <c r="AC128" s="8">
        <f>IFERROR(__xludf.DUMMYFUNCTION("""COMPUTED_VALUE"""),0.0)</f>
        <v>0</v>
      </c>
    </row>
    <row r="129" ht="15.75" customHeight="1">
      <c r="A129" s="6" t="str">
        <f>IFERROR(__xludf.DUMMYFUNCTION("""COMPUTED_VALUE"""),"6e9cd8b5ce597e73f12a6a180c18888a89f8aac3")</f>
        <v>6e9cd8b5ce597e73f12a6a180c18888a89f8aac3</v>
      </c>
      <c r="B129" s="6" t="str">
        <f>IFERROR(__xludf.DUMMYFUNCTION("""COMPUTED_VALUE"""),"Sovereign Retribution")</f>
        <v>Sovereign Retribution</v>
      </c>
      <c r="C129" s="6" t="str">
        <f>IFERROR(__xludf.DUMMYFUNCTION("""COMPUTED_VALUE"""),"Drama")</f>
        <v>Drama</v>
      </c>
      <c r="D129" s="11">
        <f>IFERROR(__xludf.DUMMYFUNCTION("""COMPUTED_VALUE"""),3501.0)</f>
        <v>3501</v>
      </c>
      <c r="E129" s="8">
        <f>IFERROR(__xludf.DUMMYFUNCTION("""COMPUTED_VALUE"""),0.931142857142857)</f>
        <v>0.9311428571</v>
      </c>
      <c r="F129" s="8">
        <f>IFERROR(__xludf.DUMMYFUNCTION("""COMPUTED_VALUE"""),0.645982270517586)</f>
        <v>0.6459822705</v>
      </c>
      <c r="G129" s="8">
        <f>IFERROR(__xludf.DUMMYFUNCTION("""COMPUTED_VALUE"""),0.607439198855507)</f>
        <v>0.6074391989</v>
      </c>
      <c r="H129" s="8">
        <f>IFERROR(__xludf.DUMMYFUNCTION("""COMPUTED_VALUE"""),0.58140200286123)</f>
        <v>0.5814020029</v>
      </c>
      <c r="I129" s="8">
        <f>IFERROR(__xludf.DUMMYFUNCTION("""COMPUTED_VALUE"""),0.559084406294706)</f>
        <v>0.5590844063</v>
      </c>
      <c r="J129" s="8">
        <f>IFERROR(__xludf.DUMMYFUNCTION("""COMPUTED_VALUE"""),0.543110856488112)</f>
        <v>0.5431108565</v>
      </c>
      <c r="K129" s="8">
        <f>IFERROR(__xludf.DUMMYFUNCTION("""COMPUTED_VALUE"""),0.526798509601605)</f>
        <v>0.5267985096</v>
      </c>
      <c r="L129" s="8">
        <f>IFERROR(__xludf.DUMMYFUNCTION("""COMPUTED_VALUE"""),0.509803921568627)</f>
        <v>0.5098039216</v>
      </c>
      <c r="M129" s="8">
        <f>IFERROR(__xludf.DUMMYFUNCTION("""COMPUTED_VALUE"""),0.498844598497978)</f>
        <v>0.4988445985</v>
      </c>
      <c r="N129" s="8">
        <f>IFERROR(__xludf.DUMMYFUNCTION("""COMPUTED_VALUE"""),0.490888053225339)</f>
        <v>0.4908880532</v>
      </c>
      <c r="O129" s="8">
        <f>IFERROR(__xludf.DUMMYFUNCTION("""COMPUTED_VALUE"""),0.4403125)</f>
        <v>0.4403125</v>
      </c>
      <c r="P129" s="8">
        <f>IFERROR(__xludf.DUMMYFUNCTION("""COMPUTED_VALUE"""),0.335058214747736)</f>
        <v>0.3350582147</v>
      </c>
      <c r="Q129" s="8">
        <f>IFERROR(__xludf.DUMMYFUNCTION("""COMPUTED_VALUE"""),0.240378922439313)</f>
        <v>0.2403789224</v>
      </c>
      <c r="R129" s="8">
        <f>IFERROR(__xludf.DUMMYFUNCTION("""COMPUTED_VALUE"""),0.304635761589404)</f>
        <v>0.3046357616</v>
      </c>
      <c r="S129" s="8">
        <f>IFERROR(__xludf.DUMMYFUNCTION("""COMPUTED_VALUE"""),0.23076923076923)</f>
        <v>0.2307692308</v>
      </c>
      <c r="T129" s="8">
        <f>IFERROR(__xludf.DUMMYFUNCTION("""COMPUTED_VALUE"""),0.0)</f>
        <v>0</v>
      </c>
      <c r="U129" s="8">
        <f>IFERROR(__xludf.DUMMYFUNCTION("""COMPUTED_VALUE"""),0.0)</f>
        <v>0</v>
      </c>
      <c r="V129" s="8">
        <f>IFERROR(__xludf.DUMMYFUNCTION("""COMPUTED_VALUE"""),0.0)</f>
        <v>0</v>
      </c>
      <c r="W129" s="8">
        <f>IFERROR(__xludf.DUMMYFUNCTION("""COMPUTED_VALUE"""),0.0)</f>
        <v>0</v>
      </c>
      <c r="X129" s="8">
        <f>IFERROR(__xludf.DUMMYFUNCTION("""COMPUTED_VALUE"""),0.0)</f>
        <v>0</v>
      </c>
      <c r="Y129" s="8">
        <f>IFERROR(__xludf.DUMMYFUNCTION("""COMPUTED_VALUE"""),0.0)</f>
        <v>0</v>
      </c>
      <c r="Z129" s="8">
        <f>IFERROR(__xludf.DUMMYFUNCTION("""COMPUTED_VALUE"""),0.0)</f>
        <v>0</v>
      </c>
      <c r="AA129" s="8">
        <f>IFERROR(__xludf.DUMMYFUNCTION("""COMPUTED_VALUE"""),0.0)</f>
        <v>0</v>
      </c>
      <c r="AB129" s="8">
        <f>IFERROR(__xludf.DUMMYFUNCTION("""COMPUTED_VALUE"""),0.0)</f>
        <v>0</v>
      </c>
      <c r="AC129" s="8">
        <f>IFERROR(__xludf.DUMMYFUNCTION("""COMPUTED_VALUE"""),0.0)</f>
        <v>0</v>
      </c>
    </row>
    <row r="130" ht="15.75" customHeight="1">
      <c r="A130" s="6" t="str">
        <f>IFERROR(__xludf.DUMMYFUNCTION("""COMPUTED_VALUE"""),"6f82cdfa2792a89aec9172918610c124246ad8bd")</f>
        <v>6f82cdfa2792a89aec9172918610c124246ad8bd</v>
      </c>
      <c r="B130" s="6" t="str">
        <f>IFERROR(__xludf.DUMMYFUNCTION("""COMPUTED_VALUE"""),"Hector's Rise to Power")</f>
        <v>Hector's Rise to Power</v>
      </c>
      <c r="C130" s="6" t="str">
        <f>IFERROR(__xludf.DUMMYFUNCTION("""COMPUTED_VALUE"""),"Drama")</f>
        <v>Drama</v>
      </c>
      <c r="D130" s="11">
        <f>IFERROR(__xludf.DUMMYFUNCTION("""COMPUTED_VALUE"""),735.0)</f>
        <v>735</v>
      </c>
      <c r="E130" s="8">
        <f>IFERROR(__xludf.DUMMYFUNCTION("""COMPUTED_VALUE"""),0.963165075034106)</f>
        <v>0.963165075</v>
      </c>
      <c r="F130" s="8">
        <f>IFERROR(__xludf.DUMMYFUNCTION("""COMPUTED_VALUE"""),0.546575342465753)</f>
        <v>0.5465753425</v>
      </c>
      <c r="G130" s="8">
        <f>IFERROR(__xludf.DUMMYFUNCTION("""COMPUTED_VALUE"""),0.430136986301369)</f>
        <v>0.4301369863</v>
      </c>
      <c r="H130" s="8">
        <f>IFERROR(__xludf.DUMMYFUNCTION("""COMPUTED_VALUE"""),0.383008356545961)</f>
        <v>0.3830083565</v>
      </c>
      <c r="I130" s="8">
        <f>IFERROR(__xludf.DUMMYFUNCTION("""COMPUTED_VALUE"""),0.338440111420612)</f>
        <v>0.3384401114</v>
      </c>
      <c r="J130" s="8">
        <f>IFERROR(__xludf.DUMMYFUNCTION("""COMPUTED_VALUE"""),0.321678321678321)</f>
        <v>0.3216783217</v>
      </c>
      <c r="K130" s="8">
        <f>IFERROR(__xludf.DUMMYFUNCTION("""COMPUTED_VALUE"""),0.284712482468443)</f>
        <v>0.2847124825</v>
      </c>
      <c r="L130" s="8">
        <f>IFERROR(__xludf.DUMMYFUNCTION("""COMPUTED_VALUE"""),0.258064516129032)</f>
        <v>0.2580645161</v>
      </c>
      <c r="M130" s="8">
        <f>IFERROR(__xludf.DUMMYFUNCTION("""COMPUTED_VALUE"""),0.231741573033707)</f>
        <v>0.231741573</v>
      </c>
      <c r="N130" s="8">
        <f>IFERROR(__xludf.DUMMYFUNCTION("""COMPUTED_VALUE"""),0.213783403656821)</f>
        <v>0.2137834037</v>
      </c>
      <c r="O130" s="8">
        <f>IFERROR(__xludf.DUMMYFUNCTION("""COMPUTED_VALUE"""),0.175695461200585)</f>
        <v>0.1756954612</v>
      </c>
      <c r="P130" s="8">
        <f>IFERROR(__xludf.DUMMYFUNCTION("""COMPUTED_VALUE"""),0.0755555555555555)</f>
        <v>0.07555555556</v>
      </c>
      <c r="Q130" s="8">
        <f>IFERROR(__xludf.DUMMYFUNCTION("""COMPUTED_VALUE"""),0.0864197530864197)</f>
        <v>0.08641975309</v>
      </c>
      <c r="R130" s="8">
        <f>IFERROR(__xludf.DUMMYFUNCTION("""COMPUTED_VALUE"""),0.0)</f>
        <v>0</v>
      </c>
      <c r="S130" s="8">
        <f>IFERROR(__xludf.DUMMYFUNCTION("""COMPUTED_VALUE"""),0.0)</f>
        <v>0</v>
      </c>
      <c r="T130" s="8">
        <f>IFERROR(__xludf.DUMMYFUNCTION("""COMPUTED_VALUE"""),0.0)</f>
        <v>0</v>
      </c>
      <c r="U130" s="8">
        <f>IFERROR(__xludf.DUMMYFUNCTION("""COMPUTED_VALUE"""),0.0)</f>
        <v>0</v>
      </c>
      <c r="V130" s="8">
        <f>IFERROR(__xludf.DUMMYFUNCTION("""COMPUTED_VALUE"""),0.0)</f>
        <v>0</v>
      </c>
      <c r="W130" s="8">
        <f>IFERROR(__xludf.DUMMYFUNCTION("""COMPUTED_VALUE"""),0.0)</f>
        <v>0</v>
      </c>
      <c r="X130" s="8">
        <f>IFERROR(__xludf.DUMMYFUNCTION("""COMPUTED_VALUE"""),0.0)</f>
        <v>0</v>
      </c>
      <c r="Y130" s="8">
        <f>IFERROR(__xludf.DUMMYFUNCTION("""COMPUTED_VALUE"""),0.0)</f>
        <v>0</v>
      </c>
      <c r="Z130" s="8">
        <f>IFERROR(__xludf.DUMMYFUNCTION("""COMPUTED_VALUE"""),0.0)</f>
        <v>0</v>
      </c>
      <c r="AA130" s="8">
        <f>IFERROR(__xludf.DUMMYFUNCTION("""COMPUTED_VALUE"""),0.0)</f>
        <v>0</v>
      </c>
      <c r="AB130" s="8">
        <f>IFERROR(__xludf.DUMMYFUNCTION("""COMPUTED_VALUE"""),0.0)</f>
        <v>0</v>
      </c>
      <c r="AC130" s="8">
        <f>IFERROR(__xludf.DUMMYFUNCTION("""COMPUTED_VALUE"""),0.0)</f>
        <v>0</v>
      </c>
    </row>
    <row r="131" ht="15.75" customHeight="1">
      <c r="A131" s="6" t="str">
        <f>IFERROR(__xludf.DUMMYFUNCTION("""COMPUTED_VALUE"""),"6f907f1e2ab28d03dcc8246bf380f11b97d00c06")</f>
        <v>6f907f1e2ab28d03dcc8246bf380f11b97d00c06</v>
      </c>
      <c r="B131" s="6" t="str">
        <f>IFERROR(__xludf.DUMMYFUNCTION("""COMPUTED_VALUE"""),"CEO Inherited Bride ")</f>
        <v>CEO Inherited Bride </v>
      </c>
      <c r="C131" s="6" t="str">
        <f>IFERROR(__xludf.DUMMYFUNCTION("""COMPUTED_VALUE"""),"Romance")</f>
        <v>Romance</v>
      </c>
      <c r="D131" s="11">
        <f>IFERROR(__xludf.DUMMYFUNCTION("""COMPUTED_VALUE"""),909.0)</f>
        <v>909</v>
      </c>
      <c r="E131" s="8">
        <f>IFERROR(__xludf.DUMMYFUNCTION("""COMPUTED_VALUE"""),0.973597359735973)</f>
        <v>0.9735973597</v>
      </c>
      <c r="F131" s="8">
        <f>IFERROR(__xludf.DUMMYFUNCTION("""COMPUTED_VALUE"""),0.497249724972497)</f>
        <v>0.497249725</v>
      </c>
      <c r="G131" s="8">
        <f>IFERROR(__xludf.DUMMYFUNCTION("""COMPUTED_VALUE"""),0.437843784378437)</f>
        <v>0.4378437844</v>
      </c>
      <c r="H131" s="8">
        <f>IFERROR(__xludf.DUMMYFUNCTION("""COMPUTED_VALUE"""),0.419141914191419)</f>
        <v>0.4191419142</v>
      </c>
      <c r="I131" s="8">
        <f>IFERROR(__xludf.DUMMYFUNCTION("""COMPUTED_VALUE"""),0.384361233480176)</f>
        <v>0.3843612335</v>
      </c>
      <c r="J131" s="8">
        <f>IFERROR(__xludf.DUMMYFUNCTION("""COMPUTED_VALUE"""),0.355726872246696)</f>
        <v>0.3557268722</v>
      </c>
      <c r="K131" s="8">
        <f>IFERROR(__xludf.DUMMYFUNCTION("""COMPUTED_VALUE"""),0.333700440528634)</f>
        <v>0.3337004405</v>
      </c>
      <c r="L131" s="8">
        <f>IFERROR(__xludf.DUMMYFUNCTION("""COMPUTED_VALUE"""),0.306167400881057)</f>
        <v>0.3061674009</v>
      </c>
      <c r="M131" s="8">
        <f>IFERROR(__xludf.DUMMYFUNCTION("""COMPUTED_VALUE"""),0.289647577092511)</f>
        <v>0.2896475771</v>
      </c>
      <c r="N131" s="8">
        <f>IFERROR(__xludf.DUMMYFUNCTION("""COMPUTED_VALUE"""),0.273428886438809)</f>
        <v>0.2734288864</v>
      </c>
      <c r="O131" s="8">
        <f>IFERROR(__xludf.DUMMYFUNCTION("""COMPUTED_VALUE"""),0.215488215488215)</f>
        <v>0.2154882155</v>
      </c>
      <c r="P131" s="8">
        <f>IFERROR(__xludf.DUMMYFUNCTION("""COMPUTED_VALUE"""),0.174011299435028)</f>
        <v>0.1740112994</v>
      </c>
      <c r="Q131" s="8">
        <f>IFERROR(__xludf.DUMMYFUNCTION("""COMPUTED_VALUE"""),0.101246105919003)</f>
        <v>0.1012461059</v>
      </c>
      <c r="R131" s="8">
        <f>IFERROR(__xludf.DUMMYFUNCTION("""COMPUTED_VALUE"""),0.0473933649289099)</f>
        <v>0.04739336493</v>
      </c>
      <c r="S131" s="8">
        <f>IFERROR(__xludf.DUMMYFUNCTION("""COMPUTED_VALUE"""),0.0244755244755244)</f>
        <v>0.02447552448</v>
      </c>
      <c r="T131" s="8">
        <f>IFERROR(__xludf.DUMMYFUNCTION("""COMPUTED_VALUE"""),0.0255102040816326)</f>
        <v>0.02551020408</v>
      </c>
      <c r="U131" s="8">
        <f>IFERROR(__xludf.DUMMYFUNCTION("""COMPUTED_VALUE"""),0.0)</f>
        <v>0</v>
      </c>
      <c r="V131" s="8">
        <f>IFERROR(__xludf.DUMMYFUNCTION("""COMPUTED_VALUE"""),0.0)</f>
        <v>0</v>
      </c>
      <c r="W131" s="8">
        <f>IFERROR(__xludf.DUMMYFUNCTION("""COMPUTED_VALUE"""),0.0)</f>
        <v>0</v>
      </c>
      <c r="X131" s="8">
        <f>IFERROR(__xludf.DUMMYFUNCTION("""COMPUTED_VALUE"""),0.0)</f>
        <v>0</v>
      </c>
      <c r="Y131" s="8">
        <f>IFERROR(__xludf.DUMMYFUNCTION("""COMPUTED_VALUE"""),0.0)</f>
        <v>0</v>
      </c>
      <c r="Z131" s="8">
        <f>IFERROR(__xludf.DUMMYFUNCTION("""COMPUTED_VALUE"""),0.0)</f>
        <v>0</v>
      </c>
      <c r="AA131" s="8">
        <f>IFERROR(__xludf.DUMMYFUNCTION("""COMPUTED_VALUE"""),0.0)</f>
        <v>0</v>
      </c>
      <c r="AB131" s="8">
        <f>IFERROR(__xludf.DUMMYFUNCTION("""COMPUTED_VALUE"""),0.0)</f>
        <v>0</v>
      </c>
      <c r="AC131" s="8">
        <f>IFERROR(__xludf.DUMMYFUNCTION("""COMPUTED_VALUE"""),0.0)</f>
        <v>0</v>
      </c>
    </row>
    <row r="132" ht="15.75" customHeight="1">
      <c r="A132" s="6" t="str">
        <f>IFERROR(__xludf.DUMMYFUNCTION("""COMPUTED_VALUE"""),"71bfacd374965f4c980894477e36ea695b41c609")</f>
        <v>71bfacd374965f4c980894477e36ea695b41c609</v>
      </c>
      <c r="B132" s="6" t="str">
        <f>IFERROR(__xludf.DUMMYFUNCTION("""COMPUTED_VALUE"""),"Bride Who Didn't Want Him")</f>
        <v>Bride Who Didn't Want Him</v>
      </c>
      <c r="C132" s="6" t="str">
        <f>IFERROR(__xludf.DUMMYFUNCTION("""COMPUTED_VALUE"""),"Romance")</f>
        <v>Romance</v>
      </c>
      <c r="D132" s="11">
        <f>IFERROR(__xludf.DUMMYFUNCTION("""COMPUTED_VALUE"""),1443.0)</f>
        <v>1443</v>
      </c>
      <c r="E132" s="8">
        <f>IFERROR(__xludf.DUMMYFUNCTION("""COMPUTED_VALUE"""),0.97359277275886)</f>
        <v>0.9735927728</v>
      </c>
      <c r="F132" s="8">
        <f>IFERROR(__xludf.DUMMYFUNCTION("""COMPUTED_VALUE"""),0.55316191799861)</f>
        <v>0.553161918</v>
      </c>
      <c r="G132" s="8">
        <f>IFERROR(__xludf.DUMMYFUNCTION("""COMPUTED_VALUE"""),0.475330090340514)</f>
        <v>0.4753300903</v>
      </c>
      <c r="H132" s="8">
        <f>IFERROR(__xludf.DUMMYFUNCTION("""COMPUTED_VALUE"""),0.416956219596942)</f>
        <v>0.4169562196</v>
      </c>
      <c r="I132" s="8">
        <f>IFERROR(__xludf.DUMMYFUNCTION("""COMPUTED_VALUE"""),0.395413481584433)</f>
        <v>0.3954134816</v>
      </c>
      <c r="J132" s="8">
        <f>IFERROR(__xludf.DUMMYFUNCTION("""COMPUTED_VALUE"""),0.370034843205574)</f>
        <v>0.3700348432</v>
      </c>
      <c r="K132" s="8">
        <f>IFERROR(__xludf.DUMMYFUNCTION("""COMPUTED_VALUE"""),0.347977684797768)</f>
        <v>0.3479776848</v>
      </c>
      <c r="L132" s="8">
        <f>IFERROR(__xludf.DUMMYFUNCTION("""COMPUTED_VALUE"""),0.333100558659217)</f>
        <v>0.3331005587</v>
      </c>
      <c r="M132" s="8">
        <f>IFERROR(__xludf.DUMMYFUNCTION("""COMPUTED_VALUE"""),0.323549965059399)</f>
        <v>0.3235499651</v>
      </c>
      <c r="N132" s="8">
        <f>IFERROR(__xludf.DUMMYFUNCTION("""COMPUTED_VALUE"""),0.318181818181818)</f>
        <v>0.3181818182</v>
      </c>
      <c r="O132" s="8">
        <f>IFERROR(__xludf.DUMMYFUNCTION("""COMPUTED_VALUE"""),0.295081967213114)</f>
        <v>0.2950819672</v>
      </c>
      <c r="P132" s="8">
        <f>IFERROR(__xludf.DUMMYFUNCTION("""COMPUTED_VALUE"""),0.224460431654676)</f>
        <v>0.2244604317</v>
      </c>
      <c r="Q132" s="8">
        <f>IFERROR(__xludf.DUMMYFUNCTION("""COMPUTED_VALUE"""),0.11682892906815)</f>
        <v>0.1168289291</v>
      </c>
      <c r="R132" s="8">
        <f>IFERROR(__xludf.DUMMYFUNCTION("""COMPUTED_VALUE"""),0.0)</f>
        <v>0</v>
      </c>
      <c r="S132" s="8">
        <f>IFERROR(__xludf.DUMMYFUNCTION("""COMPUTED_VALUE"""),0.0)</f>
        <v>0</v>
      </c>
      <c r="T132" s="8">
        <f>IFERROR(__xludf.DUMMYFUNCTION("""COMPUTED_VALUE"""),0.0)</f>
        <v>0</v>
      </c>
      <c r="U132" s="8">
        <f>IFERROR(__xludf.DUMMYFUNCTION("""COMPUTED_VALUE"""),0.0)</f>
        <v>0</v>
      </c>
      <c r="V132" s="8">
        <f>IFERROR(__xludf.DUMMYFUNCTION("""COMPUTED_VALUE"""),0.0)</f>
        <v>0</v>
      </c>
      <c r="W132" s="8">
        <f>IFERROR(__xludf.DUMMYFUNCTION("""COMPUTED_VALUE"""),0.0)</f>
        <v>0</v>
      </c>
      <c r="X132" s="8">
        <f>IFERROR(__xludf.DUMMYFUNCTION("""COMPUTED_VALUE"""),0.0)</f>
        <v>0</v>
      </c>
      <c r="Y132" s="8">
        <f>IFERROR(__xludf.DUMMYFUNCTION("""COMPUTED_VALUE"""),0.0)</f>
        <v>0</v>
      </c>
      <c r="Z132" s="8">
        <f>IFERROR(__xludf.DUMMYFUNCTION("""COMPUTED_VALUE"""),0.0)</f>
        <v>0</v>
      </c>
      <c r="AA132" s="8">
        <f>IFERROR(__xludf.DUMMYFUNCTION("""COMPUTED_VALUE"""),0.0)</f>
        <v>0</v>
      </c>
      <c r="AB132" s="8">
        <f>IFERROR(__xludf.DUMMYFUNCTION("""COMPUTED_VALUE"""),0.0)</f>
        <v>0</v>
      </c>
      <c r="AC132" s="8">
        <f>IFERROR(__xludf.DUMMYFUNCTION("""COMPUTED_VALUE"""),0.0)</f>
        <v>0</v>
      </c>
    </row>
    <row r="133" ht="15.75" customHeight="1">
      <c r="A133" s="6" t="str">
        <f>IFERROR(__xludf.DUMMYFUNCTION("""COMPUTED_VALUE"""),"730a3d0d6b094f151aed0a3dff6794a1d2fedee3")</f>
        <v>730a3d0d6b094f151aed0a3dff6794a1d2fedee3</v>
      </c>
      <c r="B133" s="6" t="str">
        <f>IFERROR(__xludf.DUMMYFUNCTION("""COMPUTED_VALUE"""),"Her Beauty Is Reborn")</f>
        <v>Her Beauty Is Reborn</v>
      </c>
      <c r="C133" s="6" t="str">
        <f>IFERROR(__xludf.DUMMYFUNCTION("""COMPUTED_VALUE"""),"Romance")</f>
        <v>Romance</v>
      </c>
      <c r="D133" s="11">
        <f>IFERROR(__xludf.DUMMYFUNCTION("""COMPUTED_VALUE"""),11928.0)</f>
        <v>11928</v>
      </c>
      <c r="E133" s="8">
        <f>IFERROR(__xludf.DUMMYFUNCTION("""COMPUTED_VALUE"""),0.913305944495682)</f>
        <v>0.9133059445</v>
      </c>
      <c r="F133" s="8">
        <f>IFERROR(__xludf.DUMMYFUNCTION("""COMPUTED_VALUE"""),0.514673821901727)</f>
        <v>0.5146738219</v>
      </c>
      <c r="G133" s="8">
        <f>IFERROR(__xludf.DUMMYFUNCTION("""COMPUTED_VALUE"""),0.462854267985913)</f>
        <v>0.462854268</v>
      </c>
      <c r="H133" s="8">
        <f>IFERROR(__xludf.DUMMYFUNCTION("""COMPUTED_VALUE"""),0.427217843367432)</f>
        <v>0.4272178434</v>
      </c>
      <c r="I133" s="8">
        <f>IFERROR(__xludf.DUMMYFUNCTION("""COMPUTED_VALUE"""),0.408888888888888)</f>
        <v>0.4088888889</v>
      </c>
      <c r="J133" s="8">
        <f>IFERROR(__xludf.DUMMYFUNCTION("""COMPUTED_VALUE"""),0.387150884844418)</f>
        <v>0.3871508848</v>
      </c>
      <c r="K133" s="8">
        <f>IFERROR(__xludf.DUMMYFUNCTION("""COMPUTED_VALUE"""),0.372147651006711)</f>
        <v>0.372147651</v>
      </c>
      <c r="L133" s="8">
        <f>IFERROR(__xludf.DUMMYFUNCTION("""COMPUTED_VALUE"""),0.360426998402958)</f>
        <v>0.3604269984</v>
      </c>
      <c r="M133" s="8">
        <f>IFERROR(__xludf.DUMMYFUNCTION("""COMPUTED_VALUE"""),0.351353623675802)</f>
        <v>0.3513536237</v>
      </c>
      <c r="N133" s="8">
        <f>IFERROR(__xludf.DUMMYFUNCTION("""COMPUTED_VALUE"""),0.344152022197931)</f>
        <v>0.3441520222</v>
      </c>
      <c r="O133" s="8">
        <f>IFERROR(__xludf.DUMMYFUNCTION("""COMPUTED_VALUE"""),0.315771727219084)</f>
        <v>0.3157717272</v>
      </c>
      <c r="P133" s="8">
        <f>IFERROR(__xludf.DUMMYFUNCTION("""COMPUTED_VALUE"""),0.271463683362996)</f>
        <v>0.2714636834</v>
      </c>
      <c r="Q133" s="8">
        <f>IFERROR(__xludf.DUMMYFUNCTION("""COMPUTED_VALUE"""),0.223772034913571)</f>
        <v>0.2237720349</v>
      </c>
      <c r="R133" s="8">
        <f>IFERROR(__xludf.DUMMYFUNCTION("""COMPUTED_VALUE"""),0.181408140814081)</f>
        <v>0.1814081408</v>
      </c>
      <c r="S133" s="8">
        <f>IFERROR(__xludf.DUMMYFUNCTION("""COMPUTED_VALUE"""),0.161893054701905)</f>
        <v>0.1618930547</v>
      </c>
      <c r="T133" s="8">
        <f>IFERROR(__xludf.DUMMYFUNCTION("""COMPUTED_VALUE"""),0.141184767277856)</f>
        <v>0.1411847673</v>
      </c>
      <c r="U133" s="8">
        <f>IFERROR(__xludf.DUMMYFUNCTION("""COMPUTED_VALUE"""),0.118906791760146)</f>
        <v>0.1189067918</v>
      </c>
      <c r="V133" s="8">
        <f>IFERROR(__xludf.DUMMYFUNCTION("""COMPUTED_VALUE"""),0.10890852639121)</f>
        <v>0.1089085264</v>
      </c>
      <c r="W133" s="8">
        <f>IFERROR(__xludf.DUMMYFUNCTION("""COMPUTED_VALUE"""),0.0985274431057563)</f>
        <v>0.09852744311</v>
      </c>
      <c r="X133" s="8">
        <f>IFERROR(__xludf.DUMMYFUNCTION("""COMPUTED_VALUE"""),0.0873239436619718)</f>
        <v>0.08732394366</v>
      </c>
      <c r="Y133" s="8">
        <f>IFERROR(__xludf.DUMMYFUNCTION("""COMPUTED_VALUE"""),0.0228070175438596)</f>
        <v>0.02280701754</v>
      </c>
      <c r="Z133" s="8">
        <f>IFERROR(__xludf.DUMMYFUNCTION("""COMPUTED_VALUE"""),0.0)</f>
        <v>0</v>
      </c>
      <c r="AA133" s="8">
        <f>IFERROR(__xludf.DUMMYFUNCTION("""COMPUTED_VALUE"""),0.0)</f>
        <v>0</v>
      </c>
      <c r="AB133" s="8">
        <f>IFERROR(__xludf.DUMMYFUNCTION("""COMPUTED_VALUE"""),0.0)</f>
        <v>0</v>
      </c>
      <c r="AC133" s="8">
        <f>IFERROR(__xludf.DUMMYFUNCTION("""COMPUTED_VALUE"""),0.0)</f>
        <v>0</v>
      </c>
    </row>
    <row r="134" ht="15.75" customHeight="1">
      <c r="A134" s="6" t="str">
        <f>IFERROR(__xludf.DUMMYFUNCTION("""COMPUTED_VALUE"""),"7315dca13e406894d8407cd6d050c5d3b69eec10")</f>
        <v>7315dca13e406894d8407cd6d050c5d3b69eec10</v>
      </c>
      <c r="B134" s="6" t="str">
        <f>IFERROR(__xludf.DUMMYFUNCTION("""COMPUTED_VALUE"""),"The Uncle Who Chose Me")</f>
        <v>The Uncle Who Chose Me</v>
      </c>
      <c r="C134" s="6" t="str">
        <f>IFERROR(__xludf.DUMMYFUNCTION("""COMPUTED_VALUE"""),"Romance")</f>
        <v>Romance</v>
      </c>
      <c r="D134" s="11">
        <f>IFERROR(__xludf.DUMMYFUNCTION("""COMPUTED_VALUE"""),1996.0)</f>
        <v>1996</v>
      </c>
      <c r="E134" s="8">
        <f>IFERROR(__xludf.DUMMYFUNCTION("""COMPUTED_VALUE"""),0.96937751004016)</f>
        <v>0.96937751</v>
      </c>
      <c r="F134" s="8">
        <f>IFERROR(__xludf.DUMMYFUNCTION("""COMPUTED_VALUE"""),0.457056755399296)</f>
        <v>0.4570567554</v>
      </c>
      <c r="G134" s="8">
        <f>IFERROR(__xludf.DUMMYFUNCTION("""COMPUTED_VALUE"""),0.363636363636363)</f>
        <v>0.3636363636</v>
      </c>
      <c r="H134" s="8">
        <f>IFERROR(__xludf.DUMMYFUNCTION("""COMPUTED_VALUE"""),0.333668847508807)</f>
        <v>0.3336688475</v>
      </c>
      <c r="I134" s="8">
        <f>IFERROR(__xludf.DUMMYFUNCTION("""COMPUTED_VALUE"""),0.302267002518891)</f>
        <v>0.3022670025</v>
      </c>
      <c r="J134" s="8">
        <f>IFERROR(__xludf.DUMMYFUNCTION("""COMPUTED_VALUE"""),0.279093198992443)</f>
        <v>0.279093199</v>
      </c>
      <c r="K134" s="8">
        <f>IFERROR(__xludf.DUMMYFUNCTION("""COMPUTED_VALUE"""),0.258194654563792)</f>
        <v>0.2581946546</v>
      </c>
      <c r="L134" s="8">
        <f>IFERROR(__xludf.DUMMYFUNCTION("""COMPUTED_VALUE"""),0.247088607594936)</f>
        <v>0.2470886076</v>
      </c>
      <c r="M134" s="8">
        <f>IFERROR(__xludf.DUMMYFUNCTION("""COMPUTED_VALUE"""),0.235174860618347)</f>
        <v>0.2351748606</v>
      </c>
      <c r="N134" s="8">
        <f>IFERROR(__xludf.DUMMYFUNCTION("""COMPUTED_VALUE"""),0.22261663286004)</f>
        <v>0.2226166329</v>
      </c>
      <c r="O134" s="8">
        <f>IFERROR(__xludf.DUMMYFUNCTION("""COMPUTED_VALUE"""),0.190378710337768)</f>
        <v>0.1903787103</v>
      </c>
      <c r="P134" s="8">
        <f>IFERROR(__xludf.DUMMYFUNCTION("""COMPUTED_VALUE"""),0.15447991761071)</f>
        <v>0.1544799176</v>
      </c>
      <c r="Q134" s="8">
        <f>IFERROR(__xludf.DUMMYFUNCTION("""COMPUTED_VALUE"""),0.0820189274447949)</f>
        <v>0.08201892744</v>
      </c>
      <c r="R134" s="8">
        <f>IFERROR(__xludf.DUMMYFUNCTION("""COMPUTED_VALUE"""),0.0)</f>
        <v>0</v>
      </c>
      <c r="S134" s="8">
        <f>IFERROR(__xludf.DUMMYFUNCTION("""COMPUTED_VALUE"""),0.0)</f>
        <v>0</v>
      </c>
      <c r="T134" s="8">
        <f>IFERROR(__xludf.DUMMYFUNCTION("""COMPUTED_VALUE"""),0.0)</f>
        <v>0</v>
      </c>
      <c r="U134" s="8">
        <f>IFERROR(__xludf.DUMMYFUNCTION("""COMPUTED_VALUE"""),0.0)</f>
        <v>0</v>
      </c>
      <c r="V134" s="8">
        <f>IFERROR(__xludf.DUMMYFUNCTION("""COMPUTED_VALUE"""),0.0)</f>
        <v>0</v>
      </c>
      <c r="W134" s="8">
        <f>IFERROR(__xludf.DUMMYFUNCTION("""COMPUTED_VALUE"""),0.0)</f>
        <v>0</v>
      </c>
      <c r="X134" s="8">
        <f>IFERROR(__xludf.DUMMYFUNCTION("""COMPUTED_VALUE"""),0.0)</f>
        <v>0</v>
      </c>
      <c r="Y134" s="8">
        <f>IFERROR(__xludf.DUMMYFUNCTION("""COMPUTED_VALUE"""),0.0)</f>
        <v>0</v>
      </c>
      <c r="Z134" s="8">
        <f>IFERROR(__xludf.DUMMYFUNCTION("""COMPUTED_VALUE"""),0.0)</f>
        <v>0</v>
      </c>
      <c r="AA134" s="8">
        <f>IFERROR(__xludf.DUMMYFUNCTION("""COMPUTED_VALUE"""),0.0)</f>
        <v>0</v>
      </c>
      <c r="AB134" s="8">
        <f>IFERROR(__xludf.DUMMYFUNCTION("""COMPUTED_VALUE"""),0.0)</f>
        <v>0</v>
      </c>
      <c r="AC134" s="8">
        <f>IFERROR(__xludf.DUMMYFUNCTION("""COMPUTED_VALUE"""),0.0)</f>
        <v>0</v>
      </c>
    </row>
    <row r="135" ht="15.75" customHeight="1">
      <c r="A135" s="6" t="str">
        <f>IFERROR(__xludf.DUMMYFUNCTION("""COMPUTED_VALUE"""),"749524eadbd429949b1a44242bd8fb3559f3626c")</f>
        <v>749524eadbd429949b1a44242bd8fb3559f3626c</v>
      </c>
      <c r="B135" s="6" t="str">
        <f>IFERROR(__xludf.DUMMYFUNCTION("""COMPUTED_VALUE"""),"Monarch of His Shadows")</f>
        <v>Monarch of His Shadows</v>
      </c>
      <c r="C135" s="6" t="str">
        <f>IFERROR(__xludf.DUMMYFUNCTION("""COMPUTED_VALUE"""),"Fantasy")</f>
        <v>Fantasy</v>
      </c>
      <c r="D135" s="11">
        <f>IFERROR(__xludf.DUMMYFUNCTION("""COMPUTED_VALUE"""),954.0)</f>
        <v>954</v>
      </c>
      <c r="E135" s="8">
        <f>IFERROR(__xludf.DUMMYFUNCTION("""COMPUTED_VALUE"""),0.975865687303252)</f>
        <v>0.9758656873</v>
      </c>
      <c r="F135" s="8">
        <f>IFERROR(__xludf.DUMMYFUNCTION("""COMPUTED_VALUE"""),0.611344537815126)</f>
        <v>0.6113445378</v>
      </c>
      <c r="G135" s="8">
        <f>IFERROR(__xludf.DUMMYFUNCTION("""COMPUTED_VALUE"""),0.564668769716088)</f>
        <v>0.5646687697</v>
      </c>
      <c r="H135" s="8">
        <f>IFERROR(__xludf.DUMMYFUNCTION("""COMPUTED_VALUE"""),0.516332982086406)</f>
        <v>0.5163329821</v>
      </c>
      <c r="I135" s="8">
        <f>IFERROR(__xludf.DUMMYFUNCTION("""COMPUTED_VALUE"""),0.479408658922914)</f>
        <v>0.4794086589</v>
      </c>
      <c r="J135" s="8">
        <f>IFERROR(__xludf.DUMMYFUNCTION("""COMPUTED_VALUE"""),0.455026455026455)</f>
        <v>0.455026455</v>
      </c>
      <c r="K135" s="8">
        <f>IFERROR(__xludf.DUMMYFUNCTION("""COMPUTED_VALUE"""),0.42478813559322)</f>
        <v>0.4247881356</v>
      </c>
      <c r="L135" s="8">
        <f>IFERROR(__xludf.DUMMYFUNCTION("""COMPUTED_VALUE"""),0.398727465535524)</f>
        <v>0.3987274655</v>
      </c>
      <c r="M135" s="8">
        <f>IFERROR(__xludf.DUMMYFUNCTION("""COMPUTED_VALUE"""),0.372611464968152)</f>
        <v>0.372611465</v>
      </c>
      <c r="N135" s="8">
        <f>IFERROR(__xludf.DUMMYFUNCTION("""COMPUTED_VALUE"""),0.359872611464968)</f>
        <v>0.3598726115</v>
      </c>
      <c r="O135" s="8">
        <f>IFERROR(__xludf.DUMMYFUNCTION("""COMPUTED_VALUE"""),0.257265877287405)</f>
        <v>0.2572658773</v>
      </c>
      <c r="P135" s="8">
        <f>IFERROR(__xludf.DUMMYFUNCTION("""COMPUTED_VALUE"""),0.123767798466593)</f>
        <v>0.1237677985</v>
      </c>
      <c r="Q135" s="8">
        <f>IFERROR(__xludf.DUMMYFUNCTION("""COMPUTED_VALUE"""),0.0)</f>
        <v>0</v>
      </c>
      <c r="R135" s="8">
        <f>IFERROR(__xludf.DUMMYFUNCTION("""COMPUTED_VALUE"""),0.0)</f>
        <v>0</v>
      </c>
      <c r="S135" s="8">
        <f>IFERROR(__xludf.DUMMYFUNCTION("""COMPUTED_VALUE"""),0.0)</f>
        <v>0</v>
      </c>
      <c r="T135" s="8">
        <f>IFERROR(__xludf.DUMMYFUNCTION("""COMPUTED_VALUE"""),0.0)</f>
        <v>0</v>
      </c>
      <c r="U135" s="8">
        <f>IFERROR(__xludf.DUMMYFUNCTION("""COMPUTED_VALUE"""),0.0)</f>
        <v>0</v>
      </c>
      <c r="V135" s="8">
        <f>IFERROR(__xludf.DUMMYFUNCTION("""COMPUTED_VALUE"""),0.0)</f>
        <v>0</v>
      </c>
      <c r="W135" s="8">
        <f>IFERROR(__xludf.DUMMYFUNCTION("""COMPUTED_VALUE"""),0.0)</f>
        <v>0</v>
      </c>
      <c r="X135" s="8">
        <f>IFERROR(__xludf.DUMMYFUNCTION("""COMPUTED_VALUE"""),0.0)</f>
        <v>0</v>
      </c>
      <c r="Y135" s="8">
        <f>IFERROR(__xludf.DUMMYFUNCTION("""COMPUTED_VALUE"""),0.0)</f>
        <v>0</v>
      </c>
      <c r="Z135" s="8">
        <f>IFERROR(__xludf.DUMMYFUNCTION("""COMPUTED_VALUE"""),0.0)</f>
        <v>0</v>
      </c>
      <c r="AA135" s="8">
        <f>IFERROR(__xludf.DUMMYFUNCTION("""COMPUTED_VALUE"""),0.0)</f>
        <v>0</v>
      </c>
      <c r="AB135" s="8">
        <f>IFERROR(__xludf.DUMMYFUNCTION("""COMPUTED_VALUE"""),0.0)</f>
        <v>0</v>
      </c>
      <c r="AC135" s="8">
        <f>IFERROR(__xludf.DUMMYFUNCTION("""COMPUTED_VALUE"""),0.0)</f>
        <v>0</v>
      </c>
    </row>
    <row r="136" ht="15.75" customHeight="1">
      <c r="A136" s="6" t="str">
        <f>IFERROR(__xludf.DUMMYFUNCTION("""COMPUTED_VALUE"""),"75537e31c1c79bdbb6ca1cd286c8e6bcb2697a51")</f>
        <v>75537e31c1c79bdbb6ca1cd286c8e6bcb2697a51</v>
      </c>
      <c r="B136" s="6" t="str">
        <f>IFERROR(__xludf.DUMMYFUNCTION("""COMPUTED_VALUE"""),"The Story of the CEO and the Heiress")</f>
        <v>The Story of the CEO and the Heiress</v>
      </c>
      <c r="C136" s="6" t="str">
        <f>IFERROR(__xludf.DUMMYFUNCTION("""COMPUTED_VALUE"""),"Romance")</f>
        <v>Romance</v>
      </c>
      <c r="D136" s="11">
        <f>IFERROR(__xludf.DUMMYFUNCTION("""COMPUTED_VALUE"""),23787.0)</f>
        <v>23787</v>
      </c>
      <c r="E136" s="8">
        <f>IFERROR(__xludf.DUMMYFUNCTION("""COMPUTED_VALUE"""),0.913393459204315)</f>
        <v>0.9133934592</v>
      </c>
      <c r="F136" s="8">
        <f>IFERROR(__xludf.DUMMYFUNCTION("""COMPUTED_VALUE"""),0.422189286470463)</f>
        <v>0.4221892865</v>
      </c>
      <c r="G136" s="8">
        <f>IFERROR(__xludf.DUMMYFUNCTION("""COMPUTED_VALUE"""),0.364343061042436)</f>
        <v>0.364343061</v>
      </c>
      <c r="H136" s="8">
        <f>IFERROR(__xludf.DUMMYFUNCTION("""COMPUTED_VALUE"""),0.338369865928921)</f>
        <v>0.3383698659</v>
      </c>
      <c r="I136" s="8">
        <f>IFERROR(__xludf.DUMMYFUNCTION("""COMPUTED_VALUE"""),0.315888329206864)</f>
        <v>0.3158883292</v>
      </c>
      <c r="J136" s="8">
        <f>IFERROR(__xludf.DUMMYFUNCTION("""COMPUTED_VALUE"""),0.304398148148148)</f>
        <v>0.3043981481</v>
      </c>
      <c r="K136" s="8">
        <f>IFERROR(__xludf.DUMMYFUNCTION("""COMPUTED_VALUE"""),0.293624881862702)</f>
        <v>0.2936248819</v>
      </c>
      <c r="L136" s="8">
        <f>IFERROR(__xludf.DUMMYFUNCTION("""COMPUTED_VALUE"""),0.288616311598881)</f>
        <v>0.2886163116</v>
      </c>
      <c r="M136" s="8">
        <f>IFERROR(__xludf.DUMMYFUNCTION("""COMPUTED_VALUE"""),0.278477192377339)</f>
        <v>0.2784771924</v>
      </c>
      <c r="N136" s="8">
        <f>IFERROR(__xludf.DUMMYFUNCTION("""COMPUTED_VALUE"""),0.271208392695246)</f>
        <v>0.2712083927</v>
      </c>
      <c r="O136" s="8">
        <f>IFERROR(__xludf.DUMMYFUNCTION("""COMPUTED_VALUE"""),0.269892993967149)</f>
        <v>0.269892994</v>
      </c>
      <c r="P136" s="8">
        <f>IFERROR(__xludf.DUMMYFUNCTION("""COMPUTED_VALUE"""),0.235220686580472)</f>
        <v>0.2352206866</v>
      </c>
      <c r="Q136" s="8">
        <f>IFERROR(__xludf.DUMMYFUNCTION("""COMPUTED_VALUE"""),0.192834562697576)</f>
        <v>0.1928345627</v>
      </c>
      <c r="R136" s="8">
        <f>IFERROR(__xludf.DUMMYFUNCTION("""COMPUTED_VALUE"""),0.159905638558675)</f>
        <v>0.1599056386</v>
      </c>
      <c r="S136" s="8">
        <f>IFERROR(__xludf.DUMMYFUNCTION("""COMPUTED_VALUE"""),0.141624696884909)</f>
        <v>0.1416246969</v>
      </c>
      <c r="T136" s="8">
        <f>IFERROR(__xludf.DUMMYFUNCTION("""COMPUTED_VALUE"""),0.111428331513981)</f>
        <v>0.1114283315</v>
      </c>
      <c r="U136" s="8">
        <f>IFERROR(__xludf.DUMMYFUNCTION("""COMPUTED_VALUE"""),0.0943915586649845)</f>
        <v>0.09439155866</v>
      </c>
      <c r="V136" s="8">
        <f>IFERROR(__xludf.DUMMYFUNCTION("""COMPUTED_VALUE"""),0.0754088869590389)</f>
        <v>0.07540888696</v>
      </c>
      <c r="W136" s="8">
        <f>IFERROR(__xludf.DUMMYFUNCTION("""COMPUTED_VALUE"""),0.0561309722686267)</f>
        <v>0.05613097227</v>
      </c>
      <c r="X136" s="8">
        <f>IFERROR(__xludf.DUMMYFUNCTION("""COMPUTED_VALUE"""),0.0)</f>
        <v>0</v>
      </c>
      <c r="Y136" s="8">
        <f>IFERROR(__xludf.DUMMYFUNCTION("""COMPUTED_VALUE"""),0.0)</f>
        <v>0</v>
      </c>
      <c r="Z136" s="8">
        <f>IFERROR(__xludf.DUMMYFUNCTION("""COMPUTED_VALUE"""),0.0)</f>
        <v>0</v>
      </c>
      <c r="AA136" s="8">
        <f>IFERROR(__xludf.DUMMYFUNCTION("""COMPUTED_VALUE"""),0.0)</f>
        <v>0</v>
      </c>
      <c r="AB136" s="8">
        <f>IFERROR(__xludf.DUMMYFUNCTION("""COMPUTED_VALUE"""),0.0)</f>
        <v>0</v>
      </c>
      <c r="AC136" s="8">
        <f>IFERROR(__xludf.DUMMYFUNCTION("""COMPUTED_VALUE"""),0.0)</f>
        <v>0</v>
      </c>
    </row>
    <row r="137" ht="15.75" customHeight="1">
      <c r="A137" s="6" t="str">
        <f>IFERROR(__xludf.DUMMYFUNCTION("""COMPUTED_VALUE"""),"767e135d338072c6a947db01691ead3f3174c6e1")</f>
        <v>767e135d338072c6a947db01691ead3f3174c6e1</v>
      </c>
      <c r="B137" s="6" t="str">
        <f>IFERROR(__xludf.DUMMYFUNCTION("""COMPUTED_VALUE"""),"The Hidden Heir Returns")</f>
        <v>The Hidden Heir Returns</v>
      </c>
      <c r="C137" s="6" t="str">
        <f>IFERROR(__xludf.DUMMYFUNCTION("""COMPUTED_VALUE"""),"Drama")</f>
        <v>Drama</v>
      </c>
      <c r="D137" s="11">
        <f>IFERROR(__xludf.DUMMYFUNCTION("""COMPUTED_VALUE"""),20747.0)</f>
        <v>20747</v>
      </c>
      <c r="E137" s="8">
        <f>IFERROR(__xludf.DUMMYFUNCTION("""COMPUTED_VALUE"""),0.860233833017998)</f>
        <v>0.860233833</v>
      </c>
      <c r="F137" s="8">
        <f>IFERROR(__xludf.DUMMYFUNCTION("""COMPUTED_VALUE"""),0.361943042007744)</f>
        <v>0.361943042</v>
      </c>
      <c r="G137" s="8">
        <f>IFERROR(__xludf.DUMMYFUNCTION("""COMPUTED_VALUE"""),0.323345016537493)</f>
        <v>0.3233450165</v>
      </c>
      <c r="H137" s="8">
        <f>IFERROR(__xludf.DUMMYFUNCTION("""COMPUTED_VALUE"""),0.286027070063694)</f>
        <v>0.2860270701</v>
      </c>
      <c r="I137" s="8">
        <f>IFERROR(__xludf.DUMMYFUNCTION("""COMPUTED_VALUE"""),0.26489099239716)</f>
        <v>0.2648909924</v>
      </c>
      <c r="J137" s="8">
        <f>IFERROR(__xludf.DUMMYFUNCTION("""COMPUTED_VALUE"""),0.240048740861088)</f>
        <v>0.2400487409</v>
      </c>
      <c r="K137" s="8">
        <f>IFERROR(__xludf.DUMMYFUNCTION("""COMPUTED_VALUE"""),0.231612936292347)</f>
        <v>0.2316129363</v>
      </c>
      <c r="L137" s="8">
        <f>IFERROR(__xludf.DUMMYFUNCTION("""COMPUTED_VALUE"""),0.218195956454121)</f>
        <v>0.2181959565</v>
      </c>
      <c r="M137" s="8">
        <f>IFERROR(__xludf.DUMMYFUNCTION("""COMPUTED_VALUE"""),0.208788337948691)</f>
        <v>0.2087883379</v>
      </c>
      <c r="N137" s="8">
        <f>IFERROR(__xludf.DUMMYFUNCTION("""COMPUTED_VALUE"""),0.196525401421426)</f>
        <v>0.1965254014</v>
      </c>
      <c r="O137" s="8">
        <f>IFERROR(__xludf.DUMMYFUNCTION("""COMPUTED_VALUE"""),0.171476230191826)</f>
        <v>0.1714762302</v>
      </c>
      <c r="P137" s="8">
        <f>IFERROR(__xludf.DUMMYFUNCTION("""COMPUTED_VALUE"""),0.149917821084761)</f>
        <v>0.1499178211</v>
      </c>
      <c r="Q137" s="8">
        <f>IFERROR(__xludf.DUMMYFUNCTION("""COMPUTED_VALUE"""),0.115877616747181)</f>
        <v>0.1158776167</v>
      </c>
      <c r="R137" s="8">
        <f>IFERROR(__xludf.DUMMYFUNCTION("""COMPUTED_VALUE"""),0.0858115619788771)</f>
        <v>0.08581156198</v>
      </c>
      <c r="S137" s="8">
        <f>IFERROR(__xludf.DUMMYFUNCTION("""COMPUTED_VALUE"""),0.0681985564884371)</f>
        <v>0.06819855649</v>
      </c>
      <c r="T137" s="8">
        <f>IFERROR(__xludf.DUMMYFUNCTION("""COMPUTED_VALUE"""),0.0563121652639632)</f>
        <v>0.05631216526</v>
      </c>
      <c r="U137" s="8">
        <f>IFERROR(__xludf.DUMMYFUNCTION("""COMPUTED_VALUE"""),0.0493341889940638)</f>
        <v>0.04933418899</v>
      </c>
      <c r="V137" s="8">
        <f>IFERROR(__xludf.DUMMYFUNCTION("""COMPUTED_VALUE"""),0.0443353921651578)</f>
        <v>0.04433539217</v>
      </c>
      <c r="W137" s="8">
        <f>IFERROR(__xludf.DUMMYFUNCTION("""COMPUTED_VALUE"""),0.0404654853213435)</f>
        <v>0.04046548532</v>
      </c>
      <c r="X137" s="8">
        <f>IFERROR(__xludf.DUMMYFUNCTION("""COMPUTED_VALUE"""),0.0402434593023255)</f>
        <v>0.0402434593</v>
      </c>
      <c r="Y137" s="8">
        <f>IFERROR(__xludf.DUMMYFUNCTION("""COMPUTED_VALUE"""),0.0343504125887545)</f>
        <v>0.03435041259</v>
      </c>
      <c r="Z137" s="8">
        <f>IFERROR(__xludf.DUMMYFUNCTION("""COMPUTED_VALUE"""),0.0312692228829198)</f>
        <v>0.03126922288</v>
      </c>
      <c r="AA137" s="8">
        <f>IFERROR(__xludf.DUMMYFUNCTION("""COMPUTED_VALUE"""),0.0220072294280246)</f>
        <v>0.02200722943</v>
      </c>
      <c r="AB137" s="8">
        <f>IFERROR(__xludf.DUMMYFUNCTION("""COMPUTED_VALUE"""),0.0133957048692324)</f>
        <v>0.01339570487</v>
      </c>
      <c r="AC137" s="8">
        <f>IFERROR(__xludf.DUMMYFUNCTION("""COMPUTED_VALUE"""),1.39333983558589E-4)</f>
        <v>0.0001393339836</v>
      </c>
    </row>
    <row r="138" ht="15.75" customHeight="1">
      <c r="A138" s="6" t="str">
        <f>IFERROR(__xludf.DUMMYFUNCTION("""COMPUTED_VALUE"""),"778663539ccabc8ee781b66d2bf6ff6a7f527163")</f>
        <v>778663539ccabc8ee781b66d2bf6ff6a7f527163</v>
      </c>
      <c r="B138" s="6" t="str">
        <f>IFERROR(__xludf.DUMMYFUNCTION("""COMPUTED_VALUE"""),"The Lazuras Engine System")</f>
        <v>The Lazuras Engine System</v>
      </c>
      <c r="C138" s="6" t="str">
        <f>IFERROR(__xludf.DUMMYFUNCTION("""COMPUTED_VALUE"""),"System and Superpower")</f>
        <v>System and Superpower</v>
      </c>
      <c r="D138" s="11">
        <f>IFERROR(__xludf.DUMMYFUNCTION("""COMPUTED_VALUE"""),884.0)</f>
        <v>884</v>
      </c>
      <c r="E138" s="8">
        <f>IFERROR(__xludf.DUMMYFUNCTION("""COMPUTED_VALUE"""),0.962669683257918)</f>
        <v>0.9626696833</v>
      </c>
      <c r="F138" s="8">
        <f>IFERROR(__xludf.DUMMYFUNCTION("""COMPUTED_VALUE"""),0.46945701357466)</f>
        <v>0.4694570136</v>
      </c>
      <c r="G138" s="8">
        <f>IFERROR(__xludf.DUMMYFUNCTION("""COMPUTED_VALUE"""),0.350678733031674)</f>
        <v>0.350678733</v>
      </c>
      <c r="H138" s="8">
        <f>IFERROR(__xludf.DUMMYFUNCTION("""COMPUTED_VALUE"""),0.309954751131221)</f>
        <v>0.3099547511</v>
      </c>
      <c r="I138" s="8">
        <f>IFERROR(__xludf.DUMMYFUNCTION("""COMPUTED_VALUE"""),0.278280542986425)</f>
        <v>0.278280543</v>
      </c>
      <c r="J138" s="8">
        <f>IFERROR(__xludf.DUMMYFUNCTION("""COMPUTED_VALUE"""),0.246606334841628)</f>
        <v>0.2466063348</v>
      </c>
      <c r="K138" s="8">
        <f>IFERROR(__xludf.DUMMYFUNCTION("""COMPUTED_VALUE"""),0.223981900452488)</f>
        <v>0.2239819005</v>
      </c>
      <c r="L138" s="8">
        <f>IFERROR(__xludf.DUMMYFUNCTION("""COMPUTED_VALUE"""),0.212669683257918)</f>
        <v>0.2126696833</v>
      </c>
      <c r="M138" s="8">
        <f>IFERROR(__xludf.DUMMYFUNCTION("""COMPUTED_VALUE"""),0.19047619047619)</f>
        <v>0.1904761905</v>
      </c>
      <c r="N138" s="8">
        <f>IFERROR(__xludf.DUMMYFUNCTION("""COMPUTED_VALUE"""),0.172335600907029)</f>
        <v>0.1723356009</v>
      </c>
      <c r="O138" s="8">
        <f>IFERROR(__xludf.DUMMYFUNCTION("""COMPUTED_VALUE"""),0.117724867724867)</f>
        <v>0.1177248677</v>
      </c>
      <c r="P138" s="8">
        <f>IFERROR(__xludf.DUMMYFUNCTION("""COMPUTED_VALUE"""),0.0945757997218358)</f>
        <v>0.09457579972</v>
      </c>
      <c r="Q138" s="8">
        <f>IFERROR(__xludf.DUMMYFUNCTION("""COMPUTED_VALUE"""),0.066543438077634)</f>
        <v>0.06654343808</v>
      </c>
      <c r="R138" s="8">
        <f>IFERROR(__xludf.DUMMYFUNCTION("""COMPUTED_VALUE"""),0.0204081632653061)</f>
        <v>0.02040816327</v>
      </c>
      <c r="S138" s="8">
        <f>IFERROR(__xludf.DUMMYFUNCTION("""COMPUTED_VALUE"""),0.0)</f>
        <v>0</v>
      </c>
      <c r="T138" s="8">
        <f>IFERROR(__xludf.DUMMYFUNCTION("""COMPUTED_VALUE"""),0.0)</f>
        <v>0</v>
      </c>
      <c r="U138" s="8">
        <f>IFERROR(__xludf.DUMMYFUNCTION("""COMPUTED_VALUE"""),0.0)</f>
        <v>0</v>
      </c>
      <c r="V138" s="8">
        <f>IFERROR(__xludf.DUMMYFUNCTION("""COMPUTED_VALUE"""),0.0)</f>
        <v>0</v>
      </c>
      <c r="W138" s="8">
        <f>IFERROR(__xludf.DUMMYFUNCTION("""COMPUTED_VALUE"""),0.0)</f>
        <v>0</v>
      </c>
      <c r="X138" s="8">
        <f>IFERROR(__xludf.DUMMYFUNCTION("""COMPUTED_VALUE"""),0.0)</f>
        <v>0</v>
      </c>
      <c r="Y138" s="8">
        <f>IFERROR(__xludf.DUMMYFUNCTION("""COMPUTED_VALUE"""),0.0)</f>
        <v>0</v>
      </c>
      <c r="Z138" s="8">
        <f>IFERROR(__xludf.DUMMYFUNCTION("""COMPUTED_VALUE"""),0.0)</f>
        <v>0</v>
      </c>
      <c r="AA138" s="8">
        <f>IFERROR(__xludf.DUMMYFUNCTION("""COMPUTED_VALUE"""),0.0)</f>
        <v>0</v>
      </c>
      <c r="AB138" s="8">
        <f>IFERROR(__xludf.DUMMYFUNCTION("""COMPUTED_VALUE"""),0.0)</f>
        <v>0</v>
      </c>
      <c r="AC138" s="8">
        <f>IFERROR(__xludf.DUMMYFUNCTION("""COMPUTED_VALUE"""),0.0)</f>
        <v>0</v>
      </c>
    </row>
    <row r="139" ht="15.75" customHeight="1">
      <c r="A139" s="6" t="str">
        <f>IFERROR(__xludf.DUMMYFUNCTION("""COMPUTED_VALUE"""),"7b3a625b0f5bbaa9080a6795b2d70e994716f8a5")</f>
        <v>7b3a625b0f5bbaa9080a6795b2d70e994716f8a5</v>
      </c>
      <c r="B139" s="6" t="str">
        <f>IFERROR(__xludf.DUMMYFUNCTION("""COMPUTED_VALUE"""),"Unexpectedly Yours")</f>
        <v>Unexpectedly Yours</v>
      </c>
      <c r="C139" s="6" t="str">
        <f>IFERROR(__xludf.DUMMYFUNCTION("""COMPUTED_VALUE"""),"Romance")</f>
        <v>Romance</v>
      </c>
      <c r="D139" s="11">
        <f>IFERROR(__xludf.DUMMYFUNCTION("""COMPUTED_VALUE"""),455.0)</f>
        <v>455</v>
      </c>
      <c r="E139" s="8">
        <f>IFERROR(__xludf.DUMMYFUNCTION("""COMPUTED_VALUE"""),0.944827586206896)</f>
        <v>0.9448275862</v>
      </c>
      <c r="F139" s="8">
        <f>IFERROR(__xludf.DUMMYFUNCTION("""COMPUTED_VALUE"""),0.38501291989664)</f>
        <v>0.3850129199</v>
      </c>
      <c r="G139" s="8">
        <f>IFERROR(__xludf.DUMMYFUNCTION("""COMPUTED_VALUE"""),0.35180055401662)</f>
        <v>0.351800554</v>
      </c>
      <c r="H139" s="8">
        <f>IFERROR(__xludf.DUMMYFUNCTION("""COMPUTED_VALUE"""),0.291803278688524)</f>
        <v>0.2918032787</v>
      </c>
      <c r="I139" s="8">
        <f>IFERROR(__xludf.DUMMYFUNCTION("""COMPUTED_VALUE"""),0.273333333333333)</f>
        <v>0.2733333333</v>
      </c>
      <c r="J139" s="8">
        <f>IFERROR(__xludf.DUMMYFUNCTION("""COMPUTED_VALUE"""),0.247272727272727)</f>
        <v>0.2472727273</v>
      </c>
      <c r="K139" s="8">
        <f>IFERROR(__xludf.DUMMYFUNCTION("""COMPUTED_VALUE"""),0.227941176470588)</f>
        <v>0.2279411765</v>
      </c>
      <c r="L139" s="8">
        <f>IFERROR(__xludf.DUMMYFUNCTION("""COMPUTED_VALUE"""),0.220149253731343)</f>
        <v>0.2201492537</v>
      </c>
      <c r="M139" s="8">
        <f>IFERROR(__xludf.DUMMYFUNCTION("""COMPUTED_VALUE"""),0.204545454545454)</f>
        <v>0.2045454545</v>
      </c>
      <c r="N139" s="8">
        <f>IFERROR(__xludf.DUMMYFUNCTION("""COMPUTED_VALUE"""),0.207843137254901)</f>
        <v>0.2078431373</v>
      </c>
      <c r="O139" s="8">
        <f>IFERROR(__xludf.DUMMYFUNCTION("""COMPUTED_VALUE"""),0.135338345864661)</f>
        <v>0.1353383459</v>
      </c>
      <c r="P139" s="8">
        <f>IFERROR(__xludf.DUMMYFUNCTION("""COMPUTED_VALUE"""),0.12087912087912)</f>
        <v>0.1208791209</v>
      </c>
      <c r="Q139" s="8">
        <f>IFERROR(__xludf.DUMMYFUNCTION("""COMPUTED_VALUE"""),0.0)</f>
        <v>0</v>
      </c>
      <c r="R139" s="8">
        <f>IFERROR(__xludf.DUMMYFUNCTION("""COMPUTED_VALUE"""),0.0)</f>
        <v>0</v>
      </c>
      <c r="S139" s="8">
        <f>IFERROR(__xludf.DUMMYFUNCTION("""COMPUTED_VALUE"""),0.0)</f>
        <v>0</v>
      </c>
      <c r="T139" s="8">
        <f>IFERROR(__xludf.DUMMYFUNCTION("""COMPUTED_VALUE"""),0.0)</f>
        <v>0</v>
      </c>
      <c r="U139" s="8">
        <f>IFERROR(__xludf.DUMMYFUNCTION("""COMPUTED_VALUE"""),0.0)</f>
        <v>0</v>
      </c>
      <c r="V139" s="8">
        <f>IFERROR(__xludf.DUMMYFUNCTION("""COMPUTED_VALUE"""),0.0)</f>
        <v>0</v>
      </c>
      <c r="W139" s="8">
        <f>IFERROR(__xludf.DUMMYFUNCTION("""COMPUTED_VALUE"""),0.0)</f>
        <v>0</v>
      </c>
      <c r="X139" s="8">
        <f>IFERROR(__xludf.DUMMYFUNCTION("""COMPUTED_VALUE"""),0.0)</f>
        <v>0</v>
      </c>
      <c r="Y139" s="8">
        <f>IFERROR(__xludf.DUMMYFUNCTION("""COMPUTED_VALUE"""),0.0)</f>
        <v>0</v>
      </c>
      <c r="Z139" s="8">
        <f>IFERROR(__xludf.DUMMYFUNCTION("""COMPUTED_VALUE"""),0.0)</f>
        <v>0</v>
      </c>
      <c r="AA139" s="8">
        <f>IFERROR(__xludf.DUMMYFUNCTION("""COMPUTED_VALUE"""),0.0)</f>
        <v>0</v>
      </c>
      <c r="AB139" s="8">
        <f>IFERROR(__xludf.DUMMYFUNCTION("""COMPUTED_VALUE"""),0.0)</f>
        <v>0</v>
      </c>
      <c r="AC139" s="8">
        <f>IFERROR(__xludf.DUMMYFUNCTION("""COMPUTED_VALUE"""),0.0)</f>
        <v>0</v>
      </c>
    </row>
    <row r="140" ht="15.75" customHeight="1">
      <c r="A140" s="6" t="str">
        <f>IFERROR(__xludf.DUMMYFUNCTION("""COMPUTED_VALUE"""),"7c9e3c835e58a5ec8e21381910eaaf785ea5ddfc")</f>
        <v>7c9e3c835e58a5ec8e21381910eaaf785ea5ddfc</v>
      </c>
      <c r="B140" s="6" t="str">
        <f>IFERROR(__xludf.DUMMYFUNCTION("""COMPUTED_VALUE"""),"I Do ... Or Do I? ")</f>
        <v>I Do ... Or Do I? </v>
      </c>
      <c r="C140" s="6" t="str">
        <f>IFERROR(__xludf.DUMMYFUNCTION("""COMPUTED_VALUE"""),"Romance")</f>
        <v>Romance</v>
      </c>
      <c r="D140" s="11">
        <f>IFERROR(__xludf.DUMMYFUNCTION("""COMPUTED_VALUE"""),1415.0)</f>
        <v>1415</v>
      </c>
      <c r="E140" s="8">
        <f>IFERROR(__xludf.DUMMYFUNCTION("""COMPUTED_VALUE"""),0.953998584571833)</f>
        <v>0.9539985846</v>
      </c>
      <c r="F140" s="8">
        <f>IFERROR(__xludf.DUMMYFUNCTION("""COMPUTED_VALUE"""),0.531914893617021)</f>
        <v>0.5319148936</v>
      </c>
      <c r="G140" s="8">
        <f>IFERROR(__xludf.DUMMYFUNCTION("""COMPUTED_VALUE"""),0.485409252669039)</f>
        <v>0.4854092527</v>
      </c>
      <c r="H140" s="8">
        <f>IFERROR(__xludf.DUMMYFUNCTION("""COMPUTED_VALUE"""),0.463150289017341)</f>
        <v>0.463150289</v>
      </c>
      <c r="I140" s="8">
        <f>IFERROR(__xludf.DUMMYFUNCTION("""COMPUTED_VALUE"""),0.443306510607168)</f>
        <v>0.4433065106</v>
      </c>
      <c r="J140" s="8">
        <f>IFERROR(__xludf.DUMMYFUNCTION("""COMPUTED_VALUE"""),0.415430267062314)</f>
        <v>0.4154302671</v>
      </c>
      <c r="K140" s="8">
        <f>IFERROR(__xludf.DUMMYFUNCTION("""COMPUTED_VALUE"""),0.38943396226415)</f>
        <v>0.3894339623</v>
      </c>
      <c r="L140" s="8">
        <f>IFERROR(__xludf.DUMMYFUNCTION("""COMPUTED_VALUE"""),0.36664104534973)</f>
        <v>0.3666410453</v>
      </c>
      <c r="M140" s="8">
        <f>IFERROR(__xludf.DUMMYFUNCTION("""COMPUTED_VALUE"""),0.333858267716535)</f>
        <v>0.3338582677</v>
      </c>
      <c r="N140" s="8">
        <f>IFERROR(__xludf.DUMMYFUNCTION("""COMPUTED_VALUE"""),0.307313064913722)</f>
        <v>0.3073130649</v>
      </c>
      <c r="O140" s="8">
        <f>IFERROR(__xludf.DUMMYFUNCTION("""COMPUTED_VALUE"""),0.263963963963964)</f>
        <v>0.263963964</v>
      </c>
      <c r="P140" s="8">
        <f>IFERROR(__xludf.DUMMYFUNCTION("""COMPUTED_VALUE"""),0.119596541786743)</f>
        <v>0.1195965418</v>
      </c>
      <c r="Q140" s="8">
        <f>IFERROR(__xludf.DUMMYFUNCTION("""COMPUTED_VALUE"""),0.0743801652892562)</f>
        <v>0.07438016529</v>
      </c>
      <c r="R140" s="8">
        <f>IFERROR(__xludf.DUMMYFUNCTION("""COMPUTED_VALUE"""),0.0)</f>
        <v>0</v>
      </c>
      <c r="S140" s="8">
        <f>IFERROR(__xludf.DUMMYFUNCTION("""COMPUTED_VALUE"""),0.0)</f>
        <v>0</v>
      </c>
      <c r="T140" s="8">
        <f>IFERROR(__xludf.DUMMYFUNCTION("""COMPUTED_VALUE"""),0.0)</f>
        <v>0</v>
      </c>
      <c r="U140" s="8">
        <f>IFERROR(__xludf.DUMMYFUNCTION("""COMPUTED_VALUE"""),0.0)</f>
        <v>0</v>
      </c>
      <c r="V140" s="8">
        <f>IFERROR(__xludf.DUMMYFUNCTION("""COMPUTED_VALUE"""),0.0)</f>
        <v>0</v>
      </c>
      <c r="W140" s="8">
        <f>IFERROR(__xludf.DUMMYFUNCTION("""COMPUTED_VALUE"""),0.0)</f>
        <v>0</v>
      </c>
      <c r="X140" s="8">
        <f>IFERROR(__xludf.DUMMYFUNCTION("""COMPUTED_VALUE"""),0.0)</f>
        <v>0</v>
      </c>
      <c r="Y140" s="8">
        <f>IFERROR(__xludf.DUMMYFUNCTION("""COMPUTED_VALUE"""),0.0)</f>
        <v>0</v>
      </c>
      <c r="Z140" s="8">
        <f>IFERROR(__xludf.DUMMYFUNCTION("""COMPUTED_VALUE"""),0.0)</f>
        <v>0</v>
      </c>
      <c r="AA140" s="8">
        <f>IFERROR(__xludf.DUMMYFUNCTION("""COMPUTED_VALUE"""),0.0)</f>
        <v>0</v>
      </c>
      <c r="AB140" s="8">
        <f>IFERROR(__xludf.DUMMYFUNCTION("""COMPUTED_VALUE"""),0.0)</f>
        <v>0</v>
      </c>
      <c r="AC140" s="8">
        <f>IFERROR(__xludf.DUMMYFUNCTION("""COMPUTED_VALUE"""),0.0)</f>
        <v>0</v>
      </c>
    </row>
    <row r="141" ht="15.75" customHeight="1">
      <c r="A141" s="6" t="str">
        <f>IFERROR(__xludf.DUMMYFUNCTION("""COMPUTED_VALUE"""),"7d18c26c9a61af0d543d74280e7328e01a907988")</f>
        <v>7d18c26c9a61af0d543d74280e7328e01a907988</v>
      </c>
      <c r="B141" s="6" t="str">
        <f>IFERROR(__xludf.DUMMYFUNCTION("""COMPUTED_VALUE"""),"Empire of Love and War")</f>
        <v>Empire of Love and War</v>
      </c>
      <c r="C141" s="6" t="str">
        <f>IFERROR(__xludf.DUMMYFUNCTION("""COMPUTED_VALUE"""),"Romance")</f>
        <v>Romance</v>
      </c>
      <c r="D141" s="11">
        <f>IFERROR(__xludf.DUMMYFUNCTION("""COMPUTED_VALUE"""),7940.0)</f>
        <v>7940</v>
      </c>
      <c r="E141" s="8">
        <f>IFERROR(__xludf.DUMMYFUNCTION("""COMPUTED_VALUE"""),0.974760222110045)</f>
        <v>0.9747602221</v>
      </c>
      <c r="F141" s="8">
        <f>IFERROR(__xludf.DUMMYFUNCTION("""COMPUTED_VALUE"""),0.460740928056644)</f>
        <v>0.4607409281</v>
      </c>
      <c r="G141" s="8">
        <f>IFERROR(__xludf.DUMMYFUNCTION("""COMPUTED_VALUE"""),0.406788247213779)</f>
        <v>0.4067882472</v>
      </c>
      <c r="H141" s="8">
        <f>IFERROR(__xludf.DUMMYFUNCTION("""COMPUTED_VALUE"""),0.359867751780264)</f>
        <v>0.3598677518</v>
      </c>
      <c r="I141" s="8">
        <f>IFERROR(__xludf.DUMMYFUNCTION("""COMPUTED_VALUE"""),0.327244858858091)</f>
        <v>0.3272448589</v>
      </c>
      <c r="J141" s="8">
        <f>IFERROR(__xludf.DUMMYFUNCTION("""COMPUTED_VALUE"""),0.29906181724714)</f>
        <v>0.2990618172</v>
      </c>
      <c r="K141" s="8">
        <f>IFERROR(__xludf.DUMMYFUNCTION("""COMPUTED_VALUE"""),0.279550445678852)</f>
        <v>0.2795504457</v>
      </c>
      <c r="L141" s="8">
        <f>IFERROR(__xludf.DUMMYFUNCTION("""COMPUTED_VALUE"""),0.257397224404294)</f>
        <v>0.2573972244</v>
      </c>
      <c r="M141" s="8">
        <f>IFERROR(__xludf.DUMMYFUNCTION("""COMPUTED_VALUE"""),0.243892776970817)</f>
        <v>0.243892777</v>
      </c>
      <c r="N141" s="8">
        <f>IFERROR(__xludf.DUMMYFUNCTION("""COMPUTED_VALUE"""),0.22550461168293)</f>
        <v>0.2255046117</v>
      </c>
      <c r="O141" s="8">
        <f>IFERROR(__xludf.DUMMYFUNCTION("""COMPUTED_VALUE"""),0.155445544554455)</f>
        <v>0.1554455446</v>
      </c>
      <c r="P141" s="8">
        <f>IFERROR(__xludf.DUMMYFUNCTION("""COMPUTED_VALUE"""),0.0936733692986758)</f>
        <v>0.0936733693</v>
      </c>
      <c r="Q141" s="8">
        <f>IFERROR(__xludf.DUMMYFUNCTION("""COMPUTED_VALUE"""),0.0576307363927428)</f>
        <v>0.05763073639</v>
      </c>
      <c r="R141" s="8">
        <f>IFERROR(__xludf.DUMMYFUNCTION("""COMPUTED_VALUE"""),0.0)</f>
        <v>0</v>
      </c>
      <c r="S141" s="8">
        <f>IFERROR(__xludf.DUMMYFUNCTION("""COMPUTED_VALUE"""),0.0)</f>
        <v>0</v>
      </c>
      <c r="T141" s="8">
        <f>IFERROR(__xludf.DUMMYFUNCTION("""COMPUTED_VALUE"""),0.0)</f>
        <v>0</v>
      </c>
      <c r="U141" s="8">
        <f>IFERROR(__xludf.DUMMYFUNCTION("""COMPUTED_VALUE"""),0.0)</f>
        <v>0</v>
      </c>
      <c r="V141" s="8">
        <f>IFERROR(__xludf.DUMMYFUNCTION("""COMPUTED_VALUE"""),0.0)</f>
        <v>0</v>
      </c>
      <c r="W141" s="8">
        <f>IFERROR(__xludf.DUMMYFUNCTION("""COMPUTED_VALUE"""),0.0)</f>
        <v>0</v>
      </c>
      <c r="X141" s="8">
        <f>IFERROR(__xludf.DUMMYFUNCTION("""COMPUTED_VALUE"""),0.0)</f>
        <v>0</v>
      </c>
      <c r="Y141" s="8">
        <f>IFERROR(__xludf.DUMMYFUNCTION("""COMPUTED_VALUE"""),0.0)</f>
        <v>0</v>
      </c>
      <c r="Z141" s="8">
        <f>IFERROR(__xludf.DUMMYFUNCTION("""COMPUTED_VALUE"""),0.0)</f>
        <v>0</v>
      </c>
      <c r="AA141" s="8">
        <f>IFERROR(__xludf.DUMMYFUNCTION("""COMPUTED_VALUE"""),0.0)</f>
        <v>0</v>
      </c>
      <c r="AB141" s="8">
        <f>IFERROR(__xludf.DUMMYFUNCTION("""COMPUTED_VALUE"""),0.0)</f>
        <v>0</v>
      </c>
      <c r="AC141" s="8">
        <f>IFERROR(__xludf.DUMMYFUNCTION("""COMPUTED_VALUE"""),0.0)</f>
        <v>0</v>
      </c>
    </row>
    <row r="142" ht="15.75" customHeight="1">
      <c r="A142" s="6" t="str">
        <f>IFERROR(__xludf.DUMMYFUNCTION("""COMPUTED_VALUE"""),"7dcd0d4c632448440b17285c811990532a31efec")</f>
        <v>7dcd0d4c632448440b17285c811990532a31efec</v>
      </c>
      <c r="B142" s="6" t="str">
        <f>IFERROR(__xludf.DUMMYFUNCTION("""COMPUTED_VALUE"""),"The Scentless Luna")</f>
        <v>The Scentless Luna</v>
      </c>
      <c r="C142" s="6" t="str">
        <f>IFERROR(__xludf.DUMMYFUNCTION("""COMPUTED_VALUE"""),"Romantasy")</f>
        <v>Romantasy</v>
      </c>
      <c r="D142" s="11">
        <f>IFERROR(__xludf.DUMMYFUNCTION("""COMPUTED_VALUE"""),1892.0)</f>
        <v>1892</v>
      </c>
      <c r="E142" s="8">
        <f>IFERROR(__xludf.DUMMYFUNCTION("""COMPUTED_VALUE"""),0.981808453718566)</f>
        <v>0.9818084537</v>
      </c>
      <c r="F142" s="8">
        <f>IFERROR(__xludf.DUMMYFUNCTION("""COMPUTED_VALUE"""),0.486146095717884)</f>
        <v>0.4861460957</v>
      </c>
      <c r="G142" s="8">
        <f>IFERROR(__xludf.DUMMYFUNCTION("""COMPUTED_VALUE"""),0.432451253481894)</f>
        <v>0.4324512535</v>
      </c>
      <c r="H142" s="8">
        <f>IFERROR(__xludf.DUMMYFUNCTION("""COMPUTED_VALUE"""),0.363304093567251)</f>
        <v>0.3633040936</v>
      </c>
      <c r="I142" s="8">
        <f>IFERROR(__xludf.DUMMYFUNCTION("""COMPUTED_VALUE"""),0.342836257309941)</f>
        <v>0.3428362573</v>
      </c>
      <c r="J142" s="8">
        <f>IFERROR(__xludf.DUMMYFUNCTION("""COMPUTED_VALUE"""),0.316251830161054)</f>
        <v>0.3162518302</v>
      </c>
      <c r="K142" s="8">
        <f>IFERROR(__xludf.DUMMYFUNCTION("""COMPUTED_VALUE"""),0.291361639824304)</f>
        <v>0.2913616398</v>
      </c>
      <c r="L142" s="8">
        <f>IFERROR(__xludf.DUMMYFUNCTION("""COMPUTED_VALUE"""),0.262271062271062)</f>
        <v>0.2622710623</v>
      </c>
      <c r="M142" s="8">
        <f>IFERROR(__xludf.DUMMYFUNCTION("""COMPUTED_VALUE"""),0.243956043956043)</f>
        <v>0.243956044</v>
      </c>
      <c r="N142" s="8">
        <f>IFERROR(__xludf.DUMMYFUNCTION("""COMPUTED_VALUE"""),0.222873900293255)</f>
        <v>0.2228739003</v>
      </c>
      <c r="O142" s="8">
        <f>IFERROR(__xludf.DUMMYFUNCTION("""COMPUTED_VALUE"""),0.150449101796407)</f>
        <v>0.1504491018</v>
      </c>
      <c r="P142" s="8">
        <f>IFERROR(__xludf.DUMMYFUNCTION("""COMPUTED_VALUE"""),0.0719152157456472)</f>
        <v>0.07191521575</v>
      </c>
      <c r="Q142" s="8">
        <f>IFERROR(__xludf.DUMMYFUNCTION("""COMPUTED_VALUE"""),0.0585585585585585)</f>
        <v>0.05855855856</v>
      </c>
      <c r="R142" s="8">
        <f>IFERROR(__xludf.DUMMYFUNCTION("""COMPUTED_VALUE"""),0.0851063829787234)</f>
        <v>0.08510638298</v>
      </c>
      <c r="S142" s="8">
        <f>IFERROR(__xludf.DUMMYFUNCTION("""COMPUTED_VALUE"""),0.0)</f>
        <v>0</v>
      </c>
      <c r="T142" s="8">
        <f>IFERROR(__xludf.DUMMYFUNCTION("""COMPUTED_VALUE"""),0.0)</f>
        <v>0</v>
      </c>
      <c r="U142" s="8">
        <f>IFERROR(__xludf.DUMMYFUNCTION("""COMPUTED_VALUE"""),0.0)</f>
        <v>0</v>
      </c>
      <c r="V142" s="8">
        <f>IFERROR(__xludf.DUMMYFUNCTION("""COMPUTED_VALUE"""),0.0)</f>
        <v>0</v>
      </c>
      <c r="W142" s="8">
        <f>IFERROR(__xludf.DUMMYFUNCTION("""COMPUTED_VALUE"""),0.0)</f>
        <v>0</v>
      </c>
      <c r="X142" s="8">
        <f>IFERROR(__xludf.DUMMYFUNCTION("""COMPUTED_VALUE"""),0.0)</f>
        <v>0</v>
      </c>
      <c r="Y142" s="8">
        <f>IFERROR(__xludf.DUMMYFUNCTION("""COMPUTED_VALUE"""),0.0)</f>
        <v>0</v>
      </c>
      <c r="Z142" s="8">
        <f>IFERROR(__xludf.DUMMYFUNCTION("""COMPUTED_VALUE"""),0.0)</f>
        <v>0</v>
      </c>
      <c r="AA142" s="8">
        <f>IFERROR(__xludf.DUMMYFUNCTION("""COMPUTED_VALUE"""),0.0)</f>
        <v>0</v>
      </c>
      <c r="AB142" s="8">
        <f>IFERROR(__xludf.DUMMYFUNCTION("""COMPUTED_VALUE"""),0.0)</f>
        <v>0</v>
      </c>
      <c r="AC142" s="8">
        <f>IFERROR(__xludf.DUMMYFUNCTION("""COMPUTED_VALUE"""),0.0)</f>
        <v>0</v>
      </c>
    </row>
    <row r="143" ht="15.75" customHeight="1">
      <c r="A143" s="6" t="str">
        <f>IFERROR(__xludf.DUMMYFUNCTION("""COMPUTED_VALUE"""),"7fb3b080b1ad8976195f7a18e1df497bc23037fa")</f>
        <v>7fb3b080b1ad8976195f7a18e1df497bc23037fa</v>
      </c>
      <c r="B143" s="6" t="str">
        <f>IFERROR(__xludf.DUMMYFUNCTION("""COMPUTED_VALUE"""),"The Ghostwalker")</f>
        <v>The Ghostwalker</v>
      </c>
      <c r="C143" s="6" t="str">
        <f>IFERROR(__xludf.DUMMYFUNCTION("""COMPUTED_VALUE"""),"Suspense or Thriller")</f>
        <v>Suspense or Thriller</v>
      </c>
      <c r="D143" s="11">
        <f>IFERROR(__xludf.DUMMYFUNCTION("""COMPUTED_VALUE"""),2493.0)</f>
        <v>2493</v>
      </c>
      <c r="E143" s="8">
        <f>IFERROR(__xludf.DUMMYFUNCTION("""COMPUTED_VALUE"""),0.9818401937046)</f>
        <v>0.9818401937</v>
      </c>
      <c r="F143" s="8">
        <f>IFERROR(__xludf.DUMMYFUNCTION("""COMPUTED_VALUE"""),0.438009787928221)</f>
        <v>0.4380097879</v>
      </c>
      <c r="G143" s="8">
        <f>IFERROR(__xludf.DUMMYFUNCTION("""COMPUTED_VALUE"""),0.344121261777959)</f>
        <v>0.3441212618</v>
      </c>
      <c r="H143" s="8">
        <f>IFERROR(__xludf.DUMMYFUNCTION("""COMPUTED_VALUE"""),0.302057613168724)</f>
        <v>0.3020576132</v>
      </c>
      <c r="I143" s="8">
        <f>IFERROR(__xludf.DUMMYFUNCTION("""COMPUTED_VALUE"""),0.270236612702366)</f>
        <v>0.2702366127</v>
      </c>
      <c r="J143" s="8">
        <f>IFERROR(__xludf.DUMMYFUNCTION("""COMPUTED_VALUE"""),0.239366138448707)</f>
        <v>0.2393661384</v>
      </c>
      <c r="K143" s="8">
        <f>IFERROR(__xludf.DUMMYFUNCTION("""COMPUTED_VALUE"""),0.213836477987421)</f>
        <v>0.213836478</v>
      </c>
      <c r="L143" s="8">
        <f>IFERROR(__xludf.DUMMYFUNCTION("""COMPUTED_VALUE"""),0.197969543147208)</f>
        <v>0.1979695431</v>
      </c>
      <c r="M143" s="8">
        <f>IFERROR(__xludf.DUMMYFUNCTION("""COMPUTED_VALUE"""),0.179923436835389)</f>
        <v>0.1799234368</v>
      </c>
      <c r="N143" s="8">
        <f>IFERROR(__xludf.DUMMYFUNCTION("""COMPUTED_VALUE"""),0.167026327147173)</f>
        <v>0.1670263271</v>
      </c>
      <c r="O143" s="8">
        <f>IFERROR(__xludf.DUMMYFUNCTION("""COMPUTED_VALUE"""),0.125657202944269)</f>
        <v>0.1256572029</v>
      </c>
      <c r="P143" s="8">
        <f>IFERROR(__xludf.DUMMYFUNCTION("""COMPUTED_VALUE"""),0.0942148760330578)</f>
        <v>0.09421487603</v>
      </c>
      <c r="Q143" s="8">
        <f>IFERROR(__xludf.DUMMYFUNCTION("""COMPUTED_VALUE"""),0.0)</f>
        <v>0</v>
      </c>
      <c r="R143" s="8">
        <f>IFERROR(__xludf.DUMMYFUNCTION("""COMPUTED_VALUE"""),0.0)</f>
        <v>0</v>
      </c>
      <c r="S143" s="8">
        <f>IFERROR(__xludf.DUMMYFUNCTION("""COMPUTED_VALUE"""),0.0)</f>
        <v>0</v>
      </c>
      <c r="T143" s="8">
        <f>IFERROR(__xludf.DUMMYFUNCTION("""COMPUTED_VALUE"""),0.0)</f>
        <v>0</v>
      </c>
      <c r="U143" s="8">
        <f>IFERROR(__xludf.DUMMYFUNCTION("""COMPUTED_VALUE"""),0.0)</f>
        <v>0</v>
      </c>
      <c r="V143" s="8">
        <f>IFERROR(__xludf.DUMMYFUNCTION("""COMPUTED_VALUE"""),0.0)</f>
        <v>0</v>
      </c>
      <c r="W143" s="8">
        <f>IFERROR(__xludf.DUMMYFUNCTION("""COMPUTED_VALUE"""),0.0)</f>
        <v>0</v>
      </c>
      <c r="X143" s="8">
        <f>IFERROR(__xludf.DUMMYFUNCTION("""COMPUTED_VALUE"""),0.0)</f>
        <v>0</v>
      </c>
      <c r="Y143" s="8">
        <f>IFERROR(__xludf.DUMMYFUNCTION("""COMPUTED_VALUE"""),0.0)</f>
        <v>0</v>
      </c>
      <c r="Z143" s="8">
        <f>IFERROR(__xludf.DUMMYFUNCTION("""COMPUTED_VALUE"""),0.0)</f>
        <v>0</v>
      </c>
      <c r="AA143" s="8">
        <f>IFERROR(__xludf.DUMMYFUNCTION("""COMPUTED_VALUE"""),0.0)</f>
        <v>0</v>
      </c>
      <c r="AB143" s="8">
        <f>IFERROR(__xludf.DUMMYFUNCTION("""COMPUTED_VALUE"""),0.0)</f>
        <v>0</v>
      </c>
      <c r="AC143" s="8">
        <f>IFERROR(__xludf.DUMMYFUNCTION("""COMPUTED_VALUE"""),0.0)</f>
        <v>0</v>
      </c>
    </row>
    <row r="144" ht="15.75" customHeight="1">
      <c r="A144" s="6" t="str">
        <f>IFERROR(__xludf.DUMMYFUNCTION("""COMPUTED_VALUE"""),"7fd747e6520471a8653824ad1a2ba2ad33b91835")</f>
        <v>7fd747e6520471a8653824ad1a2ba2ad33b91835</v>
      </c>
      <c r="B144" s="6" t="str">
        <f>IFERROR(__xludf.DUMMYFUNCTION("""COMPUTED_VALUE"""),"Evolution Online")</f>
        <v>Evolution Online</v>
      </c>
      <c r="C144" s="6" t="str">
        <f>IFERROR(__xludf.DUMMYFUNCTION("""COMPUTED_VALUE"""),"Fantasy")</f>
        <v>Fantasy</v>
      </c>
      <c r="D144" s="11">
        <f>IFERROR(__xludf.DUMMYFUNCTION("""COMPUTED_VALUE"""),584.0)</f>
        <v>584</v>
      </c>
      <c r="E144" s="8">
        <f>IFERROR(__xludf.DUMMYFUNCTION("""COMPUTED_VALUE"""),0.96917808219178)</f>
        <v>0.9691780822</v>
      </c>
      <c r="F144" s="8">
        <f>IFERROR(__xludf.DUMMYFUNCTION("""COMPUTED_VALUE"""),0.554216867469879)</f>
        <v>0.5542168675</v>
      </c>
      <c r="G144" s="8">
        <f>IFERROR(__xludf.DUMMYFUNCTION("""COMPUTED_VALUE"""),0.387263339070568)</f>
        <v>0.3872633391</v>
      </c>
      <c r="H144" s="8">
        <f>IFERROR(__xludf.DUMMYFUNCTION("""COMPUTED_VALUE"""),0.368965517241379)</f>
        <v>0.3689655172</v>
      </c>
      <c r="I144" s="8">
        <f>IFERROR(__xludf.DUMMYFUNCTION("""COMPUTED_VALUE"""),0.332179930795847)</f>
        <v>0.3321799308</v>
      </c>
      <c r="J144" s="8">
        <f>IFERROR(__xludf.DUMMYFUNCTION("""COMPUTED_VALUE"""),0.30795847750865)</f>
        <v>0.3079584775</v>
      </c>
      <c r="K144" s="8">
        <f>IFERROR(__xludf.DUMMYFUNCTION("""COMPUTED_VALUE"""),0.280276816608996)</f>
        <v>0.2802768166</v>
      </c>
      <c r="L144" s="8">
        <f>IFERROR(__xludf.DUMMYFUNCTION("""COMPUTED_VALUE"""),0.262975778546712)</f>
        <v>0.2629757785</v>
      </c>
      <c r="M144" s="8">
        <f>IFERROR(__xludf.DUMMYFUNCTION("""COMPUTED_VALUE"""),0.244791666666666)</f>
        <v>0.2447916667</v>
      </c>
      <c r="N144" s="8">
        <f>IFERROR(__xludf.DUMMYFUNCTION("""COMPUTED_VALUE"""),0.222222222222222)</f>
        <v>0.2222222222</v>
      </c>
      <c r="O144" s="8">
        <f>IFERROR(__xludf.DUMMYFUNCTION("""COMPUTED_VALUE"""),0.169556840077071)</f>
        <v>0.1695568401</v>
      </c>
      <c r="P144" s="8">
        <f>IFERROR(__xludf.DUMMYFUNCTION("""COMPUTED_VALUE"""),0.138943248532289)</f>
        <v>0.1389432485</v>
      </c>
      <c r="Q144" s="8">
        <f>IFERROR(__xludf.DUMMYFUNCTION("""COMPUTED_VALUE"""),0.0925)</f>
        <v>0.0925</v>
      </c>
      <c r="R144" s="8">
        <f>IFERROR(__xludf.DUMMYFUNCTION("""COMPUTED_VALUE"""),0.0)</f>
        <v>0</v>
      </c>
      <c r="S144" s="8">
        <f>IFERROR(__xludf.DUMMYFUNCTION("""COMPUTED_VALUE"""),0.0)</f>
        <v>0</v>
      </c>
      <c r="T144" s="8">
        <f>IFERROR(__xludf.DUMMYFUNCTION("""COMPUTED_VALUE"""),0.0)</f>
        <v>0</v>
      </c>
      <c r="U144" s="8">
        <f>IFERROR(__xludf.DUMMYFUNCTION("""COMPUTED_VALUE"""),0.0)</f>
        <v>0</v>
      </c>
      <c r="V144" s="8">
        <f>IFERROR(__xludf.DUMMYFUNCTION("""COMPUTED_VALUE"""),0.0)</f>
        <v>0</v>
      </c>
      <c r="W144" s="8">
        <f>IFERROR(__xludf.DUMMYFUNCTION("""COMPUTED_VALUE"""),0.0)</f>
        <v>0</v>
      </c>
      <c r="X144" s="8">
        <f>IFERROR(__xludf.DUMMYFUNCTION("""COMPUTED_VALUE"""),0.0)</f>
        <v>0</v>
      </c>
      <c r="Y144" s="8">
        <f>IFERROR(__xludf.DUMMYFUNCTION("""COMPUTED_VALUE"""),0.0)</f>
        <v>0</v>
      </c>
      <c r="Z144" s="8">
        <f>IFERROR(__xludf.DUMMYFUNCTION("""COMPUTED_VALUE"""),0.0)</f>
        <v>0</v>
      </c>
      <c r="AA144" s="8">
        <f>IFERROR(__xludf.DUMMYFUNCTION("""COMPUTED_VALUE"""),0.0)</f>
        <v>0</v>
      </c>
      <c r="AB144" s="8">
        <f>IFERROR(__xludf.DUMMYFUNCTION("""COMPUTED_VALUE"""),0.0)</f>
        <v>0</v>
      </c>
      <c r="AC144" s="8">
        <f>IFERROR(__xludf.DUMMYFUNCTION("""COMPUTED_VALUE"""),0.0)</f>
        <v>0</v>
      </c>
    </row>
    <row r="145" ht="15.75" customHeight="1">
      <c r="A145" s="6" t="str">
        <f>IFERROR(__xludf.DUMMYFUNCTION("""COMPUTED_VALUE"""),"80e6be6f7d165552c60a2fc7cbf39746d2ab2466")</f>
        <v>80e6be6f7d165552c60a2fc7cbf39746d2ab2466</v>
      </c>
      <c r="B145" s="6" t="str">
        <f>IFERROR(__xludf.DUMMYFUNCTION("""COMPUTED_VALUE"""),"Marked by Him: True Mate")</f>
        <v>Marked by Him: True Mate</v>
      </c>
      <c r="C145" s="6" t="str">
        <f>IFERROR(__xludf.DUMMYFUNCTION("""COMPUTED_VALUE"""),"Romantasy")</f>
        <v>Romantasy</v>
      </c>
      <c r="D145" s="11">
        <f>IFERROR(__xludf.DUMMYFUNCTION("""COMPUTED_VALUE"""),2557.0)</f>
        <v>2557</v>
      </c>
      <c r="E145" s="8">
        <f>IFERROR(__xludf.DUMMYFUNCTION("""COMPUTED_VALUE"""),0.963223787167449)</f>
        <v>0.9632237872</v>
      </c>
      <c r="F145" s="8">
        <f>IFERROR(__xludf.DUMMYFUNCTION("""COMPUTED_VALUE"""),0.530332681017612)</f>
        <v>0.530332681</v>
      </c>
      <c r="G145" s="8">
        <f>IFERROR(__xludf.DUMMYFUNCTION("""COMPUTED_VALUE"""),0.47923197492163)</f>
        <v>0.4792319749</v>
      </c>
      <c r="H145" s="8">
        <f>IFERROR(__xludf.DUMMYFUNCTION("""COMPUTED_VALUE"""),0.448667711598746)</f>
        <v>0.4486677116</v>
      </c>
      <c r="I145" s="8">
        <f>IFERROR(__xludf.DUMMYFUNCTION("""COMPUTED_VALUE"""),0.432050274941084)</f>
        <v>0.4320502749</v>
      </c>
      <c r="J145" s="8">
        <f>IFERROR(__xludf.DUMMYFUNCTION("""COMPUTED_VALUE"""),0.40803465931469)</f>
        <v>0.4080346593</v>
      </c>
      <c r="K145" s="8">
        <f>IFERROR(__xludf.DUMMYFUNCTION("""COMPUTED_VALUE"""),0.395041983206717)</f>
        <v>0.3950419832</v>
      </c>
      <c r="L145" s="8">
        <f>IFERROR(__xludf.DUMMYFUNCTION("""COMPUTED_VALUE"""),0.379762392462105)</f>
        <v>0.3797623925</v>
      </c>
      <c r="M145" s="8">
        <f>IFERROR(__xludf.DUMMYFUNCTION("""COMPUTED_VALUE"""),0.37046307884856)</f>
        <v>0.3704630788</v>
      </c>
      <c r="N145" s="8">
        <f>IFERROR(__xludf.DUMMYFUNCTION("""COMPUTED_VALUE"""),0.367050789586)</f>
        <v>0.3670507896</v>
      </c>
      <c r="O145" s="8">
        <f>IFERROR(__xludf.DUMMYFUNCTION("""COMPUTED_VALUE"""),0.337197049525816)</f>
        <v>0.3371970495</v>
      </c>
      <c r="P145" s="8">
        <f>IFERROR(__xludf.DUMMYFUNCTION("""COMPUTED_VALUE"""),0.27209797657082)</f>
        <v>0.2720979766</v>
      </c>
      <c r="Q145" s="8">
        <f>IFERROR(__xludf.DUMMYFUNCTION("""COMPUTED_VALUE"""),0.183285849952516)</f>
        <v>0.18328585</v>
      </c>
      <c r="R145" s="8">
        <f>IFERROR(__xludf.DUMMYFUNCTION("""COMPUTED_VALUE"""),0.105263157894736)</f>
        <v>0.1052631579</v>
      </c>
      <c r="S145" s="8">
        <f>IFERROR(__xludf.DUMMYFUNCTION("""COMPUTED_VALUE"""),0.0)</f>
        <v>0</v>
      </c>
      <c r="T145" s="8">
        <f>IFERROR(__xludf.DUMMYFUNCTION("""COMPUTED_VALUE"""),0.0)</f>
        <v>0</v>
      </c>
      <c r="U145" s="8">
        <f>IFERROR(__xludf.DUMMYFUNCTION("""COMPUTED_VALUE"""),0.0)</f>
        <v>0</v>
      </c>
      <c r="V145" s="8">
        <f>IFERROR(__xludf.DUMMYFUNCTION("""COMPUTED_VALUE"""),0.0)</f>
        <v>0</v>
      </c>
      <c r="W145" s="8">
        <f>IFERROR(__xludf.DUMMYFUNCTION("""COMPUTED_VALUE"""),0.0)</f>
        <v>0</v>
      </c>
      <c r="X145" s="8">
        <f>IFERROR(__xludf.DUMMYFUNCTION("""COMPUTED_VALUE"""),0.0)</f>
        <v>0</v>
      </c>
      <c r="Y145" s="8">
        <f>IFERROR(__xludf.DUMMYFUNCTION("""COMPUTED_VALUE"""),0.0)</f>
        <v>0</v>
      </c>
      <c r="Z145" s="8">
        <f>IFERROR(__xludf.DUMMYFUNCTION("""COMPUTED_VALUE"""),0.0)</f>
        <v>0</v>
      </c>
      <c r="AA145" s="8">
        <f>IFERROR(__xludf.DUMMYFUNCTION("""COMPUTED_VALUE"""),0.0)</f>
        <v>0</v>
      </c>
      <c r="AB145" s="8">
        <f>IFERROR(__xludf.DUMMYFUNCTION("""COMPUTED_VALUE"""),0.0)</f>
        <v>0</v>
      </c>
      <c r="AC145" s="8">
        <f>IFERROR(__xludf.DUMMYFUNCTION("""COMPUTED_VALUE"""),0.0)</f>
        <v>0</v>
      </c>
    </row>
    <row r="146" ht="15.75" customHeight="1">
      <c r="A146" s="6" t="str">
        <f>IFERROR(__xludf.DUMMYFUNCTION("""COMPUTED_VALUE"""),"820e3a2951adfcd3997c3ea5696cb62bc975f0a0")</f>
        <v>820e3a2951adfcd3997c3ea5696cb62bc975f0a0</v>
      </c>
      <c r="B146" s="6" t="str">
        <f>IFERROR(__xludf.DUMMYFUNCTION("""COMPUTED_VALUE"""),"The Return of Master ")</f>
        <v>The Return of Master </v>
      </c>
      <c r="C146" s="6" t="str">
        <f>IFERROR(__xludf.DUMMYFUNCTION("""COMPUTED_VALUE"""),"Fantasy")</f>
        <v>Fantasy</v>
      </c>
      <c r="D146" s="11">
        <f>IFERROR(__xludf.DUMMYFUNCTION("""COMPUTED_VALUE"""),239.0)</f>
        <v>239</v>
      </c>
      <c r="E146" s="8">
        <f>IFERROR(__xludf.DUMMYFUNCTION("""COMPUTED_VALUE"""),0.962184873949579)</f>
        <v>0.9621848739</v>
      </c>
      <c r="F146" s="8">
        <f>IFERROR(__xludf.DUMMYFUNCTION("""COMPUTED_VALUE"""),0.668067226890756)</f>
        <v>0.6680672269</v>
      </c>
      <c r="G146" s="8">
        <f>IFERROR(__xludf.DUMMYFUNCTION("""COMPUTED_VALUE"""),0.600840336134453)</f>
        <v>0.6008403361</v>
      </c>
      <c r="H146" s="8">
        <f>IFERROR(__xludf.DUMMYFUNCTION("""COMPUTED_VALUE"""),0.529661016949152)</f>
        <v>0.5296610169</v>
      </c>
      <c r="I146" s="8">
        <f>IFERROR(__xludf.DUMMYFUNCTION("""COMPUTED_VALUE"""),0.483050847457627)</f>
        <v>0.4830508475</v>
      </c>
      <c r="J146" s="8">
        <f>IFERROR(__xludf.DUMMYFUNCTION("""COMPUTED_VALUE"""),0.432203389830508)</f>
        <v>0.4322033898</v>
      </c>
      <c r="K146" s="8">
        <f>IFERROR(__xludf.DUMMYFUNCTION("""COMPUTED_VALUE"""),0.377118644067796)</f>
        <v>0.3771186441</v>
      </c>
      <c r="L146" s="8">
        <f>IFERROR(__xludf.DUMMYFUNCTION("""COMPUTED_VALUE"""),0.336170212765957)</f>
        <v>0.3361702128</v>
      </c>
      <c r="M146" s="8">
        <f>IFERROR(__xludf.DUMMYFUNCTION("""COMPUTED_VALUE"""),0.311965811965811)</f>
        <v>0.311965812</v>
      </c>
      <c r="N146" s="8">
        <f>IFERROR(__xludf.DUMMYFUNCTION("""COMPUTED_VALUE"""),0.299145299145299)</f>
        <v>0.2991452991</v>
      </c>
      <c r="O146" s="8">
        <f>IFERROR(__xludf.DUMMYFUNCTION("""COMPUTED_VALUE"""),0.206140350877192)</f>
        <v>0.2061403509</v>
      </c>
      <c r="P146" s="8">
        <f>IFERROR(__xludf.DUMMYFUNCTION("""COMPUTED_VALUE"""),0.133928571428571)</f>
        <v>0.1339285714</v>
      </c>
      <c r="Q146" s="8">
        <f>IFERROR(__xludf.DUMMYFUNCTION("""COMPUTED_VALUE"""),0.0188679245283018)</f>
        <v>0.01886792453</v>
      </c>
      <c r="R146" s="8">
        <f>IFERROR(__xludf.DUMMYFUNCTION("""COMPUTED_VALUE"""),0.0)</f>
        <v>0</v>
      </c>
      <c r="S146" s="8">
        <f>IFERROR(__xludf.DUMMYFUNCTION("""COMPUTED_VALUE"""),0.0)</f>
        <v>0</v>
      </c>
      <c r="T146" s="8">
        <f>IFERROR(__xludf.DUMMYFUNCTION("""COMPUTED_VALUE"""),0.0)</f>
        <v>0</v>
      </c>
      <c r="U146" s="8">
        <f>IFERROR(__xludf.DUMMYFUNCTION("""COMPUTED_VALUE"""),0.0)</f>
        <v>0</v>
      </c>
      <c r="V146" s="8">
        <f>IFERROR(__xludf.DUMMYFUNCTION("""COMPUTED_VALUE"""),0.0)</f>
        <v>0</v>
      </c>
      <c r="W146" s="8">
        <f>IFERROR(__xludf.DUMMYFUNCTION("""COMPUTED_VALUE"""),0.0)</f>
        <v>0</v>
      </c>
      <c r="X146" s="8">
        <f>IFERROR(__xludf.DUMMYFUNCTION("""COMPUTED_VALUE"""),0.0)</f>
        <v>0</v>
      </c>
      <c r="Y146" s="8">
        <f>IFERROR(__xludf.DUMMYFUNCTION("""COMPUTED_VALUE"""),0.0)</f>
        <v>0</v>
      </c>
      <c r="Z146" s="8">
        <f>IFERROR(__xludf.DUMMYFUNCTION("""COMPUTED_VALUE"""),0.0)</f>
        <v>0</v>
      </c>
      <c r="AA146" s="8">
        <f>IFERROR(__xludf.DUMMYFUNCTION("""COMPUTED_VALUE"""),0.0)</f>
        <v>0</v>
      </c>
      <c r="AB146" s="8">
        <f>IFERROR(__xludf.DUMMYFUNCTION("""COMPUTED_VALUE"""),0.0)</f>
        <v>0</v>
      </c>
      <c r="AC146" s="8">
        <f>IFERROR(__xludf.DUMMYFUNCTION("""COMPUTED_VALUE"""),0.0)</f>
        <v>0</v>
      </c>
    </row>
    <row r="147" ht="15.75" customHeight="1">
      <c r="A147" s="6" t="str">
        <f>IFERROR(__xludf.DUMMYFUNCTION("""COMPUTED_VALUE"""),"82ff8ba01d1e1fbcea7c734b687b1a9ff858733d")</f>
        <v>82ff8ba01d1e1fbcea7c734b687b1a9ff858733d</v>
      </c>
      <c r="B147" s="6" t="str">
        <f>IFERROR(__xludf.DUMMYFUNCTION("""COMPUTED_VALUE"""),"Twin Realms Traveler")</f>
        <v>Twin Realms Traveler</v>
      </c>
      <c r="C147" s="6" t="str">
        <f>IFERROR(__xludf.DUMMYFUNCTION("""COMPUTED_VALUE"""),"System and Superpower")</f>
        <v>System and Superpower</v>
      </c>
      <c r="D147" s="11">
        <f>IFERROR(__xludf.DUMMYFUNCTION("""COMPUTED_VALUE"""),315.0)</f>
        <v>315</v>
      </c>
      <c r="E147" s="8">
        <f>IFERROR(__xludf.DUMMYFUNCTION("""COMPUTED_VALUE"""),0.974603174603174)</f>
        <v>0.9746031746</v>
      </c>
      <c r="F147" s="8">
        <f>IFERROR(__xludf.DUMMYFUNCTION("""COMPUTED_VALUE"""),0.253968253968253)</f>
        <v>0.253968254</v>
      </c>
      <c r="G147" s="8">
        <f>IFERROR(__xludf.DUMMYFUNCTION("""COMPUTED_VALUE"""),0.200636942675159)</f>
        <v>0.2006369427</v>
      </c>
      <c r="H147" s="8">
        <f>IFERROR(__xludf.DUMMYFUNCTION("""COMPUTED_VALUE"""),0.182108626198083)</f>
        <v>0.1821086262</v>
      </c>
      <c r="I147" s="8">
        <f>IFERROR(__xludf.DUMMYFUNCTION("""COMPUTED_VALUE"""),0.169329073482428)</f>
        <v>0.1693290735</v>
      </c>
      <c r="J147" s="8">
        <f>IFERROR(__xludf.DUMMYFUNCTION("""COMPUTED_VALUE"""),0.144694533762057)</f>
        <v>0.1446945338</v>
      </c>
      <c r="K147" s="8">
        <f>IFERROR(__xludf.DUMMYFUNCTION("""COMPUTED_VALUE"""),0.135048231511254)</f>
        <v>0.1350482315</v>
      </c>
      <c r="L147" s="8">
        <f>IFERROR(__xludf.DUMMYFUNCTION("""COMPUTED_VALUE"""),0.122186495176848)</f>
        <v>0.1221864952</v>
      </c>
      <c r="M147" s="8">
        <f>IFERROR(__xludf.DUMMYFUNCTION("""COMPUTED_VALUE"""),0.116129032258064)</f>
        <v>0.1161290323</v>
      </c>
      <c r="N147" s="8">
        <f>IFERROR(__xludf.DUMMYFUNCTION("""COMPUTED_VALUE"""),0.106451612903225)</f>
        <v>0.1064516129</v>
      </c>
      <c r="O147" s="8">
        <f>IFERROR(__xludf.DUMMYFUNCTION("""COMPUTED_VALUE"""),0.0811688311688311)</f>
        <v>0.08116883117</v>
      </c>
      <c r="P147" s="8">
        <f>IFERROR(__xludf.DUMMYFUNCTION("""COMPUTED_VALUE"""),0.0784313725490196)</f>
        <v>0.07843137255</v>
      </c>
      <c r="Q147" s="8">
        <f>IFERROR(__xludf.DUMMYFUNCTION("""COMPUTED_VALUE"""),0.0629139072847682)</f>
        <v>0.06291390728</v>
      </c>
      <c r="R147" s="8">
        <f>IFERROR(__xludf.DUMMYFUNCTION("""COMPUTED_VALUE"""),0.0586206896551724)</f>
        <v>0.05862068966</v>
      </c>
      <c r="S147" s="8">
        <f>IFERROR(__xludf.DUMMYFUNCTION("""COMPUTED_VALUE"""),0.0476190476190476)</f>
        <v>0.04761904762</v>
      </c>
      <c r="T147" s="8">
        <f>IFERROR(__xludf.DUMMYFUNCTION("""COMPUTED_VALUE"""),0.0471698113207547)</f>
        <v>0.04716981132</v>
      </c>
      <c r="U147" s="8">
        <f>IFERROR(__xludf.DUMMYFUNCTION("""COMPUTED_VALUE"""),0.16)</f>
        <v>0.16</v>
      </c>
      <c r="V147" s="8">
        <f>IFERROR(__xludf.DUMMYFUNCTION("""COMPUTED_VALUE"""),0.0)</f>
        <v>0</v>
      </c>
      <c r="W147" s="8">
        <f>IFERROR(__xludf.DUMMYFUNCTION("""COMPUTED_VALUE"""),0.0)</f>
        <v>0</v>
      </c>
      <c r="X147" s="8">
        <f>IFERROR(__xludf.DUMMYFUNCTION("""COMPUTED_VALUE"""),0.0)</f>
        <v>0</v>
      </c>
      <c r="Y147" s="8">
        <f>IFERROR(__xludf.DUMMYFUNCTION("""COMPUTED_VALUE"""),0.0)</f>
        <v>0</v>
      </c>
      <c r="Z147" s="8">
        <f>IFERROR(__xludf.DUMMYFUNCTION("""COMPUTED_VALUE"""),0.0)</f>
        <v>0</v>
      </c>
      <c r="AA147" s="8">
        <f>IFERROR(__xludf.DUMMYFUNCTION("""COMPUTED_VALUE"""),0.0)</f>
        <v>0</v>
      </c>
      <c r="AB147" s="8">
        <f>IFERROR(__xludf.DUMMYFUNCTION("""COMPUTED_VALUE"""),0.0)</f>
        <v>0</v>
      </c>
      <c r="AC147" s="8">
        <f>IFERROR(__xludf.DUMMYFUNCTION("""COMPUTED_VALUE"""),0.0)</f>
        <v>0</v>
      </c>
    </row>
    <row r="148" ht="15.75" customHeight="1">
      <c r="A148" s="6" t="str">
        <f>IFERROR(__xludf.DUMMYFUNCTION("""COMPUTED_VALUE"""),"84289ce4a2b527c3aa47651760eaff877da6adad")</f>
        <v>84289ce4a2b527c3aa47651760eaff877da6adad</v>
      </c>
      <c r="B148" s="6" t="str">
        <f>IFERROR(__xludf.DUMMYFUNCTION("""COMPUTED_VALUE"""),"Contracted by Love")</f>
        <v>Contracted by Love</v>
      </c>
      <c r="C148" s="6" t="str">
        <f>IFERROR(__xludf.DUMMYFUNCTION("""COMPUTED_VALUE"""),"Romance")</f>
        <v>Romance</v>
      </c>
      <c r="D148" s="11">
        <f>IFERROR(__xludf.DUMMYFUNCTION("""COMPUTED_VALUE"""),1522.0)</f>
        <v>1522</v>
      </c>
      <c r="E148" s="8">
        <f>IFERROR(__xludf.DUMMYFUNCTION("""COMPUTED_VALUE"""),0.975689881734559)</f>
        <v>0.9756898817</v>
      </c>
      <c r="F148" s="8">
        <f>IFERROR(__xludf.DUMMYFUNCTION("""COMPUTED_VALUE"""),0.452929558920342)</f>
        <v>0.4529295589</v>
      </c>
      <c r="G148" s="8">
        <f>IFERROR(__xludf.DUMMYFUNCTION("""COMPUTED_VALUE"""),0.417270929466051)</f>
        <v>0.4172709295</v>
      </c>
      <c r="H148" s="8">
        <f>IFERROR(__xludf.DUMMYFUNCTION("""COMPUTED_VALUE"""),0.384564643799472)</f>
        <v>0.3845646438</v>
      </c>
      <c r="I148" s="8">
        <f>IFERROR(__xludf.DUMMYFUNCTION("""COMPUTED_VALUE"""),0.348944591029023)</f>
        <v>0.348944591</v>
      </c>
      <c r="J148" s="8">
        <f>IFERROR(__xludf.DUMMYFUNCTION("""COMPUTED_VALUE"""),0.323645970937912)</f>
        <v>0.3236459709</v>
      </c>
      <c r="K148" s="8">
        <f>IFERROR(__xludf.DUMMYFUNCTION("""COMPUTED_VALUE"""),0.296100462656972)</f>
        <v>0.2961004627</v>
      </c>
      <c r="L148" s="8">
        <f>IFERROR(__xludf.DUMMYFUNCTION("""COMPUTED_VALUE"""),0.273028495692511)</f>
        <v>0.2730284957</v>
      </c>
      <c r="M148" s="8">
        <f>IFERROR(__xludf.DUMMYFUNCTION("""COMPUTED_VALUE"""),0.248464163822525)</f>
        <v>0.2484641638</v>
      </c>
      <c r="N148" s="8">
        <f>IFERROR(__xludf.DUMMYFUNCTION("""COMPUTED_VALUE"""),0.239803094233473)</f>
        <v>0.2398030942</v>
      </c>
      <c r="O148" s="8">
        <f>IFERROR(__xludf.DUMMYFUNCTION("""COMPUTED_VALUE"""),0.17094861660079)</f>
        <v>0.1709486166</v>
      </c>
      <c r="P148" s="8">
        <f>IFERROR(__xludf.DUMMYFUNCTION("""COMPUTED_VALUE"""),0.0985915492957746)</f>
        <v>0.0985915493</v>
      </c>
      <c r="Q148" s="8">
        <f>IFERROR(__xludf.DUMMYFUNCTION("""COMPUTED_VALUE"""),0.0291970802919708)</f>
        <v>0.02919708029</v>
      </c>
      <c r="R148" s="8">
        <f>IFERROR(__xludf.DUMMYFUNCTION("""COMPUTED_VALUE"""),0.5)</f>
        <v>0.5</v>
      </c>
      <c r="S148" s="8">
        <f>IFERROR(__xludf.DUMMYFUNCTION("""COMPUTED_VALUE"""),0.0)</f>
        <v>0</v>
      </c>
      <c r="T148" s="8">
        <f>IFERROR(__xludf.DUMMYFUNCTION("""COMPUTED_VALUE"""),0.0)</f>
        <v>0</v>
      </c>
      <c r="U148" s="8">
        <f>IFERROR(__xludf.DUMMYFUNCTION("""COMPUTED_VALUE"""),0.0)</f>
        <v>0</v>
      </c>
      <c r="V148" s="8">
        <f>IFERROR(__xludf.DUMMYFUNCTION("""COMPUTED_VALUE"""),0.0)</f>
        <v>0</v>
      </c>
      <c r="W148" s="8">
        <f>IFERROR(__xludf.DUMMYFUNCTION("""COMPUTED_VALUE"""),0.0)</f>
        <v>0</v>
      </c>
      <c r="X148" s="8">
        <f>IFERROR(__xludf.DUMMYFUNCTION("""COMPUTED_VALUE"""),0.0)</f>
        <v>0</v>
      </c>
      <c r="Y148" s="8">
        <f>IFERROR(__xludf.DUMMYFUNCTION("""COMPUTED_VALUE"""),0.0)</f>
        <v>0</v>
      </c>
      <c r="Z148" s="8">
        <f>IFERROR(__xludf.DUMMYFUNCTION("""COMPUTED_VALUE"""),0.0)</f>
        <v>0</v>
      </c>
      <c r="AA148" s="8">
        <f>IFERROR(__xludf.DUMMYFUNCTION("""COMPUTED_VALUE"""),0.0)</f>
        <v>0</v>
      </c>
      <c r="AB148" s="8">
        <f>IFERROR(__xludf.DUMMYFUNCTION("""COMPUTED_VALUE"""),0.0)</f>
        <v>0</v>
      </c>
      <c r="AC148" s="8">
        <f>IFERROR(__xludf.DUMMYFUNCTION("""COMPUTED_VALUE"""),0.0)</f>
        <v>0</v>
      </c>
    </row>
    <row r="149" ht="15.75" customHeight="1">
      <c r="A149" s="6" t="str">
        <f>IFERROR(__xludf.DUMMYFUNCTION("""COMPUTED_VALUE"""),"87b65acb9b6fcd4bc45f30d46f017fa847a0ce3c")</f>
        <v>87b65acb9b6fcd4bc45f30d46f017fa847a0ce3c</v>
      </c>
      <c r="B149" s="6" t="str">
        <f>IFERROR(__xludf.DUMMYFUNCTION("""COMPUTED_VALUE"""),"The Wife's Sweet Revenge")</f>
        <v>The Wife's Sweet Revenge</v>
      </c>
      <c r="C149" s="6" t="str">
        <f>IFERROR(__xludf.DUMMYFUNCTION("""COMPUTED_VALUE"""),"Romance")</f>
        <v>Romance</v>
      </c>
      <c r="D149" s="11">
        <f>IFERROR(__xludf.DUMMYFUNCTION("""COMPUTED_VALUE"""),420.0)</f>
        <v>420</v>
      </c>
      <c r="E149" s="8">
        <f>IFERROR(__xludf.DUMMYFUNCTION("""COMPUTED_VALUE"""),0.976047904191616)</f>
        <v>0.9760479042</v>
      </c>
      <c r="F149" s="8">
        <f>IFERROR(__xludf.DUMMYFUNCTION("""COMPUTED_VALUE"""),0.503355704697986)</f>
        <v>0.5033557047</v>
      </c>
      <c r="G149" s="8">
        <f>IFERROR(__xludf.DUMMYFUNCTION("""COMPUTED_VALUE"""),0.444444444444444)</f>
        <v>0.4444444444</v>
      </c>
      <c r="H149" s="8">
        <f>IFERROR(__xludf.DUMMYFUNCTION("""COMPUTED_VALUE"""),0.406091370558375)</f>
        <v>0.4060913706</v>
      </c>
      <c r="I149" s="8">
        <f>IFERROR(__xludf.DUMMYFUNCTION("""COMPUTED_VALUE"""),0.3625)</f>
        <v>0.3625</v>
      </c>
      <c r="J149" s="8">
        <f>IFERROR(__xludf.DUMMYFUNCTION("""COMPUTED_VALUE"""),0.349206349206349)</f>
        <v>0.3492063492</v>
      </c>
      <c r="K149" s="8">
        <f>IFERROR(__xludf.DUMMYFUNCTION("""COMPUTED_VALUE"""),0.34375)</f>
        <v>0.34375</v>
      </c>
      <c r="L149" s="8">
        <f>IFERROR(__xludf.DUMMYFUNCTION("""COMPUTED_VALUE"""),0.379310344827586)</f>
        <v>0.3793103448</v>
      </c>
      <c r="M149" s="8">
        <f>IFERROR(__xludf.DUMMYFUNCTION("""COMPUTED_VALUE"""),0.571428571428571)</f>
        <v>0.5714285714</v>
      </c>
      <c r="N149" s="8">
        <f>IFERROR(__xludf.DUMMYFUNCTION("""COMPUTED_VALUE"""),0.428571428571428)</f>
        <v>0.4285714286</v>
      </c>
      <c r="O149" s="8">
        <f>IFERROR(__xludf.DUMMYFUNCTION("""COMPUTED_VALUE"""),0.0)</f>
        <v>0</v>
      </c>
      <c r="P149" s="8">
        <f>IFERROR(__xludf.DUMMYFUNCTION("""COMPUTED_VALUE"""),0.0)</f>
        <v>0</v>
      </c>
      <c r="Q149" s="8">
        <f>IFERROR(__xludf.DUMMYFUNCTION("""COMPUTED_VALUE"""),0.0)</f>
        <v>0</v>
      </c>
      <c r="R149" s="8">
        <f>IFERROR(__xludf.DUMMYFUNCTION("""COMPUTED_VALUE"""),0.0)</f>
        <v>0</v>
      </c>
      <c r="S149" s="8">
        <f>IFERROR(__xludf.DUMMYFUNCTION("""COMPUTED_VALUE"""),0.0)</f>
        <v>0</v>
      </c>
      <c r="T149" s="8">
        <f>IFERROR(__xludf.DUMMYFUNCTION("""COMPUTED_VALUE"""),0.0)</f>
        <v>0</v>
      </c>
      <c r="U149" s="8">
        <f>IFERROR(__xludf.DUMMYFUNCTION("""COMPUTED_VALUE"""),0.0)</f>
        <v>0</v>
      </c>
      <c r="V149" s="8">
        <f>IFERROR(__xludf.DUMMYFUNCTION("""COMPUTED_VALUE"""),0.0)</f>
        <v>0</v>
      </c>
      <c r="W149" s="8">
        <f>IFERROR(__xludf.DUMMYFUNCTION("""COMPUTED_VALUE"""),0.0)</f>
        <v>0</v>
      </c>
      <c r="X149" s="8">
        <f>IFERROR(__xludf.DUMMYFUNCTION("""COMPUTED_VALUE"""),0.0)</f>
        <v>0</v>
      </c>
      <c r="Y149" s="8">
        <f>IFERROR(__xludf.DUMMYFUNCTION("""COMPUTED_VALUE"""),0.0)</f>
        <v>0</v>
      </c>
      <c r="Z149" s="8">
        <f>IFERROR(__xludf.DUMMYFUNCTION("""COMPUTED_VALUE"""),0.0)</f>
        <v>0</v>
      </c>
      <c r="AA149" s="8">
        <f>IFERROR(__xludf.DUMMYFUNCTION("""COMPUTED_VALUE"""),0.0)</f>
        <v>0</v>
      </c>
      <c r="AB149" s="8">
        <f>IFERROR(__xludf.DUMMYFUNCTION("""COMPUTED_VALUE"""),0.0)</f>
        <v>0</v>
      </c>
      <c r="AC149" s="8">
        <f>IFERROR(__xludf.DUMMYFUNCTION("""COMPUTED_VALUE"""),0.0)</f>
        <v>0</v>
      </c>
    </row>
    <row r="150" ht="15.75" customHeight="1">
      <c r="A150" s="6" t="str">
        <f>IFERROR(__xludf.DUMMYFUNCTION("""COMPUTED_VALUE"""),"8824fc43e4267c5a0e2b7acff644eae4b8b2222d")</f>
        <v>8824fc43e4267c5a0e2b7acff644eae4b8b2222d</v>
      </c>
      <c r="B150" s="6" t="str">
        <f>IFERROR(__xludf.DUMMYFUNCTION("""COMPUTED_VALUE"""),"Was It Only Lust?")</f>
        <v>Was It Only Lust?</v>
      </c>
      <c r="C150" s="6" t="str">
        <f>IFERROR(__xludf.DUMMYFUNCTION("""COMPUTED_VALUE"""),"Romance")</f>
        <v>Romance</v>
      </c>
      <c r="D150" s="11">
        <f>IFERROR(__xludf.DUMMYFUNCTION("""COMPUTED_VALUE"""),2062.0)</f>
        <v>2062</v>
      </c>
      <c r="E150" s="8">
        <f>IFERROR(__xludf.DUMMYFUNCTION("""COMPUTED_VALUE"""),0.963106796116504)</f>
        <v>0.9631067961</v>
      </c>
      <c r="F150" s="8">
        <f>IFERROR(__xludf.DUMMYFUNCTION("""COMPUTED_VALUE"""),0.467671366067088)</f>
        <v>0.4676713661</v>
      </c>
      <c r="G150" s="8">
        <f>IFERROR(__xludf.DUMMYFUNCTION("""COMPUTED_VALUE"""),0.397080291970802)</f>
        <v>0.397080292</v>
      </c>
      <c r="H150" s="8">
        <f>IFERROR(__xludf.DUMMYFUNCTION("""COMPUTED_VALUE"""),0.362706913339824)</f>
        <v>0.3627069133</v>
      </c>
      <c r="I150" s="8">
        <f>IFERROR(__xludf.DUMMYFUNCTION("""COMPUTED_VALUE"""),0.33935546875)</f>
        <v>0.3393554688</v>
      </c>
      <c r="J150" s="8">
        <f>IFERROR(__xludf.DUMMYFUNCTION("""COMPUTED_VALUE"""),0.338055691255495)</f>
        <v>0.3380556913</v>
      </c>
      <c r="K150" s="8">
        <f>IFERROR(__xludf.DUMMYFUNCTION("""COMPUTED_VALUE"""),0.318982387475538)</f>
        <v>0.3189823875</v>
      </c>
      <c r="L150" s="8">
        <f>IFERROR(__xludf.DUMMYFUNCTION("""COMPUTED_VALUE"""),0.280710409472126)</f>
        <v>0.2807104095</v>
      </c>
      <c r="M150" s="8">
        <f>IFERROR(__xludf.DUMMYFUNCTION("""COMPUTED_VALUE"""),0.266401590457256)</f>
        <v>0.2664015905</v>
      </c>
      <c r="N150" s="8">
        <f>IFERROR(__xludf.DUMMYFUNCTION("""COMPUTED_VALUE"""),0.249750747756729)</f>
        <v>0.2497507478</v>
      </c>
      <c r="O150" s="8">
        <f>IFERROR(__xludf.DUMMYFUNCTION("""COMPUTED_VALUE"""),0.16892911010558)</f>
        <v>0.1689291101</v>
      </c>
      <c r="P150" s="8">
        <f>IFERROR(__xludf.DUMMYFUNCTION("""COMPUTED_VALUE"""),0.107242339832869)</f>
        <v>0.1072423398</v>
      </c>
      <c r="Q150" s="8">
        <f>IFERROR(__xludf.DUMMYFUNCTION("""COMPUTED_VALUE"""),0.0714285714285714)</f>
        <v>0.07142857143</v>
      </c>
      <c r="R150" s="8">
        <f>IFERROR(__xludf.DUMMYFUNCTION("""COMPUTED_VALUE"""),0.0)</f>
        <v>0</v>
      </c>
      <c r="S150" s="8">
        <f>IFERROR(__xludf.DUMMYFUNCTION("""COMPUTED_VALUE"""),0.0)</f>
        <v>0</v>
      </c>
      <c r="T150" s="8">
        <f>IFERROR(__xludf.DUMMYFUNCTION("""COMPUTED_VALUE"""),0.0)</f>
        <v>0</v>
      </c>
      <c r="U150" s="8">
        <f>IFERROR(__xludf.DUMMYFUNCTION("""COMPUTED_VALUE"""),0.0)</f>
        <v>0</v>
      </c>
      <c r="V150" s="8">
        <f>IFERROR(__xludf.DUMMYFUNCTION("""COMPUTED_VALUE"""),0.0)</f>
        <v>0</v>
      </c>
      <c r="W150" s="8">
        <f>IFERROR(__xludf.DUMMYFUNCTION("""COMPUTED_VALUE"""),0.0)</f>
        <v>0</v>
      </c>
      <c r="X150" s="8">
        <f>IFERROR(__xludf.DUMMYFUNCTION("""COMPUTED_VALUE"""),0.0)</f>
        <v>0</v>
      </c>
      <c r="Y150" s="8">
        <f>IFERROR(__xludf.DUMMYFUNCTION("""COMPUTED_VALUE"""),0.0)</f>
        <v>0</v>
      </c>
      <c r="Z150" s="8">
        <f>IFERROR(__xludf.DUMMYFUNCTION("""COMPUTED_VALUE"""),0.0)</f>
        <v>0</v>
      </c>
      <c r="AA150" s="8">
        <f>IFERROR(__xludf.DUMMYFUNCTION("""COMPUTED_VALUE"""),0.0)</f>
        <v>0</v>
      </c>
      <c r="AB150" s="8">
        <f>IFERROR(__xludf.DUMMYFUNCTION("""COMPUTED_VALUE"""),0.0)</f>
        <v>0</v>
      </c>
      <c r="AC150" s="8">
        <f>IFERROR(__xludf.DUMMYFUNCTION("""COMPUTED_VALUE"""),0.0)</f>
        <v>0</v>
      </c>
    </row>
    <row r="151" ht="15.75" customHeight="1">
      <c r="A151" s="6" t="str">
        <f>IFERROR(__xludf.DUMMYFUNCTION("""COMPUTED_VALUE"""),"8aab13cef66595bf85428c05007cefe16b733ba5")</f>
        <v>8aab13cef66595bf85428c05007cefe16b733ba5</v>
      </c>
      <c r="B151" s="6" t="str">
        <f>IFERROR(__xludf.DUMMYFUNCTION("""COMPUTED_VALUE"""),"Reborn Heartbeat")</f>
        <v>Reborn Heartbeat</v>
      </c>
      <c r="C151" s="6" t="str">
        <f>IFERROR(__xludf.DUMMYFUNCTION("""COMPUTED_VALUE"""),"Romance")</f>
        <v>Romance</v>
      </c>
      <c r="D151" s="11">
        <f>IFERROR(__xludf.DUMMYFUNCTION("""COMPUTED_VALUE"""),5713.0)</f>
        <v>5713</v>
      </c>
      <c r="E151" s="8">
        <f>IFERROR(__xludf.DUMMYFUNCTION("""COMPUTED_VALUE"""),0.914505956552207)</f>
        <v>0.9145059566</v>
      </c>
      <c r="F151" s="8">
        <f>IFERROR(__xludf.DUMMYFUNCTION("""COMPUTED_VALUE"""),0.555263157894736)</f>
        <v>0.5552631579</v>
      </c>
      <c r="G151" s="8">
        <f>IFERROR(__xludf.DUMMYFUNCTION("""COMPUTED_VALUE"""),0.504303530651677)</f>
        <v>0.5043035307</v>
      </c>
      <c r="H151" s="8">
        <f>IFERROR(__xludf.DUMMYFUNCTION("""COMPUTED_VALUE"""),0.477855887521968)</f>
        <v>0.4778558875</v>
      </c>
      <c r="I151" s="8">
        <f>IFERROR(__xludf.DUMMYFUNCTION("""COMPUTED_VALUE"""),0.458223394898856)</f>
        <v>0.4582233949</v>
      </c>
      <c r="J151" s="8">
        <f>IFERROR(__xludf.DUMMYFUNCTION("""COMPUTED_VALUE"""),0.437466925383665)</f>
        <v>0.4374669254</v>
      </c>
      <c r="K151" s="8">
        <f>IFERROR(__xludf.DUMMYFUNCTION("""COMPUTED_VALUE"""),0.430717568045245)</f>
        <v>0.430717568</v>
      </c>
      <c r="L151" s="8">
        <f>IFERROR(__xludf.DUMMYFUNCTION("""COMPUTED_VALUE"""),0.419354838709677)</f>
        <v>0.4193548387</v>
      </c>
      <c r="M151" s="8">
        <f>IFERROR(__xludf.DUMMYFUNCTION("""COMPUTED_VALUE"""),0.404580152671755)</f>
        <v>0.4045801527</v>
      </c>
      <c r="N151" s="8">
        <f>IFERROR(__xludf.DUMMYFUNCTION("""COMPUTED_VALUE"""),0.410384068278805)</f>
        <v>0.4103840683</v>
      </c>
      <c r="O151" s="8">
        <f>IFERROR(__xludf.DUMMYFUNCTION("""COMPUTED_VALUE"""),0.397309417040358)</f>
        <v>0.397309417</v>
      </c>
      <c r="P151" s="8">
        <f>IFERROR(__xludf.DUMMYFUNCTION("""COMPUTED_VALUE"""),0.255131436802304)</f>
        <v>0.2551314368</v>
      </c>
      <c r="Q151" s="8">
        <f>IFERROR(__xludf.DUMMYFUNCTION("""COMPUTED_VALUE"""),0.191037735849056)</f>
        <v>0.1910377358</v>
      </c>
      <c r="R151" s="8">
        <f>IFERROR(__xludf.DUMMYFUNCTION("""COMPUTED_VALUE"""),0.0)</f>
        <v>0</v>
      </c>
      <c r="S151" s="8">
        <f>IFERROR(__xludf.DUMMYFUNCTION("""COMPUTED_VALUE"""),0.0)</f>
        <v>0</v>
      </c>
      <c r="T151" s="8">
        <f>IFERROR(__xludf.DUMMYFUNCTION("""COMPUTED_VALUE"""),0.0)</f>
        <v>0</v>
      </c>
      <c r="U151" s="8">
        <f>IFERROR(__xludf.DUMMYFUNCTION("""COMPUTED_VALUE"""),0.0)</f>
        <v>0</v>
      </c>
      <c r="V151" s="8">
        <f>IFERROR(__xludf.DUMMYFUNCTION("""COMPUTED_VALUE"""),0.0)</f>
        <v>0</v>
      </c>
      <c r="W151" s="8">
        <f>IFERROR(__xludf.DUMMYFUNCTION("""COMPUTED_VALUE"""),0.0)</f>
        <v>0</v>
      </c>
      <c r="X151" s="8">
        <f>IFERROR(__xludf.DUMMYFUNCTION("""COMPUTED_VALUE"""),0.0)</f>
        <v>0</v>
      </c>
      <c r="Y151" s="8">
        <f>IFERROR(__xludf.DUMMYFUNCTION("""COMPUTED_VALUE"""),0.0)</f>
        <v>0</v>
      </c>
      <c r="Z151" s="8">
        <f>IFERROR(__xludf.DUMMYFUNCTION("""COMPUTED_VALUE"""),0.0)</f>
        <v>0</v>
      </c>
      <c r="AA151" s="8">
        <f>IFERROR(__xludf.DUMMYFUNCTION("""COMPUTED_VALUE"""),0.0)</f>
        <v>0</v>
      </c>
      <c r="AB151" s="8">
        <f>IFERROR(__xludf.DUMMYFUNCTION("""COMPUTED_VALUE"""),0.0)</f>
        <v>0</v>
      </c>
      <c r="AC151" s="8">
        <f>IFERROR(__xludf.DUMMYFUNCTION("""COMPUTED_VALUE"""),0.0)</f>
        <v>0</v>
      </c>
    </row>
    <row r="152" ht="15.75" customHeight="1">
      <c r="A152" s="6" t="str">
        <f>IFERROR(__xludf.DUMMYFUNCTION("""COMPUTED_VALUE"""),"8b0fd7aa03d26e2de1586a0fe7c91505431575cc")</f>
        <v>8b0fd7aa03d26e2de1586a0fe7c91505431575cc</v>
      </c>
      <c r="B152" s="6" t="str">
        <f>IFERROR(__xludf.DUMMYFUNCTION("""COMPUTED_VALUE"""),"The Midnight Luna")</f>
        <v>The Midnight Luna</v>
      </c>
      <c r="C152" s="6" t="str">
        <f>IFERROR(__xludf.DUMMYFUNCTION("""COMPUTED_VALUE"""),"Romantasy")</f>
        <v>Romantasy</v>
      </c>
      <c r="D152" s="11">
        <f>IFERROR(__xludf.DUMMYFUNCTION("""COMPUTED_VALUE"""),1733.0)</f>
        <v>1733</v>
      </c>
      <c r="E152" s="8">
        <f>IFERROR(__xludf.DUMMYFUNCTION("""COMPUTED_VALUE"""),0.969820081253627)</f>
        <v>0.9698200813</v>
      </c>
      <c r="F152" s="8">
        <f>IFERROR(__xludf.DUMMYFUNCTION("""COMPUTED_VALUE"""),0.605061801059446)</f>
        <v>0.6050618011</v>
      </c>
      <c r="G152" s="8">
        <f>IFERROR(__xludf.DUMMYFUNCTION("""COMPUTED_VALUE"""),0.545346769413159)</f>
        <v>0.5453467694</v>
      </c>
      <c r="H152" s="8">
        <f>IFERROR(__xludf.DUMMYFUNCTION("""COMPUTED_VALUE"""),0.503584229390681)</f>
        <v>0.5035842294</v>
      </c>
      <c r="I152" s="8">
        <f>IFERROR(__xludf.DUMMYFUNCTION("""COMPUTED_VALUE"""),0.475675675675675)</f>
        <v>0.4756756757</v>
      </c>
      <c r="J152" s="8">
        <f>IFERROR(__xludf.DUMMYFUNCTION("""COMPUTED_VALUE"""),0.456953642384105)</f>
        <v>0.4569536424</v>
      </c>
      <c r="K152" s="8">
        <f>IFERROR(__xludf.DUMMYFUNCTION("""COMPUTED_VALUE"""),0.438861985472154)</f>
        <v>0.4388619855</v>
      </c>
      <c r="L152" s="8">
        <f>IFERROR(__xludf.DUMMYFUNCTION("""COMPUTED_VALUE"""),0.414932680538555)</f>
        <v>0.4149326805</v>
      </c>
      <c r="M152" s="8">
        <f>IFERROR(__xludf.DUMMYFUNCTION("""COMPUTED_VALUE"""),0.402589395807644)</f>
        <v>0.4025893958</v>
      </c>
      <c r="N152" s="8">
        <f>IFERROR(__xludf.DUMMYFUNCTION("""COMPUTED_VALUE"""),0.392302917442582)</f>
        <v>0.3923029174</v>
      </c>
      <c r="O152" s="8">
        <f>IFERROR(__xludf.DUMMYFUNCTION("""COMPUTED_VALUE"""),0.357363542739443)</f>
        <v>0.3573635427</v>
      </c>
      <c r="P152" s="8">
        <f>IFERROR(__xludf.DUMMYFUNCTION("""COMPUTED_VALUE"""),0.294117647058823)</f>
        <v>0.2941176471</v>
      </c>
      <c r="Q152" s="8">
        <f>IFERROR(__xludf.DUMMYFUNCTION("""COMPUTED_VALUE"""),0.0)</f>
        <v>0</v>
      </c>
      <c r="R152" s="8">
        <f>IFERROR(__xludf.DUMMYFUNCTION("""COMPUTED_VALUE"""),0.0)</f>
        <v>0</v>
      </c>
      <c r="S152" s="8">
        <f>IFERROR(__xludf.DUMMYFUNCTION("""COMPUTED_VALUE"""),0.0)</f>
        <v>0</v>
      </c>
      <c r="T152" s="8">
        <f>IFERROR(__xludf.DUMMYFUNCTION("""COMPUTED_VALUE"""),0.0)</f>
        <v>0</v>
      </c>
      <c r="U152" s="8">
        <f>IFERROR(__xludf.DUMMYFUNCTION("""COMPUTED_VALUE"""),0.0)</f>
        <v>0</v>
      </c>
      <c r="V152" s="8">
        <f>IFERROR(__xludf.DUMMYFUNCTION("""COMPUTED_VALUE"""),0.0)</f>
        <v>0</v>
      </c>
      <c r="W152" s="8">
        <f>IFERROR(__xludf.DUMMYFUNCTION("""COMPUTED_VALUE"""),0.0)</f>
        <v>0</v>
      </c>
      <c r="X152" s="8">
        <f>IFERROR(__xludf.DUMMYFUNCTION("""COMPUTED_VALUE"""),0.0)</f>
        <v>0</v>
      </c>
      <c r="Y152" s="8">
        <f>IFERROR(__xludf.DUMMYFUNCTION("""COMPUTED_VALUE"""),0.0)</f>
        <v>0</v>
      </c>
      <c r="Z152" s="8">
        <f>IFERROR(__xludf.DUMMYFUNCTION("""COMPUTED_VALUE"""),0.0)</f>
        <v>0</v>
      </c>
      <c r="AA152" s="8">
        <f>IFERROR(__xludf.DUMMYFUNCTION("""COMPUTED_VALUE"""),0.0)</f>
        <v>0</v>
      </c>
      <c r="AB152" s="8">
        <f>IFERROR(__xludf.DUMMYFUNCTION("""COMPUTED_VALUE"""),0.0)</f>
        <v>0</v>
      </c>
      <c r="AC152" s="8">
        <f>IFERROR(__xludf.DUMMYFUNCTION("""COMPUTED_VALUE"""),0.0)</f>
        <v>0</v>
      </c>
    </row>
    <row r="153" ht="15.75" customHeight="1">
      <c r="A153" s="6" t="str">
        <f>IFERROR(__xludf.DUMMYFUNCTION("""COMPUTED_VALUE"""),"8bba1c491698de2d4d33abe2f115e5d666e141b2")</f>
        <v>8bba1c491698de2d4d33abe2f115e5d666e141b2</v>
      </c>
      <c r="B153" s="6" t="str">
        <f>IFERROR(__xludf.DUMMYFUNCTION("""COMPUTED_VALUE"""),"Until He Remembers Me")</f>
        <v>Until He Remembers Me</v>
      </c>
      <c r="C153" s="6" t="str">
        <f>IFERROR(__xludf.DUMMYFUNCTION("""COMPUTED_VALUE"""),"Romance")</f>
        <v>Romance</v>
      </c>
      <c r="D153" s="11">
        <f>IFERROR(__xludf.DUMMYFUNCTION("""COMPUTED_VALUE"""),1607.0)</f>
        <v>1607</v>
      </c>
      <c r="E153" s="8">
        <f>IFERROR(__xludf.DUMMYFUNCTION("""COMPUTED_VALUE"""),0.966895690193629)</f>
        <v>0.9668956902</v>
      </c>
      <c r="F153" s="8">
        <f>IFERROR(__xludf.DUMMYFUNCTION("""COMPUTED_VALUE"""),0.432075471698113)</f>
        <v>0.4320754717</v>
      </c>
      <c r="G153" s="8">
        <f>IFERROR(__xludf.DUMMYFUNCTION("""COMPUTED_VALUE"""),0.381072555205047)</f>
        <v>0.3810725552</v>
      </c>
      <c r="H153" s="8">
        <f>IFERROR(__xludf.DUMMYFUNCTION("""COMPUTED_VALUE"""),0.343255224825839)</f>
        <v>0.3432552248</v>
      </c>
      <c r="I153" s="8">
        <f>IFERROR(__xludf.DUMMYFUNCTION("""COMPUTED_VALUE"""),0.319567979669631)</f>
        <v>0.3195679797</v>
      </c>
      <c r="J153" s="8">
        <f>IFERROR(__xludf.DUMMYFUNCTION("""COMPUTED_VALUE"""),0.29776357827476)</f>
        <v>0.2977635783</v>
      </c>
      <c r="K153" s="8">
        <f>IFERROR(__xludf.DUMMYFUNCTION("""COMPUTED_VALUE"""),0.282958199356913)</f>
        <v>0.2829581994</v>
      </c>
      <c r="L153" s="8">
        <f>IFERROR(__xludf.DUMMYFUNCTION("""COMPUTED_VALUE"""),0.258876694641704)</f>
        <v>0.2588766946</v>
      </c>
      <c r="M153" s="8">
        <f>IFERROR(__xludf.DUMMYFUNCTION("""COMPUTED_VALUE"""),0.2449773169151)</f>
        <v>0.2449773169</v>
      </c>
      <c r="N153" s="8">
        <f>IFERROR(__xludf.DUMMYFUNCTION("""COMPUTED_VALUE"""),0.240753194351042)</f>
        <v>0.2407531944</v>
      </c>
      <c r="O153" s="8">
        <f>IFERROR(__xludf.DUMMYFUNCTION("""COMPUTED_VALUE"""),0.197642163661581)</f>
        <v>0.1976421637</v>
      </c>
      <c r="P153" s="8">
        <f>IFERROR(__xludf.DUMMYFUNCTION("""COMPUTED_VALUE"""),0.135248773651016)</f>
        <v>0.1352487737</v>
      </c>
      <c r="Q153" s="8">
        <f>IFERROR(__xludf.DUMMYFUNCTION("""COMPUTED_VALUE"""),0.0)</f>
        <v>0</v>
      </c>
      <c r="R153" s="8">
        <f>IFERROR(__xludf.DUMMYFUNCTION("""COMPUTED_VALUE"""),0.0)</f>
        <v>0</v>
      </c>
      <c r="S153" s="8">
        <f>IFERROR(__xludf.DUMMYFUNCTION("""COMPUTED_VALUE"""),0.0)</f>
        <v>0</v>
      </c>
      <c r="T153" s="8">
        <f>IFERROR(__xludf.DUMMYFUNCTION("""COMPUTED_VALUE"""),0.0)</f>
        <v>0</v>
      </c>
      <c r="U153" s="8">
        <f>IFERROR(__xludf.DUMMYFUNCTION("""COMPUTED_VALUE"""),0.0)</f>
        <v>0</v>
      </c>
      <c r="V153" s="8">
        <f>IFERROR(__xludf.DUMMYFUNCTION("""COMPUTED_VALUE"""),0.0)</f>
        <v>0</v>
      </c>
      <c r="W153" s="8">
        <f>IFERROR(__xludf.DUMMYFUNCTION("""COMPUTED_VALUE"""),0.0)</f>
        <v>0</v>
      </c>
      <c r="X153" s="8">
        <f>IFERROR(__xludf.DUMMYFUNCTION("""COMPUTED_VALUE"""),0.0)</f>
        <v>0</v>
      </c>
      <c r="Y153" s="8">
        <f>IFERROR(__xludf.DUMMYFUNCTION("""COMPUTED_VALUE"""),0.0)</f>
        <v>0</v>
      </c>
      <c r="Z153" s="8">
        <f>IFERROR(__xludf.DUMMYFUNCTION("""COMPUTED_VALUE"""),0.0)</f>
        <v>0</v>
      </c>
      <c r="AA153" s="8">
        <f>IFERROR(__xludf.DUMMYFUNCTION("""COMPUTED_VALUE"""),0.0)</f>
        <v>0</v>
      </c>
      <c r="AB153" s="8">
        <f>IFERROR(__xludf.DUMMYFUNCTION("""COMPUTED_VALUE"""),0.0)</f>
        <v>0</v>
      </c>
      <c r="AC153" s="8">
        <f>IFERROR(__xludf.DUMMYFUNCTION("""COMPUTED_VALUE"""),0.0)</f>
        <v>0</v>
      </c>
    </row>
    <row r="154" ht="15.75" customHeight="1">
      <c r="A154" s="6" t="str">
        <f>IFERROR(__xludf.DUMMYFUNCTION("""COMPUTED_VALUE"""),"8bcd1b852cfa9d73ac3583317066946ad2b0abf7")</f>
        <v>8bcd1b852cfa9d73ac3583317066946ad2b0abf7</v>
      </c>
      <c r="B154" s="6" t="str">
        <f>IFERROR(__xludf.DUMMYFUNCTION("""COMPUTED_VALUE"""),"Heir to Draconic Dominion")</f>
        <v>Heir to Draconic Dominion</v>
      </c>
      <c r="C154" s="6" t="str">
        <f>IFERROR(__xludf.DUMMYFUNCTION("""COMPUTED_VALUE"""),"Fantasy")</f>
        <v>Fantasy</v>
      </c>
      <c r="D154" s="11">
        <f>IFERROR(__xludf.DUMMYFUNCTION("""COMPUTED_VALUE"""),2873.0)</f>
        <v>2873</v>
      </c>
      <c r="E154" s="8">
        <f>IFERROR(__xludf.DUMMYFUNCTION("""COMPUTED_VALUE"""),0.961994421199442)</f>
        <v>0.9619944212</v>
      </c>
      <c r="F154" s="8">
        <f>IFERROR(__xludf.DUMMYFUNCTION("""COMPUTED_VALUE"""),0.527904527904527)</f>
        <v>0.5279045279</v>
      </c>
      <c r="G154" s="8">
        <f>IFERROR(__xludf.DUMMYFUNCTION("""COMPUTED_VALUE"""),0.484166080225193)</f>
        <v>0.4841660802</v>
      </c>
      <c r="H154" s="8">
        <f>IFERROR(__xludf.DUMMYFUNCTION("""COMPUTED_VALUE"""),0.462081128747795)</f>
        <v>0.4620811287</v>
      </c>
      <c r="I154" s="8">
        <f>IFERROR(__xludf.DUMMYFUNCTION("""COMPUTED_VALUE"""),0.443145589798087)</f>
        <v>0.4431455898</v>
      </c>
      <c r="J154" s="8">
        <f>IFERROR(__xludf.DUMMYFUNCTION("""COMPUTED_VALUE"""),0.4348134991119)</f>
        <v>0.4348134991</v>
      </c>
      <c r="K154" s="8">
        <f>IFERROR(__xludf.DUMMYFUNCTION("""COMPUTED_VALUE"""),0.420770877944325)</f>
        <v>0.4207708779</v>
      </c>
      <c r="L154" s="8">
        <f>IFERROR(__xludf.DUMMYFUNCTION("""COMPUTED_VALUE"""),0.40891124685591)</f>
        <v>0.4089112469</v>
      </c>
      <c r="M154" s="8">
        <f>IFERROR(__xludf.DUMMYFUNCTION("""COMPUTED_VALUE"""),0.394279507603186)</f>
        <v>0.3942795076</v>
      </c>
      <c r="N154" s="8">
        <f>IFERROR(__xludf.DUMMYFUNCTION("""COMPUTED_VALUE"""),0.387554585152838)</f>
        <v>0.3875545852</v>
      </c>
      <c r="O154" s="8">
        <f>IFERROR(__xludf.DUMMYFUNCTION("""COMPUTED_VALUE"""),0.356272119543845)</f>
        <v>0.3562721195</v>
      </c>
      <c r="P154" s="8">
        <f>IFERROR(__xludf.DUMMYFUNCTION("""COMPUTED_VALUE"""),0.2928007023705)</f>
        <v>0.2928007024</v>
      </c>
      <c r="Q154" s="8">
        <f>IFERROR(__xludf.DUMMYFUNCTION("""COMPUTED_VALUE"""),0.189038919777601)</f>
        <v>0.1890389198</v>
      </c>
      <c r="R154" s="8">
        <f>IFERROR(__xludf.DUMMYFUNCTION("""COMPUTED_VALUE"""),0.176470588235294)</f>
        <v>0.1764705882</v>
      </c>
      <c r="S154" s="8">
        <f>IFERROR(__xludf.DUMMYFUNCTION("""COMPUTED_VALUE"""),0.0)</f>
        <v>0</v>
      </c>
      <c r="T154" s="8">
        <f>IFERROR(__xludf.DUMMYFUNCTION("""COMPUTED_VALUE"""),0.0)</f>
        <v>0</v>
      </c>
      <c r="U154" s="8">
        <f>IFERROR(__xludf.DUMMYFUNCTION("""COMPUTED_VALUE"""),0.0)</f>
        <v>0</v>
      </c>
      <c r="V154" s="8">
        <f>IFERROR(__xludf.DUMMYFUNCTION("""COMPUTED_VALUE"""),0.0)</f>
        <v>0</v>
      </c>
      <c r="W154" s="8">
        <f>IFERROR(__xludf.DUMMYFUNCTION("""COMPUTED_VALUE"""),0.0)</f>
        <v>0</v>
      </c>
      <c r="X154" s="8">
        <f>IFERROR(__xludf.DUMMYFUNCTION("""COMPUTED_VALUE"""),0.0)</f>
        <v>0</v>
      </c>
      <c r="Y154" s="8">
        <f>IFERROR(__xludf.DUMMYFUNCTION("""COMPUTED_VALUE"""),0.0)</f>
        <v>0</v>
      </c>
      <c r="Z154" s="8">
        <f>IFERROR(__xludf.DUMMYFUNCTION("""COMPUTED_VALUE"""),0.0)</f>
        <v>0</v>
      </c>
      <c r="AA154" s="8">
        <f>IFERROR(__xludf.DUMMYFUNCTION("""COMPUTED_VALUE"""),0.0)</f>
        <v>0</v>
      </c>
      <c r="AB154" s="8">
        <f>IFERROR(__xludf.DUMMYFUNCTION("""COMPUTED_VALUE"""),0.0)</f>
        <v>0</v>
      </c>
      <c r="AC154" s="8">
        <f>IFERROR(__xludf.DUMMYFUNCTION("""COMPUTED_VALUE"""),0.0)</f>
        <v>0</v>
      </c>
    </row>
    <row r="155" ht="15.75" customHeight="1">
      <c r="A155" s="6" t="str">
        <f>IFERROR(__xludf.DUMMYFUNCTION("""COMPUTED_VALUE"""),"8e36a60de34dcee5a96156507eb902741b36cc77")</f>
        <v>8e36a60de34dcee5a96156507eb902741b36cc77</v>
      </c>
      <c r="B155" s="6" t="str">
        <f>IFERROR(__xludf.DUMMYFUNCTION("""COMPUTED_VALUE"""),"It's Crystal")</f>
        <v>It's Crystal</v>
      </c>
      <c r="C155" s="6" t="str">
        <f>IFERROR(__xludf.DUMMYFUNCTION("""COMPUTED_VALUE"""),"Romance")</f>
        <v>Romance</v>
      </c>
      <c r="D155" s="11">
        <f>IFERROR(__xludf.DUMMYFUNCTION("""COMPUTED_VALUE"""),1851.0)</f>
        <v>1851</v>
      </c>
      <c r="E155" s="8">
        <f>IFERROR(__xludf.DUMMYFUNCTION("""COMPUTED_VALUE"""),0.957320367368989)</f>
        <v>0.9573203674</v>
      </c>
      <c r="F155" s="8">
        <f>IFERROR(__xludf.DUMMYFUNCTION("""COMPUTED_VALUE"""),0.524324324324324)</f>
        <v>0.5243243243</v>
      </c>
      <c r="G155" s="8">
        <f>IFERROR(__xludf.DUMMYFUNCTION("""COMPUTED_VALUE"""),0.481601731601731)</f>
        <v>0.4816017316</v>
      </c>
      <c r="H155" s="8">
        <f>IFERROR(__xludf.DUMMYFUNCTION("""COMPUTED_VALUE"""),0.464285714285714)</f>
        <v>0.4642857143</v>
      </c>
      <c r="I155" s="8">
        <f>IFERROR(__xludf.DUMMYFUNCTION("""COMPUTED_VALUE"""),0.458040064970222)</f>
        <v>0.458040065</v>
      </c>
      <c r="J155" s="8">
        <f>IFERROR(__xludf.DUMMYFUNCTION("""COMPUTED_VALUE"""),0.438244853737811)</f>
        <v>0.4382448537</v>
      </c>
      <c r="K155" s="8">
        <f>IFERROR(__xludf.DUMMYFUNCTION("""COMPUTED_VALUE"""),0.420108695652173)</f>
        <v>0.4201086957</v>
      </c>
      <c r="L155" s="8">
        <f>IFERROR(__xludf.DUMMYFUNCTION("""COMPUTED_VALUE"""),0.399020141535111)</f>
        <v>0.3990201415</v>
      </c>
      <c r="M155" s="8">
        <f>IFERROR(__xludf.DUMMYFUNCTION("""COMPUTED_VALUE"""),0.37996733805117)</f>
        <v>0.3799673381</v>
      </c>
      <c r="N155" s="8">
        <f>IFERROR(__xludf.DUMMYFUNCTION("""COMPUTED_VALUE"""),0.371459694989106)</f>
        <v>0.371459695</v>
      </c>
      <c r="O155" s="8">
        <f>IFERROR(__xludf.DUMMYFUNCTION("""COMPUTED_VALUE"""),0.323024054982817)</f>
        <v>0.323024055</v>
      </c>
      <c r="P155" s="8">
        <f>IFERROR(__xludf.DUMMYFUNCTION("""COMPUTED_VALUE"""),0.246163290362185)</f>
        <v>0.2461632904</v>
      </c>
      <c r="Q155" s="8">
        <f>IFERROR(__xludf.DUMMYFUNCTION("""COMPUTED_VALUE"""),0.135549872122762)</f>
        <v>0.1355498721</v>
      </c>
      <c r="R155" s="8">
        <f>IFERROR(__xludf.DUMMYFUNCTION("""COMPUTED_VALUE"""),0.101694915254237)</f>
        <v>0.1016949153</v>
      </c>
      <c r="S155" s="8">
        <f>IFERROR(__xludf.DUMMYFUNCTION("""COMPUTED_VALUE"""),0.0)</f>
        <v>0</v>
      </c>
      <c r="T155" s="8">
        <f>IFERROR(__xludf.DUMMYFUNCTION("""COMPUTED_VALUE"""),0.0)</f>
        <v>0</v>
      </c>
      <c r="U155" s="8">
        <f>IFERROR(__xludf.DUMMYFUNCTION("""COMPUTED_VALUE"""),0.0)</f>
        <v>0</v>
      </c>
      <c r="V155" s="8">
        <f>IFERROR(__xludf.DUMMYFUNCTION("""COMPUTED_VALUE"""),0.0)</f>
        <v>0</v>
      </c>
      <c r="W155" s="8">
        <f>IFERROR(__xludf.DUMMYFUNCTION("""COMPUTED_VALUE"""),0.0)</f>
        <v>0</v>
      </c>
      <c r="X155" s="8">
        <f>IFERROR(__xludf.DUMMYFUNCTION("""COMPUTED_VALUE"""),0.0)</f>
        <v>0</v>
      </c>
      <c r="Y155" s="8">
        <f>IFERROR(__xludf.DUMMYFUNCTION("""COMPUTED_VALUE"""),0.0)</f>
        <v>0</v>
      </c>
      <c r="Z155" s="8">
        <f>IFERROR(__xludf.DUMMYFUNCTION("""COMPUTED_VALUE"""),0.0)</f>
        <v>0</v>
      </c>
      <c r="AA155" s="8">
        <f>IFERROR(__xludf.DUMMYFUNCTION("""COMPUTED_VALUE"""),0.0)</f>
        <v>0</v>
      </c>
      <c r="AB155" s="8">
        <f>IFERROR(__xludf.DUMMYFUNCTION("""COMPUTED_VALUE"""),0.0)</f>
        <v>0</v>
      </c>
      <c r="AC155" s="8">
        <f>IFERROR(__xludf.DUMMYFUNCTION("""COMPUTED_VALUE"""),0.0)</f>
        <v>0</v>
      </c>
    </row>
    <row r="156" ht="15.75" customHeight="1">
      <c r="A156" s="6" t="str">
        <f>IFERROR(__xludf.DUMMYFUNCTION("""COMPUTED_VALUE"""),"8e3c4698dede52f8548d10d283645c3e3f83c04a")</f>
        <v>8e3c4698dede52f8548d10d283645c3e3f83c04a</v>
      </c>
      <c r="B156" s="6" t="str">
        <f>IFERROR(__xludf.DUMMYFUNCTION("""COMPUTED_VALUE"""),"The Celestial God’s Heir")</f>
        <v>The Celestial God’s Heir</v>
      </c>
      <c r="C156" s="6" t="str">
        <f>IFERROR(__xludf.DUMMYFUNCTION("""COMPUTED_VALUE"""),"Fantasy")</f>
        <v>Fantasy</v>
      </c>
      <c r="D156" s="11">
        <f>IFERROR(__xludf.DUMMYFUNCTION("""COMPUTED_VALUE"""),191.0)</f>
        <v>191</v>
      </c>
      <c r="E156" s="8">
        <f>IFERROR(__xludf.DUMMYFUNCTION("""COMPUTED_VALUE"""),0.957219251336898)</f>
        <v>0.9572192513</v>
      </c>
      <c r="F156" s="8">
        <f>IFERROR(__xludf.DUMMYFUNCTION("""COMPUTED_VALUE"""),0.53551912568306)</f>
        <v>0.5355191257</v>
      </c>
      <c r="G156" s="8">
        <f>IFERROR(__xludf.DUMMYFUNCTION("""COMPUTED_VALUE"""),0.461538461538461)</f>
        <v>0.4615384615</v>
      </c>
      <c r="H156" s="8">
        <f>IFERROR(__xludf.DUMMYFUNCTION("""COMPUTED_VALUE"""),0.433526011560693)</f>
        <v>0.4335260116</v>
      </c>
      <c r="I156" s="8">
        <f>IFERROR(__xludf.DUMMYFUNCTION("""COMPUTED_VALUE"""),0.41317365269461)</f>
        <v>0.4131736527</v>
      </c>
      <c r="J156" s="8">
        <f>IFERROR(__xludf.DUMMYFUNCTION("""COMPUTED_VALUE"""),0.33125)</f>
        <v>0.33125</v>
      </c>
      <c r="K156" s="8">
        <f>IFERROR(__xludf.DUMMYFUNCTION("""COMPUTED_VALUE"""),0.331125827814569)</f>
        <v>0.3311258278</v>
      </c>
      <c r="L156" s="8">
        <f>IFERROR(__xludf.DUMMYFUNCTION("""COMPUTED_VALUE"""),0.316901408450704)</f>
        <v>0.3169014085</v>
      </c>
      <c r="M156" s="8">
        <f>IFERROR(__xludf.DUMMYFUNCTION("""COMPUTED_VALUE"""),0.328358208955223)</f>
        <v>0.328358209</v>
      </c>
      <c r="N156" s="8">
        <f>IFERROR(__xludf.DUMMYFUNCTION("""COMPUTED_VALUE"""),0.307086614173228)</f>
        <v>0.3070866142</v>
      </c>
      <c r="O156" s="8">
        <f>IFERROR(__xludf.DUMMYFUNCTION("""COMPUTED_VALUE"""),0.0)</f>
        <v>0</v>
      </c>
      <c r="P156" s="8">
        <f>IFERROR(__xludf.DUMMYFUNCTION("""COMPUTED_VALUE"""),0.0)</f>
        <v>0</v>
      </c>
      <c r="Q156" s="8">
        <f>IFERROR(__xludf.DUMMYFUNCTION("""COMPUTED_VALUE"""),0.0)</f>
        <v>0</v>
      </c>
      <c r="R156" s="8">
        <f>IFERROR(__xludf.DUMMYFUNCTION("""COMPUTED_VALUE"""),0.0)</f>
        <v>0</v>
      </c>
      <c r="S156" s="8">
        <f>IFERROR(__xludf.DUMMYFUNCTION("""COMPUTED_VALUE"""),0.0)</f>
        <v>0</v>
      </c>
      <c r="T156" s="8">
        <f>IFERROR(__xludf.DUMMYFUNCTION("""COMPUTED_VALUE"""),0.0)</f>
        <v>0</v>
      </c>
      <c r="U156" s="8">
        <f>IFERROR(__xludf.DUMMYFUNCTION("""COMPUTED_VALUE"""),0.0)</f>
        <v>0</v>
      </c>
      <c r="V156" s="8">
        <f>IFERROR(__xludf.DUMMYFUNCTION("""COMPUTED_VALUE"""),0.0)</f>
        <v>0</v>
      </c>
      <c r="W156" s="8">
        <f>IFERROR(__xludf.DUMMYFUNCTION("""COMPUTED_VALUE"""),0.0)</f>
        <v>0</v>
      </c>
      <c r="X156" s="8">
        <f>IFERROR(__xludf.DUMMYFUNCTION("""COMPUTED_VALUE"""),0.0)</f>
        <v>0</v>
      </c>
      <c r="Y156" s="8">
        <f>IFERROR(__xludf.DUMMYFUNCTION("""COMPUTED_VALUE"""),0.0)</f>
        <v>0</v>
      </c>
      <c r="Z156" s="8">
        <f>IFERROR(__xludf.DUMMYFUNCTION("""COMPUTED_VALUE"""),0.0)</f>
        <v>0</v>
      </c>
      <c r="AA156" s="8">
        <f>IFERROR(__xludf.DUMMYFUNCTION("""COMPUTED_VALUE"""),0.0)</f>
        <v>0</v>
      </c>
      <c r="AB156" s="8">
        <f>IFERROR(__xludf.DUMMYFUNCTION("""COMPUTED_VALUE"""),0.0)</f>
        <v>0</v>
      </c>
      <c r="AC156" s="8">
        <f>IFERROR(__xludf.DUMMYFUNCTION("""COMPUTED_VALUE"""),0.0)</f>
        <v>0</v>
      </c>
    </row>
    <row r="157" ht="15.75" customHeight="1">
      <c r="A157" s="6" t="str">
        <f>IFERROR(__xludf.DUMMYFUNCTION("""COMPUTED_VALUE"""),"8f0fa62650413483426bef0ac7d66ca7627ab11f")</f>
        <v>8f0fa62650413483426bef0ac7d66ca7627ab11f</v>
      </c>
      <c r="B157" s="6" t="str">
        <f>IFERROR(__xludf.DUMMYFUNCTION("""COMPUTED_VALUE"""),"The Mind Reader: A Son-in-Law’s Revenge")</f>
        <v>The Mind Reader: A Son-in-Law’s Revenge</v>
      </c>
      <c r="C157" s="6" t="str">
        <f>IFERROR(__xludf.DUMMYFUNCTION("""COMPUTED_VALUE"""),"Drama")</f>
        <v>Drama</v>
      </c>
      <c r="D157" s="11">
        <f>IFERROR(__xludf.DUMMYFUNCTION("""COMPUTED_VALUE"""),1925.0)</f>
        <v>1925</v>
      </c>
      <c r="E157" s="8">
        <f>IFERROR(__xludf.DUMMYFUNCTION("""COMPUTED_VALUE"""),0.926478717523493)</f>
        <v>0.9264787175</v>
      </c>
      <c r="F157" s="8">
        <f>IFERROR(__xludf.DUMMYFUNCTION("""COMPUTED_VALUE"""),0.558323207776427)</f>
        <v>0.5583232078</v>
      </c>
      <c r="G157" s="8">
        <f>IFERROR(__xludf.DUMMYFUNCTION("""COMPUTED_VALUE"""),0.437223974763406)</f>
        <v>0.4372239748</v>
      </c>
      <c r="H157" s="8">
        <f>IFERROR(__xludf.DUMMYFUNCTION("""COMPUTED_VALUE"""),0.400130975769482)</f>
        <v>0.4001309758</v>
      </c>
      <c r="I157" s="8">
        <f>IFERROR(__xludf.DUMMYFUNCTION("""COMPUTED_VALUE"""),0.349737532808399)</f>
        <v>0.3497375328</v>
      </c>
      <c r="J157" s="8">
        <f>IFERROR(__xludf.DUMMYFUNCTION("""COMPUTED_VALUE"""),0.316688567674113)</f>
        <v>0.3166885677</v>
      </c>
      <c r="K157" s="8">
        <f>IFERROR(__xludf.DUMMYFUNCTION("""COMPUTED_VALUE"""),0.293885601577909)</f>
        <v>0.2938856016</v>
      </c>
      <c r="L157" s="8">
        <f>IFERROR(__xludf.DUMMYFUNCTION("""COMPUTED_VALUE"""),0.27481919789612)</f>
        <v>0.2748191979</v>
      </c>
      <c r="M157" s="8">
        <f>IFERROR(__xludf.DUMMYFUNCTION("""COMPUTED_VALUE"""),0.267763157894736)</f>
        <v>0.2677631579</v>
      </c>
      <c r="N157" s="8">
        <f>IFERROR(__xludf.DUMMYFUNCTION("""COMPUTED_VALUE"""),0.248353096179183)</f>
        <v>0.2483530962</v>
      </c>
      <c r="O157" s="8">
        <f>IFERROR(__xludf.DUMMYFUNCTION("""COMPUTED_VALUE"""),0.212962962962962)</f>
        <v>0.212962963</v>
      </c>
      <c r="P157" s="8">
        <f>IFERROR(__xludf.DUMMYFUNCTION("""COMPUTED_VALUE"""),0.150066401062417)</f>
        <v>0.1500664011</v>
      </c>
      <c r="Q157" s="8">
        <f>IFERROR(__xludf.DUMMYFUNCTION("""COMPUTED_VALUE"""),0.0562248995983935)</f>
        <v>0.0562248996</v>
      </c>
      <c r="R157" s="8">
        <f>IFERROR(__xludf.DUMMYFUNCTION("""COMPUTED_VALUE"""),0.0316072629455279)</f>
        <v>0.03160726295</v>
      </c>
      <c r="S157" s="8">
        <f>IFERROR(__xludf.DUMMYFUNCTION("""COMPUTED_VALUE"""),0.0)</f>
        <v>0</v>
      </c>
      <c r="T157" s="8">
        <f>IFERROR(__xludf.DUMMYFUNCTION("""COMPUTED_VALUE"""),0.0)</f>
        <v>0</v>
      </c>
      <c r="U157" s="8">
        <f>IFERROR(__xludf.DUMMYFUNCTION("""COMPUTED_VALUE"""),0.0)</f>
        <v>0</v>
      </c>
      <c r="V157" s="8">
        <f>IFERROR(__xludf.DUMMYFUNCTION("""COMPUTED_VALUE"""),0.0)</f>
        <v>0</v>
      </c>
      <c r="W157" s="8">
        <f>IFERROR(__xludf.DUMMYFUNCTION("""COMPUTED_VALUE"""),0.0)</f>
        <v>0</v>
      </c>
      <c r="X157" s="8">
        <f>IFERROR(__xludf.DUMMYFUNCTION("""COMPUTED_VALUE"""),0.0)</f>
        <v>0</v>
      </c>
      <c r="Y157" s="8">
        <f>IFERROR(__xludf.DUMMYFUNCTION("""COMPUTED_VALUE"""),0.0)</f>
        <v>0</v>
      </c>
      <c r="Z157" s="8">
        <f>IFERROR(__xludf.DUMMYFUNCTION("""COMPUTED_VALUE"""),0.0)</f>
        <v>0</v>
      </c>
      <c r="AA157" s="8">
        <f>IFERROR(__xludf.DUMMYFUNCTION("""COMPUTED_VALUE"""),0.0)</f>
        <v>0</v>
      </c>
      <c r="AB157" s="8">
        <f>IFERROR(__xludf.DUMMYFUNCTION("""COMPUTED_VALUE"""),0.0)</f>
        <v>0</v>
      </c>
      <c r="AC157" s="8">
        <f>IFERROR(__xludf.DUMMYFUNCTION("""COMPUTED_VALUE"""),0.0)</f>
        <v>0</v>
      </c>
    </row>
    <row r="158" ht="15.75" customHeight="1">
      <c r="A158" s="6" t="str">
        <f>IFERROR(__xludf.DUMMYFUNCTION("""COMPUTED_VALUE"""),"8f9097f70a41e0a3a637a3eb2b6551e036eb16b7")</f>
        <v>8f9097f70a41e0a3a637a3eb2b6551e036eb16b7</v>
      </c>
      <c r="B158" s="6" t="str">
        <f>IFERROR(__xludf.DUMMYFUNCTION("""COMPUTED_VALUE"""),"The Devine Root")</f>
        <v>The Devine Root</v>
      </c>
      <c r="C158" s="6" t="str">
        <f>IFERROR(__xludf.DUMMYFUNCTION("""COMPUTED_VALUE"""),"Fantasy")</f>
        <v>Fantasy</v>
      </c>
      <c r="D158" s="11">
        <f>IFERROR(__xludf.DUMMYFUNCTION("""COMPUTED_VALUE"""),361.0)</f>
        <v>361</v>
      </c>
      <c r="E158" s="8">
        <f>IFERROR(__xludf.DUMMYFUNCTION("""COMPUTED_VALUE"""),0.965811965811965)</f>
        <v>0.9658119658</v>
      </c>
      <c r="F158" s="8">
        <f>IFERROR(__xludf.DUMMYFUNCTION("""COMPUTED_VALUE"""),0.358974358974359)</f>
        <v>0.358974359</v>
      </c>
      <c r="G158" s="8">
        <f>IFERROR(__xludf.DUMMYFUNCTION("""COMPUTED_VALUE"""),0.377622377622377)</f>
        <v>0.3776223776</v>
      </c>
      <c r="H158" s="8">
        <f>IFERROR(__xludf.DUMMYFUNCTION("""COMPUTED_VALUE"""),0.356060606060606)</f>
        <v>0.3560606061</v>
      </c>
      <c r="I158" s="8">
        <f>IFERROR(__xludf.DUMMYFUNCTION("""COMPUTED_VALUE"""),0.304)</f>
        <v>0.304</v>
      </c>
      <c r="J158" s="8">
        <f>IFERROR(__xludf.DUMMYFUNCTION("""COMPUTED_VALUE"""),0.295081967213114)</f>
        <v>0.2950819672</v>
      </c>
      <c r="K158" s="8">
        <f>IFERROR(__xludf.DUMMYFUNCTION("""COMPUTED_VALUE"""),0.293103448275862)</f>
        <v>0.2931034483</v>
      </c>
      <c r="L158" s="8">
        <f>IFERROR(__xludf.DUMMYFUNCTION("""COMPUTED_VALUE"""),0.329896907216494)</f>
        <v>0.3298969072</v>
      </c>
      <c r="M158" s="8">
        <f>IFERROR(__xludf.DUMMYFUNCTION("""COMPUTED_VALUE"""),0.344086021505376)</f>
        <v>0.3440860215</v>
      </c>
      <c r="N158" s="8">
        <f>IFERROR(__xludf.DUMMYFUNCTION("""COMPUTED_VALUE"""),0.347826086956521)</f>
        <v>0.347826087</v>
      </c>
      <c r="O158" s="8">
        <f>IFERROR(__xludf.DUMMYFUNCTION("""COMPUTED_VALUE"""),0.262295081967213)</f>
        <v>0.262295082</v>
      </c>
      <c r="P158" s="8">
        <f>IFERROR(__xludf.DUMMYFUNCTION("""COMPUTED_VALUE"""),0.5)</f>
        <v>0.5</v>
      </c>
      <c r="Q158" s="8">
        <f>IFERROR(__xludf.DUMMYFUNCTION("""COMPUTED_VALUE"""),0.0)</f>
        <v>0</v>
      </c>
      <c r="R158" s="8">
        <f>IFERROR(__xludf.DUMMYFUNCTION("""COMPUTED_VALUE"""),0.0)</f>
        <v>0</v>
      </c>
      <c r="S158" s="8">
        <f>IFERROR(__xludf.DUMMYFUNCTION("""COMPUTED_VALUE"""),0.0)</f>
        <v>0</v>
      </c>
      <c r="T158" s="8">
        <f>IFERROR(__xludf.DUMMYFUNCTION("""COMPUTED_VALUE"""),0.0)</f>
        <v>0</v>
      </c>
      <c r="U158" s="8">
        <f>IFERROR(__xludf.DUMMYFUNCTION("""COMPUTED_VALUE"""),0.0)</f>
        <v>0</v>
      </c>
      <c r="V158" s="8">
        <f>IFERROR(__xludf.DUMMYFUNCTION("""COMPUTED_VALUE"""),0.0)</f>
        <v>0</v>
      </c>
      <c r="W158" s="8">
        <f>IFERROR(__xludf.DUMMYFUNCTION("""COMPUTED_VALUE"""),0.0)</f>
        <v>0</v>
      </c>
      <c r="X158" s="8">
        <f>IFERROR(__xludf.DUMMYFUNCTION("""COMPUTED_VALUE"""),0.0)</f>
        <v>0</v>
      </c>
      <c r="Y158" s="8">
        <f>IFERROR(__xludf.DUMMYFUNCTION("""COMPUTED_VALUE"""),0.0)</f>
        <v>0</v>
      </c>
      <c r="Z158" s="8">
        <f>IFERROR(__xludf.DUMMYFUNCTION("""COMPUTED_VALUE"""),0.0)</f>
        <v>0</v>
      </c>
      <c r="AA158" s="8">
        <f>IFERROR(__xludf.DUMMYFUNCTION("""COMPUTED_VALUE"""),0.0)</f>
        <v>0</v>
      </c>
      <c r="AB158" s="8">
        <f>IFERROR(__xludf.DUMMYFUNCTION("""COMPUTED_VALUE"""),0.0)</f>
        <v>0</v>
      </c>
      <c r="AC158" s="8">
        <f>IFERROR(__xludf.DUMMYFUNCTION("""COMPUTED_VALUE"""),0.0)</f>
        <v>0</v>
      </c>
    </row>
    <row r="159" ht="15.75" customHeight="1">
      <c r="A159" s="6" t="str">
        <f>IFERROR(__xludf.DUMMYFUNCTION("""COMPUTED_VALUE"""),"8fc0fc1659f3b419e6fa13d9cb59b0e57bfec096")</f>
        <v>8fc0fc1659f3b419e6fa13d9cb59b0e57bfec096</v>
      </c>
      <c r="B159" s="6" t="str">
        <f>IFERROR(__xludf.DUMMYFUNCTION("""COMPUTED_VALUE"""),"The Exiled Heir")</f>
        <v>The Exiled Heir</v>
      </c>
      <c r="C159" s="6" t="str">
        <f>IFERROR(__xludf.DUMMYFUNCTION("""COMPUTED_VALUE"""),"Drama")</f>
        <v>Drama</v>
      </c>
      <c r="D159" s="11">
        <f>IFERROR(__xludf.DUMMYFUNCTION("""COMPUTED_VALUE"""),17949.0)</f>
        <v>17949</v>
      </c>
      <c r="E159" s="8">
        <f>IFERROR(__xludf.DUMMYFUNCTION("""COMPUTED_VALUE"""),0.935700307520268)</f>
        <v>0.9357003075</v>
      </c>
      <c r="F159" s="8">
        <f>IFERROR(__xludf.DUMMYFUNCTION("""COMPUTED_VALUE"""),0.556012159423553)</f>
        <v>0.5560121594</v>
      </c>
      <c r="G159" s="8">
        <f>IFERROR(__xludf.DUMMYFUNCTION("""COMPUTED_VALUE"""),0.494904314347186)</f>
        <v>0.4949043143</v>
      </c>
      <c r="H159" s="8">
        <f>IFERROR(__xludf.DUMMYFUNCTION("""COMPUTED_VALUE"""),0.460649860581574)</f>
        <v>0.4606498606</v>
      </c>
      <c r="I159" s="8">
        <f>IFERROR(__xludf.DUMMYFUNCTION("""COMPUTED_VALUE"""),0.424522347811119)</f>
        <v>0.4245223478</v>
      </c>
      <c r="J159" s="8">
        <f>IFERROR(__xludf.DUMMYFUNCTION("""COMPUTED_VALUE"""),0.40003461005999)</f>
        <v>0.4000346101</v>
      </c>
      <c r="K159" s="8">
        <f>IFERROR(__xludf.DUMMYFUNCTION("""COMPUTED_VALUE"""),0.374674158605109)</f>
        <v>0.3746741586</v>
      </c>
      <c r="L159" s="8">
        <f>IFERROR(__xludf.DUMMYFUNCTION("""COMPUTED_VALUE"""),0.361369622475856)</f>
        <v>0.3613696225</v>
      </c>
      <c r="M159" s="8">
        <f>IFERROR(__xludf.DUMMYFUNCTION("""COMPUTED_VALUE"""),0.347462616272224)</f>
        <v>0.3474626163</v>
      </c>
      <c r="N159" s="8">
        <f>IFERROR(__xludf.DUMMYFUNCTION("""COMPUTED_VALUE"""),0.335798378985978)</f>
        <v>0.335798379</v>
      </c>
      <c r="O159" s="8">
        <f>IFERROR(__xludf.DUMMYFUNCTION("""COMPUTED_VALUE"""),0.310240963855421)</f>
        <v>0.3102409639</v>
      </c>
      <c r="P159" s="8">
        <f>IFERROR(__xludf.DUMMYFUNCTION("""COMPUTED_VALUE"""),0.250495619364328)</f>
        <v>0.2504956194</v>
      </c>
      <c r="Q159" s="8">
        <f>IFERROR(__xludf.DUMMYFUNCTION("""COMPUTED_VALUE"""),0.17802630653443)</f>
        <v>0.1780263065</v>
      </c>
      <c r="R159" s="8">
        <f>IFERROR(__xludf.DUMMYFUNCTION("""COMPUTED_VALUE"""),0.129960914010823)</f>
        <v>0.129960914</v>
      </c>
      <c r="S159" s="8">
        <f>IFERROR(__xludf.DUMMYFUNCTION("""COMPUTED_VALUE"""),0.108049702863317)</f>
        <v>0.1080497029</v>
      </c>
      <c r="T159" s="8">
        <f>IFERROR(__xludf.DUMMYFUNCTION("""COMPUTED_VALUE"""),0.0646052858870271)</f>
        <v>0.06460528589</v>
      </c>
      <c r="U159" s="8">
        <f>IFERROR(__xludf.DUMMYFUNCTION("""COMPUTED_VALUE"""),0.0)</f>
        <v>0</v>
      </c>
      <c r="V159" s="8">
        <f>IFERROR(__xludf.DUMMYFUNCTION("""COMPUTED_VALUE"""),0.0)</f>
        <v>0</v>
      </c>
      <c r="W159" s="8">
        <f>IFERROR(__xludf.DUMMYFUNCTION("""COMPUTED_VALUE"""),0.0)</f>
        <v>0</v>
      </c>
      <c r="X159" s="8">
        <f>IFERROR(__xludf.DUMMYFUNCTION("""COMPUTED_VALUE"""),0.0)</f>
        <v>0</v>
      </c>
      <c r="Y159" s="8">
        <f>IFERROR(__xludf.DUMMYFUNCTION("""COMPUTED_VALUE"""),0.0)</f>
        <v>0</v>
      </c>
      <c r="Z159" s="8">
        <f>IFERROR(__xludf.DUMMYFUNCTION("""COMPUTED_VALUE"""),0.0)</f>
        <v>0</v>
      </c>
      <c r="AA159" s="8">
        <f>IFERROR(__xludf.DUMMYFUNCTION("""COMPUTED_VALUE"""),0.0)</f>
        <v>0</v>
      </c>
      <c r="AB159" s="8">
        <f>IFERROR(__xludf.DUMMYFUNCTION("""COMPUTED_VALUE"""),0.0)</f>
        <v>0</v>
      </c>
      <c r="AC159" s="8">
        <f>IFERROR(__xludf.DUMMYFUNCTION("""COMPUTED_VALUE"""),0.0)</f>
        <v>0</v>
      </c>
    </row>
    <row r="160" ht="15.75" customHeight="1">
      <c r="A160" s="6" t="str">
        <f>IFERROR(__xludf.DUMMYFUNCTION("""COMPUTED_VALUE"""),"9187815245dbab381e06e99b89e34db3f811e066")</f>
        <v>9187815245dbab381e06e99b89e34db3f811e066</v>
      </c>
      <c r="B160" s="6" t="str">
        <f>IFERROR(__xludf.DUMMYFUNCTION("""COMPUTED_VALUE"""),"Billionaire's Pursuit")</f>
        <v>Billionaire's Pursuit</v>
      </c>
      <c r="C160" s="6" t="str">
        <f>IFERROR(__xludf.DUMMYFUNCTION("""COMPUTED_VALUE"""),"Romance")</f>
        <v>Romance</v>
      </c>
      <c r="D160" s="11">
        <f>IFERROR(__xludf.DUMMYFUNCTION("""COMPUTED_VALUE"""),827.0)</f>
        <v>827</v>
      </c>
      <c r="E160" s="8">
        <f>IFERROR(__xludf.DUMMYFUNCTION("""COMPUTED_VALUE"""),0.930317848410757)</f>
        <v>0.9303178484</v>
      </c>
      <c r="F160" s="8">
        <f>IFERROR(__xludf.DUMMYFUNCTION("""COMPUTED_VALUE"""),0.477443609022556)</f>
        <v>0.477443609</v>
      </c>
      <c r="G160" s="8">
        <f>IFERROR(__xludf.DUMMYFUNCTION("""COMPUTED_VALUE"""),0.404392764857881)</f>
        <v>0.4043927649</v>
      </c>
      <c r="H160" s="8">
        <f>IFERROR(__xludf.DUMMYFUNCTION("""COMPUTED_VALUE"""),0.335106382978723)</f>
        <v>0.335106383</v>
      </c>
      <c r="I160" s="8">
        <f>IFERROR(__xludf.DUMMYFUNCTION("""COMPUTED_VALUE"""),0.262382864792503)</f>
        <v>0.2623828648</v>
      </c>
      <c r="J160" s="8">
        <f>IFERROR(__xludf.DUMMYFUNCTION("""COMPUTED_VALUE"""),0.236241610738255)</f>
        <v>0.2362416107</v>
      </c>
      <c r="K160" s="8">
        <f>IFERROR(__xludf.DUMMYFUNCTION("""COMPUTED_VALUE"""),0.21476510067114)</f>
        <v>0.2147651007</v>
      </c>
      <c r="L160" s="8">
        <f>IFERROR(__xludf.DUMMYFUNCTION("""COMPUTED_VALUE"""),0.209395973154362)</f>
        <v>0.2093959732</v>
      </c>
      <c r="M160" s="8">
        <f>IFERROR(__xludf.DUMMYFUNCTION("""COMPUTED_VALUE"""),0.184387617765814)</f>
        <v>0.1843876178</v>
      </c>
      <c r="N160" s="8">
        <f>IFERROR(__xludf.DUMMYFUNCTION("""COMPUTED_VALUE"""),0.169811320754716)</f>
        <v>0.1698113208</v>
      </c>
      <c r="O160" s="8">
        <f>IFERROR(__xludf.DUMMYFUNCTION("""COMPUTED_VALUE"""),0.15886524822695)</f>
        <v>0.1588652482</v>
      </c>
      <c r="P160" s="8">
        <f>IFERROR(__xludf.DUMMYFUNCTION("""COMPUTED_VALUE"""),0.0838150289017341)</f>
        <v>0.0838150289</v>
      </c>
      <c r="Q160" s="8">
        <f>IFERROR(__xludf.DUMMYFUNCTION("""COMPUTED_VALUE"""),0.0579710144927536)</f>
        <v>0.05797101449</v>
      </c>
      <c r="R160" s="8">
        <f>IFERROR(__xludf.DUMMYFUNCTION("""COMPUTED_VALUE"""),0.0)</f>
        <v>0</v>
      </c>
      <c r="S160" s="8">
        <f>IFERROR(__xludf.DUMMYFUNCTION("""COMPUTED_VALUE"""),0.0)</f>
        <v>0</v>
      </c>
      <c r="T160" s="8">
        <f>IFERROR(__xludf.DUMMYFUNCTION("""COMPUTED_VALUE"""),0.0)</f>
        <v>0</v>
      </c>
      <c r="U160" s="8">
        <f>IFERROR(__xludf.DUMMYFUNCTION("""COMPUTED_VALUE"""),0.0)</f>
        <v>0</v>
      </c>
      <c r="V160" s="8">
        <f>IFERROR(__xludf.DUMMYFUNCTION("""COMPUTED_VALUE"""),0.0)</f>
        <v>0</v>
      </c>
      <c r="W160" s="8">
        <f>IFERROR(__xludf.DUMMYFUNCTION("""COMPUTED_VALUE"""),0.0)</f>
        <v>0</v>
      </c>
      <c r="X160" s="8">
        <f>IFERROR(__xludf.DUMMYFUNCTION("""COMPUTED_VALUE"""),0.0)</f>
        <v>0</v>
      </c>
      <c r="Y160" s="8">
        <f>IFERROR(__xludf.DUMMYFUNCTION("""COMPUTED_VALUE"""),0.0)</f>
        <v>0</v>
      </c>
      <c r="Z160" s="8">
        <f>IFERROR(__xludf.DUMMYFUNCTION("""COMPUTED_VALUE"""),0.0)</f>
        <v>0</v>
      </c>
      <c r="AA160" s="8">
        <f>IFERROR(__xludf.DUMMYFUNCTION("""COMPUTED_VALUE"""),0.0)</f>
        <v>0</v>
      </c>
      <c r="AB160" s="8">
        <f>IFERROR(__xludf.DUMMYFUNCTION("""COMPUTED_VALUE"""),0.0)</f>
        <v>0</v>
      </c>
      <c r="AC160" s="8">
        <f>IFERROR(__xludf.DUMMYFUNCTION("""COMPUTED_VALUE"""),0.0)</f>
        <v>0</v>
      </c>
    </row>
    <row r="161" ht="15.75" customHeight="1">
      <c r="A161" s="6" t="str">
        <f>IFERROR(__xludf.DUMMYFUNCTION("""COMPUTED_VALUE"""),"91df72ab8ef7c2a2797ba2a98264b6e4037cebc4")</f>
        <v>91df72ab8ef7c2a2797ba2a98264b6e4037cebc4</v>
      </c>
      <c r="B161" s="6" t="str">
        <f>IFERROR(__xludf.DUMMYFUNCTION("""COMPUTED_VALUE"""),"The Upgrade Gamer")</f>
        <v>The Upgrade Gamer</v>
      </c>
      <c r="C161" s="6" t="str">
        <f>IFERROR(__xludf.DUMMYFUNCTION("""COMPUTED_VALUE"""),"System and Superpower")</f>
        <v>System and Superpower</v>
      </c>
      <c r="D161" s="11">
        <f>IFERROR(__xludf.DUMMYFUNCTION("""COMPUTED_VALUE"""),1282.0)</f>
        <v>1282</v>
      </c>
      <c r="E161" s="8">
        <f>IFERROR(__xludf.DUMMYFUNCTION("""COMPUTED_VALUE"""),0.98046875)</f>
        <v>0.98046875</v>
      </c>
      <c r="F161" s="8">
        <f>IFERROR(__xludf.DUMMYFUNCTION("""COMPUTED_VALUE"""),0.661417322834645)</f>
        <v>0.6614173228</v>
      </c>
      <c r="G161" s="8">
        <f>IFERROR(__xludf.DUMMYFUNCTION("""COMPUTED_VALUE"""),0.559335443037974)</f>
        <v>0.559335443</v>
      </c>
      <c r="H161" s="8">
        <f>IFERROR(__xludf.DUMMYFUNCTION("""COMPUTED_VALUE"""),0.506783719074221)</f>
        <v>0.5067837191</v>
      </c>
      <c r="I161" s="8">
        <f>IFERROR(__xludf.DUMMYFUNCTION("""COMPUTED_VALUE"""),0.464314354450681)</f>
        <v>0.4643143545</v>
      </c>
      <c r="J161" s="8">
        <f>IFERROR(__xludf.DUMMYFUNCTION("""COMPUTED_VALUE"""),0.433198380566801)</f>
        <v>0.4331983806</v>
      </c>
      <c r="K161" s="8">
        <f>IFERROR(__xludf.DUMMYFUNCTION("""COMPUTED_VALUE"""),0.399163179916318)</f>
        <v>0.3991631799</v>
      </c>
      <c r="L161" s="8">
        <f>IFERROR(__xludf.DUMMYFUNCTION("""COMPUTED_VALUE"""),0.370673952641165)</f>
        <v>0.3706739526</v>
      </c>
      <c r="M161" s="8">
        <f>IFERROR(__xludf.DUMMYFUNCTION("""COMPUTED_VALUE"""),0.332653061224489)</f>
        <v>0.3326530612</v>
      </c>
      <c r="N161" s="8">
        <f>IFERROR(__xludf.DUMMYFUNCTION("""COMPUTED_VALUE"""),0.322185061315496)</f>
        <v>0.3221850613</v>
      </c>
      <c r="O161" s="8">
        <f>IFERROR(__xludf.DUMMYFUNCTION("""COMPUTED_VALUE"""),0.253918495297805)</f>
        <v>0.2539184953</v>
      </c>
      <c r="P161" s="8">
        <f>IFERROR(__xludf.DUMMYFUNCTION("""COMPUTED_VALUE"""),0.20136518771331)</f>
        <v>0.2013651877</v>
      </c>
      <c r="Q161" s="8">
        <f>IFERROR(__xludf.DUMMYFUNCTION("""COMPUTED_VALUE"""),0.0)</f>
        <v>0</v>
      </c>
      <c r="R161" s="8">
        <f>IFERROR(__xludf.DUMMYFUNCTION("""COMPUTED_VALUE"""),0.0)</f>
        <v>0</v>
      </c>
      <c r="S161" s="8">
        <f>IFERROR(__xludf.DUMMYFUNCTION("""COMPUTED_VALUE"""),0.0)</f>
        <v>0</v>
      </c>
      <c r="T161" s="8">
        <f>IFERROR(__xludf.DUMMYFUNCTION("""COMPUTED_VALUE"""),0.0)</f>
        <v>0</v>
      </c>
      <c r="U161" s="8">
        <f>IFERROR(__xludf.DUMMYFUNCTION("""COMPUTED_VALUE"""),0.0)</f>
        <v>0</v>
      </c>
      <c r="V161" s="8">
        <f>IFERROR(__xludf.DUMMYFUNCTION("""COMPUTED_VALUE"""),0.0)</f>
        <v>0</v>
      </c>
      <c r="W161" s="8">
        <f>IFERROR(__xludf.DUMMYFUNCTION("""COMPUTED_VALUE"""),0.0)</f>
        <v>0</v>
      </c>
      <c r="X161" s="8">
        <f>IFERROR(__xludf.DUMMYFUNCTION("""COMPUTED_VALUE"""),0.0)</f>
        <v>0</v>
      </c>
      <c r="Y161" s="8">
        <f>IFERROR(__xludf.DUMMYFUNCTION("""COMPUTED_VALUE"""),0.0)</f>
        <v>0</v>
      </c>
      <c r="Z161" s="8">
        <f>IFERROR(__xludf.DUMMYFUNCTION("""COMPUTED_VALUE"""),0.0)</f>
        <v>0</v>
      </c>
      <c r="AA161" s="8">
        <f>IFERROR(__xludf.DUMMYFUNCTION("""COMPUTED_VALUE"""),0.0)</f>
        <v>0</v>
      </c>
      <c r="AB161" s="8">
        <f>IFERROR(__xludf.DUMMYFUNCTION("""COMPUTED_VALUE"""),0.0)</f>
        <v>0</v>
      </c>
      <c r="AC161" s="8">
        <f>IFERROR(__xludf.DUMMYFUNCTION("""COMPUTED_VALUE"""),0.0)</f>
        <v>0</v>
      </c>
    </row>
    <row r="162" ht="15.75" customHeight="1">
      <c r="A162" s="6" t="str">
        <f>IFERROR(__xludf.DUMMYFUNCTION("""COMPUTED_VALUE"""),"9236a79ea4f06488372a41ebcc7a4f0fbfc7b1c3")</f>
        <v>9236a79ea4f06488372a41ebcc7a4f0fbfc7b1c3</v>
      </c>
      <c r="B162" s="6" t="str">
        <f>IFERROR(__xludf.DUMMYFUNCTION("""COMPUTED_VALUE"""),"King of Mercenaries")</f>
        <v>King of Mercenaries</v>
      </c>
      <c r="C162" s="6" t="str">
        <f>IFERROR(__xludf.DUMMYFUNCTION("""COMPUTED_VALUE"""),"Suspense or Thriller")</f>
        <v>Suspense or Thriller</v>
      </c>
      <c r="D162" s="11">
        <f>IFERROR(__xludf.DUMMYFUNCTION("""COMPUTED_VALUE"""),169.0)</f>
        <v>169</v>
      </c>
      <c r="E162" s="8">
        <f>IFERROR(__xludf.DUMMYFUNCTION("""COMPUTED_VALUE"""),0.975460122699386)</f>
        <v>0.9754601227</v>
      </c>
      <c r="F162" s="8">
        <f>IFERROR(__xludf.DUMMYFUNCTION("""COMPUTED_VALUE"""),0.354430379746835)</f>
        <v>0.3544303797</v>
      </c>
      <c r="G162" s="8">
        <f>IFERROR(__xludf.DUMMYFUNCTION("""COMPUTED_VALUE"""),0.344370860927152)</f>
        <v>0.3443708609</v>
      </c>
      <c r="H162" s="8">
        <f>IFERROR(__xludf.DUMMYFUNCTION("""COMPUTED_VALUE"""),0.291970802919708)</f>
        <v>0.2919708029</v>
      </c>
      <c r="I162" s="8">
        <f>IFERROR(__xludf.DUMMYFUNCTION("""COMPUTED_VALUE"""),0.244094488188976)</f>
        <v>0.2440944882</v>
      </c>
      <c r="J162" s="8">
        <f>IFERROR(__xludf.DUMMYFUNCTION("""COMPUTED_VALUE"""),0.194915254237288)</f>
        <v>0.1949152542</v>
      </c>
      <c r="K162" s="8">
        <f>IFERROR(__xludf.DUMMYFUNCTION("""COMPUTED_VALUE"""),0.201834862385321)</f>
        <v>0.2018348624</v>
      </c>
      <c r="L162" s="8">
        <f>IFERROR(__xludf.DUMMYFUNCTION("""COMPUTED_VALUE"""),0.1875)</f>
        <v>0.1875</v>
      </c>
      <c r="M162" s="8">
        <f>IFERROR(__xludf.DUMMYFUNCTION("""COMPUTED_VALUE"""),0.197802197802197)</f>
        <v>0.1978021978</v>
      </c>
      <c r="N162" s="8">
        <f>IFERROR(__xludf.DUMMYFUNCTION("""COMPUTED_VALUE"""),0.19753086419753)</f>
        <v>0.1975308642</v>
      </c>
      <c r="O162" s="8">
        <f>IFERROR(__xludf.DUMMYFUNCTION("""COMPUTED_VALUE"""),0.215384615384615)</f>
        <v>0.2153846154</v>
      </c>
      <c r="P162" s="8">
        <f>IFERROR(__xludf.DUMMYFUNCTION("""COMPUTED_VALUE"""),0.2)</f>
        <v>0.2</v>
      </c>
      <c r="Q162" s="8">
        <f>IFERROR(__xludf.DUMMYFUNCTION("""COMPUTED_VALUE"""),0.15625)</f>
        <v>0.15625</v>
      </c>
      <c r="R162" s="8">
        <f>IFERROR(__xludf.DUMMYFUNCTION("""COMPUTED_VALUE"""),0.0952380952380952)</f>
        <v>0.09523809524</v>
      </c>
      <c r="S162" s="8">
        <f>IFERROR(__xludf.DUMMYFUNCTION("""COMPUTED_VALUE"""),0.0)</f>
        <v>0</v>
      </c>
      <c r="T162" s="8">
        <f>IFERROR(__xludf.DUMMYFUNCTION("""COMPUTED_VALUE"""),0.0)</f>
        <v>0</v>
      </c>
      <c r="U162" s="8">
        <f>IFERROR(__xludf.DUMMYFUNCTION("""COMPUTED_VALUE"""),0.0)</f>
        <v>0</v>
      </c>
      <c r="V162" s="8">
        <f>IFERROR(__xludf.DUMMYFUNCTION("""COMPUTED_VALUE"""),0.0)</f>
        <v>0</v>
      </c>
      <c r="W162" s="8">
        <f>IFERROR(__xludf.DUMMYFUNCTION("""COMPUTED_VALUE"""),0.0)</f>
        <v>0</v>
      </c>
      <c r="X162" s="8">
        <f>IFERROR(__xludf.DUMMYFUNCTION("""COMPUTED_VALUE"""),0.0)</f>
        <v>0</v>
      </c>
      <c r="Y162" s="8">
        <f>IFERROR(__xludf.DUMMYFUNCTION("""COMPUTED_VALUE"""),0.0)</f>
        <v>0</v>
      </c>
      <c r="Z162" s="8">
        <f>IFERROR(__xludf.DUMMYFUNCTION("""COMPUTED_VALUE"""),0.0)</f>
        <v>0</v>
      </c>
      <c r="AA162" s="8">
        <f>IFERROR(__xludf.DUMMYFUNCTION("""COMPUTED_VALUE"""),0.0)</f>
        <v>0</v>
      </c>
      <c r="AB162" s="8">
        <f>IFERROR(__xludf.DUMMYFUNCTION("""COMPUTED_VALUE"""),0.0)</f>
        <v>0</v>
      </c>
      <c r="AC162" s="8">
        <f>IFERROR(__xludf.DUMMYFUNCTION("""COMPUTED_VALUE"""),0.0)</f>
        <v>0</v>
      </c>
    </row>
    <row r="163" ht="15.75" customHeight="1">
      <c r="A163" s="6" t="str">
        <f>IFERROR(__xludf.DUMMYFUNCTION("""COMPUTED_VALUE"""),"94d808231f41a64988f80a2739e6a748f1278c28")</f>
        <v>94d808231f41a64988f80a2739e6a748f1278c28</v>
      </c>
      <c r="B163" s="6" t="str">
        <f>IFERROR(__xludf.DUMMYFUNCTION("""COMPUTED_VALUE"""),"My Amazing Husband's Life")</f>
        <v>My Amazing Husband's Life</v>
      </c>
      <c r="C163" s="6" t="str">
        <f>IFERROR(__xludf.DUMMYFUNCTION("""COMPUTED_VALUE"""),"Drama")</f>
        <v>Drama</v>
      </c>
      <c r="D163" s="11">
        <f>IFERROR(__xludf.DUMMYFUNCTION("""COMPUTED_VALUE"""),1261.0)</f>
        <v>1261</v>
      </c>
      <c r="E163" s="8">
        <f>IFERROR(__xludf.DUMMYFUNCTION("""COMPUTED_VALUE"""),0.964256026600166)</f>
        <v>0.9642560266</v>
      </c>
      <c r="F163" s="8">
        <f>IFERROR(__xludf.DUMMYFUNCTION("""COMPUTED_VALUE"""),0.505637467476149)</f>
        <v>0.5056374675</v>
      </c>
      <c r="G163" s="8">
        <f>IFERROR(__xludf.DUMMYFUNCTION("""COMPUTED_VALUE"""),0.448121645796064)</f>
        <v>0.4481216458</v>
      </c>
      <c r="H163" s="8">
        <f>IFERROR(__xludf.DUMMYFUNCTION("""COMPUTED_VALUE"""),0.40305635148042)</f>
        <v>0.4030563515</v>
      </c>
      <c r="I163" s="8">
        <f>IFERROR(__xludf.DUMMYFUNCTION("""COMPUTED_VALUE"""),0.358565737051792)</f>
        <v>0.3585657371</v>
      </c>
      <c r="J163" s="8">
        <f>IFERROR(__xludf.DUMMYFUNCTION("""COMPUTED_VALUE"""),0.344432882414151)</f>
        <v>0.3444328824</v>
      </c>
      <c r="K163" s="8">
        <f>IFERROR(__xludf.DUMMYFUNCTION("""COMPUTED_VALUE"""),0.324813631522896)</f>
        <v>0.3248136315</v>
      </c>
      <c r="L163" s="8">
        <f>IFERROR(__xludf.DUMMYFUNCTION("""COMPUTED_VALUE"""),0.299212598425196)</f>
        <v>0.2992125984</v>
      </c>
      <c r="M163" s="8">
        <f>IFERROR(__xludf.DUMMYFUNCTION("""COMPUTED_VALUE"""),0.279394644935972)</f>
        <v>0.2793946449</v>
      </c>
      <c r="N163" s="8">
        <f>IFERROR(__xludf.DUMMYFUNCTION("""COMPUTED_VALUE"""),0.261648745519713)</f>
        <v>0.2616487455</v>
      </c>
      <c r="O163" s="8">
        <f>IFERROR(__xludf.DUMMYFUNCTION("""COMPUTED_VALUE"""),0.230352303523035)</f>
        <v>0.2303523035</v>
      </c>
      <c r="P163" s="8">
        <f>IFERROR(__xludf.DUMMYFUNCTION("""COMPUTED_VALUE"""),0.172789115646258)</f>
        <v>0.1727891156</v>
      </c>
      <c r="Q163" s="8">
        <f>IFERROR(__xludf.DUMMYFUNCTION("""COMPUTED_VALUE"""),0.103448275862068)</f>
        <v>0.1034482759</v>
      </c>
      <c r="R163" s="8">
        <f>IFERROR(__xludf.DUMMYFUNCTION("""COMPUTED_VALUE"""),0.0)</f>
        <v>0</v>
      </c>
      <c r="S163" s="8">
        <f>IFERROR(__xludf.DUMMYFUNCTION("""COMPUTED_VALUE"""),0.0)</f>
        <v>0</v>
      </c>
      <c r="T163" s="8">
        <f>IFERROR(__xludf.DUMMYFUNCTION("""COMPUTED_VALUE"""),0.0)</f>
        <v>0</v>
      </c>
      <c r="U163" s="8">
        <f>IFERROR(__xludf.DUMMYFUNCTION("""COMPUTED_VALUE"""),0.0)</f>
        <v>0</v>
      </c>
      <c r="V163" s="8">
        <f>IFERROR(__xludf.DUMMYFUNCTION("""COMPUTED_VALUE"""),0.0)</f>
        <v>0</v>
      </c>
      <c r="W163" s="8">
        <f>IFERROR(__xludf.DUMMYFUNCTION("""COMPUTED_VALUE"""),0.0)</f>
        <v>0</v>
      </c>
      <c r="X163" s="8">
        <f>IFERROR(__xludf.DUMMYFUNCTION("""COMPUTED_VALUE"""),0.0)</f>
        <v>0</v>
      </c>
      <c r="Y163" s="8">
        <f>IFERROR(__xludf.DUMMYFUNCTION("""COMPUTED_VALUE"""),0.0)</f>
        <v>0</v>
      </c>
      <c r="Z163" s="8">
        <f>IFERROR(__xludf.DUMMYFUNCTION("""COMPUTED_VALUE"""),0.0)</f>
        <v>0</v>
      </c>
      <c r="AA163" s="8">
        <f>IFERROR(__xludf.DUMMYFUNCTION("""COMPUTED_VALUE"""),0.0)</f>
        <v>0</v>
      </c>
      <c r="AB163" s="8">
        <f>IFERROR(__xludf.DUMMYFUNCTION("""COMPUTED_VALUE"""),0.0)</f>
        <v>0</v>
      </c>
      <c r="AC163" s="8">
        <f>IFERROR(__xludf.DUMMYFUNCTION("""COMPUTED_VALUE"""),0.0)</f>
        <v>0</v>
      </c>
    </row>
    <row r="164" ht="15.75" customHeight="1">
      <c r="A164" s="6" t="str">
        <f>IFERROR(__xludf.DUMMYFUNCTION("""COMPUTED_VALUE"""),"95cfee76565a1eb0481e08f4f0da75fa4a0cdb74")</f>
        <v>95cfee76565a1eb0481e08f4f0da75fa4a0cdb74</v>
      </c>
      <c r="B164" s="6" t="str">
        <f>IFERROR(__xludf.DUMMYFUNCTION("""COMPUTED_VALUE"""),"Revenge Called Athena")</f>
        <v>Revenge Called Athena</v>
      </c>
      <c r="C164" s="6" t="str">
        <f>IFERROR(__xludf.DUMMYFUNCTION("""COMPUTED_VALUE"""),"Drama")</f>
        <v>Drama</v>
      </c>
      <c r="D164" s="11">
        <f>IFERROR(__xludf.DUMMYFUNCTION("""COMPUTED_VALUE"""),2423.0)</f>
        <v>2423</v>
      </c>
      <c r="E164" s="8">
        <f>IFERROR(__xludf.DUMMYFUNCTION("""COMPUTED_VALUE"""),0.930222956234516)</f>
        <v>0.9302229562</v>
      </c>
      <c r="F164" s="8">
        <f>IFERROR(__xludf.DUMMYFUNCTION("""COMPUTED_VALUE"""),0.607275733774286)</f>
        <v>0.6072757338</v>
      </c>
      <c r="G164" s="8">
        <f>IFERROR(__xludf.DUMMYFUNCTION("""COMPUTED_VALUE"""),0.562681009515928)</f>
        <v>0.5626810095</v>
      </c>
      <c r="H164" s="8">
        <f>IFERROR(__xludf.DUMMYFUNCTION("""COMPUTED_VALUE"""),0.531262939958592)</f>
        <v>0.53126294</v>
      </c>
      <c r="I164" s="8">
        <f>IFERROR(__xludf.DUMMYFUNCTION("""COMPUTED_VALUE"""),0.511194029850746)</f>
        <v>0.5111940299</v>
      </c>
      <c r="J164" s="8">
        <f>IFERROR(__xludf.DUMMYFUNCTION("""COMPUTED_VALUE"""),0.493549729504785)</f>
        <v>0.4935497295</v>
      </c>
      <c r="K164" s="8">
        <f>IFERROR(__xludf.DUMMYFUNCTION("""COMPUTED_VALUE"""),0.470686767169179)</f>
        <v>0.4706867672</v>
      </c>
      <c r="L164" s="8">
        <f>IFERROR(__xludf.DUMMYFUNCTION("""COMPUTED_VALUE"""),0.449163449163449)</f>
        <v>0.4491634492</v>
      </c>
      <c r="M164" s="8">
        <f>IFERROR(__xludf.DUMMYFUNCTION("""COMPUTED_VALUE"""),0.441512752858399)</f>
        <v>0.4415127529</v>
      </c>
      <c r="N164" s="8">
        <f>IFERROR(__xludf.DUMMYFUNCTION("""COMPUTED_VALUE"""),0.432060390763765)</f>
        <v>0.4320603908</v>
      </c>
      <c r="O164" s="8">
        <f>IFERROR(__xludf.DUMMYFUNCTION("""COMPUTED_VALUE"""),0.389617798060467)</f>
        <v>0.3896177981</v>
      </c>
      <c r="P164" s="8">
        <f>IFERROR(__xludf.DUMMYFUNCTION("""COMPUTED_VALUE"""),0.318284424379232)</f>
        <v>0.3182844244</v>
      </c>
      <c r="Q164" s="8">
        <f>IFERROR(__xludf.DUMMYFUNCTION("""COMPUTED_VALUE"""),0.243744955609362)</f>
        <v>0.2437449556</v>
      </c>
      <c r="R164" s="8">
        <f>IFERROR(__xludf.DUMMYFUNCTION("""COMPUTED_VALUE"""),0.235294117647058)</f>
        <v>0.2352941176</v>
      </c>
      <c r="S164" s="8">
        <f>IFERROR(__xludf.DUMMYFUNCTION("""COMPUTED_VALUE"""),0.25)</f>
        <v>0.25</v>
      </c>
      <c r="T164" s="8">
        <f>IFERROR(__xludf.DUMMYFUNCTION("""COMPUTED_VALUE"""),0.0)</f>
        <v>0</v>
      </c>
      <c r="U164" s="8">
        <f>IFERROR(__xludf.DUMMYFUNCTION("""COMPUTED_VALUE"""),0.0)</f>
        <v>0</v>
      </c>
      <c r="V164" s="8">
        <f>IFERROR(__xludf.DUMMYFUNCTION("""COMPUTED_VALUE"""),0.0)</f>
        <v>0</v>
      </c>
      <c r="W164" s="8">
        <f>IFERROR(__xludf.DUMMYFUNCTION("""COMPUTED_VALUE"""),0.0)</f>
        <v>0</v>
      </c>
      <c r="X164" s="8">
        <f>IFERROR(__xludf.DUMMYFUNCTION("""COMPUTED_VALUE"""),0.0)</f>
        <v>0</v>
      </c>
      <c r="Y164" s="8">
        <f>IFERROR(__xludf.DUMMYFUNCTION("""COMPUTED_VALUE"""),0.0)</f>
        <v>0</v>
      </c>
      <c r="Z164" s="8">
        <f>IFERROR(__xludf.DUMMYFUNCTION("""COMPUTED_VALUE"""),0.0)</f>
        <v>0</v>
      </c>
      <c r="AA164" s="8">
        <f>IFERROR(__xludf.DUMMYFUNCTION("""COMPUTED_VALUE"""),0.0)</f>
        <v>0</v>
      </c>
      <c r="AB164" s="8">
        <f>IFERROR(__xludf.DUMMYFUNCTION("""COMPUTED_VALUE"""),0.0)</f>
        <v>0</v>
      </c>
      <c r="AC164" s="8">
        <f>IFERROR(__xludf.DUMMYFUNCTION("""COMPUTED_VALUE"""),0.0)</f>
        <v>0</v>
      </c>
    </row>
    <row r="165" ht="15.75" customHeight="1">
      <c r="A165" s="6" t="str">
        <f>IFERROR(__xludf.DUMMYFUNCTION("""COMPUTED_VALUE"""),"964c4dbd3e851f0d215e0fc68b9c364303676665")</f>
        <v>964c4dbd3e851f0d215e0fc68b9c364303676665</v>
      </c>
      <c r="B165" s="6" t="str">
        <f>IFERROR(__xludf.DUMMYFUNCTION("""COMPUTED_VALUE"""),"The Governor's Wife")</f>
        <v>The Governor's Wife</v>
      </c>
      <c r="C165" s="6" t="str">
        <f>IFERROR(__xludf.DUMMYFUNCTION("""COMPUTED_VALUE"""),"Romance")</f>
        <v>Romance</v>
      </c>
      <c r="D165" s="11">
        <f>IFERROR(__xludf.DUMMYFUNCTION("""COMPUTED_VALUE"""),1761.0)</f>
        <v>1761</v>
      </c>
      <c r="E165" s="8">
        <f>IFERROR(__xludf.DUMMYFUNCTION("""COMPUTED_VALUE"""),0.969072164948453)</f>
        <v>0.9690721649</v>
      </c>
      <c r="F165" s="8">
        <f>IFERROR(__xludf.DUMMYFUNCTION("""COMPUTED_VALUE"""),0.411525029103608)</f>
        <v>0.4115250291</v>
      </c>
      <c r="G165" s="8">
        <f>IFERROR(__xludf.DUMMYFUNCTION("""COMPUTED_VALUE"""),0.375444839857651)</f>
        <v>0.3754448399</v>
      </c>
      <c r="H165" s="8">
        <f>IFERROR(__xludf.DUMMYFUNCTION("""COMPUTED_VALUE"""),0.351449275362318)</f>
        <v>0.3514492754</v>
      </c>
      <c r="I165" s="8">
        <f>IFERROR(__xludf.DUMMYFUNCTION("""COMPUTED_VALUE"""),0.327990135635018)</f>
        <v>0.3279901356</v>
      </c>
      <c r="J165" s="8">
        <f>IFERROR(__xludf.DUMMYFUNCTION("""COMPUTED_VALUE"""),0.27840909090909)</f>
        <v>0.2784090909</v>
      </c>
      <c r="K165" s="8">
        <f>IFERROR(__xludf.DUMMYFUNCTION("""COMPUTED_VALUE"""),0.250160359204618)</f>
        <v>0.2501603592</v>
      </c>
      <c r="L165" s="8">
        <f>IFERROR(__xludf.DUMMYFUNCTION("""COMPUTED_VALUE"""),0.226040978189028)</f>
        <v>0.2260409782</v>
      </c>
      <c r="M165" s="8">
        <f>IFERROR(__xludf.DUMMYFUNCTION("""COMPUTED_VALUE"""),0.203653585926928)</f>
        <v>0.2036535859</v>
      </c>
      <c r="N165" s="8">
        <f>IFERROR(__xludf.DUMMYFUNCTION("""COMPUTED_VALUE"""),0.167247386759581)</f>
        <v>0.1672473868</v>
      </c>
      <c r="O165" s="8">
        <f>IFERROR(__xludf.DUMMYFUNCTION("""COMPUTED_VALUE"""),0.11864406779661)</f>
        <v>0.1186440678</v>
      </c>
      <c r="P165" s="8">
        <f>IFERROR(__xludf.DUMMYFUNCTION("""COMPUTED_VALUE"""),0.055350553505535)</f>
        <v>0.05535055351</v>
      </c>
      <c r="Q165" s="8">
        <f>IFERROR(__xludf.DUMMYFUNCTION("""COMPUTED_VALUE"""),0.0)</f>
        <v>0</v>
      </c>
      <c r="R165" s="8">
        <f>IFERROR(__xludf.DUMMYFUNCTION("""COMPUTED_VALUE"""),0.0)</f>
        <v>0</v>
      </c>
      <c r="S165" s="8">
        <f>IFERROR(__xludf.DUMMYFUNCTION("""COMPUTED_VALUE"""),0.0)</f>
        <v>0</v>
      </c>
      <c r="T165" s="8">
        <f>IFERROR(__xludf.DUMMYFUNCTION("""COMPUTED_VALUE"""),0.0)</f>
        <v>0</v>
      </c>
      <c r="U165" s="8">
        <f>IFERROR(__xludf.DUMMYFUNCTION("""COMPUTED_VALUE"""),0.0)</f>
        <v>0</v>
      </c>
      <c r="V165" s="8">
        <f>IFERROR(__xludf.DUMMYFUNCTION("""COMPUTED_VALUE"""),0.0)</f>
        <v>0</v>
      </c>
      <c r="W165" s="8">
        <f>IFERROR(__xludf.DUMMYFUNCTION("""COMPUTED_VALUE"""),0.0)</f>
        <v>0</v>
      </c>
      <c r="X165" s="8">
        <f>IFERROR(__xludf.DUMMYFUNCTION("""COMPUTED_VALUE"""),0.0)</f>
        <v>0</v>
      </c>
      <c r="Y165" s="8">
        <f>IFERROR(__xludf.DUMMYFUNCTION("""COMPUTED_VALUE"""),0.0)</f>
        <v>0</v>
      </c>
      <c r="Z165" s="8">
        <f>IFERROR(__xludf.DUMMYFUNCTION("""COMPUTED_VALUE"""),0.0)</f>
        <v>0</v>
      </c>
      <c r="AA165" s="8">
        <f>IFERROR(__xludf.DUMMYFUNCTION("""COMPUTED_VALUE"""),0.0)</f>
        <v>0</v>
      </c>
      <c r="AB165" s="8">
        <f>IFERROR(__xludf.DUMMYFUNCTION("""COMPUTED_VALUE"""),0.0)</f>
        <v>0</v>
      </c>
      <c r="AC165" s="8">
        <f>IFERROR(__xludf.DUMMYFUNCTION("""COMPUTED_VALUE"""),0.0)</f>
        <v>0</v>
      </c>
    </row>
    <row r="166" ht="15.75" customHeight="1">
      <c r="A166" s="6" t="str">
        <f>IFERROR(__xludf.DUMMYFUNCTION("""COMPUTED_VALUE"""),"96f6721dc499b730f42b02d86e640d682f4f665d")</f>
        <v>96f6721dc499b730f42b02d86e640d682f4f665d</v>
      </c>
      <c r="B166" s="6" t="str">
        <f>IFERROR(__xludf.DUMMYFUNCTION("""COMPUTED_VALUE"""),"Last Witch of Swendel")</f>
        <v>Last Witch of Swendel</v>
      </c>
      <c r="C166" s="6" t="str">
        <f>IFERROR(__xludf.DUMMYFUNCTION("""COMPUTED_VALUE"""),"Romantasy")</f>
        <v>Romantasy</v>
      </c>
      <c r="D166" s="11">
        <f>IFERROR(__xludf.DUMMYFUNCTION("""COMPUTED_VALUE"""),6089.0)</f>
        <v>6089</v>
      </c>
      <c r="E166" s="8">
        <f>IFERROR(__xludf.DUMMYFUNCTION("""COMPUTED_VALUE"""),0.943641143608281)</f>
        <v>0.9436411436</v>
      </c>
      <c r="F166" s="8">
        <f>IFERROR(__xludf.DUMMYFUNCTION("""COMPUTED_VALUE"""),0.489312726076948)</f>
        <v>0.4893127261</v>
      </c>
      <c r="G166" s="8">
        <f>IFERROR(__xludf.DUMMYFUNCTION("""COMPUTED_VALUE"""),0.432214544257979)</f>
        <v>0.4322145443</v>
      </c>
      <c r="H166" s="8">
        <f>IFERROR(__xludf.DUMMYFUNCTION("""COMPUTED_VALUE"""),0.400263548015154)</f>
        <v>0.400263548</v>
      </c>
      <c r="I166" s="8">
        <f>IFERROR(__xludf.DUMMYFUNCTION("""COMPUTED_VALUE"""),0.379037574159525)</f>
        <v>0.3790375742</v>
      </c>
      <c r="J166" s="8">
        <f>IFERROR(__xludf.DUMMYFUNCTION("""COMPUTED_VALUE"""),0.365089830229108)</f>
        <v>0.3650898302</v>
      </c>
      <c r="K166" s="8">
        <f>IFERROR(__xludf.DUMMYFUNCTION("""COMPUTED_VALUE"""),0.352950873722387)</f>
        <v>0.3529508737</v>
      </c>
      <c r="L166" s="8">
        <f>IFERROR(__xludf.DUMMYFUNCTION("""COMPUTED_VALUE"""),0.339656878917848)</f>
        <v>0.3396568789</v>
      </c>
      <c r="M166" s="8">
        <f>IFERROR(__xludf.DUMMYFUNCTION("""COMPUTED_VALUE"""),0.33162844415113)</f>
        <v>0.3316284442</v>
      </c>
      <c r="N166" s="8">
        <f>IFERROR(__xludf.DUMMYFUNCTION("""COMPUTED_VALUE"""),0.324467206343961)</f>
        <v>0.3244672063</v>
      </c>
      <c r="O166" s="8">
        <f>IFERROR(__xludf.DUMMYFUNCTION("""COMPUTED_VALUE"""),0.299004975124378)</f>
        <v>0.2990049751</v>
      </c>
      <c r="P166" s="8">
        <f>IFERROR(__xludf.DUMMYFUNCTION("""COMPUTED_VALUE"""),0.235913726801538)</f>
        <v>0.2359137268</v>
      </c>
      <c r="Q166" s="8">
        <f>IFERROR(__xludf.DUMMYFUNCTION("""COMPUTED_VALUE"""),0.203154465969483)</f>
        <v>0.203154466</v>
      </c>
      <c r="R166" s="8">
        <f>IFERROR(__xludf.DUMMYFUNCTION("""COMPUTED_VALUE"""),0.158066268332428)</f>
        <v>0.1580662683</v>
      </c>
      <c r="S166" s="8">
        <f>IFERROR(__xludf.DUMMYFUNCTION("""COMPUTED_VALUE"""),0.111522633744855)</f>
        <v>0.1115226337</v>
      </c>
      <c r="T166" s="8">
        <f>IFERROR(__xludf.DUMMYFUNCTION("""COMPUTED_VALUE"""),0.086198050282196)</f>
        <v>0.08619805028</v>
      </c>
      <c r="U166" s="8">
        <f>IFERROR(__xludf.DUMMYFUNCTION("""COMPUTED_VALUE"""),0.0659203980099502)</f>
        <v>0.06592039801</v>
      </c>
      <c r="V166" s="8">
        <f>IFERROR(__xludf.DUMMYFUNCTION("""COMPUTED_VALUE"""),0.0841121495327102)</f>
        <v>0.08411214953</v>
      </c>
      <c r="W166" s="8">
        <f>IFERROR(__xludf.DUMMYFUNCTION("""COMPUTED_VALUE"""),0.0808080808080808)</f>
        <v>0.08080808081</v>
      </c>
      <c r="X166" s="8">
        <f>IFERROR(__xludf.DUMMYFUNCTION("""COMPUTED_VALUE"""),0.0)</f>
        <v>0</v>
      </c>
      <c r="Y166" s="8">
        <f>IFERROR(__xludf.DUMMYFUNCTION("""COMPUTED_VALUE"""),0.0)</f>
        <v>0</v>
      </c>
      <c r="Z166" s="8">
        <f>IFERROR(__xludf.DUMMYFUNCTION("""COMPUTED_VALUE"""),0.0)</f>
        <v>0</v>
      </c>
      <c r="AA166" s="8">
        <f>IFERROR(__xludf.DUMMYFUNCTION("""COMPUTED_VALUE"""),0.0)</f>
        <v>0</v>
      </c>
      <c r="AB166" s="8">
        <f>IFERROR(__xludf.DUMMYFUNCTION("""COMPUTED_VALUE"""),0.0)</f>
        <v>0</v>
      </c>
      <c r="AC166" s="8">
        <f>IFERROR(__xludf.DUMMYFUNCTION("""COMPUTED_VALUE"""),0.0)</f>
        <v>0</v>
      </c>
    </row>
    <row r="167" ht="15.75" customHeight="1">
      <c r="A167" s="6" t="str">
        <f>IFERROR(__xludf.DUMMYFUNCTION("""COMPUTED_VALUE"""),"97bf3d3427830d8b1bc0c5929b0c0832cbf02a25")</f>
        <v>97bf3d3427830d8b1bc0c5929b0c0832cbf02a25</v>
      </c>
      <c r="B167" s="6" t="str">
        <f>IFERROR(__xludf.DUMMYFUNCTION("""COMPUTED_VALUE"""),"The Miraculous Physician")</f>
        <v>The Miraculous Physician</v>
      </c>
      <c r="C167" s="6" t="str">
        <f>IFERROR(__xludf.DUMMYFUNCTION("""COMPUTED_VALUE"""),"System and Superpower")</f>
        <v>System and Superpower</v>
      </c>
      <c r="D167" s="11">
        <f>IFERROR(__xludf.DUMMYFUNCTION("""COMPUTED_VALUE"""),423.0)</f>
        <v>423</v>
      </c>
      <c r="E167" s="8">
        <f>IFERROR(__xludf.DUMMYFUNCTION("""COMPUTED_VALUE"""),0.9636803874092)</f>
        <v>0.9636803874</v>
      </c>
      <c r="F167" s="8">
        <f>IFERROR(__xludf.DUMMYFUNCTION("""COMPUTED_VALUE"""),0.518796992481203)</f>
        <v>0.5187969925</v>
      </c>
      <c r="G167" s="8">
        <f>IFERROR(__xludf.DUMMYFUNCTION("""COMPUTED_VALUE"""),0.447300771208226)</f>
        <v>0.4473007712</v>
      </c>
      <c r="H167" s="8">
        <f>IFERROR(__xludf.DUMMYFUNCTION("""COMPUTED_VALUE"""),0.38563829787234)</f>
        <v>0.3856382979</v>
      </c>
      <c r="I167" s="8">
        <f>IFERROR(__xludf.DUMMYFUNCTION("""COMPUTED_VALUE"""),0.358904109589041)</f>
        <v>0.3589041096</v>
      </c>
      <c r="J167" s="8">
        <f>IFERROR(__xludf.DUMMYFUNCTION("""COMPUTED_VALUE"""),0.337142857142857)</f>
        <v>0.3371428571</v>
      </c>
      <c r="K167" s="8">
        <f>IFERROR(__xludf.DUMMYFUNCTION("""COMPUTED_VALUE"""),0.315151515151515)</f>
        <v>0.3151515152</v>
      </c>
      <c r="L167" s="8">
        <f>IFERROR(__xludf.DUMMYFUNCTION("""COMPUTED_VALUE"""),0.291095890410958)</f>
        <v>0.2910958904</v>
      </c>
      <c r="M167" s="8">
        <f>IFERROR(__xludf.DUMMYFUNCTION("""COMPUTED_VALUE"""),0.271698113207547)</f>
        <v>0.2716981132</v>
      </c>
      <c r="N167" s="8">
        <f>IFERROR(__xludf.DUMMYFUNCTION("""COMPUTED_VALUE"""),0.259615384615384)</f>
        <v>0.2596153846</v>
      </c>
      <c r="O167" s="8">
        <f>IFERROR(__xludf.DUMMYFUNCTION("""COMPUTED_VALUE"""),0.321428571428571)</f>
        <v>0.3214285714</v>
      </c>
      <c r="P167" s="8">
        <f>IFERROR(__xludf.DUMMYFUNCTION("""COMPUTED_VALUE"""),0.75)</f>
        <v>0.75</v>
      </c>
      <c r="Q167" s="8">
        <f>IFERROR(__xludf.DUMMYFUNCTION("""COMPUTED_VALUE"""),0.0)</f>
        <v>0</v>
      </c>
      <c r="R167" s="8">
        <f>IFERROR(__xludf.DUMMYFUNCTION("""COMPUTED_VALUE"""),0.0)</f>
        <v>0</v>
      </c>
      <c r="S167" s="8">
        <f>IFERROR(__xludf.DUMMYFUNCTION("""COMPUTED_VALUE"""),0.0)</f>
        <v>0</v>
      </c>
      <c r="T167" s="8">
        <f>IFERROR(__xludf.DUMMYFUNCTION("""COMPUTED_VALUE"""),0.0)</f>
        <v>0</v>
      </c>
      <c r="U167" s="8">
        <f>IFERROR(__xludf.DUMMYFUNCTION("""COMPUTED_VALUE"""),0.0)</f>
        <v>0</v>
      </c>
      <c r="V167" s="8">
        <f>IFERROR(__xludf.DUMMYFUNCTION("""COMPUTED_VALUE"""),0.0)</f>
        <v>0</v>
      </c>
      <c r="W167" s="8">
        <f>IFERROR(__xludf.DUMMYFUNCTION("""COMPUTED_VALUE"""),0.0)</f>
        <v>0</v>
      </c>
      <c r="X167" s="8">
        <f>IFERROR(__xludf.DUMMYFUNCTION("""COMPUTED_VALUE"""),0.0)</f>
        <v>0</v>
      </c>
      <c r="Y167" s="8">
        <f>IFERROR(__xludf.DUMMYFUNCTION("""COMPUTED_VALUE"""),0.0)</f>
        <v>0</v>
      </c>
      <c r="Z167" s="8">
        <f>IFERROR(__xludf.DUMMYFUNCTION("""COMPUTED_VALUE"""),0.0)</f>
        <v>0</v>
      </c>
      <c r="AA167" s="8">
        <f>IFERROR(__xludf.DUMMYFUNCTION("""COMPUTED_VALUE"""),0.0)</f>
        <v>0</v>
      </c>
      <c r="AB167" s="8">
        <f>IFERROR(__xludf.DUMMYFUNCTION("""COMPUTED_VALUE"""),0.0)</f>
        <v>0</v>
      </c>
      <c r="AC167" s="8">
        <f>IFERROR(__xludf.DUMMYFUNCTION("""COMPUTED_VALUE"""),0.0)</f>
        <v>0</v>
      </c>
    </row>
    <row r="168" ht="15.75" customHeight="1">
      <c r="A168" s="6" t="str">
        <f>IFERROR(__xludf.DUMMYFUNCTION("""COMPUTED_VALUE"""),"97d2593a35303e42da5da630e9d8848fa086fc93")</f>
        <v>97d2593a35303e42da5da630e9d8848fa086fc93</v>
      </c>
      <c r="B168" s="6" t="str">
        <f>IFERROR(__xludf.DUMMYFUNCTION("""COMPUTED_VALUE"""),"Spying on My Rebel Alpha")</f>
        <v>Spying on My Rebel Alpha</v>
      </c>
      <c r="C168" s="6" t="str">
        <f>IFERROR(__xludf.DUMMYFUNCTION("""COMPUTED_VALUE"""),"Romantasy")</f>
        <v>Romantasy</v>
      </c>
      <c r="D168" s="11">
        <f>IFERROR(__xludf.DUMMYFUNCTION("""COMPUTED_VALUE"""),3192.0)</f>
        <v>3192</v>
      </c>
      <c r="E168" s="8">
        <f>IFERROR(__xludf.DUMMYFUNCTION("""COMPUTED_VALUE"""),0.968328629664471)</f>
        <v>0.9683286297</v>
      </c>
      <c r="F168" s="8">
        <f>IFERROR(__xludf.DUMMYFUNCTION("""COMPUTED_VALUE"""),0.452343504246618)</f>
        <v>0.4523435042</v>
      </c>
      <c r="G168" s="8">
        <f>IFERROR(__xludf.DUMMYFUNCTION("""COMPUTED_VALUE"""),0.382436260623229)</f>
        <v>0.3824362606</v>
      </c>
      <c r="H168" s="8">
        <f>IFERROR(__xludf.DUMMYFUNCTION("""COMPUTED_VALUE"""),0.347401574803149)</f>
        <v>0.3474015748</v>
      </c>
      <c r="I168" s="8">
        <f>IFERROR(__xludf.DUMMYFUNCTION("""COMPUTED_VALUE"""),0.315905511811023)</f>
        <v>0.3159055118</v>
      </c>
      <c r="J168" s="8">
        <f>IFERROR(__xludf.DUMMYFUNCTION("""COMPUTED_VALUE"""),0.294061907770056)</f>
        <v>0.2940619078</v>
      </c>
      <c r="K168" s="8">
        <f>IFERROR(__xludf.DUMMYFUNCTION("""COMPUTED_VALUE"""),0.280429971546)</f>
        <v>0.2804299715</v>
      </c>
      <c r="L168" s="8">
        <f>IFERROR(__xludf.DUMMYFUNCTION("""COMPUTED_VALUE"""),0.267301587301587)</f>
        <v>0.2673015873</v>
      </c>
      <c r="M168" s="8">
        <f>IFERROR(__xludf.DUMMYFUNCTION("""COMPUTED_VALUE"""),0.257454312279576)</f>
        <v>0.2574543123</v>
      </c>
      <c r="N168" s="8">
        <f>IFERROR(__xludf.DUMMYFUNCTION("""COMPUTED_VALUE"""),0.25210355987055)</f>
        <v>0.2521035599</v>
      </c>
      <c r="O168" s="8">
        <f>IFERROR(__xludf.DUMMYFUNCTION("""COMPUTED_VALUE"""),0.219024219024219)</f>
        <v>0.219024219</v>
      </c>
      <c r="P168" s="8">
        <f>IFERROR(__xludf.DUMMYFUNCTION("""COMPUTED_VALUE"""),0.166569257744009)</f>
        <v>0.1665692577</v>
      </c>
      <c r="Q168" s="8">
        <f>IFERROR(__xludf.DUMMYFUNCTION("""COMPUTED_VALUE"""),0.126903553299492)</f>
        <v>0.1269035533</v>
      </c>
      <c r="R168" s="8">
        <f>IFERROR(__xludf.DUMMYFUNCTION("""COMPUTED_VALUE"""),0.0)</f>
        <v>0</v>
      </c>
      <c r="S168" s="8">
        <f>IFERROR(__xludf.DUMMYFUNCTION("""COMPUTED_VALUE"""),0.0)</f>
        <v>0</v>
      </c>
      <c r="T168" s="8">
        <f>IFERROR(__xludf.DUMMYFUNCTION("""COMPUTED_VALUE"""),0.0)</f>
        <v>0</v>
      </c>
      <c r="U168" s="8">
        <f>IFERROR(__xludf.DUMMYFUNCTION("""COMPUTED_VALUE"""),0.0)</f>
        <v>0</v>
      </c>
      <c r="V168" s="8">
        <f>IFERROR(__xludf.DUMMYFUNCTION("""COMPUTED_VALUE"""),0.0)</f>
        <v>0</v>
      </c>
      <c r="W168" s="8">
        <f>IFERROR(__xludf.DUMMYFUNCTION("""COMPUTED_VALUE"""),0.0)</f>
        <v>0</v>
      </c>
      <c r="X168" s="8">
        <f>IFERROR(__xludf.DUMMYFUNCTION("""COMPUTED_VALUE"""),0.0)</f>
        <v>0</v>
      </c>
      <c r="Y168" s="8">
        <f>IFERROR(__xludf.DUMMYFUNCTION("""COMPUTED_VALUE"""),0.0)</f>
        <v>0</v>
      </c>
      <c r="Z168" s="8">
        <f>IFERROR(__xludf.DUMMYFUNCTION("""COMPUTED_VALUE"""),0.0)</f>
        <v>0</v>
      </c>
      <c r="AA168" s="8">
        <f>IFERROR(__xludf.DUMMYFUNCTION("""COMPUTED_VALUE"""),0.0)</f>
        <v>0</v>
      </c>
      <c r="AB168" s="8">
        <f>IFERROR(__xludf.DUMMYFUNCTION("""COMPUTED_VALUE"""),0.0)</f>
        <v>0</v>
      </c>
      <c r="AC168" s="8">
        <f>IFERROR(__xludf.DUMMYFUNCTION("""COMPUTED_VALUE"""),0.0)</f>
        <v>0</v>
      </c>
    </row>
    <row r="169" ht="15.75" customHeight="1">
      <c r="A169" s="6" t="str">
        <f>IFERROR(__xludf.DUMMYFUNCTION("""COMPUTED_VALUE"""),"9897c34ca7143cb319fd56943504e8f8be1550c2")</f>
        <v>9897c34ca7143cb319fd56943504e8f8be1550c2</v>
      </c>
      <c r="B169" s="6" t="str">
        <f>IFERROR(__xludf.DUMMYFUNCTION("""COMPUTED_VALUE"""),"Priced Royal Kiss")</f>
        <v>Priced Royal Kiss</v>
      </c>
      <c r="C169" s="6" t="str">
        <f>IFERROR(__xludf.DUMMYFUNCTION("""COMPUTED_VALUE"""),"Drama")</f>
        <v>Drama</v>
      </c>
      <c r="D169" s="11">
        <f>IFERROR(__xludf.DUMMYFUNCTION("""COMPUTED_VALUE"""),694.0)</f>
        <v>694</v>
      </c>
      <c r="E169" s="8">
        <f>IFERROR(__xludf.DUMMYFUNCTION("""COMPUTED_VALUE"""),0.944606413994169)</f>
        <v>0.944606414</v>
      </c>
      <c r="F169" s="8">
        <f>IFERROR(__xludf.DUMMYFUNCTION("""COMPUTED_VALUE"""),0.509516837481698)</f>
        <v>0.5095168375</v>
      </c>
      <c r="G169" s="8">
        <f>IFERROR(__xludf.DUMMYFUNCTION("""COMPUTED_VALUE"""),0.460294117647058)</f>
        <v>0.4602941176</v>
      </c>
      <c r="H169" s="8">
        <f>IFERROR(__xludf.DUMMYFUNCTION("""COMPUTED_VALUE"""),0.432791728212703)</f>
        <v>0.4327917282</v>
      </c>
      <c r="I169" s="8">
        <f>IFERROR(__xludf.DUMMYFUNCTION("""COMPUTED_VALUE"""),0.413793103448275)</f>
        <v>0.4137931034</v>
      </c>
      <c r="J169" s="8">
        <f>IFERROR(__xludf.DUMMYFUNCTION("""COMPUTED_VALUE"""),0.370992366412213)</f>
        <v>0.3709923664</v>
      </c>
      <c r="K169" s="8">
        <f>IFERROR(__xludf.DUMMYFUNCTION("""COMPUTED_VALUE"""),0.366564417177914)</f>
        <v>0.3665644172</v>
      </c>
      <c r="L169" s="8">
        <f>IFERROR(__xludf.DUMMYFUNCTION("""COMPUTED_VALUE"""),0.3701399688958)</f>
        <v>0.3701399689</v>
      </c>
      <c r="M169" s="8">
        <f>IFERROR(__xludf.DUMMYFUNCTION("""COMPUTED_VALUE"""),0.36875)</f>
        <v>0.36875</v>
      </c>
      <c r="N169" s="8">
        <f>IFERROR(__xludf.DUMMYFUNCTION("""COMPUTED_VALUE"""),0.366666666666666)</f>
        <v>0.3666666667</v>
      </c>
      <c r="O169" s="8">
        <f>IFERROR(__xludf.DUMMYFUNCTION("""COMPUTED_VALUE"""),0.287671232876712)</f>
        <v>0.2876712329</v>
      </c>
      <c r="P169" s="8">
        <f>IFERROR(__xludf.DUMMYFUNCTION("""COMPUTED_VALUE"""),0.234375)</f>
        <v>0.234375</v>
      </c>
      <c r="Q169" s="8">
        <f>IFERROR(__xludf.DUMMYFUNCTION("""COMPUTED_VALUE"""),0.146788990825688)</f>
        <v>0.1467889908</v>
      </c>
      <c r="R169" s="8">
        <f>IFERROR(__xludf.DUMMYFUNCTION("""COMPUTED_VALUE"""),0.115107913669064)</f>
        <v>0.1151079137</v>
      </c>
      <c r="S169" s="8">
        <f>IFERROR(__xludf.DUMMYFUNCTION("""COMPUTED_VALUE"""),0.103960396039603)</f>
        <v>0.103960396</v>
      </c>
      <c r="T169" s="8">
        <f>IFERROR(__xludf.DUMMYFUNCTION("""COMPUTED_VALUE"""),0.0762711864406779)</f>
        <v>0.07627118644</v>
      </c>
      <c r="U169" s="8">
        <f>IFERROR(__xludf.DUMMYFUNCTION("""COMPUTED_VALUE"""),0.0465116279069767)</f>
        <v>0.04651162791</v>
      </c>
      <c r="V169" s="8">
        <f>IFERROR(__xludf.DUMMYFUNCTION("""COMPUTED_VALUE"""),0.0)</f>
        <v>0</v>
      </c>
      <c r="W169" s="8">
        <f>IFERROR(__xludf.DUMMYFUNCTION("""COMPUTED_VALUE"""),0.0)</f>
        <v>0</v>
      </c>
      <c r="X169" s="8">
        <f>IFERROR(__xludf.DUMMYFUNCTION("""COMPUTED_VALUE"""),0.0)</f>
        <v>0</v>
      </c>
      <c r="Y169" s="8">
        <f>IFERROR(__xludf.DUMMYFUNCTION("""COMPUTED_VALUE"""),0.0)</f>
        <v>0</v>
      </c>
      <c r="Z169" s="8">
        <f>IFERROR(__xludf.DUMMYFUNCTION("""COMPUTED_VALUE"""),0.0)</f>
        <v>0</v>
      </c>
      <c r="AA169" s="8">
        <f>IFERROR(__xludf.DUMMYFUNCTION("""COMPUTED_VALUE"""),0.0)</f>
        <v>0</v>
      </c>
      <c r="AB169" s="8">
        <f>IFERROR(__xludf.DUMMYFUNCTION("""COMPUTED_VALUE"""),0.0)</f>
        <v>0</v>
      </c>
      <c r="AC169" s="8">
        <f>IFERROR(__xludf.DUMMYFUNCTION("""COMPUTED_VALUE"""),0.0)</f>
        <v>0</v>
      </c>
    </row>
    <row r="170" ht="15.75" customHeight="1">
      <c r="A170" s="6" t="str">
        <f>IFERROR(__xludf.DUMMYFUNCTION("""COMPUTED_VALUE"""),"9b25cb8fec3919f6398cf69f6cec44382a44749e")</f>
        <v>9b25cb8fec3919f6398cf69f6cec44382a44749e</v>
      </c>
      <c r="B170" s="6" t="str">
        <f>IFERROR(__xludf.DUMMYFUNCTION("""COMPUTED_VALUE"""),"The Immortal's Mark")</f>
        <v>The Immortal's Mark</v>
      </c>
      <c r="C170" s="6" t="str">
        <f>IFERROR(__xludf.DUMMYFUNCTION("""COMPUTED_VALUE"""),"Romantasy")</f>
        <v>Romantasy</v>
      </c>
      <c r="D170" s="11">
        <f>IFERROR(__xludf.DUMMYFUNCTION("""COMPUTED_VALUE"""),4871.0)</f>
        <v>4871</v>
      </c>
      <c r="E170" s="8">
        <f>IFERROR(__xludf.DUMMYFUNCTION("""COMPUTED_VALUE"""),0.967308090213118)</f>
        <v>0.9673080902</v>
      </c>
      <c r="F170" s="8">
        <f>IFERROR(__xludf.DUMMYFUNCTION("""COMPUTED_VALUE"""),0.407592824363788)</f>
        <v>0.4075928244</v>
      </c>
      <c r="G170" s="8">
        <f>IFERROR(__xludf.DUMMYFUNCTION("""COMPUTED_VALUE"""),0.337400084139671)</f>
        <v>0.3374000841</v>
      </c>
      <c r="H170" s="8">
        <f>IFERROR(__xludf.DUMMYFUNCTION("""COMPUTED_VALUE"""),0.277565733672603)</f>
        <v>0.2775657337</v>
      </c>
      <c r="I170" s="8">
        <f>IFERROR(__xludf.DUMMYFUNCTION("""COMPUTED_VALUE"""),0.247592552963834)</f>
        <v>0.247592553</v>
      </c>
      <c r="J170" s="8">
        <f>IFERROR(__xludf.DUMMYFUNCTION("""COMPUTED_VALUE"""),0.228024369016536)</f>
        <v>0.228024369</v>
      </c>
      <c r="K170" s="8">
        <f>IFERROR(__xludf.DUMMYFUNCTION("""COMPUTED_VALUE"""),0.210873871890821)</f>
        <v>0.2108738719</v>
      </c>
      <c r="L170" s="8">
        <f>IFERROR(__xludf.DUMMYFUNCTION("""COMPUTED_VALUE"""),0.200626959247648)</f>
        <v>0.2006269592</v>
      </c>
      <c r="M170" s="8">
        <f>IFERROR(__xludf.DUMMYFUNCTION("""COMPUTED_VALUE"""),0.190960451977401)</f>
        <v>0.190960452</v>
      </c>
      <c r="N170" s="8">
        <f>IFERROR(__xludf.DUMMYFUNCTION("""COMPUTED_VALUE"""),0.176993166287015)</f>
        <v>0.1769931663</v>
      </c>
      <c r="O170" s="8">
        <f>IFERROR(__xludf.DUMMYFUNCTION("""COMPUTED_VALUE"""),0.152684978965602)</f>
        <v>0.152684979</v>
      </c>
      <c r="P170" s="8">
        <f>IFERROR(__xludf.DUMMYFUNCTION("""COMPUTED_VALUE"""),0.118264322178105)</f>
        <v>0.1182643222</v>
      </c>
      <c r="Q170" s="8">
        <f>IFERROR(__xludf.DUMMYFUNCTION("""COMPUTED_VALUE"""),0.0876934414148857)</f>
        <v>0.08769344141</v>
      </c>
      <c r="R170" s="8">
        <f>IFERROR(__xludf.DUMMYFUNCTION("""COMPUTED_VALUE"""),0.064516129032258)</f>
        <v>0.06451612903</v>
      </c>
      <c r="S170" s="8">
        <f>IFERROR(__xludf.DUMMYFUNCTION("""COMPUTED_VALUE"""),0.0407264722069345)</f>
        <v>0.04072647221</v>
      </c>
      <c r="T170" s="8">
        <f>IFERROR(__xludf.DUMMYFUNCTION("""COMPUTED_VALUE"""),0.0680628272251308)</f>
        <v>0.06806282723</v>
      </c>
      <c r="U170" s="8">
        <f>IFERROR(__xludf.DUMMYFUNCTION("""COMPUTED_VALUE"""),0.131578947368421)</f>
        <v>0.1315789474</v>
      </c>
      <c r="V170" s="8">
        <f>IFERROR(__xludf.DUMMYFUNCTION("""COMPUTED_VALUE"""),0.0)</f>
        <v>0</v>
      </c>
      <c r="W170" s="8">
        <f>IFERROR(__xludf.DUMMYFUNCTION("""COMPUTED_VALUE"""),0.0)</f>
        <v>0</v>
      </c>
      <c r="X170" s="8">
        <f>IFERROR(__xludf.DUMMYFUNCTION("""COMPUTED_VALUE"""),0.0)</f>
        <v>0</v>
      </c>
      <c r="Y170" s="8">
        <f>IFERROR(__xludf.DUMMYFUNCTION("""COMPUTED_VALUE"""),0.0)</f>
        <v>0</v>
      </c>
      <c r="Z170" s="8">
        <f>IFERROR(__xludf.DUMMYFUNCTION("""COMPUTED_VALUE"""),0.0)</f>
        <v>0</v>
      </c>
      <c r="AA170" s="8">
        <f>IFERROR(__xludf.DUMMYFUNCTION("""COMPUTED_VALUE"""),0.0)</f>
        <v>0</v>
      </c>
      <c r="AB170" s="8">
        <f>IFERROR(__xludf.DUMMYFUNCTION("""COMPUTED_VALUE"""),0.0)</f>
        <v>0</v>
      </c>
      <c r="AC170" s="8">
        <f>IFERROR(__xludf.DUMMYFUNCTION("""COMPUTED_VALUE"""),0.0)</f>
        <v>0</v>
      </c>
    </row>
    <row r="171" ht="15.75" customHeight="1">
      <c r="A171" s="6" t="str">
        <f>IFERROR(__xludf.DUMMYFUNCTION("""COMPUTED_VALUE"""),"9c5a320e8591b0aad996347bc17f53479097ac00")</f>
        <v>9c5a320e8591b0aad996347bc17f53479097ac00</v>
      </c>
      <c r="B171" s="6" t="str">
        <f>IFERROR(__xludf.DUMMYFUNCTION("""COMPUTED_VALUE"""),"Dad's a Billionaire")</f>
        <v>Dad's a Billionaire</v>
      </c>
      <c r="C171" s="6" t="str">
        <f>IFERROR(__xludf.DUMMYFUNCTION("""COMPUTED_VALUE"""),"Romance")</f>
        <v>Romance</v>
      </c>
      <c r="D171" s="11">
        <f>IFERROR(__xludf.DUMMYFUNCTION("""COMPUTED_VALUE"""),465.0)</f>
        <v>465</v>
      </c>
      <c r="E171" s="8">
        <f>IFERROR(__xludf.DUMMYFUNCTION("""COMPUTED_VALUE"""),0.972727272727272)</f>
        <v>0.9727272727</v>
      </c>
      <c r="F171" s="8">
        <f>IFERROR(__xludf.DUMMYFUNCTION("""COMPUTED_VALUE"""),0.507731958762886)</f>
        <v>0.5077319588</v>
      </c>
      <c r="G171" s="8">
        <f>IFERROR(__xludf.DUMMYFUNCTION("""COMPUTED_VALUE"""),0.420765027322404)</f>
        <v>0.4207650273</v>
      </c>
      <c r="H171" s="8">
        <f>IFERROR(__xludf.DUMMYFUNCTION("""COMPUTED_VALUE"""),0.393586005830903)</f>
        <v>0.3935860058</v>
      </c>
      <c r="I171" s="8">
        <f>IFERROR(__xludf.DUMMYFUNCTION("""COMPUTED_VALUE"""),0.351351351351351)</f>
        <v>0.3513513514</v>
      </c>
      <c r="J171" s="8">
        <f>IFERROR(__xludf.DUMMYFUNCTION("""COMPUTED_VALUE"""),0.306930693069306)</f>
        <v>0.3069306931</v>
      </c>
      <c r="K171" s="8">
        <f>IFERROR(__xludf.DUMMYFUNCTION("""COMPUTED_VALUE"""),0.280701754385964)</f>
        <v>0.2807017544</v>
      </c>
      <c r="L171" s="8">
        <f>IFERROR(__xludf.DUMMYFUNCTION("""COMPUTED_VALUE"""),0.296875)</f>
        <v>0.296875</v>
      </c>
      <c r="M171" s="8">
        <f>IFERROR(__xludf.DUMMYFUNCTION("""COMPUTED_VALUE"""),0.292)</f>
        <v>0.292</v>
      </c>
      <c r="N171" s="8">
        <f>IFERROR(__xludf.DUMMYFUNCTION("""COMPUTED_VALUE"""),0.248)</f>
        <v>0.248</v>
      </c>
      <c r="O171" s="8">
        <f>IFERROR(__xludf.DUMMYFUNCTION("""COMPUTED_VALUE"""),0.268595041322314)</f>
        <v>0.2685950413</v>
      </c>
      <c r="P171" s="8">
        <f>IFERROR(__xludf.DUMMYFUNCTION("""COMPUTED_VALUE"""),0.178899082568807)</f>
        <v>0.1788990826</v>
      </c>
      <c r="Q171" s="8">
        <f>IFERROR(__xludf.DUMMYFUNCTION("""COMPUTED_VALUE"""),0.0)</f>
        <v>0</v>
      </c>
      <c r="R171" s="8">
        <f>IFERROR(__xludf.DUMMYFUNCTION("""COMPUTED_VALUE"""),0.0)</f>
        <v>0</v>
      </c>
      <c r="S171" s="8">
        <f>IFERROR(__xludf.DUMMYFUNCTION("""COMPUTED_VALUE"""),0.0)</f>
        <v>0</v>
      </c>
      <c r="T171" s="8">
        <f>IFERROR(__xludf.DUMMYFUNCTION("""COMPUTED_VALUE"""),0.0)</f>
        <v>0</v>
      </c>
      <c r="U171" s="8">
        <f>IFERROR(__xludf.DUMMYFUNCTION("""COMPUTED_VALUE"""),0.0)</f>
        <v>0</v>
      </c>
      <c r="V171" s="8">
        <f>IFERROR(__xludf.DUMMYFUNCTION("""COMPUTED_VALUE"""),0.0)</f>
        <v>0</v>
      </c>
      <c r="W171" s="8">
        <f>IFERROR(__xludf.DUMMYFUNCTION("""COMPUTED_VALUE"""),0.0)</f>
        <v>0</v>
      </c>
      <c r="X171" s="8">
        <f>IFERROR(__xludf.DUMMYFUNCTION("""COMPUTED_VALUE"""),0.0)</f>
        <v>0</v>
      </c>
      <c r="Y171" s="8">
        <f>IFERROR(__xludf.DUMMYFUNCTION("""COMPUTED_VALUE"""),0.0)</f>
        <v>0</v>
      </c>
      <c r="Z171" s="8">
        <f>IFERROR(__xludf.DUMMYFUNCTION("""COMPUTED_VALUE"""),0.0)</f>
        <v>0</v>
      </c>
      <c r="AA171" s="8">
        <f>IFERROR(__xludf.DUMMYFUNCTION("""COMPUTED_VALUE"""),0.0)</f>
        <v>0</v>
      </c>
      <c r="AB171" s="8">
        <f>IFERROR(__xludf.DUMMYFUNCTION("""COMPUTED_VALUE"""),0.0)</f>
        <v>0</v>
      </c>
      <c r="AC171" s="8">
        <f>IFERROR(__xludf.DUMMYFUNCTION("""COMPUTED_VALUE"""),0.0)</f>
        <v>0</v>
      </c>
    </row>
    <row r="172" ht="15.75" customHeight="1">
      <c r="A172" s="6" t="str">
        <f>IFERROR(__xludf.DUMMYFUNCTION("""COMPUTED_VALUE"""),"9d3f3024e967ac2c104ada98aa10c481cd0f9e38")</f>
        <v>9d3f3024e967ac2c104ada98aa10c481cd0f9e38</v>
      </c>
      <c r="B172" s="6" t="str">
        <f>IFERROR(__xludf.DUMMYFUNCTION("""COMPUTED_VALUE"""),"The Wrong Mrs. Carter")</f>
        <v>The Wrong Mrs. Carter</v>
      </c>
      <c r="C172" s="6" t="str">
        <f>IFERROR(__xludf.DUMMYFUNCTION("""COMPUTED_VALUE"""),"Romance")</f>
        <v>Romance</v>
      </c>
      <c r="D172" s="11">
        <f>IFERROR(__xludf.DUMMYFUNCTION("""COMPUTED_VALUE"""),909.0)</f>
        <v>909</v>
      </c>
      <c r="E172" s="8">
        <f>IFERROR(__xludf.DUMMYFUNCTION("""COMPUTED_VALUE"""),0.933806146572104)</f>
        <v>0.9338061466</v>
      </c>
      <c r="F172" s="8">
        <f>IFERROR(__xludf.DUMMYFUNCTION("""COMPUTED_VALUE"""),0.595800524934383)</f>
        <v>0.5958005249</v>
      </c>
      <c r="G172" s="8">
        <f>IFERROR(__xludf.DUMMYFUNCTION("""COMPUTED_VALUE"""),0.554803788903924)</f>
        <v>0.5548037889</v>
      </c>
      <c r="H172" s="8">
        <f>IFERROR(__xludf.DUMMYFUNCTION("""COMPUTED_VALUE"""),0.509859154929577)</f>
        <v>0.5098591549</v>
      </c>
      <c r="I172" s="8">
        <f>IFERROR(__xludf.DUMMYFUNCTION("""COMPUTED_VALUE"""),0.485915492957746)</f>
        <v>0.485915493</v>
      </c>
      <c r="J172" s="8">
        <f>IFERROR(__xludf.DUMMYFUNCTION("""COMPUTED_VALUE"""),0.469675599435825)</f>
        <v>0.4696755994</v>
      </c>
      <c r="K172" s="8">
        <f>IFERROR(__xludf.DUMMYFUNCTION("""COMPUTED_VALUE"""),0.44774011299435)</f>
        <v>0.447740113</v>
      </c>
      <c r="L172" s="8">
        <f>IFERROR(__xludf.DUMMYFUNCTION("""COMPUTED_VALUE"""),0.40819209039548)</f>
        <v>0.4081920904</v>
      </c>
      <c r="M172" s="8">
        <f>IFERROR(__xludf.DUMMYFUNCTION("""COMPUTED_VALUE"""),0.375362318840579)</f>
        <v>0.3753623188</v>
      </c>
      <c r="N172" s="8">
        <f>IFERROR(__xludf.DUMMYFUNCTION("""COMPUTED_VALUE"""),0.368267831149927)</f>
        <v>0.3682678311</v>
      </c>
      <c r="O172" s="8">
        <f>IFERROR(__xludf.DUMMYFUNCTION("""COMPUTED_VALUE"""),0.221169036334913)</f>
        <v>0.2211690363</v>
      </c>
      <c r="P172" s="8">
        <f>IFERROR(__xludf.DUMMYFUNCTION("""COMPUTED_VALUE"""),0.122112211221122)</f>
        <v>0.1221122112</v>
      </c>
      <c r="Q172" s="8">
        <f>IFERROR(__xludf.DUMMYFUNCTION("""COMPUTED_VALUE"""),0.0521920668058455)</f>
        <v>0.05219206681</v>
      </c>
      <c r="R172" s="8">
        <f>IFERROR(__xludf.DUMMYFUNCTION("""COMPUTED_VALUE"""),0.0307692307692307)</f>
        <v>0.03076923077</v>
      </c>
      <c r="S172" s="8">
        <f>IFERROR(__xludf.DUMMYFUNCTION("""COMPUTED_VALUE"""),0.0)</f>
        <v>0</v>
      </c>
      <c r="T172" s="8">
        <f>IFERROR(__xludf.DUMMYFUNCTION("""COMPUTED_VALUE"""),0.0)</f>
        <v>0</v>
      </c>
      <c r="U172" s="8">
        <f>IFERROR(__xludf.DUMMYFUNCTION("""COMPUTED_VALUE"""),0.0)</f>
        <v>0</v>
      </c>
      <c r="V172" s="8">
        <f>IFERROR(__xludf.DUMMYFUNCTION("""COMPUTED_VALUE"""),0.0)</f>
        <v>0</v>
      </c>
      <c r="W172" s="8">
        <f>IFERROR(__xludf.DUMMYFUNCTION("""COMPUTED_VALUE"""),0.0)</f>
        <v>0</v>
      </c>
      <c r="X172" s="8">
        <f>IFERROR(__xludf.DUMMYFUNCTION("""COMPUTED_VALUE"""),0.0)</f>
        <v>0</v>
      </c>
      <c r="Y172" s="8">
        <f>IFERROR(__xludf.DUMMYFUNCTION("""COMPUTED_VALUE"""),0.0)</f>
        <v>0</v>
      </c>
      <c r="Z172" s="8">
        <f>IFERROR(__xludf.DUMMYFUNCTION("""COMPUTED_VALUE"""),0.0)</f>
        <v>0</v>
      </c>
      <c r="AA172" s="8">
        <f>IFERROR(__xludf.DUMMYFUNCTION("""COMPUTED_VALUE"""),0.0)</f>
        <v>0</v>
      </c>
      <c r="AB172" s="8">
        <f>IFERROR(__xludf.DUMMYFUNCTION("""COMPUTED_VALUE"""),0.0)</f>
        <v>0</v>
      </c>
      <c r="AC172" s="8">
        <f>IFERROR(__xludf.DUMMYFUNCTION("""COMPUTED_VALUE"""),0.0)</f>
        <v>0</v>
      </c>
    </row>
    <row r="173" ht="15.75" customHeight="1">
      <c r="A173" s="6" t="str">
        <f>IFERROR(__xludf.DUMMYFUNCTION("""COMPUTED_VALUE"""),"9eb4932b6e7663416bee5ea2d2dd1b2ced5727be")</f>
        <v>9eb4932b6e7663416bee5ea2d2dd1b2ced5727be</v>
      </c>
      <c r="B173" s="6" t="str">
        <f>IFERROR(__xludf.DUMMYFUNCTION("""COMPUTED_VALUE"""),"Rise of the God Mage")</f>
        <v>Rise of the God Mage</v>
      </c>
      <c r="C173" s="6" t="str">
        <f>IFERROR(__xludf.DUMMYFUNCTION("""COMPUTED_VALUE"""),"Fantasy")</f>
        <v>Fantasy</v>
      </c>
      <c r="D173" s="11">
        <f>IFERROR(__xludf.DUMMYFUNCTION("""COMPUTED_VALUE"""),1418.0)</f>
        <v>1418</v>
      </c>
      <c r="E173" s="8">
        <f>IFERROR(__xludf.DUMMYFUNCTION("""COMPUTED_VALUE"""),0.979505300353356)</f>
        <v>0.9795053004</v>
      </c>
      <c r="F173" s="8">
        <f>IFERROR(__xludf.DUMMYFUNCTION("""COMPUTED_VALUE"""),0.625981441827266)</f>
        <v>0.6259814418</v>
      </c>
      <c r="G173" s="8">
        <f>IFERROR(__xludf.DUMMYFUNCTION("""COMPUTED_VALUE"""),0.556989247311828)</f>
        <v>0.5569892473</v>
      </c>
      <c r="H173" s="8">
        <f>IFERROR(__xludf.DUMMYFUNCTION("""COMPUTED_VALUE"""),0.535018050541516)</f>
        <v>0.5350180505</v>
      </c>
      <c r="I173" s="8">
        <f>IFERROR(__xludf.DUMMYFUNCTION("""COMPUTED_VALUE"""),0.499630996309963)</f>
        <v>0.4996309963</v>
      </c>
      <c r="J173" s="8">
        <f>IFERROR(__xludf.DUMMYFUNCTION("""COMPUTED_VALUE"""),0.472727272727272)</f>
        <v>0.4727272727</v>
      </c>
      <c r="K173" s="8">
        <f>IFERROR(__xludf.DUMMYFUNCTION("""COMPUTED_VALUE"""),0.46029173419773)</f>
        <v>0.4602917342</v>
      </c>
      <c r="L173" s="8">
        <f>IFERROR(__xludf.DUMMYFUNCTION("""COMPUTED_VALUE"""),0.428971962616822)</f>
        <v>0.4289719626</v>
      </c>
      <c r="M173" s="8">
        <f>IFERROR(__xludf.DUMMYFUNCTION("""COMPUTED_VALUE"""),0.411313518696069)</f>
        <v>0.4113135187</v>
      </c>
      <c r="N173" s="8">
        <f>IFERROR(__xludf.DUMMYFUNCTION("""COMPUTED_VALUE"""),0.368090452261306)</f>
        <v>0.3680904523</v>
      </c>
      <c r="O173" s="8">
        <f>IFERROR(__xludf.DUMMYFUNCTION("""COMPUTED_VALUE"""),0.341463414634146)</f>
        <v>0.3414634146</v>
      </c>
      <c r="P173" s="8">
        <f>IFERROR(__xludf.DUMMYFUNCTION("""COMPUTED_VALUE"""),0.263681592039801)</f>
        <v>0.263681592</v>
      </c>
      <c r="Q173" s="8">
        <f>IFERROR(__xludf.DUMMYFUNCTION("""COMPUTED_VALUE"""),0.0)</f>
        <v>0</v>
      </c>
      <c r="R173" s="8">
        <f>IFERROR(__xludf.DUMMYFUNCTION("""COMPUTED_VALUE"""),0.0)</f>
        <v>0</v>
      </c>
      <c r="S173" s="8">
        <f>IFERROR(__xludf.DUMMYFUNCTION("""COMPUTED_VALUE"""),0.0)</f>
        <v>0</v>
      </c>
      <c r="T173" s="8">
        <f>IFERROR(__xludf.DUMMYFUNCTION("""COMPUTED_VALUE"""),0.0)</f>
        <v>0</v>
      </c>
      <c r="U173" s="8">
        <f>IFERROR(__xludf.DUMMYFUNCTION("""COMPUTED_VALUE"""),0.0)</f>
        <v>0</v>
      </c>
      <c r="V173" s="8">
        <f>IFERROR(__xludf.DUMMYFUNCTION("""COMPUTED_VALUE"""),0.0)</f>
        <v>0</v>
      </c>
      <c r="W173" s="8">
        <f>IFERROR(__xludf.DUMMYFUNCTION("""COMPUTED_VALUE"""),0.0)</f>
        <v>0</v>
      </c>
      <c r="X173" s="8">
        <f>IFERROR(__xludf.DUMMYFUNCTION("""COMPUTED_VALUE"""),0.0)</f>
        <v>0</v>
      </c>
      <c r="Y173" s="8">
        <f>IFERROR(__xludf.DUMMYFUNCTION("""COMPUTED_VALUE"""),0.0)</f>
        <v>0</v>
      </c>
      <c r="Z173" s="8">
        <f>IFERROR(__xludf.DUMMYFUNCTION("""COMPUTED_VALUE"""),0.0)</f>
        <v>0</v>
      </c>
      <c r="AA173" s="8">
        <f>IFERROR(__xludf.DUMMYFUNCTION("""COMPUTED_VALUE"""),0.0)</f>
        <v>0</v>
      </c>
      <c r="AB173" s="8">
        <f>IFERROR(__xludf.DUMMYFUNCTION("""COMPUTED_VALUE"""),0.0)</f>
        <v>0</v>
      </c>
      <c r="AC173" s="8">
        <f>IFERROR(__xludf.DUMMYFUNCTION("""COMPUTED_VALUE"""),0.0)</f>
        <v>0</v>
      </c>
    </row>
    <row r="174" ht="15.75" customHeight="1">
      <c r="A174" s="6" t="str">
        <f>IFERROR(__xludf.DUMMYFUNCTION("""COMPUTED_VALUE"""),"9f288c1b7bcd6e6181338579ca44a178a5b21573")</f>
        <v>9f288c1b7bcd6e6181338579ca44a178a5b21573</v>
      </c>
      <c r="B174" s="6" t="str">
        <f>IFERROR(__xludf.DUMMYFUNCTION("""COMPUTED_VALUE"""),"Vows of Blood &amp; Diamonds")</f>
        <v>Vows of Blood &amp; Diamonds</v>
      </c>
      <c r="C174" s="6" t="str">
        <f>IFERROR(__xludf.DUMMYFUNCTION("""COMPUTED_VALUE"""),"Romance")</f>
        <v>Romance</v>
      </c>
      <c r="D174" s="11">
        <f>IFERROR(__xludf.DUMMYFUNCTION("""COMPUTED_VALUE"""),468.0)</f>
        <v>468</v>
      </c>
      <c r="E174" s="8">
        <f>IFERROR(__xludf.DUMMYFUNCTION("""COMPUTED_VALUE"""),0.976241900647948)</f>
        <v>0.9762419006</v>
      </c>
      <c r="F174" s="8">
        <f>IFERROR(__xludf.DUMMYFUNCTION("""COMPUTED_VALUE"""),0.367391304347826)</f>
        <v>0.3673913043</v>
      </c>
      <c r="G174" s="8">
        <f>IFERROR(__xludf.DUMMYFUNCTION("""COMPUTED_VALUE"""),0.296703296703296)</f>
        <v>0.2967032967</v>
      </c>
      <c r="H174" s="8">
        <f>IFERROR(__xludf.DUMMYFUNCTION("""COMPUTED_VALUE"""),0.284424379232505)</f>
        <v>0.2844243792</v>
      </c>
      <c r="I174" s="8">
        <f>IFERROR(__xludf.DUMMYFUNCTION("""COMPUTED_VALUE"""),0.266055045871559)</f>
        <v>0.2660550459</v>
      </c>
      <c r="J174" s="8">
        <f>IFERROR(__xludf.DUMMYFUNCTION("""COMPUTED_VALUE"""),0.243498817966903)</f>
        <v>0.243498818</v>
      </c>
      <c r="K174" s="8">
        <f>IFERROR(__xludf.DUMMYFUNCTION("""COMPUTED_VALUE"""),0.218978102189781)</f>
        <v>0.2189781022</v>
      </c>
      <c r="L174" s="8">
        <f>IFERROR(__xludf.DUMMYFUNCTION("""COMPUTED_VALUE"""),0.21)</f>
        <v>0.21</v>
      </c>
      <c r="M174" s="8">
        <f>IFERROR(__xludf.DUMMYFUNCTION("""COMPUTED_VALUE"""),0.194444444444444)</f>
        <v>0.1944444444</v>
      </c>
      <c r="N174" s="8">
        <f>IFERROR(__xludf.DUMMYFUNCTION("""COMPUTED_VALUE"""),0.174025974025974)</f>
        <v>0.174025974</v>
      </c>
      <c r="O174" s="8">
        <f>IFERROR(__xludf.DUMMYFUNCTION("""COMPUTED_VALUE"""),0.138972809667673)</f>
        <v>0.1389728097</v>
      </c>
      <c r="P174" s="8">
        <f>IFERROR(__xludf.DUMMYFUNCTION("""COMPUTED_VALUE"""),0.109375)</f>
        <v>0.109375</v>
      </c>
      <c r="Q174" s="8">
        <f>IFERROR(__xludf.DUMMYFUNCTION("""COMPUTED_VALUE"""),0.0375)</f>
        <v>0.0375</v>
      </c>
      <c r="R174" s="8">
        <f>IFERROR(__xludf.DUMMYFUNCTION("""COMPUTED_VALUE"""),0.0476190476190476)</f>
        <v>0.04761904762</v>
      </c>
      <c r="S174" s="8">
        <f>IFERROR(__xludf.DUMMYFUNCTION("""COMPUTED_VALUE"""),0.0)</f>
        <v>0</v>
      </c>
      <c r="T174" s="8">
        <f>IFERROR(__xludf.DUMMYFUNCTION("""COMPUTED_VALUE"""),0.0)</f>
        <v>0</v>
      </c>
      <c r="U174" s="8">
        <f>IFERROR(__xludf.DUMMYFUNCTION("""COMPUTED_VALUE"""),0.0)</f>
        <v>0</v>
      </c>
      <c r="V174" s="8">
        <f>IFERROR(__xludf.DUMMYFUNCTION("""COMPUTED_VALUE"""),0.0)</f>
        <v>0</v>
      </c>
      <c r="W174" s="8">
        <f>IFERROR(__xludf.DUMMYFUNCTION("""COMPUTED_VALUE"""),0.0)</f>
        <v>0</v>
      </c>
      <c r="X174" s="8">
        <f>IFERROR(__xludf.DUMMYFUNCTION("""COMPUTED_VALUE"""),0.0)</f>
        <v>0</v>
      </c>
      <c r="Y174" s="8">
        <f>IFERROR(__xludf.DUMMYFUNCTION("""COMPUTED_VALUE"""),0.0)</f>
        <v>0</v>
      </c>
      <c r="Z174" s="8">
        <f>IFERROR(__xludf.DUMMYFUNCTION("""COMPUTED_VALUE"""),0.0)</f>
        <v>0</v>
      </c>
      <c r="AA174" s="8">
        <f>IFERROR(__xludf.DUMMYFUNCTION("""COMPUTED_VALUE"""),0.0)</f>
        <v>0</v>
      </c>
      <c r="AB174" s="8">
        <f>IFERROR(__xludf.DUMMYFUNCTION("""COMPUTED_VALUE"""),0.0)</f>
        <v>0</v>
      </c>
      <c r="AC174" s="8">
        <f>IFERROR(__xludf.DUMMYFUNCTION("""COMPUTED_VALUE"""),0.0)</f>
        <v>0</v>
      </c>
    </row>
    <row r="175" ht="15.75" customHeight="1">
      <c r="A175" s="6" t="str">
        <f>IFERROR(__xludf.DUMMYFUNCTION("""COMPUTED_VALUE"""),"a028c06a528d6bc1425340cbedd71880abd4ad2b")</f>
        <v>a028c06a528d6bc1425340cbedd71880abd4ad2b</v>
      </c>
      <c r="B175" s="6" t="str">
        <f>IFERROR(__xludf.DUMMYFUNCTION("""COMPUTED_VALUE"""),"Rejected Luna's Secret")</f>
        <v>Rejected Luna's Secret</v>
      </c>
      <c r="C175" s="6" t="str">
        <f>IFERROR(__xludf.DUMMYFUNCTION("""COMPUTED_VALUE"""),"Romantasy")</f>
        <v>Romantasy</v>
      </c>
      <c r="D175" s="11">
        <f>IFERROR(__xludf.DUMMYFUNCTION("""COMPUTED_VALUE"""),832.0)</f>
        <v>832</v>
      </c>
      <c r="E175" s="8">
        <f>IFERROR(__xludf.DUMMYFUNCTION("""COMPUTED_VALUE"""),0.982532751091703)</f>
        <v>0.9825327511</v>
      </c>
      <c r="F175" s="8">
        <f>IFERROR(__xludf.DUMMYFUNCTION("""COMPUTED_VALUE"""),0.641304347826086)</f>
        <v>0.6413043478</v>
      </c>
      <c r="G175" s="8">
        <f>IFERROR(__xludf.DUMMYFUNCTION("""COMPUTED_VALUE"""),0.536649214659685)</f>
        <v>0.5366492147</v>
      </c>
      <c r="H175" s="8">
        <f>IFERROR(__xludf.DUMMYFUNCTION("""COMPUTED_VALUE"""),0.5)</f>
        <v>0.5</v>
      </c>
      <c r="I175" s="8">
        <f>IFERROR(__xludf.DUMMYFUNCTION("""COMPUTED_VALUE"""),0.457317073170731)</f>
        <v>0.4573170732</v>
      </c>
      <c r="J175" s="8">
        <f>IFERROR(__xludf.DUMMYFUNCTION("""COMPUTED_VALUE"""),0.423780487804878)</f>
        <v>0.4237804878</v>
      </c>
      <c r="K175" s="8">
        <f>IFERROR(__xludf.DUMMYFUNCTION("""COMPUTED_VALUE"""),0.368098159509202)</f>
        <v>0.3680981595</v>
      </c>
      <c r="L175" s="8">
        <f>IFERROR(__xludf.DUMMYFUNCTION("""COMPUTED_VALUE"""),0.313846153846153)</f>
        <v>0.3138461538</v>
      </c>
      <c r="M175" s="8">
        <f>IFERROR(__xludf.DUMMYFUNCTION("""COMPUTED_VALUE"""),0.296529968454258)</f>
        <v>0.2965299685</v>
      </c>
      <c r="N175" s="8">
        <f>IFERROR(__xludf.DUMMYFUNCTION("""COMPUTED_VALUE"""),0.269480519480519)</f>
        <v>0.2694805195</v>
      </c>
      <c r="O175" s="8">
        <f>IFERROR(__xludf.DUMMYFUNCTION("""COMPUTED_VALUE"""),0.222222222222222)</f>
        <v>0.2222222222</v>
      </c>
      <c r="P175" s="8">
        <f>IFERROR(__xludf.DUMMYFUNCTION("""COMPUTED_VALUE"""),0.0)</f>
        <v>0</v>
      </c>
      <c r="Q175" s="8">
        <f>IFERROR(__xludf.DUMMYFUNCTION("""COMPUTED_VALUE"""),0.0)</f>
        <v>0</v>
      </c>
      <c r="R175" s="8">
        <f>IFERROR(__xludf.DUMMYFUNCTION("""COMPUTED_VALUE"""),0.0)</f>
        <v>0</v>
      </c>
      <c r="S175" s="8">
        <f>IFERROR(__xludf.DUMMYFUNCTION("""COMPUTED_VALUE"""),0.0)</f>
        <v>0</v>
      </c>
      <c r="T175" s="8">
        <f>IFERROR(__xludf.DUMMYFUNCTION("""COMPUTED_VALUE"""),0.0)</f>
        <v>0</v>
      </c>
      <c r="U175" s="8">
        <f>IFERROR(__xludf.DUMMYFUNCTION("""COMPUTED_VALUE"""),0.0)</f>
        <v>0</v>
      </c>
      <c r="V175" s="8">
        <f>IFERROR(__xludf.DUMMYFUNCTION("""COMPUTED_VALUE"""),0.0)</f>
        <v>0</v>
      </c>
      <c r="W175" s="8">
        <f>IFERROR(__xludf.DUMMYFUNCTION("""COMPUTED_VALUE"""),0.0)</f>
        <v>0</v>
      </c>
      <c r="X175" s="8">
        <f>IFERROR(__xludf.DUMMYFUNCTION("""COMPUTED_VALUE"""),0.0)</f>
        <v>0</v>
      </c>
      <c r="Y175" s="8">
        <f>IFERROR(__xludf.DUMMYFUNCTION("""COMPUTED_VALUE"""),0.0)</f>
        <v>0</v>
      </c>
      <c r="Z175" s="8">
        <f>IFERROR(__xludf.DUMMYFUNCTION("""COMPUTED_VALUE"""),0.0)</f>
        <v>0</v>
      </c>
      <c r="AA175" s="8">
        <f>IFERROR(__xludf.DUMMYFUNCTION("""COMPUTED_VALUE"""),0.0)</f>
        <v>0</v>
      </c>
      <c r="AB175" s="8">
        <f>IFERROR(__xludf.DUMMYFUNCTION("""COMPUTED_VALUE"""),0.0)</f>
        <v>0</v>
      </c>
      <c r="AC175" s="8">
        <f>IFERROR(__xludf.DUMMYFUNCTION("""COMPUTED_VALUE"""),0.0)</f>
        <v>0</v>
      </c>
    </row>
    <row r="176" ht="15.75" customHeight="1">
      <c r="A176" s="6" t="str">
        <f>IFERROR(__xludf.DUMMYFUNCTION("""COMPUTED_VALUE"""),"a09fd281233c0dee7a45d32647f68bb0142a3b96")</f>
        <v>a09fd281233c0dee7a45d32647f68bb0142a3b96</v>
      </c>
      <c r="B176" s="6" t="str">
        <f>IFERROR(__xludf.DUMMYFUNCTION("""COMPUTED_VALUE"""),"The Comatose Billionaire")</f>
        <v>The Comatose Billionaire</v>
      </c>
      <c r="C176" s="6" t="str">
        <f>IFERROR(__xludf.DUMMYFUNCTION("""COMPUTED_VALUE"""),"Romance")</f>
        <v>Romance</v>
      </c>
      <c r="D176" s="11">
        <f>IFERROR(__xludf.DUMMYFUNCTION("""COMPUTED_VALUE"""),1915.0)</f>
        <v>1915</v>
      </c>
      <c r="E176" s="8">
        <f>IFERROR(__xludf.DUMMYFUNCTION("""COMPUTED_VALUE"""),0.946185997910135)</f>
        <v>0.9461859979</v>
      </c>
      <c r="F176" s="8">
        <f>IFERROR(__xludf.DUMMYFUNCTION("""COMPUTED_VALUE"""),0.554858934169279)</f>
        <v>0.5548589342</v>
      </c>
      <c r="G176" s="8">
        <f>IFERROR(__xludf.DUMMYFUNCTION("""COMPUTED_VALUE"""),0.492154811715481)</f>
        <v>0.4921548117</v>
      </c>
      <c r="H176" s="8">
        <f>IFERROR(__xludf.DUMMYFUNCTION("""COMPUTED_VALUE"""),0.464641173389209)</f>
        <v>0.4646411734</v>
      </c>
      <c r="I176" s="8">
        <f>IFERROR(__xludf.DUMMYFUNCTION("""COMPUTED_VALUE"""),0.448004201680672)</f>
        <v>0.4480042017</v>
      </c>
      <c r="J176" s="8">
        <f>IFERROR(__xludf.DUMMYFUNCTION("""COMPUTED_VALUE"""),0.433526011560693)</f>
        <v>0.4335260116</v>
      </c>
      <c r="K176" s="8">
        <f>IFERROR(__xludf.DUMMYFUNCTION("""COMPUTED_VALUE"""),0.408324552160168)</f>
        <v>0.4083245522</v>
      </c>
      <c r="L176" s="8">
        <f>IFERROR(__xludf.DUMMYFUNCTION("""COMPUTED_VALUE"""),0.3690036900369)</f>
        <v>0.36900369</v>
      </c>
      <c r="M176" s="8">
        <f>IFERROR(__xludf.DUMMYFUNCTION("""COMPUTED_VALUE"""),0.340537691091196)</f>
        <v>0.3405376911</v>
      </c>
      <c r="N176" s="8">
        <f>IFERROR(__xludf.DUMMYFUNCTION("""COMPUTED_VALUE"""),0.303637322087506)</f>
        <v>0.3036373221</v>
      </c>
      <c r="O176" s="8">
        <f>IFERROR(__xludf.DUMMYFUNCTION("""COMPUTED_VALUE"""),0.255610290093048)</f>
        <v>0.2556102901</v>
      </c>
      <c r="P176" s="8">
        <f>IFERROR(__xludf.DUMMYFUNCTION("""COMPUTED_VALUE"""),0.151891252955082)</f>
        <v>0.151891253</v>
      </c>
      <c r="Q176" s="8">
        <f>IFERROR(__xludf.DUMMYFUNCTION("""COMPUTED_VALUE"""),0.0943113772455089)</f>
        <v>0.09431137725</v>
      </c>
      <c r="R176" s="8">
        <f>IFERROR(__xludf.DUMMYFUNCTION("""COMPUTED_VALUE"""),0.0574374079528718)</f>
        <v>0.05743740795</v>
      </c>
      <c r="S176" s="8">
        <f>IFERROR(__xludf.DUMMYFUNCTION("""COMPUTED_VALUE"""),0.0)</f>
        <v>0</v>
      </c>
      <c r="T176" s="8">
        <f>IFERROR(__xludf.DUMMYFUNCTION("""COMPUTED_VALUE"""),0.0)</f>
        <v>0</v>
      </c>
      <c r="U176" s="8">
        <f>IFERROR(__xludf.DUMMYFUNCTION("""COMPUTED_VALUE"""),0.0)</f>
        <v>0</v>
      </c>
      <c r="V176" s="8">
        <f>IFERROR(__xludf.DUMMYFUNCTION("""COMPUTED_VALUE"""),0.0)</f>
        <v>0</v>
      </c>
      <c r="W176" s="8">
        <f>IFERROR(__xludf.DUMMYFUNCTION("""COMPUTED_VALUE"""),0.0)</f>
        <v>0</v>
      </c>
      <c r="X176" s="8">
        <f>IFERROR(__xludf.DUMMYFUNCTION("""COMPUTED_VALUE"""),0.0)</f>
        <v>0</v>
      </c>
      <c r="Y176" s="8">
        <f>IFERROR(__xludf.DUMMYFUNCTION("""COMPUTED_VALUE"""),0.0)</f>
        <v>0</v>
      </c>
      <c r="Z176" s="8">
        <f>IFERROR(__xludf.DUMMYFUNCTION("""COMPUTED_VALUE"""),0.0)</f>
        <v>0</v>
      </c>
      <c r="AA176" s="8">
        <f>IFERROR(__xludf.DUMMYFUNCTION("""COMPUTED_VALUE"""),0.0)</f>
        <v>0</v>
      </c>
      <c r="AB176" s="8">
        <f>IFERROR(__xludf.DUMMYFUNCTION("""COMPUTED_VALUE"""),0.0)</f>
        <v>0</v>
      </c>
      <c r="AC176" s="8">
        <f>IFERROR(__xludf.DUMMYFUNCTION("""COMPUTED_VALUE"""),0.0)</f>
        <v>0</v>
      </c>
    </row>
    <row r="177" ht="15.75" customHeight="1">
      <c r="A177" s="6" t="str">
        <f>IFERROR(__xludf.DUMMYFUNCTION("""COMPUTED_VALUE"""),"a0f8c5bd5bdb02bdaa499febc39e36611127769b")</f>
        <v>a0f8c5bd5bdb02bdaa499febc39e36611127769b</v>
      </c>
      <c r="B177" s="6" t="str">
        <f>IFERROR(__xludf.DUMMYFUNCTION("""COMPUTED_VALUE"""),"The Wedding He Stole")</f>
        <v>The Wedding He Stole</v>
      </c>
      <c r="C177" s="6" t="str">
        <f>IFERROR(__xludf.DUMMYFUNCTION("""COMPUTED_VALUE"""),"Romance")</f>
        <v>Romance</v>
      </c>
      <c r="D177" s="11">
        <f>IFERROR(__xludf.DUMMYFUNCTION("""COMPUTED_VALUE"""),1282.0)</f>
        <v>1282</v>
      </c>
      <c r="E177" s="8">
        <f>IFERROR(__xludf.DUMMYFUNCTION("""COMPUTED_VALUE"""),0.959438377535101)</f>
        <v>0.9594383775</v>
      </c>
      <c r="F177" s="8">
        <f>IFERROR(__xludf.DUMMYFUNCTION("""COMPUTED_VALUE"""),0.6078125)</f>
        <v>0.6078125</v>
      </c>
      <c r="G177" s="8">
        <f>IFERROR(__xludf.DUMMYFUNCTION("""COMPUTED_VALUE"""),0.575449569976544)</f>
        <v>0.57544957</v>
      </c>
      <c r="H177" s="8">
        <f>IFERROR(__xludf.DUMMYFUNCTION("""COMPUTED_VALUE"""),0.550588235294117)</f>
        <v>0.5505882353</v>
      </c>
      <c r="I177" s="8">
        <f>IFERROR(__xludf.DUMMYFUNCTION("""COMPUTED_VALUE"""),0.512175962293794)</f>
        <v>0.5121759623</v>
      </c>
      <c r="J177" s="8">
        <f>IFERROR(__xludf.DUMMYFUNCTION("""COMPUTED_VALUE"""),0.439811172305271)</f>
        <v>0.4398111723</v>
      </c>
      <c r="K177" s="8">
        <f>IFERROR(__xludf.DUMMYFUNCTION("""COMPUTED_VALUE"""),0.390858944050433)</f>
        <v>0.3908589441</v>
      </c>
      <c r="L177" s="8">
        <f>IFERROR(__xludf.DUMMYFUNCTION("""COMPUTED_VALUE"""),0.372626582278481)</f>
        <v>0.3726265823</v>
      </c>
      <c r="M177" s="8">
        <f>IFERROR(__xludf.DUMMYFUNCTION("""COMPUTED_VALUE"""),0.317928286852589)</f>
        <v>0.3179282869</v>
      </c>
      <c r="N177" s="8">
        <f>IFERROR(__xludf.DUMMYFUNCTION("""COMPUTED_VALUE"""),0.293130990415335)</f>
        <v>0.2931309904</v>
      </c>
      <c r="O177" s="8">
        <f>IFERROR(__xludf.DUMMYFUNCTION("""COMPUTED_VALUE"""),0.210806023029229)</f>
        <v>0.210806023</v>
      </c>
      <c r="P177" s="8">
        <f>IFERROR(__xludf.DUMMYFUNCTION("""COMPUTED_VALUE"""),0.104693140794223)</f>
        <v>0.1046931408</v>
      </c>
      <c r="Q177" s="8">
        <f>IFERROR(__xludf.DUMMYFUNCTION("""COMPUTED_VALUE"""),0.0)</f>
        <v>0</v>
      </c>
      <c r="R177" s="8">
        <f>IFERROR(__xludf.DUMMYFUNCTION("""COMPUTED_VALUE"""),0.0)</f>
        <v>0</v>
      </c>
      <c r="S177" s="8">
        <f>IFERROR(__xludf.DUMMYFUNCTION("""COMPUTED_VALUE"""),0.0)</f>
        <v>0</v>
      </c>
      <c r="T177" s="8">
        <f>IFERROR(__xludf.DUMMYFUNCTION("""COMPUTED_VALUE"""),0.0)</f>
        <v>0</v>
      </c>
      <c r="U177" s="8">
        <f>IFERROR(__xludf.DUMMYFUNCTION("""COMPUTED_VALUE"""),0.0)</f>
        <v>0</v>
      </c>
      <c r="V177" s="8">
        <f>IFERROR(__xludf.DUMMYFUNCTION("""COMPUTED_VALUE"""),0.0)</f>
        <v>0</v>
      </c>
      <c r="W177" s="8">
        <f>IFERROR(__xludf.DUMMYFUNCTION("""COMPUTED_VALUE"""),0.0)</f>
        <v>0</v>
      </c>
      <c r="X177" s="8">
        <f>IFERROR(__xludf.DUMMYFUNCTION("""COMPUTED_VALUE"""),0.0)</f>
        <v>0</v>
      </c>
      <c r="Y177" s="8">
        <f>IFERROR(__xludf.DUMMYFUNCTION("""COMPUTED_VALUE"""),0.0)</f>
        <v>0</v>
      </c>
      <c r="Z177" s="8">
        <f>IFERROR(__xludf.DUMMYFUNCTION("""COMPUTED_VALUE"""),0.0)</f>
        <v>0</v>
      </c>
      <c r="AA177" s="8">
        <f>IFERROR(__xludf.DUMMYFUNCTION("""COMPUTED_VALUE"""),0.0)</f>
        <v>0</v>
      </c>
      <c r="AB177" s="8">
        <f>IFERROR(__xludf.DUMMYFUNCTION("""COMPUTED_VALUE"""),0.0)</f>
        <v>0</v>
      </c>
      <c r="AC177" s="8">
        <f>IFERROR(__xludf.DUMMYFUNCTION("""COMPUTED_VALUE"""),0.0)</f>
        <v>0</v>
      </c>
    </row>
    <row r="178" ht="15.75" customHeight="1">
      <c r="A178" s="6" t="str">
        <f>IFERROR(__xludf.DUMMYFUNCTION("""COMPUTED_VALUE"""),"a20d15b2c087672afecf4c46baa7e9368a4cbb9f")</f>
        <v>a20d15b2c087672afecf4c46baa7e9368a4cbb9f</v>
      </c>
      <c r="B178" s="6" t="str">
        <f>IFERROR(__xludf.DUMMYFUNCTION("""COMPUTED_VALUE"""),"Secrets and Bloodline")</f>
        <v>Secrets and Bloodline</v>
      </c>
      <c r="C178" s="6" t="str">
        <f>IFERROR(__xludf.DUMMYFUNCTION("""COMPUTED_VALUE"""),"Romance")</f>
        <v>Romance</v>
      </c>
      <c r="D178" s="11">
        <f>IFERROR(__xludf.DUMMYFUNCTION("""COMPUTED_VALUE"""),246.0)</f>
        <v>246</v>
      </c>
      <c r="E178" s="8">
        <f>IFERROR(__xludf.DUMMYFUNCTION("""COMPUTED_VALUE"""),0.929460580912863)</f>
        <v>0.9294605809</v>
      </c>
      <c r="F178" s="8">
        <f>IFERROR(__xludf.DUMMYFUNCTION("""COMPUTED_VALUE"""),0.504310344827586)</f>
        <v>0.5043103448</v>
      </c>
      <c r="G178" s="8">
        <f>IFERROR(__xludf.DUMMYFUNCTION("""COMPUTED_VALUE"""),0.466367713004484)</f>
        <v>0.466367713</v>
      </c>
      <c r="H178" s="8">
        <f>IFERROR(__xludf.DUMMYFUNCTION("""COMPUTED_VALUE"""),0.4)</f>
        <v>0.4</v>
      </c>
      <c r="I178" s="8">
        <f>IFERROR(__xludf.DUMMYFUNCTION("""COMPUTED_VALUE"""),0.391304347826087)</f>
        <v>0.3913043478</v>
      </c>
      <c r="J178" s="8">
        <f>IFERROR(__xludf.DUMMYFUNCTION("""COMPUTED_VALUE"""),0.333333333333333)</f>
        <v>0.3333333333</v>
      </c>
      <c r="K178" s="8">
        <f>IFERROR(__xludf.DUMMYFUNCTION("""COMPUTED_VALUE"""),0.313829787234042)</f>
        <v>0.3138297872</v>
      </c>
      <c r="L178" s="8">
        <f>IFERROR(__xludf.DUMMYFUNCTION("""COMPUTED_VALUE"""),0.294797687861271)</f>
        <v>0.2947976879</v>
      </c>
      <c r="M178" s="8">
        <f>IFERROR(__xludf.DUMMYFUNCTION("""COMPUTED_VALUE"""),0.319277108433734)</f>
        <v>0.3192771084</v>
      </c>
      <c r="N178" s="8">
        <f>IFERROR(__xludf.DUMMYFUNCTION("""COMPUTED_VALUE"""),0.31055900621118)</f>
        <v>0.3105590062</v>
      </c>
      <c r="O178" s="8">
        <f>IFERROR(__xludf.DUMMYFUNCTION("""COMPUTED_VALUE"""),0.301587301587301)</f>
        <v>0.3015873016</v>
      </c>
      <c r="P178" s="8">
        <f>IFERROR(__xludf.DUMMYFUNCTION("""COMPUTED_VALUE"""),0.235772357723577)</f>
        <v>0.2357723577</v>
      </c>
      <c r="Q178" s="8">
        <f>IFERROR(__xludf.DUMMYFUNCTION("""COMPUTED_VALUE"""),0.137931034482758)</f>
        <v>0.1379310345</v>
      </c>
      <c r="R178" s="8">
        <f>IFERROR(__xludf.DUMMYFUNCTION("""COMPUTED_VALUE"""),0.0)</f>
        <v>0</v>
      </c>
      <c r="S178" s="8">
        <f>IFERROR(__xludf.DUMMYFUNCTION("""COMPUTED_VALUE"""),0.0)</f>
        <v>0</v>
      </c>
      <c r="T178" s="8">
        <f>IFERROR(__xludf.DUMMYFUNCTION("""COMPUTED_VALUE"""),0.0)</f>
        <v>0</v>
      </c>
      <c r="U178" s="8">
        <f>IFERROR(__xludf.DUMMYFUNCTION("""COMPUTED_VALUE"""),0.0)</f>
        <v>0</v>
      </c>
      <c r="V178" s="8">
        <f>IFERROR(__xludf.DUMMYFUNCTION("""COMPUTED_VALUE"""),0.0)</f>
        <v>0</v>
      </c>
      <c r="W178" s="8">
        <f>IFERROR(__xludf.DUMMYFUNCTION("""COMPUTED_VALUE"""),0.0)</f>
        <v>0</v>
      </c>
      <c r="X178" s="8">
        <f>IFERROR(__xludf.DUMMYFUNCTION("""COMPUTED_VALUE"""),0.0)</f>
        <v>0</v>
      </c>
      <c r="Y178" s="8">
        <f>IFERROR(__xludf.DUMMYFUNCTION("""COMPUTED_VALUE"""),0.0)</f>
        <v>0</v>
      </c>
      <c r="Z178" s="8">
        <f>IFERROR(__xludf.DUMMYFUNCTION("""COMPUTED_VALUE"""),0.0)</f>
        <v>0</v>
      </c>
      <c r="AA178" s="8">
        <f>IFERROR(__xludf.DUMMYFUNCTION("""COMPUTED_VALUE"""),0.0)</f>
        <v>0</v>
      </c>
      <c r="AB178" s="8">
        <f>IFERROR(__xludf.DUMMYFUNCTION("""COMPUTED_VALUE"""),0.0)</f>
        <v>0</v>
      </c>
      <c r="AC178" s="8">
        <f>IFERROR(__xludf.DUMMYFUNCTION("""COMPUTED_VALUE"""),0.0)</f>
        <v>0</v>
      </c>
    </row>
    <row r="179" ht="15.75" customHeight="1">
      <c r="A179" s="6" t="str">
        <f>IFERROR(__xludf.DUMMYFUNCTION("""COMPUTED_VALUE"""),"a3d40a3745a853e245e802a317e3934318836a28")</f>
        <v>a3d40a3745a853e245e802a317e3934318836a28</v>
      </c>
      <c r="B179" s="6" t="str">
        <f>IFERROR(__xludf.DUMMYFUNCTION("""COMPUTED_VALUE"""),"The Amazing Idiot Man")</f>
        <v>The Amazing Idiot Man</v>
      </c>
      <c r="C179" s="6" t="str">
        <f>IFERROR(__xludf.DUMMYFUNCTION("""COMPUTED_VALUE"""),"Drama")</f>
        <v>Drama</v>
      </c>
      <c r="D179" s="11">
        <f>IFERROR(__xludf.DUMMYFUNCTION("""COMPUTED_VALUE"""),1656.0)</f>
        <v>1656</v>
      </c>
      <c r="E179" s="8">
        <f>IFERROR(__xludf.DUMMYFUNCTION("""COMPUTED_VALUE"""),0.966183574879227)</f>
        <v>0.9661835749</v>
      </c>
      <c r="F179" s="8">
        <f>IFERROR(__xludf.DUMMYFUNCTION("""COMPUTED_VALUE"""),0.445251058681185)</f>
        <v>0.4452510587</v>
      </c>
      <c r="G179" s="8">
        <f>IFERROR(__xludf.DUMMYFUNCTION("""COMPUTED_VALUE"""),0.388384754990925)</f>
        <v>0.388384755</v>
      </c>
      <c r="H179" s="8">
        <f>IFERROR(__xludf.DUMMYFUNCTION("""COMPUTED_VALUE"""),0.35411622276029)</f>
        <v>0.3541162228</v>
      </c>
      <c r="I179" s="8">
        <f>IFERROR(__xludf.DUMMYFUNCTION("""COMPUTED_VALUE"""),0.329497274379164)</f>
        <v>0.3294972744</v>
      </c>
      <c r="J179" s="8">
        <f>IFERROR(__xludf.DUMMYFUNCTION("""COMPUTED_VALUE"""),0.305033353547604)</f>
        <v>0.3050333535</v>
      </c>
      <c r="K179" s="8">
        <f>IFERROR(__xludf.DUMMYFUNCTION("""COMPUTED_VALUE"""),0.285800970873786)</f>
        <v>0.2858009709</v>
      </c>
      <c r="L179" s="8">
        <f>IFERROR(__xludf.DUMMYFUNCTION("""COMPUTED_VALUE"""),0.271844660194174)</f>
        <v>0.2718446602</v>
      </c>
      <c r="M179" s="8">
        <f>IFERROR(__xludf.DUMMYFUNCTION("""COMPUTED_VALUE"""),0.265938069216757)</f>
        <v>0.2659380692</v>
      </c>
      <c r="N179" s="8">
        <f>IFERROR(__xludf.DUMMYFUNCTION("""COMPUTED_VALUE"""),0.248780487804878)</f>
        <v>0.2487804878</v>
      </c>
      <c r="O179" s="8">
        <f>IFERROR(__xludf.DUMMYFUNCTION("""COMPUTED_VALUE"""),0.208743842364532)</f>
        <v>0.2087438424</v>
      </c>
      <c r="P179" s="8">
        <f>IFERROR(__xludf.DUMMYFUNCTION("""COMPUTED_VALUE"""),0.156077348066298)</f>
        <v>0.1560773481</v>
      </c>
      <c r="Q179" s="8">
        <f>IFERROR(__xludf.DUMMYFUNCTION("""COMPUTED_VALUE"""),0.0)</f>
        <v>0</v>
      </c>
      <c r="R179" s="8">
        <f>IFERROR(__xludf.DUMMYFUNCTION("""COMPUTED_VALUE"""),0.0)</f>
        <v>0</v>
      </c>
      <c r="S179" s="8">
        <f>IFERROR(__xludf.DUMMYFUNCTION("""COMPUTED_VALUE"""),0.0)</f>
        <v>0</v>
      </c>
      <c r="T179" s="8">
        <f>IFERROR(__xludf.DUMMYFUNCTION("""COMPUTED_VALUE"""),0.0)</f>
        <v>0</v>
      </c>
      <c r="U179" s="8">
        <f>IFERROR(__xludf.DUMMYFUNCTION("""COMPUTED_VALUE"""),0.0)</f>
        <v>0</v>
      </c>
      <c r="V179" s="8">
        <f>IFERROR(__xludf.DUMMYFUNCTION("""COMPUTED_VALUE"""),0.0)</f>
        <v>0</v>
      </c>
      <c r="W179" s="8">
        <f>IFERROR(__xludf.DUMMYFUNCTION("""COMPUTED_VALUE"""),0.0)</f>
        <v>0</v>
      </c>
      <c r="X179" s="8">
        <f>IFERROR(__xludf.DUMMYFUNCTION("""COMPUTED_VALUE"""),0.0)</f>
        <v>0</v>
      </c>
      <c r="Y179" s="8">
        <f>IFERROR(__xludf.DUMMYFUNCTION("""COMPUTED_VALUE"""),0.0)</f>
        <v>0</v>
      </c>
      <c r="Z179" s="8">
        <f>IFERROR(__xludf.DUMMYFUNCTION("""COMPUTED_VALUE"""),0.0)</f>
        <v>0</v>
      </c>
      <c r="AA179" s="8">
        <f>IFERROR(__xludf.DUMMYFUNCTION("""COMPUTED_VALUE"""),0.0)</f>
        <v>0</v>
      </c>
      <c r="AB179" s="8">
        <f>IFERROR(__xludf.DUMMYFUNCTION("""COMPUTED_VALUE"""),0.0)</f>
        <v>0</v>
      </c>
      <c r="AC179" s="8">
        <f>IFERROR(__xludf.DUMMYFUNCTION("""COMPUTED_VALUE"""),0.0)</f>
        <v>0</v>
      </c>
    </row>
    <row r="180" ht="15.75" customHeight="1">
      <c r="A180" s="6" t="str">
        <f>IFERROR(__xludf.DUMMYFUNCTION("""COMPUTED_VALUE"""),"a48f5e77f994307c8a39968302f28c62b0c654af")</f>
        <v>a48f5e77f994307c8a39968302f28c62b0c654af</v>
      </c>
      <c r="B180" s="6" t="str">
        <f>IFERROR(__xludf.DUMMYFUNCTION("""COMPUTED_VALUE"""),"Battle Master")</f>
        <v>Battle Master</v>
      </c>
      <c r="C180" s="6" t="str">
        <f>IFERROR(__xludf.DUMMYFUNCTION("""COMPUTED_VALUE"""),"Fantasy")</f>
        <v>Fantasy</v>
      </c>
      <c r="D180" s="11">
        <f>IFERROR(__xludf.DUMMYFUNCTION("""COMPUTED_VALUE"""),837.0)</f>
        <v>837</v>
      </c>
      <c r="E180" s="8">
        <f>IFERROR(__xludf.DUMMYFUNCTION("""COMPUTED_VALUE"""),0.984126984126984)</f>
        <v>0.9841269841</v>
      </c>
      <c r="F180" s="8">
        <f>IFERROR(__xludf.DUMMYFUNCTION("""COMPUTED_VALUE"""),0.612055641421947)</f>
        <v>0.6120556414</v>
      </c>
      <c r="G180" s="8">
        <f>IFERROR(__xludf.DUMMYFUNCTION("""COMPUTED_VALUE"""),0.579158316633266)</f>
        <v>0.5791583166</v>
      </c>
      <c r="H180" s="8">
        <f>IFERROR(__xludf.DUMMYFUNCTION("""COMPUTED_VALUE"""),0.5)</f>
        <v>0.5</v>
      </c>
      <c r="I180" s="8">
        <f>IFERROR(__xludf.DUMMYFUNCTION("""COMPUTED_VALUE"""),0.457831325301204)</f>
        <v>0.4578313253</v>
      </c>
      <c r="J180" s="8">
        <f>IFERROR(__xludf.DUMMYFUNCTION("""COMPUTED_VALUE"""),0.429906542056074)</f>
        <v>0.4299065421</v>
      </c>
      <c r="K180" s="8">
        <f>IFERROR(__xludf.DUMMYFUNCTION("""COMPUTED_VALUE"""),0.376623376623376)</f>
        <v>0.3766233766</v>
      </c>
      <c r="L180" s="8">
        <f>IFERROR(__xludf.DUMMYFUNCTION("""COMPUTED_VALUE"""),0.346938775510204)</f>
        <v>0.3469387755</v>
      </c>
      <c r="M180" s="8">
        <f>IFERROR(__xludf.DUMMYFUNCTION("""COMPUTED_VALUE"""),0.390243902439024)</f>
        <v>0.3902439024</v>
      </c>
      <c r="N180" s="8">
        <f>IFERROR(__xludf.DUMMYFUNCTION("""COMPUTED_VALUE"""),0.341463414634146)</f>
        <v>0.3414634146</v>
      </c>
      <c r="O180" s="8">
        <f>IFERROR(__xludf.DUMMYFUNCTION("""COMPUTED_VALUE"""),0.333333333333333)</f>
        <v>0.3333333333</v>
      </c>
      <c r="P180" s="8">
        <f>IFERROR(__xludf.DUMMYFUNCTION("""COMPUTED_VALUE"""),0.0)</f>
        <v>0</v>
      </c>
      <c r="Q180" s="8">
        <f>IFERROR(__xludf.DUMMYFUNCTION("""COMPUTED_VALUE"""),0.0)</f>
        <v>0</v>
      </c>
      <c r="R180" s="8">
        <f>IFERROR(__xludf.DUMMYFUNCTION("""COMPUTED_VALUE"""),0.0)</f>
        <v>0</v>
      </c>
      <c r="S180" s="8">
        <f>IFERROR(__xludf.DUMMYFUNCTION("""COMPUTED_VALUE"""),0.0)</f>
        <v>0</v>
      </c>
      <c r="T180" s="8">
        <f>IFERROR(__xludf.DUMMYFUNCTION("""COMPUTED_VALUE"""),0.0)</f>
        <v>0</v>
      </c>
      <c r="U180" s="8">
        <f>IFERROR(__xludf.DUMMYFUNCTION("""COMPUTED_VALUE"""),0.0)</f>
        <v>0</v>
      </c>
      <c r="V180" s="8">
        <f>IFERROR(__xludf.DUMMYFUNCTION("""COMPUTED_VALUE"""),0.0)</f>
        <v>0</v>
      </c>
      <c r="W180" s="8">
        <f>IFERROR(__xludf.DUMMYFUNCTION("""COMPUTED_VALUE"""),0.0)</f>
        <v>0</v>
      </c>
      <c r="X180" s="8">
        <f>IFERROR(__xludf.DUMMYFUNCTION("""COMPUTED_VALUE"""),0.0)</f>
        <v>0</v>
      </c>
      <c r="Y180" s="8">
        <f>IFERROR(__xludf.DUMMYFUNCTION("""COMPUTED_VALUE"""),0.0)</f>
        <v>0</v>
      </c>
      <c r="Z180" s="8">
        <f>IFERROR(__xludf.DUMMYFUNCTION("""COMPUTED_VALUE"""),0.0)</f>
        <v>0</v>
      </c>
      <c r="AA180" s="8">
        <f>IFERROR(__xludf.DUMMYFUNCTION("""COMPUTED_VALUE"""),0.0)</f>
        <v>0</v>
      </c>
      <c r="AB180" s="8">
        <f>IFERROR(__xludf.DUMMYFUNCTION("""COMPUTED_VALUE"""),0.0)</f>
        <v>0</v>
      </c>
      <c r="AC180" s="8">
        <f>IFERROR(__xludf.DUMMYFUNCTION("""COMPUTED_VALUE"""),0.0)</f>
        <v>0</v>
      </c>
    </row>
    <row r="181" ht="15.75" customHeight="1">
      <c r="A181" s="6" t="str">
        <f>IFERROR(__xludf.DUMMYFUNCTION("""COMPUTED_VALUE"""),"a4dd4053a025d38e2c0410dbcf348862c41c4c5b")</f>
        <v>a4dd4053a025d38e2c0410dbcf348862c41c4c5b</v>
      </c>
      <c r="B181" s="6" t="str">
        <f>IFERROR(__xludf.DUMMYFUNCTION("""COMPUTED_VALUE"""),"Twin Betrayal, Enemy Love")</f>
        <v>Twin Betrayal, Enemy Love</v>
      </c>
      <c r="C181" s="6" t="str">
        <f>IFERROR(__xludf.DUMMYFUNCTION("""COMPUTED_VALUE"""),"Romance")</f>
        <v>Romance</v>
      </c>
      <c r="D181" s="11">
        <f>IFERROR(__xludf.DUMMYFUNCTION("""COMPUTED_VALUE"""),2656.0)</f>
        <v>2656</v>
      </c>
      <c r="E181" s="8">
        <f>IFERROR(__xludf.DUMMYFUNCTION("""COMPUTED_VALUE"""),0.948795180722891)</f>
        <v>0.9487951807</v>
      </c>
      <c r="F181" s="8">
        <f>IFERROR(__xludf.DUMMYFUNCTION("""COMPUTED_VALUE"""),0.47608286252354)</f>
        <v>0.4760828625</v>
      </c>
      <c r="G181" s="8">
        <f>IFERROR(__xludf.DUMMYFUNCTION("""COMPUTED_VALUE"""),0.411609498680738)</f>
        <v>0.4116094987</v>
      </c>
      <c r="H181" s="8">
        <f>IFERROR(__xludf.DUMMYFUNCTION("""COMPUTED_VALUE"""),0.38763197586727)</f>
        <v>0.3876319759</v>
      </c>
      <c r="I181" s="8">
        <f>IFERROR(__xludf.DUMMYFUNCTION("""COMPUTED_VALUE"""),0.374763883641858)</f>
        <v>0.3747638836</v>
      </c>
      <c r="J181" s="8">
        <f>IFERROR(__xludf.DUMMYFUNCTION("""COMPUTED_VALUE"""),0.342553997726411)</f>
        <v>0.3425539977</v>
      </c>
      <c r="K181" s="8">
        <f>IFERROR(__xludf.DUMMYFUNCTION("""COMPUTED_VALUE"""),0.320197044334975)</f>
        <v>0.3201970443</v>
      </c>
      <c r="L181" s="8">
        <f>IFERROR(__xludf.DUMMYFUNCTION("""COMPUTED_VALUE"""),0.303191489361702)</f>
        <v>0.3031914894</v>
      </c>
      <c r="M181" s="8">
        <f>IFERROR(__xludf.DUMMYFUNCTION("""COMPUTED_VALUE"""),0.283542379323451)</f>
        <v>0.2835423793</v>
      </c>
      <c r="N181" s="8">
        <f>IFERROR(__xludf.DUMMYFUNCTION("""COMPUTED_VALUE"""),0.258836944127708)</f>
        <v>0.2588369441</v>
      </c>
      <c r="O181" s="8">
        <f>IFERROR(__xludf.DUMMYFUNCTION("""COMPUTED_VALUE"""),0.23284502698535)</f>
        <v>0.232845027</v>
      </c>
      <c r="P181" s="8">
        <f>IFERROR(__xludf.DUMMYFUNCTION("""COMPUTED_VALUE"""),0.200081499592502)</f>
        <v>0.2000814996</v>
      </c>
      <c r="Q181" s="8">
        <f>IFERROR(__xludf.DUMMYFUNCTION("""COMPUTED_VALUE"""),0.157801418439716)</f>
        <v>0.1578014184</v>
      </c>
      <c r="R181" s="8">
        <f>IFERROR(__xludf.DUMMYFUNCTION("""COMPUTED_VALUE"""),0.0932203389830508)</f>
        <v>0.09322033898</v>
      </c>
      <c r="S181" s="8">
        <f>IFERROR(__xludf.DUMMYFUNCTION("""COMPUTED_VALUE"""),0.0550774526678141)</f>
        <v>0.05507745267</v>
      </c>
      <c r="T181" s="8">
        <f>IFERROR(__xludf.DUMMYFUNCTION("""COMPUTED_VALUE"""),0.0)</f>
        <v>0</v>
      </c>
      <c r="U181" s="8">
        <f>IFERROR(__xludf.DUMMYFUNCTION("""COMPUTED_VALUE"""),0.0)</f>
        <v>0</v>
      </c>
      <c r="V181" s="8">
        <f>IFERROR(__xludf.DUMMYFUNCTION("""COMPUTED_VALUE"""),0.0)</f>
        <v>0</v>
      </c>
      <c r="W181" s="8">
        <f>IFERROR(__xludf.DUMMYFUNCTION("""COMPUTED_VALUE"""),0.0)</f>
        <v>0</v>
      </c>
      <c r="X181" s="8">
        <f>IFERROR(__xludf.DUMMYFUNCTION("""COMPUTED_VALUE"""),0.0)</f>
        <v>0</v>
      </c>
      <c r="Y181" s="8">
        <f>IFERROR(__xludf.DUMMYFUNCTION("""COMPUTED_VALUE"""),0.0)</f>
        <v>0</v>
      </c>
      <c r="Z181" s="8">
        <f>IFERROR(__xludf.DUMMYFUNCTION("""COMPUTED_VALUE"""),0.0)</f>
        <v>0</v>
      </c>
      <c r="AA181" s="8">
        <f>IFERROR(__xludf.DUMMYFUNCTION("""COMPUTED_VALUE"""),0.0)</f>
        <v>0</v>
      </c>
      <c r="AB181" s="8">
        <f>IFERROR(__xludf.DUMMYFUNCTION("""COMPUTED_VALUE"""),0.0)</f>
        <v>0</v>
      </c>
      <c r="AC181" s="8">
        <f>IFERROR(__xludf.DUMMYFUNCTION("""COMPUTED_VALUE"""),0.0)</f>
        <v>0</v>
      </c>
    </row>
    <row r="182" ht="15.75" customHeight="1">
      <c r="A182" s="6" t="str">
        <f>IFERROR(__xludf.DUMMYFUNCTION("""COMPUTED_VALUE"""),"a58a0944241952550b248f5ed8bc3d2647482fe5")</f>
        <v>a58a0944241952550b248f5ed8bc3d2647482fe5</v>
      </c>
      <c r="B182" s="6" t="str">
        <f>IFERROR(__xludf.DUMMYFUNCTION("""COMPUTED_VALUE"""),"Miraculous Eyes")</f>
        <v>Miraculous Eyes</v>
      </c>
      <c r="C182" s="6" t="str">
        <f>IFERROR(__xludf.DUMMYFUNCTION("""COMPUTED_VALUE"""),"Drama")</f>
        <v>Drama</v>
      </c>
      <c r="D182" s="11">
        <f>IFERROR(__xludf.DUMMYFUNCTION("""COMPUTED_VALUE"""),1889.0)</f>
        <v>1889</v>
      </c>
      <c r="E182" s="8">
        <f>IFERROR(__xludf.DUMMYFUNCTION("""COMPUTED_VALUE"""),0.96929592376919)</f>
        <v>0.9692959238</v>
      </c>
      <c r="F182" s="8">
        <f>IFERROR(__xludf.DUMMYFUNCTION("""COMPUTED_VALUE"""),0.494703389830508)</f>
        <v>0.4947033898</v>
      </c>
      <c r="G182" s="8">
        <f>IFERROR(__xludf.DUMMYFUNCTION("""COMPUTED_VALUE"""),0.432962374138844)</f>
        <v>0.4329623741</v>
      </c>
      <c r="H182" s="8">
        <f>IFERROR(__xludf.DUMMYFUNCTION("""COMPUTED_VALUE"""),0.397136797454931)</f>
        <v>0.3971367975</v>
      </c>
      <c r="I182" s="8">
        <f>IFERROR(__xludf.DUMMYFUNCTION("""COMPUTED_VALUE"""),0.365374402549123)</f>
        <v>0.3653744025</v>
      </c>
      <c r="J182" s="8">
        <f>IFERROR(__xludf.DUMMYFUNCTION("""COMPUTED_VALUE"""),0.329080276448697)</f>
        <v>0.3290802764</v>
      </c>
      <c r="K182" s="8">
        <f>IFERROR(__xludf.DUMMYFUNCTION("""COMPUTED_VALUE"""),0.299627461415646)</f>
        <v>0.2996274614</v>
      </c>
      <c r="L182" s="8">
        <f>IFERROR(__xludf.DUMMYFUNCTION("""COMPUTED_VALUE"""),0.284648187633262)</f>
        <v>0.2846481876</v>
      </c>
      <c r="M182" s="8">
        <f>IFERROR(__xludf.DUMMYFUNCTION("""COMPUTED_VALUE"""),0.266666666666666)</f>
        <v>0.2666666667</v>
      </c>
      <c r="N182" s="8">
        <f>IFERROR(__xludf.DUMMYFUNCTION("""COMPUTED_VALUE"""),0.254002134471718)</f>
        <v>0.2540021345</v>
      </c>
      <c r="O182" s="8">
        <f>IFERROR(__xludf.DUMMYFUNCTION("""COMPUTED_VALUE"""),0.204922418405564)</f>
        <v>0.2049224184</v>
      </c>
      <c r="P182" s="8">
        <f>IFERROR(__xludf.DUMMYFUNCTION("""COMPUTED_VALUE"""),0.121781115879828)</f>
        <v>0.1217811159</v>
      </c>
      <c r="Q182" s="8">
        <f>IFERROR(__xludf.DUMMYFUNCTION("""COMPUTED_VALUE"""),0.0172413793103448)</f>
        <v>0.01724137931</v>
      </c>
      <c r="R182" s="8">
        <f>IFERROR(__xludf.DUMMYFUNCTION("""COMPUTED_VALUE"""),0.0)</f>
        <v>0</v>
      </c>
      <c r="S182" s="8">
        <f>IFERROR(__xludf.DUMMYFUNCTION("""COMPUTED_VALUE"""),0.0)</f>
        <v>0</v>
      </c>
      <c r="T182" s="8">
        <f>IFERROR(__xludf.DUMMYFUNCTION("""COMPUTED_VALUE"""),0.0)</f>
        <v>0</v>
      </c>
      <c r="U182" s="8">
        <f>IFERROR(__xludf.DUMMYFUNCTION("""COMPUTED_VALUE"""),0.0)</f>
        <v>0</v>
      </c>
      <c r="V182" s="8">
        <f>IFERROR(__xludf.DUMMYFUNCTION("""COMPUTED_VALUE"""),0.0)</f>
        <v>0</v>
      </c>
      <c r="W182" s="8">
        <f>IFERROR(__xludf.DUMMYFUNCTION("""COMPUTED_VALUE"""),0.0)</f>
        <v>0</v>
      </c>
      <c r="X182" s="8">
        <f>IFERROR(__xludf.DUMMYFUNCTION("""COMPUTED_VALUE"""),0.0)</f>
        <v>0</v>
      </c>
      <c r="Y182" s="8">
        <f>IFERROR(__xludf.DUMMYFUNCTION("""COMPUTED_VALUE"""),0.0)</f>
        <v>0</v>
      </c>
      <c r="Z182" s="8">
        <f>IFERROR(__xludf.DUMMYFUNCTION("""COMPUTED_VALUE"""),0.0)</f>
        <v>0</v>
      </c>
      <c r="AA182" s="8">
        <f>IFERROR(__xludf.DUMMYFUNCTION("""COMPUTED_VALUE"""),0.0)</f>
        <v>0</v>
      </c>
      <c r="AB182" s="8">
        <f>IFERROR(__xludf.DUMMYFUNCTION("""COMPUTED_VALUE"""),0.0)</f>
        <v>0</v>
      </c>
      <c r="AC182" s="8">
        <f>IFERROR(__xludf.DUMMYFUNCTION("""COMPUTED_VALUE"""),0.0)</f>
        <v>0</v>
      </c>
    </row>
    <row r="183" ht="15.75" customHeight="1">
      <c r="A183" s="6" t="str">
        <f>IFERROR(__xludf.DUMMYFUNCTION("""COMPUTED_VALUE"""),"a6268ee1800866a09bab6b47c61f885556992b45")</f>
        <v>a6268ee1800866a09bab6b47c61f885556992b45</v>
      </c>
      <c r="B183" s="6" t="str">
        <f>IFERROR(__xludf.DUMMYFUNCTION("""COMPUTED_VALUE"""),"The System Creation: Intergalactic Entry")</f>
        <v>The System Creation: Intergalactic Entry</v>
      </c>
      <c r="C183" s="6" t="str">
        <f>IFERROR(__xludf.DUMMYFUNCTION("""COMPUTED_VALUE"""),"System and Superpower")</f>
        <v>System and Superpower</v>
      </c>
      <c r="D183" s="11">
        <f>IFERROR(__xludf.DUMMYFUNCTION("""COMPUTED_VALUE"""),33756.0)</f>
        <v>33756</v>
      </c>
      <c r="E183" s="8">
        <f>IFERROR(__xludf.DUMMYFUNCTION("""COMPUTED_VALUE"""),0.911265432098765)</f>
        <v>0.9112654321</v>
      </c>
      <c r="F183" s="8">
        <f>IFERROR(__xludf.DUMMYFUNCTION("""COMPUTED_VALUE"""),0.413367073533789)</f>
        <v>0.4133670735</v>
      </c>
      <c r="G183" s="8">
        <f>IFERROR(__xludf.DUMMYFUNCTION("""COMPUTED_VALUE"""),0.350388059701492)</f>
        <v>0.3503880597</v>
      </c>
      <c r="H183" s="8">
        <f>IFERROR(__xludf.DUMMYFUNCTION("""COMPUTED_VALUE"""),0.310423141286158)</f>
        <v>0.3104231413</v>
      </c>
      <c r="I183" s="8">
        <f>IFERROR(__xludf.DUMMYFUNCTION("""COMPUTED_VALUE"""),0.292071948044174)</f>
        <v>0.292071948</v>
      </c>
      <c r="J183" s="8">
        <f>IFERROR(__xludf.DUMMYFUNCTION("""COMPUTED_VALUE"""),0.273487368515688)</f>
        <v>0.2734873685</v>
      </c>
      <c r="K183" s="8">
        <f>IFERROR(__xludf.DUMMYFUNCTION("""COMPUTED_VALUE"""),0.262162729973888)</f>
        <v>0.26216273</v>
      </c>
      <c r="L183" s="8">
        <f>IFERROR(__xludf.DUMMYFUNCTION("""COMPUTED_VALUE"""),0.252506397711877)</f>
        <v>0.2525063977</v>
      </c>
      <c r="M183" s="8">
        <f>IFERROR(__xludf.DUMMYFUNCTION("""COMPUTED_VALUE"""),0.239414957780458)</f>
        <v>0.2394149578</v>
      </c>
      <c r="N183" s="8">
        <f>IFERROR(__xludf.DUMMYFUNCTION("""COMPUTED_VALUE"""),0.228755403730463)</f>
        <v>0.2287554037</v>
      </c>
      <c r="O183" s="8">
        <f>IFERROR(__xludf.DUMMYFUNCTION("""COMPUTED_VALUE"""),0.209319413403545)</f>
        <v>0.2093194134</v>
      </c>
      <c r="P183" s="8">
        <f>IFERROR(__xludf.DUMMYFUNCTION("""COMPUTED_VALUE"""),0.171605168343893)</f>
        <v>0.1716051683</v>
      </c>
      <c r="Q183" s="8">
        <f>IFERROR(__xludf.DUMMYFUNCTION("""COMPUTED_VALUE"""),0.131462520541018)</f>
        <v>0.1314625205</v>
      </c>
      <c r="R183" s="8">
        <f>IFERROR(__xludf.DUMMYFUNCTION("""COMPUTED_VALUE"""),0.113445780059305)</f>
        <v>0.1134457801</v>
      </c>
      <c r="S183" s="8">
        <f>IFERROR(__xludf.DUMMYFUNCTION("""COMPUTED_VALUE"""),0.100574620397419)</f>
        <v>0.1005746204</v>
      </c>
      <c r="T183" s="8">
        <f>IFERROR(__xludf.DUMMYFUNCTION("""COMPUTED_VALUE"""),0.0905268605064846)</f>
        <v>0.09052686051</v>
      </c>
      <c r="U183" s="8">
        <f>IFERROR(__xludf.DUMMYFUNCTION("""COMPUTED_VALUE"""),0.0846540142177003)</f>
        <v>0.08465401422</v>
      </c>
      <c r="V183" s="8">
        <f>IFERROR(__xludf.DUMMYFUNCTION("""COMPUTED_VALUE"""),0.0778401812986501)</f>
        <v>0.0778401813</v>
      </c>
      <c r="W183" s="8">
        <f>IFERROR(__xludf.DUMMYFUNCTION("""COMPUTED_VALUE"""),0.0711446740858505)</f>
        <v>0.07114467409</v>
      </c>
      <c r="X183" s="8">
        <f>IFERROR(__xludf.DUMMYFUNCTION("""COMPUTED_VALUE"""),0.0651760387118304)</f>
        <v>0.06517603871</v>
      </c>
      <c r="Y183" s="8">
        <f>IFERROR(__xludf.DUMMYFUNCTION("""COMPUTED_VALUE"""),0.0535550752774826)</f>
        <v>0.05355507528</v>
      </c>
      <c r="Z183" s="8">
        <f>IFERROR(__xludf.DUMMYFUNCTION("""COMPUTED_VALUE"""),0.0481239804241435)</f>
        <v>0.04812398042</v>
      </c>
      <c r="AA183" s="8">
        <f>IFERROR(__xludf.DUMMYFUNCTION("""COMPUTED_VALUE"""),0.0449744300530516)</f>
        <v>0.04497443005</v>
      </c>
      <c r="AB183" s="8">
        <f>IFERROR(__xludf.DUMMYFUNCTION("""COMPUTED_VALUE"""),0.0360833571224664)</f>
        <v>0.03608335712</v>
      </c>
      <c r="AC183" s="8">
        <f>IFERROR(__xludf.DUMMYFUNCTION("""COMPUTED_VALUE"""),0.0302008898476472)</f>
        <v>0.03020088985</v>
      </c>
    </row>
    <row r="184" ht="15.75" customHeight="1">
      <c r="A184" s="6" t="str">
        <f>IFERROR(__xludf.DUMMYFUNCTION("""COMPUTED_VALUE"""),"a6f94887cb30090252bc97e34a7a53c7a6555b8d")</f>
        <v>a6f94887cb30090252bc97e34a7a53c7a6555b8d</v>
      </c>
      <c r="B184" s="6" t="str">
        <f>IFERROR(__xludf.DUMMYFUNCTION("""COMPUTED_VALUE"""),"A Surrogate Bride for a Paralyzed Ceo")</f>
        <v>A Surrogate Bride for a Paralyzed Ceo</v>
      </c>
      <c r="C184" s="6" t="str">
        <f>IFERROR(__xludf.DUMMYFUNCTION("""COMPUTED_VALUE"""),"Drama")</f>
        <v>Drama</v>
      </c>
      <c r="D184" s="11">
        <f>IFERROR(__xludf.DUMMYFUNCTION("""COMPUTED_VALUE"""),24956.0)</f>
        <v>24956</v>
      </c>
      <c r="E184" s="8">
        <f>IFERROR(__xludf.DUMMYFUNCTION("""COMPUTED_VALUE"""),0.840643040410519)</f>
        <v>0.8406430404</v>
      </c>
      <c r="F184" s="8">
        <f>IFERROR(__xludf.DUMMYFUNCTION("""COMPUTED_VALUE"""),0.484961501443695)</f>
        <v>0.4849615014</v>
      </c>
      <c r="G184" s="8">
        <f>IFERROR(__xludf.DUMMYFUNCTION("""COMPUTED_VALUE"""),0.433782807608957)</f>
        <v>0.4337828076</v>
      </c>
      <c r="H184" s="8">
        <f>IFERROR(__xludf.DUMMYFUNCTION("""COMPUTED_VALUE"""),0.401357266192828)</f>
        <v>0.4013572662</v>
      </c>
      <c r="I184" s="8">
        <f>IFERROR(__xludf.DUMMYFUNCTION("""COMPUTED_VALUE"""),0.385109887902286)</f>
        <v>0.3851098879</v>
      </c>
      <c r="J184" s="8">
        <f>IFERROR(__xludf.DUMMYFUNCTION("""COMPUTED_VALUE"""),0.367027048752059)</f>
        <v>0.3670270488</v>
      </c>
      <c r="K184" s="8">
        <f>IFERROR(__xludf.DUMMYFUNCTION("""COMPUTED_VALUE"""),0.352044714302947)</f>
        <v>0.3520447143</v>
      </c>
      <c r="L184" s="8">
        <f>IFERROR(__xludf.DUMMYFUNCTION("""COMPUTED_VALUE"""),0.334379400523033)</f>
        <v>0.3343794005</v>
      </c>
      <c r="M184" s="8">
        <f>IFERROR(__xludf.DUMMYFUNCTION("""COMPUTED_VALUE"""),0.320829140672167)</f>
        <v>0.3208291407</v>
      </c>
      <c r="N184" s="8">
        <f>IFERROR(__xludf.DUMMYFUNCTION("""COMPUTED_VALUE"""),0.309872765340634)</f>
        <v>0.3098727653</v>
      </c>
      <c r="O184" s="8">
        <f>IFERROR(__xludf.DUMMYFUNCTION("""COMPUTED_VALUE"""),0.277793470804245)</f>
        <v>0.2777934708</v>
      </c>
      <c r="P184" s="8">
        <f>IFERROR(__xludf.DUMMYFUNCTION("""COMPUTED_VALUE"""),0.250030353312558)</f>
        <v>0.2500303533</v>
      </c>
      <c r="Q184" s="8">
        <f>IFERROR(__xludf.DUMMYFUNCTION("""COMPUTED_VALUE"""),0.206324014161885)</f>
        <v>0.2063240142</v>
      </c>
      <c r="R184" s="8">
        <f>IFERROR(__xludf.DUMMYFUNCTION("""COMPUTED_VALUE"""),0.175551020408163)</f>
        <v>0.1755510204</v>
      </c>
      <c r="S184" s="8">
        <f>IFERROR(__xludf.DUMMYFUNCTION("""COMPUTED_VALUE"""),0.152098259979529)</f>
        <v>0.15209826</v>
      </c>
      <c r="T184" s="8">
        <f>IFERROR(__xludf.DUMMYFUNCTION("""COMPUTED_VALUE"""),0.130935251798561)</f>
        <v>0.1309352518</v>
      </c>
      <c r="U184" s="8">
        <f>IFERROR(__xludf.DUMMYFUNCTION("""COMPUTED_VALUE"""),0.118438984100763)</f>
        <v>0.1184389841</v>
      </c>
      <c r="V184" s="8">
        <f>IFERROR(__xludf.DUMMYFUNCTION("""COMPUTED_VALUE"""),0.104091456077015)</f>
        <v>0.1040914561</v>
      </c>
      <c r="W184" s="8">
        <f>IFERROR(__xludf.DUMMYFUNCTION("""COMPUTED_VALUE"""),0.0965660068390887)</f>
        <v>0.09656600684</v>
      </c>
      <c r="X184" s="8">
        <f>IFERROR(__xludf.DUMMYFUNCTION("""COMPUTED_VALUE"""),0.0934718864139101)</f>
        <v>0.09347188641</v>
      </c>
      <c r="Y184" s="8">
        <f>IFERROR(__xludf.DUMMYFUNCTION("""COMPUTED_VALUE"""),0.0663925586411431)</f>
        <v>0.06639255864</v>
      </c>
      <c r="Z184" s="8">
        <f>IFERROR(__xludf.DUMMYFUNCTION("""COMPUTED_VALUE"""),0.0527633995658707)</f>
        <v>0.05276339957</v>
      </c>
      <c r="AA184" s="8">
        <f>IFERROR(__xludf.DUMMYFUNCTION("""COMPUTED_VALUE"""),0.0417453533445979)</f>
        <v>0.04174535334</v>
      </c>
      <c r="AB184" s="8">
        <f>IFERROR(__xludf.DUMMYFUNCTION("""COMPUTED_VALUE"""),0.0297761109216956)</f>
        <v>0.02977611092</v>
      </c>
      <c r="AC184" s="8">
        <f>IFERROR(__xludf.DUMMYFUNCTION("""COMPUTED_VALUE"""),0.0167973124300112)</f>
        <v>0.01679731243</v>
      </c>
    </row>
    <row r="185" ht="15.75" customHeight="1">
      <c r="A185" s="6" t="str">
        <f>IFERROR(__xludf.DUMMYFUNCTION("""COMPUTED_VALUE"""),"a830c3a71510f0594792edb43a5e99b9da02d7e7")</f>
        <v>a830c3a71510f0594792edb43a5e99b9da02d7e7</v>
      </c>
      <c r="B185" s="6" t="str">
        <f>IFERROR(__xludf.DUMMYFUNCTION("""COMPUTED_VALUE"""),"Married to a Dying Prince")</f>
        <v>Married to a Dying Prince</v>
      </c>
      <c r="C185" s="6" t="str">
        <f>IFERROR(__xludf.DUMMYFUNCTION("""COMPUTED_VALUE"""),"Romantasy")</f>
        <v>Romantasy</v>
      </c>
      <c r="D185" s="11">
        <f>IFERROR(__xludf.DUMMYFUNCTION("""COMPUTED_VALUE"""),1136.0)</f>
        <v>1136</v>
      </c>
      <c r="E185" s="8">
        <f>IFERROR(__xludf.DUMMYFUNCTION("""COMPUTED_VALUE"""),0.959507042253521)</f>
        <v>0.9595070423</v>
      </c>
      <c r="F185" s="8">
        <f>IFERROR(__xludf.DUMMYFUNCTION("""COMPUTED_VALUE"""),0.492957746478873)</f>
        <v>0.4929577465</v>
      </c>
      <c r="G185" s="8">
        <f>IFERROR(__xludf.DUMMYFUNCTION("""COMPUTED_VALUE"""),0.444739168877099)</f>
        <v>0.4447391689</v>
      </c>
      <c r="H185" s="8">
        <f>IFERROR(__xludf.DUMMYFUNCTION("""COMPUTED_VALUE"""),0.384070796460177)</f>
        <v>0.3840707965</v>
      </c>
      <c r="I185" s="8">
        <f>IFERROR(__xludf.DUMMYFUNCTION("""COMPUTED_VALUE"""),0.379555555555555)</f>
        <v>0.3795555556</v>
      </c>
      <c r="J185" s="8">
        <f>IFERROR(__xludf.DUMMYFUNCTION("""COMPUTED_VALUE"""),0.368092691622103)</f>
        <v>0.3680926916</v>
      </c>
      <c r="K185" s="8">
        <f>IFERROR(__xludf.DUMMYFUNCTION("""COMPUTED_VALUE"""),0.35414808206958)</f>
        <v>0.3541480821</v>
      </c>
      <c r="L185" s="8">
        <f>IFERROR(__xludf.DUMMYFUNCTION("""COMPUTED_VALUE"""),0.350940017905102)</f>
        <v>0.3509400179</v>
      </c>
      <c r="M185" s="8">
        <f>IFERROR(__xludf.DUMMYFUNCTION("""COMPUTED_VALUE"""),0.339910313901345)</f>
        <v>0.3399103139</v>
      </c>
      <c r="N185" s="8">
        <f>IFERROR(__xludf.DUMMYFUNCTION("""COMPUTED_VALUE"""),0.331826401446654)</f>
        <v>0.3318264014</v>
      </c>
      <c r="O185" s="8">
        <f>IFERROR(__xludf.DUMMYFUNCTION("""COMPUTED_VALUE"""),0.303339517625231)</f>
        <v>0.3033395176</v>
      </c>
      <c r="P185" s="8">
        <f>IFERROR(__xludf.DUMMYFUNCTION("""COMPUTED_VALUE"""),0.241747572815533)</f>
        <v>0.2417475728</v>
      </c>
      <c r="Q185" s="8">
        <f>IFERROR(__xludf.DUMMYFUNCTION("""COMPUTED_VALUE"""),0.224662162162162)</f>
        <v>0.2246621622</v>
      </c>
      <c r="R185" s="8">
        <f>IFERROR(__xludf.DUMMYFUNCTION("""COMPUTED_VALUE"""),0.111111111111111)</f>
        <v>0.1111111111</v>
      </c>
      <c r="S185" s="8">
        <f>IFERROR(__xludf.DUMMYFUNCTION("""COMPUTED_VALUE"""),0.0)</f>
        <v>0</v>
      </c>
      <c r="T185" s="8">
        <f>IFERROR(__xludf.DUMMYFUNCTION("""COMPUTED_VALUE"""),0.0)</f>
        <v>0</v>
      </c>
      <c r="U185" s="8">
        <f>IFERROR(__xludf.DUMMYFUNCTION("""COMPUTED_VALUE"""),0.0)</f>
        <v>0</v>
      </c>
      <c r="V185" s="8">
        <f>IFERROR(__xludf.DUMMYFUNCTION("""COMPUTED_VALUE"""),0.0)</f>
        <v>0</v>
      </c>
      <c r="W185" s="8">
        <f>IFERROR(__xludf.DUMMYFUNCTION("""COMPUTED_VALUE"""),0.0)</f>
        <v>0</v>
      </c>
      <c r="X185" s="8">
        <f>IFERROR(__xludf.DUMMYFUNCTION("""COMPUTED_VALUE"""),0.0)</f>
        <v>0</v>
      </c>
      <c r="Y185" s="8">
        <f>IFERROR(__xludf.DUMMYFUNCTION("""COMPUTED_VALUE"""),0.0)</f>
        <v>0</v>
      </c>
      <c r="Z185" s="8">
        <f>IFERROR(__xludf.DUMMYFUNCTION("""COMPUTED_VALUE"""),0.0)</f>
        <v>0</v>
      </c>
      <c r="AA185" s="8">
        <f>IFERROR(__xludf.DUMMYFUNCTION("""COMPUTED_VALUE"""),0.0)</f>
        <v>0</v>
      </c>
      <c r="AB185" s="8">
        <f>IFERROR(__xludf.DUMMYFUNCTION("""COMPUTED_VALUE"""),0.0)</f>
        <v>0</v>
      </c>
      <c r="AC185" s="8">
        <f>IFERROR(__xludf.DUMMYFUNCTION("""COMPUTED_VALUE"""),0.0)</f>
        <v>0</v>
      </c>
    </row>
    <row r="186" ht="15.75" customHeight="1">
      <c r="A186" s="6" t="str">
        <f>IFERROR(__xludf.DUMMYFUNCTION("""COMPUTED_VALUE"""),"a877c7bd8a3facfb24f79b876674d1437dd52fb5")</f>
        <v>a877c7bd8a3facfb24f79b876674d1437dd52fb5</v>
      </c>
      <c r="B186" s="6" t="str">
        <f>IFERROR(__xludf.DUMMYFUNCTION("""COMPUTED_VALUE"""),"Dragon System Awakening")</f>
        <v>Dragon System Awakening</v>
      </c>
      <c r="C186" s="6" t="str">
        <f>IFERROR(__xludf.DUMMYFUNCTION("""COMPUTED_VALUE"""),"System and Superpower")</f>
        <v>System and Superpower</v>
      </c>
      <c r="D186" s="11">
        <f>IFERROR(__xludf.DUMMYFUNCTION("""COMPUTED_VALUE"""),60469.0)</f>
        <v>60469</v>
      </c>
      <c r="E186" s="8">
        <f>IFERROR(__xludf.DUMMYFUNCTION("""COMPUTED_VALUE"""),0.911720847002684)</f>
        <v>0.911720847</v>
      </c>
      <c r="F186" s="8">
        <f>IFERROR(__xludf.DUMMYFUNCTION("""COMPUTED_VALUE"""),0.553950383580751)</f>
        <v>0.5539503836</v>
      </c>
      <c r="G186" s="8">
        <f>IFERROR(__xludf.DUMMYFUNCTION("""COMPUTED_VALUE"""),0.499542619542619)</f>
        <v>0.4995426195</v>
      </c>
      <c r="H186" s="8">
        <f>IFERROR(__xludf.DUMMYFUNCTION("""COMPUTED_VALUE"""),0.46984962280804)</f>
        <v>0.4698496228</v>
      </c>
      <c r="I186" s="8">
        <f>IFERROR(__xludf.DUMMYFUNCTION("""COMPUTED_VALUE"""),0.441655812710817)</f>
        <v>0.4416558127</v>
      </c>
      <c r="J186" s="8">
        <f>IFERROR(__xludf.DUMMYFUNCTION("""COMPUTED_VALUE"""),0.424098481300595)</f>
        <v>0.4240984813</v>
      </c>
      <c r="K186" s="8">
        <f>IFERROR(__xludf.DUMMYFUNCTION("""COMPUTED_VALUE"""),0.408896636106129)</f>
        <v>0.4088966361</v>
      </c>
      <c r="L186" s="8">
        <f>IFERROR(__xludf.DUMMYFUNCTION("""COMPUTED_VALUE"""),0.394966882964058)</f>
        <v>0.394966883</v>
      </c>
      <c r="M186" s="8">
        <f>IFERROR(__xludf.DUMMYFUNCTION("""COMPUTED_VALUE"""),0.381149611071825)</f>
        <v>0.3811496111</v>
      </c>
      <c r="N186" s="8">
        <f>IFERROR(__xludf.DUMMYFUNCTION("""COMPUTED_VALUE"""),0.369990554581028)</f>
        <v>0.3699905546</v>
      </c>
      <c r="O186" s="8">
        <f>IFERROR(__xludf.DUMMYFUNCTION("""COMPUTED_VALUE"""),0.33223010782039)</f>
        <v>0.3322301078</v>
      </c>
      <c r="P186" s="8">
        <f>IFERROR(__xludf.DUMMYFUNCTION("""COMPUTED_VALUE"""),0.27592349197565)</f>
        <v>0.275923492</v>
      </c>
      <c r="Q186" s="8">
        <f>IFERROR(__xludf.DUMMYFUNCTION("""COMPUTED_VALUE"""),0.208875877799529)</f>
        <v>0.2088758778</v>
      </c>
      <c r="R186" s="8">
        <f>IFERROR(__xludf.DUMMYFUNCTION("""COMPUTED_VALUE"""),0.184388388240508)</f>
        <v>0.1843883882</v>
      </c>
      <c r="S186" s="8">
        <f>IFERROR(__xludf.DUMMYFUNCTION("""COMPUTED_VALUE"""),0.165483968238013)</f>
        <v>0.1654839682</v>
      </c>
      <c r="T186" s="8">
        <f>IFERROR(__xludf.DUMMYFUNCTION("""COMPUTED_VALUE"""),0.154013984543399)</f>
        <v>0.1540139845</v>
      </c>
      <c r="U186" s="8">
        <f>IFERROR(__xludf.DUMMYFUNCTION("""COMPUTED_VALUE"""),0.141401806086705)</f>
        <v>0.1414018061</v>
      </c>
      <c r="V186" s="8">
        <f>IFERROR(__xludf.DUMMYFUNCTION("""COMPUTED_VALUE"""),0.126169885084705)</f>
        <v>0.1261698851</v>
      </c>
      <c r="W186" s="8">
        <f>IFERROR(__xludf.DUMMYFUNCTION("""COMPUTED_VALUE"""),0.110593824228028)</f>
        <v>0.1105938242</v>
      </c>
      <c r="X186" s="8">
        <f>IFERROR(__xludf.DUMMYFUNCTION("""COMPUTED_VALUE"""),0.0999879314506396)</f>
        <v>0.09998793145</v>
      </c>
      <c r="Y186" s="8">
        <f>IFERROR(__xludf.DUMMYFUNCTION("""COMPUTED_VALUE"""),0.0666516550326503)</f>
        <v>0.06665165503</v>
      </c>
      <c r="Z186" s="8">
        <f>IFERROR(__xludf.DUMMYFUNCTION("""COMPUTED_VALUE"""),0.0)</f>
        <v>0</v>
      </c>
      <c r="AA186" s="8">
        <f>IFERROR(__xludf.DUMMYFUNCTION("""COMPUTED_VALUE"""),0.0)</f>
        <v>0</v>
      </c>
      <c r="AB186" s="8">
        <f>IFERROR(__xludf.DUMMYFUNCTION("""COMPUTED_VALUE"""),0.0)</f>
        <v>0</v>
      </c>
      <c r="AC186" s="8">
        <f>IFERROR(__xludf.DUMMYFUNCTION("""COMPUTED_VALUE"""),0.0)</f>
        <v>0</v>
      </c>
    </row>
    <row r="187" ht="15.75" customHeight="1">
      <c r="A187" s="6" t="str">
        <f>IFERROR(__xludf.DUMMYFUNCTION("""COMPUTED_VALUE"""),"a901618b218023453e7ca53e9fa1d9940b094e69")</f>
        <v>a901618b218023453e7ca53e9fa1d9940b094e69</v>
      </c>
      <c r="B187" s="6" t="str">
        <f>IFERROR(__xludf.DUMMYFUNCTION("""COMPUTED_VALUE"""),"The Devil's New Assistant")</f>
        <v>The Devil's New Assistant</v>
      </c>
      <c r="C187" s="6" t="str">
        <f>IFERROR(__xludf.DUMMYFUNCTION("""COMPUTED_VALUE"""),"Romance")</f>
        <v>Romance</v>
      </c>
      <c r="D187" s="11">
        <f>IFERROR(__xludf.DUMMYFUNCTION("""COMPUTED_VALUE"""),631.0)</f>
        <v>631</v>
      </c>
      <c r="E187" s="8">
        <f>IFERROR(__xludf.DUMMYFUNCTION("""COMPUTED_VALUE"""),0.944250871080139)</f>
        <v>0.9442508711</v>
      </c>
      <c r="F187" s="8">
        <f>IFERROR(__xludf.DUMMYFUNCTION("""COMPUTED_VALUE"""),0.385744234800838)</f>
        <v>0.3857442348</v>
      </c>
      <c r="G187" s="8">
        <f>IFERROR(__xludf.DUMMYFUNCTION("""COMPUTED_VALUE"""),0.335585585585585)</f>
        <v>0.3355855856</v>
      </c>
      <c r="H187" s="8">
        <f>IFERROR(__xludf.DUMMYFUNCTION("""COMPUTED_VALUE"""),0.311111111111111)</f>
        <v>0.3111111111</v>
      </c>
      <c r="I187" s="8">
        <f>IFERROR(__xludf.DUMMYFUNCTION("""COMPUTED_VALUE"""),0.307304785894206)</f>
        <v>0.3073047859</v>
      </c>
      <c r="J187" s="8">
        <f>IFERROR(__xludf.DUMMYFUNCTION("""COMPUTED_VALUE"""),0.299212598425196)</f>
        <v>0.2992125984</v>
      </c>
      <c r="K187" s="8">
        <f>IFERROR(__xludf.DUMMYFUNCTION("""COMPUTED_VALUE"""),0.28042328042328)</f>
        <v>0.2804232804</v>
      </c>
      <c r="L187" s="8">
        <f>IFERROR(__xludf.DUMMYFUNCTION("""COMPUTED_VALUE"""),0.28021978021978)</f>
        <v>0.2802197802</v>
      </c>
      <c r="M187" s="8">
        <f>IFERROR(__xludf.DUMMYFUNCTION("""COMPUTED_VALUE"""),0.260989010989011)</f>
        <v>0.260989011</v>
      </c>
      <c r="N187" s="8">
        <f>IFERROR(__xludf.DUMMYFUNCTION("""COMPUTED_VALUE"""),0.258333333333333)</f>
        <v>0.2583333333</v>
      </c>
      <c r="O187" s="8">
        <f>IFERROR(__xludf.DUMMYFUNCTION("""COMPUTED_VALUE"""),0.215094339622641)</f>
        <v>0.2150943396</v>
      </c>
      <c r="P187" s="8">
        <f>IFERROR(__xludf.DUMMYFUNCTION("""COMPUTED_VALUE"""),0.258064516129032)</f>
        <v>0.2580645161</v>
      </c>
      <c r="Q187" s="8">
        <f>IFERROR(__xludf.DUMMYFUNCTION("""COMPUTED_VALUE"""),0.0)</f>
        <v>0</v>
      </c>
      <c r="R187" s="8">
        <f>IFERROR(__xludf.DUMMYFUNCTION("""COMPUTED_VALUE"""),0.0)</f>
        <v>0</v>
      </c>
      <c r="S187" s="8">
        <f>IFERROR(__xludf.DUMMYFUNCTION("""COMPUTED_VALUE"""),0.0)</f>
        <v>0</v>
      </c>
      <c r="T187" s="8">
        <f>IFERROR(__xludf.DUMMYFUNCTION("""COMPUTED_VALUE"""),0.0)</f>
        <v>0</v>
      </c>
      <c r="U187" s="8">
        <f>IFERROR(__xludf.DUMMYFUNCTION("""COMPUTED_VALUE"""),0.0)</f>
        <v>0</v>
      </c>
      <c r="V187" s="8">
        <f>IFERROR(__xludf.DUMMYFUNCTION("""COMPUTED_VALUE"""),0.0)</f>
        <v>0</v>
      </c>
      <c r="W187" s="8">
        <f>IFERROR(__xludf.DUMMYFUNCTION("""COMPUTED_VALUE"""),0.0)</f>
        <v>0</v>
      </c>
      <c r="X187" s="8">
        <f>IFERROR(__xludf.DUMMYFUNCTION("""COMPUTED_VALUE"""),0.0)</f>
        <v>0</v>
      </c>
      <c r="Y187" s="8">
        <f>IFERROR(__xludf.DUMMYFUNCTION("""COMPUTED_VALUE"""),0.0)</f>
        <v>0</v>
      </c>
      <c r="Z187" s="8">
        <f>IFERROR(__xludf.DUMMYFUNCTION("""COMPUTED_VALUE"""),0.0)</f>
        <v>0</v>
      </c>
      <c r="AA187" s="8">
        <f>IFERROR(__xludf.DUMMYFUNCTION("""COMPUTED_VALUE"""),0.0)</f>
        <v>0</v>
      </c>
      <c r="AB187" s="8">
        <f>IFERROR(__xludf.DUMMYFUNCTION("""COMPUTED_VALUE"""),0.0)</f>
        <v>0</v>
      </c>
      <c r="AC187" s="8">
        <f>IFERROR(__xludf.DUMMYFUNCTION("""COMPUTED_VALUE"""),0.0)</f>
        <v>0</v>
      </c>
    </row>
    <row r="188" ht="15.75" customHeight="1">
      <c r="A188" s="6" t="str">
        <f>IFERROR(__xludf.DUMMYFUNCTION("""COMPUTED_VALUE"""),"a92aaf29dca1833b578f42a2abbcdab8db2ff12e")</f>
        <v>a92aaf29dca1833b578f42a2abbcdab8db2ff12e</v>
      </c>
      <c r="B188" s="6" t="str">
        <f>IFERROR(__xludf.DUMMYFUNCTION("""COMPUTED_VALUE"""),"Bought for the Ice Ceo")</f>
        <v>Bought for the Ice Ceo</v>
      </c>
      <c r="C188" s="6" t="str">
        <f>IFERROR(__xludf.DUMMYFUNCTION("""COMPUTED_VALUE"""),"Romance")</f>
        <v>Romance</v>
      </c>
      <c r="D188" s="11">
        <f>IFERROR(__xludf.DUMMYFUNCTION("""COMPUTED_VALUE"""),1270.0)</f>
        <v>1270</v>
      </c>
      <c r="E188" s="8">
        <f>IFERROR(__xludf.DUMMYFUNCTION("""COMPUTED_VALUE"""),0.959779179810725)</f>
        <v>0.9597791798</v>
      </c>
      <c r="F188" s="8">
        <f>IFERROR(__xludf.DUMMYFUNCTION("""COMPUTED_VALUE"""),0.650355169692186)</f>
        <v>0.6503551697</v>
      </c>
      <c r="G188" s="8">
        <f>IFERROR(__xludf.DUMMYFUNCTION("""COMPUTED_VALUE"""),0.595106550907655)</f>
        <v>0.5951065509</v>
      </c>
      <c r="H188" s="8">
        <f>IFERROR(__xludf.DUMMYFUNCTION("""COMPUTED_VALUE"""),0.539494470774091)</f>
        <v>0.5394944708</v>
      </c>
      <c r="I188" s="8">
        <f>IFERROR(__xludf.DUMMYFUNCTION("""COMPUTED_VALUE"""),0.50197628458498)</f>
        <v>0.5019762846</v>
      </c>
      <c r="J188" s="8">
        <f>IFERROR(__xludf.DUMMYFUNCTION("""COMPUTED_VALUE"""),0.473058637083993)</f>
        <v>0.4730586371</v>
      </c>
      <c r="K188" s="8">
        <f>IFERROR(__xludf.DUMMYFUNCTION("""COMPUTED_VALUE"""),0.451664025356576)</f>
        <v>0.4516640254</v>
      </c>
      <c r="L188" s="8">
        <f>IFERROR(__xludf.DUMMYFUNCTION("""COMPUTED_VALUE"""),0.429817605075337)</f>
        <v>0.4298176051</v>
      </c>
      <c r="M188" s="8">
        <f>IFERROR(__xludf.DUMMYFUNCTION("""COMPUTED_VALUE"""),0.42218675179569)</f>
        <v>0.4221867518</v>
      </c>
      <c r="N188" s="8">
        <f>IFERROR(__xludf.DUMMYFUNCTION("""COMPUTED_VALUE"""),0.398562300319488)</f>
        <v>0.3985623003</v>
      </c>
      <c r="O188" s="8">
        <f>IFERROR(__xludf.DUMMYFUNCTION("""COMPUTED_VALUE"""),0.343648208469055)</f>
        <v>0.3436482085</v>
      </c>
      <c r="P188" s="8">
        <f>IFERROR(__xludf.DUMMYFUNCTION("""COMPUTED_VALUE"""),0.20293609671848)</f>
        <v>0.2029360967</v>
      </c>
      <c r="Q188" s="8">
        <f>IFERROR(__xludf.DUMMYFUNCTION("""COMPUTED_VALUE"""),0.0849933598937583)</f>
        <v>0.08499335989</v>
      </c>
      <c r="R188" s="8">
        <f>IFERROR(__xludf.DUMMYFUNCTION("""COMPUTED_VALUE"""),0.0)</f>
        <v>0</v>
      </c>
      <c r="S188" s="8">
        <f>IFERROR(__xludf.DUMMYFUNCTION("""COMPUTED_VALUE"""),0.0)</f>
        <v>0</v>
      </c>
      <c r="T188" s="8">
        <f>IFERROR(__xludf.DUMMYFUNCTION("""COMPUTED_VALUE"""),0.0)</f>
        <v>0</v>
      </c>
      <c r="U188" s="8">
        <f>IFERROR(__xludf.DUMMYFUNCTION("""COMPUTED_VALUE"""),0.0)</f>
        <v>0</v>
      </c>
      <c r="V188" s="8">
        <f>IFERROR(__xludf.DUMMYFUNCTION("""COMPUTED_VALUE"""),0.0)</f>
        <v>0</v>
      </c>
      <c r="W188" s="8">
        <f>IFERROR(__xludf.DUMMYFUNCTION("""COMPUTED_VALUE"""),0.0)</f>
        <v>0</v>
      </c>
      <c r="X188" s="8">
        <f>IFERROR(__xludf.DUMMYFUNCTION("""COMPUTED_VALUE"""),0.0)</f>
        <v>0</v>
      </c>
      <c r="Y188" s="8">
        <f>IFERROR(__xludf.DUMMYFUNCTION("""COMPUTED_VALUE"""),0.0)</f>
        <v>0</v>
      </c>
      <c r="Z188" s="8">
        <f>IFERROR(__xludf.DUMMYFUNCTION("""COMPUTED_VALUE"""),0.0)</f>
        <v>0</v>
      </c>
      <c r="AA188" s="8">
        <f>IFERROR(__xludf.DUMMYFUNCTION("""COMPUTED_VALUE"""),0.0)</f>
        <v>0</v>
      </c>
      <c r="AB188" s="8">
        <f>IFERROR(__xludf.DUMMYFUNCTION("""COMPUTED_VALUE"""),0.0)</f>
        <v>0</v>
      </c>
      <c r="AC188" s="8">
        <f>IFERROR(__xludf.DUMMYFUNCTION("""COMPUTED_VALUE"""),0.0)</f>
        <v>0</v>
      </c>
    </row>
    <row r="189" ht="15.75" customHeight="1">
      <c r="A189" s="6" t="str">
        <f>IFERROR(__xludf.DUMMYFUNCTION("""COMPUTED_VALUE"""),"a978831eb87b7d63024465fa4df9a779feeaaf5a")</f>
        <v>a978831eb87b7d63024465fa4df9a779feeaaf5a</v>
      </c>
      <c r="B189" s="6" t="str">
        <f>IFERROR(__xludf.DUMMYFUNCTION("""COMPUTED_VALUE"""),"Extreme Medical Sage")</f>
        <v>Extreme Medical Sage</v>
      </c>
      <c r="C189" s="6" t="str">
        <f>IFERROR(__xludf.DUMMYFUNCTION("""COMPUTED_VALUE"""),"Fantasy")</f>
        <v>Fantasy</v>
      </c>
      <c r="D189" s="11">
        <f>IFERROR(__xludf.DUMMYFUNCTION("""COMPUTED_VALUE"""),1285.0)</f>
        <v>1285</v>
      </c>
      <c r="E189" s="8">
        <f>IFERROR(__xludf.DUMMYFUNCTION("""COMPUTED_VALUE"""),0.934799685781618)</f>
        <v>0.9347996858</v>
      </c>
      <c r="F189" s="8">
        <f>IFERROR(__xludf.DUMMYFUNCTION("""COMPUTED_VALUE"""),0.585483870967741)</f>
        <v>0.585483871</v>
      </c>
      <c r="G189" s="8">
        <f>IFERROR(__xludf.DUMMYFUNCTION("""COMPUTED_VALUE"""),0.513422818791946)</f>
        <v>0.5134228188</v>
      </c>
      <c r="H189" s="8">
        <f>IFERROR(__xludf.DUMMYFUNCTION("""COMPUTED_VALUE"""),0.487341772151898)</f>
        <v>0.4873417722</v>
      </c>
      <c r="I189" s="8">
        <f>IFERROR(__xludf.DUMMYFUNCTION("""COMPUTED_VALUE"""),0.455223880597014)</f>
        <v>0.4552238806</v>
      </c>
      <c r="J189" s="8">
        <f>IFERROR(__xludf.DUMMYFUNCTION("""COMPUTED_VALUE"""),0.434362934362934)</f>
        <v>0.4343629344</v>
      </c>
      <c r="K189" s="8">
        <f>IFERROR(__xludf.DUMMYFUNCTION("""COMPUTED_VALUE"""),0.397219463753723)</f>
        <v>0.3972194638</v>
      </c>
      <c r="L189" s="8">
        <f>IFERROR(__xludf.DUMMYFUNCTION("""COMPUTED_VALUE"""),0.371545547594677)</f>
        <v>0.3715455476</v>
      </c>
      <c r="M189" s="8">
        <f>IFERROR(__xludf.DUMMYFUNCTION("""COMPUTED_VALUE"""),0.351153039832285)</f>
        <v>0.3511530398</v>
      </c>
      <c r="N189" s="8">
        <f>IFERROR(__xludf.DUMMYFUNCTION("""COMPUTED_VALUE"""),0.34891304347826)</f>
        <v>0.3489130435</v>
      </c>
      <c r="O189" s="8">
        <f>IFERROR(__xludf.DUMMYFUNCTION("""COMPUTED_VALUE"""),0.288056206088992)</f>
        <v>0.2880562061</v>
      </c>
      <c r="P189" s="8">
        <f>IFERROR(__xludf.DUMMYFUNCTION("""COMPUTED_VALUE"""),0.202666666666666)</f>
        <v>0.2026666667</v>
      </c>
      <c r="Q189" s="8">
        <f>IFERROR(__xludf.DUMMYFUNCTION("""COMPUTED_VALUE"""),0.0888888888888888)</f>
        <v>0.08888888889</v>
      </c>
      <c r="R189" s="8">
        <f>IFERROR(__xludf.DUMMYFUNCTION("""COMPUTED_VALUE"""),0.0625)</f>
        <v>0.0625</v>
      </c>
      <c r="S189" s="8">
        <f>IFERROR(__xludf.DUMMYFUNCTION("""COMPUTED_VALUE"""),0.0481927710843373)</f>
        <v>0.04819277108</v>
      </c>
      <c r="T189" s="8">
        <f>IFERROR(__xludf.DUMMYFUNCTION("""COMPUTED_VALUE"""),0.04375)</f>
        <v>0.04375</v>
      </c>
      <c r="U189" s="8">
        <f>IFERROR(__xludf.DUMMYFUNCTION("""COMPUTED_VALUE"""),0.0402684563758389)</f>
        <v>0.04026845638</v>
      </c>
      <c r="V189" s="8">
        <f>IFERROR(__xludf.DUMMYFUNCTION("""COMPUTED_VALUE"""),0.0354609929078014)</f>
        <v>0.03546099291</v>
      </c>
      <c r="W189" s="8">
        <f>IFERROR(__xludf.DUMMYFUNCTION("""COMPUTED_VALUE"""),0.032)</f>
        <v>0.032</v>
      </c>
      <c r="X189" s="8">
        <f>IFERROR(__xludf.DUMMYFUNCTION("""COMPUTED_VALUE"""),0.0442477876106194)</f>
        <v>0.04424778761</v>
      </c>
      <c r="Y189" s="8">
        <f>IFERROR(__xludf.DUMMYFUNCTION("""COMPUTED_VALUE"""),0.0222222222222222)</f>
        <v>0.02222222222</v>
      </c>
      <c r="Z189" s="8">
        <f>IFERROR(__xludf.DUMMYFUNCTION("""COMPUTED_VALUE"""),0.0151515151515151)</f>
        <v>0.01515151515</v>
      </c>
      <c r="AA189" s="8">
        <f>IFERROR(__xludf.DUMMYFUNCTION("""COMPUTED_VALUE"""),0.0188679245283018)</f>
        <v>0.01886792453</v>
      </c>
      <c r="AB189" s="8">
        <f>IFERROR(__xludf.DUMMYFUNCTION("""COMPUTED_VALUE"""),0.0196078431372549)</f>
        <v>0.01960784314</v>
      </c>
      <c r="AC189" s="8">
        <f>IFERROR(__xludf.DUMMYFUNCTION("""COMPUTED_VALUE"""),0.02)</f>
        <v>0.02</v>
      </c>
    </row>
    <row r="190" ht="15.75" customHeight="1">
      <c r="A190" s="6" t="str">
        <f>IFERROR(__xludf.DUMMYFUNCTION("""COMPUTED_VALUE"""),"a9dd2d51d9347ce1a50ee64d1a38a6c33539ebc1")</f>
        <v>a9dd2d51d9347ce1a50ee64d1a38a6c33539ebc1</v>
      </c>
      <c r="B190" s="6" t="str">
        <f>IFERROR(__xludf.DUMMYFUNCTION("""COMPUTED_VALUE"""),"Billionaires Love Me")</f>
        <v>Billionaires Love Me</v>
      </c>
      <c r="C190" s="6" t="str">
        <f>IFERROR(__xludf.DUMMYFUNCTION("""COMPUTED_VALUE"""),"Romance")</f>
        <v>Romance</v>
      </c>
      <c r="D190" s="11">
        <f>IFERROR(__xludf.DUMMYFUNCTION("""COMPUTED_VALUE"""),1131.0)</f>
        <v>1131</v>
      </c>
      <c r="E190" s="8">
        <f>IFERROR(__xludf.DUMMYFUNCTION("""COMPUTED_VALUE"""),0.954706927175843)</f>
        <v>0.9547069272</v>
      </c>
      <c r="F190" s="8">
        <f>IFERROR(__xludf.DUMMYFUNCTION("""COMPUTED_VALUE"""),0.594788858939802)</f>
        <v>0.5947888589</v>
      </c>
      <c r="G190" s="8">
        <f>IFERROR(__xludf.DUMMYFUNCTION("""COMPUTED_VALUE"""),0.449056603773584)</f>
        <v>0.4490566038</v>
      </c>
      <c r="H190" s="8">
        <f>IFERROR(__xludf.DUMMYFUNCTION("""COMPUTED_VALUE"""),0.371398078975453)</f>
        <v>0.371398079</v>
      </c>
      <c r="I190" s="8">
        <f>IFERROR(__xludf.DUMMYFUNCTION("""COMPUTED_VALUE"""),0.336374002280501)</f>
        <v>0.3363740023</v>
      </c>
      <c r="J190" s="8">
        <f>IFERROR(__xludf.DUMMYFUNCTION("""COMPUTED_VALUE"""),0.322690992018244)</f>
        <v>0.322690992</v>
      </c>
      <c r="K190" s="8">
        <f>IFERROR(__xludf.DUMMYFUNCTION("""COMPUTED_VALUE"""),0.303306727480045)</f>
        <v>0.3033067275</v>
      </c>
      <c r="L190" s="8">
        <f>IFERROR(__xludf.DUMMYFUNCTION("""COMPUTED_VALUE"""),0.265678449258836)</f>
        <v>0.2656784493</v>
      </c>
      <c r="M190" s="8">
        <f>IFERROR(__xludf.DUMMYFUNCTION("""COMPUTED_VALUE"""),0.255594817432273)</f>
        <v>0.2555948174</v>
      </c>
      <c r="N190" s="8">
        <f>IFERROR(__xludf.DUMMYFUNCTION("""COMPUTED_VALUE"""),0.234393404004711)</f>
        <v>0.234393404</v>
      </c>
      <c r="O190" s="8">
        <f>IFERROR(__xludf.DUMMYFUNCTION("""COMPUTED_VALUE"""),0.228468899521531)</f>
        <v>0.2284688995</v>
      </c>
      <c r="P190" s="8">
        <f>IFERROR(__xludf.DUMMYFUNCTION("""COMPUTED_VALUE"""),0.13080684596577)</f>
        <v>0.130806846</v>
      </c>
      <c r="Q190" s="8">
        <f>IFERROR(__xludf.DUMMYFUNCTION("""COMPUTED_VALUE"""),0.0997340425531914)</f>
        <v>0.09973404255</v>
      </c>
      <c r="R190" s="8">
        <f>IFERROR(__xludf.DUMMYFUNCTION("""COMPUTED_VALUE"""),0.0933852140077821)</f>
        <v>0.09338521401</v>
      </c>
      <c r="S190" s="8">
        <f>IFERROR(__xludf.DUMMYFUNCTION("""COMPUTED_VALUE"""),0.0)</f>
        <v>0</v>
      </c>
      <c r="T190" s="8">
        <f>IFERROR(__xludf.DUMMYFUNCTION("""COMPUTED_VALUE"""),0.0)</f>
        <v>0</v>
      </c>
      <c r="U190" s="8">
        <f>IFERROR(__xludf.DUMMYFUNCTION("""COMPUTED_VALUE"""),0.0)</f>
        <v>0</v>
      </c>
      <c r="V190" s="8">
        <f>IFERROR(__xludf.DUMMYFUNCTION("""COMPUTED_VALUE"""),0.0)</f>
        <v>0</v>
      </c>
      <c r="W190" s="8">
        <f>IFERROR(__xludf.DUMMYFUNCTION("""COMPUTED_VALUE"""),0.0)</f>
        <v>0</v>
      </c>
      <c r="X190" s="8">
        <f>IFERROR(__xludf.DUMMYFUNCTION("""COMPUTED_VALUE"""),0.0)</f>
        <v>0</v>
      </c>
      <c r="Y190" s="8">
        <f>IFERROR(__xludf.DUMMYFUNCTION("""COMPUTED_VALUE"""),0.0)</f>
        <v>0</v>
      </c>
      <c r="Z190" s="8">
        <f>IFERROR(__xludf.DUMMYFUNCTION("""COMPUTED_VALUE"""),0.0)</f>
        <v>0</v>
      </c>
      <c r="AA190" s="8">
        <f>IFERROR(__xludf.DUMMYFUNCTION("""COMPUTED_VALUE"""),0.0)</f>
        <v>0</v>
      </c>
      <c r="AB190" s="8">
        <f>IFERROR(__xludf.DUMMYFUNCTION("""COMPUTED_VALUE"""),0.0)</f>
        <v>0</v>
      </c>
      <c r="AC190" s="8">
        <f>IFERROR(__xludf.DUMMYFUNCTION("""COMPUTED_VALUE"""),0.0)</f>
        <v>0</v>
      </c>
    </row>
    <row r="191" ht="15.75" customHeight="1">
      <c r="A191" s="6" t="str">
        <f>IFERROR(__xludf.DUMMYFUNCTION("""COMPUTED_VALUE"""),"aaa698f296d8b031a8ae9b94897fb07edda92f97")</f>
        <v>aaa698f296d8b031a8ae9b94897fb07edda92f97</v>
      </c>
      <c r="B191" s="6" t="str">
        <f>IFERROR(__xludf.DUMMYFUNCTION("""COMPUTED_VALUE"""),"A Heart Divided")</f>
        <v>A Heart Divided</v>
      </c>
      <c r="C191" s="6" t="str">
        <f>IFERROR(__xludf.DUMMYFUNCTION("""COMPUTED_VALUE"""),"Romance")</f>
        <v>Romance</v>
      </c>
      <c r="D191" s="11">
        <f>IFERROR(__xludf.DUMMYFUNCTION("""COMPUTED_VALUE"""),466.0)</f>
        <v>466</v>
      </c>
      <c r="E191" s="8">
        <f>IFERROR(__xludf.DUMMYFUNCTION("""COMPUTED_VALUE"""),0.901287553648068)</f>
        <v>0.9012875536</v>
      </c>
      <c r="F191" s="8">
        <f>IFERROR(__xludf.DUMMYFUNCTION("""COMPUTED_VALUE"""),0.620171673819742)</f>
        <v>0.6201716738</v>
      </c>
      <c r="G191" s="8">
        <f>IFERROR(__xludf.DUMMYFUNCTION("""COMPUTED_VALUE"""),0.580645161290322)</f>
        <v>0.5806451613</v>
      </c>
      <c r="H191" s="8">
        <f>IFERROR(__xludf.DUMMYFUNCTION("""COMPUTED_VALUE"""),0.525862068965517)</f>
        <v>0.525862069</v>
      </c>
      <c r="I191" s="8">
        <f>IFERROR(__xludf.DUMMYFUNCTION("""COMPUTED_VALUE"""),0.50755939524838)</f>
        <v>0.5075593952</v>
      </c>
      <c r="J191" s="8">
        <f>IFERROR(__xludf.DUMMYFUNCTION("""COMPUTED_VALUE"""),0.488120950323974)</f>
        <v>0.4881209503</v>
      </c>
      <c r="K191" s="8">
        <f>IFERROR(__xludf.DUMMYFUNCTION("""COMPUTED_VALUE"""),0.457883369330453)</f>
        <v>0.4578833693</v>
      </c>
      <c r="L191" s="8">
        <f>IFERROR(__xludf.DUMMYFUNCTION("""COMPUTED_VALUE"""),0.424242424242424)</f>
        <v>0.4242424242</v>
      </c>
      <c r="M191" s="8">
        <f>IFERROR(__xludf.DUMMYFUNCTION("""COMPUTED_VALUE"""),0.391774891774891)</f>
        <v>0.3917748918</v>
      </c>
      <c r="N191" s="8">
        <f>IFERROR(__xludf.DUMMYFUNCTION("""COMPUTED_VALUE"""),0.35064935064935)</f>
        <v>0.3506493506</v>
      </c>
      <c r="O191" s="8">
        <f>IFERROR(__xludf.DUMMYFUNCTION("""COMPUTED_VALUE"""),0.315217391304347)</f>
        <v>0.3152173913</v>
      </c>
      <c r="P191" s="8">
        <f>IFERROR(__xludf.DUMMYFUNCTION("""COMPUTED_VALUE"""),0.208333333333333)</f>
        <v>0.2083333333</v>
      </c>
      <c r="Q191" s="8">
        <f>IFERROR(__xludf.DUMMYFUNCTION("""COMPUTED_VALUE"""),0.1)</f>
        <v>0.1</v>
      </c>
      <c r="R191" s="8">
        <f>IFERROR(__xludf.DUMMYFUNCTION("""COMPUTED_VALUE"""),0.086859688195991)</f>
        <v>0.0868596882</v>
      </c>
      <c r="S191" s="8">
        <f>IFERROR(__xludf.DUMMYFUNCTION("""COMPUTED_VALUE"""),0.0)</f>
        <v>0</v>
      </c>
      <c r="T191" s="8">
        <f>IFERROR(__xludf.DUMMYFUNCTION("""COMPUTED_VALUE"""),0.0)</f>
        <v>0</v>
      </c>
      <c r="U191" s="8">
        <f>IFERROR(__xludf.DUMMYFUNCTION("""COMPUTED_VALUE"""),0.0)</f>
        <v>0</v>
      </c>
      <c r="V191" s="8">
        <f>IFERROR(__xludf.DUMMYFUNCTION("""COMPUTED_VALUE"""),0.0)</f>
        <v>0</v>
      </c>
      <c r="W191" s="8">
        <f>IFERROR(__xludf.DUMMYFUNCTION("""COMPUTED_VALUE"""),0.0)</f>
        <v>0</v>
      </c>
      <c r="X191" s="8">
        <f>IFERROR(__xludf.DUMMYFUNCTION("""COMPUTED_VALUE"""),0.0)</f>
        <v>0</v>
      </c>
      <c r="Y191" s="8">
        <f>IFERROR(__xludf.DUMMYFUNCTION("""COMPUTED_VALUE"""),0.0)</f>
        <v>0</v>
      </c>
      <c r="Z191" s="8">
        <f>IFERROR(__xludf.DUMMYFUNCTION("""COMPUTED_VALUE"""),0.0)</f>
        <v>0</v>
      </c>
      <c r="AA191" s="8">
        <f>IFERROR(__xludf.DUMMYFUNCTION("""COMPUTED_VALUE"""),0.0)</f>
        <v>0</v>
      </c>
      <c r="AB191" s="8">
        <f>IFERROR(__xludf.DUMMYFUNCTION("""COMPUTED_VALUE"""),0.0)</f>
        <v>0</v>
      </c>
      <c r="AC191" s="8">
        <f>IFERROR(__xludf.DUMMYFUNCTION("""COMPUTED_VALUE"""),0.0)</f>
        <v>0</v>
      </c>
    </row>
    <row r="192" ht="15.75" customHeight="1">
      <c r="A192" s="6" t="str">
        <f>IFERROR(__xludf.DUMMYFUNCTION("""COMPUTED_VALUE"""),"aab4996493c32f1ec5e010a7e9b25c3e280e1445")</f>
        <v>aab4996493c32f1ec5e010a7e9b25c3e280e1445</v>
      </c>
      <c r="B192" s="6" t="str">
        <f>IFERROR(__xludf.DUMMYFUNCTION("""COMPUTED_VALUE"""),"Love Forever")</f>
        <v>Love Forever</v>
      </c>
      <c r="C192" s="6" t="str">
        <f>IFERROR(__xludf.DUMMYFUNCTION("""COMPUTED_VALUE"""),"Romance")</f>
        <v>Romance</v>
      </c>
      <c r="D192" s="11">
        <f>IFERROR(__xludf.DUMMYFUNCTION("""COMPUTED_VALUE"""),253.0)</f>
        <v>253</v>
      </c>
      <c r="E192" s="8">
        <f>IFERROR(__xludf.DUMMYFUNCTION("""COMPUTED_VALUE"""),0.92094861660079)</f>
        <v>0.9209486166</v>
      </c>
      <c r="F192" s="8">
        <f>IFERROR(__xludf.DUMMYFUNCTION("""COMPUTED_VALUE"""),0.494071146245059)</f>
        <v>0.4940711462</v>
      </c>
      <c r="G192" s="8">
        <f>IFERROR(__xludf.DUMMYFUNCTION("""COMPUTED_VALUE"""),0.450592885375494)</f>
        <v>0.4505928854</v>
      </c>
      <c r="H192" s="8">
        <f>IFERROR(__xludf.DUMMYFUNCTION("""COMPUTED_VALUE"""),0.399209486166007)</f>
        <v>0.3992094862</v>
      </c>
      <c r="I192" s="8">
        <f>IFERROR(__xludf.DUMMYFUNCTION("""COMPUTED_VALUE"""),0.379446640316205)</f>
        <v>0.3794466403</v>
      </c>
      <c r="J192" s="8">
        <f>IFERROR(__xludf.DUMMYFUNCTION("""COMPUTED_VALUE"""),0.351778656126482)</f>
        <v>0.3517786561</v>
      </c>
      <c r="K192" s="8">
        <f>IFERROR(__xludf.DUMMYFUNCTION("""COMPUTED_VALUE"""),0.333333333333333)</f>
        <v>0.3333333333</v>
      </c>
      <c r="L192" s="8">
        <f>IFERROR(__xludf.DUMMYFUNCTION("""COMPUTED_VALUE"""),0.317460317460317)</f>
        <v>0.3174603175</v>
      </c>
      <c r="M192" s="8">
        <f>IFERROR(__xludf.DUMMYFUNCTION("""COMPUTED_VALUE"""),0.338645418326693)</f>
        <v>0.3386454183</v>
      </c>
      <c r="N192" s="8">
        <f>IFERROR(__xludf.DUMMYFUNCTION("""COMPUTED_VALUE"""),0.302788844621513)</f>
        <v>0.3027888446</v>
      </c>
      <c r="O192" s="8">
        <f>IFERROR(__xludf.DUMMYFUNCTION("""COMPUTED_VALUE"""),0.296)</f>
        <v>0.296</v>
      </c>
      <c r="P192" s="8">
        <f>IFERROR(__xludf.DUMMYFUNCTION("""COMPUTED_VALUE"""),0.164658634538152)</f>
        <v>0.1646586345</v>
      </c>
      <c r="Q192" s="8">
        <f>IFERROR(__xludf.DUMMYFUNCTION("""COMPUTED_VALUE"""),0.0693877551020408)</f>
        <v>0.0693877551</v>
      </c>
      <c r="R192" s="8">
        <f>IFERROR(__xludf.DUMMYFUNCTION("""COMPUTED_VALUE"""),0.0448979591836734)</f>
        <v>0.04489795918</v>
      </c>
      <c r="S192" s="8">
        <f>IFERROR(__xludf.DUMMYFUNCTION("""COMPUTED_VALUE"""),0.0)</f>
        <v>0</v>
      </c>
      <c r="T192" s="8">
        <f>IFERROR(__xludf.DUMMYFUNCTION("""COMPUTED_VALUE"""),0.0)</f>
        <v>0</v>
      </c>
      <c r="U192" s="8">
        <f>IFERROR(__xludf.DUMMYFUNCTION("""COMPUTED_VALUE"""),0.0)</f>
        <v>0</v>
      </c>
      <c r="V192" s="8">
        <f>IFERROR(__xludf.DUMMYFUNCTION("""COMPUTED_VALUE"""),0.0)</f>
        <v>0</v>
      </c>
      <c r="W192" s="8">
        <f>IFERROR(__xludf.DUMMYFUNCTION("""COMPUTED_VALUE"""),0.0)</f>
        <v>0</v>
      </c>
      <c r="X192" s="8">
        <f>IFERROR(__xludf.DUMMYFUNCTION("""COMPUTED_VALUE"""),0.0)</f>
        <v>0</v>
      </c>
      <c r="Y192" s="8">
        <f>IFERROR(__xludf.DUMMYFUNCTION("""COMPUTED_VALUE"""),0.0)</f>
        <v>0</v>
      </c>
      <c r="Z192" s="8">
        <f>IFERROR(__xludf.DUMMYFUNCTION("""COMPUTED_VALUE"""),0.0)</f>
        <v>0</v>
      </c>
      <c r="AA192" s="8">
        <f>IFERROR(__xludf.DUMMYFUNCTION("""COMPUTED_VALUE"""),0.0)</f>
        <v>0</v>
      </c>
      <c r="AB192" s="8">
        <f>IFERROR(__xludf.DUMMYFUNCTION("""COMPUTED_VALUE"""),0.0)</f>
        <v>0</v>
      </c>
      <c r="AC192" s="8">
        <f>IFERROR(__xludf.DUMMYFUNCTION("""COMPUTED_VALUE"""),0.0)</f>
        <v>0</v>
      </c>
    </row>
    <row r="193" ht="15.75" customHeight="1">
      <c r="A193" s="6" t="str">
        <f>IFERROR(__xludf.DUMMYFUNCTION("""COMPUTED_VALUE"""),"ab0abb1b032efe35c0bd9be9cb6f80f8738dc1c9")</f>
        <v>ab0abb1b032efe35c0bd9be9cb6f80f8738dc1c9</v>
      </c>
      <c r="B193" s="6" t="str">
        <f>IFERROR(__xludf.DUMMYFUNCTION("""COMPUTED_VALUE"""),"Kaizen Aritoku Rise")</f>
        <v>Kaizen Aritoku Rise</v>
      </c>
      <c r="C193" s="6" t="str">
        <f>IFERROR(__xludf.DUMMYFUNCTION("""COMPUTED_VALUE"""),"System and Superpower")</f>
        <v>System and Superpower</v>
      </c>
      <c r="D193" s="11">
        <f>IFERROR(__xludf.DUMMYFUNCTION("""COMPUTED_VALUE"""),126.0)</f>
        <v>126</v>
      </c>
      <c r="E193" s="8">
        <f>IFERROR(__xludf.DUMMYFUNCTION("""COMPUTED_VALUE"""),0.984126984126984)</f>
        <v>0.9841269841</v>
      </c>
      <c r="F193" s="8">
        <f>IFERROR(__xludf.DUMMYFUNCTION("""COMPUTED_VALUE"""),0.547619047619047)</f>
        <v>0.5476190476</v>
      </c>
      <c r="G193" s="8">
        <f>IFERROR(__xludf.DUMMYFUNCTION("""COMPUTED_VALUE"""),0.476190476190476)</f>
        <v>0.4761904762</v>
      </c>
      <c r="H193" s="8">
        <f>IFERROR(__xludf.DUMMYFUNCTION("""COMPUTED_VALUE"""),0.373015873015873)</f>
        <v>0.373015873</v>
      </c>
      <c r="I193" s="8">
        <f>IFERROR(__xludf.DUMMYFUNCTION("""COMPUTED_VALUE"""),0.285714285714285)</f>
        <v>0.2857142857</v>
      </c>
      <c r="J193" s="8">
        <f>IFERROR(__xludf.DUMMYFUNCTION("""COMPUTED_VALUE"""),0.253968253968253)</f>
        <v>0.253968254</v>
      </c>
      <c r="K193" s="8">
        <f>IFERROR(__xludf.DUMMYFUNCTION("""COMPUTED_VALUE"""),0.238095238095238)</f>
        <v>0.2380952381</v>
      </c>
      <c r="L193" s="8">
        <f>IFERROR(__xludf.DUMMYFUNCTION("""COMPUTED_VALUE"""),0.208)</f>
        <v>0.208</v>
      </c>
      <c r="M193" s="8">
        <f>IFERROR(__xludf.DUMMYFUNCTION("""COMPUTED_VALUE"""),0.2)</f>
        <v>0.2</v>
      </c>
      <c r="N193" s="8">
        <f>IFERROR(__xludf.DUMMYFUNCTION("""COMPUTED_VALUE"""),0.208)</f>
        <v>0.208</v>
      </c>
      <c r="O193" s="8">
        <f>IFERROR(__xludf.DUMMYFUNCTION("""COMPUTED_VALUE"""),0.137096774193548)</f>
        <v>0.1370967742</v>
      </c>
      <c r="P193" s="8">
        <f>IFERROR(__xludf.DUMMYFUNCTION("""COMPUTED_VALUE"""),0.0967741935483871)</f>
        <v>0.09677419355</v>
      </c>
      <c r="Q193" s="8">
        <f>IFERROR(__xludf.DUMMYFUNCTION("""COMPUTED_VALUE"""),0.0655737704918032)</f>
        <v>0.06557377049</v>
      </c>
      <c r="R193" s="8">
        <f>IFERROR(__xludf.DUMMYFUNCTION("""COMPUTED_VALUE"""),0.015625)</f>
        <v>0.015625</v>
      </c>
      <c r="S193" s="8">
        <f>IFERROR(__xludf.DUMMYFUNCTION("""COMPUTED_VALUE"""),0.03125)</f>
        <v>0.03125</v>
      </c>
      <c r="T193" s="8">
        <f>IFERROR(__xludf.DUMMYFUNCTION("""COMPUTED_VALUE"""),0.0)</f>
        <v>0</v>
      </c>
      <c r="U193" s="8">
        <f>IFERROR(__xludf.DUMMYFUNCTION("""COMPUTED_VALUE"""),0.0)</f>
        <v>0</v>
      </c>
      <c r="V193" s="8">
        <f>IFERROR(__xludf.DUMMYFUNCTION("""COMPUTED_VALUE"""),0.0)</f>
        <v>0</v>
      </c>
      <c r="W193" s="8">
        <f>IFERROR(__xludf.DUMMYFUNCTION("""COMPUTED_VALUE"""),0.0)</f>
        <v>0</v>
      </c>
      <c r="X193" s="8">
        <f>IFERROR(__xludf.DUMMYFUNCTION("""COMPUTED_VALUE"""),0.0)</f>
        <v>0</v>
      </c>
      <c r="Y193" s="8">
        <f>IFERROR(__xludf.DUMMYFUNCTION("""COMPUTED_VALUE"""),0.0)</f>
        <v>0</v>
      </c>
      <c r="Z193" s="8">
        <f>IFERROR(__xludf.DUMMYFUNCTION("""COMPUTED_VALUE"""),0.0)</f>
        <v>0</v>
      </c>
      <c r="AA193" s="8">
        <f>IFERROR(__xludf.DUMMYFUNCTION("""COMPUTED_VALUE"""),0.0)</f>
        <v>0</v>
      </c>
      <c r="AB193" s="8">
        <f>IFERROR(__xludf.DUMMYFUNCTION("""COMPUTED_VALUE"""),0.0)</f>
        <v>0</v>
      </c>
      <c r="AC193" s="8">
        <f>IFERROR(__xludf.DUMMYFUNCTION("""COMPUTED_VALUE"""),0.0)</f>
        <v>0</v>
      </c>
    </row>
    <row r="194" ht="15.75" customHeight="1">
      <c r="A194" s="6" t="str">
        <f>IFERROR(__xludf.DUMMYFUNCTION("""COMPUTED_VALUE"""),"abe99e0d615e9d7ebbf5d941810842cf64a74c6c")</f>
        <v>abe99e0d615e9d7ebbf5d941810842cf64a74c6c</v>
      </c>
      <c r="B194" s="6" t="str">
        <f>IFERROR(__xludf.DUMMYFUNCTION("""COMPUTED_VALUE"""),"Forgetting You, Lily")</f>
        <v>Forgetting You, Lily</v>
      </c>
      <c r="C194" s="6" t="str">
        <f>IFERROR(__xludf.DUMMYFUNCTION("""COMPUTED_VALUE"""),"Romance")</f>
        <v>Romance</v>
      </c>
      <c r="D194" s="11">
        <f>IFERROR(__xludf.DUMMYFUNCTION("""COMPUTED_VALUE"""),779.0)</f>
        <v>779</v>
      </c>
      <c r="E194" s="8">
        <f>IFERROR(__xludf.DUMMYFUNCTION("""COMPUTED_VALUE"""),0.977835723598435)</f>
        <v>0.9778357236</v>
      </c>
      <c r="F194" s="8">
        <f>IFERROR(__xludf.DUMMYFUNCTION("""COMPUTED_VALUE"""),0.452254641909814)</f>
        <v>0.4522546419</v>
      </c>
      <c r="G194" s="8">
        <f>IFERROR(__xludf.DUMMYFUNCTION("""COMPUTED_VALUE"""),0.349397590361445)</f>
        <v>0.3493975904</v>
      </c>
      <c r="H194" s="8">
        <f>IFERROR(__xludf.DUMMYFUNCTION("""COMPUTED_VALUE"""),0.304761904761904)</f>
        <v>0.3047619048</v>
      </c>
      <c r="I194" s="8">
        <f>IFERROR(__xludf.DUMMYFUNCTION("""COMPUTED_VALUE"""),0.27906976744186)</f>
        <v>0.2790697674</v>
      </c>
      <c r="J194" s="8">
        <f>IFERROR(__xludf.DUMMYFUNCTION("""COMPUTED_VALUE"""),0.247592847317744)</f>
        <v>0.2475928473</v>
      </c>
      <c r="K194" s="8">
        <f>IFERROR(__xludf.DUMMYFUNCTION("""COMPUTED_VALUE"""),0.220527045769764)</f>
        <v>0.2205270458</v>
      </c>
      <c r="L194" s="8">
        <f>IFERROR(__xludf.DUMMYFUNCTION("""COMPUTED_VALUE"""),0.200564971751412)</f>
        <v>0.2005649718</v>
      </c>
      <c r="M194" s="8">
        <f>IFERROR(__xludf.DUMMYFUNCTION("""COMPUTED_VALUE"""),0.173850574712643)</f>
        <v>0.1738505747</v>
      </c>
      <c r="N194" s="8">
        <f>IFERROR(__xludf.DUMMYFUNCTION("""COMPUTED_VALUE"""),0.149927219796215)</f>
        <v>0.1499272198</v>
      </c>
      <c r="O194" s="8">
        <f>IFERROR(__xludf.DUMMYFUNCTION("""COMPUTED_VALUE"""),0.0838815789473684)</f>
        <v>0.08388157895</v>
      </c>
      <c r="P194" s="8">
        <f>IFERROR(__xludf.DUMMYFUNCTION("""COMPUTED_VALUE"""),0.0662100456621004)</f>
        <v>0.06621004566</v>
      </c>
      <c r="Q194" s="8">
        <f>IFERROR(__xludf.DUMMYFUNCTION("""COMPUTED_VALUE"""),0.0)</f>
        <v>0</v>
      </c>
      <c r="R194" s="8">
        <f>IFERROR(__xludf.DUMMYFUNCTION("""COMPUTED_VALUE"""),0.0)</f>
        <v>0</v>
      </c>
      <c r="S194" s="8">
        <f>IFERROR(__xludf.DUMMYFUNCTION("""COMPUTED_VALUE"""),0.0)</f>
        <v>0</v>
      </c>
      <c r="T194" s="8">
        <f>IFERROR(__xludf.DUMMYFUNCTION("""COMPUTED_VALUE"""),0.0)</f>
        <v>0</v>
      </c>
      <c r="U194" s="8">
        <f>IFERROR(__xludf.DUMMYFUNCTION("""COMPUTED_VALUE"""),0.0)</f>
        <v>0</v>
      </c>
      <c r="V194" s="8">
        <f>IFERROR(__xludf.DUMMYFUNCTION("""COMPUTED_VALUE"""),0.0)</f>
        <v>0</v>
      </c>
      <c r="W194" s="8">
        <f>IFERROR(__xludf.DUMMYFUNCTION("""COMPUTED_VALUE"""),0.0)</f>
        <v>0</v>
      </c>
      <c r="X194" s="8">
        <f>IFERROR(__xludf.DUMMYFUNCTION("""COMPUTED_VALUE"""),0.0)</f>
        <v>0</v>
      </c>
      <c r="Y194" s="8">
        <f>IFERROR(__xludf.DUMMYFUNCTION("""COMPUTED_VALUE"""),0.0)</f>
        <v>0</v>
      </c>
      <c r="Z194" s="8">
        <f>IFERROR(__xludf.DUMMYFUNCTION("""COMPUTED_VALUE"""),0.0)</f>
        <v>0</v>
      </c>
      <c r="AA194" s="8">
        <f>IFERROR(__xludf.DUMMYFUNCTION("""COMPUTED_VALUE"""),0.0)</f>
        <v>0</v>
      </c>
      <c r="AB194" s="8">
        <f>IFERROR(__xludf.DUMMYFUNCTION("""COMPUTED_VALUE"""),0.0)</f>
        <v>0</v>
      </c>
      <c r="AC194" s="8">
        <f>IFERROR(__xludf.DUMMYFUNCTION("""COMPUTED_VALUE"""),0.0)</f>
        <v>0</v>
      </c>
    </row>
    <row r="195" ht="15.75" customHeight="1">
      <c r="A195" s="6" t="str">
        <f>IFERROR(__xludf.DUMMYFUNCTION("""COMPUTED_VALUE"""),"ac20da1af1ee60dd2020e8ff294c8c9dcf5be7ba")</f>
        <v>ac20da1af1ee60dd2020e8ff294c8c9dcf5be7ba</v>
      </c>
      <c r="B195" s="6" t="str">
        <f>IFERROR(__xludf.DUMMYFUNCTION("""COMPUTED_VALUE"""),"General Drake")</f>
        <v>General Drake</v>
      </c>
      <c r="C195" s="6" t="str">
        <f>IFERROR(__xludf.DUMMYFUNCTION("""COMPUTED_VALUE"""),"Suspense or Thriller")</f>
        <v>Suspense or Thriller</v>
      </c>
      <c r="D195" s="11">
        <f>IFERROR(__xludf.DUMMYFUNCTION("""COMPUTED_VALUE"""),591.0)</f>
        <v>591</v>
      </c>
      <c r="E195" s="8">
        <f>IFERROR(__xludf.DUMMYFUNCTION("""COMPUTED_VALUE"""),0.945854483925549)</f>
        <v>0.9458544839</v>
      </c>
      <c r="F195" s="8">
        <f>IFERROR(__xludf.DUMMYFUNCTION("""COMPUTED_VALUE"""),0.545762711864406)</f>
        <v>0.5457627119</v>
      </c>
      <c r="G195" s="8">
        <f>IFERROR(__xludf.DUMMYFUNCTION("""COMPUTED_VALUE"""),0.464406779661016)</f>
        <v>0.4644067797</v>
      </c>
      <c r="H195" s="8">
        <f>IFERROR(__xludf.DUMMYFUNCTION("""COMPUTED_VALUE"""),0.41864406779661)</f>
        <v>0.4186440678</v>
      </c>
      <c r="I195" s="8">
        <f>IFERROR(__xludf.DUMMYFUNCTION("""COMPUTED_VALUE"""),0.371186440677966)</f>
        <v>0.3711864407</v>
      </c>
      <c r="J195" s="8">
        <f>IFERROR(__xludf.DUMMYFUNCTION("""COMPUTED_VALUE"""),0.354237288135593)</f>
        <v>0.3542372881</v>
      </c>
      <c r="K195" s="8">
        <f>IFERROR(__xludf.DUMMYFUNCTION("""COMPUTED_VALUE"""),0.325423728813559)</f>
        <v>0.3254237288</v>
      </c>
      <c r="L195" s="8">
        <f>IFERROR(__xludf.DUMMYFUNCTION("""COMPUTED_VALUE"""),0.276785714285714)</f>
        <v>0.2767857143</v>
      </c>
      <c r="M195" s="8">
        <f>IFERROR(__xludf.DUMMYFUNCTION("""COMPUTED_VALUE"""),0.262969588550983)</f>
        <v>0.2629695886</v>
      </c>
      <c r="N195" s="8">
        <f>IFERROR(__xludf.DUMMYFUNCTION("""COMPUTED_VALUE"""),0.25089605734767)</f>
        <v>0.2508960573</v>
      </c>
      <c r="O195" s="8">
        <f>IFERROR(__xludf.DUMMYFUNCTION("""COMPUTED_VALUE"""),0.203358208955223)</f>
        <v>0.203358209</v>
      </c>
      <c r="P195" s="8">
        <f>IFERROR(__xludf.DUMMYFUNCTION("""COMPUTED_VALUE"""),0.115702479338842)</f>
        <v>0.1157024793</v>
      </c>
      <c r="Q195" s="8">
        <f>IFERROR(__xludf.DUMMYFUNCTION("""COMPUTED_VALUE"""),0.0694980694980695)</f>
        <v>0.0694980695</v>
      </c>
      <c r="R195" s="8">
        <f>IFERROR(__xludf.DUMMYFUNCTION("""COMPUTED_VALUE"""),0.0)</f>
        <v>0</v>
      </c>
      <c r="S195" s="8">
        <f>IFERROR(__xludf.DUMMYFUNCTION("""COMPUTED_VALUE"""),0.0)</f>
        <v>0</v>
      </c>
      <c r="T195" s="8">
        <f>IFERROR(__xludf.DUMMYFUNCTION("""COMPUTED_VALUE"""),0.0)</f>
        <v>0</v>
      </c>
      <c r="U195" s="8">
        <f>IFERROR(__xludf.DUMMYFUNCTION("""COMPUTED_VALUE"""),0.0)</f>
        <v>0</v>
      </c>
      <c r="V195" s="8">
        <f>IFERROR(__xludf.DUMMYFUNCTION("""COMPUTED_VALUE"""),0.0)</f>
        <v>0</v>
      </c>
      <c r="W195" s="8">
        <f>IFERROR(__xludf.DUMMYFUNCTION("""COMPUTED_VALUE"""),0.0)</f>
        <v>0</v>
      </c>
      <c r="X195" s="8">
        <f>IFERROR(__xludf.DUMMYFUNCTION("""COMPUTED_VALUE"""),0.0)</f>
        <v>0</v>
      </c>
      <c r="Y195" s="8">
        <f>IFERROR(__xludf.DUMMYFUNCTION("""COMPUTED_VALUE"""),0.0)</f>
        <v>0</v>
      </c>
      <c r="Z195" s="8">
        <f>IFERROR(__xludf.DUMMYFUNCTION("""COMPUTED_VALUE"""),0.0)</f>
        <v>0</v>
      </c>
      <c r="AA195" s="8">
        <f>IFERROR(__xludf.DUMMYFUNCTION("""COMPUTED_VALUE"""),0.0)</f>
        <v>0</v>
      </c>
      <c r="AB195" s="8">
        <f>IFERROR(__xludf.DUMMYFUNCTION("""COMPUTED_VALUE"""),0.0)</f>
        <v>0</v>
      </c>
      <c r="AC195" s="8">
        <f>IFERROR(__xludf.DUMMYFUNCTION("""COMPUTED_VALUE"""),0.0)</f>
        <v>0</v>
      </c>
    </row>
    <row r="196" ht="15.75" customHeight="1">
      <c r="A196" s="6" t="str">
        <f>IFERROR(__xludf.DUMMYFUNCTION("""COMPUTED_VALUE"""),"ad2e8d85f798bb8f66e9add56b1e29d7018e06fb")</f>
        <v>ad2e8d85f798bb8f66e9add56b1e29d7018e06fb</v>
      </c>
      <c r="B196" s="6" t="str">
        <f>IFERROR(__xludf.DUMMYFUNCTION("""COMPUTED_VALUE"""),"Embezzling Simp Funds")</f>
        <v>Embezzling Simp Funds</v>
      </c>
      <c r="C196" s="6" t="str">
        <f>IFERROR(__xludf.DUMMYFUNCTION("""COMPUTED_VALUE"""),"System and Superpower")</f>
        <v>System and Superpower</v>
      </c>
      <c r="D196" s="11">
        <f>IFERROR(__xludf.DUMMYFUNCTION("""COMPUTED_VALUE"""),1305.0)</f>
        <v>1305</v>
      </c>
      <c r="E196" s="8">
        <f>IFERROR(__xludf.DUMMYFUNCTION("""COMPUTED_VALUE"""),0.967791411042944)</f>
        <v>0.967791411</v>
      </c>
      <c r="F196" s="8">
        <f>IFERROR(__xludf.DUMMYFUNCTION("""COMPUTED_VALUE"""),0.462365591397849)</f>
        <v>0.4623655914</v>
      </c>
      <c r="G196" s="8">
        <f>IFERROR(__xludf.DUMMYFUNCTION("""COMPUTED_VALUE"""),0.397998460354118)</f>
        <v>0.3979984604</v>
      </c>
      <c r="H196" s="8">
        <f>IFERROR(__xludf.DUMMYFUNCTION("""COMPUTED_VALUE"""),0.363356428021555)</f>
        <v>0.363356428</v>
      </c>
      <c r="I196" s="8">
        <f>IFERROR(__xludf.DUMMYFUNCTION("""COMPUTED_VALUE"""),0.327426810477657)</f>
        <v>0.3274268105</v>
      </c>
      <c r="J196" s="8">
        <f>IFERROR(__xludf.DUMMYFUNCTION("""COMPUTED_VALUE"""),0.303777949113338)</f>
        <v>0.3037779491</v>
      </c>
      <c r="K196" s="8">
        <f>IFERROR(__xludf.DUMMYFUNCTION("""COMPUTED_VALUE"""),0.287480680061823)</f>
        <v>0.2874806801</v>
      </c>
      <c r="L196" s="8">
        <f>IFERROR(__xludf.DUMMYFUNCTION("""COMPUTED_VALUE"""),0.267441860465116)</f>
        <v>0.2674418605</v>
      </c>
      <c r="M196" s="8">
        <f>IFERROR(__xludf.DUMMYFUNCTION("""COMPUTED_VALUE"""),0.260903426791277)</f>
        <v>0.2609034268</v>
      </c>
      <c r="N196" s="8">
        <f>IFERROR(__xludf.DUMMYFUNCTION("""COMPUTED_VALUE"""),0.253521126760563)</f>
        <v>0.2535211268</v>
      </c>
      <c r="O196" s="8">
        <f>IFERROR(__xludf.DUMMYFUNCTION("""COMPUTED_VALUE"""),0.202028740490278)</f>
        <v>0.2020287405</v>
      </c>
      <c r="P196" s="8">
        <f>IFERROR(__xludf.DUMMYFUNCTION("""COMPUTED_VALUE"""),0.174586776859504)</f>
        <v>0.1745867769</v>
      </c>
      <c r="Q196" s="8">
        <f>IFERROR(__xludf.DUMMYFUNCTION("""COMPUTED_VALUE"""),0.134020618556701)</f>
        <v>0.1340206186</v>
      </c>
      <c r="R196" s="8">
        <f>IFERROR(__xludf.DUMMYFUNCTION("""COMPUTED_VALUE"""),0.112745098039215)</f>
        <v>0.112745098</v>
      </c>
      <c r="S196" s="8">
        <f>IFERROR(__xludf.DUMMYFUNCTION("""COMPUTED_VALUE"""),0.103535353535353)</f>
        <v>0.1035353535</v>
      </c>
      <c r="T196" s="8">
        <f>IFERROR(__xludf.DUMMYFUNCTION("""COMPUTED_VALUE"""),0.0766773162939297)</f>
        <v>0.07667731629</v>
      </c>
      <c r="U196" s="8">
        <f>IFERROR(__xludf.DUMMYFUNCTION("""COMPUTED_VALUE"""),0.064516129032258)</f>
        <v>0.06451612903</v>
      </c>
      <c r="V196" s="8">
        <f>IFERROR(__xludf.DUMMYFUNCTION("""COMPUTED_VALUE"""),0.0529411764705882)</f>
        <v>0.05294117647</v>
      </c>
      <c r="W196" s="8">
        <f>IFERROR(__xludf.DUMMYFUNCTION("""COMPUTED_VALUE"""),0.0608695652173913)</f>
        <v>0.06086956522</v>
      </c>
      <c r="X196" s="8">
        <f>IFERROR(__xludf.DUMMYFUNCTION("""COMPUTED_VALUE"""),0.0412371134020618)</f>
        <v>0.0412371134</v>
      </c>
      <c r="Y196" s="8">
        <f>IFERROR(__xludf.DUMMYFUNCTION("""COMPUTED_VALUE"""),0.0)</f>
        <v>0</v>
      </c>
      <c r="Z196" s="8">
        <f>IFERROR(__xludf.DUMMYFUNCTION("""COMPUTED_VALUE"""),0.0)</f>
        <v>0</v>
      </c>
      <c r="AA196" s="8">
        <f>IFERROR(__xludf.DUMMYFUNCTION("""COMPUTED_VALUE"""),0.0)</f>
        <v>0</v>
      </c>
      <c r="AB196" s="8">
        <f>IFERROR(__xludf.DUMMYFUNCTION("""COMPUTED_VALUE"""),0.0)</f>
        <v>0</v>
      </c>
      <c r="AC196" s="8">
        <f>IFERROR(__xludf.DUMMYFUNCTION("""COMPUTED_VALUE"""),0.0)</f>
        <v>0</v>
      </c>
    </row>
    <row r="197" ht="15.75" customHeight="1">
      <c r="A197" s="6" t="str">
        <f>IFERROR(__xludf.DUMMYFUNCTION("""COMPUTED_VALUE"""),"ad877b024bb7b2c30b52737ab2d9d8d49cc89f77")</f>
        <v>ad877b024bb7b2c30b52737ab2d9d8d49cc89f77</v>
      </c>
      <c r="B197" s="6" t="str">
        <f>IFERROR(__xludf.DUMMYFUNCTION("""COMPUTED_VALUE"""),"The Master at Heart Work ")</f>
        <v>The Master at Heart Work </v>
      </c>
      <c r="C197" s="6" t="str">
        <f>IFERROR(__xludf.DUMMYFUNCTION("""COMPUTED_VALUE"""),"System and Superpower")</f>
        <v>System and Superpower</v>
      </c>
      <c r="D197" s="11">
        <f>IFERROR(__xludf.DUMMYFUNCTION("""COMPUTED_VALUE"""),1438.0)</f>
        <v>1438</v>
      </c>
      <c r="E197" s="8">
        <f>IFERROR(__xludf.DUMMYFUNCTION("""COMPUTED_VALUE"""),0.924200278164116)</f>
        <v>0.9242002782</v>
      </c>
      <c r="F197" s="8">
        <f>IFERROR(__xludf.DUMMYFUNCTION("""COMPUTED_VALUE"""),0.593184979137691)</f>
        <v>0.5931849791</v>
      </c>
      <c r="G197" s="8">
        <f>IFERROR(__xludf.DUMMYFUNCTION("""COMPUTED_VALUE"""),0.530967292971468)</f>
        <v>0.530967293</v>
      </c>
      <c r="H197" s="8">
        <f>IFERROR(__xludf.DUMMYFUNCTION("""COMPUTED_VALUE"""),0.476655052264808)</f>
        <v>0.4766550523</v>
      </c>
      <c r="I197" s="8">
        <f>IFERROR(__xludf.DUMMYFUNCTION("""COMPUTED_VALUE"""),0.456066945606694)</f>
        <v>0.4560669456</v>
      </c>
      <c r="J197" s="8">
        <f>IFERROR(__xludf.DUMMYFUNCTION("""COMPUTED_VALUE"""),0.41172365666434)</f>
        <v>0.4117236567</v>
      </c>
      <c r="K197" s="8">
        <f>IFERROR(__xludf.DUMMYFUNCTION("""COMPUTED_VALUE"""),0.379888268156424)</f>
        <v>0.3798882682</v>
      </c>
      <c r="L197" s="8">
        <f>IFERROR(__xludf.DUMMYFUNCTION("""COMPUTED_VALUE"""),0.370188943317004)</f>
        <v>0.3701889433</v>
      </c>
      <c r="M197" s="8">
        <f>IFERROR(__xludf.DUMMYFUNCTION("""COMPUTED_VALUE"""),0.353393981805458)</f>
        <v>0.3533939818</v>
      </c>
      <c r="N197" s="8">
        <f>IFERROR(__xludf.DUMMYFUNCTION("""COMPUTED_VALUE"""),0.325157673440784)</f>
        <v>0.3251576734</v>
      </c>
      <c r="O197" s="8">
        <f>IFERROR(__xludf.DUMMYFUNCTION("""COMPUTED_VALUE"""),0.272277227722772)</f>
        <v>0.2722772277</v>
      </c>
      <c r="P197" s="8">
        <f>IFERROR(__xludf.DUMMYFUNCTION("""COMPUTED_VALUE"""),0.185078909612625)</f>
        <v>0.1850789096</v>
      </c>
      <c r="Q197" s="8">
        <f>IFERROR(__xludf.DUMMYFUNCTION("""COMPUTED_VALUE"""),0.14047866805411)</f>
        <v>0.1404786681</v>
      </c>
      <c r="R197" s="8">
        <f>IFERROR(__xludf.DUMMYFUNCTION("""COMPUTED_VALUE"""),0.134228187919463)</f>
        <v>0.1342281879</v>
      </c>
      <c r="S197" s="8">
        <f>IFERROR(__xludf.DUMMYFUNCTION("""COMPUTED_VALUE"""),0.12645011600928)</f>
        <v>0.126450116</v>
      </c>
      <c r="T197" s="8">
        <f>IFERROR(__xludf.DUMMYFUNCTION("""COMPUTED_VALUE"""),0.103591160220994)</f>
        <v>0.1035911602</v>
      </c>
      <c r="U197" s="8">
        <f>IFERROR(__xludf.DUMMYFUNCTION("""COMPUTED_VALUE"""),0.0757894736842105)</f>
        <v>0.07578947368</v>
      </c>
      <c r="V197" s="8">
        <f>IFERROR(__xludf.DUMMYFUNCTION("""COMPUTED_VALUE"""),0.0746666666666666)</f>
        <v>0.07466666667</v>
      </c>
      <c r="W197" s="8">
        <f>IFERROR(__xludf.DUMMYFUNCTION("""COMPUTED_VALUE"""),0.0761904761904762)</f>
        <v>0.07619047619</v>
      </c>
      <c r="X197" s="8">
        <f>IFERROR(__xludf.DUMMYFUNCTION("""COMPUTED_VALUE"""),0.0482758620689655)</f>
        <v>0.04827586207</v>
      </c>
      <c r="Y197" s="8">
        <f>IFERROR(__xludf.DUMMYFUNCTION("""COMPUTED_VALUE"""),0.0)</f>
        <v>0</v>
      </c>
      <c r="Z197" s="8">
        <f>IFERROR(__xludf.DUMMYFUNCTION("""COMPUTED_VALUE"""),0.0)</f>
        <v>0</v>
      </c>
      <c r="AA197" s="8">
        <f>IFERROR(__xludf.DUMMYFUNCTION("""COMPUTED_VALUE"""),0.0)</f>
        <v>0</v>
      </c>
      <c r="AB197" s="8">
        <f>IFERROR(__xludf.DUMMYFUNCTION("""COMPUTED_VALUE"""),0.0)</f>
        <v>0</v>
      </c>
      <c r="AC197" s="8">
        <f>IFERROR(__xludf.DUMMYFUNCTION("""COMPUTED_VALUE"""),0.0)</f>
        <v>0</v>
      </c>
    </row>
    <row r="198" ht="15.75" customHeight="1">
      <c r="A198" s="6" t="str">
        <f>IFERROR(__xludf.DUMMYFUNCTION("""COMPUTED_VALUE"""),"afc4914ba536580c6c21a79231a73b9e6dc67e1a")</f>
        <v>afc4914ba536580c6c21a79231a73b9e6dc67e1a</v>
      </c>
      <c r="B198" s="6" t="str">
        <f>IFERROR(__xludf.DUMMYFUNCTION("""COMPUTED_VALUE"""),"Her Cupid Curse")</f>
        <v>Her Cupid Curse</v>
      </c>
      <c r="C198" s="6" t="str">
        <f>IFERROR(__xludf.DUMMYFUNCTION("""COMPUTED_VALUE"""),"Romance")</f>
        <v>Romance</v>
      </c>
      <c r="D198" s="11">
        <f>IFERROR(__xludf.DUMMYFUNCTION("""COMPUTED_VALUE"""),1063.0)</f>
        <v>1063</v>
      </c>
      <c r="E198" s="8">
        <f>IFERROR(__xludf.DUMMYFUNCTION("""COMPUTED_VALUE"""),0.965028355387523)</f>
        <v>0.9650283554</v>
      </c>
      <c r="F198" s="8">
        <f>IFERROR(__xludf.DUMMYFUNCTION("""COMPUTED_VALUE"""),0.561284046692607)</f>
        <v>0.5612840467</v>
      </c>
      <c r="G198" s="8">
        <f>IFERROR(__xludf.DUMMYFUNCTION("""COMPUTED_VALUE"""),0.516260162601626)</f>
        <v>0.5162601626</v>
      </c>
      <c r="H198" s="8">
        <f>IFERROR(__xludf.DUMMYFUNCTION("""COMPUTED_VALUE"""),0.455614973262032)</f>
        <v>0.4556149733</v>
      </c>
      <c r="I198" s="8">
        <f>IFERROR(__xludf.DUMMYFUNCTION("""COMPUTED_VALUE"""),0.414752116082224)</f>
        <v>0.4147521161</v>
      </c>
      <c r="J198" s="8">
        <f>IFERROR(__xludf.DUMMYFUNCTION("""COMPUTED_VALUE"""),0.363157894736842)</f>
        <v>0.3631578947</v>
      </c>
      <c r="K198" s="8">
        <f>IFERROR(__xludf.DUMMYFUNCTION("""COMPUTED_VALUE"""),0.337719298245614)</f>
        <v>0.3377192982</v>
      </c>
      <c r="L198" s="8">
        <f>IFERROR(__xludf.DUMMYFUNCTION("""COMPUTED_VALUE"""),0.294573643410852)</f>
        <v>0.2945736434</v>
      </c>
      <c r="M198" s="8">
        <f>IFERROR(__xludf.DUMMYFUNCTION("""COMPUTED_VALUE"""),0.247641509433962)</f>
        <v>0.2476415094</v>
      </c>
      <c r="N198" s="8">
        <f>IFERROR(__xludf.DUMMYFUNCTION("""COMPUTED_VALUE"""),0.188059701492537)</f>
        <v>0.1880597015</v>
      </c>
      <c r="O198" s="8">
        <f>IFERROR(__xludf.DUMMYFUNCTION("""COMPUTED_VALUE"""),0.195238095238095)</f>
        <v>0.1952380952</v>
      </c>
      <c r="P198" s="8">
        <f>IFERROR(__xludf.DUMMYFUNCTION("""COMPUTED_VALUE"""),0.272727272727272)</f>
        <v>0.2727272727</v>
      </c>
      <c r="Q198" s="8">
        <f>IFERROR(__xludf.DUMMYFUNCTION("""COMPUTED_VALUE"""),0.0)</f>
        <v>0</v>
      </c>
      <c r="R198" s="8">
        <f>IFERROR(__xludf.DUMMYFUNCTION("""COMPUTED_VALUE"""),0.0)</f>
        <v>0</v>
      </c>
      <c r="S198" s="8">
        <f>IFERROR(__xludf.DUMMYFUNCTION("""COMPUTED_VALUE"""),0.0)</f>
        <v>0</v>
      </c>
      <c r="T198" s="8">
        <f>IFERROR(__xludf.DUMMYFUNCTION("""COMPUTED_VALUE"""),0.0)</f>
        <v>0</v>
      </c>
      <c r="U198" s="8">
        <f>IFERROR(__xludf.DUMMYFUNCTION("""COMPUTED_VALUE"""),0.0)</f>
        <v>0</v>
      </c>
      <c r="V198" s="8">
        <f>IFERROR(__xludf.DUMMYFUNCTION("""COMPUTED_VALUE"""),0.0)</f>
        <v>0</v>
      </c>
      <c r="W198" s="8">
        <f>IFERROR(__xludf.DUMMYFUNCTION("""COMPUTED_VALUE"""),0.0)</f>
        <v>0</v>
      </c>
      <c r="X198" s="8">
        <f>IFERROR(__xludf.DUMMYFUNCTION("""COMPUTED_VALUE"""),0.0)</f>
        <v>0</v>
      </c>
      <c r="Y198" s="8">
        <f>IFERROR(__xludf.DUMMYFUNCTION("""COMPUTED_VALUE"""),0.0)</f>
        <v>0</v>
      </c>
      <c r="Z198" s="8">
        <f>IFERROR(__xludf.DUMMYFUNCTION("""COMPUTED_VALUE"""),0.0)</f>
        <v>0</v>
      </c>
      <c r="AA198" s="8">
        <f>IFERROR(__xludf.DUMMYFUNCTION("""COMPUTED_VALUE"""),0.0)</f>
        <v>0</v>
      </c>
      <c r="AB198" s="8">
        <f>IFERROR(__xludf.DUMMYFUNCTION("""COMPUTED_VALUE"""),0.0)</f>
        <v>0</v>
      </c>
      <c r="AC198" s="8">
        <f>IFERROR(__xludf.DUMMYFUNCTION("""COMPUTED_VALUE"""),0.0)</f>
        <v>0</v>
      </c>
    </row>
    <row r="199" ht="15.75" customHeight="1">
      <c r="A199" s="6" t="str">
        <f>IFERROR(__xludf.DUMMYFUNCTION("""COMPUTED_VALUE"""),"b035f182bb6d36439bba21081e89b0cb80ad7d57")</f>
        <v>b035f182bb6d36439bba21081e89b0cb80ad7d57</v>
      </c>
      <c r="B199" s="6" t="str">
        <f>IFERROR(__xludf.DUMMYFUNCTION("""COMPUTED_VALUE"""),"Glory After Loss")</f>
        <v>Glory After Loss</v>
      </c>
      <c r="C199" s="6" t="str">
        <f>IFERROR(__xludf.DUMMYFUNCTION("""COMPUTED_VALUE"""),"System and Superpower")</f>
        <v>System and Superpower</v>
      </c>
      <c r="D199" s="11">
        <f>IFERROR(__xludf.DUMMYFUNCTION("""COMPUTED_VALUE"""),981.0)</f>
        <v>981</v>
      </c>
      <c r="E199" s="8">
        <f>IFERROR(__xludf.DUMMYFUNCTION("""COMPUTED_VALUE"""),0.957186544342507)</f>
        <v>0.9571865443</v>
      </c>
      <c r="F199" s="8">
        <f>IFERROR(__xludf.DUMMYFUNCTION("""COMPUTED_VALUE"""),0.482653061224489)</f>
        <v>0.4826530612</v>
      </c>
      <c r="G199" s="8">
        <f>IFERROR(__xludf.DUMMYFUNCTION("""COMPUTED_VALUE"""),0.421428571428571)</f>
        <v>0.4214285714</v>
      </c>
      <c r="H199" s="8">
        <f>IFERROR(__xludf.DUMMYFUNCTION("""COMPUTED_VALUE"""),0.372829417773238)</f>
        <v>0.3728294178</v>
      </c>
      <c r="I199" s="8">
        <f>IFERROR(__xludf.DUMMYFUNCTION("""COMPUTED_VALUE"""),0.348004094165813)</f>
        <v>0.3480040942</v>
      </c>
      <c r="J199" s="8">
        <f>IFERROR(__xludf.DUMMYFUNCTION("""COMPUTED_VALUE"""),0.324795081967213)</f>
        <v>0.324795082</v>
      </c>
      <c r="K199" s="8">
        <f>IFERROR(__xludf.DUMMYFUNCTION("""COMPUTED_VALUE"""),0.305641025641025)</f>
        <v>0.3056410256</v>
      </c>
      <c r="L199" s="8">
        <f>IFERROR(__xludf.DUMMYFUNCTION("""COMPUTED_VALUE"""),0.298661174047373)</f>
        <v>0.298661174</v>
      </c>
      <c r="M199" s="8">
        <f>IFERROR(__xludf.DUMMYFUNCTION("""COMPUTED_VALUE"""),0.296181630546955)</f>
        <v>0.2961816305</v>
      </c>
      <c r="N199" s="8">
        <f>IFERROR(__xludf.DUMMYFUNCTION("""COMPUTED_VALUE"""),0.284384694932781)</f>
        <v>0.2843846949</v>
      </c>
      <c r="O199" s="8">
        <f>IFERROR(__xludf.DUMMYFUNCTION("""COMPUTED_VALUE"""),0.244791666666666)</f>
        <v>0.2447916667</v>
      </c>
      <c r="P199" s="8">
        <f>IFERROR(__xludf.DUMMYFUNCTION("""COMPUTED_VALUE"""),0.169148936170212)</f>
        <v>0.1691489362</v>
      </c>
      <c r="Q199" s="8">
        <f>IFERROR(__xludf.DUMMYFUNCTION("""COMPUTED_VALUE"""),0.107673267326732)</f>
        <v>0.1076732673</v>
      </c>
      <c r="R199" s="8">
        <f>IFERROR(__xludf.DUMMYFUNCTION("""COMPUTED_VALUE"""),0.0)</f>
        <v>0</v>
      </c>
      <c r="S199" s="8">
        <f>IFERROR(__xludf.DUMMYFUNCTION("""COMPUTED_VALUE"""),0.0)</f>
        <v>0</v>
      </c>
      <c r="T199" s="8">
        <f>IFERROR(__xludf.DUMMYFUNCTION("""COMPUTED_VALUE"""),0.0)</f>
        <v>0</v>
      </c>
      <c r="U199" s="8">
        <f>IFERROR(__xludf.DUMMYFUNCTION("""COMPUTED_VALUE"""),0.0)</f>
        <v>0</v>
      </c>
      <c r="V199" s="8">
        <f>IFERROR(__xludf.DUMMYFUNCTION("""COMPUTED_VALUE"""),0.0)</f>
        <v>0</v>
      </c>
      <c r="W199" s="8">
        <f>IFERROR(__xludf.DUMMYFUNCTION("""COMPUTED_VALUE"""),0.0)</f>
        <v>0</v>
      </c>
      <c r="X199" s="8">
        <f>IFERROR(__xludf.DUMMYFUNCTION("""COMPUTED_VALUE"""),0.0)</f>
        <v>0</v>
      </c>
      <c r="Y199" s="8">
        <f>IFERROR(__xludf.DUMMYFUNCTION("""COMPUTED_VALUE"""),0.0)</f>
        <v>0</v>
      </c>
      <c r="Z199" s="8">
        <f>IFERROR(__xludf.DUMMYFUNCTION("""COMPUTED_VALUE"""),0.0)</f>
        <v>0</v>
      </c>
      <c r="AA199" s="8">
        <f>IFERROR(__xludf.DUMMYFUNCTION("""COMPUTED_VALUE"""),0.0)</f>
        <v>0</v>
      </c>
      <c r="AB199" s="8">
        <f>IFERROR(__xludf.DUMMYFUNCTION("""COMPUTED_VALUE"""),0.0)</f>
        <v>0</v>
      </c>
      <c r="AC199" s="8">
        <f>IFERROR(__xludf.DUMMYFUNCTION("""COMPUTED_VALUE"""),0.0)</f>
        <v>0</v>
      </c>
    </row>
    <row r="200" ht="15.75" customHeight="1">
      <c r="A200" s="6" t="str">
        <f>IFERROR(__xludf.DUMMYFUNCTION("""COMPUTED_VALUE"""),"b0cb1a15751b32389e6dc5643df14e64f65a78e6")</f>
        <v>b0cb1a15751b32389e6dc5643df14e64f65a78e6</v>
      </c>
      <c r="B200" s="6" t="str">
        <f>IFERROR(__xludf.DUMMYFUNCTION("""COMPUTED_VALUE"""),"Desire of the Billionaire")</f>
        <v>Desire of the Billionaire</v>
      </c>
      <c r="C200" s="6" t="str">
        <f>IFERROR(__xludf.DUMMYFUNCTION("""COMPUTED_VALUE"""),"Romance")</f>
        <v>Romance</v>
      </c>
      <c r="D200" s="11">
        <f>IFERROR(__xludf.DUMMYFUNCTION("""COMPUTED_VALUE"""),547.0)</f>
        <v>547</v>
      </c>
      <c r="E200" s="8">
        <f>IFERROR(__xludf.DUMMYFUNCTION("""COMPUTED_VALUE"""),0.957952468007312)</f>
        <v>0.957952468</v>
      </c>
      <c r="F200" s="8">
        <f>IFERROR(__xludf.DUMMYFUNCTION("""COMPUTED_VALUE"""),0.402930402930402)</f>
        <v>0.4029304029</v>
      </c>
      <c r="G200" s="8">
        <f>IFERROR(__xludf.DUMMYFUNCTION("""COMPUTED_VALUE"""),0.374311926605504)</f>
        <v>0.3743119266</v>
      </c>
      <c r="H200" s="8">
        <f>IFERROR(__xludf.DUMMYFUNCTION("""COMPUTED_VALUE"""),0.343119266055045)</f>
        <v>0.3431192661</v>
      </c>
      <c r="I200" s="8">
        <f>IFERROR(__xludf.DUMMYFUNCTION("""COMPUTED_VALUE"""),0.325367647058823)</f>
        <v>0.3253676471</v>
      </c>
      <c r="J200" s="8">
        <f>IFERROR(__xludf.DUMMYFUNCTION("""COMPUTED_VALUE"""),0.318014705882352)</f>
        <v>0.3180147059</v>
      </c>
      <c r="K200" s="8">
        <f>IFERROR(__xludf.DUMMYFUNCTION("""COMPUTED_VALUE"""),0.289523809523809)</f>
        <v>0.2895238095</v>
      </c>
      <c r="L200" s="8">
        <f>IFERROR(__xludf.DUMMYFUNCTION("""COMPUTED_VALUE"""),0.269598470363288)</f>
        <v>0.2695984704</v>
      </c>
      <c r="M200" s="8">
        <f>IFERROR(__xludf.DUMMYFUNCTION("""COMPUTED_VALUE"""),0.280230326295585)</f>
        <v>0.2802303263</v>
      </c>
      <c r="N200" s="8">
        <f>IFERROR(__xludf.DUMMYFUNCTION("""COMPUTED_VALUE"""),0.253358925143953)</f>
        <v>0.2533589251</v>
      </c>
      <c r="O200" s="8">
        <f>IFERROR(__xludf.DUMMYFUNCTION("""COMPUTED_VALUE"""),0.192534381139489)</f>
        <v>0.1925343811</v>
      </c>
      <c r="P200" s="8">
        <f>IFERROR(__xludf.DUMMYFUNCTION("""COMPUTED_VALUE"""),0.136792452830188)</f>
        <v>0.1367924528</v>
      </c>
      <c r="Q200" s="8">
        <f>IFERROR(__xludf.DUMMYFUNCTION("""COMPUTED_VALUE"""),0.0714285714285714)</f>
        <v>0.07142857143</v>
      </c>
      <c r="R200" s="8">
        <f>IFERROR(__xludf.DUMMYFUNCTION("""COMPUTED_VALUE"""),0.0)</f>
        <v>0</v>
      </c>
      <c r="S200" s="8">
        <f>IFERROR(__xludf.DUMMYFUNCTION("""COMPUTED_VALUE"""),0.0)</f>
        <v>0</v>
      </c>
      <c r="T200" s="8">
        <f>IFERROR(__xludf.DUMMYFUNCTION("""COMPUTED_VALUE"""),0.0)</f>
        <v>0</v>
      </c>
      <c r="U200" s="8">
        <f>IFERROR(__xludf.DUMMYFUNCTION("""COMPUTED_VALUE"""),0.0)</f>
        <v>0</v>
      </c>
      <c r="V200" s="8">
        <f>IFERROR(__xludf.DUMMYFUNCTION("""COMPUTED_VALUE"""),0.0)</f>
        <v>0</v>
      </c>
      <c r="W200" s="8">
        <f>IFERROR(__xludf.DUMMYFUNCTION("""COMPUTED_VALUE"""),0.0)</f>
        <v>0</v>
      </c>
      <c r="X200" s="8">
        <f>IFERROR(__xludf.DUMMYFUNCTION("""COMPUTED_VALUE"""),0.0)</f>
        <v>0</v>
      </c>
      <c r="Y200" s="8">
        <f>IFERROR(__xludf.DUMMYFUNCTION("""COMPUTED_VALUE"""),0.0)</f>
        <v>0</v>
      </c>
      <c r="Z200" s="8">
        <f>IFERROR(__xludf.DUMMYFUNCTION("""COMPUTED_VALUE"""),0.0)</f>
        <v>0</v>
      </c>
      <c r="AA200" s="8">
        <f>IFERROR(__xludf.DUMMYFUNCTION("""COMPUTED_VALUE"""),0.0)</f>
        <v>0</v>
      </c>
      <c r="AB200" s="8">
        <f>IFERROR(__xludf.DUMMYFUNCTION("""COMPUTED_VALUE"""),0.0)</f>
        <v>0</v>
      </c>
      <c r="AC200" s="8">
        <f>IFERROR(__xludf.DUMMYFUNCTION("""COMPUTED_VALUE"""),0.0)</f>
        <v>0</v>
      </c>
    </row>
    <row r="201" ht="15.75" customHeight="1">
      <c r="A201" s="6" t="str">
        <f>IFERROR(__xludf.DUMMYFUNCTION("""COMPUTED_VALUE"""),"b164057dc6b8df1ba1289d383220147f237b7dfa")</f>
        <v>b164057dc6b8df1ba1289d383220147f237b7dfa</v>
      </c>
      <c r="B201" s="6" t="str">
        <f>IFERROR(__xludf.DUMMYFUNCTION("""COMPUTED_VALUE"""),"Rush Marriage")</f>
        <v>Rush Marriage</v>
      </c>
      <c r="C201" s="6" t="str">
        <f>IFERROR(__xludf.DUMMYFUNCTION("""COMPUTED_VALUE"""),"Romance")</f>
        <v>Romance</v>
      </c>
      <c r="D201" s="11">
        <f>IFERROR(__xludf.DUMMYFUNCTION("""COMPUTED_VALUE"""),2165.0)</f>
        <v>2165</v>
      </c>
      <c r="E201" s="8">
        <f>IFERROR(__xludf.DUMMYFUNCTION("""COMPUTED_VALUE"""),0.96581986143187)</f>
        <v>0.9658198614</v>
      </c>
      <c r="F201" s="8">
        <f>IFERROR(__xludf.DUMMYFUNCTION("""COMPUTED_VALUE"""),0.542975970425138)</f>
        <v>0.5429759704</v>
      </c>
      <c r="G201" s="8">
        <f>IFERROR(__xludf.DUMMYFUNCTION("""COMPUTED_VALUE"""),0.430683918669131)</f>
        <v>0.4306839187</v>
      </c>
      <c r="H201" s="8">
        <f>IFERROR(__xludf.DUMMYFUNCTION("""COMPUTED_VALUE"""),0.374653098982423)</f>
        <v>0.374653099</v>
      </c>
      <c r="I201" s="8">
        <f>IFERROR(__xludf.DUMMYFUNCTION("""COMPUTED_VALUE"""),0.348912540490513)</f>
        <v>0.3489125405</v>
      </c>
      <c r="J201" s="8">
        <f>IFERROR(__xludf.DUMMYFUNCTION("""COMPUTED_VALUE"""),0.342605470560964)</f>
        <v>0.3426054706</v>
      </c>
      <c r="K201" s="8">
        <f>IFERROR(__xludf.DUMMYFUNCTION("""COMPUTED_VALUE"""),0.307192575406032)</f>
        <v>0.3071925754</v>
      </c>
      <c r="L201" s="8">
        <f>IFERROR(__xludf.DUMMYFUNCTION("""COMPUTED_VALUE"""),0.273107292150487)</f>
        <v>0.2731072922</v>
      </c>
      <c r="M201" s="8">
        <f>IFERROR(__xludf.DUMMYFUNCTION("""COMPUTED_VALUE"""),0.256279069767441)</f>
        <v>0.2562790698</v>
      </c>
      <c r="N201" s="8">
        <f>IFERROR(__xludf.DUMMYFUNCTION("""COMPUTED_VALUE"""),0.252210330386226)</f>
        <v>0.2522103304</v>
      </c>
      <c r="O201" s="8">
        <f>IFERROR(__xludf.DUMMYFUNCTION("""COMPUTED_VALUE"""),0.224929709465791)</f>
        <v>0.2249297095</v>
      </c>
      <c r="P201" s="8">
        <f>IFERROR(__xludf.DUMMYFUNCTION("""COMPUTED_VALUE"""),0.157894736842105)</f>
        <v>0.1578947368</v>
      </c>
      <c r="Q201" s="8">
        <f>IFERROR(__xludf.DUMMYFUNCTION("""COMPUTED_VALUE"""),0.0891950688905003)</f>
        <v>0.08919506889</v>
      </c>
      <c r="R201" s="8">
        <f>IFERROR(__xludf.DUMMYFUNCTION("""COMPUTED_VALUE"""),0.0623987034035656)</f>
        <v>0.0623987034</v>
      </c>
      <c r="S201" s="8">
        <f>IFERROR(__xludf.DUMMYFUNCTION("""COMPUTED_VALUE"""),0.048068669527897)</f>
        <v>0.04806866953</v>
      </c>
      <c r="T201" s="8">
        <f>IFERROR(__xludf.DUMMYFUNCTION("""COMPUTED_VALUE"""),0.0414691943127962)</f>
        <v>0.04146919431</v>
      </c>
      <c r="U201" s="8">
        <f>IFERROR(__xludf.DUMMYFUNCTION("""COMPUTED_VALUE"""),0.0259900990099009)</f>
        <v>0.02599009901</v>
      </c>
      <c r="V201" s="8">
        <f>IFERROR(__xludf.DUMMYFUNCTION("""COMPUTED_VALUE"""),0.018041237113402)</f>
        <v>0.01804123711</v>
      </c>
      <c r="W201" s="8">
        <f>IFERROR(__xludf.DUMMYFUNCTION("""COMPUTED_VALUE"""),0.0167130919220055)</f>
        <v>0.01671309192</v>
      </c>
      <c r="X201" s="8">
        <f>IFERROR(__xludf.DUMMYFUNCTION("""COMPUTED_VALUE"""),0.00806451612903225)</f>
        <v>0.008064516129</v>
      </c>
      <c r="Y201" s="8">
        <f>IFERROR(__xludf.DUMMYFUNCTION("""COMPUTED_VALUE"""),0.00329489291598023)</f>
        <v>0.003294892916</v>
      </c>
      <c r="Z201" s="8">
        <f>IFERROR(__xludf.DUMMYFUNCTION("""COMPUTED_VALUE"""),0.0)</f>
        <v>0</v>
      </c>
      <c r="AA201" s="8">
        <f>IFERROR(__xludf.DUMMYFUNCTION("""COMPUTED_VALUE"""),0.0)</f>
        <v>0</v>
      </c>
      <c r="AB201" s="8">
        <f>IFERROR(__xludf.DUMMYFUNCTION("""COMPUTED_VALUE"""),0.0)</f>
        <v>0</v>
      </c>
      <c r="AC201" s="8">
        <f>IFERROR(__xludf.DUMMYFUNCTION("""COMPUTED_VALUE"""),0.0)</f>
        <v>0</v>
      </c>
    </row>
    <row r="202" ht="15.75" customHeight="1">
      <c r="A202" s="6" t="str">
        <f>IFERROR(__xludf.DUMMYFUNCTION("""COMPUTED_VALUE"""),"b26d8e5052a2beb1af4ffc462d31141bb635a5b5")</f>
        <v>b26d8e5052a2beb1af4ffc462d31141bb635a5b5</v>
      </c>
      <c r="B202" s="6" t="str">
        <f>IFERROR(__xludf.DUMMYFUNCTION("""COMPUTED_VALUE"""),"The Revenge Marriage")</f>
        <v>The Revenge Marriage</v>
      </c>
      <c r="C202" s="6" t="str">
        <f>IFERROR(__xludf.DUMMYFUNCTION("""COMPUTED_VALUE"""),"Romance")</f>
        <v>Romance</v>
      </c>
      <c r="D202" s="11">
        <f>IFERROR(__xludf.DUMMYFUNCTION("""COMPUTED_VALUE"""),3090.0)</f>
        <v>3090</v>
      </c>
      <c r="E202" s="8">
        <f>IFERROR(__xludf.DUMMYFUNCTION("""COMPUTED_VALUE"""),0.960155490767735)</f>
        <v>0.9601554908</v>
      </c>
      <c r="F202" s="8">
        <f>IFERROR(__xludf.DUMMYFUNCTION("""COMPUTED_VALUE"""),0.557142857142857)</f>
        <v>0.5571428571</v>
      </c>
      <c r="G202" s="8">
        <f>IFERROR(__xludf.DUMMYFUNCTION("""COMPUTED_VALUE"""),0.493666774926924)</f>
        <v>0.4936667749</v>
      </c>
      <c r="H202" s="8">
        <f>IFERROR(__xludf.DUMMYFUNCTION("""COMPUTED_VALUE"""),0.445348080676642)</f>
        <v>0.4453480807</v>
      </c>
      <c r="I202" s="8">
        <f>IFERROR(__xludf.DUMMYFUNCTION("""COMPUTED_VALUE"""),0.409638554216867)</f>
        <v>0.4096385542</v>
      </c>
      <c r="J202" s="8">
        <f>IFERROR(__xludf.DUMMYFUNCTION("""COMPUTED_VALUE"""),0.380203212061619)</f>
        <v>0.3802032121</v>
      </c>
      <c r="K202" s="8">
        <f>IFERROR(__xludf.DUMMYFUNCTION("""COMPUTED_VALUE"""),0.353366174055829)</f>
        <v>0.3533661741</v>
      </c>
      <c r="L202" s="8">
        <f>IFERROR(__xludf.DUMMYFUNCTION("""COMPUTED_VALUE"""),0.335305719921104)</f>
        <v>0.3353057199</v>
      </c>
      <c r="M202" s="8">
        <f>IFERROR(__xludf.DUMMYFUNCTION("""COMPUTED_VALUE"""),0.318391562294001)</f>
        <v>0.3183915623</v>
      </c>
      <c r="N202" s="8">
        <f>IFERROR(__xludf.DUMMYFUNCTION("""COMPUTED_VALUE"""),0.307336417713152)</f>
        <v>0.3073364177</v>
      </c>
      <c r="O202" s="8">
        <f>IFERROR(__xludf.DUMMYFUNCTION("""COMPUTED_VALUE"""),0.258301293254106)</f>
        <v>0.2583012933</v>
      </c>
      <c r="P202" s="8">
        <f>IFERROR(__xludf.DUMMYFUNCTION("""COMPUTED_VALUE"""),0.203252032520325)</f>
        <v>0.2032520325</v>
      </c>
      <c r="Q202" s="8">
        <f>IFERROR(__xludf.DUMMYFUNCTION("""COMPUTED_VALUE"""),0.146605818596691)</f>
        <v>0.1466058186</v>
      </c>
      <c r="R202" s="8">
        <f>IFERROR(__xludf.DUMMYFUNCTION("""COMPUTED_VALUE"""),0.0868454661558109)</f>
        <v>0.08684546616</v>
      </c>
      <c r="S202" s="8">
        <f>IFERROR(__xludf.DUMMYFUNCTION("""COMPUTED_VALUE"""),0.0728155339805825)</f>
        <v>0.07281553398</v>
      </c>
      <c r="T202" s="8">
        <f>IFERROR(__xludf.DUMMYFUNCTION("""COMPUTED_VALUE"""),0.0)</f>
        <v>0</v>
      </c>
      <c r="U202" s="8">
        <f>IFERROR(__xludf.DUMMYFUNCTION("""COMPUTED_VALUE"""),0.0)</f>
        <v>0</v>
      </c>
      <c r="V202" s="8">
        <f>IFERROR(__xludf.DUMMYFUNCTION("""COMPUTED_VALUE"""),0.0)</f>
        <v>0</v>
      </c>
      <c r="W202" s="8">
        <f>IFERROR(__xludf.DUMMYFUNCTION("""COMPUTED_VALUE"""),0.0)</f>
        <v>0</v>
      </c>
      <c r="X202" s="8">
        <f>IFERROR(__xludf.DUMMYFUNCTION("""COMPUTED_VALUE"""),0.0)</f>
        <v>0</v>
      </c>
      <c r="Y202" s="8">
        <f>IFERROR(__xludf.DUMMYFUNCTION("""COMPUTED_VALUE"""),0.0)</f>
        <v>0</v>
      </c>
      <c r="Z202" s="8">
        <f>IFERROR(__xludf.DUMMYFUNCTION("""COMPUTED_VALUE"""),0.0)</f>
        <v>0</v>
      </c>
      <c r="AA202" s="8">
        <f>IFERROR(__xludf.DUMMYFUNCTION("""COMPUTED_VALUE"""),0.0)</f>
        <v>0</v>
      </c>
      <c r="AB202" s="8">
        <f>IFERROR(__xludf.DUMMYFUNCTION("""COMPUTED_VALUE"""),0.0)</f>
        <v>0</v>
      </c>
      <c r="AC202" s="8">
        <f>IFERROR(__xludf.DUMMYFUNCTION("""COMPUTED_VALUE"""),0.0)</f>
        <v>0</v>
      </c>
    </row>
    <row r="203" ht="15.75" customHeight="1">
      <c r="A203" s="6" t="str">
        <f>IFERROR(__xludf.DUMMYFUNCTION("""COMPUTED_VALUE"""),"b2e0e008665e30068057a1556346d5473a8ed579")</f>
        <v>b2e0e008665e30068057a1556346d5473a8ed579</v>
      </c>
      <c r="B203" s="6" t="str">
        <f>IFERROR(__xludf.DUMMYFUNCTION("""COMPUTED_VALUE"""),"Legend of Cursed Blood ")</f>
        <v>Legend of Cursed Blood </v>
      </c>
      <c r="C203" s="6" t="str">
        <f>IFERROR(__xludf.DUMMYFUNCTION("""COMPUTED_VALUE"""),"Fantasy")</f>
        <v>Fantasy</v>
      </c>
      <c r="D203" s="11">
        <f>IFERROR(__xludf.DUMMYFUNCTION("""COMPUTED_VALUE"""),1203.0)</f>
        <v>1203</v>
      </c>
      <c r="E203" s="8">
        <f>IFERROR(__xludf.DUMMYFUNCTION("""COMPUTED_VALUE"""),0.951301427371956)</f>
        <v>0.9513014274</v>
      </c>
      <c r="F203" s="8">
        <f>IFERROR(__xludf.DUMMYFUNCTION("""COMPUTED_VALUE"""),0.436703483432455)</f>
        <v>0.4367034834</v>
      </c>
      <c r="G203" s="8">
        <f>IFERROR(__xludf.DUMMYFUNCTION("""COMPUTED_VALUE"""),0.367381974248927)</f>
        <v>0.3673819742</v>
      </c>
      <c r="H203" s="8">
        <f>IFERROR(__xludf.DUMMYFUNCTION("""COMPUTED_VALUE"""),0.317030567685589)</f>
        <v>0.3170305677</v>
      </c>
      <c r="I203" s="8">
        <f>IFERROR(__xludf.DUMMYFUNCTION("""COMPUTED_VALUE"""),0.258605472197705)</f>
        <v>0.2586054722</v>
      </c>
      <c r="J203" s="8">
        <f>IFERROR(__xludf.DUMMYFUNCTION("""COMPUTED_VALUE"""),0.212938005390835)</f>
        <v>0.2129380054</v>
      </c>
      <c r="K203" s="8">
        <f>IFERROR(__xludf.DUMMYFUNCTION("""COMPUTED_VALUE"""),0.202370100273473)</f>
        <v>0.2023701003</v>
      </c>
      <c r="L203" s="8">
        <f>IFERROR(__xludf.DUMMYFUNCTION("""COMPUTED_VALUE"""),0.209842154131847)</f>
        <v>0.2098421541</v>
      </c>
      <c r="M203" s="8">
        <f>IFERROR(__xludf.DUMMYFUNCTION("""COMPUTED_VALUE"""),0.174285714285714)</f>
        <v>0.1742857143</v>
      </c>
      <c r="N203" s="8">
        <f>IFERROR(__xludf.DUMMYFUNCTION("""COMPUTED_VALUE"""),0.15506958250497)</f>
        <v>0.1550695825</v>
      </c>
      <c r="O203" s="8">
        <f>IFERROR(__xludf.DUMMYFUNCTION("""COMPUTED_VALUE"""),0.104430379746835)</f>
        <v>0.1044303797</v>
      </c>
      <c r="P203" s="8">
        <f>IFERROR(__xludf.DUMMYFUNCTION("""COMPUTED_VALUE"""),0.0585048754062838)</f>
        <v>0.05850487541</v>
      </c>
      <c r="Q203" s="8">
        <f>IFERROR(__xludf.DUMMYFUNCTION("""COMPUTED_VALUE"""),0.0311778290993071)</f>
        <v>0.0311778291</v>
      </c>
      <c r="R203" s="8">
        <f>IFERROR(__xludf.DUMMYFUNCTION("""COMPUTED_VALUE"""),0.0198511166253101)</f>
        <v>0.01985111663</v>
      </c>
      <c r="S203" s="8">
        <f>IFERROR(__xludf.DUMMYFUNCTION("""COMPUTED_VALUE"""),0.0204638472032742)</f>
        <v>0.0204638472</v>
      </c>
      <c r="T203" s="8">
        <f>IFERROR(__xludf.DUMMYFUNCTION("""COMPUTED_VALUE"""),0.0212765957446808)</f>
        <v>0.02127659574</v>
      </c>
      <c r="U203" s="8">
        <f>IFERROR(__xludf.DUMMYFUNCTION("""COMPUTED_VALUE"""),0.0103270223752151)</f>
        <v>0.01032702238</v>
      </c>
      <c r="V203" s="8">
        <f>IFERROR(__xludf.DUMMYFUNCTION("""COMPUTED_VALUE"""),0.00559701492537313)</f>
        <v>0.005597014925</v>
      </c>
      <c r="W203" s="8">
        <f>IFERROR(__xludf.DUMMYFUNCTION("""COMPUTED_VALUE"""),0.00227272727272727)</f>
        <v>0.002272727273</v>
      </c>
      <c r="X203" s="8">
        <f>IFERROR(__xludf.DUMMYFUNCTION("""COMPUTED_VALUE"""),0.00253164556962025)</f>
        <v>0.00253164557</v>
      </c>
      <c r="Y203" s="8">
        <f>IFERROR(__xludf.DUMMYFUNCTION("""COMPUTED_VALUE"""),0.0)</f>
        <v>0</v>
      </c>
      <c r="Z203" s="8">
        <f>IFERROR(__xludf.DUMMYFUNCTION("""COMPUTED_VALUE"""),0.0)</f>
        <v>0</v>
      </c>
      <c r="AA203" s="8">
        <f>IFERROR(__xludf.DUMMYFUNCTION("""COMPUTED_VALUE"""),0.0)</f>
        <v>0</v>
      </c>
      <c r="AB203" s="8">
        <f>IFERROR(__xludf.DUMMYFUNCTION("""COMPUTED_VALUE"""),0.0)</f>
        <v>0</v>
      </c>
      <c r="AC203" s="8">
        <f>IFERROR(__xludf.DUMMYFUNCTION("""COMPUTED_VALUE"""),0.0)</f>
        <v>0</v>
      </c>
    </row>
    <row r="204" ht="15.75" customHeight="1">
      <c r="A204" s="6" t="str">
        <f>IFERROR(__xludf.DUMMYFUNCTION("""COMPUTED_VALUE"""),"b4357a596922bd37b47ec2573cd92ac18997c713")</f>
        <v>b4357a596922bd37b47ec2573cd92ac18997c713</v>
      </c>
      <c r="B204" s="6" t="str">
        <f>IFERROR(__xludf.DUMMYFUNCTION("""COMPUTED_VALUE"""),"Immortal Ascension")</f>
        <v>Immortal Ascension</v>
      </c>
      <c r="C204" s="6" t="str">
        <f>IFERROR(__xludf.DUMMYFUNCTION("""COMPUTED_VALUE"""),"System and Superpower")</f>
        <v>System and Superpower</v>
      </c>
      <c r="D204" s="11">
        <f>IFERROR(__xludf.DUMMYFUNCTION("""COMPUTED_VALUE"""),1283.0)</f>
        <v>1283</v>
      </c>
      <c r="E204" s="8">
        <f>IFERROR(__xludf.DUMMYFUNCTION("""COMPUTED_VALUE"""),0.982839313572543)</f>
        <v>0.9828393136</v>
      </c>
      <c r="F204" s="8">
        <f>IFERROR(__xludf.DUMMYFUNCTION("""COMPUTED_VALUE"""),0.495706479313036)</f>
        <v>0.4957064793</v>
      </c>
      <c r="G204" s="8">
        <f>IFERROR(__xludf.DUMMYFUNCTION("""COMPUTED_VALUE"""),0.412040656763096)</f>
        <v>0.4120406568</v>
      </c>
      <c r="H204" s="8">
        <f>IFERROR(__xludf.DUMMYFUNCTION("""COMPUTED_VALUE"""),0.381548084440969)</f>
        <v>0.3815480844</v>
      </c>
      <c r="I204" s="8">
        <f>IFERROR(__xludf.DUMMYFUNCTION("""COMPUTED_VALUE"""),0.357086922474549)</f>
        <v>0.3570869225</v>
      </c>
      <c r="J204" s="8">
        <f>IFERROR(__xludf.DUMMYFUNCTION("""COMPUTED_VALUE"""),0.323667711598746)</f>
        <v>0.3236677116</v>
      </c>
      <c r="K204" s="8">
        <f>IFERROR(__xludf.DUMMYFUNCTION("""COMPUTED_VALUE"""),0.300156739811912)</f>
        <v>0.3001567398</v>
      </c>
      <c r="L204" s="8">
        <f>IFERROR(__xludf.DUMMYFUNCTION("""COMPUTED_VALUE"""),0.268235294117647)</f>
        <v>0.2682352941</v>
      </c>
      <c r="M204" s="8">
        <f>IFERROR(__xludf.DUMMYFUNCTION("""COMPUTED_VALUE"""),0.249018067556952)</f>
        <v>0.2490180676</v>
      </c>
      <c r="N204" s="8">
        <f>IFERROR(__xludf.DUMMYFUNCTION("""COMPUTED_VALUE"""),0.238358326756116)</f>
        <v>0.2383583268</v>
      </c>
      <c r="O204" s="8">
        <f>IFERROR(__xludf.DUMMYFUNCTION("""COMPUTED_VALUE"""),0.1752)</f>
        <v>0.1752</v>
      </c>
      <c r="P204" s="8">
        <f>IFERROR(__xludf.DUMMYFUNCTION("""COMPUTED_VALUE"""),0.0975160993560257)</f>
        <v>0.09751609936</v>
      </c>
      <c r="Q204" s="8">
        <f>IFERROR(__xludf.DUMMYFUNCTION("""COMPUTED_VALUE"""),0.0519480519480519)</f>
        <v>0.05194805195</v>
      </c>
      <c r="R204" s="8">
        <f>IFERROR(__xludf.DUMMYFUNCTION("""COMPUTED_VALUE"""),0.025)</f>
        <v>0.025</v>
      </c>
      <c r="S204" s="8">
        <f>IFERROR(__xludf.DUMMYFUNCTION("""COMPUTED_VALUE"""),0.0)</f>
        <v>0</v>
      </c>
      <c r="T204" s="8">
        <f>IFERROR(__xludf.DUMMYFUNCTION("""COMPUTED_VALUE"""),0.0)</f>
        <v>0</v>
      </c>
      <c r="U204" s="8">
        <f>IFERROR(__xludf.DUMMYFUNCTION("""COMPUTED_VALUE"""),0.0)</f>
        <v>0</v>
      </c>
      <c r="V204" s="8">
        <f>IFERROR(__xludf.DUMMYFUNCTION("""COMPUTED_VALUE"""),0.0)</f>
        <v>0</v>
      </c>
      <c r="W204" s="8">
        <f>IFERROR(__xludf.DUMMYFUNCTION("""COMPUTED_VALUE"""),0.0)</f>
        <v>0</v>
      </c>
      <c r="X204" s="8">
        <f>IFERROR(__xludf.DUMMYFUNCTION("""COMPUTED_VALUE"""),0.0)</f>
        <v>0</v>
      </c>
      <c r="Y204" s="8">
        <f>IFERROR(__xludf.DUMMYFUNCTION("""COMPUTED_VALUE"""),0.0)</f>
        <v>0</v>
      </c>
      <c r="Z204" s="8">
        <f>IFERROR(__xludf.DUMMYFUNCTION("""COMPUTED_VALUE"""),0.0)</f>
        <v>0</v>
      </c>
      <c r="AA204" s="8">
        <f>IFERROR(__xludf.DUMMYFUNCTION("""COMPUTED_VALUE"""),0.0)</f>
        <v>0</v>
      </c>
      <c r="AB204" s="8">
        <f>IFERROR(__xludf.DUMMYFUNCTION("""COMPUTED_VALUE"""),0.0)</f>
        <v>0</v>
      </c>
      <c r="AC204" s="8">
        <f>IFERROR(__xludf.DUMMYFUNCTION("""COMPUTED_VALUE"""),0.0)</f>
        <v>0</v>
      </c>
    </row>
    <row r="205" ht="15.75" customHeight="1">
      <c r="A205" s="6" t="str">
        <f>IFERROR(__xludf.DUMMYFUNCTION("""COMPUTED_VALUE"""),"b4ba67822e15bf23c0044676b09f1aeb405d154f")</f>
        <v>b4ba67822e15bf23c0044676b09f1aeb405d154f</v>
      </c>
      <c r="B205" s="6" t="str">
        <f>IFERROR(__xludf.DUMMYFUNCTION("""COMPUTED_VALUE"""),"The Twin Affair")</f>
        <v>The Twin Affair</v>
      </c>
      <c r="C205" s="6" t="str">
        <f>IFERROR(__xludf.DUMMYFUNCTION("""COMPUTED_VALUE"""),"Romantasy")</f>
        <v>Romantasy</v>
      </c>
      <c r="D205" s="11">
        <f>IFERROR(__xludf.DUMMYFUNCTION("""COMPUTED_VALUE"""),4832.0)</f>
        <v>4832</v>
      </c>
      <c r="E205" s="8">
        <f>IFERROR(__xludf.DUMMYFUNCTION("""COMPUTED_VALUE"""),0.929842715231788)</f>
        <v>0.9298427152</v>
      </c>
      <c r="F205" s="8">
        <f>IFERROR(__xludf.DUMMYFUNCTION("""COMPUTED_VALUE"""),0.571339821909298)</f>
        <v>0.5713398219</v>
      </c>
      <c r="G205" s="8">
        <f>IFERROR(__xludf.DUMMYFUNCTION("""COMPUTED_VALUE"""),0.525160488714019)</f>
        <v>0.5251604887</v>
      </c>
      <c r="H205" s="8">
        <f>IFERROR(__xludf.DUMMYFUNCTION("""COMPUTED_VALUE"""),0.49264858148685)</f>
        <v>0.4926485815</v>
      </c>
      <c r="I205" s="8">
        <f>IFERROR(__xludf.DUMMYFUNCTION("""COMPUTED_VALUE"""),0.468834127148477)</f>
        <v>0.4688341271</v>
      </c>
      <c r="J205" s="8">
        <f>IFERROR(__xludf.DUMMYFUNCTION("""COMPUTED_VALUE"""),0.446469248291571)</f>
        <v>0.4464692483</v>
      </c>
      <c r="K205" s="8">
        <f>IFERROR(__xludf.DUMMYFUNCTION("""COMPUTED_VALUE"""),0.434458480016566)</f>
        <v>0.43445848</v>
      </c>
      <c r="L205" s="8">
        <f>IFERROR(__xludf.DUMMYFUNCTION("""COMPUTED_VALUE"""),0.412921930006212)</f>
        <v>0.41292193</v>
      </c>
      <c r="M205" s="8">
        <f>IFERROR(__xludf.DUMMYFUNCTION("""COMPUTED_VALUE"""),0.400704079519569)</f>
        <v>0.4007040795</v>
      </c>
      <c r="N205" s="8">
        <f>IFERROR(__xludf.DUMMYFUNCTION("""COMPUTED_VALUE"""),0.385172913646717)</f>
        <v>0.3851729136</v>
      </c>
      <c r="O205" s="8">
        <f>IFERROR(__xludf.DUMMYFUNCTION("""COMPUTED_VALUE"""),0.36378703128237)</f>
        <v>0.3637870313</v>
      </c>
      <c r="P205" s="8">
        <f>IFERROR(__xludf.DUMMYFUNCTION("""COMPUTED_VALUE"""),0.336308905958065)</f>
        <v>0.336308906</v>
      </c>
      <c r="Q205" s="8">
        <f>IFERROR(__xludf.DUMMYFUNCTION("""COMPUTED_VALUE"""),0.223893065998329)</f>
        <v>0.223893066</v>
      </c>
      <c r="R205" s="8">
        <f>IFERROR(__xludf.DUMMYFUNCTION("""COMPUTED_VALUE"""),0.142857142857142)</f>
        <v>0.1428571429</v>
      </c>
      <c r="S205" s="8">
        <f>IFERROR(__xludf.DUMMYFUNCTION("""COMPUTED_VALUE"""),0.0)</f>
        <v>0</v>
      </c>
      <c r="T205" s="8">
        <f>IFERROR(__xludf.DUMMYFUNCTION("""COMPUTED_VALUE"""),0.0)</f>
        <v>0</v>
      </c>
      <c r="U205" s="8">
        <f>IFERROR(__xludf.DUMMYFUNCTION("""COMPUTED_VALUE"""),0.0)</f>
        <v>0</v>
      </c>
      <c r="V205" s="8">
        <f>IFERROR(__xludf.DUMMYFUNCTION("""COMPUTED_VALUE"""),0.0)</f>
        <v>0</v>
      </c>
      <c r="W205" s="8">
        <f>IFERROR(__xludf.DUMMYFUNCTION("""COMPUTED_VALUE"""),0.0)</f>
        <v>0</v>
      </c>
      <c r="X205" s="8">
        <f>IFERROR(__xludf.DUMMYFUNCTION("""COMPUTED_VALUE"""),0.0)</f>
        <v>0</v>
      </c>
      <c r="Y205" s="8">
        <f>IFERROR(__xludf.DUMMYFUNCTION("""COMPUTED_VALUE"""),0.0)</f>
        <v>0</v>
      </c>
      <c r="Z205" s="8">
        <f>IFERROR(__xludf.DUMMYFUNCTION("""COMPUTED_VALUE"""),0.0)</f>
        <v>0</v>
      </c>
      <c r="AA205" s="8">
        <f>IFERROR(__xludf.DUMMYFUNCTION("""COMPUTED_VALUE"""),0.0)</f>
        <v>0</v>
      </c>
      <c r="AB205" s="8">
        <f>IFERROR(__xludf.DUMMYFUNCTION("""COMPUTED_VALUE"""),0.0)</f>
        <v>0</v>
      </c>
      <c r="AC205" s="8">
        <f>IFERROR(__xludf.DUMMYFUNCTION("""COMPUTED_VALUE"""),0.0)</f>
        <v>0</v>
      </c>
    </row>
    <row r="206" ht="15.75" customHeight="1">
      <c r="A206" s="6" t="str">
        <f>IFERROR(__xludf.DUMMYFUNCTION("""COMPUTED_VALUE"""),"b6ceacf9ec08a19cb30826c8277260c2339da0b3")</f>
        <v>b6ceacf9ec08a19cb30826c8277260c2339da0b3</v>
      </c>
      <c r="B206" s="6" t="str">
        <f>IFERROR(__xludf.DUMMYFUNCTION("""COMPUTED_VALUE"""),"Ruthless Betrayal ")</f>
        <v>Ruthless Betrayal </v>
      </c>
      <c r="C206" s="6" t="str">
        <f>IFERROR(__xludf.DUMMYFUNCTION("""COMPUTED_VALUE"""),"Romance")</f>
        <v>Romance</v>
      </c>
      <c r="D206" s="11">
        <f>IFERROR(__xludf.DUMMYFUNCTION("""COMPUTED_VALUE"""),974.0)</f>
        <v>974</v>
      </c>
      <c r="E206" s="8">
        <f>IFERROR(__xludf.DUMMYFUNCTION("""COMPUTED_VALUE"""),0.949380165289256)</f>
        <v>0.9493801653</v>
      </c>
      <c r="F206" s="8">
        <f>IFERROR(__xludf.DUMMYFUNCTION("""COMPUTED_VALUE"""),0.460732984293193)</f>
        <v>0.4607329843</v>
      </c>
      <c r="G206" s="8">
        <f>IFERROR(__xludf.DUMMYFUNCTION("""COMPUTED_VALUE"""),0.364879074658254)</f>
        <v>0.3648790747</v>
      </c>
      <c r="H206" s="8">
        <f>IFERROR(__xludf.DUMMYFUNCTION("""COMPUTED_VALUE"""),0.325925925925925)</f>
        <v>0.3259259259</v>
      </c>
      <c r="I206" s="8">
        <f>IFERROR(__xludf.DUMMYFUNCTION("""COMPUTED_VALUE"""),0.314952279957582)</f>
        <v>0.31495228</v>
      </c>
      <c r="J206" s="8">
        <f>IFERROR(__xludf.DUMMYFUNCTION("""COMPUTED_VALUE"""),0.288770053475935)</f>
        <v>0.2887700535</v>
      </c>
      <c r="K206" s="8">
        <f>IFERROR(__xludf.DUMMYFUNCTION("""COMPUTED_VALUE"""),0.264516129032258)</f>
        <v>0.264516129</v>
      </c>
      <c r="L206" s="8">
        <f>IFERROR(__xludf.DUMMYFUNCTION("""COMPUTED_VALUE"""),0.233809001097694)</f>
        <v>0.2338090011</v>
      </c>
      <c r="M206" s="8">
        <f>IFERROR(__xludf.DUMMYFUNCTION("""COMPUTED_VALUE"""),0.245303867403314)</f>
        <v>0.2453038674</v>
      </c>
      <c r="N206" s="8">
        <f>IFERROR(__xludf.DUMMYFUNCTION("""COMPUTED_VALUE"""),0.220224719101123)</f>
        <v>0.2202247191</v>
      </c>
      <c r="O206" s="8">
        <f>IFERROR(__xludf.DUMMYFUNCTION("""COMPUTED_VALUE"""),0.1875)</f>
        <v>0.1875</v>
      </c>
      <c r="P206" s="8">
        <f>IFERROR(__xludf.DUMMYFUNCTION("""COMPUTED_VALUE"""),0.0942472460220318)</f>
        <v>0.09424724602</v>
      </c>
      <c r="Q206" s="8">
        <f>IFERROR(__xludf.DUMMYFUNCTION("""COMPUTED_VALUE"""),0.0683506686478454)</f>
        <v>0.06835066865</v>
      </c>
      <c r="R206" s="8">
        <f>IFERROR(__xludf.DUMMYFUNCTION("""COMPUTED_VALUE"""),0.0)</f>
        <v>0</v>
      </c>
      <c r="S206" s="8">
        <f>IFERROR(__xludf.DUMMYFUNCTION("""COMPUTED_VALUE"""),0.0)</f>
        <v>0</v>
      </c>
      <c r="T206" s="8">
        <f>IFERROR(__xludf.DUMMYFUNCTION("""COMPUTED_VALUE"""),0.0)</f>
        <v>0</v>
      </c>
      <c r="U206" s="8">
        <f>IFERROR(__xludf.DUMMYFUNCTION("""COMPUTED_VALUE"""),0.0)</f>
        <v>0</v>
      </c>
      <c r="V206" s="8">
        <f>IFERROR(__xludf.DUMMYFUNCTION("""COMPUTED_VALUE"""),0.0)</f>
        <v>0</v>
      </c>
      <c r="W206" s="8">
        <f>IFERROR(__xludf.DUMMYFUNCTION("""COMPUTED_VALUE"""),0.0)</f>
        <v>0</v>
      </c>
      <c r="X206" s="8">
        <f>IFERROR(__xludf.DUMMYFUNCTION("""COMPUTED_VALUE"""),0.0)</f>
        <v>0</v>
      </c>
      <c r="Y206" s="8">
        <f>IFERROR(__xludf.DUMMYFUNCTION("""COMPUTED_VALUE"""),0.0)</f>
        <v>0</v>
      </c>
      <c r="Z206" s="8">
        <f>IFERROR(__xludf.DUMMYFUNCTION("""COMPUTED_VALUE"""),0.0)</f>
        <v>0</v>
      </c>
      <c r="AA206" s="8">
        <f>IFERROR(__xludf.DUMMYFUNCTION("""COMPUTED_VALUE"""),0.0)</f>
        <v>0</v>
      </c>
      <c r="AB206" s="8">
        <f>IFERROR(__xludf.DUMMYFUNCTION("""COMPUTED_VALUE"""),0.0)</f>
        <v>0</v>
      </c>
      <c r="AC206" s="8">
        <f>IFERROR(__xludf.DUMMYFUNCTION("""COMPUTED_VALUE"""),0.0)</f>
        <v>0</v>
      </c>
    </row>
    <row r="207" ht="15.75" customHeight="1">
      <c r="A207" s="6" t="str">
        <f>IFERROR(__xludf.DUMMYFUNCTION("""COMPUTED_VALUE"""),"b6dcffd8fcb56899f1036740aa43dcb9b648ffe5")</f>
        <v>b6dcffd8fcb56899f1036740aa43dcb9b648ffe5</v>
      </c>
      <c r="B207" s="6" t="str">
        <f>IFERROR(__xludf.DUMMYFUNCTION("""COMPUTED_VALUE"""),"His Zealous Years Ahead")</f>
        <v>His Zealous Years Ahead</v>
      </c>
      <c r="C207" s="6" t="str">
        <f>IFERROR(__xludf.DUMMYFUNCTION("""COMPUTED_VALUE"""),"Fantasy")</f>
        <v>Fantasy</v>
      </c>
      <c r="D207" s="11">
        <f>IFERROR(__xludf.DUMMYFUNCTION("""COMPUTED_VALUE"""),625.0)</f>
        <v>625</v>
      </c>
      <c r="E207" s="8">
        <f>IFERROR(__xludf.DUMMYFUNCTION("""COMPUTED_VALUE"""),0.965742251223491)</f>
        <v>0.9657422512</v>
      </c>
      <c r="F207" s="8">
        <f>IFERROR(__xludf.DUMMYFUNCTION("""COMPUTED_VALUE"""),0.484949832775919)</f>
        <v>0.4849498328</v>
      </c>
      <c r="G207" s="8">
        <f>IFERROR(__xludf.DUMMYFUNCTION("""COMPUTED_VALUE"""),0.432478632478632)</f>
        <v>0.4324786325</v>
      </c>
      <c r="H207" s="8">
        <f>IFERROR(__xludf.DUMMYFUNCTION("""COMPUTED_VALUE"""),0.393298059964726)</f>
        <v>0.39329806</v>
      </c>
      <c r="I207" s="8">
        <f>IFERROR(__xludf.DUMMYFUNCTION("""COMPUTED_VALUE"""),0.347747747747747)</f>
        <v>0.3477477477</v>
      </c>
      <c r="J207" s="8">
        <f>IFERROR(__xludf.DUMMYFUNCTION("""COMPUTED_VALUE"""),0.332082551594746)</f>
        <v>0.3320825516</v>
      </c>
      <c r="K207" s="8">
        <f>IFERROR(__xludf.DUMMYFUNCTION("""COMPUTED_VALUE"""),0.313461538461538)</f>
        <v>0.3134615385</v>
      </c>
      <c r="L207" s="8">
        <f>IFERROR(__xludf.DUMMYFUNCTION("""COMPUTED_VALUE"""),0.298)</f>
        <v>0.298</v>
      </c>
      <c r="M207" s="8">
        <f>IFERROR(__xludf.DUMMYFUNCTION("""COMPUTED_VALUE"""),0.265848670756646)</f>
        <v>0.2658486708</v>
      </c>
      <c r="N207" s="8">
        <f>IFERROR(__xludf.DUMMYFUNCTION("""COMPUTED_VALUE"""),0.268398268398268)</f>
        <v>0.2683982684</v>
      </c>
      <c r="O207" s="8">
        <f>IFERROR(__xludf.DUMMYFUNCTION("""COMPUTED_VALUE"""),0.245145631067961)</f>
        <v>0.2451456311</v>
      </c>
      <c r="P207" s="8">
        <f>IFERROR(__xludf.DUMMYFUNCTION("""COMPUTED_VALUE"""),0.170040485829959)</f>
        <v>0.1700404858</v>
      </c>
      <c r="Q207" s="8">
        <f>IFERROR(__xludf.DUMMYFUNCTION("""COMPUTED_VALUE"""),0.0769230769230769)</f>
        <v>0.07692307692</v>
      </c>
      <c r="R207" s="8">
        <f>IFERROR(__xludf.DUMMYFUNCTION("""COMPUTED_VALUE"""),0.0)</f>
        <v>0</v>
      </c>
      <c r="S207" s="8">
        <f>IFERROR(__xludf.DUMMYFUNCTION("""COMPUTED_VALUE"""),0.0)</f>
        <v>0</v>
      </c>
      <c r="T207" s="8">
        <f>IFERROR(__xludf.DUMMYFUNCTION("""COMPUTED_VALUE"""),0.0)</f>
        <v>0</v>
      </c>
      <c r="U207" s="8">
        <f>IFERROR(__xludf.DUMMYFUNCTION("""COMPUTED_VALUE"""),0.0)</f>
        <v>0</v>
      </c>
      <c r="V207" s="8">
        <f>IFERROR(__xludf.DUMMYFUNCTION("""COMPUTED_VALUE"""),0.0)</f>
        <v>0</v>
      </c>
      <c r="W207" s="8">
        <f>IFERROR(__xludf.DUMMYFUNCTION("""COMPUTED_VALUE"""),0.0)</f>
        <v>0</v>
      </c>
      <c r="X207" s="8">
        <f>IFERROR(__xludf.DUMMYFUNCTION("""COMPUTED_VALUE"""),0.0)</f>
        <v>0</v>
      </c>
      <c r="Y207" s="8">
        <f>IFERROR(__xludf.DUMMYFUNCTION("""COMPUTED_VALUE"""),0.0)</f>
        <v>0</v>
      </c>
      <c r="Z207" s="8">
        <f>IFERROR(__xludf.DUMMYFUNCTION("""COMPUTED_VALUE"""),0.0)</f>
        <v>0</v>
      </c>
      <c r="AA207" s="8">
        <f>IFERROR(__xludf.DUMMYFUNCTION("""COMPUTED_VALUE"""),0.0)</f>
        <v>0</v>
      </c>
      <c r="AB207" s="8">
        <f>IFERROR(__xludf.DUMMYFUNCTION("""COMPUTED_VALUE"""),0.0)</f>
        <v>0</v>
      </c>
      <c r="AC207" s="8">
        <f>IFERROR(__xludf.DUMMYFUNCTION("""COMPUTED_VALUE"""),0.0)</f>
        <v>0</v>
      </c>
    </row>
    <row r="208" ht="15.75" customHeight="1">
      <c r="A208" s="6" t="str">
        <f>IFERROR(__xludf.DUMMYFUNCTION("""COMPUTED_VALUE"""),"b7410aeb19f92f7df4ccab821b5a28bfd7d73027")</f>
        <v>b7410aeb19f92f7df4ccab821b5a28bfd7d73027</v>
      </c>
      <c r="B208" s="6" t="str">
        <f>IFERROR(__xludf.DUMMYFUNCTION("""COMPUTED_VALUE"""),"Alpha Regulus")</f>
        <v>Alpha Regulus</v>
      </c>
      <c r="C208" s="6" t="str">
        <f>IFERROR(__xludf.DUMMYFUNCTION("""COMPUTED_VALUE"""),"Romantasy")</f>
        <v>Romantasy</v>
      </c>
      <c r="D208" s="11">
        <f>IFERROR(__xludf.DUMMYFUNCTION("""COMPUTED_VALUE"""),2876.0)</f>
        <v>2876</v>
      </c>
      <c r="E208" s="8">
        <f>IFERROR(__xludf.DUMMYFUNCTION("""COMPUTED_VALUE"""),0.96)</f>
        <v>0.96</v>
      </c>
      <c r="F208" s="8">
        <f>IFERROR(__xludf.DUMMYFUNCTION("""COMPUTED_VALUE"""),0.472473867595818)</f>
        <v>0.4724738676</v>
      </c>
      <c r="G208" s="8">
        <f>IFERROR(__xludf.DUMMYFUNCTION("""COMPUTED_VALUE"""),0.389392882065596)</f>
        <v>0.3893928821</v>
      </c>
      <c r="H208" s="8">
        <f>IFERROR(__xludf.DUMMYFUNCTION("""COMPUTED_VALUE"""),0.337988826815642)</f>
        <v>0.3379888268</v>
      </c>
      <c r="I208" s="8">
        <f>IFERROR(__xludf.DUMMYFUNCTION("""COMPUTED_VALUE"""),0.296891372685993)</f>
        <v>0.2968913727</v>
      </c>
      <c r="J208" s="8">
        <f>IFERROR(__xludf.DUMMYFUNCTION("""COMPUTED_VALUE"""),0.269042627533193)</f>
        <v>0.2690426275</v>
      </c>
      <c r="K208" s="8">
        <f>IFERROR(__xludf.DUMMYFUNCTION("""COMPUTED_VALUE"""),0.251921733053808)</f>
        <v>0.2519217331</v>
      </c>
      <c r="L208" s="8">
        <f>IFERROR(__xludf.DUMMYFUNCTION("""COMPUTED_VALUE"""),0.227892345333799)</f>
        <v>0.2278923453</v>
      </c>
      <c r="M208" s="8">
        <f>IFERROR(__xludf.DUMMYFUNCTION("""COMPUTED_VALUE"""),0.210912906610703)</f>
        <v>0.2109129066</v>
      </c>
      <c r="N208" s="8">
        <f>IFERROR(__xludf.DUMMYFUNCTION("""COMPUTED_VALUE"""),0.197967764540995)</f>
        <v>0.1979677645</v>
      </c>
      <c r="O208" s="8">
        <f>IFERROR(__xludf.DUMMYFUNCTION("""COMPUTED_VALUE"""),0.165741768405475)</f>
        <v>0.1657417684</v>
      </c>
      <c r="P208" s="8">
        <f>IFERROR(__xludf.DUMMYFUNCTION("""COMPUTED_VALUE"""),0.145918832649338)</f>
        <v>0.1459188326</v>
      </c>
      <c r="Q208" s="8">
        <f>IFERROR(__xludf.DUMMYFUNCTION("""COMPUTED_VALUE"""),0.111791730474732)</f>
        <v>0.1117917305</v>
      </c>
      <c r="R208" s="8">
        <f>IFERROR(__xludf.DUMMYFUNCTION("""COMPUTED_VALUE"""),0.0870685213807315)</f>
        <v>0.08706852138</v>
      </c>
      <c r="S208" s="8">
        <f>IFERROR(__xludf.DUMMYFUNCTION("""COMPUTED_VALUE"""),0.0790645879732739)</f>
        <v>0.07906458797</v>
      </c>
      <c r="T208" s="8">
        <f>IFERROR(__xludf.DUMMYFUNCTION("""COMPUTED_VALUE"""),0.0713333333333333)</f>
        <v>0.07133333333</v>
      </c>
      <c r="U208" s="8">
        <f>IFERROR(__xludf.DUMMYFUNCTION("""COMPUTED_VALUE"""),0.0574792243767313)</f>
        <v>0.05747922438</v>
      </c>
      <c r="V208" s="8">
        <f>IFERROR(__xludf.DUMMYFUNCTION("""COMPUTED_VALUE"""),0.0444126074498567)</f>
        <v>0.04441260745</v>
      </c>
      <c r="W208" s="8">
        <f>IFERROR(__xludf.DUMMYFUNCTION("""COMPUTED_VALUE"""),0.0381944444444444)</f>
        <v>0.03819444444</v>
      </c>
      <c r="X208" s="8">
        <f>IFERROR(__xludf.DUMMYFUNCTION("""COMPUTED_VALUE"""),0.0326609029779058)</f>
        <v>0.03266090298</v>
      </c>
      <c r="Y208" s="8">
        <f>IFERROR(__xludf.DUMMYFUNCTION("""COMPUTED_VALUE"""),0.0)</f>
        <v>0</v>
      </c>
      <c r="Z208" s="8">
        <f>IFERROR(__xludf.DUMMYFUNCTION("""COMPUTED_VALUE"""),0.0)</f>
        <v>0</v>
      </c>
      <c r="AA208" s="8">
        <f>IFERROR(__xludf.DUMMYFUNCTION("""COMPUTED_VALUE"""),0.0)</f>
        <v>0</v>
      </c>
      <c r="AB208" s="8">
        <f>IFERROR(__xludf.DUMMYFUNCTION("""COMPUTED_VALUE"""),0.0)</f>
        <v>0</v>
      </c>
      <c r="AC208" s="8">
        <f>IFERROR(__xludf.DUMMYFUNCTION("""COMPUTED_VALUE"""),0.0)</f>
        <v>0</v>
      </c>
    </row>
    <row r="209" ht="15.75" customHeight="1">
      <c r="A209" s="6" t="str">
        <f>IFERROR(__xludf.DUMMYFUNCTION("""COMPUTED_VALUE"""),"b7e62e1ec65efcef334c2161afd00edf7b5a2b09")</f>
        <v>b7e62e1ec65efcef334c2161afd00edf7b5a2b09</v>
      </c>
      <c r="B209" s="6" t="str">
        <f>IFERROR(__xludf.DUMMYFUNCTION("""COMPUTED_VALUE"""),"Thrones and Passion")</f>
        <v>Thrones and Passion</v>
      </c>
      <c r="C209" s="6" t="str">
        <f>IFERROR(__xludf.DUMMYFUNCTION("""COMPUTED_VALUE"""),"Romance")</f>
        <v>Romance</v>
      </c>
      <c r="D209" s="11">
        <f>IFERROR(__xludf.DUMMYFUNCTION("""COMPUTED_VALUE"""),3098.0)</f>
        <v>3098</v>
      </c>
      <c r="E209" s="8">
        <f>IFERROR(__xludf.DUMMYFUNCTION("""COMPUTED_VALUE"""),0.979678793838085)</f>
        <v>0.9796787938</v>
      </c>
      <c r="F209" s="8">
        <f>IFERROR(__xludf.DUMMYFUNCTION("""COMPUTED_VALUE"""),0.280203045685279)</f>
        <v>0.2802030457</v>
      </c>
      <c r="G209" s="8">
        <f>IFERROR(__xludf.DUMMYFUNCTION("""COMPUTED_VALUE"""),0.223440712816997)</f>
        <v>0.2234407128</v>
      </c>
      <c r="H209" s="8">
        <f>IFERROR(__xludf.DUMMYFUNCTION("""COMPUTED_VALUE"""),0.205394190871369)</f>
        <v>0.2053941909</v>
      </c>
      <c r="I209" s="8">
        <f>IFERROR(__xludf.DUMMYFUNCTION("""COMPUTED_VALUE"""),0.190260869565217)</f>
        <v>0.1902608696</v>
      </c>
      <c r="J209" s="8">
        <f>IFERROR(__xludf.DUMMYFUNCTION("""COMPUTED_VALUE"""),0.17874736101337)</f>
        <v>0.178747361</v>
      </c>
      <c r="K209" s="8">
        <f>IFERROR(__xludf.DUMMYFUNCTION("""COMPUTED_VALUE"""),0.169534050179211)</f>
        <v>0.1695340502</v>
      </c>
      <c r="L209" s="8">
        <f>IFERROR(__xludf.DUMMYFUNCTION("""COMPUTED_VALUE"""),0.157777777777777)</f>
        <v>0.1577777778</v>
      </c>
      <c r="M209" s="8">
        <f>IFERROR(__xludf.DUMMYFUNCTION("""COMPUTED_VALUE"""),0.146415094339622)</f>
        <v>0.1464150943</v>
      </c>
      <c r="N209" s="8">
        <f>IFERROR(__xludf.DUMMYFUNCTION("""COMPUTED_VALUE"""),0.132215288611544)</f>
        <v>0.1322152886</v>
      </c>
      <c r="O209" s="8">
        <f>IFERROR(__xludf.DUMMYFUNCTION("""COMPUTED_VALUE"""),0.110910730387736)</f>
        <v>0.1109107304</v>
      </c>
      <c r="P209" s="8">
        <f>IFERROR(__xludf.DUMMYFUNCTION("""COMPUTED_VALUE"""),0.108899297423887)</f>
        <v>0.1088992974</v>
      </c>
      <c r="Q209" s="8">
        <f>IFERROR(__xludf.DUMMYFUNCTION("""COMPUTED_VALUE"""),0.06875)</f>
        <v>0.06875</v>
      </c>
      <c r="R209" s="8">
        <f>IFERROR(__xludf.DUMMYFUNCTION("""COMPUTED_VALUE"""),0.0)</f>
        <v>0</v>
      </c>
      <c r="S209" s="8">
        <f>IFERROR(__xludf.DUMMYFUNCTION("""COMPUTED_VALUE"""),0.0)</f>
        <v>0</v>
      </c>
      <c r="T209" s="8">
        <f>IFERROR(__xludf.DUMMYFUNCTION("""COMPUTED_VALUE"""),0.0)</f>
        <v>0</v>
      </c>
      <c r="U209" s="8">
        <f>IFERROR(__xludf.DUMMYFUNCTION("""COMPUTED_VALUE"""),0.0)</f>
        <v>0</v>
      </c>
      <c r="V209" s="8">
        <f>IFERROR(__xludf.DUMMYFUNCTION("""COMPUTED_VALUE"""),0.0)</f>
        <v>0</v>
      </c>
      <c r="W209" s="8">
        <f>IFERROR(__xludf.DUMMYFUNCTION("""COMPUTED_VALUE"""),0.0)</f>
        <v>0</v>
      </c>
      <c r="X209" s="8">
        <f>IFERROR(__xludf.DUMMYFUNCTION("""COMPUTED_VALUE"""),0.0)</f>
        <v>0</v>
      </c>
      <c r="Y209" s="8">
        <f>IFERROR(__xludf.DUMMYFUNCTION("""COMPUTED_VALUE"""),0.0)</f>
        <v>0</v>
      </c>
      <c r="Z209" s="8">
        <f>IFERROR(__xludf.DUMMYFUNCTION("""COMPUTED_VALUE"""),0.0)</f>
        <v>0</v>
      </c>
      <c r="AA209" s="8">
        <f>IFERROR(__xludf.DUMMYFUNCTION("""COMPUTED_VALUE"""),0.0)</f>
        <v>0</v>
      </c>
      <c r="AB209" s="8">
        <f>IFERROR(__xludf.DUMMYFUNCTION("""COMPUTED_VALUE"""),0.0)</f>
        <v>0</v>
      </c>
      <c r="AC209" s="8">
        <f>IFERROR(__xludf.DUMMYFUNCTION("""COMPUTED_VALUE"""),0.0)</f>
        <v>0</v>
      </c>
    </row>
    <row r="210" ht="15.75" customHeight="1">
      <c r="A210" s="6" t="str">
        <f>IFERROR(__xludf.DUMMYFUNCTION("""COMPUTED_VALUE"""),"ba0633322d2e3b1f5dc385fdef11110ad663eca3")</f>
        <v>ba0633322d2e3b1f5dc385fdef11110ad663eca3</v>
      </c>
      <c r="B210" s="6" t="str">
        <f>IFERROR(__xludf.DUMMYFUNCTION("""COMPUTED_VALUE"""),"Fated Billionaire Love")</f>
        <v>Fated Billionaire Love</v>
      </c>
      <c r="C210" s="6" t="str">
        <f>IFERROR(__xludf.DUMMYFUNCTION("""COMPUTED_VALUE"""),"Romance")</f>
        <v>Romance</v>
      </c>
      <c r="D210" s="11">
        <f>IFERROR(__xludf.DUMMYFUNCTION("""COMPUTED_VALUE"""),529.0)</f>
        <v>529</v>
      </c>
      <c r="E210" s="8">
        <f>IFERROR(__xludf.DUMMYFUNCTION("""COMPUTED_VALUE"""),0.950757575757575)</f>
        <v>0.9507575758</v>
      </c>
      <c r="F210" s="8">
        <f>IFERROR(__xludf.DUMMYFUNCTION("""COMPUTED_VALUE"""),0.622390891840607)</f>
        <v>0.6223908918</v>
      </c>
      <c r="G210" s="8">
        <f>IFERROR(__xludf.DUMMYFUNCTION("""COMPUTED_VALUE"""),0.493358633776091)</f>
        <v>0.4933586338</v>
      </c>
      <c r="H210" s="8">
        <f>IFERROR(__xludf.DUMMYFUNCTION("""COMPUTED_VALUE"""),0.409867172675521)</f>
        <v>0.4098671727</v>
      </c>
      <c r="I210" s="8">
        <f>IFERROR(__xludf.DUMMYFUNCTION("""COMPUTED_VALUE"""),0.363117870722433)</f>
        <v>0.3631178707</v>
      </c>
      <c r="J210" s="8">
        <f>IFERROR(__xludf.DUMMYFUNCTION("""COMPUTED_VALUE"""),0.323193916349809)</f>
        <v>0.3231939163</v>
      </c>
      <c r="K210" s="8">
        <f>IFERROR(__xludf.DUMMYFUNCTION("""COMPUTED_VALUE"""),0.31047619047619)</f>
        <v>0.3104761905</v>
      </c>
      <c r="L210" s="8">
        <f>IFERROR(__xludf.DUMMYFUNCTION("""COMPUTED_VALUE"""),0.282982791586998)</f>
        <v>0.2829827916</v>
      </c>
      <c r="M210" s="8">
        <f>IFERROR(__xludf.DUMMYFUNCTION("""COMPUTED_VALUE"""),0.275862068965517)</f>
        <v>0.275862069</v>
      </c>
      <c r="N210" s="8">
        <f>IFERROR(__xludf.DUMMYFUNCTION("""COMPUTED_VALUE"""),0.263969171483622)</f>
        <v>0.2639691715</v>
      </c>
      <c r="O210" s="8">
        <f>IFERROR(__xludf.DUMMYFUNCTION("""COMPUTED_VALUE"""),0.21917808219178)</f>
        <v>0.2191780822</v>
      </c>
      <c r="P210" s="8">
        <f>IFERROR(__xludf.DUMMYFUNCTION("""COMPUTED_VALUE"""),0.173447537473233)</f>
        <v>0.1734475375</v>
      </c>
      <c r="Q210" s="8">
        <f>IFERROR(__xludf.DUMMYFUNCTION("""COMPUTED_VALUE"""),0.103151862464183)</f>
        <v>0.1031518625</v>
      </c>
      <c r="R210" s="8">
        <f>IFERROR(__xludf.DUMMYFUNCTION("""COMPUTED_VALUE"""),0.0)</f>
        <v>0</v>
      </c>
      <c r="S210" s="8">
        <f>IFERROR(__xludf.DUMMYFUNCTION("""COMPUTED_VALUE"""),0.0)</f>
        <v>0</v>
      </c>
      <c r="T210" s="8">
        <f>IFERROR(__xludf.DUMMYFUNCTION("""COMPUTED_VALUE"""),0.0)</f>
        <v>0</v>
      </c>
      <c r="U210" s="8">
        <f>IFERROR(__xludf.DUMMYFUNCTION("""COMPUTED_VALUE"""),0.0)</f>
        <v>0</v>
      </c>
      <c r="V210" s="8">
        <f>IFERROR(__xludf.DUMMYFUNCTION("""COMPUTED_VALUE"""),0.0)</f>
        <v>0</v>
      </c>
      <c r="W210" s="8">
        <f>IFERROR(__xludf.DUMMYFUNCTION("""COMPUTED_VALUE"""),0.0)</f>
        <v>0</v>
      </c>
      <c r="X210" s="8">
        <f>IFERROR(__xludf.DUMMYFUNCTION("""COMPUTED_VALUE"""),0.0)</f>
        <v>0</v>
      </c>
      <c r="Y210" s="8">
        <f>IFERROR(__xludf.DUMMYFUNCTION("""COMPUTED_VALUE"""),0.0)</f>
        <v>0</v>
      </c>
      <c r="Z210" s="8">
        <f>IFERROR(__xludf.DUMMYFUNCTION("""COMPUTED_VALUE"""),0.0)</f>
        <v>0</v>
      </c>
      <c r="AA210" s="8">
        <f>IFERROR(__xludf.DUMMYFUNCTION("""COMPUTED_VALUE"""),0.0)</f>
        <v>0</v>
      </c>
      <c r="AB210" s="8">
        <f>IFERROR(__xludf.DUMMYFUNCTION("""COMPUTED_VALUE"""),0.0)</f>
        <v>0</v>
      </c>
      <c r="AC210" s="8">
        <f>IFERROR(__xludf.DUMMYFUNCTION("""COMPUTED_VALUE"""),0.0)</f>
        <v>0</v>
      </c>
    </row>
    <row r="211" ht="15.75" customHeight="1">
      <c r="A211" s="6" t="str">
        <f>IFERROR(__xludf.DUMMYFUNCTION("""COMPUTED_VALUE"""),"ba1065d04424754ef65327a97989402f6a123e5a")</f>
        <v>ba1065d04424754ef65327a97989402f6a123e5a</v>
      </c>
      <c r="B211" s="6" t="str">
        <f>IFERROR(__xludf.DUMMYFUNCTION("""COMPUTED_VALUE"""),"Yours by Accident")</f>
        <v>Yours by Accident</v>
      </c>
      <c r="C211" s="6" t="str">
        <f>IFERROR(__xludf.DUMMYFUNCTION("""COMPUTED_VALUE"""),"Romance")</f>
        <v>Romance</v>
      </c>
      <c r="D211" s="11">
        <f>IFERROR(__xludf.DUMMYFUNCTION("""COMPUTED_VALUE"""),807.0)</f>
        <v>807</v>
      </c>
      <c r="E211" s="8">
        <f>IFERROR(__xludf.DUMMYFUNCTION("""COMPUTED_VALUE"""),0.964956195244055)</f>
        <v>0.9649561952</v>
      </c>
      <c r="F211" s="8">
        <f>IFERROR(__xludf.DUMMYFUNCTION("""COMPUTED_VALUE"""),0.535353535353535)</f>
        <v>0.5353535354</v>
      </c>
      <c r="G211" s="8">
        <f>IFERROR(__xludf.DUMMYFUNCTION("""COMPUTED_VALUE"""),0.426395939086294)</f>
        <v>0.4263959391</v>
      </c>
      <c r="H211" s="8">
        <f>IFERROR(__xludf.DUMMYFUNCTION("""COMPUTED_VALUE"""),0.385696040868454)</f>
        <v>0.3856960409</v>
      </c>
      <c r="I211" s="8">
        <f>IFERROR(__xludf.DUMMYFUNCTION("""COMPUTED_VALUE"""),0.306803594351733)</f>
        <v>0.3068035944</v>
      </c>
      <c r="J211" s="8">
        <f>IFERROR(__xludf.DUMMYFUNCTION("""COMPUTED_VALUE"""),0.266839378238342)</f>
        <v>0.2668393782</v>
      </c>
      <c r="K211" s="8">
        <f>IFERROR(__xludf.DUMMYFUNCTION("""COMPUTED_VALUE"""),0.238903394255874)</f>
        <v>0.2389033943</v>
      </c>
      <c r="L211" s="8">
        <f>IFERROR(__xludf.DUMMYFUNCTION("""COMPUTED_VALUE"""),0.208222811671087)</f>
        <v>0.2082228117</v>
      </c>
      <c r="M211" s="8">
        <f>IFERROR(__xludf.DUMMYFUNCTION("""COMPUTED_VALUE"""),0.200534759358288)</f>
        <v>0.2005347594</v>
      </c>
      <c r="N211" s="8">
        <f>IFERROR(__xludf.DUMMYFUNCTION("""COMPUTED_VALUE"""),0.190217391304347)</f>
        <v>0.1902173913</v>
      </c>
      <c r="O211" s="8">
        <f>IFERROR(__xludf.DUMMYFUNCTION("""COMPUTED_VALUE"""),0.158041958041958)</f>
        <v>0.158041958</v>
      </c>
      <c r="P211" s="8">
        <f>IFERROR(__xludf.DUMMYFUNCTION("""COMPUTED_VALUE"""),0.0773638968481375)</f>
        <v>0.07736389685</v>
      </c>
      <c r="Q211" s="8">
        <f>IFERROR(__xludf.DUMMYFUNCTION("""COMPUTED_VALUE"""),0.0616570327552986)</f>
        <v>0.06165703276</v>
      </c>
      <c r="R211" s="8">
        <f>IFERROR(__xludf.DUMMYFUNCTION("""COMPUTED_VALUE"""),0.0271966527196652)</f>
        <v>0.02719665272</v>
      </c>
      <c r="S211" s="8">
        <f>IFERROR(__xludf.DUMMYFUNCTION("""COMPUTED_VALUE"""),0.0172786177105831)</f>
        <v>0.01727861771</v>
      </c>
      <c r="T211" s="8">
        <f>IFERROR(__xludf.DUMMYFUNCTION("""COMPUTED_VALUE"""),0.00477326968973747)</f>
        <v>0.00477326969</v>
      </c>
      <c r="U211" s="8">
        <f>IFERROR(__xludf.DUMMYFUNCTION("""COMPUTED_VALUE"""),0.0)</f>
        <v>0</v>
      </c>
      <c r="V211" s="8">
        <f>IFERROR(__xludf.DUMMYFUNCTION("""COMPUTED_VALUE"""),0.0)</f>
        <v>0</v>
      </c>
      <c r="W211" s="8">
        <f>IFERROR(__xludf.DUMMYFUNCTION("""COMPUTED_VALUE"""),0.0)</f>
        <v>0</v>
      </c>
      <c r="X211" s="8">
        <f>IFERROR(__xludf.DUMMYFUNCTION("""COMPUTED_VALUE"""),0.0)</f>
        <v>0</v>
      </c>
      <c r="Y211" s="8">
        <f>IFERROR(__xludf.DUMMYFUNCTION("""COMPUTED_VALUE"""),0.0)</f>
        <v>0</v>
      </c>
      <c r="Z211" s="8">
        <f>IFERROR(__xludf.DUMMYFUNCTION("""COMPUTED_VALUE"""),0.0)</f>
        <v>0</v>
      </c>
      <c r="AA211" s="8">
        <f>IFERROR(__xludf.DUMMYFUNCTION("""COMPUTED_VALUE"""),0.0)</f>
        <v>0</v>
      </c>
      <c r="AB211" s="8">
        <f>IFERROR(__xludf.DUMMYFUNCTION("""COMPUTED_VALUE"""),0.0)</f>
        <v>0</v>
      </c>
      <c r="AC211" s="8">
        <f>IFERROR(__xludf.DUMMYFUNCTION("""COMPUTED_VALUE"""),0.0)</f>
        <v>0</v>
      </c>
    </row>
    <row r="212" ht="15.75" customHeight="1">
      <c r="A212" s="6" t="str">
        <f>IFERROR(__xludf.DUMMYFUNCTION("""COMPUTED_VALUE"""),"bb2f281964ff5fb7528074b3b2b73409bbf91d2a")</f>
        <v>bb2f281964ff5fb7528074b3b2b73409bbf91d2a</v>
      </c>
      <c r="B212" s="6" t="str">
        <f>IFERROR(__xludf.DUMMYFUNCTION("""COMPUTED_VALUE"""),"My Money Minting System")</f>
        <v>My Money Minting System</v>
      </c>
      <c r="C212" s="6" t="str">
        <f>IFERROR(__xludf.DUMMYFUNCTION("""COMPUTED_VALUE"""),"System and Superpower")</f>
        <v>System and Superpower</v>
      </c>
      <c r="D212" s="11">
        <f>IFERROR(__xludf.DUMMYFUNCTION("""COMPUTED_VALUE"""),2083.0)</f>
        <v>2083</v>
      </c>
      <c r="E212" s="8">
        <f>IFERROR(__xludf.DUMMYFUNCTION("""COMPUTED_VALUE"""),0.968023255813953)</f>
        <v>0.9680232558</v>
      </c>
      <c r="F212" s="8">
        <f>IFERROR(__xludf.DUMMYFUNCTION("""COMPUTED_VALUE"""),0.685470995210218)</f>
        <v>0.6854709952</v>
      </c>
      <c r="G212" s="8">
        <f>IFERROR(__xludf.DUMMYFUNCTION("""COMPUTED_VALUE"""),0.572892938496583)</f>
        <v>0.5728929385</v>
      </c>
      <c r="H212" s="8">
        <f>IFERROR(__xludf.DUMMYFUNCTION("""COMPUTED_VALUE"""),0.509215017064846)</f>
        <v>0.5092150171</v>
      </c>
      <c r="I212" s="8">
        <f>IFERROR(__xludf.DUMMYFUNCTION("""COMPUTED_VALUE"""),0.439821693907875)</f>
        <v>0.4398216939</v>
      </c>
      <c r="J212" s="8">
        <f>IFERROR(__xludf.DUMMYFUNCTION("""COMPUTED_VALUE"""),0.369442198868229)</f>
        <v>0.3694421989</v>
      </c>
      <c r="K212" s="8">
        <f>IFERROR(__xludf.DUMMYFUNCTION("""COMPUTED_VALUE"""),0.324368378158109)</f>
        <v>0.3243683782</v>
      </c>
      <c r="L212" s="8">
        <f>IFERROR(__xludf.DUMMYFUNCTION("""COMPUTED_VALUE"""),0.291666666666666)</f>
        <v>0.2916666667</v>
      </c>
      <c r="M212" s="8">
        <f>IFERROR(__xludf.DUMMYFUNCTION("""COMPUTED_VALUE"""),0.272504091653027)</f>
        <v>0.2725040917</v>
      </c>
      <c r="N212" s="8">
        <f>IFERROR(__xludf.DUMMYFUNCTION("""COMPUTED_VALUE"""),0.269515201314708)</f>
        <v>0.2695152013</v>
      </c>
      <c r="O212" s="8">
        <f>IFERROR(__xludf.DUMMYFUNCTION("""COMPUTED_VALUE"""),0.182813816343723)</f>
        <v>0.1828138163</v>
      </c>
      <c r="P212" s="8">
        <f>IFERROR(__xludf.DUMMYFUNCTION("""COMPUTED_VALUE"""),0.101010101010101)</f>
        <v>0.101010101</v>
      </c>
      <c r="Q212" s="8">
        <f>IFERROR(__xludf.DUMMYFUNCTION("""COMPUTED_VALUE"""),0.0513513513513513)</f>
        <v>0.05135135135</v>
      </c>
      <c r="R212" s="8">
        <f>IFERROR(__xludf.DUMMYFUNCTION("""COMPUTED_VALUE"""),0.0)</f>
        <v>0</v>
      </c>
      <c r="S212" s="8">
        <f>IFERROR(__xludf.DUMMYFUNCTION("""COMPUTED_VALUE"""),0.0)</f>
        <v>0</v>
      </c>
      <c r="T212" s="8">
        <f>IFERROR(__xludf.DUMMYFUNCTION("""COMPUTED_VALUE"""),0.0)</f>
        <v>0</v>
      </c>
      <c r="U212" s="8">
        <f>IFERROR(__xludf.DUMMYFUNCTION("""COMPUTED_VALUE"""),0.0)</f>
        <v>0</v>
      </c>
      <c r="V212" s="8">
        <f>IFERROR(__xludf.DUMMYFUNCTION("""COMPUTED_VALUE"""),0.0)</f>
        <v>0</v>
      </c>
      <c r="W212" s="8">
        <f>IFERROR(__xludf.DUMMYFUNCTION("""COMPUTED_VALUE"""),0.0)</f>
        <v>0</v>
      </c>
      <c r="X212" s="8">
        <f>IFERROR(__xludf.DUMMYFUNCTION("""COMPUTED_VALUE"""),0.0)</f>
        <v>0</v>
      </c>
      <c r="Y212" s="8">
        <f>IFERROR(__xludf.DUMMYFUNCTION("""COMPUTED_VALUE"""),0.0)</f>
        <v>0</v>
      </c>
      <c r="Z212" s="8">
        <f>IFERROR(__xludf.DUMMYFUNCTION("""COMPUTED_VALUE"""),0.0)</f>
        <v>0</v>
      </c>
      <c r="AA212" s="8">
        <f>IFERROR(__xludf.DUMMYFUNCTION("""COMPUTED_VALUE"""),0.0)</f>
        <v>0</v>
      </c>
      <c r="AB212" s="8">
        <f>IFERROR(__xludf.DUMMYFUNCTION("""COMPUTED_VALUE"""),0.0)</f>
        <v>0</v>
      </c>
      <c r="AC212" s="8">
        <f>IFERROR(__xludf.DUMMYFUNCTION("""COMPUTED_VALUE"""),0.0)</f>
        <v>0</v>
      </c>
    </row>
    <row r="213" ht="15.75" customHeight="1">
      <c r="A213" s="6" t="str">
        <f>IFERROR(__xludf.DUMMYFUNCTION("""COMPUTED_VALUE"""),"bb8bdc13e3c19f2845f457b91284273ad6ddf8f2")</f>
        <v>bb8bdc13e3c19f2845f457b91284273ad6ddf8f2</v>
      </c>
      <c r="B213" s="6" t="str">
        <f>IFERROR(__xludf.DUMMYFUNCTION("""COMPUTED_VALUE"""),"His Four Little Rascals")</f>
        <v>His Four Little Rascals</v>
      </c>
      <c r="C213" s="6" t="str">
        <f>IFERROR(__xludf.DUMMYFUNCTION("""COMPUTED_VALUE"""),"Romance")</f>
        <v>Romance</v>
      </c>
      <c r="D213" s="11">
        <f>IFERROR(__xludf.DUMMYFUNCTION("""COMPUTED_VALUE"""),30412.0)</f>
        <v>30412</v>
      </c>
      <c r="E213" s="8">
        <f>IFERROR(__xludf.DUMMYFUNCTION("""COMPUTED_VALUE"""),0.907278231113451)</f>
        <v>0.9072782311</v>
      </c>
      <c r="F213" s="8">
        <f>IFERROR(__xludf.DUMMYFUNCTION("""COMPUTED_VALUE"""),0.481364414592387)</f>
        <v>0.4813644146</v>
      </c>
      <c r="G213" s="8">
        <f>IFERROR(__xludf.DUMMYFUNCTION("""COMPUTED_VALUE"""),0.401060361576711)</f>
        <v>0.4010603616</v>
      </c>
      <c r="H213" s="8">
        <f>IFERROR(__xludf.DUMMYFUNCTION("""COMPUTED_VALUE"""),0.381477942872203)</f>
        <v>0.3814779429</v>
      </c>
      <c r="I213" s="8">
        <f>IFERROR(__xludf.DUMMYFUNCTION("""COMPUTED_VALUE"""),0.368334322061828)</f>
        <v>0.3683343221</v>
      </c>
      <c r="J213" s="8">
        <f>IFERROR(__xludf.DUMMYFUNCTION("""COMPUTED_VALUE"""),0.354149493883741)</f>
        <v>0.3541494939</v>
      </c>
      <c r="K213" s="8">
        <f>IFERROR(__xludf.DUMMYFUNCTION("""COMPUTED_VALUE"""),0.344396423740556)</f>
        <v>0.3443964237</v>
      </c>
      <c r="L213" s="8">
        <f>IFERROR(__xludf.DUMMYFUNCTION("""COMPUTED_VALUE"""),0.340674943864747)</f>
        <v>0.3406749439</v>
      </c>
      <c r="M213" s="8">
        <f>IFERROR(__xludf.DUMMYFUNCTION("""COMPUTED_VALUE"""),0.330987776676577)</f>
        <v>0.3309877767</v>
      </c>
      <c r="N213" s="8">
        <f>IFERROR(__xludf.DUMMYFUNCTION("""COMPUTED_VALUE"""),0.325852723426758)</f>
        <v>0.3258527234</v>
      </c>
      <c r="O213" s="8">
        <f>IFERROR(__xludf.DUMMYFUNCTION("""COMPUTED_VALUE"""),0.309959788641121)</f>
        <v>0.3099597886</v>
      </c>
      <c r="P213" s="8">
        <f>IFERROR(__xludf.DUMMYFUNCTION("""COMPUTED_VALUE"""),0.26768065931857)</f>
        <v>0.2676806593</v>
      </c>
      <c r="Q213" s="8">
        <f>IFERROR(__xludf.DUMMYFUNCTION("""COMPUTED_VALUE"""),0.215890225309164)</f>
        <v>0.2158902253</v>
      </c>
      <c r="R213" s="8">
        <f>IFERROR(__xludf.DUMMYFUNCTION("""COMPUTED_VALUE"""),0.158265189938929)</f>
        <v>0.1582651899</v>
      </c>
      <c r="S213" s="8">
        <f>IFERROR(__xludf.DUMMYFUNCTION("""COMPUTED_VALUE"""),0.132435256362415)</f>
        <v>0.1324352564</v>
      </c>
      <c r="T213" s="8">
        <f>IFERROR(__xludf.DUMMYFUNCTION("""COMPUTED_VALUE"""),0.107862057392179)</f>
        <v>0.1078620574</v>
      </c>
      <c r="U213" s="8">
        <f>IFERROR(__xludf.DUMMYFUNCTION("""COMPUTED_VALUE"""),0.0988017658187933)</f>
        <v>0.09880176582</v>
      </c>
      <c r="V213" s="8">
        <f>IFERROR(__xludf.DUMMYFUNCTION("""COMPUTED_VALUE"""),0.10304091008532)</f>
        <v>0.1030409101</v>
      </c>
      <c r="W213" s="8">
        <f>IFERROR(__xludf.DUMMYFUNCTION("""COMPUTED_VALUE"""),0.0960415314730694)</f>
        <v>0.09604153147</v>
      </c>
      <c r="X213" s="8">
        <f>IFERROR(__xludf.DUMMYFUNCTION("""COMPUTED_VALUE"""),0.0896180215475024)</f>
        <v>0.08961802155</v>
      </c>
      <c r="Y213" s="8">
        <f>IFERROR(__xludf.DUMMYFUNCTION("""COMPUTED_VALUE"""),0.0429447852760736)</f>
        <v>0.04294478528</v>
      </c>
      <c r="Z213" s="8">
        <f>IFERROR(__xludf.DUMMYFUNCTION("""COMPUTED_VALUE"""),0.0618556701030927)</f>
        <v>0.0618556701</v>
      </c>
      <c r="AA213" s="8">
        <f>IFERROR(__xludf.DUMMYFUNCTION("""COMPUTED_VALUE"""),0.0)</f>
        <v>0</v>
      </c>
      <c r="AB213" s="8">
        <f>IFERROR(__xludf.DUMMYFUNCTION("""COMPUTED_VALUE"""),0.0)</f>
        <v>0</v>
      </c>
      <c r="AC213" s="8">
        <f>IFERROR(__xludf.DUMMYFUNCTION("""COMPUTED_VALUE"""),0.0)</f>
        <v>0</v>
      </c>
    </row>
    <row r="214" ht="15.75" customHeight="1">
      <c r="A214" s="6" t="str">
        <f>IFERROR(__xludf.DUMMYFUNCTION("""COMPUTED_VALUE"""),"bbaf98e4e43fc8963698d00c4a338957fb765b85")</f>
        <v>bbaf98e4e43fc8963698d00c4a338957fb765b85</v>
      </c>
      <c r="B214" s="6" t="str">
        <f>IFERROR(__xludf.DUMMYFUNCTION("""COMPUTED_VALUE"""),"Artifact Spirit System")</f>
        <v>Artifact Spirit System</v>
      </c>
      <c r="C214" s="6" t="str">
        <f>IFERROR(__xludf.DUMMYFUNCTION("""COMPUTED_VALUE"""),"System and Superpower")</f>
        <v>System and Superpower</v>
      </c>
      <c r="D214" s="11">
        <f>IFERROR(__xludf.DUMMYFUNCTION("""COMPUTED_VALUE"""),8087.0)</f>
        <v>8087</v>
      </c>
      <c r="E214" s="8">
        <f>IFERROR(__xludf.DUMMYFUNCTION("""COMPUTED_VALUE"""),0.964048603281974)</f>
        <v>0.9640486033</v>
      </c>
      <c r="F214" s="8">
        <f>IFERROR(__xludf.DUMMYFUNCTION("""COMPUTED_VALUE"""),0.56241252067693)</f>
        <v>0.5624125207</v>
      </c>
      <c r="G214" s="8">
        <f>IFERROR(__xludf.DUMMYFUNCTION("""COMPUTED_VALUE"""),0.492230640811609)</f>
        <v>0.4922306408</v>
      </c>
      <c r="H214" s="8">
        <f>IFERROR(__xludf.DUMMYFUNCTION("""COMPUTED_VALUE"""),0.445236552171095)</f>
        <v>0.4452365522</v>
      </c>
      <c r="I214" s="8">
        <f>IFERROR(__xludf.DUMMYFUNCTION("""COMPUTED_VALUE"""),0.411833855799373)</f>
        <v>0.4118338558</v>
      </c>
      <c r="J214" s="8">
        <f>IFERROR(__xludf.DUMMYFUNCTION("""COMPUTED_VALUE"""),0.389445910290237)</f>
        <v>0.3894459103</v>
      </c>
      <c r="K214" s="8">
        <f>IFERROR(__xludf.DUMMYFUNCTION("""COMPUTED_VALUE"""),0.372645919593962)</f>
        <v>0.3726459196</v>
      </c>
      <c r="L214" s="8">
        <f>IFERROR(__xludf.DUMMYFUNCTION("""COMPUTED_VALUE"""),0.35684310274807)</f>
        <v>0.3568431027</v>
      </c>
      <c r="M214" s="8">
        <f>IFERROR(__xludf.DUMMYFUNCTION("""COMPUTED_VALUE"""),0.342241614398691)</f>
        <v>0.3422416144</v>
      </c>
      <c r="N214" s="8">
        <f>IFERROR(__xludf.DUMMYFUNCTION("""COMPUTED_VALUE"""),0.333379482209608)</f>
        <v>0.3333794822</v>
      </c>
      <c r="O214" s="8">
        <f>IFERROR(__xludf.DUMMYFUNCTION("""COMPUTED_VALUE"""),0.294945054945054)</f>
        <v>0.2949450549</v>
      </c>
      <c r="P214" s="8">
        <f>IFERROR(__xludf.DUMMYFUNCTION("""COMPUTED_VALUE"""),0.2384679899357)</f>
        <v>0.2384679899</v>
      </c>
      <c r="Q214" s="8">
        <f>IFERROR(__xludf.DUMMYFUNCTION("""COMPUTED_VALUE"""),0.171565686862627)</f>
        <v>0.1715656869</v>
      </c>
      <c r="R214" s="8">
        <f>IFERROR(__xludf.DUMMYFUNCTION("""COMPUTED_VALUE"""),0.144345238095238)</f>
        <v>0.1443452381</v>
      </c>
      <c r="S214" s="8">
        <f>IFERROR(__xludf.DUMMYFUNCTION("""COMPUTED_VALUE"""),0.0)</f>
        <v>0</v>
      </c>
      <c r="T214" s="8">
        <f>IFERROR(__xludf.DUMMYFUNCTION("""COMPUTED_VALUE"""),0.0)</f>
        <v>0</v>
      </c>
      <c r="U214" s="8">
        <f>IFERROR(__xludf.DUMMYFUNCTION("""COMPUTED_VALUE"""),0.0)</f>
        <v>0</v>
      </c>
      <c r="V214" s="8">
        <f>IFERROR(__xludf.DUMMYFUNCTION("""COMPUTED_VALUE"""),0.0)</f>
        <v>0</v>
      </c>
      <c r="W214" s="8">
        <f>IFERROR(__xludf.DUMMYFUNCTION("""COMPUTED_VALUE"""),0.0)</f>
        <v>0</v>
      </c>
      <c r="X214" s="8">
        <f>IFERROR(__xludf.DUMMYFUNCTION("""COMPUTED_VALUE"""),0.0)</f>
        <v>0</v>
      </c>
      <c r="Y214" s="8">
        <f>IFERROR(__xludf.DUMMYFUNCTION("""COMPUTED_VALUE"""),0.0)</f>
        <v>0</v>
      </c>
      <c r="Z214" s="8">
        <f>IFERROR(__xludf.DUMMYFUNCTION("""COMPUTED_VALUE"""),0.0)</f>
        <v>0</v>
      </c>
      <c r="AA214" s="8">
        <f>IFERROR(__xludf.DUMMYFUNCTION("""COMPUTED_VALUE"""),0.0)</f>
        <v>0</v>
      </c>
      <c r="AB214" s="8">
        <f>IFERROR(__xludf.DUMMYFUNCTION("""COMPUTED_VALUE"""),0.0)</f>
        <v>0</v>
      </c>
      <c r="AC214" s="8">
        <f>IFERROR(__xludf.DUMMYFUNCTION("""COMPUTED_VALUE"""),0.0)</f>
        <v>0</v>
      </c>
    </row>
    <row r="215" ht="15.75" customHeight="1">
      <c r="A215" s="6" t="str">
        <f>IFERROR(__xludf.DUMMYFUNCTION("""COMPUTED_VALUE"""),"bbfdf49252139aecaf606478dbe29039803604ae")</f>
        <v>bbfdf49252139aecaf606478dbe29039803604ae</v>
      </c>
      <c r="B215" s="6" t="str">
        <f>IFERROR(__xludf.DUMMYFUNCTION("""COMPUTED_VALUE"""),"Alchemist of HARRY POTTER")</f>
        <v>Alchemist of HARRY POTTER</v>
      </c>
      <c r="C215" s="6" t="str">
        <f>IFERROR(__xludf.DUMMYFUNCTION("""COMPUTED_VALUE"""),"Fantasy")</f>
        <v>Fantasy</v>
      </c>
      <c r="D215" s="11">
        <f>IFERROR(__xludf.DUMMYFUNCTION("""COMPUTED_VALUE"""),507.0)</f>
        <v>507</v>
      </c>
      <c r="E215" s="8">
        <f>IFERROR(__xludf.DUMMYFUNCTION("""COMPUTED_VALUE"""),0.98730964467005)</f>
        <v>0.9873096447</v>
      </c>
      <c r="F215" s="8">
        <f>IFERROR(__xludf.DUMMYFUNCTION("""COMPUTED_VALUE"""),0.488)</f>
        <v>0.488</v>
      </c>
      <c r="G215" s="8">
        <f>IFERROR(__xludf.DUMMYFUNCTION("""COMPUTED_VALUE"""),0.357512953367875)</f>
        <v>0.3575129534</v>
      </c>
      <c r="H215" s="8">
        <f>IFERROR(__xludf.DUMMYFUNCTION("""COMPUTED_VALUE"""),0.316129032258064)</f>
        <v>0.3161290323</v>
      </c>
      <c r="I215" s="8">
        <f>IFERROR(__xludf.DUMMYFUNCTION("""COMPUTED_VALUE"""),0.273972602739726)</f>
        <v>0.2739726027</v>
      </c>
      <c r="J215" s="8">
        <f>IFERROR(__xludf.DUMMYFUNCTION("""COMPUTED_VALUE"""),0.234848484848484)</f>
        <v>0.2348484848</v>
      </c>
      <c r="K215" s="8">
        <f>IFERROR(__xludf.DUMMYFUNCTION("""COMPUTED_VALUE"""),0.208)</f>
        <v>0.208</v>
      </c>
      <c r="L215" s="8">
        <f>IFERROR(__xludf.DUMMYFUNCTION("""COMPUTED_VALUE"""),0.169491525423728)</f>
        <v>0.1694915254</v>
      </c>
      <c r="M215" s="8">
        <f>IFERROR(__xludf.DUMMYFUNCTION("""COMPUTED_VALUE"""),0.156521739130434)</f>
        <v>0.1565217391</v>
      </c>
      <c r="N215" s="8">
        <f>IFERROR(__xludf.DUMMYFUNCTION("""COMPUTED_VALUE"""),0.15929203539823)</f>
        <v>0.1592920354</v>
      </c>
      <c r="O215" s="8">
        <f>IFERROR(__xludf.DUMMYFUNCTION("""COMPUTED_VALUE"""),0.112244897959183)</f>
        <v>0.112244898</v>
      </c>
      <c r="P215" s="8">
        <f>IFERROR(__xludf.DUMMYFUNCTION("""COMPUTED_VALUE"""),0.109756097560975)</f>
        <v>0.1097560976</v>
      </c>
      <c r="Q215" s="8">
        <f>IFERROR(__xludf.DUMMYFUNCTION("""COMPUTED_VALUE"""),0.166666666666666)</f>
        <v>0.1666666667</v>
      </c>
      <c r="R215" s="8">
        <f>IFERROR(__xludf.DUMMYFUNCTION("""COMPUTED_VALUE"""),0.0)</f>
        <v>0</v>
      </c>
      <c r="S215" s="8">
        <f>IFERROR(__xludf.DUMMYFUNCTION("""COMPUTED_VALUE"""),0.0)</f>
        <v>0</v>
      </c>
      <c r="T215" s="8">
        <f>IFERROR(__xludf.DUMMYFUNCTION("""COMPUTED_VALUE"""),0.0)</f>
        <v>0</v>
      </c>
      <c r="U215" s="8">
        <f>IFERROR(__xludf.DUMMYFUNCTION("""COMPUTED_VALUE"""),0.0)</f>
        <v>0</v>
      </c>
      <c r="V215" s="8">
        <f>IFERROR(__xludf.DUMMYFUNCTION("""COMPUTED_VALUE"""),0.0)</f>
        <v>0</v>
      </c>
      <c r="W215" s="8">
        <f>IFERROR(__xludf.DUMMYFUNCTION("""COMPUTED_VALUE"""),0.0)</f>
        <v>0</v>
      </c>
      <c r="X215" s="8">
        <f>IFERROR(__xludf.DUMMYFUNCTION("""COMPUTED_VALUE"""),0.0)</f>
        <v>0</v>
      </c>
      <c r="Y215" s="8">
        <f>IFERROR(__xludf.DUMMYFUNCTION("""COMPUTED_VALUE"""),0.0)</f>
        <v>0</v>
      </c>
      <c r="Z215" s="8">
        <f>IFERROR(__xludf.DUMMYFUNCTION("""COMPUTED_VALUE"""),0.0)</f>
        <v>0</v>
      </c>
      <c r="AA215" s="8">
        <f>IFERROR(__xludf.DUMMYFUNCTION("""COMPUTED_VALUE"""),0.0)</f>
        <v>0</v>
      </c>
      <c r="AB215" s="8">
        <f>IFERROR(__xludf.DUMMYFUNCTION("""COMPUTED_VALUE"""),0.0)</f>
        <v>0</v>
      </c>
      <c r="AC215" s="8">
        <f>IFERROR(__xludf.DUMMYFUNCTION("""COMPUTED_VALUE"""),0.0)</f>
        <v>0</v>
      </c>
    </row>
    <row r="216" ht="15.75" customHeight="1">
      <c r="A216" s="6" t="str">
        <f>IFERROR(__xludf.DUMMYFUNCTION("""COMPUTED_VALUE"""),"be6caef02859b458c7e726aab639c65f41c8e1be")</f>
        <v>be6caef02859b458c7e726aab639c65f41c8e1be</v>
      </c>
      <c r="B216" s="6" t="str">
        <f>IFERROR(__xludf.DUMMYFUNCTION("""COMPUTED_VALUE"""),"Natural Godly Martial Art")</f>
        <v>Natural Godly Martial Art</v>
      </c>
      <c r="C216" s="6" t="str">
        <f>IFERROR(__xludf.DUMMYFUNCTION("""COMPUTED_VALUE"""),"Fantasy")</f>
        <v>Fantasy</v>
      </c>
      <c r="D216" s="11">
        <f>IFERROR(__xludf.DUMMYFUNCTION("""COMPUTED_VALUE"""),1788.0)</f>
        <v>1788</v>
      </c>
      <c r="E216" s="8">
        <f>IFERROR(__xludf.DUMMYFUNCTION("""COMPUTED_VALUE"""),0.977017937219731)</f>
        <v>0.9770179372</v>
      </c>
      <c r="F216" s="8">
        <f>IFERROR(__xludf.DUMMYFUNCTION("""COMPUTED_VALUE"""),0.496013667425968)</f>
        <v>0.4960136674</v>
      </c>
      <c r="G216" s="8">
        <f>IFERROR(__xludf.DUMMYFUNCTION("""COMPUTED_VALUE"""),0.434579439252336)</f>
        <v>0.4345794393</v>
      </c>
      <c r="H216" s="8">
        <f>IFERROR(__xludf.DUMMYFUNCTION("""COMPUTED_VALUE"""),0.354661791590493)</f>
        <v>0.3546617916</v>
      </c>
      <c r="I216" s="8">
        <f>IFERROR(__xludf.DUMMYFUNCTION("""COMPUTED_VALUE"""),0.323308270676691)</f>
        <v>0.3233082707</v>
      </c>
      <c r="J216" s="8">
        <f>IFERROR(__xludf.DUMMYFUNCTION("""COMPUTED_VALUE"""),0.305628272251308)</f>
        <v>0.3056282723</v>
      </c>
      <c r="K216" s="8">
        <f>IFERROR(__xludf.DUMMYFUNCTION("""COMPUTED_VALUE"""),0.292503346720214)</f>
        <v>0.2925033467</v>
      </c>
      <c r="L216" s="8">
        <f>IFERROR(__xludf.DUMMYFUNCTION("""COMPUTED_VALUE"""),0.284203102961918)</f>
        <v>0.284203103</v>
      </c>
      <c r="M216" s="8">
        <f>IFERROR(__xludf.DUMMYFUNCTION("""COMPUTED_VALUE"""),0.25828313253012)</f>
        <v>0.2582831325</v>
      </c>
      <c r="N216" s="8">
        <f>IFERROR(__xludf.DUMMYFUNCTION("""COMPUTED_VALUE"""),0.240710823909531)</f>
        <v>0.2407108239</v>
      </c>
      <c r="O216" s="8">
        <f>IFERROR(__xludf.DUMMYFUNCTION("""COMPUTED_VALUE"""),0.219135802469135)</f>
        <v>0.2191358025</v>
      </c>
      <c r="P216" s="8">
        <f>IFERROR(__xludf.DUMMYFUNCTION("""COMPUTED_VALUE"""),0.168969181721572)</f>
        <v>0.1689691817</v>
      </c>
      <c r="Q216" s="8">
        <f>IFERROR(__xludf.DUMMYFUNCTION("""COMPUTED_VALUE"""),0.0)</f>
        <v>0</v>
      </c>
      <c r="R216" s="8">
        <f>IFERROR(__xludf.DUMMYFUNCTION("""COMPUTED_VALUE"""),0.0)</f>
        <v>0</v>
      </c>
      <c r="S216" s="8">
        <f>IFERROR(__xludf.DUMMYFUNCTION("""COMPUTED_VALUE"""),0.0)</f>
        <v>0</v>
      </c>
      <c r="T216" s="8">
        <f>IFERROR(__xludf.DUMMYFUNCTION("""COMPUTED_VALUE"""),0.0)</f>
        <v>0</v>
      </c>
      <c r="U216" s="8">
        <f>IFERROR(__xludf.DUMMYFUNCTION("""COMPUTED_VALUE"""),0.0)</f>
        <v>0</v>
      </c>
      <c r="V216" s="8">
        <f>IFERROR(__xludf.DUMMYFUNCTION("""COMPUTED_VALUE"""),0.0)</f>
        <v>0</v>
      </c>
      <c r="W216" s="8">
        <f>IFERROR(__xludf.DUMMYFUNCTION("""COMPUTED_VALUE"""),0.0)</f>
        <v>0</v>
      </c>
      <c r="X216" s="8">
        <f>IFERROR(__xludf.DUMMYFUNCTION("""COMPUTED_VALUE"""),0.0)</f>
        <v>0</v>
      </c>
      <c r="Y216" s="8">
        <f>IFERROR(__xludf.DUMMYFUNCTION("""COMPUTED_VALUE"""),0.0)</f>
        <v>0</v>
      </c>
      <c r="Z216" s="8">
        <f>IFERROR(__xludf.DUMMYFUNCTION("""COMPUTED_VALUE"""),0.0)</f>
        <v>0</v>
      </c>
      <c r="AA216" s="8">
        <f>IFERROR(__xludf.DUMMYFUNCTION("""COMPUTED_VALUE"""),0.0)</f>
        <v>0</v>
      </c>
      <c r="AB216" s="8">
        <f>IFERROR(__xludf.DUMMYFUNCTION("""COMPUTED_VALUE"""),0.0)</f>
        <v>0</v>
      </c>
      <c r="AC216" s="8">
        <f>IFERROR(__xludf.DUMMYFUNCTION("""COMPUTED_VALUE"""),0.0)</f>
        <v>0</v>
      </c>
    </row>
    <row r="217" ht="15.75" customHeight="1">
      <c r="A217" s="6" t="str">
        <f>IFERROR(__xludf.DUMMYFUNCTION("""COMPUTED_VALUE"""),"bf3632f1f9e1f3a7b864a989bb8f495a629a43cb")</f>
        <v>bf3632f1f9e1f3a7b864a989bb8f495a629a43cb</v>
      </c>
      <c r="B217" s="6" t="str">
        <f>IFERROR(__xludf.DUMMYFUNCTION("""COMPUTED_VALUE"""),"Her Secret Twins")</f>
        <v>Her Secret Twins</v>
      </c>
      <c r="C217" s="6" t="str">
        <f>IFERROR(__xludf.DUMMYFUNCTION("""COMPUTED_VALUE"""),"Romance")</f>
        <v>Romance</v>
      </c>
      <c r="D217" s="11">
        <f>IFERROR(__xludf.DUMMYFUNCTION("""COMPUTED_VALUE"""),5634.0)</f>
        <v>5634</v>
      </c>
      <c r="E217" s="8">
        <f>IFERROR(__xludf.DUMMYFUNCTION("""COMPUTED_VALUE"""),0.894483128012854)</f>
        <v>0.894483128</v>
      </c>
      <c r="F217" s="8">
        <f>IFERROR(__xludf.DUMMYFUNCTION("""COMPUTED_VALUE"""),0.693888491779842)</f>
        <v>0.6938884918</v>
      </c>
      <c r="G217" s="8">
        <f>IFERROR(__xludf.DUMMYFUNCTION("""COMPUTED_VALUE"""),0.641350964974982)</f>
        <v>0.641350965</v>
      </c>
      <c r="H217" s="8">
        <f>IFERROR(__xludf.DUMMYFUNCTION("""COMPUTED_VALUE"""),0.6060443490701)</f>
        <v>0.6060443491</v>
      </c>
      <c r="I217" s="8">
        <f>IFERROR(__xludf.DUMMYFUNCTION("""COMPUTED_VALUE"""),0.580425836464483)</f>
        <v>0.5804258365</v>
      </c>
      <c r="J217" s="8">
        <f>IFERROR(__xludf.DUMMYFUNCTION("""COMPUTED_VALUE"""),0.56387744131876)</f>
        <v>0.5638774413</v>
      </c>
      <c r="K217" s="8">
        <f>IFERROR(__xludf.DUMMYFUNCTION("""COMPUTED_VALUE"""),0.547687343133739)</f>
        <v>0.5476873431</v>
      </c>
      <c r="L217" s="8">
        <f>IFERROR(__xludf.DUMMYFUNCTION("""COMPUTED_VALUE"""),0.535534816941852)</f>
        <v>0.5355348169</v>
      </c>
      <c r="M217" s="8">
        <f>IFERROR(__xludf.DUMMYFUNCTION("""COMPUTED_VALUE"""),0.527573199209628)</f>
        <v>0.5275731992</v>
      </c>
      <c r="N217" s="8">
        <f>IFERROR(__xludf.DUMMYFUNCTION("""COMPUTED_VALUE"""),0.517719014211189)</f>
        <v>0.5177190142</v>
      </c>
      <c r="O217" s="8">
        <f>IFERROR(__xludf.DUMMYFUNCTION("""COMPUTED_VALUE"""),0.477954463317672)</f>
        <v>0.4779544633</v>
      </c>
      <c r="P217" s="8">
        <f>IFERROR(__xludf.DUMMYFUNCTION("""COMPUTED_VALUE"""),0.455686988171064)</f>
        <v>0.4556869882</v>
      </c>
      <c r="Q217" s="8">
        <f>IFERROR(__xludf.DUMMYFUNCTION("""COMPUTED_VALUE"""),0.359041557469112)</f>
        <v>0.3590415575</v>
      </c>
      <c r="R217" s="8">
        <f>IFERROR(__xludf.DUMMYFUNCTION("""COMPUTED_VALUE"""),0.304213771839671)</f>
        <v>0.3042137718</v>
      </c>
      <c r="S217" s="8">
        <f>IFERROR(__xludf.DUMMYFUNCTION("""COMPUTED_VALUE"""),0.240546218487394)</f>
        <v>0.2405462185</v>
      </c>
      <c r="T217" s="8">
        <f>IFERROR(__xludf.DUMMYFUNCTION("""COMPUTED_VALUE"""),0.180883242589231)</f>
        <v>0.1808832426</v>
      </c>
      <c r="U217" s="8">
        <f>IFERROR(__xludf.DUMMYFUNCTION("""COMPUTED_VALUE"""),0.137592137592137)</f>
        <v>0.1375921376</v>
      </c>
      <c r="V217" s="8">
        <f>IFERROR(__xludf.DUMMYFUNCTION("""COMPUTED_VALUE"""),0.124007936507936)</f>
        <v>0.1240079365</v>
      </c>
      <c r="W217" s="8">
        <f>IFERROR(__xludf.DUMMYFUNCTION("""COMPUTED_VALUE"""),0.0979192166462668)</f>
        <v>0.09791921665</v>
      </c>
      <c r="X217" s="8">
        <f>IFERROR(__xludf.DUMMYFUNCTION("""COMPUTED_VALUE"""),0.0913312693498452)</f>
        <v>0.09133126935</v>
      </c>
      <c r="Y217" s="8">
        <f>IFERROR(__xludf.DUMMYFUNCTION("""COMPUTED_VALUE"""),0.0695187165775401)</f>
        <v>0.06951871658</v>
      </c>
      <c r="Z217" s="8">
        <f>IFERROR(__xludf.DUMMYFUNCTION("""COMPUTED_VALUE"""),0.0416666666666666)</f>
        <v>0.04166666667</v>
      </c>
      <c r="AA217" s="8">
        <f>IFERROR(__xludf.DUMMYFUNCTION("""COMPUTED_VALUE"""),0.0434782608695652)</f>
        <v>0.04347826087</v>
      </c>
      <c r="AB217" s="8">
        <f>IFERROR(__xludf.DUMMYFUNCTION("""COMPUTED_VALUE"""),0.0)</f>
        <v>0</v>
      </c>
      <c r="AC217" s="8">
        <f>IFERROR(__xludf.DUMMYFUNCTION("""COMPUTED_VALUE"""),0.0)</f>
        <v>0</v>
      </c>
    </row>
    <row r="218" ht="15.75" customHeight="1">
      <c r="A218" s="6" t="str">
        <f>IFERROR(__xludf.DUMMYFUNCTION("""COMPUTED_VALUE"""),"c04c6d5eb020135b9855b7b2290092294bd33d99")</f>
        <v>c04c6d5eb020135b9855b7b2290092294bd33d99</v>
      </c>
      <c r="B218" s="6" t="str">
        <f>IFERROR(__xludf.DUMMYFUNCTION("""COMPUTED_VALUE"""),"My Crimson Bite")</f>
        <v>My Crimson Bite</v>
      </c>
      <c r="C218" s="6" t="str">
        <f>IFERROR(__xludf.DUMMYFUNCTION("""COMPUTED_VALUE"""),"Romantasy")</f>
        <v>Romantasy</v>
      </c>
      <c r="D218" s="11">
        <f>IFERROR(__xludf.DUMMYFUNCTION("""COMPUTED_VALUE"""),634.0)</f>
        <v>634</v>
      </c>
      <c r="E218" s="8">
        <f>IFERROR(__xludf.DUMMYFUNCTION("""COMPUTED_VALUE"""),0.971061093247588)</f>
        <v>0.9710610932</v>
      </c>
      <c r="F218" s="8">
        <f>IFERROR(__xludf.DUMMYFUNCTION("""COMPUTED_VALUE"""),0.519543973941368)</f>
        <v>0.5195439739</v>
      </c>
      <c r="G218" s="8">
        <f>IFERROR(__xludf.DUMMYFUNCTION("""COMPUTED_VALUE"""),0.43687707641196)</f>
        <v>0.4368770764</v>
      </c>
      <c r="H218" s="8">
        <f>IFERROR(__xludf.DUMMYFUNCTION("""COMPUTED_VALUE"""),0.405172413793103)</f>
        <v>0.4051724138</v>
      </c>
      <c r="I218" s="8">
        <f>IFERROR(__xludf.DUMMYFUNCTION("""COMPUTED_VALUE"""),0.384479717813051)</f>
        <v>0.3844797178</v>
      </c>
      <c r="J218" s="8">
        <f>IFERROR(__xludf.DUMMYFUNCTION("""COMPUTED_VALUE"""),0.377394636015325)</f>
        <v>0.377394636</v>
      </c>
      <c r="K218" s="8">
        <f>IFERROR(__xludf.DUMMYFUNCTION("""COMPUTED_VALUE"""),0.360844529750479)</f>
        <v>0.3608445298</v>
      </c>
      <c r="L218" s="8">
        <f>IFERROR(__xludf.DUMMYFUNCTION("""COMPUTED_VALUE"""),0.337811900191938)</f>
        <v>0.3378119002</v>
      </c>
      <c r="M218" s="8">
        <f>IFERROR(__xludf.DUMMYFUNCTION("""COMPUTED_VALUE"""),0.315992292870905)</f>
        <v>0.3159922929</v>
      </c>
      <c r="N218" s="8">
        <f>IFERROR(__xludf.DUMMYFUNCTION("""COMPUTED_VALUE"""),0.313346228239845)</f>
        <v>0.3133462282</v>
      </c>
      <c r="O218" s="8">
        <f>IFERROR(__xludf.DUMMYFUNCTION("""COMPUTED_VALUE"""),0.25098814229249)</f>
        <v>0.2509881423</v>
      </c>
      <c r="P218" s="8">
        <f>IFERROR(__xludf.DUMMYFUNCTION("""COMPUTED_VALUE"""),0.179381443298969)</f>
        <v>0.1793814433</v>
      </c>
      <c r="Q218" s="8">
        <f>IFERROR(__xludf.DUMMYFUNCTION("""COMPUTED_VALUE"""),0.101694915254237)</f>
        <v>0.1016949153</v>
      </c>
      <c r="R218" s="8">
        <f>IFERROR(__xludf.DUMMYFUNCTION("""COMPUTED_VALUE"""),0.0)</f>
        <v>0</v>
      </c>
      <c r="S218" s="8">
        <f>IFERROR(__xludf.DUMMYFUNCTION("""COMPUTED_VALUE"""),0.0)</f>
        <v>0</v>
      </c>
      <c r="T218" s="8">
        <f>IFERROR(__xludf.DUMMYFUNCTION("""COMPUTED_VALUE"""),0.0)</f>
        <v>0</v>
      </c>
      <c r="U218" s="8">
        <f>IFERROR(__xludf.DUMMYFUNCTION("""COMPUTED_VALUE"""),0.0)</f>
        <v>0</v>
      </c>
      <c r="V218" s="8">
        <f>IFERROR(__xludf.DUMMYFUNCTION("""COMPUTED_VALUE"""),0.0)</f>
        <v>0</v>
      </c>
      <c r="W218" s="8">
        <f>IFERROR(__xludf.DUMMYFUNCTION("""COMPUTED_VALUE"""),0.0)</f>
        <v>0</v>
      </c>
      <c r="X218" s="8">
        <f>IFERROR(__xludf.DUMMYFUNCTION("""COMPUTED_VALUE"""),0.0)</f>
        <v>0</v>
      </c>
      <c r="Y218" s="8">
        <f>IFERROR(__xludf.DUMMYFUNCTION("""COMPUTED_VALUE"""),0.0)</f>
        <v>0</v>
      </c>
      <c r="Z218" s="8">
        <f>IFERROR(__xludf.DUMMYFUNCTION("""COMPUTED_VALUE"""),0.0)</f>
        <v>0</v>
      </c>
      <c r="AA218" s="8">
        <f>IFERROR(__xludf.DUMMYFUNCTION("""COMPUTED_VALUE"""),0.0)</f>
        <v>0</v>
      </c>
      <c r="AB218" s="8">
        <f>IFERROR(__xludf.DUMMYFUNCTION("""COMPUTED_VALUE"""),0.0)</f>
        <v>0</v>
      </c>
      <c r="AC218" s="8">
        <f>IFERROR(__xludf.DUMMYFUNCTION("""COMPUTED_VALUE"""),0.0)</f>
        <v>0</v>
      </c>
    </row>
    <row r="219" ht="15.75" customHeight="1">
      <c r="A219" s="6" t="str">
        <f>IFERROR(__xludf.DUMMYFUNCTION("""COMPUTED_VALUE"""),"c2045ffb46d0538ca44af5ee011be0b36e81c395")</f>
        <v>c2045ffb46d0538ca44af5ee011be0b36e81c395</v>
      </c>
      <c r="B219" s="6" t="str">
        <f>IFERROR(__xludf.DUMMYFUNCTION("""COMPUTED_VALUE"""),"A Marriage of Ashes")</f>
        <v>A Marriage of Ashes</v>
      </c>
      <c r="C219" s="6" t="str">
        <f>IFERROR(__xludf.DUMMYFUNCTION("""COMPUTED_VALUE"""),"Romance")</f>
        <v>Romance</v>
      </c>
      <c r="D219" s="11">
        <f>IFERROR(__xludf.DUMMYFUNCTION("""COMPUTED_VALUE"""),994.0)</f>
        <v>994</v>
      </c>
      <c r="E219" s="8">
        <f>IFERROR(__xludf.DUMMYFUNCTION("""COMPUTED_VALUE"""),0.981891348088531)</f>
        <v>0.9818913481</v>
      </c>
      <c r="F219" s="8">
        <f>IFERROR(__xludf.DUMMYFUNCTION("""COMPUTED_VALUE"""),0.28169014084507)</f>
        <v>0.2816901408</v>
      </c>
      <c r="G219" s="8">
        <f>IFERROR(__xludf.DUMMYFUNCTION("""COMPUTED_VALUE"""),0.192346424974823)</f>
        <v>0.192346425</v>
      </c>
      <c r="H219" s="8">
        <f>IFERROR(__xludf.DUMMYFUNCTION("""COMPUTED_VALUE"""),0.162298387096774)</f>
        <v>0.1622983871</v>
      </c>
      <c r="I219" s="8">
        <f>IFERROR(__xludf.DUMMYFUNCTION("""COMPUTED_VALUE"""),0.150353178607467)</f>
        <v>0.1503531786</v>
      </c>
      <c r="J219" s="8">
        <f>IFERROR(__xludf.DUMMYFUNCTION("""COMPUTED_VALUE"""),0.131180625630676)</f>
        <v>0.1311806256</v>
      </c>
      <c r="K219" s="8">
        <f>IFERROR(__xludf.DUMMYFUNCTION("""COMPUTED_VALUE"""),0.116044399596367)</f>
        <v>0.1160443996</v>
      </c>
      <c r="L219" s="8">
        <f>IFERROR(__xludf.DUMMYFUNCTION("""COMPUTED_VALUE"""),0.109989909182643)</f>
        <v>0.1099899092</v>
      </c>
      <c r="M219" s="8">
        <f>IFERROR(__xludf.DUMMYFUNCTION("""COMPUTED_VALUE"""),0.106962663975782)</f>
        <v>0.106962664</v>
      </c>
      <c r="N219" s="8">
        <f>IFERROR(__xludf.DUMMYFUNCTION("""COMPUTED_VALUE"""),0.0908173562058526)</f>
        <v>0.09081735621</v>
      </c>
      <c r="O219" s="8">
        <f>IFERROR(__xludf.DUMMYFUNCTION("""COMPUTED_VALUE"""),0.0183908045977011)</f>
        <v>0.0183908046</v>
      </c>
      <c r="P219" s="8">
        <f>IFERROR(__xludf.DUMMYFUNCTION("""COMPUTED_VALUE"""),0.0014388489208633)</f>
        <v>0.001438848921</v>
      </c>
      <c r="Q219" s="8">
        <f>IFERROR(__xludf.DUMMYFUNCTION("""COMPUTED_VALUE"""),0.0)</f>
        <v>0</v>
      </c>
      <c r="R219" s="8">
        <f>IFERROR(__xludf.DUMMYFUNCTION("""COMPUTED_VALUE"""),0.0)</f>
        <v>0</v>
      </c>
      <c r="S219" s="8">
        <f>IFERROR(__xludf.DUMMYFUNCTION("""COMPUTED_VALUE"""),0.0)</f>
        <v>0</v>
      </c>
      <c r="T219" s="8">
        <f>IFERROR(__xludf.DUMMYFUNCTION("""COMPUTED_VALUE"""),0.0)</f>
        <v>0</v>
      </c>
      <c r="U219" s="8">
        <f>IFERROR(__xludf.DUMMYFUNCTION("""COMPUTED_VALUE"""),0.0)</f>
        <v>0</v>
      </c>
      <c r="V219" s="8">
        <f>IFERROR(__xludf.DUMMYFUNCTION("""COMPUTED_VALUE"""),0.0)</f>
        <v>0</v>
      </c>
      <c r="W219" s="8">
        <f>IFERROR(__xludf.DUMMYFUNCTION("""COMPUTED_VALUE"""),0.0)</f>
        <v>0</v>
      </c>
      <c r="X219" s="8">
        <f>IFERROR(__xludf.DUMMYFUNCTION("""COMPUTED_VALUE"""),0.0)</f>
        <v>0</v>
      </c>
      <c r="Y219" s="8">
        <f>IFERROR(__xludf.DUMMYFUNCTION("""COMPUTED_VALUE"""),0.0)</f>
        <v>0</v>
      </c>
      <c r="Z219" s="8">
        <f>IFERROR(__xludf.DUMMYFUNCTION("""COMPUTED_VALUE"""),0.0)</f>
        <v>0</v>
      </c>
      <c r="AA219" s="8">
        <f>IFERROR(__xludf.DUMMYFUNCTION("""COMPUTED_VALUE"""),0.0)</f>
        <v>0</v>
      </c>
      <c r="AB219" s="8">
        <f>IFERROR(__xludf.DUMMYFUNCTION("""COMPUTED_VALUE"""),0.0)</f>
        <v>0</v>
      </c>
      <c r="AC219" s="8">
        <f>IFERROR(__xludf.DUMMYFUNCTION("""COMPUTED_VALUE"""),0.0)</f>
        <v>0</v>
      </c>
    </row>
    <row r="220" ht="15.75" customHeight="1">
      <c r="A220" s="6" t="str">
        <f>IFERROR(__xludf.DUMMYFUNCTION("""COMPUTED_VALUE"""),"c4463ba00f6c126612324139644418680a50dd75")</f>
        <v>c4463ba00f6c126612324139644418680a50dd75</v>
      </c>
      <c r="B220" s="6" t="str">
        <f>IFERROR(__xludf.DUMMYFUNCTION("""COMPUTED_VALUE"""),"Bloodstar")</f>
        <v>Bloodstar</v>
      </c>
      <c r="C220" s="6" t="str">
        <f>IFERROR(__xludf.DUMMYFUNCTION("""COMPUTED_VALUE"""),"System and Superpower")</f>
        <v>System and Superpower</v>
      </c>
      <c r="D220" s="11">
        <f>IFERROR(__xludf.DUMMYFUNCTION("""COMPUTED_VALUE"""),1141.0)</f>
        <v>1141</v>
      </c>
      <c r="E220" s="8">
        <f>IFERROR(__xludf.DUMMYFUNCTION("""COMPUTED_VALUE"""),0.975395430579964)</f>
        <v>0.9753954306</v>
      </c>
      <c r="F220" s="8">
        <f>IFERROR(__xludf.DUMMYFUNCTION("""COMPUTED_VALUE"""),0.698412698412698)</f>
        <v>0.6984126984</v>
      </c>
      <c r="G220" s="8">
        <f>IFERROR(__xludf.DUMMYFUNCTION("""COMPUTED_VALUE"""),0.610619469026548)</f>
        <v>0.610619469</v>
      </c>
      <c r="H220" s="8">
        <f>IFERROR(__xludf.DUMMYFUNCTION("""COMPUTED_VALUE"""),0.51504424778761)</f>
        <v>0.5150442478</v>
      </c>
      <c r="I220" s="8">
        <f>IFERROR(__xludf.DUMMYFUNCTION("""COMPUTED_VALUE"""),0.455436720142602)</f>
        <v>0.4554367201</v>
      </c>
      <c r="J220" s="8">
        <f>IFERROR(__xludf.DUMMYFUNCTION("""COMPUTED_VALUE"""),0.400359066427289)</f>
        <v>0.4003590664</v>
      </c>
      <c r="K220" s="8">
        <f>IFERROR(__xludf.DUMMYFUNCTION("""COMPUTED_VALUE"""),0.354373309287646)</f>
        <v>0.3543733093</v>
      </c>
      <c r="L220" s="8">
        <f>IFERROR(__xludf.DUMMYFUNCTION("""COMPUTED_VALUE"""),0.319381255686988)</f>
        <v>0.3193812557</v>
      </c>
      <c r="M220" s="8">
        <f>IFERROR(__xludf.DUMMYFUNCTION("""COMPUTED_VALUE"""),0.288725939505041)</f>
        <v>0.2887259395</v>
      </c>
      <c r="N220" s="8">
        <f>IFERROR(__xludf.DUMMYFUNCTION("""COMPUTED_VALUE"""),0.27490774907749)</f>
        <v>0.2749077491</v>
      </c>
      <c r="O220" s="8">
        <f>IFERROR(__xludf.DUMMYFUNCTION("""COMPUTED_VALUE"""),0.215686274509803)</f>
        <v>0.2156862745</v>
      </c>
      <c r="P220" s="8">
        <f>IFERROR(__xludf.DUMMYFUNCTION("""COMPUTED_VALUE"""),0.145454545454545)</f>
        <v>0.1454545455</v>
      </c>
      <c r="Q220" s="8">
        <f>IFERROR(__xludf.DUMMYFUNCTION("""COMPUTED_VALUE"""),0.0)</f>
        <v>0</v>
      </c>
      <c r="R220" s="8">
        <f>IFERROR(__xludf.DUMMYFUNCTION("""COMPUTED_VALUE"""),0.0)</f>
        <v>0</v>
      </c>
      <c r="S220" s="8">
        <f>IFERROR(__xludf.DUMMYFUNCTION("""COMPUTED_VALUE"""),0.0)</f>
        <v>0</v>
      </c>
      <c r="T220" s="8">
        <f>IFERROR(__xludf.DUMMYFUNCTION("""COMPUTED_VALUE"""),0.0)</f>
        <v>0</v>
      </c>
      <c r="U220" s="8">
        <f>IFERROR(__xludf.DUMMYFUNCTION("""COMPUTED_VALUE"""),0.0)</f>
        <v>0</v>
      </c>
      <c r="V220" s="8">
        <f>IFERROR(__xludf.DUMMYFUNCTION("""COMPUTED_VALUE"""),0.0)</f>
        <v>0</v>
      </c>
      <c r="W220" s="8">
        <f>IFERROR(__xludf.DUMMYFUNCTION("""COMPUTED_VALUE"""),0.0)</f>
        <v>0</v>
      </c>
      <c r="X220" s="8">
        <f>IFERROR(__xludf.DUMMYFUNCTION("""COMPUTED_VALUE"""),0.0)</f>
        <v>0</v>
      </c>
      <c r="Y220" s="8">
        <f>IFERROR(__xludf.DUMMYFUNCTION("""COMPUTED_VALUE"""),0.0)</f>
        <v>0</v>
      </c>
      <c r="Z220" s="8">
        <f>IFERROR(__xludf.DUMMYFUNCTION("""COMPUTED_VALUE"""),0.0)</f>
        <v>0</v>
      </c>
      <c r="AA220" s="8">
        <f>IFERROR(__xludf.DUMMYFUNCTION("""COMPUTED_VALUE"""),0.0)</f>
        <v>0</v>
      </c>
      <c r="AB220" s="8">
        <f>IFERROR(__xludf.DUMMYFUNCTION("""COMPUTED_VALUE"""),0.0)</f>
        <v>0</v>
      </c>
      <c r="AC220" s="8">
        <f>IFERROR(__xludf.DUMMYFUNCTION("""COMPUTED_VALUE"""),0.0)</f>
        <v>0</v>
      </c>
    </row>
    <row r="221" ht="15.75" customHeight="1">
      <c r="A221" s="6" t="str">
        <f>IFERROR(__xludf.DUMMYFUNCTION("""COMPUTED_VALUE"""),"c6590012d529ed8d9e5750565fe5d91ddd1144d5")</f>
        <v>c6590012d529ed8d9e5750565fe5d91ddd1144d5</v>
      </c>
      <c r="B221" s="6" t="str">
        <f>IFERROR(__xludf.DUMMYFUNCTION("""COMPUTED_VALUE"""),"Rise of Charles Atticus")</f>
        <v>Rise of Charles Atticus</v>
      </c>
      <c r="C221" s="6" t="str">
        <f>IFERROR(__xludf.DUMMYFUNCTION("""COMPUTED_VALUE"""),"Fantasy")</f>
        <v>Fantasy</v>
      </c>
      <c r="D221" s="11">
        <f>IFERROR(__xludf.DUMMYFUNCTION("""COMPUTED_VALUE"""),1118.0)</f>
        <v>1118</v>
      </c>
      <c r="E221" s="8">
        <f>IFERROR(__xludf.DUMMYFUNCTION("""COMPUTED_VALUE"""),0.96255707762557)</f>
        <v>0.9625570776</v>
      </c>
      <c r="F221" s="8">
        <f>IFERROR(__xludf.DUMMYFUNCTION("""COMPUTED_VALUE"""),0.650972364380757)</f>
        <v>0.6509723644</v>
      </c>
      <c r="G221" s="8">
        <f>IFERROR(__xludf.DUMMYFUNCTION("""COMPUTED_VALUE"""),0.614668218859138)</f>
        <v>0.6146682189</v>
      </c>
      <c r="H221" s="8">
        <f>IFERROR(__xludf.DUMMYFUNCTION("""COMPUTED_VALUE"""),0.57615894039735)</f>
        <v>0.5761589404</v>
      </c>
      <c r="I221" s="8">
        <f>IFERROR(__xludf.DUMMYFUNCTION("""COMPUTED_VALUE"""),0.537254901960784)</f>
        <v>0.537254902</v>
      </c>
      <c r="J221" s="8">
        <f>IFERROR(__xludf.DUMMYFUNCTION("""COMPUTED_VALUE"""),0.474164133738601)</f>
        <v>0.4741641337</v>
      </c>
      <c r="K221" s="8">
        <f>IFERROR(__xludf.DUMMYFUNCTION("""COMPUTED_VALUE"""),0.420494699646643)</f>
        <v>0.4204946996</v>
      </c>
      <c r="L221" s="8">
        <f>IFERROR(__xludf.DUMMYFUNCTION("""COMPUTED_VALUE"""),0.38403041825095)</f>
        <v>0.3840304183</v>
      </c>
      <c r="M221" s="8">
        <f>IFERROR(__xludf.DUMMYFUNCTION("""COMPUTED_VALUE"""),0.360869565217391)</f>
        <v>0.3608695652</v>
      </c>
      <c r="N221" s="8">
        <f>IFERROR(__xludf.DUMMYFUNCTION("""COMPUTED_VALUE"""),0.333333333333333)</f>
        <v>0.3333333333</v>
      </c>
      <c r="O221" s="8">
        <f>IFERROR(__xludf.DUMMYFUNCTION("""COMPUTED_VALUE"""),0.347826086956521)</f>
        <v>0.347826087</v>
      </c>
      <c r="P221" s="8">
        <f>IFERROR(__xludf.DUMMYFUNCTION("""COMPUTED_VALUE"""),0.5)</f>
        <v>0.5</v>
      </c>
      <c r="Q221" s="8">
        <f>IFERROR(__xludf.DUMMYFUNCTION("""COMPUTED_VALUE"""),0.0)</f>
        <v>0</v>
      </c>
      <c r="R221" s="8">
        <f>IFERROR(__xludf.DUMMYFUNCTION("""COMPUTED_VALUE"""),0.0)</f>
        <v>0</v>
      </c>
      <c r="S221" s="8">
        <f>IFERROR(__xludf.DUMMYFUNCTION("""COMPUTED_VALUE"""),0.0)</f>
        <v>0</v>
      </c>
      <c r="T221" s="8">
        <f>IFERROR(__xludf.DUMMYFUNCTION("""COMPUTED_VALUE"""),0.0)</f>
        <v>0</v>
      </c>
      <c r="U221" s="8">
        <f>IFERROR(__xludf.DUMMYFUNCTION("""COMPUTED_VALUE"""),0.0)</f>
        <v>0</v>
      </c>
      <c r="V221" s="8">
        <f>IFERROR(__xludf.DUMMYFUNCTION("""COMPUTED_VALUE"""),0.0)</f>
        <v>0</v>
      </c>
      <c r="W221" s="8">
        <f>IFERROR(__xludf.DUMMYFUNCTION("""COMPUTED_VALUE"""),0.0)</f>
        <v>0</v>
      </c>
      <c r="X221" s="8">
        <f>IFERROR(__xludf.DUMMYFUNCTION("""COMPUTED_VALUE"""),0.0)</f>
        <v>0</v>
      </c>
      <c r="Y221" s="8">
        <f>IFERROR(__xludf.DUMMYFUNCTION("""COMPUTED_VALUE"""),0.0)</f>
        <v>0</v>
      </c>
      <c r="Z221" s="8">
        <f>IFERROR(__xludf.DUMMYFUNCTION("""COMPUTED_VALUE"""),0.0)</f>
        <v>0</v>
      </c>
      <c r="AA221" s="8">
        <f>IFERROR(__xludf.DUMMYFUNCTION("""COMPUTED_VALUE"""),0.0)</f>
        <v>0</v>
      </c>
      <c r="AB221" s="8">
        <f>IFERROR(__xludf.DUMMYFUNCTION("""COMPUTED_VALUE"""),0.0)</f>
        <v>0</v>
      </c>
      <c r="AC221" s="8">
        <f>IFERROR(__xludf.DUMMYFUNCTION("""COMPUTED_VALUE"""),0.0)</f>
        <v>0</v>
      </c>
    </row>
    <row r="222" ht="15.75" customHeight="1">
      <c r="A222" s="6" t="str">
        <f>IFERROR(__xludf.DUMMYFUNCTION("""COMPUTED_VALUE"""),"c66d5521f195754d722c7e3daab2da20a027dd0c")</f>
        <v>c66d5521f195754d722c7e3daab2da20a027dd0c</v>
      </c>
      <c r="B222" s="6" t="str">
        <f>IFERROR(__xludf.DUMMYFUNCTION("""COMPUTED_VALUE"""),"Ceo's Heartbreaker")</f>
        <v>Ceo's Heartbreaker</v>
      </c>
      <c r="C222" s="6" t="str">
        <f>IFERROR(__xludf.DUMMYFUNCTION("""COMPUTED_VALUE"""),"Romance")</f>
        <v>Romance</v>
      </c>
      <c r="D222" s="11">
        <f>IFERROR(__xludf.DUMMYFUNCTION("""COMPUTED_VALUE"""),426.0)</f>
        <v>426</v>
      </c>
      <c r="E222" s="8">
        <f>IFERROR(__xludf.DUMMYFUNCTION("""COMPUTED_VALUE"""),0.948113207547169)</f>
        <v>0.9481132075</v>
      </c>
      <c r="F222" s="8">
        <f>IFERROR(__xludf.DUMMYFUNCTION("""COMPUTED_VALUE"""),0.509523809523809)</f>
        <v>0.5095238095</v>
      </c>
      <c r="G222" s="8">
        <f>IFERROR(__xludf.DUMMYFUNCTION("""COMPUTED_VALUE"""),0.398550724637681)</f>
        <v>0.3985507246</v>
      </c>
      <c r="H222" s="8">
        <f>IFERROR(__xludf.DUMMYFUNCTION("""COMPUTED_VALUE"""),0.368550368550368)</f>
        <v>0.3685503686</v>
      </c>
      <c r="I222" s="8">
        <f>IFERROR(__xludf.DUMMYFUNCTION("""COMPUTED_VALUE"""),0.281094527363184)</f>
        <v>0.2810945274</v>
      </c>
      <c r="J222" s="8">
        <f>IFERROR(__xludf.DUMMYFUNCTION("""COMPUTED_VALUE"""),0.265151515151515)</f>
        <v>0.2651515152</v>
      </c>
      <c r="K222" s="8">
        <f>IFERROR(__xludf.DUMMYFUNCTION("""COMPUTED_VALUE"""),0.242966751918158)</f>
        <v>0.2429667519</v>
      </c>
      <c r="L222" s="8">
        <f>IFERROR(__xludf.DUMMYFUNCTION("""COMPUTED_VALUE"""),0.221333333333333)</f>
        <v>0.2213333333</v>
      </c>
      <c r="M222" s="8">
        <f>IFERROR(__xludf.DUMMYFUNCTION("""COMPUTED_VALUE"""),0.214084507042253)</f>
        <v>0.214084507</v>
      </c>
      <c r="N222" s="8">
        <f>IFERROR(__xludf.DUMMYFUNCTION("""COMPUTED_VALUE"""),0.207317073170731)</f>
        <v>0.2073170732</v>
      </c>
      <c r="O222" s="8">
        <f>IFERROR(__xludf.DUMMYFUNCTION("""COMPUTED_VALUE"""),0.194139194139194)</f>
        <v>0.1941391941</v>
      </c>
      <c r="P222" s="8">
        <f>IFERROR(__xludf.DUMMYFUNCTION("""COMPUTED_VALUE"""),0.137037037037037)</f>
        <v>0.137037037</v>
      </c>
      <c r="Q222" s="8">
        <f>IFERROR(__xludf.DUMMYFUNCTION("""COMPUTED_VALUE"""),0.0666666666666666)</f>
        <v>0.06666666667</v>
      </c>
      <c r="R222" s="8">
        <f>IFERROR(__xludf.DUMMYFUNCTION("""COMPUTED_VALUE"""),0.0)</f>
        <v>0</v>
      </c>
      <c r="S222" s="8">
        <f>IFERROR(__xludf.DUMMYFUNCTION("""COMPUTED_VALUE"""),0.0)</f>
        <v>0</v>
      </c>
      <c r="T222" s="8">
        <f>IFERROR(__xludf.DUMMYFUNCTION("""COMPUTED_VALUE"""),0.0)</f>
        <v>0</v>
      </c>
      <c r="U222" s="8">
        <f>IFERROR(__xludf.DUMMYFUNCTION("""COMPUTED_VALUE"""),0.0)</f>
        <v>0</v>
      </c>
      <c r="V222" s="8">
        <f>IFERROR(__xludf.DUMMYFUNCTION("""COMPUTED_VALUE"""),0.0)</f>
        <v>0</v>
      </c>
      <c r="W222" s="8">
        <f>IFERROR(__xludf.DUMMYFUNCTION("""COMPUTED_VALUE"""),0.0)</f>
        <v>0</v>
      </c>
      <c r="X222" s="8">
        <f>IFERROR(__xludf.DUMMYFUNCTION("""COMPUTED_VALUE"""),0.0)</f>
        <v>0</v>
      </c>
      <c r="Y222" s="8">
        <f>IFERROR(__xludf.DUMMYFUNCTION("""COMPUTED_VALUE"""),0.0)</f>
        <v>0</v>
      </c>
      <c r="Z222" s="8">
        <f>IFERROR(__xludf.DUMMYFUNCTION("""COMPUTED_VALUE"""),0.0)</f>
        <v>0</v>
      </c>
      <c r="AA222" s="8">
        <f>IFERROR(__xludf.DUMMYFUNCTION("""COMPUTED_VALUE"""),0.0)</f>
        <v>0</v>
      </c>
      <c r="AB222" s="8">
        <f>IFERROR(__xludf.DUMMYFUNCTION("""COMPUTED_VALUE"""),0.0)</f>
        <v>0</v>
      </c>
      <c r="AC222" s="8">
        <f>IFERROR(__xludf.DUMMYFUNCTION("""COMPUTED_VALUE"""),0.0)</f>
        <v>0</v>
      </c>
    </row>
    <row r="223" ht="15.75" customHeight="1">
      <c r="A223" s="6" t="str">
        <f>IFERROR(__xludf.DUMMYFUNCTION("""COMPUTED_VALUE"""),"c6786de3c05a64c2f4c13acbe0e61d8d4e111aad")</f>
        <v>c6786de3c05a64c2f4c13acbe0e61d8d4e111aad</v>
      </c>
      <c r="B223" s="6" t="str">
        <f>IFERROR(__xludf.DUMMYFUNCTION("""COMPUTED_VALUE"""),"Mr. Kane's Reluctant Wife")</f>
        <v>Mr. Kane's Reluctant Wife</v>
      </c>
      <c r="C223" s="6" t="str">
        <f>IFERROR(__xludf.DUMMYFUNCTION("""COMPUTED_VALUE"""),"Romance")</f>
        <v>Romance</v>
      </c>
      <c r="D223" s="11">
        <f>IFERROR(__xludf.DUMMYFUNCTION("""COMPUTED_VALUE"""),1535.0)</f>
        <v>1535</v>
      </c>
      <c r="E223" s="8">
        <f>IFERROR(__xludf.DUMMYFUNCTION("""COMPUTED_VALUE"""),0.951728636660143)</f>
        <v>0.9517286367</v>
      </c>
      <c r="F223" s="8">
        <f>IFERROR(__xludf.DUMMYFUNCTION("""COMPUTED_VALUE"""),0.570588235294117)</f>
        <v>0.5705882353</v>
      </c>
      <c r="G223" s="8">
        <f>IFERROR(__xludf.DUMMYFUNCTION("""COMPUTED_VALUE"""),0.510791366906474)</f>
        <v>0.5107913669</v>
      </c>
      <c r="H223" s="8">
        <f>IFERROR(__xludf.DUMMYFUNCTION("""COMPUTED_VALUE"""),0.493455497382198)</f>
        <v>0.4934554974</v>
      </c>
      <c r="I223" s="8">
        <f>IFERROR(__xludf.DUMMYFUNCTION("""COMPUTED_VALUE"""),0.463254593175853)</f>
        <v>0.4632545932</v>
      </c>
      <c r="J223" s="8">
        <f>IFERROR(__xludf.DUMMYFUNCTION("""COMPUTED_VALUE"""),0.448094612352168)</f>
        <v>0.4480946124</v>
      </c>
      <c r="K223" s="8">
        <f>IFERROR(__xludf.DUMMYFUNCTION("""COMPUTED_VALUE"""),0.436471362738643)</f>
        <v>0.4364713627</v>
      </c>
      <c r="L223" s="8">
        <f>IFERROR(__xludf.DUMMYFUNCTION("""COMPUTED_VALUE"""),0.429229756418696)</f>
        <v>0.4292297564</v>
      </c>
      <c r="M223" s="8">
        <f>IFERROR(__xludf.DUMMYFUNCTION("""COMPUTED_VALUE"""),0.427536231884058)</f>
        <v>0.4275362319</v>
      </c>
      <c r="N223" s="8">
        <f>IFERROR(__xludf.DUMMYFUNCTION("""COMPUTED_VALUE"""),0.416116248348745)</f>
        <v>0.4161162483</v>
      </c>
      <c r="O223" s="8">
        <f>IFERROR(__xludf.DUMMYFUNCTION("""COMPUTED_VALUE"""),0.392977717758271)</f>
        <v>0.3929777178</v>
      </c>
      <c r="P223" s="8">
        <f>IFERROR(__xludf.DUMMYFUNCTION("""COMPUTED_VALUE"""),0.283360790774299)</f>
        <v>0.2833607908</v>
      </c>
      <c r="Q223" s="8">
        <f>IFERROR(__xludf.DUMMYFUNCTION("""COMPUTED_VALUE"""),0.181360201511335)</f>
        <v>0.1813602015</v>
      </c>
      <c r="R223" s="8">
        <f>IFERROR(__xludf.DUMMYFUNCTION("""COMPUTED_VALUE"""),0.0)</f>
        <v>0</v>
      </c>
      <c r="S223" s="8">
        <f>IFERROR(__xludf.DUMMYFUNCTION("""COMPUTED_VALUE"""),0.0)</f>
        <v>0</v>
      </c>
      <c r="T223" s="8">
        <f>IFERROR(__xludf.DUMMYFUNCTION("""COMPUTED_VALUE"""),0.0)</f>
        <v>0</v>
      </c>
      <c r="U223" s="8">
        <f>IFERROR(__xludf.DUMMYFUNCTION("""COMPUTED_VALUE"""),0.0)</f>
        <v>0</v>
      </c>
      <c r="V223" s="8">
        <f>IFERROR(__xludf.DUMMYFUNCTION("""COMPUTED_VALUE"""),0.0)</f>
        <v>0</v>
      </c>
      <c r="W223" s="8">
        <f>IFERROR(__xludf.DUMMYFUNCTION("""COMPUTED_VALUE"""),0.0)</f>
        <v>0</v>
      </c>
      <c r="X223" s="8">
        <f>IFERROR(__xludf.DUMMYFUNCTION("""COMPUTED_VALUE"""),0.0)</f>
        <v>0</v>
      </c>
      <c r="Y223" s="8">
        <f>IFERROR(__xludf.DUMMYFUNCTION("""COMPUTED_VALUE"""),0.0)</f>
        <v>0</v>
      </c>
      <c r="Z223" s="8">
        <f>IFERROR(__xludf.DUMMYFUNCTION("""COMPUTED_VALUE"""),0.0)</f>
        <v>0</v>
      </c>
      <c r="AA223" s="8">
        <f>IFERROR(__xludf.DUMMYFUNCTION("""COMPUTED_VALUE"""),0.0)</f>
        <v>0</v>
      </c>
      <c r="AB223" s="8">
        <f>IFERROR(__xludf.DUMMYFUNCTION("""COMPUTED_VALUE"""),0.0)</f>
        <v>0</v>
      </c>
      <c r="AC223" s="8">
        <f>IFERROR(__xludf.DUMMYFUNCTION("""COMPUTED_VALUE"""),0.0)</f>
        <v>0</v>
      </c>
    </row>
    <row r="224" ht="15.75" customHeight="1">
      <c r="A224" s="6" t="str">
        <f>IFERROR(__xludf.DUMMYFUNCTION("""COMPUTED_VALUE"""),"c8219b2f9d80ce631da27b15849041dbb194dc76")</f>
        <v>c8219b2f9d80ce631da27b15849041dbb194dc76</v>
      </c>
      <c r="B224" s="6" t="str">
        <f>IFERROR(__xludf.DUMMYFUNCTION("""COMPUTED_VALUE"""),"The Fire God's Heir")</f>
        <v>The Fire God's Heir</v>
      </c>
      <c r="C224" s="6" t="str">
        <f>IFERROR(__xludf.DUMMYFUNCTION("""COMPUTED_VALUE"""),"Romantasy")</f>
        <v>Romantasy</v>
      </c>
      <c r="D224" s="11">
        <f>IFERROR(__xludf.DUMMYFUNCTION("""COMPUTED_VALUE"""),1398.0)</f>
        <v>1398</v>
      </c>
      <c r="E224" s="8">
        <f>IFERROR(__xludf.DUMMYFUNCTION("""COMPUTED_VALUE"""),0.964231354642313)</f>
        <v>0.9642313546</v>
      </c>
      <c r="F224" s="8">
        <f>IFERROR(__xludf.DUMMYFUNCTION("""COMPUTED_VALUE"""),0.59023178807947)</f>
        <v>0.5902317881</v>
      </c>
      <c r="G224" s="8">
        <f>IFERROR(__xludf.DUMMYFUNCTION("""COMPUTED_VALUE"""),0.51937984496124)</f>
        <v>0.519379845</v>
      </c>
      <c r="H224" s="8">
        <f>IFERROR(__xludf.DUMMYFUNCTION("""COMPUTED_VALUE"""),0.352)</f>
        <v>0.352</v>
      </c>
      <c r="I224" s="8">
        <f>IFERROR(__xludf.DUMMYFUNCTION("""COMPUTED_VALUE"""),0.283393501805054)</f>
        <v>0.2833935018</v>
      </c>
      <c r="J224" s="8">
        <f>IFERROR(__xludf.DUMMYFUNCTION("""COMPUTED_VALUE"""),0.253690036900369)</f>
        <v>0.2536900369</v>
      </c>
      <c r="K224" s="8">
        <f>IFERROR(__xludf.DUMMYFUNCTION("""COMPUTED_VALUE"""),0.248821866163996)</f>
        <v>0.2488218662</v>
      </c>
      <c r="L224" s="8">
        <f>IFERROR(__xludf.DUMMYFUNCTION("""COMPUTED_VALUE"""),0.229066410009624)</f>
        <v>0.22906641</v>
      </c>
      <c r="M224" s="8">
        <f>IFERROR(__xludf.DUMMYFUNCTION("""COMPUTED_VALUE"""),0.198636806231742)</f>
        <v>0.1986368062</v>
      </c>
      <c r="N224" s="8">
        <f>IFERROR(__xludf.DUMMYFUNCTION("""COMPUTED_VALUE"""),0.174728529121421)</f>
        <v>0.1747285291</v>
      </c>
      <c r="O224" s="8">
        <f>IFERROR(__xludf.DUMMYFUNCTION("""COMPUTED_VALUE"""),0.12863070539419)</f>
        <v>0.1286307054</v>
      </c>
      <c r="P224" s="8">
        <f>IFERROR(__xludf.DUMMYFUNCTION("""COMPUTED_VALUE"""),0.0671641791044776)</f>
        <v>0.0671641791</v>
      </c>
      <c r="Q224" s="8">
        <f>IFERROR(__xludf.DUMMYFUNCTION("""COMPUTED_VALUE"""),0.0511508951406649)</f>
        <v>0.05115089514</v>
      </c>
      <c r="R224" s="8">
        <f>IFERROR(__xludf.DUMMYFUNCTION("""COMPUTED_VALUE"""),0.0)</f>
        <v>0</v>
      </c>
      <c r="S224" s="8">
        <f>IFERROR(__xludf.DUMMYFUNCTION("""COMPUTED_VALUE"""),0.0)</f>
        <v>0</v>
      </c>
      <c r="T224" s="8">
        <f>IFERROR(__xludf.DUMMYFUNCTION("""COMPUTED_VALUE"""),0.0)</f>
        <v>0</v>
      </c>
      <c r="U224" s="8">
        <f>IFERROR(__xludf.DUMMYFUNCTION("""COMPUTED_VALUE"""),0.0)</f>
        <v>0</v>
      </c>
      <c r="V224" s="8">
        <f>IFERROR(__xludf.DUMMYFUNCTION("""COMPUTED_VALUE"""),0.0)</f>
        <v>0</v>
      </c>
      <c r="W224" s="8">
        <f>IFERROR(__xludf.DUMMYFUNCTION("""COMPUTED_VALUE"""),0.0)</f>
        <v>0</v>
      </c>
      <c r="X224" s="8">
        <f>IFERROR(__xludf.DUMMYFUNCTION("""COMPUTED_VALUE"""),0.0)</f>
        <v>0</v>
      </c>
      <c r="Y224" s="8">
        <f>IFERROR(__xludf.DUMMYFUNCTION("""COMPUTED_VALUE"""),0.0)</f>
        <v>0</v>
      </c>
      <c r="Z224" s="8">
        <f>IFERROR(__xludf.DUMMYFUNCTION("""COMPUTED_VALUE"""),0.0)</f>
        <v>0</v>
      </c>
      <c r="AA224" s="8">
        <f>IFERROR(__xludf.DUMMYFUNCTION("""COMPUTED_VALUE"""),0.0)</f>
        <v>0</v>
      </c>
      <c r="AB224" s="8">
        <f>IFERROR(__xludf.DUMMYFUNCTION("""COMPUTED_VALUE"""),0.0)</f>
        <v>0</v>
      </c>
      <c r="AC224" s="8">
        <f>IFERROR(__xludf.DUMMYFUNCTION("""COMPUTED_VALUE"""),0.0)</f>
        <v>0</v>
      </c>
    </row>
    <row r="225" ht="15.75" customHeight="1">
      <c r="A225" s="6" t="str">
        <f>IFERROR(__xludf.DUMMYFUNCTION("""COMPUTED_VALUE"""),"c9fd6d447c06b151ec4563d30a1e1685e71bd29d")</f>
        <v>c9fd6d447c06b151ec4563d30a1e1685e71bd29d</v>
      </c>
      <c r="B225" s="6" t="str">
        <f>IFERROR(__xludf.DUMMYFUNCTION("""COMPUTED_VALUE"""),"Void Evolution System")</f>
        <v>Void Evolution System</v>
      </c>
      <c r="C225" s="6" t="str">
        <f>IFERROR(__xludf.DUMMYFUNCTION("""COMPUTED_VALUE"""),"Fantasy")</f>
        <v>Fantasy</v>
      </c>
      <c r="D225" s="11">
        <f>IFERROR(__xludf.DUMMYFUNCTION("""COMPUTED_VALUE"""),1121.0)</f>
        <v>1121</v>
      </c>
      <c r="E225" s="8">
        <f>IFERROR(__xludf.DUMMYFUNCTION("""COMPUTED_VALUE"""),0.974037600716204)</f>
        <v>0.9740376007</v>
      </c>
      <c r="F225" s="8">
        <f>IFERROR(__xludf.DUMMYFUNCTION("""COMPUTED_VALUE"""),0.713381555153707)</f>
        <v>0.7133815552</v>
      </c>
      <c r="G225" s="8">
        <f>IFERROR(__xludf.DUMMYFUNCTION("""COMPUTED_VALUE"""),0.671220400728597)</f>
        <v>0.6712204007</v>
      </c>
      <c r="H225" s="8">
        <f>IFERROR(__xludf.DUMMYFUNCTION("""COMPUTED_VALUE"""),0.624197983501374)</f>
        <v>0.6241979835</v>
      </c>
      <c r="I225" s="8">
        <f>IFERROR(__xludf.DUMMYFUNCTION("""COMPUTED_VALUE"""),0.600930232558139)</f>
        <v>0.6009302326</v>
      </c>
      <c r="J225" s="8">
        <f>IFERROR(__xludf.DUMMYFUNCTION("""COMPUTED_VALUE"""),0.583411875589066)</f>
        <v>0.5834118756</v>
      </c>
      <c r="K225" s="8">
        <f>IFERROR(__xludf.DUMMYFUNCTION("""COMPUTED_VALUE"""),0.558229066410009)</f>
        <v>0.5582290664</v>
      </c>
      <c r="L225" s="8">
        <f>IFERROR(__xludf.DUMMYFUNCTION("""COMPUTED_VALUE"""),0.542676501580611)</f>
        <v>0.5426765016</v>
      </c>
      <c r="M225" s="8">
        <f>IFERROR(__xludf.DUMMYFUNCTION("""COMPUTED_VALUE"""),0.523041474654377)</f>
        <v>0.5230414747</v>
      </c>
      <c r="N225" s="8">
        <f>IFERROR(__xludf.DUMMYFUNCTION("""COMPUTED_VALUE"""),0.501210653753026)</f>
        <v>0.5012106538</v>
      </c>
      <c r="O225" s="8">
        <f>IFERROR(__xludf.DUMMYFUNCTION("""COMPUTED_VALUE"""),0.327272727272727)</f>
        <v>0.3272727273</v>
      </c>
      <c r="P225" s="8">
        <f>IFERROR(__xludf.DUMMYFUNCTION("""COMPUTED_VALUE"""),0.5)</f>
        <v>0.5</v>
      </c>
      <c r="Q225" s="8">
        <f>IFERROR(__xludf.DUMMYFUNCTION("""COMPUTED_VALUE"""),0.0)</f>
        <v>0</v>
      </c>
      <c r="R225" s="8">
        <f>IFERROR(__xludf.DUMMYFUNCTION("""COMPUTED_VALUE"""),0.0)</f>
        <v>0</v>
      </c>
      <c r="S225" s="8">
        <f>IFERROR(__xludf.DUMMYFUNCTION("""COMPUTED_VALUE"""),0.0)</f>
        <v>0</v>
      </c>
      <c r="T225" s="8">
        <f>IFERROR(__xludf.DUMMYFUNCTION("""COMPUTED_VALUE"""),0.0)</f>
        <v>0</v>
      </c>
      <c r="U225" s="8">
        <f>IFERROR(__xludf.DUMMYFUNCTION("""COMPUTED_VALUE"""),0.0)</f>
        <v>0</v>
      </c>
      <c r="V225" s="8">
        <f>IFERROR(__xludf.DUMMYFUNCTION("""COMPUTED_VALUE"""),0.0)</f>
        <v>0</v>
      </c>
      <c r="W225" s="8">
        <f>IFERROR(__xludf.DUMMYFUNCTION("""COMPUTED_VALUE"""),0.0)</f>
        <v>0</v>
      </c>
      <c r="X225" s="8">
        <f>IFERROR(__xludf.DUMMYFUNCTION("""COMPUTED_VALUE"""),0.0)</f>
        <v>0</v>
      </c>
      <c r="Y225" s="8">
        <f>IFERROR(__xludf.DUMMYFUNCTION("""COMPUTED_VALUE"""),0.0)</f>
        <v>0</v>
      </c>
      <c r="Z225" s="8">
        <f>IFERROR(__xludf.DUMMYFUNCTION("""COMPUTED_VALUE"""),0.0)</f>
        <v>0</v>
      </c>
      <c r="AA225" s="8">
        <f>IFERROR(__xludf.DUMMYFUNCTION("""COMPUTED_VALUE"""),0.0)</f>
        <v>0</v>
      </c>
      <c r="AB225" s="8">
        <f>IFERROR(__xludf.DUMMYFUNCTION("""COMPUTED_VALUE"""),0.0)</f>
        <v>0</v>
      </c>
      <c r="AC225" s="8">
        <f>IFERROR(__xludf.DUMMYFUNCTION("""COMPUTED_VALUE"""),0.0)</f>
        <v>0</v>
      </c>
    </row>
    <row r="226" ht="15.75" customHeight="1">
      <c r="A226" s="6" t="str">
        <f>IFERROR(__xludf.DUMMYFUNCTION("""COMPUTED_VALUE"""),"cae77d999ed2205a1ab04a54470de972ddd8bc69")</f>
        <v>cae77d999ed2205a1ab04a54470de972ddd8bc69</v>
      </c>
      <c r="B226" s="6" t="str">
        <f>IFERROR(__xludf.DUMMYFUNCTION("""COMPUTED_VALUE"""),"Atlas of My Heart")</f>
        <v>Atlas of My Heart</v>
      </c>
      <c r="C226" s="6" t="str">
        <f>IFERROR(__xludf.DUMMYFUNCTION("""COMPUTED_VALUE"""),"Romance")</f>
        <v>Romance</v>
      </c>
      <c r="D226" s="11">
        <f>IFERROR(__xludf.DUMMYFUNCTION("""COMPUTED_VALUE"""),2226.0)</f>
        <v>2226</v>
      </c>
      <c r="E226" s="8">
        <f>IFERROR(__xludf.DUMMYFUNCTION("""COMPUTED_VALUE"""),0.950967161493477)</f>
        <v>0.9509671615</v>
      </c>
      <c r="F226" s="8">
        <f>IFERROR(__xludf.DUMMYFUNCTION("""COMPUTED_VALUE"""),0.583295711060948)</f>
        <v>0.5832957111</v>
      </c>
      <c r="G226" s="8">
        <f>IFERROR(__xludf.DUMMYFUNCTION("""COMPUTED_VALUE"""),0.490267089180624)</f>
        <v>0.4902670892</v>
      </c>
      <c r="H226" s="8">
        <f>IFERROR(__xludf.DUMMYFUNCTION("""COMPUTED_VALUE"""),0.427727272727272)</f>
        <v>0.4277272727</v>
      </c>
      <c r="I226" s="8">
        <f>IFERROR(__xludf.DUMMYFUNCTION("""COMPUTED_VALUE"""),0.363926940639269)</f>
        <v>0.3639269406</v>
      </c>
      <c r="J226" s="8">
        <f>IFERROR(__xludf.DUMMYFUNCTION("""COMPUTED_VALUE"""),0.317453046266605)</f>
        <v>0.3174530463</v>
      </c>
      <c r="K226" s="8">
        <f>IFERROR(__xludf.DUMMYFUNCTION("""COMPUTED_VALUE"""),0.302667893284268)</f>
        <v>0.3026678933</v>
      </c>
      <c r="L226" s="8">
        <f>IFERROR(__xludf.DUMMYFUNCTION("""COMPUTED_VALUE"""),0.288888888888888)</f>
        <v>0.2888888889</v>
      </c>
      <c r="M226" s="8">
        <f>IFERROR(__xludf.DUMMYFUNCTION("""COMPUTED_VALUE"""),0.269355586462679)</f>
        <v>0.2693555865</v>
      </c>
      <c r="N226" s="8">
        <f>IFERROR(__xludf.DUMMYFUNCTION("""COMPUTED_VALUE"""),0.249302325581395)</f>
        <v>0.2493023256</v>
      </c>
      <c r="O226" s="8">
        <f>IFERROR(__xludf.DUMMYFUNCTION("""COMPUTED_VALUE"""),0.210023866348448)</f>
        <v>0.2100238663</v>
      </c>
      <c r="P226" s="8">
        <f>IFERROR(__xludf.DUMMYFUNCTION("""COMPUTED_VALUE"""),0.189873417721519)</f>
        <v>0.1898734177</v>
      </c>
      <c r="Q226" s="8">
        <f>IFERROR(__xludf.DUMMYFUNCTION("""COMPUTED_VALUE"""),0.132275132275132)</f>
        <v>0.1322751323</v>
      </c>
      <c r="R226" s="8">
        <f>IFERROR(__xludf.DUMMYFUNCTION("""COMPUTED_VALUE"""),0.0)</f>
        <v>0</v>
      </c>
      <c r="S226" s="8">
        <f>IFERROR(__xludf.DUMMYFUNCTION("""COMPUTED_VALUE"""),0.0)</f>
        <v>0</v>
      </c>
      <c r="T226" s="8">
        <f>IFERROR(__xludf.DUMMYFUNCTION("""COMPUTED_VALUE"""),0.0)</f>
        <v>0</v>
      </c>
      <c r="U226" s="8">
        <f>IFERROR(__xludf.DUMMYFUNCTION("""COMPUTED_VALUE"""),0.0)</f>
        <v>0</v>
      </c>
      <c r="V226" s="8">
        <f>IFERROR(__xludf.DUMMYFUNCTION("""COMPUTED_VALUE"""),0.0)</f>
        <v>0</v>
      </c>
      <c r="W226" s="8">
        <f>IFERROR(__xludf.DUMMYFUNCTION("""COMPUTED_VALUE"""),0.0)</f>
        <v>0</v>
      </c>
      <c r="X226" s="8">
        <f>IFERROR(__xludf.DUMMYFUNCTION("""COMPUTED_VALUE"""),0.0)</f>
        <v>0</v>
      </c>
      <c r="Y226" s="8">
        <f>IFERROR(__xludf.DUMMYFUNCTION("""COMPUTED_VALUE"""),0.0)</f>
        <v>0</v>
      </c>
      <c r="Z226" s="8">
        <f>IFERROR(__xludf.DUMMYFUNCTION("""COMPUTED_VALUE"""),0.0)</f>
        <v>0</v>
      </c>
      <c r="AA226" s="8">
        <f>IFERROR(__xludf.DUMMYFUNCTION("""COMPUTED_VALUE"""),0.0)</f>
        <v>0</v>
      </c>
      <c r="AB226" s="8">
        <f>IFERROR(__xludf.DUMMYFUNCTION("""COMPUTED_VALUE"""),0.0)</f>
        <v>0</v>
      </c>
      <c r="AC226" s="8">
        <f>IFERROR(__xludf.DUMMYFUNCTION("""COMPUTED_VALUE"""),0.0)</f>
        <v>0</v>
      </c>
    </row>
    <row r="227" ht="15.75" customHeight="1">
      <c r="A227" s="6" t="str">
        <f>IFERROR(__xludf.DUMMYFUNCTION("""COMPUTED_VALUE"""),"cc5ecb3fc21c174557bddcfbc36d821c915d89ed")</f>
        <v>cc5ecb3fc21c174557bddcfbc36d821c915d89ed</v>
      </c>
      <c r="B227" s="6" t="str">
        <f>IFERROR(__xludf.DUMMYFUNCTION("""COMPUTED_VALUE"""),"My Lovely Intruder")</f>
        <v>My Lovely Intruder</v>
      </c>
      <c r="C227" s="6" t="str">
        <f>IFERROR(__xludf.DUMMYFUNCTION("""COMPUTED_VALUE"""),"Romantasy")</f>
        <v>Romantasy</v>
      </c>
      <c r="D227" s="11">
        <f>IFERROR(__xludf.DUMMYFUNCTION("""COMPUTED_VALUE"""),640.0)</f>
        <v>640</v>
      </c>
      <c r="E227" s="8">
        <f>IFERROR(__xludf.DUMMYFUNCTION("""COMPUTED_VALUE"""),0.963836477987421)</f>
        <v>0.963836478</v>
      </c>
      <c r="F227" s="8">
        <f>IFERROR(__xludf.DUMMYFUNCTION("""COMPUTED_VALUE"""),0.510366826156299)</f>
        <v>0.5103668262</v>
      </c>
      <c r="G227" s="8">
        <f>IFERROR(__xludf.DUMMYFUNCTION("""COMPUTED_VALUE"""),0.423756019261637)</f>
        <v>0.4237560193</v>
      </c>
      <c r="H227" s="8">
        <f>IFERROR(__xludf.DUMMYFUNCTION("""COMPUTED_VALUE"""),0.367313915857605)</f>
        <v>0.3673139159</v>
      </c>
      <c r="I227" s="8">
        <f>IFERROR(__xludf.DUMMYFUNCTION("""COMPUTED_VALUE"""),0.333333333333333)</f>
        <v>0.3333333333</v>
      </c>
      <c r="J227" s="8">
        <f>IFERROR(__xludf.DUMMYFUNCTION("""COMPUTED_VALUE"""),0.290215588723051)</f>
        <v>0.2902155887</v>
      </c>
      <c r="K227" s="8">
        <f>IFERROR(__xludf.DUMMYFUNCTION("""COMPUTED_VALUE"""),0.283305227655986)</f>
        <v>0.2833052277</v>
      </c>
      <c r="L227" s="8">
        <f>IFERROR(__xludf.DUMMYFUNCTION("""COMPUTED_VALUE"""),0.259005145797598)</f>
        <v>0.2590051458</v>
      </c>
      <c r="M227" s="8">
        <f>IFERROR(__xludf.DUMMYFUNCTION("""COMPUTED_VALUE"""),0.25130890052356)</f>
        <v>0.2513089005</v>
      </c>
      <c r="N227" s="8">
        <f>IFERROR(__xludf.DUMMYFUNCTION("""COMPUTED_VALUE"""),0.244206773618538)</f>
        <v>0.2442067736</v>
      </c>
      <c r="O227" s="8">
        <f>IFERROR(__xludf.DUMMYFUNCTION("""COMPUTED_VALUE"""),0.201960784313725)</f>
        <v>0.2019607843</v>
      </c>
      <c r="P227" s="8">
        <f>IFERROR(__xludf.DUMMYFUNCTION("""COMPUTED_VALUE"""),0.149590163934426)</f>
        <v>0.1495901639</v>
      </c>
      <c r="Q227" s="8">
        <f>IFERROR(__xludf.DUMMYFUNCTION("""COMPUTED_VALUE"""),0.131455399061032)</f>
        <v>0.1314553991</v>
      </c>
      <c r="R227" s="8">
        <f>IFERROR(__xludf.DUMMYFUNCTION("""COMPUTED_VALUE"""),0.106741573033707)</f>
        <v>0.106741573</v>
      </c>
      <c r="S227" s="8">
        <f>IFERROR(__xludf.DUMMYFUNCTION("""COMPUTED_VALUE"""),0.0689655172413793)</f>
        <v>0.06896551724</v>
      </c>
      <c r="T227" s="8">
        <f>IFERROR(__xludf.DUMMYFUNCTION("""COMPUTED_VALUE"""),0.0714285714285714)</f>
        <v>0.07142857143</v>
      </c>
      <c r="U227" s="8">
        <f>IFERROR(__xludf.DUMMYFUNCTION("""COMPUTED_VALUE"""),0.0)</f>
        <v>0</v>
      </c>
      <c r="V227" s="8">
        <f>IFERROR(__xludf.DUMMYFUNCTION("""COMPUTED_VALUE"""),0.0)</f>
        <v>0</v>
      </c>
      <c r="W227" s="8">
        <f>IFERROR(__xludf.DUMMYFUNCTION("""COMPUTED_VALUE"""),0.0)</f>
        <v>0</v>
      </c>
      <c r="X227" s="8">
        <f>IFERROR(__xludf.DUMMYFUNCTION("""COMPUTED_VALUE"""),0.0)</f>
        <v>0</v>
      </c>
      <c r="Y227" s="8">
        <f>IFERROR(__xludf.DUMMYFUNCTION("""COMPUTED_VALUE"""),0.0)</f>
        <v>0</v>
      </c>
      <c r="Z227" s="8">
        <f>IFERROR(__xludf.DUMMYFUNCTION("""COMPUTED_VALUE"""),0.0)</f>
        <v>0</v>
      </c>
      <c r="AA227" s="8">
        <f>IFERROR(__xludf.DUMMYFUNCTION("""COMPUTED_VALUE"""),0.0)</f>
        <v>0</v>
      </c>
      <c r="AB227" s="8">
        <f>IFERROR(__xludf.DUMMYFUNCTION("""COMPUTED_VALUE"""),0.0)</f>
        <v>0</v>
      </c>
      <c r="AC227" s="8">
        <f>IFERROR(__xludf.DUMMYFUNCTION("""COMPUTED_VALUE"""),0.0)</f>
        <v>0</v>
      </c>
    </row>
    <row r="228" ht="15.75" customHeight="1">
      <c r="A228" s="6" t="str">
        <f>IFERROR(__xludf.DUMMYFUNCTION("""COMPUTED_VALUE"""),"cce017649e6098a735e72b5dbfed27f3c95bad78")</f>
        <v>cce017649e6098a735e72b5dbfed27f3c95bad78</v>
      </c>
      <c r="B228" s="6" t="str">
        <f>IFERROR(__xludf.DUMMYFUNCTION("""COMPUTED_VALUE"""),"Between Love and Betrayal")</f>
        <v>Between Love and Betrayal</v>
      </c>
      <c r="C228" s="6" t="str">
        <f>IFERROR(__xludf.DUMMYFUNCTION("""COMPUTED_VALUE"""),"Romance")</f>
        <v>Romance</v>
      </c>
      <c r="D228" s="11">
        <f>IFERROR(__xludf.DUMMYFUNCTION("""COMPUTED_VALUE"""),1453.0)</f>
        <v>1453</v>
      </c>
      <c r="E228" s="8">
        <f>IFERROR(__xludf.DUMMYFUNCTION("""COMPUTED_VALUE"""),0.96627666896077)</f>
        <v>0.966276669</v>
      </c>
      <c r="F228" s="8">
        <f>IFERROR(__xludf.DUMMYFUNCTION("""COMPUTED_VALUE"""),0.469655172413793)</f>
        <v>0.4696551724</v>
      </c>
      <c r="G228" s="8">
        <f>IFERROR(__xludf.DUMMYFUNCTION("""COMPUTED_VALUE"""),0.42403314917127)</f>
        <v>0.4240331492</v>
      </c>
      <c r="H228" s="8">
        <f>IFERROR(__xludf.DUMMYFUNCTION("""COMPUTED_VALUE"""),0.383125864453665)</f>
        <v>0.3831258645</v>
      </c>
      <c r="I228" s="8">
        <f>IFERROR(__xludf.DUMMYFUNCTION("""COMPUTED_VALUE"""),0.343273231622746)</f>
        <v>0.3432732316</v>
      </c>
      <c r="J228" s="8">
        <f>IFERROR(__xludf.DUMMYFUNCTION("""COMPUTED_VALUE"""),0.323611111111111)</f>
        <v>0.3236111111</v>
      </c>
      <c r="K228" s="8">
        <f>IFERROR(__xludf.DUMMYFUNCTION("""COMPUTED_VALUE"""),0.314107018763029)</f>
        <v>0.3141070188</v>
      </c>
      <c r="L228" s="8">
        <f>IFERROR(__xludf.DUMMYFUNCTION("""COMPUTED_VALUE"""),0.295549374130737)</f>
        <v>0.2955493741</v>
      </c>
      <c r="M228" s="8">
        <f>IFERROR(__xludf.DUMMYFUNCTION("""COMPUTED_VALUE"""),0.286708420320111)</f>
        <v>0.2867084203</v>
      </c>
      <c r="N228" s="8">
        <f>IFERROR(__xludf.DUMMYFUNCTION("""COMPUTED_VALUE"""),0.275139664804469)</f>
        <v>0.2751396648</v>
      </c>
      <c r="O228" s="8">
        <f>IFERROR(__xludf.DUMMYFUNCTION("""COMPUTED_VALUE"""),0.248073959938366)</f>
        <v>0.2480739599</v>
      </c>
      <c r="P228" s="8">
        <f>IFERROR(__xludf.DUMMYFUNCTION("""COMPUTED_VALUE"""),0.211459754433833)</f>
        <v>0.2114597544</v>
      </c>
      <c r="Q228" s="8">
        <f>IFERROR(__xludf.DUMMYFUNCTION("""COMPUTED_VALUE"""),0.211864406779661)</f>
        <v>0.2118644068</v>
      </c>
      <c r="R228" s="8">
        <f>IFERROR(__xludf.DUMMYFUNCTION("""COMPUTED_VALUE"""),0.144736842105263)</f>
        <v>0.1447368421</v>
      </c>
      <c r="S228" s="8">
        <f>IFERROR(__xludf.DUMMYFUNCTION("""COMPUTED_VALUE"""),0.0)</f>
        <v>0</v>
      </c>
      <c r="T228" s="8">
        <f>IFERROR(__xludf.DUMMYFUNCTION("""COMPUTED_VALUE"""),0.0)</f>
        <v>0</v>
      </c>
      <c r="U228" s="8">
        <f>IFERROR(__xludf.DUMMYFUNCTION("""COMPUTED_VALUE"""),0.0)</f>
        <v>0</v>
      </c>
      <c r="V228" s="8">
        <f>IFERROR(__xludf.DUMMYFUNCTION("""COMPUTED_VALUE"""),0.0)</f>
        <v>0</v>
      </c>
      <c r="W228" s="8">
        <f>IFERROR(__xludf.DUMMYFUNCTION("""COMPUTED_VALUE"""),0.0)</f>
        <v>0</v>
      </c>
      <c r="X228" s="8">
        <f>IFERROR(__xludf.DUMMYFUNCTION("""COMPUTED_VALUE"""),0.0)</f>
        <v>0</v>
      </c>
      <c r="Y228" s="8">
        <f>IFERROR(__xludf.DUMMYFUNCTION("""COMPUTED_VALUE"""),0.0)</f>
        <v>0</v>
      </c>
      <c r="Z228" s="8">
        <f>IFERROR(__xludf.DUMMYFUNCTION("""COMPUTED_VALUE"""),0.0)</f>
        <v>0</v>
      </c>
      <c r="AA228" s="8">
        <f>IFERROR(__xludf.DUMMYFUNCTION("""COMPUTED_VALUE"""),0.0)</f>
        <v>0</v>
      </c>
      <c r="AB228" s="8">
        <f>IFERROR(__xludf.DUMMYFUNCTION("""COMPUTED_VALUE"""),0.0)</f>
        <v>0</v>
      </c>
      <c r="AC228" s="8">
        <f>IFERROR(__xludf.DUMMYFUNCTION("""COMPUTED_VALUE"""),0.0)</f>
        <v>0</v>
      </c>
    </row>
    <row r="229" ht="15.75" customHeight="1">
      <c r="A229" s="6" t="str">
        <f>IFERROR(__xludf.DUMMYFUNCTION("""COMPUTED_VALUE"""),"cdb3a84d505dbefdca86cae60d3db90f949368f1")</f>
        <v>cdb3a84d505dbefdca86cae60d3db90f949368f1</v>
      </c>
      <c r="B229" s="6" t="str">
        <f>IFERROR(__xludf.DUMMYFUNCTION("""COMPUTED_VALUE"""),"Amulet of the Gods")</f>
        <v>Amulet of the Gods</v>
      </c>
      <c r="C229" s="6" t="str">
        <f>IFERROR(__xludf.DUMMYFUNCTION("""COMPUTED_VALUE"""),"System and Superpower")</f>
        <v>System and Superpower</v>
      </c>
      <c r="D229" s="11">
        <f>IFERROR(__xludf.DUMMYFUNCTION("""COMPUTED_VALUE"""),29117.0)</f>
        <v>29117</v>
      </c>
      <c r="E229" s="8">
        <f>IFERROR(__xludf.DUMMYFUNCTION("""COMPUTED_VALUE"""),0.913517416870121)</f>
        <v>0.9135174169</v>
      </c>
      <c r="F229" s="8">
        <f>IFERROR(__xludf.DUMMYFUNCTION("""COMPUTED_VALUE"""),0.528582750422108)</f>
        <v>0.5285827504</v>
      </c>
      <c r="G229" s="8">
        <f>IFERROR(__xludf.DUMMYFUNCTION("""COMPUTED_VALUE"""),0.47051919359293)</f>
        <v>0.4705191936</v>
      </c>
      <c r="H229" s="8">
        <f>IFERROR(__xludf.DUMMYFUNCTION("""COMPUTED_VALUE"""),0.434719435411333)</f>
        <v>0.4347194354</v>
      </c>
      <c r="I229" s="8">
        <f>IFERROR(__xludf.DUMMYFUNCTION("""COMPUTED_VALUE"""),0.413523921867952)</f>
        <v>0.4135239219</v>
      </c>
      <c r="J229" s="8">
        <f>IFERROR(__xludf.DUMMYFUNCTION("""COMPUTED_VALUE"""),0.391644636148601)</f>
        <v>0.3916446361</v>
      </c>
      <c r="K229" s="8">
        <f>IFERROR(__xludf.DUMMYFUNCTION("""COMPUTED_VALUE"""),0.374237193569759)</f>
        <v>0.3742371936</v>
      </c>
      <c r="L229" s="8">
        <f>IFERROR(__xludf.DUMMYFUNCTION("""COMPUTED_VALUE"""),0.36273926584316)</f>
        <v>0.3627392658</v>
      </c>
      <c r="M229" s="8">
        <f>IFERROR(__xludf.DUMMYFUNCTION("""COMPUTED_VALUE"""),0.35314121441593)</f>
        <v>0.3531412144</v>
      </c>
      <c r="N229" s="8">
        <f>IFERROR(__xludf.DUMMYFUNCTION("""COMPUTED_VALUE"""),0.346002390830461)</f>
        <v>0.3460023908</v>
      </c>
      <c r="O229" s="8">
        <f>IFERROR(__xludf.DUMMYFUNCTION("""COMPUTED_VALUE"""),0.328748574686431)</f>
        <v>0.3287485747</v>
      </c>
      <c r="P229" s="8">
        <f>IFERROR(__xludf.DUMMYFUNCTION("""COMPUTED_VALUE"""),0.291362222382984)</f>
        <v>0.2913622224</v>
      </c>
      <c r="Q229" s="8">
        <f>IFERROR(__xludf.DUMMYFUNCTION("""COMPUTED_VALUE"""),0.21029548411076)</f>
        <v>0.2102954841</v>
      </c>
      <c r="R229" s="8">
        <f>IFERROR(__xludf.DUMMYFUNCTION("""COMPUTED_VALUE"""),0.16160988145569)</f>
        <v>0.1616098815</v>
      </c>
      <c r="S229" s="8">
        <f>IFERROR(__xludf.DUMMYFUNCTION("""COMPUTED_VALUE"""),0.11702966394008)</f>
        <v>0.1170296639</v>
      </c>
      <c r="T229" s="8">
        <f>IFERROR(__xludf.DUMMYFUNCTION("""COMPUTED_VALUE"""),0.0984047320308299)</f>
        <v>0.09840473203</v>
      </c>
      <c r="U229" s="8">
        <f>IFERROR(__xludf.DUMMYFUNCTION("""COMPUTED_VALUE"""),0.0815995418973086)</f>
        <v>0.0815995419</v>
      </c>
      <c r="V229" s="8">
        <f>IFERROR(__xludf.DUMMYFUNCTION("""COMPUTED_VALUE"""),0.0605095541401273)</f>
        <v>0.06050955414</v>
      </c>
      <c r="W229" s="8">
        <f>IFERROR(__xludf.DUMMYFUNCTION("""COMPUTED_VALUE"""),0.0543657331136738)</f>
        <v>0.05436573311</v>
      </c>
      <c r="X229" s="8">
        <f>IFERROR(__xludf.DUMMYFUNCTION("""COMPUTED_VALUE"""),0.0349344978165938)</f>
        <v>0.03493449782</v>
      </c>
      <c r="Y229" s="8">
        <f>IFERROR(__xludf.DUMMYFUNCTION("""COMPUTED_VALUE"""),0.0)</f>
        <v>0</v>
      </c>
      <c r="Z229" s="8">
        <f>IFERROR(__xludf.DUMMYFUNCTION("""COMPUTED_VALUE"""),0.0)</f>
        <v>0</v>
      </c>
      <c r="AA229" s="8">
        <f>IFERROR(__xludf.DUMMYFUNCTION("""COMPUTED_VALUE"""),0.0)</f>
        <v>0</v>
      </c>
      <c r="AB229" s="8">
        <f>IFERROR(__xludf.DUMMYFUNCTION("""COMPUTED_VALUE"""),0.0)</f>
        <v>0</v>
      </c>
      <c r="AC229" s="8">
        <f>IFERROR(__xludf.DUMMYFUNCTION("""COMPUTED_VALUE"""),0.0)</f>
        <v>0</v>
      </c>
    </row>
    <row r="230" ht="15.75" customHeight="1">
      <c r="A230" s="6" t="str">
        <f>IFERROR(__xludf.DUMMYFUNCTION("""COMPUTED_VALUE"""),"cec33b3e9f3607e7d8ae32858f0e715a91e937c4")</f>
        <v>cec33b3e9f3607e7d8ae32858f0e715a91e937c4</v>
      </c>
      <c r="B230" s="6" t="str">
        <f>IFERROR(__xludf.DUMMYFUNCTION("""COMPUTED_VALUE"""),"From Squalor to Moneybag")</f>
        <v>From Squalor to Moneybag</v>
      </c>
      <c r="C230" s="6" t="str">
        <f>IFERROR(__xludf.DUMMYFUNCTION("""COMPUTED_VALUE"""),"Drama")</f>
        <v>Drama</v>
      </c>
      <c r="D230" s="11">
        <f>IFERROR(__xludf.DUMMYFUNCTION("""COMPUTED_VALUE"""),1626.0)</f>
        <v>1626</v>
      </c>
      <c r="E230" s="8">
        <f>IFERROR(__xludf.DUMMYFUNCTION("""COMPUTED_VALUE"""),0.925525143220878)</f>
        <v>0.9255251432</v>
      </c>
      <c r="F230" s="8">
        <f>IFERROR(__xludf.DUMMYFUNCTION("""COMPUTED_VALUE"""),0.627970128988458)</f>
        <v>0.627970129</v>
      </c>
      <c r="G230" s="8">
        <f>IFERROR(__xludf.DUMMYFUNCTION("""COMPUTED_VALUE"""),0.645730416372618)</f>
        <v>0.6457304164</v>
      </c>
      <c r="H230" s="8">
        <f>IFERROR(__xludf.DUMMYFUNCTION("""COMPUTED_VALUE"""),0.611111111111111)</f>
        <v>0.6111111111</v>
      </c>
      <c r="I230" s="8">
        <f>IFERROR(__xludf.DUMMYFUNCTION("""COMPUTED_VALUE"""),0.513049962714392)</f>
        <v>0.5130499627</v>
      </c>
      <c r="J230" s="8">
        <f>IFERROR(__xludf.DUMMYFUNCTION("""COMPUTED_VALUE"""),0.41108545034642)</f>
        <v>0.4110854503</v>
      </c>
      <c r="K230" s="8">
        <f>IFERROR(__xludf.DUMMYFUNCTION("""COMPUTED_VALUE"""),0.352664576802507)</f>
        <v>0.3526645768</v>
      </c>
      <c r="L230" s="8">
        <f>IFERROR(__xludf.DUMMYFUNCTION("""COMPUTED_VALUE"""),0.299512987012987)</f>
        <v>0.299512987</v>
      </c>
      <c r="M230" s="8">
        <f>IFERROR(__xludf.DUMMYFUNCTION("""COMPUTED_VALUE"""),0.273960983884648)</f>
        <v>0.2739609839</v>
      </c>
      <c r="N230" s="8">
        <f>IFERROR(__xludf.DUMMYFUNCTION("""COMPUTED_VALUE"""),0.249329758713136)</f>
        <v>0.2493297587</v>
      </c>
      <c r="O230" s="8">
        <f>IFERROR(__xludf.DUMMYFUNCTION("""COMPUTED_VALUE"""),0.15804066543438)</f>
        <v>0.1580406654</v>
      </c>
      <c r="P230" s="8">
        <f>IFERROR(__xludf.DUMMYFUNCTION("""COMPUTED_VALUE"""),0.0829450139794967)</f>
        <v>0.08294501398</v>
      </c>
      <c r="Q230" s="8">
        <f>IFERROR(__xludf.DUMMYFUNCTION("""COMPUTED_VALUE"""),0.0380313199105145)</f>
        <v>0.03803131991</v>
      </c>
      <c r="R230" s="8">
        <f>IFERROR(__xludf.DUMMYFUNCTION("""COMPUTED_VALUE"""),0.0329113924050632)</f>
        <v>0.03291139241</v>
      </c>
      <c r="S230" s="8">
        <f>IFERROR(__xludf.DUMMYFUNCTION("""COMPUTED_VALUE"""),0.0)</f>
        <v>0</v>
      </c>
      <c r="T230" s="8">
        <f>IFERROR(__xludf.DUMMYFUNCTION("""COMPUTED_VALUE"""),0.0)</f>
        <v>0</v>
      </c>
      <c r="U230" s="8">
        <f>IFERROR(__xludf.DUMMYFUNCTION("""COMPUTED_VALUE"""),0.0)</f>
        <v>0</v>
      </c>
      <c r="V230" s="8">
        <f>IFERROR(__xludf.DUMMYFUNCTION("""COMPUTED_VALUE"""),0.0)</f>
        <v>0</v>
      </c>
      <c r="W230" s="8">
        <f>IFERROR(__xludf.DUMMYFUNCTION("""COMPUTED_VALUE"""),0.0)</f>
        <v>0</v>
      </c>
      <c r="X230" s="8">
        <f>IFERROR(__xludf.DUMMYFUNCTION("""COMPUTED_VALUE"""),0.0)</f>
        <v>0</v>
      </c>
      <c r="Y230" s="8">
        <f>IFERROR(__xludf.DUMMYFUNCTION("""COMPUTED_VALUE"""),0.0)</f>
        <v>0</v>
      </c>
      <c r="Z230" s="8">
        <f>IFERROR(__xludf.DUMMYFUNCTION("""COMPUTED_VALUE"""),0.0)</f>
        <v>0</v>
      </c>
      <c r="AA230" s="8">
        <f>IFERROR(__xludf.DUMMYFUNCTION("""COMPUTED_VALUE"""),0.0)</f>
        <v>0</v>
      </c>
      <c r="AB230" s="8">
        <f>IFERROR(__xludf.DUMMYFUNCTION("""COMPUTED_VALUE"""),0.0)</f>
        <v>0</v>
      </c>
      <c r="AC230" s="8">
        <f>IFERROR(__xludf.DUMMYFUNCTION("""COMPUTED_VALUE"""),0.0)</f>
        <v>0</v>
      </c>
    </row>
    <row r="231" ht="15.75" customHeight="1">
      <c r="A231" s="6" t="str">
        <f>IFERROR(__xludf.DUMMYFUNCTION("""COMPUTED_VALUE"""),"d2aaef61d998c9f90c2df15eafe1acd784549269")</f>
        <v>d2aaef61d998c9f90c2df15eafe1acd784549269</v>
      </c>
      <c r="B231" s="6" t="str">
        <f>IFERROR(__xludf.DUMMYFUNCTION("""COMPUTED_VALUE"""),"Alpha Braxton")</f>
        <v>Alpha Braxton</v>
      </c>
      <c r="C231" s="6" t="str">
        <f>IFERROR(__xludf.DUMMYFUNCTION("""COMPUTED_VALUE"""),"Romantasy")</f>
        <v>Romantasy</v>
      </c>
      <c r="D231" s="11">
        <f>IFERROR(__xludf.DUMMYFUNCTION("""COMPUTED_VALUE"""),5737.0)</f>
        <v>5737</v>
      </c>
      <c r="E231" s="8">
        <f>IFERROR(__xludf.DUMMYFUNCTION("""COMPUTED_VALUE"""),0.960767218831735)</f>
        <v>0.9607672188</v>
      </c>
      <c r="F231" s="8">
        <f>IFERROR(__xludf.DUMMYFUNCTION("""COMPUTED_VALUE"""),0.623800383877159)</f>
        <v>0.6238003839</v>
      </c>
      <c r="G231" s="8">
        <f>IFERROR(__xludf.DUMMYFUNCTION("""COMPUTED_VALUE"""),0.549991275519106)</f>
        <v>0.5499912755</v>
      </c>
      <c r="H231" s="8">
        <f>IFERROR(__xludf.DUMMYFUNCTION("""COMPUTED_VALUE"""),0.511433059870832)</f>
        <v>0.5114330599</v>
      </c>
      <c r="I231" s="8">
        <f>IFERROR(__xludf.DUMMYFUNCTION("""COMPUTED_VALUE"""),0.475616151022548)</f>
        <v>0.475616151</v>
      </c>
      <c r="J231" s="8">
        <f>IFERROR(__xludf.DUMMYFUNCTION("""COMPUTED_VALUE"""),0.445416375087473)</f>
        <v>0.4454163751</v>
      </c>
      <c r="K231" s="8">
        <f>IFERROR(__xludf.DUMMYFUNCTION("""COMPUTED_VALUE"""),0.425236925236925)</f>
        <v>0.4252369252</v>
      </c>
      <c r="L231" s="8">
        <f>IFERROR(__xludf.DUMMYFUNCTION("""COMPUTED_VALUE"""),0.415554775280898)</f>
        <v>0.4155547753</v>
      </c>
      <c r="M231" s="8">
        <f>IFERROR(__xludf.DUMMYFUNCTION("""COMPUTED_VALUE"""),0.39992971358285)</f>
        <v>0.3999297136</v>
      </c>
      <c r="N231" s="8">
        <f>IFERROR(__xludf.DUMMYFUNCTION("""COMPUTED_VALUE"""),0.398135116115411)</f>
        <v>0.3981351161</v>
      </c>
      <c r="O231" s="8">
        <f>IFERROR(__xludf.DUMMYFUNCTION("""COMPUTED_VALUE"""),0.34018018018018)</f>
        <v>0.3401801802</v>
      </c>
      <c r="P231" s="8">
        <f>IFERROR(__xludf.DUMMYFUNCTION("""COMPUTED_VALUE"""),0.328775267538644)</f>
        <v>0.3287752675</v>
      </c>
      <c r="Q231" s="8">
        <f>IFERROR(__xludf.DUMMYFUNCTION("""COMPUTED_VALUE"""),0.225581395348837)</f>
        <v>0.2255813953</v>
      </c>
      <c r="R231" s="8">
        <f>IFERROR(__xludf.DUMMYFUNCTION("""COMPUTED_VALUE"""),0.14388489208633)</f>
        <v>0.1438848921</v>
      </c>
      <c r="S231" s="8">
        <f>IFERROR(__xludf.DUMMYFUNCTION("""COMPUTED_VALUE"""),0.133333333333333)</f>
        <v>0.1333333333</v>
      </c>
      <c r="T231" s="8">
        <f>IFERROR(__xludf.DUMMYFUNCTION("""COMPUTED_VALUE"""),0.0)</f>
        <v>0</v>
      </c>
      <c r="U231" s="8">
        <f>IFERROR(__xludf.DUMMYFUNCTION("""COMPUTED_VALUE"""),0.0)</f>
        <v>0</v>
      </c>
      <c r="V231" s="8">
        <f>IFERROR(__xludf.DUMMYFUNCTION("""COMPUTED_VALUE"""),0.0)</f>
        <v>0</v>
      </c>
      <c r="W231" s="8">
        <f>IFERROR(__xludf.DUMMYFUNCTION("""COMPUTED_VALUE"""),0.0)</f>
        <v>0</v>
      </c>
      <c r="X231" s="8">
        <f>IFERROR(__xludf.DUMMYFUNCTION("""COMPUTED_VALUE"""),0.0)</f>
        <v>0</v>
      </c>
      <c r="Y231" s="8">
        <f>IFERROR(__xludf.DUMMYFUNCTION("""COMPUTED_VALUE"""),0.0)</f>
        <v>0</v>
      </c>
      <c r="Z231" s="8">
        <f>IFERROR(__xludf.DUMMYFUNCTION("""COMPUTED_VALUE"""),0.0)</f>
        <v>0</v>
      </c>
      <c r="AA231" s="8">
        <f>IFERROR(__xludf.DUMMYFUNCTION("""COMPUTED_VALUE"""),0.0)</f>
        <v>0</v>
      </c>
      <c r="AB231" s="8">
        <f>IFERROR(__xludf.DUMMYFUNCTION("""COMPUTED_VALUE"""),0.0)</f>
        <v>0</v>
      </c>
      <c r="AC231" s="8">
        <f>IFERROR(__xludf.DUMMYFUNCTION("""COMPUTED_VALUE"""),0.0)</f>
        <v>0</v>
      </c>
    </row>
    <row r="232" ht="15.75" customHeight="1">
      <c r="A232" s="6" t="str">
        <f>IFERROR(__xludf.DUMMYFUNCTION("""COMPUTED_VALUE"""),"d3866fc3c89b4f6e7425ea92decf796ef97098db")</f>
        <v>d3866fc3c89b4f6e7425ea92decf796ef97098db</v>
      </c>
      <c r="B232" s="6" t="str">
        <f>IFERROR(__xludf.DUMMYFUNCTION("""COMPUTED_VALUE"""),"The Billionaire's Twins")</f>
        <v>The Billionaire's Twins</v>
      </c>
      <c r="C232" s="6" t="str">
        <f>IFERROR(__xludf.DUMMYFUNCTION("""COMPUTED_VALUE"""),"Romance")</f>
        <v>Romance</v>
      </c>
      <c r="D232" s="11">
        <f>IFERROR(__xludf.DUMMYFUNCTION("""COMPUTED_VALUE"""),1829.0)</f>
        <v>1829</v>
      </c>
      <c r="E232" s="8">
        <f>IFERROR(__xludf.DUMMYFUNCTION("""COMPUTED_VALUE"""),0.955322669608383)</f>
        <v>0.9553226696</v>
      </c>
      <c r="F232" s="8">
        <f>IFERROR(__xludf.DUMMYFUNCTION("""COMPUTED_VALUE"""),0.609539656128674)</f>
        <v>0.6095396561</v>
      </c>
      <c r="G232" s="8">
        <f>IFERROR(__xludf.DUMMYFUNCTION("""COMPUTED_VALUE"""),0.571269487750556)</f>
        <v>0.5712694878</v>
      </c>
      <c r="H232" s="8">
        <f>IFERROR(__xludf.DUMMYFUNCTION("""COMPUTED_VALUE"""),0.529708520179372)</f>
        <v>0.5297085202</v>
      </c>
      <c r="I232" s="8">
        <f>IFERROR(__xludf.DUMMYFUNCTION("""COMPUTED_VALUE"""),0.500565610859728)</f>
        <v>0.5005656109</v>
      </c>
      <c r="J232" s="8">
        <f>IFERROR(__xludf.DUMMYFUNCTION("""COMPUTED_VALUE"""),0.477911646586345)</f>
        <v>0.4779116466</v>
      </c>
      <c r="K232" s="8">
        <f>IFERROR(__xludf.DUMMYFUNCTION("""COMPUTED_VALUE"""),0.453850676072898)</f>
        <v>0.4538506761</v>
      </c>
      <c r="L232" s="8">
        <f>IFERROR(__xludf.DUMMYFUNCTION("""COMPUTED_VALUE"""),0.432808716707021)</f>
        <v>0.4328087167</v>
      </c>
      <c r="M232" s="8">
        <f>IFERROR(__xludf.DUMMYFUNCTION("""COMPUTED_VALUE"""),0.404282115869017)</f>
        <v>0.4042821159</v>
      </c>
      <c r="N232" s="8">
        <f>IFERROR(__xludf.DUMMYFUNCTION("""COMPUTED_VALUE"""),0.354816354816354)</f>
        <v>0.3548163548</v>
      </c>
      <c r="O232" s="8">
        <f>IFERROR(__xludf.DUMMYFUNCTION("""COMPUTED_VALUE"""),0.2325)</f>
        <v>0.2325</v>
      </c>
      <c r="P232" s="8">
        <f>IFERROR(__xludf.DUMMYFUNCTION("""COMPUTED_VALUE"""),0.129734848484848)</f>
        <v>0.1297348485</v>
      </c>
      <c r="Q232" s="8">
        <f>IFERROR(__xludf.DUMMYFUNCTION("""COMPUTED_VALUE"""),0.0430879712746858)</f>
        <v>0.04308797127</v>
      </c>
      <c r="R232" s="8">
        <f>IFERROR(__xludf.DUMMYFUNCTION("""COMPUTED_VALUE"""),0.0483870967741935)</f>
        <v>0.04838709677</v>
      </c>
      <c r="S232" s="8">
        <f>IFERROR(__xludf.DUMMYFUNCTION("""COMPUTED_VALUE"""),0.032258064516129)</f>
        <v>0.03225806452</v>
      </c>
      <c r="T232" s="8">
        <f>IFERROR(__xludf.DUMMYFUNCTION("""COMPUTED_VALUE"""),0.0)</f>
        <v>0</v>
      </c>
      <c r="U232" s="8">
        <f>IFERROR(__xludf.DUMMYFUNCTION("""COMPUTED_VALUE"""),0.0)</f>
        <v>0</v>
      </c>
      <c r="V232" s="8">
        <f>IFERROR(__xludf.DUMMYFUNCTION("""COMPUTED_VALUE"""),0.0)</f>
        <v>0</v>
      </c>
      <c r="W232" s="8">
        <f>IFERROR(__xludf.DUMMYFUNCTION("""COMPUTED_VALUE"""),0.0)</f>
        <v>0</v>
      </c>
      <c r="X232" s="8">
        <f>IFERROR(__xludf.DUMMYFUNCTION("""COMPUTED_VALUE"""),0.0)</f>
        <v>0</v>
      </c>
      <c r="Y232" s="8">
        <f>IFERROR(__xludf.DUMMYFUNCTION("""COMPUTED_VALUE"""),0.0)</f>
        <v>0</v>
      </c>
      <c r="Z232" s="8">
        <f>IFERROR(__xludf.DUMMYFUNCTION("""COMPUTED_VALUE"""),0.0)</f>
        <v>0</v>
      </c>
      <c r="AA232" s="8">
        <f>IFERROR(__xludf.DUMMYFUNCTION("""COMPUTED_VALUE"""),0.0)</f>
        <v>0</v>
      </c>
      <c r="AB232" s="8">
        <f>IFERROR(__xludf.DUMMYFUNCTION("""COMPUTED_VALUE"""),0.0)</f>
        <v>0</v>
      </c>
      <c r="AC232" s="8">
        <f>IFERROR(__xludf.DUMMYFUNCTION("""COMPUTED_VALUE"""),0.0)</f>
        <v>0</v>
      </c>
    </row>
    <row r="233" ht="15.75" customHeight="1">
      <c r="A233" s="6" t="str">
        <f>IFERROR(__xludf.DUMMYFUNCTION("""COMPUTED_VALUE"""),"d419897471d8bc8312abf495d27412e669ccf6d0")</f>
        <v>d419897471d8bc8312abf495d27412e669ccf6d0</v>
      </c>
      <c r="B233" s="6" t="str">
        <f>IFERROR(__xludf.DUMMYFUNCTION("""COMPUTED_VALUE"""),"His Borrowed Wife")</f>
        <v>His Borrowed Wife</v>
      </c>
      <c r="C233" s="6" t="str">
        <f>IFERROR(__xludf.DUMMYFUNCTION("""COMPUTED_VALUE"""),"Romance")</f>
        <v>Romance</v>
      </c>
      <c r="D233" s="11">
        <f>IFERROR(__xludf.DUMMYFUNCTION("""COMPUTED_VALUE"""),5646.0)</f>
        <v>5646</v>
      </c>
      <c r="E233" s="8">
        <f>IFERROR(__xludf.DUMMYFUNCTION("""COMPUTED_VALUE"""),0.959985645074466)</f>
        <v>0.9599856451</v>
      </c>
      <c r="F233" s="8">
        <f>IFERROR(__xludf.DUMMYFUNCTION("""COMPUTED_VALUE"""),0.489848179989025)</f>
        <v>0.48984818</v>
      </c>
      <c r="G233" s="8">
        <f>IFERROR(__xludf.DUMMYFUNCTION("""COMPUTED_VALUE"""),0.431499261447562)</f>
        <v>0.4314992614</v>
      </c>
      <c r="H233" s="8">
        <f>IFERROR(__xludf.DUMMYFUNCTION("""COMPUTED_VALUE"""),0.391207153502235)</f>
        <v>0.3912071535</v>
      </c>
      <c r="I233" s="8">
        <f>IFERROR(__xludf.DUMMYFUNCTION("""COMPUTED_VALUE"""),0.368421052631578)</f>
        <v>0.3684210526</v>
      </c>
      <c r="J233" s="8">
        <f>IFERROR(__xludf.DUMMYFUNCTION("""COMPUTED_VALUE"""),0.354509359047078)</f>
        <v>0.354509359</v>
      </c>
      <c r="K233" s="8">
        <f>IFERROR(__xludf.DUMMYFUNCTION("""COMPUTED_VALUE"""),0.336380952380952)</f>
        <v>0.3363809524</v>
      </c>
      <c r="L233" s="8">
        <f>IFERROR(__xludf.DUMMYFUNCTION("""COMPUTED_VALUE"""),0.326141885325558)</f>
        <v>0.3261418853</v>
      </c>
      <c r="M233" s="8">
        <f>IFERROR(__xludf.DUMMYFUNCTION("""COMPUTED_VALUE"""),0.318011442099033)</f>
        <v>0.3180114421</v>
      </c>
      <c r="N233" s="8">
        <f>IFERROR(__xludf.DUMMYFUNCTION("""COMPUTED_VALUE"""),0.307877813504823)</f>
        <v>0.3078778135</v>
      </c>
      <c r="O233" s="8">
        <f>IFERROR(__xludf.DUMMYFUNCTION("""COMPUTED_VALUE"""),0.286441756842775)</f>
        <v>0.2864417568</v>
      </c>
      <c r="P233" s="8">
        <f>IFERROR(__xludf.DUMMYFUNCTION("""COMPUTED_VALUE"""),0.256333424135113)</f>
        <v>0.2563334241</v>
      </c>
      <c r="Q233" s="8">
        <f>IFERROR(__xludf.DUMMYFUNCTION("""COMPUTED_VALUE"""),0.173120728929384)</f>
        <v>0.1731207289</v>
      </c>
      <c r="R233" s="8">
        <f>IFERROR(__xludf.DUMMYFUNCTION("""COMPUTED_VALUE"""),0.0)</f>
        <v>0</v>
      </c>
      <c r="S233" s="8">
        <f>IFERROR(__xludf.DUMMYFUNCTION("""COMPUTED_VALUE"""),0.0)</f>
        <v>0</v>
      </c>
      <c r="T233" s="8">
        <f>IFERROR(__xludf.DUMMYFUNCTION("""COMPUTED_VALUE"""),0.0)</f>
        <v>0</v>
      </c>
      <c r="U233" s="8">
        <f>IFERROR(__xludf.DUMMYFUNCTION("""COMPUTED_VALUE"""),0.0)</f>
        <v>0</v>
      </c>
      <c r="V233" s="8">
        <f>IFERROR(__xludf.DUMMYFUNCTION("""COMPUTED_VALUE"""),0.0)</f>
        <v>0</v>
      </c>
      <c r="W233" s="8">
        <f>IFERROR(__xludf.DUMMYFUNCTION("""COMPUTED_VALUE"""),0.0)</f>
        <v>0</v>
      </c>
      <c r="X233" s="8">
        <f>IFERROR(__xludf.DUMMYFUNCTION("""COMPUTED_VALUE"""),0.0)</f>
        <v>0</v>
      </c>
      <c r="Y233" s="8">
        <f>IFERROR(__xludf.DUMMYFUNCTION("""COMPUTED_VALUE"""),0.0)</f>
        <v>0</v>
      </c>
      <c r="Z233" s="8">
        <f>IFERROR(__xludf.DUMMYFUNCTION("""COMPUTED_VALUE"""),0.0)</f>
        <v>0</v>
      </c>
      <c r="AA233" s="8">
        <f>IFERROR(__xludf.DUMMYFUNCTION("""COMPUTED_VALUE"""),0.0)</f>
        <v>0</v>
      </c>
      <c r="AB233" s="8">
        <f>IFERROR(__xludf.DUMMYFUNCTION("""COMPUTED_VALUE"""),0.0)</f>
        <v>0</v>
      </c>
      <c r="AC233" s="8">
        <f>IFERROR(__xludf.DUMMYFUNCTION("""COMPUTED_VALUE"""),0.0)</f>
        <v>0</v>
      </c>
    </row>
    <row r="234" ht="15.75" customHeight="1">
      <c r="A234" s="6" t="str">
        <f>IFERROR(__xludf.DUMMYFUNCTION("""COMPUTED_VALUE"""),"d4bf13e8bbfcd2fa5b75aa042e47479d3a06188b")</f>
        <v>d4bf13e8bbfcd2fa5b75aa042e47479d3a06188b</v>
      </c>
      <c r="B234" s="6" t="str">
        <f>IFERROR(__xludf.DUMMYFUNCTION("""COMPUTED_VALUE"""),"Undead Tamer's Necro Pets")</f>
        <v>Undead Tamer's Necro Pets</v>
      </c>
      <c r="C234" s="6" t="str">
        <f>IFERROR(__xludf.DUMMYFUNCTION("""COMPUTED_VALUE"""),"Fantasy")</f>
        <v>Fantasy</v>
      </c>
      <c r="D234" s="11">
        <f>IFERROR(__xludf.DUMMYFUNCTION("""COMPUTED_VALUE"""),2365.0)</f>
        <v>2365</v>
      </c>
      <c r="E234" s="8">
        <f>IFERROR(__xludf.DUMMYFUNCTION("""COMPUTED_VALUE"""),0.977157360406091)</f>
        <v>0.9771573604</v>
      </c>
      <c r="F234" s="8">
        <f>IFERROR(__xludf.DUMMYFUNCTION("""COMPUTED_VALUE"""),0.463755828740991)</f>
        <v>0.4637558287</v>
      </c>
      <c r="G234" s="8">
        <f>IFERROR(__xludf.DUMMYFUNCTION("""COMPUTED_VALUE"""),0.382490437739056)</f>
        <v>0.3824904377</v>
      </c>
      <c r="H234" s="8">
        <f>IFERROR(__xludf.DUMMYFUNCTION("""COMPUTED_VALUE"""),0.338867603235419)</f>
        <v>0.3388676032</v>
      </c>
      <c r="I234" s="8">
        <f>IFERROR(__xludf.DUMMYFUNCTION("""COMPUTED_VALUE"""),0.323630136986301)</f>
        <v>0.323630137</v>
      </c>
      <c r="J234" s="8">
        <f>IFERROR(__xludf.DUMMYFUNCTION("""COMPUTED_VALUE"""),0.301375752364574)</f>
        <v>0.3013757524</v>
      </c>
      <c r="K234" s="8">
        <f>IFERROR(__xludf.DUMMYFUNCTION("""COMPUTED_VALUE"""),0.287012987012987)</f>
        <v>0.287012987</v>
      </c>
      <c r="L234" s="8">
        <f>IFERROR(__xludf.DUMMYFUNCTION("""COMPUTED_VALUE"""),0.277558190601668)</f>
        <v>0.2775581906</v>
      </c>
      <c r="M234" s="8">
        <f>IFERROR(__xludf.DUMMYFUNCTION("""COMPUTED_VALUE"""),0.262157382847038)</f>
        <v>0.2621573828</v>
      </c>
      <c r="N234" s="8">
        <f>IFERROR(__xludf.DUMMYFUNCTION("""COMPUTED_VALUE"""),0.25438202247191)</f>
        <v>0.2543820225</v>
      </c>
      <c r="O234" s="8">
        <f>IFERROR(__xludf.DUMMYFUNCTION("""COMPUTED_VALUE"""),0.228615071283095)</f>
        <v>0.2286150713</v>
      </c>
      <c r="P234" s="8">
        <f>IFERROR(__xludf.DUMMYFUNCTION("""COMPUTED_VALUE"""),0.231213872832369)</f>
        <v>0.2312138728</v>
      </c>
      <c r="Q234" s="8">
        <f>IFERROR(__xludf.DUMMYFUNCTION("""COMPUTED_VALUE"""),0.0)</f>
        <v>0</v>
      </c>
      <c r="R234" s="8">
        <f>IFERROR(__xludf.DUMMYFUNCTION("""COMPUTED_VALUE"""),0.0)</f>
        <v>0</v>
      </c>
      <c r="S234" s="8">
        <f>IFERROR(__xludf.DUMMYFUNCTION("""COMPUTED_VALUE"""),0.0)</f>
        <v>0</v>
      </c>
      <c r="T234" s="8">
        <f>IFERROR(__xludf.DUMMYFUNCTION("""COMPUTED_VALUE"""),0.0)</f>
        <v>0</v>
      </c>
      <c r="U234" s="8">
        <f>IFERROR(__xludf.DUMMYFUNCTION("""COMPUTED_VALUE"""),0.0)</f>
        <v>0</v>
      </c>
      <c r="V234" s="8">
        <f>IFERROR(__xludf.DUMMYFUNCTION("""COMPUTED_VALUE"""),0.0)</f>
        <v>0</v>
      </c>
      <c r="W234" s="8">
        <f>IFERROR(__xludf.DUMMYFUNCTION("""COMPUTED_VALUE"""),0.0)</f>
        <v>0</v>
      </c>
      <c r="X234" s="8">
        <f>IFERROR(__xludf.DUMMYFUNCTION("""COMPUTED_VALUE"""),0.0)</f>
        <v>0</v>
      </c>
      <c r="Y234" s="8">
        <f>IFERROR(__xludf.DUMMYFUNCTION("""COMPUTED_VALUE"""),0.0)</f>
        <v>0</v>
      </c>
      <c r="Z234" s="8">
        <f>IFERROR(__xludf.DUMMYFUNCTION("""COMPUTED_VALUE"""),0.0)</f>
        <v>0</v>
      </c>
      <c r="AA234" s="8">
        <f>IFERROR(__xludf.DUMMYFUNCTION("""COMPUTED_VALUE"""),0.0)</f>
        <v>0</v>
      </c>
      <c r="AB234" s="8">
        <f>IFERROR(__xludf.DUMMYFUNCTION("""COMPUTED_VALUE"""),0.0)</f>
        <v>0</v>
      </c>
      <c r="AC234" s="8">
        <f>IFERROR(__xludf.DUMMYFUNCTION("""COMPUTED_VALUE"""),0.0)</f>
        <v>0</v>
      </c>
    </row>
    <row r="235" ht="15.75" customHeight="1">
      <c r="A235" s="6" t="str">
        <f>IFERROR(__xludf.DUMMYFUNCTION("""COMPUTED_VALUE"""),"d687598bacfd959af85400d722a39d5e62aad513")</f>
        <v>d687598bacfd959af85400d722a39d5e62aad513</v>
      </c>
      <c r="B235" s="6" t="str">
        <f>IFERROR(__xludf.DUMMYFUNCTION("""COMPUTED_VALUE"""),"Unexpectedly Mine")</f>
        <v>Unexpectedly Mine</v>
      </c>
      <c r="C235" s="6" t="str">
        <f>IFERROR(__xludf.DUMMYFUNCTION("""COMPUTED_VALUE"""),"Romance")</f>
        <v>Romance</v>
      </c>
      <c r="D235" s="11">
        <f>IFERROR(__xludf.DUMMYFUNCTION("""COMPUTED_VALUE"""),31283.0)</f>
        <v>31283</v>
      </c>
      <c r="E235" s="8">
        <f>IFERROR(__xludf.DUMMYFUNCTION("""COMPUTED_VALUE"""),0.902827533265097)</f>
        <v>0.9028275333</v>
      </c>
      <c r="F235" s="8">
        <f>IFERROR(__xludf.DUMMYFUNCTION("""COMPUTED_VALUE"""),0.510340632603406)</f>
        <v>0.5103406326</v>
      </c>
      <c r="G235" s="8">
        <f>IFERROR(__xludf.DUMMYFUNCTION("""COMPUTED_VALUE"""),0.457303010890454)</f>
        <v>0.4573030109</v>
      </c>
      <c r="H235" s="8">
        <f>IFERROR(__xludf.DUMMYFUNCTION("""COMPUTED_VALUE"""),0.43111296320041)</f>
        <v>0.4311129632</v>
      </c>
      <c r="I235" s="8">
        <f>IFERROR(__xludf.DUMMYFUNCTION("""COMPUTED_VALUE"""),0.412219371391917)</f>
        <v>0.4122193714</v>
      </c>
      <c r="J235" s="8">
        <f>IFERROR(__xludf.DUMMYFUNCTION("""COMPUTED_VALUE"""),0.393574683869311)</f>
        <v>0.3935746839</v>
      </c>
      <c r="K235" s="8">
        <f>IFERROR(__xludf.DUMMYFUNCTION("""COMPUTED_VALUE"""),0.377340312791033)</f>
        <v>0.3773403128</v>
      </c>
      <c r="L235" s="8">
        <f>IFERROR(__xludf.DUMMYFUNCTION("""COMPUTED_VALUE"""),0.356279727471397)</f>
        <v>0.3562797275</v>
      </c>
      <c r="M235" s="8">
        <f>IFERROR(__xludf.DUMMYFUNCTION("""COMPUTED_VALUE"""),0.347662529740852)</f>
        <v>0.3476625297</v>
      </c>
      <c r="N235" s="8">
        <f>IFERROR(__xludf.DUMMYFUNCTION("""COMPUTED_VALUE"""),0.339402908248616)</f>
        <v>0.3394029082</v>
      </c>
      <c r="O235" s="8">
        <f>IFERROR(__xludf.DUMMYFUNCTION("""COMPUTED_VALUE"""),0.292041678763831)</f>
        <v>0.2920416788</v>
      </c>
      <c r="P235" s="8">
        <f>IFERROR(__xludf.DUMMYFUNCTION("""COMPUTED_VALUE"""),0.262347575767377)</f>
        <v>0.2623475758</v>
      </c>
      <c r="Q235" s="8">
        <f>IFERROR(__xludf.DUMMYFUNCTION("""COMPUTED_VALUE"""),0.206514319149627)</f>
        <v>0.2065143191</v>
      </c>
      <c r="R235" s="8">
        <f>IFERROR(__xludf.DUMMYFUNCTION("""COMPUTED_VALUE"""),0.179671189979123)</f>
        <v>0.17967119</v>
      </c>
      <c r="S235" s="8">
        <f>IFERROR(__xludf.DUMMYFUNCTION("""COMPUTED_VALUE"""),0.143925640839445)</f>
        <v>0.1439256408</v>
      </c>
      <c r="T235" s="8">
        <f>IFERROR(__xludf.DUMMYFUNCTION("""COMPUTED_VALUE"""),0.123579981578139)</f>
        <v>0.1235799816</v>
      </c>
      <c r="U235" s="8">
        <f>IFERROR(__xludf.DUMMYFUNCTION("""COMPUTED_VALUE"""),0.118422278103753)</f>
        <v>0.1184222781</v>
      </c>
      <c r="V235" s="8">
        <f>IFERROR(__xludf.DUMMYFUNCTION("""COMPUTED_VALUE"""),0.103527876750138)</f>
        <v>0.1035278768</v>
      </c>
      <c r="W235" s="8">
        <f>IFERROR(__xludf.DUMMYFUNCTION("""COMPUTED_VALUE"""),0.0793271899633618)</f>
        <v>0.07932718996</v>
      </c>
      <c r="X235" s="8">
        <f>IFERROR(__xludf.DUMMYFUNCTION("""COMPUTED_VALUE"""),0.0612232849214783)</f>
        <v>0.06122328492</v>
      </c>
      <c r="Y235" s="8">
        <f>IFERROR(__xludf.DUMMYFUNCTION("""COMPUTED_VALUE"""),0.0393129420409662)</f>
        <v>0.03931294204</v>
      </c>
      <c r="Z235" s="8">
        <f>IFERROR(__xludf.DUMMYFUNCTION("""COMPUTED_VALUE"""),0.0428571428571428)</f>
        <v>0.04285714286</v>
      </c>
      <c r="AA235" s="8">
        <f>IFERROR(__xludf.DUMMYFUNCTION("""COMPUTED_VALUE"""),0.0)</f>
        <v>0</v>
      </c>
      <c r="AB235" s="8">
        <f>IFERROR(__xludf.DUMMYFUNCTION("""COMPUTED_VALUE"""),0.0)</f>
        <v>0</v>
      </c>
      <c r="AC235" s="8">
        <f>IFERROR(__xludf.DUMMYFUNCTION("""COMPUTED_VALUE"""),0.0)</f>
        <v>0</v>
      </c>
    </row>
    <row r="236" ht="15.75" customHeight="1">
      <c r="A236" s="6" t="str">
        <f>IFERROR(__xludf.DUMMYFUNCTION("""COMPUTED_VALUE"""),"d6ecb3540b1fdba82ccfa1fa9d0dbaa8fe59424c")</f>
        <v>d6ecb3540b1fdba82ccfa1fa9d0dbaa8fe59424c</v>
      </c>
      <c r="B236" s="6" t="str">
        <f>IFERROR(__xludf.DUMMYFUNCTION("""COMPUTED_VALUE"""),"Among the Undead")</f>
        <v>Among the Undead</v>
      </c>
      <c r="C236" s="6" t="str">
        <f>IFERROR(__xludf.DUMMYFUNCTION("""COMPUTED_VALUE"""),"Suspense or Thriller")</f>
        <v>Suspense or Thriller</v>
      </c>
      <c r="D236" s="11">
        <f>IFERROR(__xludf.DUMMYFUNCTION("""COMPUTED_VALUE"""),1298.0)</f>
        <v>1298</v>
      </c>
      <c r="E236" s="8">
        <f>IFERROR(__xludf.DUMMYFUNCTION("""COMPUTED_VALUE"""),0.973540856031128)</f>
        <v>0.973540856</v>
      </c>
      <c r="F236" s="8">
        <f>IFERROR(__xludf.DUMMYFUNCTION("""COMPUTED_VALUE"""),0.373626373626373)</f>
        <v>0.3736263736</v>
      </c>
      <c r="G236" s="8">
        <f>IFERROR(__xludf.DUMMYFUNCTION("""COMPUTED_VALUE"""),0.271575613618368)</f>
        <v>0.2715756136</v>
      </c>
      <c r="H236" s="8">
        <f>IFERROR(__xludf.DUMMYFUNCTION("""COMPUTED_VALUE"""),0.20334928229665)</f>
        <v>0.2033492823</v>
      </c>
      <c r="I236" s="8">
        <f>IFERROR(__xludf.DUMMYFUNCTION("""COMPUTED_VALUE"""),0.162660256410256)</f>
        <v>0.1626602564</v>
      </c>
      <c r="J236" s="8">
        <f>IFERROR(__xludf.DUMMYFUNCTION("""COMPUTED_VALUE"""),0.145381526104417)</f>
        <v>0.1453815261</v>
      </c>
      <c r="K236" s="8">
        <f>IFERROR(__xludf.DUMMYFUNCTION("""COMPUTED_VALUE"""),0.12843295638126)</f>
        <v>0.1284329564</v>
      </c>
      <c r="L236" s="8">
        <f>IFERROR(__xludf.DUMMYFUNCTION("""COMPUTED_VALUE"""),0.110384300899427)</f>
        <v>0.1103843009</v>
      </c>
      <c r="M236" s="8">
        <f>IFERROR(__xludf.DUMMYFUNCTION("""COMPUTED_VALUE"""),0.100993377483443)</f>
        <v>0.1009933775</v>
      </c>
      <c r="N236" s="8">
        <f>IFERROR(__xludf.DUMMYFUNCTION("""COMPUTED_VALUE"""),0.0973154362416107)</f>
        <v>0.09731543624</v>
      </c>
      <c r="O236" s="8">
        <f>IFERROR(__xludf.DUMMYFUNCTION("""COMPUTED_VALUE"""),0.0658561296859169)</f>
        <v>0.06585612969</v>
      </c>
      <c r="P236" s="8">
        <f>IFERROR(__xludf.DUMMYFUNCTION("""COMPUTED_VALUE"""),0.0449735449735449)</f>
        <v>0.04497354497</v>
      </c>
      <c r="Q236" s="8">
        <f>IFERROR(__xludf.DUMMYFUNCTION("""COMPUTED_VALUE"""),0.0278551532033426)</f>
        <v>0.0278551532</v>
      </c>
      <c r="R236" s="8">
        <f>IFERROR(__xludf.DUMMYFUNCTION("""COMPUTED_VALUE"""),0.0185449358059914)</f>
        <v>0.01854493581</v>
      </c>
      <c r="S236" s="8">
        <f>IFERROR(__xludf.DUMMYFUNCTION("""COMPUTED_VALUE"""),0.00873362445414847)</f>
        <v>0.008733624454</v>
      </c>
      <c r="T236" s="8">
        <f>IFERROR(__xludf.DUMMYFUNCTION("""COMPUTED_VALUE"""),0.00899550224887556)</f>
        <v>0.008995502249</v>
      </c>
      <c r="U236" s="8">
        <f>IFERROR(__xludf.DUMMYFUNCTION("""COMPUTED_VALUE"""),0.00316957210776545)</f>
        <v>0.003169572108</v>
      </c>
      <c r="V236" s="8">
        <f>IFERROR(__xludf.DUMMYFUNCTION("""COMPUTED_VALUE"""),0.0)</f>
        <v>0</v>
      </c>
      <c r="W236" s="8">
        <f>IFERROR(__xludf.DUMMYFUNCTION("""COMPUTED_VALUE"""),0.0)</f>
        <v>0</v>
      </c>
      <c r="X236" s="8">
        <f>IFERROR(__xludf.DUMMYFUNCTION("""COMPUTED_VALUE"""),0.0)</f>
        <v>0</v>
      </c>
      <c r="Y236" s="8">
        <f>IFERROR(__xludf.DUMMYFUNCTION("""COMPUTED_VALUE"""),0.0)</f>
        <v>0</v>
      </c>
      <c r="Z236" s="8">
        <f>IFERROR(__xludf.DUMMYFUNCTION("""COMPUTED_VALUE"""),0.0)</f>
        <v>0</v>
      </c>
      <c r="AA236" s="8">
        <f>IFERROR(__xludf.DUMMYFUNCTION("""COMPUTED_VALUE"""),0.0)</f>
        <v>0</v>
      </c>
      <c r="AB236" s="8">
        <f>IFERROR(__xludf.DUMMYFUNCTION("""COMPUTED_VALUE"""),0.0)</f>
        <v>0</v>
      </c>
      <c r="AC236" s="8">
        <f>IFERROR(__xludf.DUMMYFUNCTION("""COMPUTED_VALUE"""),0.0)</f>
        <v>0</v>
      </c>
    </row>
    <row r="237" ht="15.75" customHeight="1">
      <c r="A237" s="6" t="str">
        <f>IFERROR(__xludf.DUMMYFUNCTION("""COMPUTED_VALUE"""),"d71fc923d0820825aefcf4bf75b7743891f7feac")</f>
        <v>d71fc923d0820825aefcf4bf75b7743891f7feac</v>
      </c>
      <c r="B237" s="6" t="str">
        <f>IFERROR(__xludf.DUMMYFUNCTION("""COMPUTED_VALUE"""),"Only One Race")</f>
        <v>Only One Race</v>
      </c>
      <c r="C237" s="6" t="str">
        <f>IFERROR(__xludf.DUMMYFUNCTION("""COMPUTED_VALUE"""),"Fantasy")</f>
        <v>Fantasy</v>
      </c>
      <c r="D237" s="11">
        <f>IFERROR(__xludf.DUMMYFUNCTION("""COMPUTED_VALUE"""),1636.0)</f>
        <v>1636</v>
      </c>
      <c r="E237" s="8">
        <f>IFERROR(__xludf.DUMMYFUNCTION("""COMPUTED_VALUE"""),0.95759065765212)</f>
        <v>0.9575906577</v>
      </c>
      <c r="F237" s="8">
        <f>IFERROR(__xludf.DUMMYFUNCTION("""COMPUTED_VALUE"""),0.453582554517134)</f>
        <v>0.4535825545</v>
      </c>
      <c r="G237" s="8">
        <f>IFERROR(__xludf.DUMMYFUNCTION("""COMPUTED_VALUE"""),0.409090909090909)</f>
        <v>0.4090909091</v>
      </c>
      <c r="H237" s="8">
        <f>IFERROR(__xludf.DUMMYFUNCTION("""COMPUTED_VALUE"""),0.383225806451612)</f>
        <v>0.3832258065</v>
      </c>
      <c r="I237" s="8">
        <f>IFERROR(__xludf.DUMMYFUNCTION("""COMPUTED_VALUE"""),0.352475247524752)</f>
        <v>0.3524752475</v>
      </c>
      <c r="J237" s="8">
        <f>IFERROR(__xludf.DUMMYFUNCTION("""COMPUTED_VALUE"""),0.326432022084195)</f>
        <v>0.3264320221</v>
      </c>
      <c r="K237" s="8">
        <f>IFERROR(__xludf.DUMMYFUNCTION("""COMPUTED_VALUE"""),0.31459074733096)</f>
        <v>0.3145907473</v>
      </c>
      <c r="L237" s="8">
        <f>IFERROR(__xludf.DUMMYFUNCTION("""COMPUTED_VALUE"""),0.301634472511144)</f>
        <v>0.3016344725</v>
      </c>
      <c r="M237" s="8">
        <f>IFERROR(__xludf.DUMMYFUNCTION("""COMPUTED_VALUE"""),0.278753993610223)</f>
        <v>0.2787539936</v>
      </c>
      <c r="N237" s="8">
        <f>IFERROR(__xludf.DUMMYFUNCTION("""COMPUTED_VALUE"""),0.259633027522935)</f>
        <v>0.2596330275</v>
      </c>
      <c r="O237" s="8">
        <f>IFERROR(__xludf.DUMMYFUNCTION("""COMPUTED_VALUE"""),0.191797346200241)</f>
        <v>0.1917973462</v>
      </c>
      <c r="P237" s="8">
        <f>IFERROR(__xludf.DUMMYFUNCTION("""COMPUTED_VALUE"""),0.17375)</f>
        <v>0.17375</v>
      </c>
      <c r="Q237" s="8">
        <f>IFERROR(__xludf.DUMMYFUNCTION("""COMPUTED_VALUE"""),0.0974025974025974)</f>
        <v>0.0974025974</v>
      </c>
      <c r="R237" s="8">
        <f>IFERROR(__xludf.DUMMYFUNCTION("""COMPUTED_VALUE"""),0.05)</f>
        <v>0.05</v>
      </c>
      <c r="S237" s="8">
        <f>IFERROR(__xludf.DUMMYFUNCTION("""COMPUTED_VALUE"""),0.0)</f>
        <v>0</v>
      </c>
      <c r="T237" s="8">
        <f>IFERROR(__xludf.DUMMYFUNCTION("""COMPUTED_VALUE"""),0.0)</f>
        <v>0</v>
      </c>
      <c r="U237" s="8">
        <f>IFERROR(__xludf.DUMMYFUNCTION("""COMPUTED_VALUE"""),0.0)</f>
        <v>0</v>
      </c>
      <c r="V237" s="8">
        <f>IFERROR(__xludf.DUMMYFUNCTION("""COMPUTED_VALUE"""),0.0)</f>
        <v>0</v>
      </c>
      <c r="W237" s="8">
        <f>IFERROR(__xludf.DUMMYFUNCTION("""COMPUTED_VALUE"""),0.0)</f>
        <v>0</v>
      </c>
      <c r="X237" s="8">
        <f>IFERROR(__xludf.DUMMYFUNCTION("""COMPUTED_VALUE"""),0.0)</f>
        <v>0</v>
      </c>
      <c r="Y237" s="8">
        <f>IFERROR(__xludf.DUMMYFUNCTION("""COMPUTED_VALUE"""),0.0)</f>
        <v>0</v>
      </c>
      <c r="Z237" s="8">
        <f>IFERROR(__xludf.DUMMYFUNCTION("""COMPUTED_VALUE"""),0.0)</f>
        <v>0</v>
      </c>
      <c r="AA237" s="8">
        <f>IFERROR(__xludf.DUMMYFUNCTION("""COMPUTED_VALUE"""),0.0)</f>
        <v>0</v>
      </c>
      <c r="AB237" s="8">
        <f>IFERROR(__xludf.DUMMYFUNCTION("""COMPUTED_VALUE"""),0.0)</f>
        <v>0</v>
      </c>
      <c r="AC237" s="8">
        <f>IFERROR(__xludf.DUMMYFUNCTION("""COMPUTED_VALUE"""),0.0)</f>
        <v>0</v>
      </c>
    </row>
    <row r="238" ht="15.75" customHeight="1">
      <c r="A238" s="6" t="str">
        <f>IFERROR(__xludf.DUMMYFUNCTION("""COMPUTED_VALUE"""),"da2b63280d328cd78ef9102ea4f7f131a3ff6369")</f>
        <v>da2b63280d328cd78ef9102ea4f7f131a3ff6369</v>
      </c>
      <c r="B238" s="6" t="str">
        <f>IFERROR(__xludf.DUMMYFUNCTION("""COMPUTED_VALUE"""),"I Returned for Revenge")</f>
        <v>I Returned for Revenge</v>
      </c>
      <c r="C238" s="6" t="str">
        <f>IFERROR(__xludf.DUMMYFUNCTION("""COMPUTED_VALUE"""),"Romance")</f>
        <v>Romance</v>
      </c>
      <c r="D238" s="11">
        <f>IFERROR(__xludf.DUMMYFUNCTION("""COMPUTED_VALUE"""),1272.0)</f>
        <v>1272</v>
      </c>
      <c r="E238" s="8">
        <f>IFERROR(__xludf.DUMMYFUNCTION("""COMPUTED_VALUE"""),0.961386918833727)</f>
        <v>0.9613869188</v>
      </c>
      <c r="F238" s="8">
        <f>IFERROR(__xludf.DUMMYFUNCTION("""COMPUTED_VALUE"""),0.580441640378549)</f>
        <v>0.5804416404</v>
      </c>
      <c r="G238" s="8">
        <f>IFERROR(__xludf.DUMMYFUNCTION("""COMPUTED_VALUE"""),0.500792393026941)</f>
        <v>0.500792393</v>
      </c>
      <c r="H238" s="8">
        <f>IFERROR(__xludf.DUMMYFUNCTION("""COMPUTED_VALUE"""),0.474185861795075)</f>
        <v>0.4741858618</v>
      </c>
      <c r="I238" s="8">
        <f>IFERROR(__xludf.DUMMYFUNCTION("""COMPUTED_VALUE"""),0.45505617977528)</f>
        <v>0.4550561798</v>
      </c>
      <c r="J238" s="8">
        <f>IFERROR(__xludf.DUMMYFUNCTION("""COMPUTED_VALUE"""),0.43560295324036)</f>
        <v>0.4356029532</v>
      </c>
      <c r="K238" s="8">
        <f>IFERROR(__xludf.DUMMYFUNCTION("""COMPUTED_VALUE"""),0.417721518987341)</f>
        <v>0.417721519</v>
      </c>
      <c r="L238" s="8">
        <f>IFERROR(__xludf.DUMMYFUNCTION("""COMPUTED_VALUE"""),0.390527256478999)</f>
        <v>0.3905272565</v>
      </c>
      <c r="M238" s="8">
        <f>IFERROR(__xludf.DUMMYFUNCTION("""COMPUTED_VALUE"""),0.389861751152073)</f>
        <v>0.3898617512</v>
      </c>
      <c r="N238" s="8">
        <f>IFERROR(__xludf.DUMMYFUNCTION("""COMPUTED_VALUE"""),0.352880658436213)</f>
        <v>0.3528806584</v>
      </c>
      <c r="O238" s="8">
        <f>IFERROR(__xludf.DUMMYFUNCTION("""COMPUTED_VALUE"""),0.203856749311294)</f>
        <v>0.2038567493</v>
      </c>
      <c r="P238" s="8">
        <f>IFERROR(__xludf.DUMMYFUNCTION("""COMPUTED_VALUE"""),0.0843706777316735)</f>
        <v>0.08437067773</v>
      </c>
      <c r="Q238" s="8">
        <f>IFERROR(__xludf.DUMMYFUNCTION("""COMPUTED_VALUE"""),0.0159362549800796)</f>
        <v>0.01593625498</v>
      </c>
      <c r="R238" s="8">
        <f>IFERROR(__xludf.DUMMYFUNCTION("""COMPUTED_VALUE"""),0.0114678899082568)</f>
        <v>0.01146788991</v>
      </c>
      <c r="S238" s="8">
        <f>IFERROR(__xludf.DUMMYFUNCTION("""COMPUTED_VALUE"""),0.0)</f>
        <v>0</v>
      </c>
      <c r="T238" s="8">
        <f>IFERROR(__xludf.DUMMYFUNCTION("""COMPUTED_VALUE"""),0.0)</f>
        <v>0</v>
      </c>
      <c r="U238" s="8">
        <f>IFERROR(__xludf.DUMMYFUNCTION("""COMPUTED_VALUE"""),0.0)</f>
        <v>0</v>
      </c>
      <c r="V238" s="8">
        <f>IFERROR(__xludf.DUMMYFUNCTION("""COMPUTED_VALUE"""),0.0)</f>
        <v>0</v>
      </c>
      <c r="W238" s="8">
        <f>IFERROR(__xludf.DUMMYFUNCTION("""COMPUTED_VALUE"""),0.0)</f>
        <v>0</v>
      </c>
      <c r="X238" s="8">
        <f>IFERROR(__xludf.DUMMYFUNCTION("""COMPUTED_VALUE"""),0.0)</f>
        <v>0</v>
      </c>
      <c r="Y238" s="8">
        <f>IFERROR(__xludf.DUMMYFUNCTION("""COMPUTED_VALUE"""),0.0)</f>
        <v>0</v>
      </c>
      <c r="Z238" s="8">
        <f>IFERROR(__xludf.DUMMYFUNCTION("""COMPUTED_VALUE"""),0.0)</f>
        <v>0</v>
      </c>
      <c r="AA238" s="8">
        <f>IFERROR(__xludf.DUMMYFUNCTION("""COMPUTED_VALUE"""),0.0)</f>
        <v>0</v>
      </c>
      <c r="AB238" s="8">
        <f>IFERROR(__xludf.DUMMYFUNCTION("""COMPUTED_VALUE"""),0.0)</f>
        <v>0</v>
      </c>
      <c r="AC238" s="8">
        <f>IFERROR(__xludf.DUMMYFUNCTION("""COMPUTED_VALUE"""),0.0)</f>
        <v>0</v>
      </c>
    </row>
    <row r="239" ht="15.75" customHeight="1">
      <c r="A239" s="6" t="str">
        <f>IFERROR(__xludf.DUMMYFUNCTION("""COMPUTED_VALUE"""),"da5271db73c1f23560f26da633ebffb91df9abd6")</f>
        <v>da5271db73c1f23560f26da633ebffb91df9abd6</v>
      </c>
      <c r="B239" s="6" t="str">
        <f>IFERROR(__xludf.DUMMYFUNCTION("""COMPUTED_VALUE"""),"Sold to the Alpha King")</f>
        <v>Sold to the Alpha King</v>
      </c>
      <c r="C239" s="6" t="str">
        <f>IFERROR(__xludf.DUMMYFUNCTION("""COMPUTED_VALUE"""),"Romance")</f>
        <v>Romance</v>
      </c>
      <c r="D239" s="11">
        <f>IFERROR(__xludf.DUMMYFUNCTION("""COMPUTED_VALUE"""),589.0)</f>
        <v>589</v>
      </c>
      <c r="E239" s="8">
        <f>IFERROR(__xludf.DUMMYFUNCTION("""COMPUTED_VALUE"""),0.979094076655052)</f>
        <v>0.9790940767</v>
      </c>
      <c r="F239" s="8">
        <f>IFERROR(__xludf.DUMMYFUNCTION("""COMPUTED_VALUE"""),0.548387096774193)</f>
        <v>0.5483870968</v>
      </c>
      <c r="G239" s="8">
        <f>IFERROR(__xludf.DUMMYFUNCTION("""COMPUTED_VALUE"""),0.440959409594095)</f>
        <v>0.4409594096</v>
      </c>
      <c r="H239" s="8">
        <f>IFERROR(__xludf.DUMMYFUNCTION("""COMPUTED_VALUE"""),0.391472868217054)</f>
        <v>0.3914728682</v>
      </c>
      <c r="I239" s="8">
        <f>IFERROR(__xludf.DUMMYFUNCTION("""COMPUTED_VALUE"""),0.330019880715705)</f>
        <v>0.3300198807</v>
      </c>
      <c r="J239" s="8">
        <f>IFERROR(__xludf.DUMMYFUNCTION("""COMPUTED_VALUE"""),0.291404612159329)</f>
        <v>0.2914046122</v>
      </c>
      <c r="K239" s="8">
        <f>IFERROR(__xludf.DUMMYFUNCTION("""COMPUTED_VALUE"""),0.271929824561403)</f>
        <v>0.2719298246</v>
      </c>
      <c r="L239" s="8">
        <f>IFERROR(__xludf.DUMMYFUNCTION("""COMPUTED_VALUE"""),0.248768472906403)</f>
        <v>0.2487684729</v>
      </c>
      <c r="M239" s="8">
        <f>IFERROR(__xludf.DUMMYFUNCTION("""COMPUTED_VALUE"""),0.235602094240837)</f>
        <v>0.2356020942</v>
      </c>
      <c r="N239" s="8">
        <f>IFERROR(__xludf.DUMMYFUNCTION("""COMPUTED_VALUE"""),0.22257053291536)</f>
        <v>0.2225705329</v>
      </c>
      <c r="O239" s="8">
        <f>IFERROR(__xludf.DUMMYFUNCTION("""COMPUTED_VALUE"""),0.135416666666666)</f>
        <v>0.1354166667</v>
      </c>
      <c r="P239" s="8">
        <f>IFERROR(__xludf.DUMMYFUNCTION("""COMPUTED_VALUE"""),0.156626506024096)</f>
        <v>0.156626506</v>
      </c>
      <c r="Q239" s="8">
        <f>IFERROR(__xludf.DUMMYFUNCTION("""COMPUTED_VALUE"""),0.0)</f>
        <v>0</v>
      </c>
      <c r="R239" s="8">
        <f>IFERROR(__xludf.DUMMYFUNCTION("""COMPUTED_VALUE"""),0.0)</f>
        <v>0</v>
      </c>
      <c r="S239" s="8">
        <f>IFERROR(__xludf.DUMMYFUNCTION("""COMPUTED_VALUE"""),0.0)</f>
        <v>0</v>
      </c>
      <c r="T239" s="8">
        <f>IFERROR(__xludf.DUMMYFUNCTION("""COMPUTED_VALUE"""),0.0)</f>
        <v>0</v>
      </c>
      <c r="U239" s="8">
        <f>IFERROR(__xludf.DUMMYFUNCTION("""COMPUTED_VALUE"""),0.0)</f>
        <v>0</v>
      </c>
      <c r="V239" s="8">
        <f>IFERROR(__xludf.DUMMYFUNCTION("""COMPUTED_VALUE"""),0.0)</f>
        <v>0</v>
      </c>
      <c r="W239" s="8">
        <f>IFERROR(__xludf.DUMMYFUNCTION("""COMPUTED_VALUE"""),0.0)</f>
        <v>0</v>
      </c>
      <c r="X239" s="8">
        <f>IFERROR(__xludf.DUMMYFUNCTION("""COMPUTED_VALUE"""),0.0)</f>
        <v>0</v>
      </c>
      <c r="Y239" s="8">
        <f>IFERROR(__xludf.DUMMYFUNCTION("""COMPUTED_VALUE"""),0.0)</f>
        <v>0</v>
      </c>
      <c r="Z239" s="8">
        <f>IFERROR(__xludf.DUMMYFUNCTION("""COMPUTED_VALUE"""),0.0)</f>
        <v>0</v>
      </c>
      <c r="AA239" s="8">
        <f>IFERROR(__xludf.DUMMYFUNCTION("""COMPUTED_VALUE"""),0.0)</f>
        <v>0</v>
      </c>
      <c r="AB239" s="8">
        <f>IFERROR(__xludf.DUMMYFUNCTION("""COMPUTED_VALUE"""),0.0)</f>
        <v>0</v>
      </c>
      <c r="AC239" s="8">
        <f>IFERROR(__xludf.DUMMYFUNCTION("""COMPUTED_VALUE"""),0.0)</f>
        <v>0</v>
      </c>
    </row>
    <row r="240" ht="15.75" customHeight="1">
      <c r="A240" s="6" t="str">
        <f>IFERROR(__xludf.DUMMYFUNCTION("""COMPUTED_VALUE"""),"da8d32c5473daa3dc16575cdcd79a118bb445ffb")</f>
        <v>da8d32c5473daa3dc16575cdcd79a118bb445ffb</v>
      </c>
      <c r="B240" s="6" t="str">
        <f>IFERROR(__xludf.DUMMYFUNCTION("""COMPUTED_VALUE"""),"Bold Step Against Hoffman")</f>
        <v>Bold Step Against Hoffman</v>
      </c>
      <c r="C240" s="6" t="str">
        <f>IFERROR(__xludf.DUMMYFUNCTION("""COMPUTED_VALUE"""),"Romance")</f>
        <v>Romance</v>
      </c>
      <c r="D240" s="11">
        <f>IFERROR(__xludf.DUMMYFUNCTION("""COMPUTED_VALUE"""),1640.0)</f>
        <v>1640</v>
      </c>
      <c r="E240" s="8">
        <f>IFERROR(__xludf.DUMMYFUNCTION("""COMPUTED_VALUE"""),0.964879852125693)</f>
        <v>0.9648798521</v>
      </c>
      <c r="F240" s="8">
        <f>IFERROR(__xludf.DUMMYFUNCTION("""COMPUTED_VALUE"""),0.474937343358396)</f>
        <v>0.4749373434</v>
      </c>
      <c r="G240" s="8">
        <f>IFERROR(__xludf.DUMMYFUNCTION("""COMPUTED_VALUE"""),0.396464646464646)</f>
        <v>0.3964646465</v>
      </c>
      <c r="H240" s="8">
        <f>IFERROR(__xludf.DUMMYFUNCTION("""COMPUTED_VALUE"""),0.335673261008296)</f>
        <v>0.335673261</v>
      </c>
      <c r="I240" s="8">
        <f>IFERROR(__xludf.DUMMYFUNCTION("""COMPUTED_VALUE"""),0.293929712460063)</f>
        <v>0.2939297125</v>
      </c>
      <c r="J240" s="8">
        <f>IFERROR(__xludf.DUMMYFUNCTION("""COMPUTED_VALUE"""),0.266453674121405)</f>
        <v>0.2664536741</v>
      </c>
      <c r="K240" s="8">
        <f>IFERROR(__xludf.DUMMYFUNCTION("""COMPUTED_VALUE"""),0.261508951406649)</f>
        <v>0.2615089514</v>
      </c>
      <c r="L240" s="8">
        <f>IFERROR(__xludf.DUMMYFUNCTION("""COMPUTED_VALUE"""),0.236538461538461)</f>
        <v>0.2365384615</v>
      </c>
      <c r="M240" s="8">
        <f>IFERROR(__xludf.DUMMYFUNCTION("""COMPUTED_VALUE"""),0.228498074454428)</f>
        <v>0.2284980745</v>
      </c>
      <c r="N240" s="8">
        <f>IFERROR(__xludf.DUMMYFUNCTION("""COMPUTED_VALUE"""),0.220915032679738)</f>
        <v>0.2209150327</v>
      </c>
      <c r="O240" s="8">
        <f>IFERROR(__xludf.DUMMYFUNCTION("""COMPUTED_VALUE"""),0.164955509924709)</f>
        <v>0.1649555099</v>
      </c>
      <c r="P240" s="8">
        <f>IFERROR(__xludf.DUMMYFUNCTION("""COMPUTED_VALUE"""),0.133211678832116)</f>
        <v>0.1332116788</v>
      </c>
      <c r="Q240" s="8">
        <f>IFERROR(__xludf.DUMMYFUNCTION("""COMPUTED_VALUE"""),0.110047846889952)</f>
        <v>0.1100478469</v>
      </c>
      <c r="R240" s="8">
        <f>IFERROR(__xludf.DUMMYFUNCTION("""COMPUTED_VALUE"""),0.0928725701943844)</f>
        <v>0.09287257019</v>
      </c>
      <c r="S240" s="8">
        <f>IFERROR(__xludf.DUMMYFUNCTION("""COMPUTED_VALUE"""),0.0852575488454707)</f>
        <v>0.08525754885</v>
      </c>
      <c r="T240" s="8">
        <f>IFERROR(__xludf.DUMMYFUNCTION("""COMPUTED_VALUE"""),0.0294117647058823)</f>
        <v>0.02941176471</v>
      </c>
      <c r="U240" s="8">
        <f>IFERROR(__xludf.DUMMYFUNCTION("""COMPUTED_VALUE"""),0.0185185185185185)</f>
        <v>0.01851851852</v>
      </c>
      <c r="V240" s="8">
        <f>IFERROR(__xludf.DUMMYFUNCTION("""COMPUTED_VALUE"""),0.0)</f>
        <v>0</v>
      </c>
      <c r="W240" s="8">
        <f>IFERROR(__xludf.DUMMYFUNCTION("""COMPUTED_VALUE"""),0.0)</f>
        <v>0</v>
      </c>
      <c r="X240" s="8">
        <f>IFERROR(__xludf.DUMMYFUNCTION("""COMPUTED_VALUE"""),0.0)</f>
        <v>0</v>
      </c>
      <c r="Y240" s="8">
        <f>IFERROR(__xludf.DUMMYFUNCTION("""COMPUTED_VALUE"""),0.0)</f>
        <v>0</v>
      </c>
      <c r="Z240" s="8">
        <f>IFERROR(__xludf.DUMMYFUNCTION("""COMPUTED_VALUE"""),0.0)</f>
        <v>0</v>
      </c>
      <c r="AA240" s="8">
        <f>IFERROR(__xludf.DUMMYFUNCTION("""COMPUTED_VALUE"""),0.0)</f>
        <v>0</v>
      </c>
      <c r="AB240" s="8">
        <f>IFERROR(__xludf.DUMMYFUNCTION("""COMPUTED_VALUE"""),0.0)</f>
        <v>0</v>
      </c>
      <c r="AC240" s="8">
        <f>IFERROR(__xludf.DUMMYFUNCTION("""COMPUTED_VALUE"""),0.0)</f>
        <v>0</v>
      </c>
    </row>
    <row r="241" ht="15.75" customHeight="1">
      <c r="A241" s="6" t="str">
        <f>IFERROR(__xludf.DUMMYFUNCTION("""COMPUTED_VALUE"""),"daa40d9ff542ace7e27440803ddf4307bbd54bdd")</f>
        <v>daa40d9ff542ace7e27440803ddf4307bbd54bdd</v>
      </c>
      <c r="B241" s="6" t="str">
        <f>IFERROR(__xludf.DUMMYFUNCTION("""COMPUTED_VALUE"""),"Villain's Harem")</f>
        <v>Villain's Harem</v>
      </c>
      <c r="C241" s="6" t="str">
        <f>IFERROR(__xludf.DUMMYFUNCTION("""COMPUTED_VALUE"""),"Romantasy")</f>
        <v>Romantasy</v>
      </c>
      <c r="D241" s="11">
        <f>IFERROR(__xludf.DUMMYFUNCTION("""COMPUTED_VALUE"""),1431.0)</f>
        <v>1431</v>
      </c>
      <c r="E241" s="8">
        <f>IFERROR(__xludf.DUMMYFUNCTION("""COMPUTED_VALUE"""),0.954802259887005)</f>
        <v>0.9548022599</v>
      </c>
      <c r="F241" s="8">
        <f>IFERROR(__xludf.DUMMYFUNCTION("""COMPUTED_VALUE"""),0.629470672389127)</f>
        <v>0.6294706724</v>
      </c>
      <c r="G241" s="8">
        <f>IFERROR(__xludf.DUMMYFUNCTION("""COMPUTED_VALUE"""),0.561239193083573)</f>
        <v>0.5612391931</v>
      </c>
      <c r="H241" s="8">
        <f>IFERROR(__xludf.DUMMYFUNCTION("""COMPUTED_VALUE"""),0.502911208151382)</f>
        <v>0.5029112082</v>
      </c>
      <c r="I241" s="8">
        <f>IFERROR(__xludf.DUMMYFUNCTION("""COMPUTED_VALUE"""),0.44941348973607)</f>
        <v>0.4494134897</v>
      </c>
      <c r="J241" s="8">
        <f>IFERROR(__xludf.DUMMYFUNCTION("""COMPUTED_VALUE"""),0.424647364513734)</f>
        <v>0.4246473645</v>
      </c>
      <c r="K241" s="8">
        <f>IFERROR(__xludf.DUMMYFUNCTION("""COMPUTED_VALUE"""),0.398638426626323)</f>
        <v>0.3986384266</v>
      </c>
      <c r="L241" s="8">
        <f>IFERROR(__xludf.DUMMYFUNCTION("""COMPUTED_VALUE"""),0.376068376068376)</f>
        <v>0.3760683761</v>
      </c>
      <c r="M241" s="8">
        <f>IFERROR(__xludf.DUMMYFUNCTION("""COMPUTED_VALUE"""),0.375510204081632)</f>
        <v>0.3755102041</v>
      </c>
      <c r="N241" s="8">
        <f>IFERROR(__xludf.DUMMYFUNCTION("""COMPUTED_VALUE"""),0.370510396975425)</f>
        <v>0.370510397</v>
      </c>
      <c r="O241" s="8">
        <f>IFERROR(__xludf.DUMMYFUNCTION("""COMPUTED_VALUE"""),0.37163814180929)</f>
        <v>0.3716381418</v>
      </c>
      <c r="P241" s="8">
        <f>IFERROR(__xludf.DUMMYFUNCTION("""COMPUTED_VALUE"""),0.342105263157894)</f>
        <v>0.3421052632</v>
      </c>
      <c r="Q241" s="8">
        <f>IFERROR(__xludf.DUMMYFUNCTION("""COMPUTED_VALUE"""),0.0)</f>
        <v>0</v>
      </c>
      <c r="R241" s="8">
        <f>IFERROR(__xludf.DUMMYFUNCTION("""COMPUTED_VALUE"""),0.0)</f>
        <v>0</v>
      </c>
      <c r="S241" s="8">
        <f>IFERROR(__xludf.DUMMYFUNCTION("""COMPUTED_VALUE"""),0.0)</f>
        <v>0</v>
      </c>
      <c r="T241" s="8">
        <f>IFERROR(__xludf.DUMMYFUNCTION("""COMPUTED_VALUE"""),0.0)</f>
        <v>0</v>
      </c>
      <c r="U241" s="8">
        <f>IFERROR(__xludf.DUMMYFUNCTION("""COMPUTED_VALUE"""),0.0)</f>
        <v>0</v>
      </c>
      <c r="V241" s="8">
        <f>IFERROR(__xludf.DUMMYFUNCTION("""COMPUTED_VALUE"""),0.0)</f>
        <v>0</v>
      </c>
      <c r="W241" s="8">
        <f>IFERROR(__xludf.DUMMYFUNCTION("""COMPUTED_VALUE"""),0.0)</f>
        <v>0</v>
      </c>
      <c r="X241" s="8">
        <f>IFERROR(__xludf.DUMMYFUNCTION("""COMPUTED_VALUE"""),0.0)</f>
        <v>0</v>
      </c>
      <c r="Y241" s="8">
        <f>IFERROR(__xludf.DUMMYFUNCTION("""COMPUTED_VALUE"""),0.0)</f>
        <v>0</v>
      </c>
      <c r="Z241" s="8">
        <f>IFERROR(__xludf.DUMMYFUNCTION("""COMPUTED_VALUE"""),0.0)</f>
        <v>0</v>
      </c>
      <c r="AA241" s="8">
        <f>IFERROR(__xludf.DUMMYFUNCTION("""COMPUTED_VALUE"""),0.0)</f>
        <v>0</v>
      </c>
      <c r="AB241" s="8">
        <f>IFERROR(__xludf.DUMMYFUNCTION("""COMPUTED_VALUE"""),0.0)</f>
        <v>0</v>
      </c>
      <c r="AC241" s="8">
        <f>IFERROR(__xludf.DUMMYFUNCTION("""COMPUTED_VALUE"""),0.0)</f>
        <v>0</v>
      </c>
    </row>
    <row r="242" ht="15.75" customHeight="1">
      <c r="A242" s="6" t="str">
        <f>IFERROR(__xludf.DUMMYFUNCTION("""COMPUTED_VALUE"""),"db982055d0205f85b154941a9a5fdcae32a88a7c")</f>
        <v>db982055d0205f85b154941a9a5fdcae32a88a7c</v>
      </c>
      <c r="B242" s="6" t="str">
        <f>IFERROR(__xludf.DUMMYFUNCTION("""COMPUTED_VALUE"""),"Re:system - Rebooted")</f>
        <v>Re:system - Rebooted</v>
      </c>
      <c r="C242" s="6" t="str">
        <f>IFERROR(__xludf.DUMMYFUNCTION("""COMPUTED_VALUE"""),"Fantasy")</f>
        <v>Fantasy</v>
      </c>
      <c r="D242" s="11">
        <f>IFERROR(__xludf.DUMMYFUNCTION("""COMPUTED_VALUE"""),911.0)</f>
        <v>911</v>
      </c>
      <c r="E242" s="8">
        <f>IFERROR(__xludf.DUMMYFUNCTION("""COMPUTED_VALUE"""),0.988962472406181)</f>
        <v>0.9889624724</v>
      </c>
      <c r="F242" s="8">
        <f>IFERROR(__xludf.DUMMYFUNCTION("""COMPUTED_VALUE"""),0.606465997770345)</f>
        <v>0.6064659978</v>
      </c>
      <c r="G242" s="8">
        <f>IFERROR(__xludf.DUMMYFUNCTION("""COMPUTED_VALUE"""),0.531390134529148)</f>
        <v>0.5313901345</v>
      </c>
      <c r="H242" s="8">
        <f>IFERROR(__xludf.DUMMYFUNCTION("""COMPUTED_VALUE"""),0.481981981981982)</f>
        <v>0.481981982</v>
      </c>
      <c r="I242" s="8">
        <f>IFERROR(__xludf.DUMMYFUNCTION("""COMPUTED_VALUE"""),0.448863636363636)</f>
        <v>0.4488636364</v>
      </c>
      <c r="J242" s="8">
        <f>IFERROR(__xludf.DUMMYFUNCTION("""COMPUTED_VALUE"""),0.418823529411764)</f>
        <v>0.4188235294</v>
      </c>
      <c r="K242" s="8">
        <f>IFERROR(__xludf.DUMMYFUNCTION("""COMPUTED_VALUE"""),0.38954248366013)</f>
        <v>0.3895424837</v>
      </c>
      <c r="L242" s="8">
        <f>IFERROR(__xludf.DUMMYFUNCTION("""COMPUTED_VALUE"""),0.363774733637747)</f>
        <v>0.3637747336</v>
      </c>
      <c r="M242" s="8">
        <f>IFERROR(__xludf.DUMMYFUNCTION("""COMPUTED_VALUE"""),0.352331606217616)</f>
        <v>0.3523316062</v>
      </c>
      <c r="N242" s="8">
        <f>IFERROR(__xludf.DUMMYFUNCTION("""COMPUTED_VALUE"""),0.318072289156626)</f>
        <v>0.3180722892</v>
      </c>
      <c r="O242" s="8">
        <f>IFERROR(__xludf.DUMMYFUNCTION("""COMPUTED_VALUE"""),0.0)</f>
        <v>0</v>
      </c>
      <c r="P242" s="8">
        <f>IFERROR(__xludf.DUMMYFUNCTION("""COMPUTED_VALUE"""),0.0)</f>
        <v>0</v>
      </c>
      <c r="Q242" s="8">
        <f>IFERROR(__xludf.DUMMYFUNCTION("""COMPUTED_VALUE"""),0.0)</f>
        <v>0</v>
      </c>
      <c r="R242" s="8">
        <f>IFERROR(__xludf.DUMMYFUNCTION("""COMPUTED_VALUE"""),0.0)</f>
        <v>0</v>
      </c>
      <c r="S242" s="8">
        <f>IFERROR(__xludf.DUMMYFUNCTION("""COMPUTED_VALUE"""),0.0)</f>
        <v>0</v>
      </c>
      <c r="T242" s="8">
        <f>IFERROR(__xludf.DUMMYFUNCTION("""COMPUTED_VALUE"""),0.0)</f>
        <v>0</v>
      </c>
      <c r="U242" s="8">
        <f>IFERROR(__xludf.DUMMYFUNCTION("""COMPUTED_VALUE"""),0.0)</f>
        <v>0</v>
      </c>
      <c r="V242" s="8">
        <f>IFERROR(__xludf.DUMMYFUNCTION("""COMPUTED_VALUE"""),0.0)</f>
        <v>0</v>
      </c>
      <c r="W242" s="8">
        <f>IFERROR(__xludf.DUMMYFUNCTION("""COMPUTED_VALUE"""),0.0)</f>
        <v>0</v>
      </c>
      <c r="X242" s="8">
        <f>IFERROR(__xludf.DUMMYFUNCTION("""COMPUTED_VALUE"""),0.0)</f>
        <v>0</v>
      </c>
      <c r="Y242" s="8">
        <f>IFERROR(__xludf.DUMMYFUNCTION("""COMPUTED_VALUE"""),0.0)</f>
        <v>0</v>
      </c>
      <c r="Z242" s="8">
        <f>IFERROR(__xludf.DUMMYFUNCTION("""COMPUTED_VALUE"""),0.0)</f>
        <v>0</v>
      </c>
      <c r="AA242" s="8">
        <f>IFERROR(__xludf.DUMMYFUNCTION("""COMPUTED_VALUE"""),0.0)</f>
        <v>0</v>
      </c>
      <c r="AB242" s="8">
        <f>IFERROR(__xludf.DUMMYFUNCTION("""COMPUTED_VALUE"""),0.0)</f>
        <v>0</v>
      </c>
      <c r="AC242" s="8">
        <f>IFERROR(__xludf.DUMMYFUNCTION("""COMPUTED_VALUE"""),0.0)</f>
        <v>0</v>
      </c>
    </row>
    <row r="243" ht="15.75" customHeight="1">
      <c r="A243" s="6" t="str">
        <f>IFERROR(__xludf.DUMMYFUNCTION("""COMPUTED_VALUE"""),"ddcfd794c1c386caa644e2b1d2379bfcd4efb154")</f>
        <v>ddcfd794c1c386caa644e2b1d2379bfcd4efb154</v>
      </c>
      <c r="B243" s="6" t="str">
        <f>IFERROR(__xludf.DUMMYFUNCTION("""COMPUTED_VALUE"""),"Tycoons Love Swindled")</f>
        <v>Tycoons Love Swindled</v>
      </c>
      <c r="C243" s="6" t="str">
        <f>IFERROR(__xludf.DUMMYFUNCTION("""COMPUTED_VALUE"""),"Drama")</f>
        <v>Drama</v>
      </c>
      <c r="D243" s="11">
        <f>IFERROR(__xludf.DUMMYFUNCTION("""COMPUTED_VALUE"""),465.0)</f>
        <v>465</v>
      </c>
      <c r="E243" s="8">
        <f>IFERROR(__xludf.DUMMYFUNCTION("""COMPUTED_VALUE"""),0.534632034632034)</f>
        <v>0.5346320346</v>
      </c>
      <c r="F243" s="8">
        <f>IFERROR(__xludf.DUMMYFUNCTION("""COMPUTED_VALUE"""),0.32391304347826)</f>
        <v>0.3239130435</v>
      </c>
      <c r="G243" s="8">
        <f>IFERROR(__xludf.DUMMYFUNCTION("""COMPUTED_VALUE"""),0.272925764192139)</f>
        <v>0.2729257642</v>
      </c>
      <c r="H243" s="8">
        <f>IFERROR(__xludf.DUMMYFUNCTION("""COMPUTED_VALUE"""),0.266075388026607)</f>
        <v>0.266075388</v>
      </c>
      <c r="I243" s="8">
        <f>IFERROR(__xludf.DUMMYFUNCTION("""COMPUTED_VALUE"""),0.258351893095768)</f>
        <v>0.2583518931</v>
      </c>
      <c r="J243" s="8">
        <f>IFERROR(__xludf.DUMMYFUNCTION("""COMPUTED_VALUE"""),0.265765765765765)</f>
        <v>0.2657657658</v>
      </c>
      <c r="K243" s="8">
        <f>IFERROR(__xludf.DUMMYFUNCTION("""COMPUTED_VALUE"""),0.238095238095238)</f>
        <v>0.2380952381</v>
      </c>
      <c r="L243" s="8">
        <f>IFERROR(__xludf.DUMMYFUNCTION("""COMPUTED_VALUE"""),0.25)</f>
        <v>0.25</v>
      </c>
      <c r="M243" s="8">
        <f>IFERROR(__xludf.DUMMYFUNCTION("""COMPUTED_VALUE"""),0.209302325581395)</f>
        <v>0.2093023256</v>
      </c>
      <c r="N243" s="8">
        <f>IFERROR(__xludf.DUMMYFUNCTION("""COMPUTED_VALUE"""),0.225352112676056)</f>
        <v>0.2253521127</v>
      </c>
      <c r="O243" s="8">
        <f>IFERROR(__xludf.DUMMYFUNCTION("""COMPUTED_VALUE"""),0.205445544554455)</f>
        <v>0.2054455446</v>
      </c>
      <c r="P243" s="8">
        <f>IFERROR(__xludf.DUMMYFUNCTION("""COMPUTED_VALUE"""),0.156716417910447)</f>
        <v>0.1567164179</v>
      </c>
      <c r="Q243" s="8">
        <f>IFERROR(__xludf.DUMMYFUNCTION("""COMPUTED_VALUE"""),0.0381679389312977)</f>
        <v>0.03816793893</v>
      </c>
      <c r="R243" s="8">
        <f>IFERROR(__xludf.DUMMYFUNCTION("""COMPUTED_VALUE"""),0.0109289617486338)</f>
        <v>0.01092896175</v>
      </c>
      <c r="S243" s="8">
        <f>IFERROR(__xludf.DUMMYFUNCTION("""COMPUTED_VALUE"""),0.0)</f>
        <v>0</v>
      </c>
      <c r="T243" s="8">
        <f>IFERROR(__xludf.DUMMYFUNCTION("""COMPUTED_VALUE"""),0.0)</f>
        <v>0</v>
      </c>
      <c r="U243" s="8">
        <f>IFERROR(__xludf.DUMMYFUNCTION("""COMPUTED_VALUE"""),0.0)</f>
        <v>0</v>
      </c>
      <c r="V243" s="8">
        <f>IFERROR(__xludf.DUMMYFUNCTION("""COMPUTED_VALUE"""),0.0)</f>
        <v>0</v>
      </c>
      <c r="W243" s="8">
        <f>IFERROR(__xludf.DUMMYFUNCTION("""COMPUTED_VALUE"""),0.0)</f>
        <v>0</v>
      </c>
      <c r="X243" s="8">
        <f>IFERROR(__xludf.DUMMYFUNCTION("""COMPUTED_VALUE"""),0.0)</f>
        <v>0</v>
      </c>
      <c r="Y243" s="8">
        <f>IFERROR(__xludf.DUMMYFUNCTION("""COMPUTED_VALUE"""),0.0)</f>
        <v>0</v>
      </c>
      <c r="Z243" s="8">
        <f>IFERROR(__xludf.DUMMYFUNCTION("""COMPUTED_VALUE"""),0.0)</f>
        <v>0</v>
      </c>
      <c r="AA243" s="8">
        <f>IFERROR(__xludf.DUMMYFUNCTION("""COMPUTED_VALUE"""),0.0)</f>
        <v>0</v>
      </c>
      <c r="AB243" s="8">
        <f>IFERROR(__xludf.DUMMYFUNCTION("""COMPUTED_VALUE"""),0.0)</f>
        <v>0</v>
      </c>
      <c r="AC243" s="8">
        <f>IFERROR(__xludf.DUMMYFUNCTION("""COMPUTED_VALUE"""),0.0)</f>
        <v>0</v>
      </c>
    </row>
    <row r="244" ht="15.75" customHeight="1">
      <c r="A244" s="6" t="str">
        <f>IFERROR(__xludf.DUMMYFUNCTION("""COMPUTED_VALUE"""),"de862851ca66c0ec5a982ecfe58d14472093a185")</f>
        <v>de862851ca66c0ec5a982ecfe58d14472093a185</v>
      </c>
      <c r="B244" s="6" t="str">
        <f>IFERROR(__xludf.DUMMYFUNCTION("""COMPUTED_VALUE"""),"From Trash to a Legend")</f>
        <v>From Trash to a Legend</v>
      </c>
      <c r="C244" s="6" t="str">
        <f>IFERROR(__xludf.DUMMYFUNCTION("""COMPUTED_VALUE"""),"System and Superpower")</f>
        <v>System and Superpower</v>
      </c>
      <c r="D244" s="11">
        <f>IFERROR(__xludf.DUMMYFUNCTION("""COMPUTED_VALUE"""),1171.0)</f>
        <v>1171</v>
      </c>
      <c r="E244" s="8">
        <f>IFERROR(__xludf.DUMMYFUNCTION("""COMPUTED_VALUE"""),0.961472602739726)</f>
        <v>0.9614726027</v>
      </c>
      <c r="F244" s="8">
        <f>IFERROR(__xludf.DUMMYFUNCTION("""COMPUTED_VALUE"""),0.729939603106125)</f>
        <v>0.7299396031</v>
      </c>
      <c r="G244" s="8">
        <f>IFERROR(__xludf.DUMMYFUNCTION("""COMPUTED_VALUE"""),0.70293609671848)</f>
        <v>0.7029360967</v>
      </c>
      <c r="H244" s="8">
        <f>IFERROR(__xludf.DUMMYFUNCTION("""COMPUTED_VALUE"""),0.674479166666666)</f>
        <v>0.6744791667</v>
      </c>
      <c r="I244" s="8">
        <f>IFERROR(__xludf.DUMMYFUNCTION("""COMPUTED_VALUE"""),0.640734265734265)</f>
        <v>0.6407342657</v>
      </c>
      <c r="J244" s="8">
        <f>IFERROR(__xludf.DUMMYFUNCTION("""COMPUTED_VALUE"""),0.623069936421435)</f>
        <v>0.6230699364</v>
      </c>
      <c r="K244" s="8">
        <f>IFERROR(__xludf.DUMMYFUNCTION("""COMPUTED_VALUE"""),0.586431226765799)</f>
        <v>0.5864312268</v>
      </c>
      <c r="L244" s="8">
        <f>IFERROR(__xludf.DUMMYFUNCTION("""COMPUTED_VALUE"""),0.545360824742268)</f>
        <v>0.5453608247</v>
      </c>
      <c r="M244" s="8">
        <f>IFERROR(__xludf.DUMMYFUNCTION("""COMPUTED_VALUE"""),0.525498891352549)</f>
        <v>0.5254988914</v>
      </c>
      <c r="N244" s="8">
        <f>IFERROR(__xludf.DUMMYFUNCTION("""COMPUTED_VALUE"""),0.519230769230769)</f>
        <v>0.5192307692</v>
      </c>
      <c r="O244" s="8">
        <f>IFERROR(__xludf.DUMMYFUNCTION("""COMPUTED_VALUE"""),0.345609065155807)</f>
        <v>0.3456090652</v>
      </c>
      <c r="P244" s="8">
        <f>IFERROR(__xludf.DUMMYFUNCTION("""COMPUTED_VALUE"""),0.260115606936416)</f>
        <v>0.2601156069</v>
      </c>
      <c r="Q244" s="8">
        <f>IFERROR(__xludf.DUMMYFUNCTION("""COMPUTED_VALUE"""),0.0)</f>
        <v>0</v>
      </c>
      <c r="R244" s="8">
        <f>IFERROR(__xludf.DUMMYFUNCTION("""COMPUTED_VALUE"""),0.0)</f>
        <v>0</v>
      </c>
      <c r="S244" s="8">
        <f>IFERROR(__xludf.DUMMYFUNCTION("""COMPUTED_VALUE"""),0.0)</f>
        <v>0</v>
      </c>
      <c r="T244" s="8">
        <f>IFERROR(__xludf.DUMMYFUNCTION("""COMPUTED_VALUE"""),0.0)</f>
        <v>0</v>
      </c>
      <c r="U244" s="8">
        <f>IFERROR(__xludf.DUMMYFUNCTION("""COMPUTED_VALUE"""),0.0)</f>
        <v>0</v>
      </c>
      <c r="V244" s="8">
        <f>IFERROR(__xludf.DUMMYFUNCTION("""COMPUTED_VALUE"""),0.0)</f>
        <v>0</v>
      </c>
      <c r="W244" s="8">
        <f>IFERROR(__xludf.DUMMYFUNCTION("""COMPUTED_VALUE"""),0.0)</f>
        <v>0</v>
      </c>
      <c r="X244" s="8">
        <f>IFERROR(__xludf.DUMMYFUNCTION("""COMPUTED_VALUE"""),0.0)</f>
        <v>0</v>
      </c>
      <c r="Y244" s="8">
        <f>IFERROR(__xludf.DUMMYFUNCTION("""COMPUTED_VALUE"""),0.0)</f>
        <v>0</v>
      </c>
      <c r="Z244" s="8">
        <f>IFERROR(__xludf.DUMMYFUNCTION("""COMPUTED_VALUE"""),0.0)</f>
        <v>0</v>
      </c>
      <c r="AA244" s="8">
        <f>IFERROR(__xludf.DUMMYFUNCTION("""COMPUTED_VALUE"""),0.0)</f>
        <v>0</v>
      </c>
      <c r="AB244" s="8">
        <f>IFERROR(__xludf.DUMMYFUNCTION("""COMPUTED_VALUE"""),0.0)</f>
        <v>0</v>
      </c>
      <c r="AC244" s="8">
        <f>IFERROR(__xludf.DUMMYFUNCTION("""COMPUTED_VALUE"""),0.0)</f>
        <v>0</v>
      </c>
    </row>
    <row r="245" ht="15.75" customHeight="1">
      <c r="A245" s="6" t="str">
        <f>IFERROR(__xludf.DUMMYFUNCTION("""COMPUTED_VALUE"""),"df497806d02c2dcc2e8f8e790fcc3fb9e72f8166")</f>
        <v>df497806d02c2dcc2e8f8e790fcc3fb9e72f8166</v>
      </c>
      <c r="B245" s="6" t="str">
        <f>IFERROR(__xludf.DUMMYFUNCTION("""COMPUTED_VALUE"""),"Never Letting You Go")</f>
        <v>Never Letting You Go</v>
      </c>
      <c r="C245" s="6" t="str">
        <f>IFERROR(__xludf.DUMMYFUNCTION("""COMPUTED_VALUE"""),"Romance")</f>
        <v>Romance</v>
      </c>
      <c r="D245" s="11">
        <f>IFERROR(__xludf.DUMMYFUNCTION("""COMPUTED_VALUE"""),635.0)</f>
        <v>635</v>
      </c>
      <c r="E245" s="8">
        <f>IFERROR(__xludf.DUMMYFUNCTION("""COMPUTED_VALUE"""),0.966613672496025)</f>
        <v>0.9666136725</v>
      </c>
      <c r="F245" s="8">
        <f>IFERROR(__xludf.DUMMYFUNCTION("""COMPUTED_VALUE"""),0.526655896607431)</f>
        <v>0.5266558966</v>
      </c>
      <c r="G245" s="8">
        <f>IFERROR(__xludf.DUMMYFUNCTION("""COMPUTED_VALUE"""),0.458401305057096)</f>
        <v>0.4584013051</v>
      </c>
      <c r="H245" s="8">
        <f>IFERROR(__xludf.DUMMYFUNCTION("""COMPUTED_VALUE"""),0.403654485049833)</f>
        <v>0.403654485</v>
      </c>
      <c r="I245" s="8">
        <f>IFERROR(__xludf.DUMMYFUNCTION("""COMPUTED_VALUE"""),0.34931506849315)</f>
        <v>0.3493150685</v>
      </c>
      <c r="J245" s="8">
        <f>IFERROR(__xludf.DUMMYFUNCTION("""COMPUTED_VALUE"""),0.322751322751322)</f>
        <v>0.3227513228</v>
      </c>
      <c r="K245" s="8">
        <f>IFERROR(__xludf.DUMMYFUNCTION("""COMPUTED_VALUE"""),0.298872180451127)</f>
        <v>0.2988721805</v>
      </c>
      <c r="L245" s="8">
        <f>IFERROR(__xludf.DUMMYFUNCTION("""COMPUTED_VALUE"""),0.281893004115226)</f>
        <v>0.2818930041</v>
      </c>
      <c r="M245" s="8">
        <f>IFERROR(__xludf.DUMMYFUNCTION("""COMPUTED_VALUE"""),0.251111111111111)</f>
        <v>0.2511111111</v>
      </c>
      <c r="N245" s="8">
        <f>IFERROR(__xludf.DUMMYFUNCTION("""COMPUTED_VALUE"""),0.247368421052631)</f>
        <v>0.2473684211</v>
      </c>
      <c r="O245" s="8">
        <f>IFERROR(__xludf.DUMMYFUNCTION("""COMPUTED_VALUE"""),0.213675213675213)</f>
        <v>0.2136752137</v>
      </c>
      <c r="P245" s="8">
        <f>IFERROR(__xludf.DUMMYFUNCTION("""COMPUTED_VALUE"""),0.107142857142857)</f>
        <v>0.1071428571</v>
      </c>
      <c r="Q245" s="8">
        <f>IFERROR(__xludf.DUMMYFUNCTION("""COMPUTED_VALUE"""),0.0909090909090909)</f>
        <v>0.09090909091</v>
      </c>
      <c r="R245" s="8">
        <f>IFERROR(__xludf.DUMMYFUNCTION("""COMPUTED_VALUE"""),0.0)</f>
        <v>0</v>
      </c>
      <c r="S245" s="8">
        <f>IFERROR(__xludf.DUMMYFUNCTION("""COMPUTED_VALUE"""),0.0)</f>
        <v>0</v>
      </c>
      <c r="T245" s="8">
        <f>IFERROR(__xludf.DUMMYFUNCTION("""COMPUTED_VALUE"""),0.0)</f>
        <v>0</v>
      </c>
      <c r="U245" s="8">
        <f>IFERROR(__xludf.DUMMYFUNCTION("""COMPUTED_VALUE"""),0.0)</f>
        <v>0</v>
      </c>
      <c r="V245" s="8">
        <f>IFERROR(__xludf.DUMMYFUNCTION("""COMPUTED_VALUE"""),0.0)</f>
        <v>0</v>
      </c>
      <c r="W245" s="8">
        <f>IFERROR(__xludf.DUMMYFUNCTION("""COMPUTED_VALUE"""),0.0)</f>
        <v>0</v>
      </c>
      <c r="X245" s="8">
        <f>IFERROR(__xludf.DUMMYFUNCTION("""COMPUTED_VALUE"""),0.0)</f>
        <v>0</v>
      </c>
      <c r="Y245" s="8">
        <f>IFERROR(__xludf.DUMMYFUNCTION("""COMPUTED_VALUE"""),0.0)</f>
        <v>0</v>
      </c>
      <c r="Z245" s="8">
        <f>IFERROR(__xludf.DUMMYFUNCTION("""COMPUTED_VALUE"""),0.0)</f>
        <v>0</v>
      </c>
      <c r="AA245" s="8">
        <f>IFERROR(__xludf.DUMMYFUNCTION("""COMPUTED_VALUE"""),0.0)</f>
        <v>0</v>
      </c>
      <c r="AB245" s="8">
        <f>IFERROR(__xludf.DUMMYFUNCTION("""COMPUTED_VALUE"""),0.0)</f>
        <v>0</v>
      </c>
      <c r="AC245" s="8">
        <f>IFERROR(__xludf.DUMMYFUNCTION("""COMPUTED_VALUE"""),0.0)</f>
        <v>0</v>
      </c>
    </row>
    <row r="246" ht="15.75" customHeight="1">
      <c r="A246" s="6" t="str">
        <f>IFERROR(__xludf.DUMMYFUNCTION("""COMPUTED_VALUE"""),"e0cc4d535444616635b899b0d8d7d34e8dde5fa7")</f>
        <v>e0cc4d535444616635b899b0d8d7d34e8dde5fa7</v>
      </c>
      <c r="B246" s="6" t="str">
        <f>IFERROR(__xludf.DUMMYFUNCTION("""COMPUTED_VALUE"""),"Fated Bond")</f>
        <v>Fated Bond</v>
      </c>
      <c r="C246" s="6" t="str">
        <f>IFERROR(__xludf.DUMMYFUNCTION("""COMPUTED_VALUE"""),"Romantasy")</f>
        <v>Romantasy</v>
      </c>
      <c r="D246" s="11">
        <f>IFERROR(__xludf.DUMMYFUNCTION("""COMPUTED_VALUE"""),7936.0)</f>
        <v>7936</v>
      </c>
      <c r="E246" s="8">
        <f>IFERROR(__xludf.DUMMYFUNCTION("""COMPUTED_VALUE"""),0.947355131927786)</f>
        <v>0.9473551319</v>
      </c>
      <c r="F246" s="8">
        <f>IFERROR(__xludf.DUMMYFUNCTION("""COMPUTED_VALUE"""),0.401137800252844)</f>
        <v>0.4011378003</v>
      </c>
      <c r="G246" s="8">
        <f>IFERROR(__xludf.DUMMYFUNCTION("""COMPUTED_VALUE"""),0.343077701847633)</f>
        <v>0.3430777018</v>
      </c>
      <c r="H246" s="8">
        <f>IFERROR(__xludf.DUMMYFUNCTION("""COMPUTED_VALUE"""),0.309855586521408)</f>
        <v>0.3098555865</v>
      </c>
      <c r="I246" s="8">
        <f>IFERROR(__xludf.DUMMYFUNCTION("""COMPUTED_VALUE"""),0.294313524590163)</f>
        <v>0.2943135246</v>
      </c>
      <c r="J246" s="8">
        <f>IFERROR(__xludf.DUMMYFUNCTION("""COMPUTED_VALUE"""),0.280833441180277)</f>
        <v>0.2808334412</v>
      </c>
      <c r="K246" s="8">
        <f>IFERROR(__xludf.DUMMYFUNCTION("""COMPUTED_VALUE"""),0.267466110531803)</f>
        <v>0.2674661105</v>
      </c>
      <c r="L246" s="8">
        <f>IFERROR(__xludf.DUMMYFUNCTION("""COMPUTED_VALUE"""),0.260611653045083)</f>
        <v>0.260611653</v>
      </c>
      <c r="M246" s="8">
        <f>IFERROR(__xludf.DUMMYFUNCTION("""COMPUTED_VALUE"""),0.256417076738928)</f>
        <v>0.2564170767</v>
      </c>
      <c r="N246" s="8">
        <f>IFERROR(__xludf.DUMMYFUNCTION("""COMPUTED_VALUE"""),0.251583344562727)</f>
        <v>0.2515833446</v>
      </c>
      <c r="O246" s="8">
        <f>IFERROR(__xludf.DUMMYFUNCTION("""COMPUTED_VALUE"""),0.242840778923253)</f>
        <v>0.2428407789</v>
      </c>
      <c r="P246" s="8">
        <f>IFERROR(__xludf.DUMMYFUNCTION("""COMPUTED_VALUE"""),0.208499760345103)</f>
        <v>0.2084997603</v>
      </c>
      <c r="Q246" s="8">
        <f>IFERROR(__xludf.DUMMYFUNCTION("""COMPUTED_VALUE"""),0.192543021032504)</f>
        <v>0.192543021</v>
      </c>
      <c r="R246" s="8">
        <f>IFERROR(__xludf.DUMMYFUNCTION("""COMPUTED_VALUE"""),0.150175791059768)</f>
        <v>0.1501757911</v>
      </c>
      <c r="S246" s="8">
        <f>IFERROR(__xludf.DUMMYFUNCTION("""COMPUTED_VALUE"""),0.113069647463456)</f>
        <v>0.1130696475</v>
      </c>
      <c r="T246" s="8">
        <f>IFERROR(__xludf.DUMMYFUNCTION("""COMPUTED_VALUE"""),0.0843575418994413)</f>
        <v>0.0843575419</v>
      </c>
      <c r="U246" s="8">
        <f>IFERROR(__xludf.DUMMYFUNCTION("""COMPUTED_VALUE"""),0.0636678200692041)</f>
        <v>0.06366782007</v>
      </c>
      <c r="V246" s="8">
        <f>IFERROR(__xludf.DUMMYFUNCTION("""COMPUTED_VALUE"""),0.0496794871794871)</f>
        <v>0.04967948718</v>
      </c>
      <c r="W246" s="8">
        <f>IFERROR(__xludf.DUMMYFUNCTION("""COMPUTED_VALUE"""),0.0356111645813282)</f>
        <v>0.03561116458</v>
      </c>
      <c r="X246" s="8">
        <f>IFERROR(__xludf.DUMMYFUNCTION("""COMPUTED_VALUE"""),0.00739827373612823)</f>
        <v>0.007398273736</v>
      </c>
      <c r="Y246" s="8">
        <f>IFERROR(__xludf.DUMMYFUNCTION("""COMPUTED_VALUE"""),0.037037037037037)</f>
        <v>0.03703703704</v>
      </c>
      <c r="Z246" s="8">
        <f>IFERROR(__xludf.DUMMYFUNCTION("""COMPUTED_VALUE"""),0.0)</f>
        <v>0</v>
      </c>
      <c r="AA246" s="8">
        <f>IFERROR(__xludf.DUMMYFUNCTION("""COMPUTED_VALUE"""),0.0)</f>
        <v>0</v>
      </c>
      <c r="AB246" s="8">
        <f>IFERROR(__xludf.DUMMYFUNCTION("""COMPUTED_VALUE"""),0.0)</f>
        <v>0</v>
      </c>
      <c r="AC246" s="8">
        <f>IFERROR(__xludf.DUMMYFUNCTION("""COMPUTED_VALUE"""),0.0)</f>
        <v>0</v>
      </c>
    </row>
    <row r="247" ht="15.75" customHeight="1">
      <c r="A247" s="6" t="str">
        <f>IFERROR(__xludf.DUMMYFUNCTION("""COMPUTED_VALUE"""),"e0df7c51c42acc2ebb07fef0853244b617b34a0a")</f>
        <v>e0df7c51c42acc2ebb07fef0853244b617b34a0a</v>
      </c>
      <c r="B247" s="6" t="str">
        <f>IFERROR(__xludf.DUMMYFUNCTION("""COMPUTED_VALUE"""),"Hunted by the Alpha")</f>
        <v>Hunted by the Alpha</v>
      </c>
      <c r="C247" s="6" t="str">
        <f>IFERROR(__xludf.DUMMYFUNCTION("""COMPUTED_VALUE"""),"Romantasy")</f>
        <v>Romantasy</v>
      </c>
      <c r="D247" s="11">
        <f>IFERROR(__xludf.DUMMYFUNCTION("""COMPUTED_VALUE"""),6280.0)</f>
        <v>6280</v>
      </c>
      <c r="E247" s="8">
        <f>IFERROR(__xludf.DUMMYFUNCTION("""COMPUTED_VALUE"""),0.973373724489795)</f>
        <v>0.9733737245</v>
      </c>
      <c r="F247" s="8">
        <f>IFERROR(__xludf.DUMMYFUNCTION("""COMPUTED_VALUE"""),0.423888711224816)</f>
        <v>0.4238887112</v>
      </c>
      <c r="G247" s="8">
        <f>IFERROR(__xludf.DUMMYFUNCTION("""COMPUTED_VALUE"""),0.360647851186658)</f>
        <v>0.3606478512</v>
      </c>
      <c r="H247" s="8">
        <f>IFERROR(__xludf.DUMMYFUNCTION("""COMPUTED_VALUE"""),0.337080456078368)</f>
        <v>0.3370804561</v>
      </c>
      <c r="I247" s="8">
        <f>IFERROR(__xludf.DUMMYFUNCTION("""COMPUTED_VALUE"""),0.316492357200321)</f>
        <v>0.3164923572</v>
      </c>
      <c r="J247" s="8">
        <f>IFERROR(__xludf.DUMMYFUNCTION("""COMPUTED_VALUE"""),0.298722303089115)</f>
        <v>0.2987223031</v>
      </c>
      <c r="K247" s="8">
        <f>IFERROR(__xludf.DUMMYFUNCTION("""COMPUTED_VALUE"""),0.27493481095176)</f>
        <v>0.274934811</v>
      </c>
      <c r="L247" s="8">
        <f>IFERROR(__xludf.DUMMYFUNCTION("""COMPUTED_VALUE"""),0.254572417202175)</f>
        <v>0.2545724172</v>
      </c>
      <c r="M247" s="8">
        <f>IFERROR(__xludf.DUMMYFUNCTION("""COMPUTED_VALUE"""),0.252697235333782)</f>
        <v>0.2526972353</v>
      </c>
      <c r="N247" s="8">
        <f>IFERROR(__xludf.DUMMYFUNCTION("""COMPUTED_VALUE"""),0.240987391227135)</f>
        <v>0.2409873912</v>
      </c>
      <c r="O247" s="8">
        <f>IFERROR(__xludf.DUMMYFUNCTION("""COMPUTED_VALUE"""),0.208439013142725)</f>
        <v>0.2084390131</v>
      </c>
      <c r="P247" s="8">
        <f>IFERROR(__xludf.DUMMYFUNCTION("""COMPUTED_VALUE"""),0.172225259704756)</f>
        <v>0.1722252597</v>
      </c>
      <c r="Q247" s="8">
        <f>IFERROR(__xludf.DUMMYFUNCTION("""COMPUTED_VALUE"""),0.141623488773747)</f>
        <v>0.1416234888</v>
      </c>
      <c r="R247" s="8">
        <f>IFERROR(__xludf.DUMMYFUNCTION("""COMPUTED_VALUE"""),0.0)</f>
        <v>0</v>
      </c>
      <c r="S247" s="8">
        <f>IFERROR(__xludf.DUMMYFUNCTION("""COMPUTED_VALUE"""),0.0)</f>
        <v>0</v>
      </c>
      <c r="T247" s="8">
        <f>IFERROR(__xludf.DUMMYFUNCTION("""COMPUTED_VALUE"""),0.0)</f>
        <v>0</v>
      </c>
      <c r="U247" s="8">
        <f>IFERROR(__xludf.DUMMYFUNCTION("""COMPUTED_VALUE"""),0.0)</f>
        <v>0</v>
      </c>
      <c r="V247" s="8">
        <f>IFERROR(__xludf.DUMMYFUNCTION("""COMPUTED_VALUE"""),0.0)</f>
        <v>0</v>
      </c>
      <c r="W247" s="8">
        <f>IFERROR(__xludf.DUMMYFUNCTION("""COMPUTED_VALUE"""),0.0)</f>
        <v>0</v>
      </c>
      <c r="X247" s="8">
        <f>IFERROR(__xludf.DUMMYFUNCTION("""COMPUTED_VALUE"""),0.0)</f>
        <v>0</v>
      </c>
      <c r="Y247" s="8">
        <f>IFERROR(__xludf.DUMMYFUNCTION("""COMPUTED_VALUE"""),0.0)</f>
        <v>0</v>
      </c>
      <c r="Z247" s="8">
        <f>IFERROR(__xludf.DUMMYFUNCTION("""COMPUTED_VALUE"""),0.0)</f>
        <v>0</v>
      </c>
      <c r="AA247" s="8">
        <f>IFERROR(__xludf.DUMMYFUNCTION("""COMPUTED_VALUE"""),0.0)</f>
        <v>0</v>
      </c>
      <c r="AB247" s="8">
        <f>IFERROR(__xludf.DUMMYFUNCTION("""COMPUTED_VALUE"""),0.0)</f>
        <v>0</v>
      </c>
      <c r="AC247" s="8">
        <f>IFERROR(__xludf.DUMMYFUNCTION("""COMPUTED_VALUE"""),0.0)</f>
        <v>0</v>
      </c>
    </row>
    <row r="248" ht="15.75" customHeight="1">
      <c r="A248" s="6" t="str">
        <f>IFERROR(__xludf.DUMMYFUNCTION("""COMPUTED_VALUE"""),"e168f716089521f9d1fe95769f273458c64e2ba9")</f>
        <v>e168f716089521f9d1fe95769f273458c64e2ba9</v>
      </c>
      <c r="B248" s="6" t="str">
        <f>IFERROR(__xludf.DUMMYFUNCTION("""COMPUTED_VALUE"""),"My Young Bodyguard")</f>
        <v>My Young Bodyguard</v>
      </c>
      <c r="C248" s="6" t="str">
        <f>IFERROR(__xludf.DUMMYFUNCTION("""COMPUTED_VALUE"""),"Drama")</f>
        <v>Drama</v>
      </c>
      <c r="D248" s="11">
        <f>IFERROR(__xludf.DUMMYFUNCTION("""COMPUTED_VALUE"""),1844.0)</f>
        <v>1844</v>
      </c>
      <c r="E248" s="8">
        <f>IFERROR(__xludf.DUMMYFUNCTION("""COMPUTED_VALUE"""),0.970027247956403)</f>
        <v>0.970027248</v>
      </c>
      <c r="F248" s="8">
        <f>IFERROR(__xludf.DUMMYFUNCTION("""COMPUTED_VALUE"""),0.473772321428571)</f>
        <v>0.4737723214</v>
      </c>
      <c r="G248" s="8">
        <f>IFERROR(__xludf.DUMMYFUNCTION("""COMPUTED_VALUE"""),0.421230942970073)</f>
        <v>0.421230943</v>
      </c>
      <c r="H248" s="8">
        <f>IFERROR(__xludf.DUMMYFUNCTION("""COMPUTED_VALUE"""),0.387022016222479)</f>
        <v>0.3870220162</v>
      </c>
      <c r="I248" s="8">
        <f>IFERROR(__xludf.DUMMYFUNCTION("""COMPUTED_VALUE"""),0.347337278106508)</f>
        <v>0.3473372781</v>
      </c>
      <c r="J248" s="8">
        <f>IFERROR(__xludf.DUMMYFUNCTION("""COMPUTED_VALUE"""),0.337174044875682)</f>
        <v>0.3371740449</v>
      </c>
      <c r="K248" s="8">
        <f>IFERROR(__xludf.DUMMYFUNCTION("""COMPUTED_VALUE"""),0.314745972738537)</f>
        <v>0.3147459727</v>
      </c>
      <c r="L248" s="8">
        <f>IFERROR(__xludf.DUMMYFUNCTION("""COMPUTED_VALUE"""),0.296488946684005)</f>
        <v>0.2964889467</v>
      </c>
      <c r="M248" s="8">
        <f>IFERROR(__xludf.DUMMYFUNCTION("""COMPUTED_VALUE"""),0.277036048064085)</f>
        <v>0.2770360481</v>
      </c>
      <c r="N248" s="8">
        <f>IFERROR(__xludf.DUMMYFUNCTION("""COMPUTED_VALUE"""),0.253772290809327)</f>
        <v>0.2537722908</v>
      </c>
      <c r="O248" s="8">
        <f>IFERROR(__xludf.DUMMYFUNCTION("""COMPUTED_VALUE"""),0.185929648241206)</f>
        <v>0.1859296482</v>
      </c>
      <c r="P248" s="8">
        <f>IFERROR(__xludf.DUMMYFUNCTION("""COMPUTED_VALUE"""),0.157894736842105)</f>
        <v>0.1578947368</v>
      </c>
      <c r="Q248" s="8">
        <f>IFERROR(__xludf.DUMMYFUNCTION("""COMPUTED_VALUE"""),0.104494382022471)</f>
        <v>0.104494382</v>
      </c>
      <c r="R248" s="8">
        <f>IFERROR(__xludf.DUMMYFUNCTION("""COMPUTED_VALUE"""),0.0613496932515337)</f>
        <v>0.06134969325</v>
      </c>
      <c r="S248" s="8">
        <f>IFERROR(__xludf.DUMMYFUNCTION("""COMPUTED_VALUE"""),0.0)</f>
        <v>0</v>
      </c>
      <c r="T248" s="8">
        <f>IFERROR(__xludf.DUMMYFUNCTION("""COMPUTED_VALUE"""),0.0)</f>
        <v>0</v>
      </c>
      <c r="U248" s="8">
        <f>IFERROR(__xludf.DUMMYFUNCTION("""COMPUTED_VALUE"""),0.0)</f>
        <v>0</v>
      </c>
      <c r="V248" s="8">
        <f>IFERROR(__xludf.DUMMYFUNCTION("""COMPUTED_VALUE"""),0.0)</f>
        <v>0</v>
      </c>
      <c r="W248" s="8">
        <f>IFERROR(__xludf.DUMMYFUNCTION("""COMPUTED_VALUE"""),0.0)</f>
        <v>0</v>
      </c>
      <c r="X248" s="8">
        <f>IFERROR(__xludf.DUMMYFUNCTION("""COMPUTED_VALUE"""),0.0)</f>
        <v>0</v>
      </c>
      <c r="Y248" s="8">
        <f>IFERROR(__xludf.DUMMYFUNCTION("""COMPUTED_VALUE"""),0.0)</f>
        <v>0</v>
      </c>
      <c r="Z248" s="8">
        <f>IFERROR(__xludf.DUMMYFUNCTION("""COMPUTED_VALUE"""),0.0)</f>
        <v>0</v>
      </c>
      <c r="AA248" s="8">
        <f>IFERROR(__xludf.DUMMYFUNCTION("""COMPUTED_VALUE"""),0.0)</f>
        <v>0</v>
      </c>
      <c r="AB248" s="8">
        <f>IFERROR(__xludf.DUMMYFUNCTION("""COMPUTED_VALUE"""),0.0)</f>
        <v>0</v>
      </c>
      <c r="AC248" s="8">
        <f>IFERROR(__xludf.DUMMYFUNCTION("""COMPUTED_VALUE"""),0.0)</f>
        <v>0</v>
      </c>
    </row>
    <row r="249" ht="15.75" customHeight="1">
      <c r="A249" s="6" t="str">
        <f>IFERROR(__xludf.DUMMYFUNCTION("""COMPUTED_VALUE"""),"e1e025613df0bb24a28711b19cbefdbc254e0c21")</f>
        <v>e1e025613df0bb24a28711b19cbefdbc254e0c21</v>
      </c>
      <c r="B249" s="6" t="str">
        <f>IFERROR(__xludf.DUMMYFUNCTION("""COMPUTED_VALUE"""),"The Ceo Hidden Bride")</f>
        <v>The Ceo Hidden Bride</v>
      </c>
      <c r="C249" s="6" t="str">
        <f>IFERROR(__xludf.DUMMYFUNCTION("""COMPUTED_VALUE"""),"Romance")</f>
        <v>Romance</v>
      </c>
      <c r="D249" s="11">
        <f>IFERROR(__xludf.DUMMYFUNCTION("""COMPUTED_VALUE"""),1402.0)</f>
        <v>1402</v>
      </c>
      <c r="E249" s="8">
        <f>IFERROR(__xludf.DUMMYFUNCTION("""COMPUTED_VALUE"""),0.967075038284839)</f>
        <v>0.9670750383</v>
      </c>
      <c r="F249" s="8">
        <f>IFERROR(__xludf.DUMMYFUNCTION("""COMPUTED_VALUE"""),0.545166402535657)</f>
        <v>0.5451664025</v>
      </c>
      <c r="G249" s="8">
        <f>IFERROR(__xludf.DUMMYFUNCTION("""COMPUTED_VALUE"""),0.454618473895582)</f>
        <v>0.4546184739</v>
      </c>
      <c r="H249" s="8">
        <f>IFERROR(__xludf.DUMMYFUNCTION("""COMPUTED_VALUE"""),0.405186385737439)</f>
        <v>0.4051863857</v>
      </c>
      <c r="I249" s="8">
        <f>IFERROR(__xludf.DUMMYFUNCTION("""COMPUTED_VALUE"""),0.361544782251437)</f>
        <v>0.3615447823</v>
      </c>
      <c r="J249" s="8">
        <f>IFERROR(__xludf.DUMMYFUNCTION("""COMPUTED_VALUE"""),0.334735071488645)</f>
        <v>0.3347350715</v>
      </c>
      <c r="K249" s="8">
        <f>IFERROR(__xludf.DUMMYFUNCTION("""COMPUTED_VALUE"""),0.322328410078192)</f>
        <v>0.3223284101</v>
      </c>
      <c r="L249" s="8">
        <f>IFERROR(__xludf.DUMMYFUNCTION("""COMPUTED_VALUE"""),0.300561797752809)</f>
        <v>0.3005617978</v>
      </c>
      <c r="M249" s="8">
        <f>IFERROR(__xludf.DUMMYFUNCTION("""COMPUTED_VALUE"""),0.286829268292682)</f>
        <v>0.2868292683</v>
      </c>
      <c r="N249" s="8">
        <f>IFERROR(__xludf.DUMMYFUNCTION("""COMPUTED_VALUE"""),0.276748971193415)</f>
        <v>0.2767489712</v>
      </c>
      <c r="O249" s="8">
        <f>IFERROR(__xludf.DUMMYFUNCTION("""COMPUTED_VALUE"""),0.214285714285714)</f>
        <v>0.2142857143</v>
      </c>
      <c r="P249" s="8">
        <f>IFERROR(__xludf.DUMMYFUNCTION("""COMPUTED_VALUE"""),0.179276315789473)</f>
        <v>0.1792763158</v>
      </c>
      <c r="Q249" s="8">
        <f>IFERROR(__xludf.DUMMYFUNCTION("""COMPUTED_VALUE"""),0.0)</f>
        <v>0</v>
      </c>
      <c r="R249" s="8">
        <f>IFERROR(__xludf.DUMMYFUNCTION("""COMPUTED_VALUE"""),0.0)</f>
        <v>0</v>
      </c>
      <c r="S249" s="8">
        <f>IFERROR(__xludf.DUMMYFUNCTION("""COMPUTED_VALUE"""),0.0)</f>
        <v>0</v>
      </c>
      <c r="T249" s="8">
        <f>IFERROR(__xludf.DUMMYFUNCTION("""COMPUTED_VALUE"""),0.0)</f>
        <v>0</v>
      </c>
      <c r="U249" s="8">
        <f>IFERROR(__xludf.DUMMYFUNCTION("""COMPUTED_VALUE"""),0.0)</f>
        <v>0</v>
      </c>
      <c r="V249" s="8">
        <f>IFERROR(__xludf.DUMMYFUNCTION("""COMPUTED_VALUE"""),0.0)</f>
        <v>0</v>
      </c>
      <c r="W249" s="8">
        <f>IFERROR(__xludf.DUMMYFUNCTION("""COMPUTED_VALUE"""),0.0)</f>
        <v>0</v>
      </c>
      <c r="X249" s="8">
        <f>IFERROR(__xludf.DUMMYFUNCTION("""COMPUTED_VALUE"""),0.0)</f>
        <v>0</v>
      </c>
      <c r="Y249" s="8">
        <f>IFERROR(__xludf.DUMMYFUNCTION("""COMPUTED_VALUE"""),0.0)</f>
        <v>0</v>
      </c>
      <c r="Z249" s="8">
        <f>IFERROR(__xludf.DUMMYFUNCTION("""COMPUTED_VALUE"""),0.0)</f>
        <v>0</v>
      </c>
      <c r="AA249" s="8">
        <f>IFERROR(__xludf.DUMMYFUNCTION("""COMPUTED_VALUE"""),0.0)</f>
        <v>0</v>
      </c>
      <c r="AB249" s="8">
        <f>IFERROR(__xludf.DUMMYFUNCTION("""COMPUTED_VALUE"""),0.0)</f>
        <v>0</v>
      </c>
      <c r="AC249" s="8">
        <f>IFERROR(__xludf.DUMMYFUNCTION("""COMPUTED_VALUE"""),0.0)</f>
        <v>0</v>
      </c>
    </row>
    <row r="250" ht="15.75" customHeight="1">
      <c r="A250" s="6" t="str">
        <f>IFERROR(__xludf.DUMMYFUNCTION("""COMPUTED_VALUE"""),"e2f077e58449b7e3e415bd16eb5bb755606936b6")</f>
        <v>e2f077e58449b7e3e415bd16eb5bb755606936b6</v>
      </c>
      <c r="B250" s="6" t="str">
        <f>IFERROR(__xludf.DUMMYFUNCTION("""COMPUTED_VALUE"""),"Powerless Heir to Throne")</f>
        <v>Powerless Heir to Throne</v>
      </c>
      <c r="C250" s="6" t="str">
        <f>IFERROR(__xludf.DUMMYFUNCTION("""COMPUTED_VALUE"""),"System and Superpower")</f>
        <v>System and Superpower</v>
      </c>
      <c r="D250" s="11">
        <f>IFERROR(__xludf.DUMMYFUNCTION("""COMPUTED_VALUE"""),1953.0)</f>
        <v>1953</v>
      </c>
      <c r="E250" s="8">
        <f>IFERROR(__xludf.DUMMYFUNCTION("""COMPUTED_VALUE"""),0.954358974358974)</f>
        <v>0.9543589744</v>
      </c>
      <c r="F250" s="8">
        <f>IFERROR(__xludf.DUMMYFUNCTION("""COMPUTED_VALUE"""),0.574150360453141)</f>
        <v>0.5741503605</v>
      </c>
      <c r="G250" s="8">
        <f>IFERROR(__xludf.DUMMYFUNCTION("""COMPUTED_VALUE"""),0.515995872033023)</f>
        <v>0.515995872</v>
      </c>
      <c r="H250" s="8">
        <f>IFERROR(__xludf.DUMMYFUNCTION("""COMPUTED_VALUE"""),0.477249224405377)</f>
        <v>0.4772492244</v>
      </c>
      <c r="I250" s="8">
        <f>IFERROR(__xludf.DUMMYFUNCTION("""COMPUTED_VALUE"""),0.422061108234075)</f>
        <v>0.4220611082</v>
      </c>
      <c r="J250" s="8">
        <f>IFERROR(__xludf.DUMMYFUNCTION("""COMPUTED_VALUE"""),0.386138613861386)</f>
        <v>0.3861386139</v>
      </c>
      <c r="K250" s="8">
        <f>IFERROR(__xludf.DUMMYFUNCTION("""COMPUTED_VALUE"""),0.358746736292428)</f>
        <v>0.3587467363</v>
      </c>
      <c r="L250" s="8">
        <f>IFERROR(__xludf.DUMMYFUNCTION("""COMPUTED_VALUE"""),0.330015715034049)</f>
        <v>0.330015715</v>
      </c>
      <c r="M250" s="8">
        <f>IFERROR(__xludf.DUMMYFUNCTION("""COMPUTED_VALUE"""),0.309386470896696)</f>
        <v>0.3093864709</v>
      </c>
      <c r="N250" s="8">
        <f>IFERROR(__xludf.DUMMYFUNCTION("""COMPUTED_VALUE"""),0.29501312335958)</f>
        <v>0.2950131234</v>
      </c>
      <c r="O250" s="8">
        <f>IFERROR(__xludf.DUMMYFUNCTION("""COMPUTED_VALUE"""),0.248246087425796)</f>
        <v>0.2482460874</v>
      </c>
      <c r="P250" s="8">
        <f>IFERROR(__xludf.DUMMYFUNCTION("""COMPUTED_VALUE"""),0.178485576923076)</f>
        <v>0.1784855769</v>
      </c>
      <c r="Q250" s="8">
        <f>IFERROR(__xludf.DUMMYFUNCTION("""COMPUTED_VALUE"""),0.11120615911035)</f>
        <v>0.1112061591</v>
      </c>
      <c r="R250" s="8">
        <f>IFERROR(__xludf.DUMMYFUNCTION("""COMPUTED_VALUE"""),0.0835214446952596)</f>
        <v>0.0835214447</v>
      </c>
      <c r="S250" s="8">
        <f>IFERROR(__xludf.DUMMYFUNCTION("""COMPUTED_VALUE"""),0.1)</f>
        <v>0.1</v>
      </c>
      <c r="T250" s="8">
        <f>IFERROR(__xludf.DUMMYFUNCTION("""COMPUTED_VALUE"""),0.0)</f>
        <v>0</v>
      </c>
      <c r="U250" s="8">
        <f>IFERROR(__xludf.DUMMYFUNCTION("""COMPUTED_VALUE"""),0.0)</f>
        <v>0</v>
      </c>
      <c r="V250" s="8">
        <f>IFERROR(__xludf.DUMMYFUNCTION("""COMPUTED_VALUE"""),0.0)</f>
        <v>0</v>
      </c>
      <c r="W250" s="8">
        <f>IFERROR(__xludf.DUMMYFUNCTION("""COMPUTED_VALUE"""),0.0)</f>
        <v>0</v>
      </c>
      <c r="X250" s="8">
        <f>IFERROR(__xludf.DUMMYFUNCTION("""COMPUTED_VALUE"""),0.0)</f>
        <v>0</v>
      </c>
      <c r="Y250" s="8">
        <f>IFERROR(__xludf.DUMMYFUNCTION("""COMPUTED_VALUE"""),0.0)</f>
        <v>0</v>
      </c>
      <c r="Z250" s="8">
        <f>IFERROR(__xludf.DUMMYFUNCTION("""COMPUTED_VALUE"""),0.0)</f>
        <v>0</v>
      </c>
      <c r="AA250" s="8">
        <f>IFERROR(__xludf.DUMMYFUNCTION("""COMPUTED_VALUE"""),0.0)</f>
        <v>0</v>
      </c>
      <c r="AB250" s="8">
        <f>IFERROR(__xludf.DUMMYFUNCTION("""COMPUTED_VALUE"""),0.0)</f>
        <v>0</v>
      </c>
      <c r="AC250" s="8">
        <f>IFERROR(__xludf.DUMMYFUNCTION("""COMPUTED_VALUE"""),0.0)</f>
        <v>0</v>
      </c>
    </row>
    <row r="251" ht="15.75" customHeight="1">
      <c r="A251" s="6" t="str">
        <f>IFERROR(__xludf.DUMMYFUNCTION("""COMPUTED_VALUE"""),"e3ea22ad9a736918a7619bfed3abf1f862c9bdb2")</f>
        <v>e3ea22ad9a736918a7619bfed3abf1f862c9bdb2</v>
      </c>
      <c r="B251" s="6" t="str">
        <f>IFERROR(__xludf.DUMMYFUNCTION("""COMPUTED_VALUE"""),"The Empress's Cold Return")</f>
        <v>The Empress's Cold Return</v>
      </c>
      <c r="C251" s="6" t="str">
        <f>IFERROR(__xludf.DUMMYFUNCTION("""COMPUTED_VALUE"""),"Drama")</f>
        <v>Drama</v>
      </c>
      <c r="D251" s="11">
        <f>IFERROR(__xludf.DUMMYFUNCTION("""COMPUTED_VALUE"""),1678.0)</f>
        <v>1678</v>
      </c>
      <c r="E251" s="8">
        <f>IFERROR(__xludf.DUMMYFUNCTION("""COMPUTED_VALUE"""),0.962455303933253)</f>
        <v>0.9624553039</v>
      </c>
      <c r="F251" s="8">
        <f>IFERROR(__xludf.DUMMYFUNCTION("""COMPUTED_VALUE"""),0.489564698867024)</f>
        <v>0.4895646989</v>
      </c>
      <c r="G251" s="8">
        <f>IFERROR(__xludf.DUMMYFUNCTION("""COMPUTED_VALUE"""),0.404776119402985)</f>
        <v>0.4047761194</v>
      </c>
      <c r="H251" s="8">
        <f>IFERROR(__xludf.DUMMYFUNCTION("""COMPUTED_VALUE"""),0.364396654719235)</f>
        <v>0.3643966547</v>
      </c>
      <c r="I251" s="8">
        <f>IFERROR(__xludf.DUMMYFUNCTION("""COMPUTED_VALUE"""),0.337118947997609)</f>
        <v>0.337118948</v>
      </c>
      <c r="J251" s="8">
        <f>IFERROR(__xludf.DUMMYFUNCTION("""COMPUTED_VALUE"""),0.321578003586371)</f>
        <v>0.3215780036</v>
      </c>
      <c r="K251" s="8">
        <f>IFERROR(__xludf.DUMMYFUNCTION("""COMPUTED_VALUE"""),0.294856459330143)</f>
        <v>0.2948564593</v>
      </c>
      <c r="L251" s="8">
        <f>IFERROR(__xludf.DUMMYFUNCTION("""COMPUTED_VALUE"""),0.290167865707434)</f>
        <v>0.2901678657</v>
      </c>
      <c r="M251" s="8">
        <f>IFERROR(__xludf.DUMMYFUNCTION("""COMPUTED_VALUE"""),0.258258258258258)</f>
        <v>0.2582582583</v>
      </c>
      <c r="N251" s="8">
        <f>IFERROR(__xludf.DUMMYFUNCTION("""COMPUTED_VALUE"""),0.252252252252252)</f>
        <v>0.2522522523</v>
      </c>
      <c r="O251" s="8">
        <f>IFERROR(__xludf.DUMMYFUNCTION("""COMPUTED_VALUE"""),0.211456429006703)</f>
        <v>0.211456429</v>
      </c>
      <c r="P251" s="8">
        <f>IFERROR(__xludf.DUMMYFUNCTION("""COMPUTED_VALUE"""),0.156848306332842)</f>
        <v>0.1568483063</v>
      </c>
      <c r="Q251" s="8">
        <f>IFERROR(__xludf.DUMMYFUNCTION("""COMPUTED_VALUE"""),0.0763807285546415)</f>
        <v>0.07638072855</v>
      </c>
      <c r="R251" s="8">
        <f>IFERROR(__xludf.DUMMYFUNCTION("""COMPUTED_VALUE"""),0.0412621359223301)</f>
        <v>0.04126213592</v>
      </c>
      <c r="S251" s="8">
        <f>IFERROR(__xludf.DUMMYFUNCTION("""COMPUTED_VALUE"""),0.0)</f>
        <v>0</v>
      </c>
      <c r="T251" s="8">
        <f>IFERROR(__xludf.DUMMYFUNCTION("""COMPUTED_VALUE"""),0.0)</f>
        <v>0</v>
      </c>
      <c r="U251" s="8">
        <f>IFERROR(__xludf.DUMMYFUNCTION("""COMPUTED_VALUE"""),0.0)</f>
        <v>0</v>
      </c>
      <c r="V251" s="8">
        <f>IFERROR(__xludf.DUMMYFUNCTION("""COMPUTED_VALUE"""),0.0)</f>
        <v>0</v>
      </c>
      <c r="W251" s="8">
        <f>IFERROR(__xludf.DUMMYFUNCTION("""COMPUTED_VALUE"""),0.0)</f>
        <v>0</v>
      </c>
      <c r="X251" s="8">
        <f>IFERROR(__xludf.DUMMYFUNCTION("""COMPUTED_VALUE"""),0.0)</f>
        <v>0</v>
      </c>
      <c r="Y251" s="8">
        <f>IFERROR(__xludf.DUMMYFUNCTION("""COMPUTED_VALUE"""),0.0)</f>
        <v>0</v>
      </c>
      <c r="Z251" s="8">
        <f>IFERROR(__xludf.DUMMYFUNCTION("""COMPUTED_VALUE"""),0.0)</f>
        <v>0</v>
      </c>
      <c r="AA251" s="8">
        <f>IFERROR(__xludf.DUMMYFUNCTION("""COMPUTED_VALUE"""),0.0)</f>
        <v>0</v>
      </c>
      <c r="AB251" s="8">
        <f>IFERROR(__xludf.DUMMYFUNCTION("""COMPUTED_VALUE"""),0.0)</f>
        <v>0</v>
      </c>
      <c r="AC251" s="8">
        <f>IFERROR(__xludf.DUMMYFUNCTION("""COMPUTED_VALUE"""),0.0)</f>
        <v>0</v>
      </c>
    </row>
    <row r="252" ht="15.75" customHeight="1">
      <c r="A252" s="6" t="str">
        <f>IFERROR(__xludf.DUMMYFUNCTION("""COMPUTED_VALUE"""),"e40505b31ca87f2f6b736e3f18b3e9f46e21cd04")</f>
        <v>e40505b31ca87f2f6b736e3f18b3e9f46e21cd04</v>
      </c>
      <c r="B252" s="6" t="str">
        <f>IFERROR(__xludf.DUMMYFUNCTION("""COMPUTED_VALUE"""),"My Dragonic System")</f>
        <v>My Dragonic System</v>
      </c>
      <c r="C252" s="6" t="str">
        <f>IFERROR(__xludf.DUMMYFUNCTION("""COMPUTED_VALUE"""),"System and Superpower")</f>
        <v>System and Superpower</v>
      </c>
      <c r="D252" s="11">
        <f>IFERROR(__xludf.DUMMYFUNCTION("""COMPUTED_VALUE"""),79063.0)</f>
        <v>79063</v>
      </c>
      <c r="E252" s="8">
        <f>IFERROR(__xludf.DUMMYFUNCTION("""COMPUTED_VALUE"""),0.923077897884959)</f>
        <v>0.9230778979</v>
      </c>
      <c r="F252" s="8">
        <f>IFERROR(__xludf.DUMMYFUNCTION("""COMPUTED_VALUE"""),0.53133185829455)</f>
        <v>0.5313318583</v>
      </c>
      <c r="G252" s="8">
        <f>IFERROR(__xludf.DUMMYFUNCTION("""COMPUTED_VALUE"""),0.47746771541119)</f>
        <v>0.4774677154</v>
      </c>
      <c r="H252" s="8">
        <f>IFERROR(__xludf.DUMMYFUNCTION("""COMPUTED_VALUE"""),0.444069486520688)</f>
        <v>0.4440694865</v>
      </c>
      <c r="I252" s="8">
        <f>IFERROR(__xludf.DUMMYFUNCTION("""COMPUTED_VALUE"""),0.425110612375761)</f>
        <v>0.4251106124</v>
      </c>
      <c r="J252" s="8">
        <f>IFERROR(__xludf.DUMMYFUNCTION("""COMPUTED_VALUE"""),0.409807603271773)</f>
        <v>0.4098076033</v>
      </c>
      <c r="K252" s="8">
        <f>IFERROR(__xludf.DUMMYFUNCTION("""COMPUTED_VALUE"""),0.394899117601527)</f>
        <v>0.3948991176</v>
      </c>
      <c r="L252" s="8">
        <f>IFERROR(__xludf.DUMMYFUNCTION("""COMPUTED_VALUE"""),0.383324484959923)</f>
        <v>0.383324485</v>
      </c>
      <c r="M252" s="8">
        <f>IFERROR(__xludf.DUMMYFUNCTION("""COMPUTED_VALUE"""),0.370817348332141)</f>
        <v>0.3708173483</v>
      </c>
      <c r="N252" s="8">
        <f>IFERROR(__xludf.DUMMYFUNCTION("""COMPUTED_VALUE"""),0.36104587443244)</f>
        <v>0.3610458744</v>
      </c>
      <c r="O252" s="8">
        <f>IFERROR(__xludf.DUMMYFUNCTION("""COMPUTED_VALUE"""),0.339219046859845)</f>
        <v>0.3392190469</v>
      </c>
      <c r="P252" s="8">
        <f>IFERROR(__xludf.DUMMYFUNCTION("""COMPUTED_VALUE"""),0.285654356550557)</f>
        <v>0.2856543566</v>
      </c>
      <c r="Q252" s="8">
        <f>IFERROR(__xludf.DUMMYFUNCTION("""COMPUTED_VALUE"""),0.223495658739146)</f>
        <v>0.2234956587</v>
      </c>
      <c r="R252" s="8">
        <f>IFERROR(__xludf.DUMMYFUNCTION("""COMPUTED_VALUE"""),0.18568515784293)</f>
        <v>0.1856851578</v>
      </c>
      <c r="S252" s="8">
        <f>IFERROR(__xludf.DUMMYFUNCTION("""COMPUTED_VALUE"""),0.157924358397118)</f>
        <v>0.1579243584</v>
      </c>
      <c r="T252" s="8">
        <f>IFERROR(__xludf.DUMMYFUNCTION("""COMPUTED_VALUE"""),0.117940401378471)</f>
        <v>0.1179404014</v>
      </c>
      <c r="U252" s="8">
        <f>IFERROR(__xludf.DUMMYFUNCTION("""COMPUTED_VALUE"""),0.0918620163903182)</f>
        <v>0.09186201639</v>
      </c>
      <c r="V252" s="8">
        <f>IFERROR(__xludf.DUMMYFUNCTION("""COMPUTED_VALUE"""),0.0)</f>
        <v>0</v>
      </c>
      <c r="W252" s="8">
        <f>IFERROR(__xludf.DUMMYFUNCTION("""COMPUTED_VALUE"""),0.0)</f>
        <v>0</v>
      </c>
      <c r="X252" s="8">
        <f>IFERROR(__xludf.DUMMYFUNCTION("""COMPUTED_VALUE"""),0.0)</f>
        <v>0</v>
      </c>
      <c r="Y252" s="8">
        <f>IFERROR(__xludf.DUMMYFUNCTION("""COMPUTED_VALUE"""),0.0)</f>
        <v>0</v>
      </c>
      <c r="Z252" s="8">
        <f>IFERROR(__xludf.DUMMYFUNCTION("""COMPUTED_VALUE"""),0.0)</f>
        <v>0</v>
      </c>
      <c r="AA252" s="8">
        <f>IFERROR(__xludf.DUMMYFUNCTION("""COMPUTED_VALUE"""),0.0)</f>
        <v>0</v>
      </c>
      <c r="AB252" s="8">
        <f>IFERROR(__xludf.DUMMYFUNCTION("""COMPUTED_VALUE"""),0.0)</f>
        <v>0</v>
      </c>
      <c r="AC252" s="8">
        <f>IFERROR(__xludf.DUMMYFUNCTION("""COMPUTED_VALUE"""),0.0)</f>
        <v>0</v>
      </c>
    </row>
    <row r="253" ht="15.75" customHeight="1">
      <c r="A253" s="6" t="str">
        <f>IFERROR(__xludf.DUMMYFUNCTION("""COMPUTED_VALUE"""),"e5b71f4b40481cb15ce33532df56be566352534e")</f>
        <v>e5b71f4b40481cb15ce33532df56be566352534e</v>
      </c>
      <c r="B253" s="6" t="str">
        <f>IFERROR(__xludf.DUMMYFUNCTION("""COMPUTED_VALUE"""),"Rewind and Rise")</f>
        <v>Rewind and Rise</v>
      </c>
      <c r="C253" s="6" t="str">
        <f>IFERROR(__xludf.DUMMYFUNCTION("""COMPUTED_VALUE"""),"Romantasy")</f>
        <v>Romantasy</v>
      </c>
      <c r="D253" s="11">
        <f>IFERROR(__xludf.DUMMYFUNCTION("""COMPUTED_VALUE"""),862.0)</f>
        <v>862</v>
      </c>
      <c r="E253" s="8">
        <f>IFERROR(__xludf.DUMMYFUNCTION("""COMPUTED_VALUE"""),0.96415770609319)</f>
        <v>0.9641577061</v>
      </c>
      <c r="F253" s="8">
        <f>IFERROR(__xludf.DUMMYFUNCTION("""COMPUTED_VALUE"""),0.557213930348258)</f>
        <v>0.5572139303</v>
      </c>
      <c r="G253" s="8">
        <f>IFERROR(__xludf.DUMMYFUNCTION("""COMPUTED_VALUE"""),0.471626733921815)</f>
        <v>0.4716267339</v>
      </c>
      <c r="H253" s="8">
        <f>IFERROR(__xludf.DUMMYFUNCTION("""COMPUTED_VALUE"""),0.423177083333333)</f>
        <v>0.4231770833</v>
      </c>
      <c r="I253" s="8">
        <f>IFERROR(__xludf.DUMMYFUNCTION("""COMPUTED_VALUE"""),0.401048492791612)</f>
        <v>0.4010484928</v>
      </c>
      <c r="J253" s="8">
        <f>IFERROR(__xludf.DUMMYFUNCTION("""COMPUTED_VALUE"""),0.373493975903614)</f>
        <v>0.3734939759</v>
      </c>
      <c r="K253" s="8">
        <f>IFERROR(__xludf.DUMMYFUNCTION("""COMPUTED_VALUE"""),0.367688022284122)</f>
        <v>0.3676880223</v>
      </c>
      <c r="L253" s="8">
        <f>IFERROR(__xludf.DUMMYFUNCTION("""COMPUTED_VALUE"""),0.331738437001594)</f>
        <v>0.331738437</v>
      </c>
      <c r="M253" s="8">
        <f>IFERROR(__xludf.DUMMYFUNCTION("""COMPUTED_VALUE"""),0.321311475409836)</f>
        <v>0.3213114754</v>
      </c>
      <c r="N253" s="8">
        <f>IFERROR(__xludf.DUMMYFUNCTION("""COMPUTED_VALUE"""),0.312286689419795)</f>
        <v>0.3122866894</v>
      </c>
      <c r="O253" s="8">
        <f>IFERROR(__xludf.DUMMYFUNCTION("""COMPUTED_VALUE"""),0.303225806451612)</f>
        <v>0.3032258065</v>
      </c>
      <c r="P253" s="8">
        <f>IFERROR(__xludf.DUMMYFUNCTION("""COMPUTED_VALUE"""),0.278787878787878)</f>
        <v>0.2787878788</v>
      </c>
      <c r="Q253" s="8">
        <f>IFERROR(__xludf.DUMMYFUNCTION("""COMPUTED_VALUE"""),0.0)</f>
        <v>0</v>
      </c>
      <c r="R253" s="8">
        <f>IFERROR(__xludf.DUMMYFUNCTION("""COMPUTED_VALUE"""),0.0)</f>
        <v>0</v>
      </c>
      <c r="S253" s="8">
        <f>IFERROR(__xludf.DUMMYFUNCTION("""COMPUTED_VALUE"""),0.0)</f>
        <v>0</v>
      </c>
      <c r="T253" s="8">
        <f>IFERROR(__xludf.DUMMYFUNCTION("""COMPUTED_VALUE"""),0.0)</f>
        <v>0</v>
      </c>
      <c r="U253" s="8">
        <f>IFERROR(__xludf.DUMMYFUNCTION("""COMPUTED_VALUE"""),0.0)</f>
        <v>0</v>
      </c>
      <c r="V253" s="8">
        <f>IFERROR(__xludf.DUMMYFUNCTION("""COMPUTED_VALUE"""),0.0)</f>
        <v>0</v>
      </c>
      <c r="W253" s="8">
        <f>IFERROR(__xludf.DUMMYFUNCTION("""COMPUTED_VALUE"""),0.0)</f>
        <v>0</v>
      </c>
      <c r="X253" s="8">
        <f>IFERROR(__xludf.DUMMYFUNCTION("""COMPUTED_VALUE"""),0.0)</f>
        <v>0</v>
      </c>
      <c r="Y253" s="8">
        <f>IFERROR(__xludf.DUMMYFUNCTION("""COMPUTED_VALUE"""),0.0)</f>
        <v>0</v>
      </c>
      <c r="Z253" s="8">
        <f>IFERROR(__xludf.DUMMYFUNCTION("""COMPUTED_VALUE"""),0.0)</f>
        <v>0</v>
      </c>
      <c r="AA253" s="8">
        <f>IFERROR(__xludf.DUMMYFUNCTION("""COMPUTED_VALUE"""),0.0)</f>
        <v>0</v>
      </c>
      <c r="AB253" s="8">
        <f>IFERROR(__xludf.DUMMYFUNCTION("""COMPUTED_VALUE"""),0.0)</f>
        <v>0</v>
      </c>
      <c r="AC253" s="8">
        <f>IFERROR(__xludf.DUMMYFUNCTION("""COMPUTED_VALUE"""),0.0)</f>
        <v>0</v>
      </c>
    </row>
    <row r="254" ht="15.75" customHeight="1">
      <c r="A254" s="6" t="str">
        <f>IFERROR(__xludf.DUMMYFUNCTION("""COMPUTED_VALUE"""),"e79ceb682265a42fb44c988f861c20672776f19d")</f>
        <v>e79ceb682265a42fb44c988f861c20672776f19d</v>
      </c>
      <c r="B254" s="6" t="str">
        <f>IFERROR(__xludf.DUMMYFUNCTION("""COMPUTED_VALUE"""),"Faction of Unity: Wyrmara")</f>
        <v>Faction of Unity: Wyrmara</v>
      </c>
      <c r="C254" s="6" t="str">
        <f>IFERROR(__xludf.DUMMYFUNCTION("""COMPUTED_VALUE"""),"Fantasy")</f>
        <v>Fantasy</v>
      </c>
      <c r="D254" s="11">
        <f>IFERROR(__xludf.DUMMYFUNCTION("""COMPUTED_VALUE"""),524.0)</f>
        <v>524</v>
      </c>
      <c r="E254" s="8">
        <f>IFERROR(__xludf.DUMMYFUNCTION("""COMPUTED_VALUE"""),0.963671128107074)</f>
        <v>0.9636711281</v>
      </c>
      <c r="F254" s="8">
        <f>IFERROR(__xludf.DUMMYFUNCTION("""COMPUTED_VALUE"""),0.403441682600382)</f>
        <v>0.4034416826</v>
      </c>
      <c r="G254" s="8">
        <f>IFERROR(__xludf.DUMMYFUNCTION("""COMPUTED_VALUE"""),0.319311663479923)</f>
        <v>0.3193116635</v>
      </c>
      <c r="H254" s="8">
        <f>IFERROR(__xludf.DUMMYFUNCTION("""COMPUTED_VALUE"""),0.275862068965517)</f>
        <v>0.275862069</v>
      </c>
      <c r="I254" s="8">
        <f>IFERROR(__xludf.DUMMYFUNCTION("""COMPUTED_VALUE"""),0.243295019157088)</f>
        <v>0.2432950192</v>
      </c>
      <c r="J254" s="8">
        <f>IFERROR(__xludf.DUMMYFUNCTION("""COMPUTED_VALUE"""),0.218390804597701)</f>
        <v>0.2183908046</v>
      </c>
      <c r="K254" s="8">
        <f>IFERROR(__xludf.DUMMYFUNCTION("""COMPUTED_VALUE"""),0.201149425287356)</f>
        <v>0.2011494253</v>
      </c>
      <c r="L254" s="8">
        <f>IFERROR(__xludf.DUMMYFUNCTION("""COMPUTED_VALUE"""),0.176923076923076)</f>
        <v>0.1769230769</v>
      </c>
      <c r="M254" s="8">
        <f>IFERROR(__xludf.DUMMYFUNCTION("""COMPUTED_VALUE"""),0.171483622350674)</f>
        <v>0.1714836224</v>
      </c>
      <c r="N254" s="8">
        <f>IFERROR(__xludf.DUMMYFUNCTION("""COMPUTED_VALUE"""),0.173745173745173)</f>
        <v>0.1737451737</v>
      </c>
      <c r="O254" s="8">
        <f>IFERROR(__xludf.DUMMYFUNCTION("""COMPUTED_VALUE"""),0.135902636916835)</f>
        <v>0.1359026369</v>
      </c>
      <c r="P254" s="8">
        <f>IFERROR(__xludf.DUMMYFUNCTION("""COMPUTED_VALUE"""),0.0886075949367088)</f>
        <v>0.08860759494</v>
      </c>
      <c r="Q254" s="8">
        <f>IFERROR(__xludf.DUMMYFUNCTION("""COMPUTED_VALUE"""),0.0353982300884955)</f>
        <v>0.03539823009</v>
      </c>
      <c r="R254" s="8">
        <f>IFERROR(__xludf.DUMMYFUNCTION("""COMPUTED_VALUE"""),0.0697674418604651)</f>
        <v>0.06976744186</v>
      </c>
      <c r="S254" s="8">
        <f>IFERROR(__xludf.DUMMYFUNCTION("""COMPUTED_VALUE"""),0.0)</f>
        <v>0</v>
      </c>
      <c r="T254" s="8">
        <f>IFERROR(__xludf.DUMMYFUNCTION("""COMPUTED_VALUE"""),0.0)</f>
        <v>0</v>
      </c>
      <c r="U254" s="8">
        <f>IFERROR(__xludf.DUMMYFUNCTION("""COMPUTED_VALUE"""),0.0)</f>
        <v>0</v>
      </c>
      <c r="V254" s="8">
        <f>IFERROR(__xludf.DUMMYFUNCTION("""COMPUTED_VALUE"""),0.0)</f>
        <v>0</v>
      </c>
      <c r="W254" s="8">
        <f>IFERROR(__xludf.DUMMYFUNCTION("""COMPUTED_VALUE"""),0.0)</f>
        <v>0</v>
      </c>
      <c r="X254" s="8">
        <f>IFERROR(__xludf.DUMMYFUNCTION("""COMPUTED_VALUE"""),0.0)</f>
        <v>0</v>
      </c>
      <c r="Y254" s="8">
        <f>IFERROR(__xludf.DUMMYFUNCTION("""COMPUTED_VALUE"""),0.0)</f>
        <v>0</v>
      </c>
      <c r="Z254" s="8">
        <f>IFERROR(__xludf.DUMMYFUNCTION("""COMPUTED_VALUE"""),0.0)</f>
        <v>0</v>
      </c>
      <c r="AA254" s="8">
        <f>IFERROR(__xludf.DUMMYFUNCTION("""COMPUTED_VALUE"""),0.0)</f>
        <v>0</v>
      </c>
      <c r="AB254" s="8">
        <f>IFERROR(__xludf.DUMMYFUNCTION("""COMPUTED_VALUE"""),0.0)</f>
        <v>0</v>
      </c>
      <c r="AC254" s="8">
        <f>IFERROR(__xludf.DUMMYFUNCTION("""COMPUTED_VALUE"""),0.0)</f>
        <v>0</v>
      </c>
    </row>
    <row r="255" ht="15.75" customHeight="1">
      <c r="A255" s="6" t="str">
        <f>IFERROR(__xludf.DUMMYFUNCTION("""COMPUTED_VALUE"""),"e7a3ee79841762542e0eb645666b039c707001f5")</f>
        <v>e7a3ee79841762542e0eb645666b039c707001f5</v>
      </c>
      <c r="B255" s="6" t="str">
        <f>IFERROR(__xludf.DUMMYFUNCTION("""COMPUTED_VALUE"""),"Masked Prince's Princess")</f>
        <v>Masked Prince's Princess</v>
      </c>
      <c r="C255" s="6" t="str">
        <f>IFERROR(__xludf.DUMMYFUNCTION("""COMPUTED_VALUE"""),"Romance")</f>
        <v>Romance</v>
      </c>
      <c r="D255" s="11">
        <f>IFERROR(__xludf.DUMMYFUNCTION("""COMPUTED_VALUE"""),2768.0)</f>
        <v>2768</v>
      </c>
      <c r="E255" s="8">
        <f>IFERROR(__xludf.DUMMYFUNCTION("""COMPUTED_VALUE"""),0.958653494328576)</f>
        <v>0.9586534943</v>
      </c>
      <c r="F255" s="8">
        <f>IFERROR(__xludf.DUMMYFUNCTION("""COMPUTED_VALUE"""),0.450355938553765)</f>
        <v>0.4503559386</v>
      </c>
      <c r="G255" s="8">
        <f>IFERROR(__xludf.DUMMYFUNCTION("""COMPUTED_VALUE"""),0.399319984888553)</f>
        <v>0.3993199849</v>
      </c>
      <c r="H255" s="8">
        <f>IFERROR(__xludf.DUMMYFUNCTION("""COMPUTED_VALUE"""),0.370843000773395)</f>
        <v>0.3708430008</v>
      </c>
      <c r="I255" s="8">
        <f>IFERROR(__xludf.DUMMYFUNCTION("""COMPUTED_VALUE"""),0.352799033427305)</f>
        <v>0.3527990334</v>
      </c>
      <c r="J255" s="8">
        <f>IFERROR(__xludf.DUMMYFUNCTION("""COMPUTED_VALUE"""),0.338948233360723)</f>
        <v>0.3389482334</v>
      </c>
      <c r="K255" s="8">
        <f>IFERROR(__xludf.DUMMYFUNCTION("""COMPUTED_VALUE"""),0.338513229735405)</f>
        <v>0.3385132297</v>
      </c>
      <c r="L255" s="8">
        <f>IFERROR(__xludf.DUMMYFUNCTION("""COMPUTED_VALUE"""),0.318723404255319)</f>
        <v>0.3187234043</v>
      </c>
      <c r="M255" s="8">
        <f>IFERROR(__xludf.DUMMYFUNCTION("""COMPUTED_VALUE"""),0.305222602739726)</f>
        <v>0.3052226027</v>
      </c>
      <c r="N255" s="8">
        <f>IFERROR(__xludf.DUMMYFUNCTION("""COMPUTED_VALUE"""),0.293482952093224)</f>
        <v>0.2934829521</v>
      </c>
      <c r="O255" s="8">
        <f>IFERROR(__xludf.DUMMYFUNCTION("""COMPUTED_VALUE"""),0.27174402884182)</f>
        <v>0.2717440288</v>
      </c>
      <c r="P255" s="8">
        <f>IFERROR(__xludf.DUMMYFUNCTION("""COMPUTED_VALUE"""),0.239729337844369)</f>
        <v>0.2397293378</v>
      </c>
      <c r="Q255" s="8">
        <f>IFERROR(__xludf.DUMMYFUNCTION("""COMPUTED_VALUE"""),0.18656330749354)</f>
        <v>0.1865633075</v>
      </c>
      <c r="R255" s="8">
        <f>IFERROR(__xludf.DUMMYFUNCTION("""COMPUTED_VALUE"""),0.177029360967184)</f>
        <v>0.177029361</v>
      </c>
      <c r="S255" s="8">
        <f>IFERROR(__xludf.DUMMYFUNCTION("""COMPUTED_VALUE"""),0.104938271604938)</f>
        <v>0.1049382716</v>
      </c>
      <c r="T255" s="8">
        <f>IFERROR(__xludf.DUMMYFUNCTION("""COMPUTED_VALUE"""),0.0)</f>
        <v>0</v>
      </c>
      <c r="U255" s="8">
        <f>IFERROR(__xludf.DUMMYFUNCTION("""COMPUTED_VALUE"""),0.0)</f>
        <v>0</v>
      </c>
      <c r="V255" s="8">
        <f>IFERROR(__xludf.DUMMYFUNCTION("""COMPUTED_VALUE"""),0.0)</f>
        <v>0</v>
      </c>
      <c r="W255" s="8">
        <f>IFERROR(__xludf.DUMMYFUNCTION("""COMPUTED_VALUE"""),0.0)</f>
        <v>0</v>
      </c>
      <c r="X255" s="8">
        <f>IFERROR(__xludf.DUMMYFUNCTION("""COMPUTED_VALUE"""),0.0)</f>
        <v>0</v>
      </c>
      <c r="Y255" s="8">
        <f>IFERROR(__xludf.DUMMYFUNCTION("""COMPUTED_VALUE"""),0.0)</f>
        <v>0</v>
      </c>
      <c r="Z255" s="8">
        <f>IFERROR(__xludf.DUMMYFUNCTION("""COMPUTED_VALUE"""),0.0)</f>
        <v>0</v>
      </c>
      <c r="AA255" s="8">
        <f>IFERROR(__xludf.DUMMYFUNCTION("""COMPUTED_VALUE"""),0.0)</f>
        <v>0</v>
      </c>
      <c r="AB255" s="8">
        <f>IFERROR(__xludf.DUMMYFUNCTION("""COMPUTED_VALUE"""),0.0)</f>
        <v>0</v>
      </c>
      <c r="AC255" s="8">
        <f>IFERROR(__xludf.DUMMYFUNCTION("""COMPUTED_VALUE"""),0.0)</f>
        <v>0</v>
      </c>
    </row>
    <row r="256" ht="15.75" customHeight="1">
      <c r="A256" s="6" t="str">
        <f>IFERROR(__xludf.DUMMYFUNCTION("""COMPUTED_VALUE"""),"e835267a1c9909e759d530cea3d17b5999d86761")</f>
        <v>e835267a1c9909e759d530cea3d17b5999d86761</v>
      </c>
      <c r="B256" s="6" t="str">
        <f>IFERROR(__xludf.DUMMYFUNCTION("""COMPUTED_VALUE"""),"Her Lightness System")</f>
        <v>Her Lightness System</v>
      </c>
      <c r="C256" s="6" t="str">
        <f>IFERROR(__xludf.DUMMYFUNCTION("""COMPUTED_VALUE"""),"System and Superpower")</f>
        <v>System and Superpower</v>
      </c>
      <c r="D256" s="11">
        <f>IFERROR(__xludf.DUMMYFUNCTION("""COMPUTED_VALUE"""),716.0)</f>
        <v>716</v>
      </c>
      <c r="E256" s="8">
        <f>IFERROR(__xludf.DUMMYFUNCTION("""COMPUTED_VALUE"""),0.922077922077922)</f>
        <v>0.9220779221</v>
      </c>
      <c r="F256" s="8">
        <f>IFERROR(__xludf.DUMMYFUNCTION("""COMPUTED_VALUE"""),0.612557427258805)</f>
        <v>0.6125574273</v>
      </c>
      <c r="G256" s="8">
        <f>IFERROR(__xludf.DUMMYFUNCTION("""COMPUTED_VALUE"""),0.543720190779014)</f>
        <v>0.5437201908</v>
      </c>
      <c r="H256" s="8">
        <f>IFERROR(__xludf.DUMMYFUNCTION("""COMPUTED_VALUE"""),0.523809523809523)</f>
        <v>0.5238095238</v>
      </c>
      <c r="I256" s="8">
        <f>IFERROR(__xludf.DUMMYFUNCTION("""COMPUTED_VALUE"""),0.481611208406304)</f>
        <v>0.4816112084</v>
      </c>
      <c r="J256" s="8">
        <f>IFERROR(__xludf.DUMMYFUNCTION("""COMPUTED_VALUE"""),0.409506398537477)</f>
        <v>0.4095063985</v>
      </c>
      <c r="K256" s="8">
        <f>IFERROR(__xludf.DUMMYFUNCTION("""COMPUTED_VALUE"""),0.376163873370577)</f>
        <v>0.3761638734</v>
      </c>
      <c r="L256" s="8">
        <f>IFERROR(__xludf.DUMMYFUNCTION("""COMPUTED_VALUE"""),0.345559845559845)</f>
        <v>0.3455598456</v>
      </c>
      <c r="M256" s="8">
        <f>IFERROR(__xludf.DUMMYFUNCTION("""COMPUTED_VALUE"""),0.333333333333333)</f>
        <v>0.3333333333</v>
      </c>
      <c r="N256" s="8">
        <f>IFERROR(__xludf.DUMMYFUNCTION("""COMPUTED_VALUE"""),0.328)</f>
        <v>0.328</v>
      </c>
      <c r="O256" s="8">
        <f>IFERROR(__xludf.DUMMYFUNCTION("""COMPUTED_VALUE"""),0.283298097251585)</f>
        <v>0.2832980973</v>
      </c>
      <c r="P256" s="8">
        <f>IFERROR(__xludf.DUMMYFUNCTION("""COMPUTED_VALUE"""),0.171610169491525)</f>
        <v>0.1716101695</v>
      </c>
      <c r="Q256" s="8">
        <f>IFERROR(__xludf.DUMMYFUNCTION("""COMPUTED_VALUE"""),0.0956937799043062)</f>
        <v>0.0956937799</v>
      </c>
      <c r="R256" s="8">
        <f>IFERROR(__xludf.DUMMYFUNCTION("""COMPUTED_VALUE"""),0.074074074074074)</f>
        <v>0.07407407407</v>
      </c>
      <c r="S256" s="8">
        <f>IFERROR(__xludf.DUMMYFUNCTION("""COMPUTED_VALUE"""),0.0)</f>
        <v>0</v>
      </c>
      <c r="T256" s="8">
        <f>IFERROR(__xludf.DUMMYFUNCTION("""COMPUTED_VALUE"""),0.0)</f>
        <v>0</v>
      </c>
      <c r="U256" s="8">
        <f>IFERROR(__xludf.DUMMYFUNCTION("""COMPUTED_VALUE"""),0.0)</f>
        <v>0</v>
      </c>
      <c r="V256" s="8">
        <f>IFERROR(__xludf.DUMMYFUNCTION("""COMPUTED_VALUE"""),0.0)</f>
        <v>0</v>
      </c>
      <c r="W256" s="8">
        <f>IFERROR(__xludf.DUMMYFUNCTION("""COMPUTED_VALUE"""),0.0)</f>
        <v>0</v>
      </c>
      <c r="X256" s="8">
        <f>IFERROR(__xludf.DUMMYFUNCTION("""COMPUTED_VALUE"""),0.0)</f>
        <v>0</v>
      </c>
      <c r="Y256" s="8">
        <f>IFERROR(__xludf.DUMMYFUNCTION("""COMPUTED_VALUE"""),0.0)</f>
        <v>0</v>
      </c>
      <c r="Z256" s="8">
        <f>IFERROR(__xludf.DUMMYFUNCTION("""COMPUTED_VALUE"""),0.0)</f>
        <v>0</v>
      </c>
      <c r="AA256" s="8">
        <f>IFERROR(__xludf.DUMMYFUNCTION("""COMPUTED_VALUE"""),0.0)</f>
        <v>0</v>
      </c>
      <c r="AB256" s="8">
        <f>IFERROR(__xludf.DUMMYFUNCTION("""COMPUTED_VALUE"""),0.0)</f>
        <v>0</v>
      </c>
      <c r="AC256" s="8">
        <f>IFERROR(__xludf.DUMMYFUNCTION("""COMPUTED_VALUE"""),0.0)</f>
        <v>0</v>
      </c>
    </row>
    <row r="257" ht="15.75" customHeight="1">
      <c r="A257" s="6" t="str">
        <f>IFERROR(__xludf.DUMMYFUNCTION("""COMPUTED_VALUE"""),"e83bb9290a73242b13db9a4453b23f1b0ca9fed0")</f>
        <v>e83bb9290a73242b13db9a4453b23f1b0ca9fed0</v>
      </c>
      <c r="B257" s="6" t="str">
        <f>IFERROR(__xludf.DUMMYFUNCTION("""COMPUTED_VALUE"""),"The Baby He Denied")</f>
        <v>The Baby He Denied</v>
      </c>
      <c r="C257" s="6" t="str">
        <f>IFERROR(__xludf.DUMMYFUNCTION("""COMPUTED_VALUE"""),"Romance")</f>
        <v>Romance</v>
      </c>
      <c r="D257" s="11">
        <f>IFERROR(__xludf.DUMMYFUNCTION("""COMPUTED_VALUE"""),3457.0)</f>
        <v>3457</v>
      </c>
      <c r="E257" s="8">
        <f>IFERROR(__xludf.DUMMYFUNCTION("""COMPUTED_VALUE"""),0.953387376954255)</f>
        <v>0.953387377</v>
      </c>
      <c r="F257" s="8">
        <f>IFERROR(__xludf.DUMMYFUNCTION("""COMPUTED_VALUE"""),0.681844547563805)</f>
        <v>0.6818445476</v>
      </c>
      <c r="G257" s="8">
        <f>IFERROR(__xludf.DUMMYFUNCTION("""COMPUTED_VALUE"""),0.617305458768873)</f>
        <v>0.6173054588</v>
      </c>
      <c r="H257" s="8">
        <f>IFERROR(__xludf.DUMMYFUNCTION("""COMPUTED_VALUE"""),0.551323059028787)</f>
        <v>0.551323059</v>
      </c>
      <c r="I257" s="8">
        <f>IFERROR(__xludf.DUMMYFUNCTION("""COMPUTED_VALUE"""),0.534206695778748)</f>
        <v>0.5342066958</v>
      </c>
      <c r="J257" s="8">
        <f>IFERROR(__xludf.DUMMYFUNCTION("""COMPUTED_VALUE"""),0.496065287088312)</f>
        <v>0.4960652871</v>
      </c>
      <c r="K257" s="8">
        <f>IFERROR(__xludf.DUMMYFUNCTION("""COMPUTED_VALUE"""),0.457834840968777)</f>
        <v>0.457834841</v>
      </c>
      <c r="L257" s="8">
        <f>IFERROR(__xludf.DUMMYFUNCTION("""COMPUTED_VALUE"""),0.413884007029877)</f>
        <v>0.413884007</v>
      </c>
      <c r="M257" s="8">
        <f>IFERROR(__xludf.DUMMYFUNCTION("""COMPUTED_VALUE"""),0.389675516224188)</f>
        <v>0.3896755162</v>
      </c>
      <c r="N257" s="8">
        <f>IFERROR(__xludf.DUMMYFUNCTION("""COMPUTED_VALUE"""),0.361645457235868)</f>
        <v>0.3616454572</v>
      </c>
      <c r="O257" s="8">
        <f>IFERROR(__xludf.DUMMYFUNCTION("""COMPUTED_VALUE"""),0.302683246073298)</f>
        <v>0.3026832461</v>
      </c>
      <c r="P257" s="8">
        <f>IFERROR(__xludf.DUMMYFUNCTION("""COMPUTED_VALUE"""),0.243952439524395)</f>
        <v>0.2439524395</v>
      </c>
      <c r="Q257" s="8">
        <f>IFERROR(__xludf.DUMMYFUNCTION("""COMPUTED_VALUE"""),0.104166666666666)</f>
        <v>0.1041666667</v>
      </c>
      <c r="R257" s="8">
        <f>IFERROR(__xludf.DUMMYFUNCTION("""COMPUTED_VALUE"""),0.0510204081632653)</f>
        <v>0.05102040816</v>
      </c>
      <c r="S257" s="8">
        <f>IFERROR(__xludf.DUMMYFUNCTION("""COMPUTED_VALUE"""),0.0769230769230769)</f>
        <v>0.07692307692</v>
      </c>
      <c r="T257" s="8">
        <f>IFERROR(__xludf.DUMMYFUNCTION("""COMPUTED_VALUE"""),0.125)</f>
        <v>0.125</v>
      </c>
      <c r="U257" s="8">
        <f>IFERROR(__xludf.DUMMYFUNCTION("""COMPUTED_VALUE"""),0.0)</f>
        <v>0</v>
      </c>
      <c r="V257" s="8">
        <f>IFERROR(__xludf.DUMMYFUNCTION("""COMPUTED_VALUE"""),0.0)</f>
        <v>0</v>
      </c>
      <c r="W257" s="8">
        <f>IFERROR(__xludf.DUMMYFUNCTION("""COMPUTED_VALUE"""),0.0)</f>
        <v>0</v>
      </c>
      <c r="X257" s="8">
        <f>IFERROR(__xludf.DUMMYFUNCTION("""COMPUTED_VALUE"""),0.0)</f>
        <v>0</v>
      </c>
      <c r="Y257" s="8">
        <f>IFERROR(__xludf.DUMMYFUNCTION("""COMPUTED_VALUE"""),0.0)</f>
        <v>0</v>
      </c>
      <c r="Z257" s="8">
        <f>IFERROR(__xludf.DUMMYFUNCTION("""COMPUTED_VALUE"""),0.0)</f>
        <v>0</v>
      </c>
      <c r="AA257" s="8">
        <f>IFERROR(__xludf.DUMMYFUNCTION("""COMPUTED_VALUE"""),0.0)</f>
        <v>0</v>
      </c>
      <c r="AB257" s="8">
        <f>IFERROR(__xludf.DUMMYFUNCTION("""COMPUTED_VALUE"""),0.0)</f>
        <v>0</v>
      </c>
      <c r="AC257" s="8">
        <f>IFERROR(__xludf.DUMMYFUNCTION("""COMPUTED_VALUE"""),0.0)</f>
        <v>0</v>
      </c>
    </row>
    <row r="258" ht="15.75" customHeight="1">
      <c r="A258" s="6" t="str">
        <f>IFERROR(__xludf.DUMMYFUNCTION("""COMPUTED_VALUE"""),"e8df3cfef87feac45c4c024f9cbd7254cfc15952")</f>
        <v>e8df3cfef87feac45c4c024f9cbd7254cfc15952</v>
      </c>
      <c r="B258" s="6" t="str">
        <f>IFERROR(__xludf.DUMMYFUNCTION("""COMPUTED_VALUE"""),"Between Wolves and Lies")</f>
        <v>Between Wolves and Lies</v>
      </c>
      <c r="C258" s="6" t="str">
        <f>IFERROR(__xludf.DUMMYFUNCTION("""COMPUTED_VALUE"""),"Romantasy")</f>
        <v>Romantasy</v>
      </c>
      <c r="D258" s="11">
        <f>IFERROR(__xludf.DUMMYFUNCTION("""COMPUTED_VALUE"""),966.0)</f>
        <v>966</v>
      </c>
      <c r="E258" s="8">
        <f>IFERROR(__xludf.DUMMYFUNCTION("""COMPUTED_VALUE"""),0.982401656314699)</f>
        <v>0.9824016563</v>
      </c>
      <c r="F258" s="8">
        <f>IFERROR(__xludf.DUMMYFUNCTION("""COMPUTED_VALUE"""),0.493788819875776)</f>
        <v>0.4937888199</v>
      </c>
      <c r="G258" s="8">
        <f>IFERROR(__xludf.DUMMYFUNCTION("""COMPUTED_VALUE"""),0.426501035196687)</f>
        <v>0.4265010352</v>
      </c>
      <c r="H258" s="8">
        <f>IFERROR(__xludf.DUMMYFUNCTION("""COMPUTED_VALUE"""),0.357142857142857)</f>
        <v>0.3571428571</v>
      </c>
      <c r="I258" s="8">
        <f>IFERROR(__xludf.DUMMYFUNCTION("""COMPUTED_VALUE"""),0.317805383022774)</f>
        <v>0.317805383</v>
      </c>
      <c r="J258" s="8">
        <f>IFERROR(__xludf.DUMMYFUNCTION("""COMPUTED_VALUE"""),0.296066252587991)</f>
        <v>0.2960662526</v>
      </c>
      <c r="K258" s="8">
        <f>IFERROR(__xludf.DUMMYFUNCTION("""COMPUTED_VALUE"""),0.268393782383419)</f>
        <v>0.2683937824</v>
      </c>
      <c r="L258" s="8">
        <f>IFERROR(__xludf.DUMMYFUNCTION("""COMPUTED_VALUE"""),0.237551867219917)</f>
        <v>0.2375518672</v>
      </c>
      <c r="M258" s="8">
        <f>IFERROR(__xludf.DUMMYFUNCTION("""COMPUTED_VALUE"""),0.221991701244813)</f>
        <v>0.2219917012</v>
      </c>
      <c r="N258" s="8">
        <f>IFERROR(__xludf.DUMMYFUNCTION("""COMPUTED_VALUE"""),0.197095435684647)</f>
        <v>0.1970954357</v>
      </c>
      <c r="O258" s="8">
        <f>IFERROR(__xludf.DUMMYFUNCTION("""COMPUTED_VALUE"""),0.130208333333333)</f>
        <v>0.1302083333</v>
      </c>
      <c r="P258" s="8">
        <f>IFERROR(__xludf.DUMMYFUNCTION("""COMPUTED_VALUE"""),0.0574585635359116)</f>
        <v>0.05745856354</v>
      </c>
      <c r="Q258" s="8">
        <f>IFERROR(__xludf.DUMMYFUNCTION("""COMPUTED_VALUE"""),0.0178306092124814)</f>
        <v>0.01783060921</v>
      </c>
      <c r="R258" s="8">
        <f>IFERROR(__xludf.DUMMYFUNCTION("""COMPUTED_VALUE"""),0.00293255131964809)</f>
        <v>0.00293255132</v>
      </c>
      <c r="S258" s="8">
        <f>IFERROR(__xludf.DUMMYFUNCTION("""COMPUTED_VALUE"""),0.0)</f>
        <v>0</v>
      </c>
      <c r="T258" s="8">
        <f>IFERROR(__xludf.DUMMYFUNCTION("""COMPUTED_VALUE"""),0.0)</f>
        <v>0</v>
      </c>
      <c r="U258" s="8">
        <f>IFERROR(__xludf.DUMMYFUNCTION("""COMPUTED_VALUE"""),0.0)</f>
        <v>0</v>
      </c>
      <c r="V258" s="8">
        <f>IFERROR(__xludf.DUMMYFUNCTION("""COMPUTED_VALUE"""),0.0)</f>
        <v>0</v>
      </c>
      <c r="W258" s="8">
        <f>IFERROR(__xludf.DUMMYFUNCTION("""COMPUTED_VALUE"""),0.0)</f>
        <v>0</v>
      </c>
      <c r="X258" s="8">
        <f>IFERROR(__xludf.DUMMYFUNCTION("""COMPUTED_VALUE"""),0.0)</f>
        <v>0</v>
      </c>
      <c r="Y258" s="8">
        <f>IFERROR(__xludf.DUMMYFUNCTION("""COMPUTED_VALUE"""),0.0)</f>
        <v>0</v>
      </c>
      <c r="Z258" s="8">
        <f>IFERROR(__xludf.DUMMYFUNCTION("""COMPUTED_VALUE"""),0.0)</f>
        <v>0</v>
      </c>
      <c r="AA258" s="8">
        <f>IFERROR(__xludf.DUMMYFUNCTION("""COMPUTED_VALUE"""),0.0)</f>
        <v>0</v>
      </c>
      <c r="AB258" s="8">
        <f>IFERROR(__xludf.DUMMYFUNCTION("""COMPUTED_VALUE"""),0.0)</f>
        <v>0</v>
      </c>
      <c r="AC258" s="8">
        <f>IFERROR(__xludf.DUMMYFUNCTION("""COMPUTED_VALUE"""),0.0)</f>
        <v>0</v>
      </c>
    </row>
    <row r="259" ht="15.75" customHeight="1">
      <c r="A259" s="6" t="str">
        <f>IFERROR(__xludf.DUMMYFUNCTION("""COMPUTED_VALUE"""),"ed37d82285cfdcacdd3008ef7825d877fd575b57")</f>
        <v>ed37d82285cfdcacdd3008ef7825d877fd575b57</v>
      </c>
      <c r="B259" s="6" t="str">
        <f>IFERROR(__xludf.DUMMYFUNCTION("""COMPUTED_VALUE"""),"Charade")</f>
        <v>Charade</v>
      </c>
      <c r="C259" s="6" t="str">
        <f>IFERROR(__xludf.DUMMYFUNCTION("""COMPUTED_VALUE"""),"Fantasy")</f>
        <v>Fantasy</v>
      </c>
      <c r="D259" s="11">
        <f>IFERROR(__xludf.DUMMYFUNCTION("""COMPUTED_VALUE"""),74.0)</f>
        <v>74</v>
      </c>
      <c r="E259" s="8">
        <f>IFERROR(__xludf.DUMMYFUNCTION("""COMPUTED_VALUE"""),0.945945945945945)</f>
        <v>0.9459459459</v>
      </c>
      <c r="F259" s="8">
        <f>IFERROR(__xludf.DUMMYFUNCTION("""COMPUTED_VALUE"""),0.364864864864864)</f>
        <v>0.3648648649</v>
      </c>
      <c r="G259" s="8">
        <f>IFERROR(__xludf.DUMMYFUNCTION("""COMPUTED_VALUE"""),0.337837837837837)</f>
        <v>0.3378378378</v>
      </c>
      <c r="H259" s="8">
        <f>IFERROR(__xludf.DUMMYFUNCTION("""COMPUTED_VALUE"""),0.297297297297297)</f>
        <v>0.2972972973</v>
      </c>
      <c r="I259" s="8">
        <f>IFERROR(__xludf.DUMMYFUNCTION("""COMPUTED_VALUE"""),0.297297297297297)</f>
        <v>0.2972972973</v>
      </c>
      <c r="J259" s="8">
        <f>IFERROR(__xludf.DUMMYFUNCTION("""COMPUTED_VALUE"""),0.256756756756756)</f>
        <v>0.2567567568</v>
      </c>
      <c r="K259" s="8">
        <f>IFERROR(__xludf.DUMMYFUNCTION("""COMPUTED_VALUE"""),0.243243243243243)</f>
        <v>0.2432432432</v>
      </c>
      <c r="L259" s="8">
        <f>IFERROR(__xludf.DUMMYFUNCTION("""COMPUTED_VALUE"""),0.243243243243243)</f>
        <v>0.2432432432</v>
      </c>
      <c r="M259" s="8">
        <f>IFERROR(__xludf.DUMMYFUNCTION("""COMPUTED_VALUE"""),0.202702702702702)</f>
        <v>0.2027027027</v>
      </c>
      <c r="N259" s="8">
        <f>IFERROR(__xludf.DUMMYFUNCTION("""COMPUTED_VALUE"""),0.205479452054794)</f>
        <v>0.2054794521</v>
      </c>
      <c r="O259" s="8">
        <f>IFERROR(__xludf.DUMMYFUNCTION("""COMPUTED_VALUE"""),0.21917808219178)</f>
        <v>0.2191780822</v>
      </c>
      <c r="P259" s="8">
        <f>IFERROR(__xludf.DUMMYFUNCTION("""COMPUTED_VALUE"""),0.10958904109589)</f>
        <v>0.1095890411</v>
      </c>
      <c r="Q259" s="8">
        <f>IFERROR(__xludf.DUMMYFUNCTION("""COMPUTED_VALUE"""),0.0980392156862745)</f>
        <v>0.09803921569</v>
      </c>
      <c r="R259" s="8">
        <f>IFERROR(__xludf.DUMMYFUNCTION("""COMPUTED_VALUE"""),0.1)</f>
        <v>0.1</v>
      </c>
      <c r="S259" s="8">
        <f>IFERROR(__xludf.DUMMYFUNCTION("""COMPUTED_VALUE"""),0.0)</f>
        <v>0</v>
      </c>
      <c r="T259" s="8">
        <f>IFERROR(__xludf.DUMMYFUNCTION("""COMPUTED_VALUE"""),0.0)</f>
        <v>0</v>
      </c>
      <c r="U259" s="8">
        <f>IFERROR(__xludf.DUMMYFUNCTION("""COMPUTED_VALUE"""),0.0)</f>
        <v>0</v>
      </c>
      <c r="V259" s="8">
        <f>IFERROR(__xludf.DUMMYFUNCTION("""COMPUTED_VALUE"""),0.0)</f>
        <v>0</v>
      </c>
      <c r="W259" s="8">
        <f>IFERROR(__xludf.DUMMYFUNCTION("""COMPUTED_VALUE"""),0.0)</f>
        <v>0</v>
      </c>
      <c r="X259" s="8">
        <f>IFERROR(__xludf.DUMMYFUNCTION("""COMPUTED_VALUE"""),0.0)</f>
        <v>0</v>
      </c>
      <c r="Y259" s="8">
        <f>IFERROR(__xludf.DUMMYFUNCTION("""COMPUTED_VALUE"""),0.0)</f>
        <v>0</v>
      </c>
      <c r="Z259" s="8">
        <f>IFERROR(__xludf.DUMMYFUNCTION("""COMPUTED_VALUE"""),0.0)</f>
        <v>0</v>
      </c>
      <c r="AA259" s="8">
        <f>IFERROR(__xludf.DUMMYFUNCTION("""COMPUTED_VALUE"""),0.0)</f>
        <v>0</v>
      </c>
      <c r="AB259" s="8">
        <f>IFERROR(__xludf.DUMMYFUNCTION("""COMPUTED_VALUE"""),0.0)</f>
        <v>0</v>
      </c>
      <c r="AC259" s="8">
        <f>IFERROR(__xludf.DUMMYFUNCTION("""COMPUTED_VALUE"""),0.0)</f>
        <v>0</v>
      </c>
    </row>
    <row r="260" ht="15.75" customHeight="1">
      <c r="A260" s="6" t="str">
        <f>IFERROR(__xludf.DUMMYFUNCTION("""COMPUTED_VALUE"""),"ee2e216e3dceba69118e501b055c3b7b9a0335a3")</f>
        <v>ee2e216e3dceba69118e501b055c3b7b9a0335a3</v>
      </c>
      <c r="B260" s="6" t="str">
        <f>IFERROR(__xludf.DUMMYFUNCTION("""COMPUTED_VALUE"""),"Kyan's System Awakening")</f>
        <v>Kyan's System Awakening</v>
      </c>
      <c r="C260" s="6" t="str">
        <f>IFERROR(__xludf.DUMMYFUNCTION("""COMPUTED_VALUE"""),"Fantasy")</f>
        <v>Fantasy</v>
      </c>
      <c r="D260" s="11">
        <f>IFERROR(__xludf.DUMMYFUNCTION("""COMPUTED_VALUE"""),8813.0)</f>
        <v>8813</v>
      </c>
      <c r="E260" s="8">
        <f>IFERROR(__xludf.DUMMYFUNCTION("""COMPUTED_VALUE"""),0.961871750433275)</f>
        <v>0.9618717504</v>
      </c>
      <c r="F260" s="8">
        <f>IFERROR(__xludf.DUMMYFUNCTION("""COMPUTED_VALUE"""),0.528943302032568)</f>
        <v>0.528943302</v>
      </c>
      <c r="G260" s="8">
        <f>IFERROR(__xludf.DUMMYFUNCTION("""COMPUTED_VALUE"""),0.464688067837674)</f>
        <v>0.4646880678</v>
      </c>
      <c r="H260" s="8">
        <f>IFERROR(__xludf.DUMMYFUNCTION("""COMPUTED_VALUE"""),0.446066303809995)</f>
        <v>0.4460663038</v>
      </c>
      <c r="I260" s="8">
        <f>IFERROR(__xludf.DUMMYFUNCTION("""COMPUTED_VALUE"""),0.425615141955835)</f>
        <v>0.425615142</v>
      </c>
      <c r="J260" s="8">
        <f>IFERROR(__xludf.DUMMYFUNCTION("""COMPUTED_VALUE"""),0.408381689232753)</f>
        <v>0.4083816892</v>
      </c>
      <c r="K260" s="8">
        <f>IFERROR(__xludf.DUMMYFUNCTION("""COMPUTED_VALUE"""),0.390512383698073)</f>
        <v>0.3905123837</v>
      </c>
      <c r="L260" s="8">
        <f>IFERROR(__xludf.DUMMYFUNCTION("""COMPUTED_VALUE"""),0.374799143010176)</f>
        <v>0.374799143</v>
      </c>
      <c r="M260" s="8">
        <f>IFERROR(__xludf.DUMMYFUNCTION("""COMPUTED_VALUE"""),0.360316162442082)</f>
        <v>0.3603161624</v>
      </c>
      <c r="N260" s="8">
        <f>IFERROR(__xludf.DUMMYFUNCTION("""COMPUTED_VALUE"""),0.352398265976786)</f>
        <v>0.352398266</v>
      </c>
      <c r="O260" s="8">
        <f>IFERROR(__xludf.DUMMYFUNCTION("""COMPUTED_VALUE"""),0.328625833068867)</f>
        <v>0.3286258331</v>
      </c>
      <c r="P260" s="8">
        <f>IFERROR(__xludf.DUMMYFUNCTION("""COMPUTED_VALUE"""),0.25481266818464)</f>
        <v>0.2548126682</v>
      </c>
      <c r="Q260" s="8">
        <f>IFERROR(__xludf.DUMMYFUNCTION("""COMPUTED_VALUE"""),0.197113692361844)</f>
        <v>0.1971136924</v>
      </c>
      <c r="R260" s="8">
        <f>IFERROR(__xludf.DUMMYFUNCTION("""COMPUTED_VALUE"""),0.128417564208782)</f>
        <v>0.1284175642</v>
      </c>
      <c r="S260" s="8">
        <f>IFERROR(__xludf.DUMMYFUNCTION("""COMPUTED_VALUE"""),0.0815217391304347)</f>
        <v>0.08152173913</v>
      </c>
      <c r="T260" s="8">
        <f>IFERROR(__xludf.DUMMYFUNCTION("""COMPUTED_VALUE"""),0.0547263681592039)</f>
        <v>0.05472636816</v>
      </c>
      <c r="U260" s="8">
        <f>IFERROR(__xludf.DUMMYFUNCTION("""COMPUTED_VALUE"""),0.0)</f>
        <v>0</v>
      </c>
      <c r="V260" s="8">
        <f>IFERROR(__xludf.DUMMYFUNCTION("""COMPUTED_VALUE"""),0.0)</f>
        <v>0</v>
      </c>
      <c r="W260" s="8">
        <f>IFERROR(__xludf.DUMMYFUNCTION("""COMPUTED_VALUE"""),0.0)</f>
        <v>0</v>
      </c>
      <c r="X260" s="8">
        <f>IFERROR(__xludf.DUMMYFUNCTION("""COMPUTED_VALUE"""),0.0)</f>
        <v>0</v>
      </c>
      <c r="Y260" s="8">
        <f>IFERROR(__xludf.DUMMYFUNCTION("""COMPUTED_VALUE"""),0.0)</f>
        <v>0</v>
      </c>
      <c r="Z260" s="8">
        <f>IFERROR(__xludf.DUMMYFUNCTION("""COMPUTED_VALUE"""),0.0)</f>
        <v>0</v>
      </c>
      <c r="AA260" s="8">
        <f>IFERROR(__xludf.DUMMYFUNCTION("""COMPUTED_VALUE"""),0.0)</f>
        <v>0</v>
      </c>
      <c r="AB260" s="8">
        <f>IFERROR(__xludf.DUMMYFUNCTION("""COMPUTED_VALUE"""),0.0)</f>
        <v>0</v>
      </c>
      <c r="AC260" s="8">
        <f>IFERROR(__xludf.DUMMYFUNCTION("""COMPUTED_VALUE"""),0.0)</f>
        <v>0</v>
      </c>
    </row>
    <row r="261" ht="15.75" customHeight="1">
      <c r="A261" s="6" t="str">
        <f>IFERROR(__xludf.DUMMYFUNCTION("""COMPUTED_VALUE"""),"ef47552b570f8fc4cc243b88fae469ea12c31df0")</f>
        <v>ef47552b570f8fc4cc243b88fae469ea12c31df0</v>
      </c>
      <c r="B261" s="6" t="str">
        <f>IFERROR(__xludf.DUMMYFUNCTION("""COMPUTED_VALUE"""),"Mated to Enemy’s Luna")</f>
        <v>Mated to Enemy’s Luna</v>
      </c>
      <c r="C261" s="6" t="str">
        <f>IFERROR(__xludf.DUMMYFUNCTION("""COMPUTED_VALUE"""),"Romantasy")</f>
        <v>Romantasy</v>
      </c>
      <c r="D261" s="11">
        <f>IFERROR(__xludf.DUMMYFUNCTION("""COMPUTED_VALUE"""),1142.0)</f>
        <v>1142</v>
      </c>
      <c r="E261" s="8">
        <f>IFERROR(__xludf.DUMMYFUNCTION("""COMPUTED_VALUE"""),0.953590192644483)</f>
        <v>0.9535901926</v>
      </c>
      <c r="F261" s="8">
        <f>IFERROR(__xludf.DUMMYFUNCTION("""COMPUTED_VALUE"""),0.565674255691768)</f>
        <v>0.5656742557</v>
      </c>
      <c r="G261" s="8">
        <f>IFERROR(__xludf.DUMMYFUNCTION("""COMPUTED_VALUE"""),0.50920245398773)</f>
        <v>0.509202454</v>
      </c>
      <c r="H261" s="8">
        <f>IFERROR(__xludf.DUMMYFUNCTION("""COMPUTED_VALUE"""),0.487291849255039)</f>
        <v>0.4872918493</v>
      </c>
      <c r="I261" s="8">
        <f>IFERROR(__xludf.DUMMYFUNCTION("""COMPUTED_VALUE"""),0.447852760736196)</f>
        <v>0.4478527607</v>
      </c>
      <c r="J261" s="8">
        <f>IFERROR(__xludf.DUMMYFUNCTION("""COMPUTED_VALUE"""),0.414035087719298)</f>
        <v>0.4140350877</v>
      </c>
      <c r="K261" s="8">
        <f>IFERROR(__xludf.DUMMYFUNCTION("""COMPUTED_VALUE"""),0.376646180860403)</f>
        <v>0.3766461809</v>
      </c>
      <c r="L261" s="8">
        <f>IFERROR(__xludf.DUMMYFUNCTION("""COMPUTED_VALUE"""),0.366197183098591)</f>
        <v>0.3661971831</v>
      </c>
      <c r="M261" s="8">
        <f>IFERROR(__xludf.DUMMYFUNCTION("""COMPUTED_VALUE"""),0.358274647887323)</f>
        <v>0.3582746479</v>
      </c>
      <c r="N261" s="8">
        <f>IFERROR(__xludf.DUMMYFUNCTION("""COMPUTED_VALUE"""),0.345950704225352)</f>
        <v>0.3459507042</v>
      </c>
      <c r="O261" s="8">
        <f>IFERROR(__xludf.DUMMYFUNCTION("""COMPUTED_VALUE"""),0.271090047393364)</f>
        <v>0.2710900474</v>
      </c>
      <c r="P261" s="8">
        <f>IFERROR(__xludf.DUMMYFUNCTION("""COMPUTED_VALUE"""),0.196116504854368)</f>
        <v>0.1961165049</v>
      </c>
      <c r="Q261" s="8">
        <f>IFERROR(__xludf.DUMMYFUNCTION("""COMPUTED_VALUE"""),0.0525114155251141)</f>
        <v>0.05251141553</v>
      </c>
      <c r="R261" s="8">
        <f>IFERROR(__xludf.DUMMYFUNCTION("""COMPUTED_VALUE"""),0.05)</f>
        <v>0.05</v>
      </c>
      <c r="S261" s="8">
        <f>IFERROR(__xludf.DUMMYFUNCTION("""COMPUTED_VALUE"""),0.0134228187919463)</f>
        <v>0.01342281879</v>
      </c>
      <c r="T261" s="8">
        <f>IFERROR(__xludf.DUMMYFUNCTION("""COMPUTED_VALUE"""),0.03125)</f>
        <v>0.03125</v>
      </c>
      <c r="U261" s="8">
        <f>IFERROR(__xludf.DUMMYFUNCTION("""COMPUTED_VALUE"""),0.0)</f>
        <v>0</v>
      </c>
      <c r="V261" s="8">
        <f>IFERROR(__xludf.DUMMYFUNCTION("""COMPUTED_VALUE"""),0.0)</f>
        <v>0</v>
      </c>
      <c r="W261" s="8">
        <f>IFERROR(__xludf.DUMMYFUNCTION("""COMPUTED_VALUE"""),0.0)</f>
        <v>0</v>
      </c>
      <c r="X261" s="8">
        <f>IFERROR(__xludf.DUMMYFUNCTION("""COMPUTED_VALUE"""),0.0)</f>
        <v>0</v>
      </c>
      <c r="Y261" s="8">
        <f>IFERROR(__xludf.DUMMYFUNCTION("""COMPUTED_VALUE"""),0.0)</f>
        <v>0</v>
      </c>
      <c r="Z261" s="8">
        <f>IFERROR(__xludf.DUMMYFUNCTION("""COMPUTED_VALUE"""),0.0)</f>
        <v>0</v>
      </c>
      <c r="AA261" s="8">
        <f>IFERROR(__xludf.DUMMYFUNCTION("""COMPUTED_VALUE"""),0.0)</f>
        <v>0</v>
      </c>
      <c r="AB261" s="8">
        <f>IFERROR(__xludf.DUMMYFUNCTION("""COMPUTED_VALUE"""),0.0)</f>
        <v>0</v>
      </c>
      <c r="AC261" s="8">
        <f>IFERROR(__xludf.DUMMYFUNCTION("""COMPUTED_VALUE"""),0.0)</f>
        <v>0</v>
      </c>
    </row>
    <row r="262" ht="15.75" customHeight="1">
      <c r="A262" s="6" t="str">
        <f>IFERROR(__xludf.DUMMYFUNCTION("""COMPUTED_VALUE"""),"efc5ab9117a97ffce6537344dcb0416ed5ff0dc1")</f>
        <v>efc5ab9117a97ffce6537344dcb0416ed5ff0dc1</v>
      </c>
      <c r="B262" s="6" t="str">
        <f>IFERROR(__xludf.DUMMYFUNCTION("""COMPUTED_VALUE"""),"Imperial Clan Descends")</f>
        <v>Imperial Clan Descends</v>
      </c>
      <c r="C262" s="6" t="str">
        <f>IFERROR(__xludf.DUMMYFUNCTION("""COMPUTED_VALUE"""),"Drama")</f>
        <v>Drama</v>
      </c>
      <c r="D262" s="11">
        <f>IFERROR(__xludf.DUMMYFUNCTION("""COMPUTED_VALUE"""),646.0)</f>
        <v>646</v>
      </c>
      <c r="E262" s="8">
        <f>IFERROR(__xludf.DUMMYFUNCTION("""COMPUTED_VALUE"""),0.969696969696969)</f>
        <v>0.9696969697</v>
      </c>
      <c r="F262" s="8">
        <f>IFERROR(__xludf.DUMMYFUNCTION("""COMPUTED_VALUE"""),0.397683397683397)</f>
        <v>0.3976833977</v>
      </c>
      <c r="G262" s="8">
        <f>IFERROR(__xludf.DUMMYFUNCTION("""COMPUTED_VALUE"""),0.326403326403326)</f>
        <v>0.3264033264</v>
      </c>
      <c r="H262" s="8">
        <f>IFERROR(__xludf.DUMMYFUNCTION("""COMPUTED_VALUE"""),0.286666666666666)</f>
        <v>0.2866666667</v>
      </c>
      <c r="I262" s="8">
        <f>IFERROR(__xludf.DUMMYFUNCTION("""COMPUTED_VALUE"""),0.257990867579908)</f>
        <v>0.2579908676</v>
      </c>
      <c r="J262" s="8">
        <f>IFERROR(__xludf.DUMMYFUNCTION("""COMPUTED_VALUE"""),0.221686746987951)</f>
        <v>0.221686747</v>
      </c>
      <c r="K262" s="8">
        <f>IFERROR(__xludf.DUMMYFUNCTION("""COMPUTED_VALUE"""),0.2)</f>
        <v>0.2</v>
      </c>
      <c r="L262" s="8">
        <f>IFERROR(__xludf.DUMMYFUNCTION("""COMPUTED_VALUE"""),0.181818181818181)</f>
        <v>0.1818181818</v>
      </c>
      <c r="M262" s="8">
        <f>IFERROR(__xludf.DUMMYFUNCTION("""COMPUTED_VALUE"""),0.179419525065963)</f>
        <v>0.1794195251</v>
      </c>
      <c r="N262" s="8">
        <f>IFERROR(__xludf.DUMMYFUNCTION("""COMPUTED_VALUE"""),0.168975069252077)</f>
        <v>0.1689750693</v>
      </c>
      <c r="O262" s="8">
        <f>IFERROR(__xludf.DUMMYFUNCTION("""COMPUTED_VALUE"""),0.11986301369863)</f>
        <v>0.1198630137</v>
      </c>
      <c r="P262" s="8">
        <f>IFERROR(__xludf.DUMMYFUNCTION("""COMPUTED_VALUE"""),0.103806228373702)</f>
        <v>0.1038062284</v>
      </c>
      <c r="Q262" s="8">
        <f>IFERROR(__xludf.DUMMYFUNCTION("""COMPUTED_VALUE"""),0.0747330960854092)</f>
        <v>0.07473309609</v>
      </c>
      <c r="R262" s="8">
        <f>IFERROR(__xludf.DUMMYFUNCTION("""COMPUTED_VALUE"""),0.0685920577617328)</f>
        <v>0.06859205776</v>
      </c>
      <c r="S262" s="8">
        <f>IFERROR(__xludf.DUMMYFUNCTION("""COMPUTED_VALUE"""),0.0)</f>
        <v>0</v>
      </c>
      <c r="T262" s="8">
        <f>IFERROR(__xludf.DUMMYFUNCTION("""COMPUTED_VALUE"""),0.0)</f>
        <v>0</v>
      </c>
      <c r="U262" s="8">
        <f>IFERROR(__xludf.DUMMYFUNCTION("""COMPUTED_VALUE"""),0.0)</f>
        <v>0</v>
      </c>
      <c r="V262" s="8">
        <f>IFERROR(__xludf.DUMMYFUNCTION("""COMPUTED_VALUE"""),0.0)</f>
        <v>0</v>
      </c>
      <c r="W262" s="8">
        <f>IFERROR(__xludf.DUMMYFUNCTION("""COMPUTED_VALUE"""),0.0)</f>
        <v>0</v>
      </c>
      <c r="X262" s="8">
        <f>IFERROR(__xludf.DUMMYFUNCTION("""COMPUTED_VALUE"""),0.0)</f>
        <v>0</v>
      </c>
      <c r="Y262" s="8">
        <f>IFERROR(__xludf.DUMMYFUNCTION("""COMPUTED_VALUE"""),0.0)</f>
        <v>0</v>
      </c>
      <c r="Z262" s="8">
        <f>IFERROR(__xludf.DUMMYFUNCTION("""COMPUTED_VALUE"""),0.0)</f>
        <v>0</v>
      </c>
      <c r="AA262" s="8">
        <f>IFERROR(__xludf.DUMMYFUNCTION("""COMPUTED_VALUE"""),0.0)</f>
        <v>0</v>
      </c>
      <c r="AB262" s="8">
        <f>IFERROR(__xludf.DUMMYFUNCTION("""COMPUTED_VALUE"""),0.0)</f>
        <v>0</v>
      </c>
      <c r="AC262" s="8">
        <f>IFERROR(__xludf.DUMMYFUNCTION("""COMPUTED_VALUE"""),0.0)</f>
        <v>0</v>
      </c>
    </row>
    <row r="263" ht="15.75" customHeight="1">
      <c r="A263" s="6" t="str">
        <f>IFERROR(__xludf.DUMMYFUNCTION("""COMPUTED_VALUE"""),"f06451dc56081680609a77b52825c3da76e8ae66")</f>
        <v>f06451dc56081680609a77b52825c3da76e8ae66</v>
      </c>
      <c r="B263" s="6" t="str">
        <f>IFERROR(__xludf.DUMMYFUNCTION("""COMPUTED_VALUE"""),"Her Exit, His Regret")</f>
        <v>Her Exit, His Regret</v>
      </c>
      <c r="C263" s="6" t="str">
        <f>IFERROR(__xludf.DUMMYFUNCTION("""COMPUTED_VALUE"""),"Romance")</f>
        <v>Romance</v>
      </c>
      <c r="D263" s="11">
        <f>IFERROR(__xludf.DUMMYFUNCTION("""COMPUTED_VALUE"""),1951.0)</f>
        <v>1951</v>
      </c>
      <c r="E263" s="8">
        <f>IFERROR(__xludf.DUMMYFUNCTION("""COMPUTED_VALUE"""),0.961045617631983)</f>
        <v>0.9610456176</v>
      </c>
      <c r="F263" s="8">
        <f>IFERROR(__xludf.DUMMYFUNCTION("""COMPUTED_VALUE"""),0.612223934257832)</f>
        <v>0.6122239343</v>
      </c>
      <c r="G263" s="8">
        <f>IFERROR(__xludf.DUMMYFUNCTION("""COMPUTED_VALUE"""),0.538263995891114)</f>
        <v>0.5382639959</v>
      </c>
      <c r="H263" s="8">
        <f>IFERROR(__xludf.DUMMYFUNCTION("""COMPUTED_VALUE"""),0.466358500256805)</f>
        <v>0.4663585003</v>
      </c>
      <c r="I263" s="8">
        <f>IFERROR(__xludf.DUMMYFUNCTION("""COMPUTED_VALUE"""),0.397534668721109)</f>
        <v>0.3975346687</v>
      </c>
      <c r="J263" s="8">
        <f>IFERROR(__xludf.DUMMYFUNCTION("""COMPUTED_VALUE"""),0.355784061696658)</f>
        <v>0.3557840617</v>
      </c>
      <c r="K263" s="8">
        <f>IFERROR(__xludf.DUMMYFUNCTION("""COMPUTED_VALUE"""),0.349279835390946)</f>
        <v>0.3492798354</v>
      </c>
      <c r="L263" s="8">
        <f>IFERROR(__xludf.DUMMYFUNCTION("""COMPUTED_VALUE"""),0.294748124330117)</f>
        <v>0.2947481243</v>
      </c>
      <c r="M263" s="8">
        <f>IFERROR(__xludf.DUMMYFUNCTION("""COMPUTED_VALUE"""),0.268632707774798)</f>
        <v>0.2686327078</v>
      </c>
      <c r="N263" s="8">
        <f>IFERROR(__xludf.DUMMYFUNCTION("""COMPUTED_VALUE"""),0.259935553168635)</f>
        <v>0.2599355532</v>
      </c>
      <c r="O263" s="8">
        <f>IFERROR(__xludf.DUMMYFUNCTION("""COMPUTED_VALUE"""),0.217273221075502)</f>
        <v>0.2172732211</v>
      </c>
      <c r="P263" s="8">
        <f>IFERROR(__xludf.DUMMYFUNCTION("""COMPUTED_VALUE"""),0.152278177458033)</f>
        <v>0.1522781775</v>
      </c>
      <c r="Q263" s="8">
        <f>IFERROR(__xludf.DUMMYFUNCTION("""COMPUTED_VALUE"""),0.100728155339805)</f>
        <v>0.1007281553</v>
      </c>
      <c r="R263" s="8">
        <f>IFERROR(__xludf.DUMMYFUNCTION("""COMPUTED_VALUE"""),0.156862745098039)</f>
        <v>0.1568627451</v>
      </c>
      <c r="S263" s="8">
        <f>IFERROR(__xludf.DUMMYFUNCTION("""COMPUTED_VALUE"""),0.0)</f>
        <v>0</v>
      </c>
      <c r="T263" s="8">
        <f>IFERROR(__xludf.DUMMYFUNCTION("""COMPUTED_VALUE"""),0.0)</f>
        <v>0</v>
      </c>
      <c r="U263" s="8">
        <f>IFERROR(__xludf.DUMMYFUNCTION("""COMPUTED_VALUE"""),0.0)</f>
        <v>0</v>
      </c>
      <c r="V263" s="8">
        <f>IFERROR(__xludf.DUMMYFUNCTION("""COMPUTED_VALUE"""),0.0)</f>
        <v>0</v>
      </c>
      <c r="W263" s="8">
        <f>IFERROR(__xludf.DUMMYFUNCTION("""COMPUTED_VALUE"""),0.0)</f>
        <v>0</v>
      </c>
      <c r="X263" s="8">
        <f>IFERROR(__xludf.DUMMYFUNCTION("""COMPUTED_VALUE"""),0.0)</f>
        <v>0</v>
      </c>
      <c r="Y263" s="8">
        <f>IFERROR(__xludf.DUMMYFUNCTION("""COMPUTED_VALUE"""),0.0)</f>
        <v>0</v>
      </c>
      <c r="Z263" s="8">
        <f>IFERROR(__xludf.DUMMYFUNCTION("""COMPUTED_VALUE"""),0.0)</f>
        <v>0</v>
      </c>
      <c r="AA263" s="8">
        <f>IFERROR(__xludf.DUMMYFUNCTION("""COMPUTED_VALUE"""),0.0)</f>
        <v>0</v>
      </c>
      <c r="AB263" s="8">
        <f>IFERROR(__xludf.DUMMYFUNCTION("""COMPUTED_VALUE"""),0.0)</f>
        <v>0</v>
      </c>
      <c r="AC263" s="8">
        <f>IFERROR(__xludf.DUMMYFUNCTION("""COMPUTED_VALUE"""),0.0)</f>
        <v>0</v>
      </c>
    </row>
    <row r="264" ht="15.75" customHeight="1">
      <c r="A264" s="6" t="str">
        <f>IFERROR(__xludf.DUMMYFUNCTION("""COMPUTED_VALUE"""),"f11e794eecc64915145ae97085e04201646abfe3")</f>
        <v>f11e794eecc64915145ae97085e04201646abfe3</v>
      </c>
      <c r="B264" s="6" t="str">
        <f>IFERROR(__xludf.DUMMYFUNCTION("""COMPUTED_VALUE"""),"Almost His Bride ")</f>
        <v>Almost His Bride </v>
      </c>
      <c r="C264" s="6" t="str">
        <f>IFERROR(__xludf.DUMMYFUNCTION("""COMPUTED_VALUE"""),"Romance")</f>
        <v>Romance</v>
      </c>
      <c r="D264" s="11">
        <f>IFERROR(__xludf.DUMMYFUNCTION("""COMPUTED_VALUE"""),537.0)</f>
        <v>537</v>
      </c>
      <c r="E264" s="8">
        <f>IFERROR(__xludf.DUMMYFUNCTION("""COMPUTED_VALUE"""),0.960893854748603)</f>
        <v>0.9608938547</v>
      </c>
      <c r="F264" s="8">
        <f>IFERROR(__xludf.DUMMYFUNCTION("""COMPUTED_VALUE"""),0.553072625698324)</f>
        <v>0.5530726257</v>
      </c>
      <c r="G264" s="8">
        <f>IFERROR(__xludf.DUMMYFUNCTION("""COMPUTED_VALUE"""),0.502793296089385)</f>
        <v>0.5027932961</v>
      </c>
      <c r="H264" s="8">
        <f>IFERROR(__xludf.DUMMYFUNCTION("""COMPUTED_VALUE"""),0.478584729981378)</f>
        <v>0.47858473</v>
      </c>
      <c r="I264" s="8">
        <f>IFERROR(__xludf.DUMMYFUNCTION("""COMPUTED_VALUE"""),0.452513966480446)</f>
        <v>0.4525139665</v>
      </c>
      <c r="J264" s="8">
        <f>IFERROR(__xludf.DUMMYFUNCTION("""COMPUTED_VALUE"""),0.437616387337057)</f>
        <v>0.4376163873</v>
      </c>
      <c r="K264" s="8">
        <f>IFERROR(__xludf.DUMMYFUNCTION("""COMPUTED_VALUE"""),0.422718808193668)</f>
        <v>0.4227188082</v>
      </c>
      <c r="L264" s="8">
        <f>IFERROR(__xludf.DUMMYFUNCTION("""COMPUTED_VALUE"""),0.39292364990689)</f>
        <v>0.3929236499</v>
      </c>
      <c r="M264" s="8">
        <f>IFERROR(__xludf.DUMMYFUNCTION("""COMPUTED_VALUE"""),0.363805970149253)</f>
        <v>0.3638059701</v>
      </c>
      <c r="N264" s="8">
        <f>IFERROR(__xludf.DUMMYFUNCTION("""COMPUTED_VALUE"""),0.41231343283582)</f>
        <v>0.4123134328</v>
      </c>
      <c r="O264" s="8">
        <f>IFERROR(__xludf.DUMMYFUNCTION("""COMPUTED_VALUE"""),0.220833333333333)</f>
        <v>0.2208333333</v>
      </c>
      <c r="P264" s="8">
        <f>IFERROR(__xludf.DUMMYFUNCTION("""COMPUTED_VALUE"""),0.177083333333333)</f>
        <v>0.1770833333</v>
      </c>
      <c r="Q264" s="8">
        <f>IFERROR(__xludf.DUMMYFUNCTION("""COMPUTED_VALUE"""),0.0426065162907268)</f>
        <v>0.04260651629</v>
      </c>
      <c r="R264" s="8">
        <f>IFERROR(__xludf.DUMMYFUNCTION("""COMPUTED_VALUE"""),0.0143266475644699)</f>
        <v>0.01432664756</v>
      </c>
      <c r="S264" s="8">
        <f>IFERROR(__xludf.DUMMYFUNCTION("""COMPUTED_VALUE"""),0.0)</f>
        <v>0</v>
      </c>
      <c r="T264" s="8">
        <f>IFERROR(__xludf.DUMMYFUNCTION("""COMPUTED_VALUE"""),0.0)</f>
        <v>0</v>
      </c>
      <c r="U264" s="8">
        <f>IFERROR(__xludf.DUMMYFUNCTION("""COMPUTED_VALUE"""),0.0)</f>
        <v>0</v>
      </c>
      <c r="V264" s="8">
        <f>IFERROR(__xludf.DUMMYFUNCTION("""COMPUTED_VALUE"""),0.0)</f>
        <v>0</v>
      </c>
      <c r="W264" s="8">
        <f>IFERROR(__xludf.DUMMYFUNCTION("""COMPUTED_VALUE"""),0.0)</f>
        <v>0</v>
      </c>
      <c r="X264" s="8">
        <f>IFERROR(__xludf.DUMMYFUNCTION("""COMPUTED_VALUE"""),0.0)</f>
        <v>0</v>
      </c>
      <c r="Y264" s="8">
        <f>IFERROR(__xludf.DUMMYFUNCTION("""COMPUTED_VALUE"""),0.0)</f>
        <v>0</v>
      </c>
      <c r="Z264" s="8">
        <f>IFERROR(__xludf.DUMMYFUNCTION("""COMPUTED_VALUE"""),0.0)</f>
        <v>0</v>
      </c>
      <c r="AA264" s="8">
        <f>IFERROR(__xludf.DUMMYFUNCTION("""COMPUTED_VALUE"""),0.0)</f>
        <v>0</v>
      </c>
      <c r="AB264" s="8">
        <f>IFERROR(__xludf.DUMMYFUNCTION("""COMPUTED_VALUE"""),0.0)</f>
        <v>0</v>
      </c>
      <c r="AC264" s="8">
        <f>IFERROR(__xludf.DUMMYFUNCTION("""COMPUTED_VALUE"""),0.0)</f>
        <v>0</v>
      </c>
    </row>
    <row r="265" ht="15.75" customHeight="1">
      <c r="A265" s="6" t="str">
        <f>IFERROR(__xludf.DUMMYFUNCTION("""COMPUTED_VALUE"""),"f16d45e2702863e71bf480a3e2490ded19c4cbd9")</f>
        <v>f16d45e2702863e71bf480a3e2490ded19c4cbd9</v>
      </c>
      <c r="B265" s="6" t="str">
        <f>IFERROR(__xludf.DUMMYFUNCTION("""COMPUTED_VALUE"""),"Supreme Sword Cultivator")</f>
        <v>Supreme Sword Cultivator</v>
      </c>
      <c r="C265" s="6" t="str">
        <f>IFERROR(__xludf.DUMMYFUNCTION("""COMPUTED_VALUE"""),"Fantasy")</f>
        <v>Fantasy</v>
      </c>
      <c r="D265" s="11">
        <f>IFERROR(__xludf.DUMMYFUNCTION("""COMPUTED_VALUE"""),1711.0)</f>
        <v>1711</v>
      </c>
      <c r="E265" s="8">
        <f>IFERROR(__xludf.DUMMYFUNCTION("""COMPUTED_VALUE"""),0.94847775175644)</f>
        <v>0.9484777518</v>
      </c>
      <c r="F265" s="8">
        <f>IFERROR(__xludf.DUMMYFUNCTION("""COMPUTED_VALUE"""),0.545507927187316)</f>
        <v>0.5455079272</v>
      </c>
      <c r="G265" s="8">
        <f>IFERROR(__xludf.DUMMYFUNCTION("""COMPUTED_VALUE"""),0.514101057579318)</f>
        <v>0.5141010576</v>
      </c>
      <c r="H265" s="8">
        <f>IFERROR(__xludf.DUMMYFUNCTION("""COMPUTED_VALUE"""),0.49617871840094)</f>
        <v>0.4961787184</v>
      </c>
      <c r="I265" s="8">
        <f>IFERROR(__xludf.DUMMYFUNCTION("""COMPUTED_VALUE"""),0.472042377869334)</f>
        <v>0.4720423779</v>
      </c>
      <c r="J265" s="8">
        <f>IFERROR(__xludf.DUMMYFUNCTION("""COMPUTED_VALUE"""),0.460448642266824)</f>
        <v>0.4604486423</v>
      </c>
      <c r="K265" s="8">
        <f>IFERROR(__xludf.DUMMYFUNCTION("""COMPUTED_VALUE"""),0.446544595392793)</f>
        <v>0.4465445954</v>
      </c>
      <c r="L265" s="8">
        <f>IFERROR(__xludf.DUMMYFUNCTION("""COMPUTED_VALUE"""),0.43491124260355)</f>
        <v>0.4349112426</v>
      </c>
      <c r="M265" s="8">
        <f>IFERROR(__xludf.DUMMYFUNCTION("""COMPUTED_VALUE"""),0.423668639053254)</f>
        <v>0.4236686391</v>
      </c>
      <c r="N265" s="8">
        <f>IFERROR(__xludf.DUMMYFUNCTION("""COMPUTED_VALUE"""),0.413262285375962)</f>
        <v>0.4132622854</v>
      </c>
      <c r="O265" s="8">
        <f>IFERROR(__xludf.DUMMYFUNCTION("""COMPUTED_VALUE"""),0.369277108433734)</f>
        <v>0.3692771084</v>
      </c>
      <c r="P265" s="8">
        <f>IFERROR(__xludf.DUMMYFUNCTION("""COMPUTED_VALUE"""),0.305230769230769)</f>
        <v>0.3052307692</v>
      </c>
      <c r="Q265" s="8">
        <f>IFERROR(__xludf.DUMMYFUNCTION("""COMPUTED_VALUE"""),0.233870967741935)</f>
        <v>0.2338709677</v>
      </c>
      <c r="R265" s="8">
        <f>IFERROR(__xludf.DUMMYFUNCTION("""COMPUTED_VALUE"""),0.205335489086499)</f>
        <v>0.2053354891</v>
      </c>
      <c r="S265" s="8">
        <f>IFERROR(__xludf.DUMMYFUNCTION("""COMPUTED_VALUE"""),0.164912280701754)</f>
        <v>0.1649122807</v>
      </c>
      <c r="T265" s="8">
        <f>IFERROR(__xludf.DUMMYFUNCTION("""COMPUTED_VALUE"""),0.109977324263038)</f>
        <v>0.1099773243</v>
      </c>
      <c r="U265" s="8">
        <f>IFERROR(__xludf.DUMMYFUNCTION("""COMPUTED_VALUE"""),0.0462833099579242)</f>
        <v>0.04628330996</v>
      </c>
      <c r="V265" s="8">
        <f>IFERROR(__xludf.DUMMYFUNCTION("""COMPUTED_VALUE"""),0.0)</f>
        <v>0</v>
      </c>
      <c r="W265" s="8">
        <f>IFERROR(__xludf.DUMMYFUNCTION("""COMPUTED_VALUE"""),0.0)</f>
        <v>0</v>
      </c>
      <c r="X265" s="8">
        <f>IFERROR(__xludf.DUMMYFUNCTION("""COMPUTED_VALUE"""),0.0)</f>
        <v>0</v>
      </c>
      <c r="Y265" s="8">
        <f>IFERROR(__xludf.DUMMYFUNCTION("""COMPUTED_VALUE"""),0.0)</f>
        <v>0</v>
      </c>
      <c r="Z265" s="8">
        <f>IFERROR(__xludf.DUMMYFUNCTION("""COMPUTED_VALUE"""),0.0)</f>
        <v>0</v>
      </c>
      <c r="AA265" s="8">
        <f>IFERROR(__xludf.DUMMYFUNCTION("""COMPUTED_VALUE"""),0.0)</f>
        <v>0</v>
      </c>
      <c r="AB265" s="8">
        <f>IFERROR(__xludf.DUMMYFUNCTION("""COMPUTED_VALUE"""),0.0)</f>
        <v>0</v>
      </c>
      <c r="AC265" s="8">
        <f>IFERROR(__xludf.DUMMYFUNCTION("""COMPUTED_VALUE"""),0.0)</f>
        <v>0</v>
      </c>
    </row>
    <row r="266" ht="15.75" customHeight="1">
      <c r="A266" s="6" t="str">
        <f>IFERROR(__xludf.DUMMYFUNCTION("""COMPUTED_VALUE"""),"f23c3d5745910e4c7cf490450f5314358a0cec03")</f>
        <v>f23c3d5745910e4c7cf490450f5314358a0cec03</v>
      </c>
      <c r="B266" s="6" t="str">
        <f>IFERROR(__xludf.DUMMYFUNCTION("""COMPUTED_VALUE"""),"When My Ex Returned")</f>
        <v>When My Ex Returned</v>
      </c>
      <c r="C266" s="6" t="str">
        <f>IFERROR(__xludf.DUMMYFUNCTION("""COMPUTED_VALUE"""),"Romance")</f>
        <v>Romance</v>
      </c>
      <c r="D266" s="11">
        <f>IFERROR(__xludf.DUMMYFUNCTION("""COMPUTED_VALUE"""),1725.0)</f>
        <v>1725</v>
      </c>
      <c r="E266" s="8">
        <f>IFERROR(__xludf.DUMMYFUNCTION("""COMPUTED_VALUE"""),0.973791496796738)</f>
        <v>0.9737914968</v>
      </c>
      <c r="F266" s="8">
        <f>IFERROR(__xludf.DUMMYFUNCTION("""COMPUTED_VALUE"""),0.371278458844133)</f>
        <v>0.3712784588</v>
      </c>
      <c r="G266" s="8">
        <f>IFERROR(__xludf.DUMMYFUNCTION("""COMPUTED_VALUE"""),0.318155283129013)</f>
        <v>0.3181552831</v>
      </c>
      <c r="H266" s="8">
        <f>IFERROR(__xludf.DUMMYFUNCTION("""COMPUTED_VALUE"""),0.290718038528896)</f>
        <v>0.2907180385</v>
      </c>
      <c r="I266" s="8">
        <f>IFERROR(__xludf.DUMMYFUNCTION("""COMPUTED_VALUE"""),0.273364485981308)</f>
        <v>0.273364486</v>
      </c>
      <c r="J266" s="8">
        <f>IFERROR(__xludf.DUMMYFUNCTION("""COMPUTED_VALUE"""),0.254088785046729)</f>
        <v>0.254088785</v>
      </c>
      <c r="K266" s="8">
        <f>IFERROR(__xludf.DUMMYFUNCTION("""COMPUTED_VALUE"""),0.230274693161893)</f>
        <v>0.2302746932</v>
      </c>
      <c r="L266" s="8">
        <f>IFERROR(__xludf.DUMMYFUNCTION("""COMPUTED_VALUE"""),0.209970674486803)</f>
        <v>0.2099706745</v>
      </c>
      <c r="M266" s="8">
        <f>IFERROR(__xludf.DUMMYFUNCTION("""COMPUTED_VALUE"""),0.197183098591549)</f>
        <v>0.1971830986</v>
      </c>
      <c r="N266" s="8">
        <f>IFERROR(__xludf.DUMMYFUNCTION("""COMPUTED_VALUE"""),0.189553990610328)</f>
        <v>0.1895539906</v>
      </c>
      <c r="O266" s="8">
        <f>IFERROR(__xludf.DUMMYFUNCTION("""COMPUTED_VALUE"""),0.154846335697399)</f>
        <v>0.1548463357</v>
      </c>
      <c r="P266" s="8">
        <f>IFERROR(__xludf.DUMMYFUNCTION("""COMPUTED_VALUE"""),0.145431145431145)</f>
        <v>0.1454311454</v>
      </c>
      <c r="Q266" s="8">
        <f>IFERROR(__xludf.DUMMYFUNCTION("""COMPUTED_VALUE"""),0.15340909090909)</f>
        <v>0.1534090909</v>
      </c>
      <c r="R266" s="8">
        <f>IFERROR(__xludf.DUMMYFUNCTION("""COMPUTED_VALUE"""),0.0)</f>
        <v>0</v>
      </c>
      <c r="S266" s="8">
        <f>IFERROR(__xludf.DUMMYFUNCTION("""COMPUTED_VALUE"""),0.0)</f>
        <v>0</v>
      </c>
      <c r="T266" s="8">
        <f>IFERROR(__xludf.DUMMYFUNCTION("""COMPUTED_VALUE"""),0.0)</f>
        <v>0</v>
      </c>
      <c r="U266" s="8">
        <f>IFERROR(__xludf.DUMMYFUNCTION("""COMPUTED_VALUE"""),0.0)</f>
        <v>0</v>
      </c>
      <c r="V266" s="8">
        <f>IFERROR(__xludf.DUMMYFUNCTION("""COMPUTED_VALUE"""),0.0)</f>
        <v>0</v>
      </c>
      <c r="W266" s="8">
        <f>IFERROR(__xludf.DUMMYFUNCTION("""COMPUTED_VALUE"""),0.0)</f>
        <v>0</v>
      </c>
      <c r="X266" s="8">
        <f>IFERROR(__xludf.DUMMYFUNCTION("""COMPUTED_VALUE"""),0.0)</f>
        <v>0</v>
      </c>
      <c r="Y266" s="8">
        <f>IFERROR(__xludf.DUMMYFUNCTION("""COMPUTED_VALUE"""),0.0)</f>
        <v>0</v>
      </c>
      <c r="Z266" s="8">
        <f>IFERROR(__xludf.DUMMYFUNCTION("""COMPUTED_VALUE"""),0.0)</f>
        <v>0</v>
      </c>
      <c r="AA266" s="8">
        <f>IFERROR(__xludf.DUMMYFUNCTION("""COMPUTED_VALUE"""),0.0)</f>
        <v>0</v>
      </c>
      <c r="AB266" s="8">
        <f>IFERROR(__xludf.DUMMYFUNCTION("""COMPUTED_VALUE"""),0.0)</f>
        <v>0</v>
      </c>
      <c r="AC266" s="8">
        <f>IFERROR(__xludf.DUMMYFUNCTION("""COMPUTED_VALUE"""),0.0)</f>
        <v>0</v>
      </c>
    </row>
    <row r="267" ht="15.75" customHeight="1">
      <c r="A267" s="6" t="str">
        <f>IFERROR(__xludf.DUMMYFUNCTION("""COMPUTED_VALUE"""),"f2ec53ac7f98813aea65ea59e50f32077fe08707")</f>
        <v>f2ec53ac7f98813aea65ea59e50f32077fe08707</v>
      </c>
      <c r="B267" s="6" t="str">
        <f>IFERROR(__xludf.DUMMYFUNCTION("""COMPUTED_VALUE"""),"The Forbidden Kiss")</f>
        <v>The Forbidden Kiss</v>
      </c>
      <c r="C267" s="6" t="str">
        <f>IFERROR(__xludf.DUMMYFUNCTION("""COMPUTED_VALUE"""),"Romance")</f>
        <v>Romance</v>
      </c>
      <c r="D267" s="11">
        <f>IFERROR(__xludf.DUMMYFUNCTION("""COMPUTED_VALUE"""),1719.0)</f>
        <v>1719</v>
      </c>
      <c r="E267" s="8">
        <f>IFERROR(__xludf.DUMMYFUNCTION("""COMPUTED_VALUE"""),0.967339667458432)</f>
        <v>0.9673396675</v>
      </c>
      <c r="F267" s="8">
        <f>IFERROR(__xludf.DUMMYFUNCTION("""COMPUTED_VALUE"""),0.6)</f>
        <v>0.6</v>
      </c>
      <c r="G267" s="8">
        <f>IFERROR(__xludf.DUMMYFUNCTION("""COMPUTED_VALUE"""),0.498117942283563)</f>
        <v>0.4981179423</v>
      </c>
      <c r="H267" s="8">
        <f>IFERROR(__xludf.DUMMYFUNCTION("""COMPUTED_VALUE"""),0.428571428571428)</f>
        <v>0.4285714286</v>
      </c>
      <c r="I267" s="8">
        <f>IFERROR(__xludf.DUMMYFUNCTION("""COMPUTED_VALUE"""),0.389071757735352)</f>
        <v>0.3890717577</v>
      </c>
      <c r="J267" s="8">
        <f>IFERROR(__xludf.DUMMYFUNCTION("""COMPUTED_VALUE"""),0.354795439302481)</f>
        <v>0.3547954393</v>
      </c>
      <c r="K267" s="8">
        <f>IFERROR(__xludf.DUMMYFUNCTION("""COMPUTED_VALUE"""),0.311688311688311)</f>
        <v>0.3116883117</v>
      </c>
      <c r="L267" s="8">
        <f>IFERROR(__xludf.DUMMYFUNCTION("""COMPUTED_VALUE"""),0.29002808988764)</f>
        <v>0.2900280899</v>
      </c>
      <c r="M267" s="8">
        <f>IFERROR(__xludf.DUMMYFUNCTION("""COMPUTED_VALUE"""),0.264663805436337)</f>
        <v>0.2646638054</v>
      </c>
      <c r="N267" s="8">
        <f>IFERROR(__xludf.DUMMYFUNCTION("""COMPUTED_VALUE"""),0.25)</f>
        <v>0.25</v>
      </c>
      <c r="O267" s="8">
        <f>IFERROR(__xludf.DUMMYFUNCTION("""COMPUTED_VALUE"""),0.211016949152542)</f>
        <v>0.2110169492</v>
      </c>
      <c r="P267" s="8">
        <f>IFERROR(__xludf.DUMMYFUNCTION("""COMPUTED_VALUE"""),0.139407244785949)</f>
        <v>0.1394072448</v>
      </c>
      <c r="Q267" s="8">
        <f>IFERROR(__xludf.DUMMYFUNCTION("""COMPUTED_VALUE"""),0.121212121212121)</f>
        <v>0.1212121212</v>
      </c>
      <c r="R267" s="8">
        <f>IFERROR(__xludf.DUMMYFUNCTION("""COMPUTED_VALUE"""),0.0849056603773584)</f>
        <v>0.08490566038</v>
      </c>
      <c r="S267" s="8">
        <f>IFERROR(__xludf.DUMMYFUNCTION("""COMPUTED_VALUE"""),0.0)</f>
        <v>0</v>
      </c>
      <c r="T267" s="8">
        <f>IFERROR(__xludf.DUMMYFUNCTION("""COMPUTED_VALUE"""),0.0)</f>
        <v>0</v>
      </c>
      <c r="U267" s="8">
        <f>IFERROR(__xludf.DUMMYFUNCTION("""COMPUTED_VALUE"""),0.0)</f>
        <v>0</v>
      </c>
      <c r="V267" s="8">
        <f>IFERROR(__xludf.DUMMYFUNCTION("""COMPUTED_VALUE"""),0.0)</f>
        <v>0</v>
      </c>
      <c r="W267" s="8">
        <f>IFERROR(__xludf.DUMMYFUNCTION("""COMPUTED_VALUE"""),0.0)</f>
        <v>0</v>
      </c>
      <c r="X267" s="8">
        <f>IFERROR(__xludf.DUMMYFUNCTION("""COMPUTED_VALUE"""),0.0)</f>
        <v>0</v>
      </c>
      <c r="Y267" s="8">
        <f>IFERROR(__xludf.DUMMYFUNCTION("""COMPUTED_VALUE"""),0.0)</f>
        <v>0</v>
      </c>
      <c r="Z267" s="8">
        <f>IFERROR(__xludf.DUMMYFUNCTION("""COMPUTED_VALUE"""),0.0)</f>
        <v>0</v>
      </c>
      <c r="AA267" s="8">
        <f>IFERROR(__xludf.DUMMYFUNCTION("""COMPUTED_VALUE"""),0.0)</f>
        <v>0</v>
      </c>
      <c r="AB267" s="8">
        <f>IFERROR(__xludf.DUMMYFUNCTION("""COMPUTED_VALUE"""),0.0)</f>
        <v>0</v>
      </c>
      <c r="AC267" s="8">
        <f>IFERROR(__xludf.DUMMYFUNCTION("""COMPUTED_VALUE"""),0.0)</f>
        <v>0</v>
      </c>
    </row>
    <row r="268" ht="15.75" customHeight="1">
      <c r="A268" s="6" t="str">
        <f>IFERROR(__xludf.DUMMYFUNCTION("""COMPUTED_VALUE"""),"f32ed59a93a11812f5a5a57e2c663028b1c65f89")</f>
        <v>f32ed59a93a11812f5a5a57e2c663028b1c65f89</v>
      </c>
      <c r="B268" s="6" t="str">
        <f>IFERROR(__xludf.DUMMYFUNCTION("""COMPUTED_VALUE"""),"Trillionaire Sterling")</f>
        <v>Trillionaire Sterling</v>
      </c>
      <c r="C268" s="6" t="str">
        <f>IFERROR(__xludf.DUMMYFUNCTION("""COMPUTED_VALUE"""),"Fantasy")</f>
        <v>Fantasy</v>
      </c>
      <c r="D268" s="11">
        <f>IFERROR(__xludf.DUMMYFUNCTION("""COMPUTED_VALUE"""),32193.0)</f>
        <v>32193</v>
      </c>
      <c r="E268" s="8">
        <f>IFERROR(__xludf.DUMMYFUNCTION("""COMPUTED_VALUE"""),0.895985571690662)</f>
        <v>0.8959855717</v>
      </c>
      <c r="F268" s="8">
        <f>IFERROR(__xludf.DUMMYFUNCTION("""COMPUTED_VALUE"""),0.502289790959219)</f>
        <v>0.502289791</v>
      </c>
      <c r="G268" s="8">
        <f>IFERROR(__xludf.DUMMYFUNCTION("""COMPUTED_VALUE"""),0.450933775455938)</f>
        <v>0.4509337755</v>
      </c>
      <c r="H268" s="8">
        <f>IFERROR(__xludf.DUMMYFUNCTION("""COMPUTED_VALUE"""),0.425173376847522)</f>
        <v>0.4251733768</v>
      </c>
      <c r="I268" s="8">
        <f>IFERROR(__xludf.DUMMYFUNCTION("""COMPUTED_VALUE"""),0.404099238083244)</f>
        <v>0.4040992381</v>
      </c>
      <c r="J268" s="8">
        <f>IFERROR(__xludf.DUMMYFUNCTION("""COMPUTED_VALUE"""),0.388190716766656)</f>
        <v>0.3881907168</v>
      </c>
      <c r="K268" s="8">
        <f>IFERROR(__xludf.DUMMYFUNCTION("""COMPUTED_VALUE"""),0.37849387483777)</f>
        <v>0.3784938748</v>
      </c>
      <c r="L268" s="8">
        <f>IFERROR(__xludf.DUMMYFUNCTION("""COMPUTED_VALUE"""),0.371003622958113)</f>
        <v>0.371003623</v>
      </c>
      <c r="M268" s="8">
        <f>IFERROR(__xludf.DUMMYFUNCTION("""COMPUTED_VALUE"""),0.367009387572641)</f>
        <v>0.3670093876</v>
      </c>
      <c r="N268" s="8">
        <f>IFERROR(__xludf.DUMMYFUNCTION("""COMPUTED_VALUE"""),0.362943023777478)</f>
        <v>0.3629430238</v>
      </c>
      <c r="O268" s="8">
        <f>IFERROR(__xludf.DUMMYFUNCTION("""COMPUTED_VALUE"""),0.334040054798095)</f>
        <v>0.3340400548</v>
      </c>
      <c r="P268" s="8">
        <f>IFERROR(__xludf.DUMMYFUNCTION("""COMPUTED_VALUE"""),0.285967375317555)</f>
        <v>0.2859673753</v>
      </c>
      <c r="Q268" s="8">
        <f>IFERROR(__xludf.DUMMYFUNCTION("""COMPUTED_VALUE"""),0.242514019680457)</f>
        <v>0.2425140197</v>
      </c>
      <c r="R268" s="8">
        <f>IFERROR(__xludf.DUMMYFUNCTION("""COMPUTED_VALUE"""),0.198017749025462)</f>
        <v>0.198017749</v>
      </c>
      <c r="S268" s="8">
        <f>IFERROR(__xludf.DUMMYFUNCTION("""COMPUTED_VALUE"""),0.172809504522748)</f>
        <v>0.1728095045</v>
      </c>
      <c r="T268" s="8">
        <f>IFERROR(__xludf.DUMMYFUNCTION("""COMPUTED_VALUE"""),0.134372926343729)</f>
        <v>0.1343729263</v>
      </c>
      <c r="U268" s="8">
        <f>IFERROR(__xludf.DUMMYFUNCTION("""COMPUTED_VALUE"""),0.0747724317295188)</f>
        <v>0.07477243173</v>
      </c>
      <c r="V268" s="8">
        <f>IFERROR(__xludf.DUMMYFUNCTION("""COMPUTED_VALUE"""),0.0816326530612244)</f>
        <v>0.08163265306</v>
      </c>
      <c r="W268" s="8">
        <f>IFERROR(__xludf.DUMMYFUNCTION("""COMPUTED_VALUE"""),0.0401234567901234)</f>
        <v>0.04012345679</v>
      </c>
      <c r="X268" s="8">
        <f>IFERROR(__xludf.DUMMYFUNCTION("""COMPUTED_VALUE"""),0.0)</f>
        <v>0</v>
      </c>
      <c r="Y268" s="8">
        <f>IFERROR(__xludf.DUMMYFUNCTION("""COMPUTED_VALUE"""),0.0)</f>
        <v>0</v>
      </c>
      <c r="Z268" s="8">
        <f>IFERROR(__xludf.DUMMYFUNCTION("""COMPUTED_VALUE"""),0.0)</f>
        <v>0</v>
      </c>
      <c r="AA268" s="8">
        <f>IFERROR(__xludf.DUMMYFUNCTION("""COMPUTED_VALUE"""),0.0)</f>
        <v>0</v>
      </c>
      <c r="AB268" s="8">
        <f>IFERROR(__xludf.DUMMYFUNCTION("""COMPUTED_VALUE"""),0.0)</f>
        <v>0</v>
      </c>
      <c r="AC268" s="8">
        <f>IFERROR(__xludf.DUMMYFUNCTION("""COMPUTED_VALUE"""),0.0)</f>
        <v>0</v>
      </c>
    </row>
    <row r="269" ht="15.75" customHeight="1">
      <c r="A269" s="6" t="str">
        <f>IFERROR(__xludf.DUMMYFUNCTION("""COMPUTED_VALUE"""),"f3b45a9b931b38c0315d82ad645b9e45b513664b")</f>
        <v>f3b45a9b931b38c0315d82ad645b9e45b513664b</v>
      </c>
      <c r="B269" s="6" t="str">
        <f>IFERROR(__xludf.DUMMYFUNCTION("""COMPUTED_VALUE"""),"Reborn as a Golblin?!")</f>
        <v>Reborn as a Golblin?!</v>
      </c>
      <c r="C269" s="6" t="str">
        <f>IFERROR(__xludf.DUMMYFUNCTION("""COMPUTED_VALUE"""),"System and Superpower")</f>
        <v>System and Superpower</v>
      </c>
      <c r="D269" s="11">
        <f>IFERROR(__xludf.DUMMYFUNCTION("""COMPUTED_VALUE"""),1191.0)</f>
        <v>1191</v>
      </c>
      <c r="E269" s="8">
        <f>IFERROR(__xludf.DUMMYFUNCTION("""COMPUTED_VALUE"""),0.988235294117647)</f>
        <v>0.9882352941</v>
      </c>
      <c r="F269" s="8">
        <f>IFERROR(__xludf.DUMMYFUNCTION("""COMPUTED_VALUE"""),0.649241146711635)</f>
        <v>0.6492411467</v>
      </c>
      <c r="G269" s="8">
        <f>IFERROR(__xludf.DUMMYFUNCTION("""COMPUTED_VALUE"""),0.561759729272419)</f>
        <v>0.5617597293</v>
      </c>
      <c r="H269" s="8">
        <f>IFERROR(__xludf.DUMMYFUNCTION("""COMPUTED_VALUE"""),0.476149914821124)</f>
        <v>0.4761499148</v>
      </c>
      <c r="I269" s="8">
        <f>IFERROR(__xludf.DUMMYFUNCTION("""COMPUTED_VALUE"""),0.434369602763385)</f>
        <v>0.4343696028</v>
      </c>
      <c r="J269" s="8">
        <f>IFERROR(__xludf.DUMMYFUNCTION("""COMPUTED_VALUE"""),0.371841155234657)</f>
        <v>0.3718411552</v>
      </c>
      <c r="K269" s="8">
        <f>IFERROR(__xludf.DUMMYFUNCTION("""COMPUTED_VALUE"""),0.344181459566074)</f>
        <v>0.3441814596</v>
      </c>
      <c r="L269" s="8">
        <f>IFERROR(__xludf.DUMMYFUNCTION("""COMPUTED_VALUE"""),0.308431163287086)</f>
        <v>0.3084311633</v>
      </c>
      <c r="M269" s="8">
        <f>IFERROR(__xludf.DUMMYFUNCTION("""COMPUTED_VALUE"""),0.280846063454759)</f>
        <v>0.2808460635</v>
      </c>
      <c r="N269" s="8">
        <f>IFERROR(__xludf.DUMMYFUNCTION("""COMPUTED_VALUE"""),0.264)</f>
        <v>0.264</v>
      </c>
      <c r="O269" s="8">
        <f>IFERROR(__xludf.DUMMYFUNCTION("""COMPUTED_VALUE"""),0.22752808988764)</f>
        <v>0.2275280899</v>
      </c>
      <c r="P269" s="8">
        <f>IFERROR(__xludf.DUMMYFUNCTION("""COMPUTED_VALUE"""),0.21)</f>
        <v>0.21</v>
      </c>
      <c r="Q269" s="8">
        <f>IFERROR(__xludf.DUMMYFUNCTION("""COMPUTED_VALUE"""),0.0)</f>
        <v>0</v>
      </c>
      <c r="R269" s="8">
        <f>IFERROR(__xludf.DUMMYFUNCTION("""COMPUTED_VALUE"""),0.0)</f>
        <v>0</v>
      </c>
      <c r="S269" s="8">
        <f>IFERROR(__xludf.DUMMYFUNCTION("""COMPUTED_VALUE"""),0.0)</f>
        <v>0</v>
      </c>
      <c r="T269" s="8">
        <f>IFERROR(__xludf.DUMMYFUNCTION("""COMPUTED_VALUE"""),0.0)</f>
        <v>0</v>
      </c>
      <c r="U269" s="8">
        <f>IFERROR(__xludf.DUMMYFUNCTION("""COMPUTED_VALUE"""),0.0)</f>
        <v>0</v>
      </c>
      <c r="V269" s="8">
        <f>IFERROR(__xludf.DUMMYFUNCTION("""COMPUTED_VALUE"""),0.0)</f>
        <v>0</v>
      </c>
      <c r="W269" s="8">
        <f>IFERROR(__xludf.DUMMYFUNCTION("""COMPUTED_VALUE"""),0.0)</f>
        <v>0</v>
      </c>
      <c r="X269" s="8">
        <f>IFERROR(__xludf.DUMMYFUNCTION("""COMPUTED_VALUE"""),0.0)</f>
        <v>0</v>
      </c>
      <c r="Y269" s="8">
        <f>IFERROR(__xludf.DUMMYFUNCTION("""COMPUTED_VALUE"""),0.0)</f>
        <v>0</v>
      </c>
      <c r="Z269" s="8">
        <f>IFERROR(__xludf.DUMMYFUNCTION("""COMPUTED_VALUE"""),0.0)</f>
        <v>0</v>
      </c>
      <c r="AA269" s="8">
        <f>IFERROR(__xludf.DUMMYFUNCTION("""COMPUTED_VALUE"""),0.0)</f>
        <v>0</v>
      </c>
      <c r="AB269" s="8">
        <f>IFERROR(__xludf.DUMMYFUNCTION("""COMPUTED_VALUE"""),0.0)</f>
        <v>0</v>
      </c>
      <c r="AC269" s="8">
        <f>IFERROR(__xludf.DUMMYFUNCTION("""COMPUTED_VALUE"""),0.0)</f>
        <v>0</v>
      </c>
    </row>
    <row r="270" ht="15.75" customHeight="1">
      <c r="A270" s="6" t="str">
        <f>IFERROR(__xludf.DUMMYFUNCTION("""COMPUTED_VALUE"""),"f47e2c3c03d765bd054b92de405403a6c90b8d7f")</f>
        <v>f47e2c3c03d765bd054b92de405403a6c90b8d7f</v>
      </c>
      <c r="B270" s="6" t="str">
        <f>IFERROR(__xludf.DUMMYFUNCTION("""COMPUTED_VALUE"""),"It Was You Mister Cross")</f>
        <v>It Was You Mister Cross</v>
      </c>
      <c r="C270" s="6" t="str">
        <f>IFERROR(__xludf.DUMMYFUNCTION("""COMPUTED_VALUE"""),"Romance")</f>
        <v>Romance</v>
      </c>
      <c r="D270" s="11">
        <f>IFERROR(__xludf.DUMMYFUNCTION("""COMPUTED_VALUE"""),1103.0)</f>
        <v>1103</v>
      </c>
      <c r="E270" s="8">
        <f>IFERROR(__xludf.DUMMYFUNCTION("""COMPUTED_VALUE"""),0.971843778383288)</f>
        <v>0.9718437784</v>
      </c>
      <c r="F270" s="8">
        <f>IFERROR(__xludf.DUMMYFUNCTION("""COMPUTED_VALUE"""),0.481312670920692)</f>
        <v>0.4813126709</v>
      </c>
      <c r="G270" s="8">
        <f>IFERROR(__xludf.DUMMYFUNCTION("""COMPUTED_VALUE"""),0.423883318140382)</f>
        <v>0.4238833181</v>
      </c>
      <c r="H270" s="8">
        <f>IFERROR(__xludf.DUMMYFUNCTION("""COMPUTED_VALUE"""),0.36827711941659)</f>
        <v>0.3682771194</v>
      </c>
      <c r="I270" s="8">
        <f>IFERROR(__xludf.DUMMYFUNCTION("""COMPUTED_VALUE"""),0.346399270738377)</f>
        <v>0.3463992707</v>
      </c>
      <c r="J270" s="8">
        <f>IFERROR(__xludf.DUMMYFUNCTION("""COMPUTED_VALUE"""),0.339106654512306)</f>
        <v>0.3391066545</v>
      </c>
      <c r="K270" s="8">
        <f>IFERROR(__xludf.DUMMYFUNCTION("""COMPUTED_VALUE"""),0.312956204379562)</f>
        <v>0.3129562044</v>
      </c>
      <c r="L270" s="8">
        <f>IFERROR(__xludf.DUMMYFUNCTION("""COMPUTED_VALUE"""),0.297716894977168)</f>
        <v>0.297716895</v>
      </c>
      <c r="M270" s="8">
        <f>IFERROR(__xludf.DUMMYFUNCTION("""COMPUTED_VALUE"""),0.273921200750469)</f>
        <v>0.2739212008</v>
      </c>
      <c r="N270" s="8">
        <f>IFERROR(__xludf.DUMMYFUNCTION("""COMPUTED_VALUE"""),0.268796992481203)</f>
        <v>0.2687969925</v>
      </c>
      <c r="O270" s="8">
        <f>IFERROR(__xludf.DUMMYFUNCTION("""COMPUTED_VALUE"""),0.208373904576436)</f>
        <v>0.2083739046</v>
      </c>
      <c r="P270" s="8">
        <f>IFERROR(__xludf.DUMMYFUNCTION("""COMPUTED_VALUE"""),0.176354679802955)</f>
        <v>0.1763546798</v>
      </c>
      <c r="Q270" s="8">
        <f>IFERROR(__xludf.DUMMYFUNCTION("""COMPUTED_VALUE"""),0.0927624872579001)</f>
        <v>0.09276248726</v>
      </c>
      <c r="R270" s="8">
        <f>IFERROR(__xludf.DUMMYFUNCTION("""COMPUTED_VALUE"""),0.0461538461538461)</f>
        <v>0.04615384615</v>
      </c>
      <c r="S270" s="8">
        <f>IFERROR(__xludf.DUMMYFUNCTION("""COMPUTED_VALUE"""),0.018796992481203)</f>
        <v>0.01879699248</v>
      </c>
      <c r="T270" s="8">
        <f>IFERROR(__xludf.DUMMYFUNCTION("""COMPUTED_VALUE"""),0.0065359477124183)</f>
        <v>0.006535947712</v>
      </c>
      <c r="U270" s="8">
        <f>IFERROR(__xludf.DUMMYFUNCTION("""COMPUTED_VALUE"""),0.0)</f>
        <v>0</v>
      </c>
      <c r="V270" s="8">
        <f>IFERROR(__xludf.DUMMYFUNCTION("""COMPUTED_VALUE"""),0.0)</f>
        <v>0</v>
      </c>
      <c r="W270" s="8">
        <f>IFERROR(__xludf.DUMMYFUNCTION("""COMPUTED_VALUE"""),0.0)</f>
        <v>0</v>
      </c>
      <c r="X270" s="8">
        <f>IFERROR(__xludf.DUMMYFUNCTION("""COMPUTED_VALUE"""),0.0)</f>
        <v>0</v>
      </c>
      <c r="Y270" s="8">
        <f>IFERROR(__xludf.DUMMYFUNCTION("""COMPUTED_VALUE"""),0.0)</f>
        <v>0</v>
      </c>
      <c r="Z270" s="8">
        <f>IFERROR(__xludf.DUMMYFUNCTION("""COMPUTED_VALUE"""),0.0)</f>
        <v>0</v>
      </c>
      <c r="AA270" s="8">
        <f>IFERROR(__xludf.DUMMYFUNCTION("""COMPUTED_VALUE"""),0.0)</f>
        <v>0</v>
      </c>
      <c r="AB270" s="8">
        <f>IFERROR(__xludf.DUMMYFUNCTION("""COMPUTED_VALUE"""),0.0)</f>
        <v>0</v>
      </c>
      <c r="AC270" s="8">
        <f>IFERROR(__xludf.DUMMYFUNCTION("""COMPUTED_VALUE"""),0.0)</f>
        <v>0</v>
      </c>
    </row>
    <row r="271" ht="15.75" customHeight="1">
      <c r="A271" s="6" t="str">
        <f>IFERROR(__xludf.DUMMYFUNCTION("""COMPUTED_VALUE"""),"f55e0806430f9f979b0bfc889bab608a05d8bb5b")</f>
        <v>f55e0806430f9f979b0bfc889bab608a05d8bb5b</v>
      </c>
      <c r="B271" s="6" t="str">
        <f>IFERROR(__xludf.DUMMYFUNCTION("""COMPUTED_VALUE"""),"Light of a New World")</f>
        <v>Light of a New World</v>
      </c>
      <c r="C271" s="6" t="str">
        <f>IFERROR(__xludf.DUMMYFUNCTION("""COMPUTED_VALUE"""),"Sci-Fi")</f>
        <v>Sci-Fi</v>
      </c>
      <c r="D271" s="11">
        <f>IFERROR(__xludf.DUMMYFUNCTION("""COMPUTED_VALUE"""),1189.0)</f>
        <v>1189</v>
      </c>
      <c r="E271" s="8">
        <f>IFERROR(__xludf.DUMMYFUNCTION("""COMPUTED_VALUE"""),0.979695431472081)</f>
        <v>0.9796954315</v>
      </c>
      <c r="F271" s="8">
        <f>IFERROR(__xludf.DUMMYFUNCTION("""COMPUTED_VALUE"""),0.33617747440273)</f>
        <v>0.3361774744</v>
      </c>
      <c r="G271" s="8">
        <f>IFERROR(__xludf.DUMMYFUNCTION("""COMPUTED_VALUE"""),0.259227467811158)</f>
        <v>0.2592274678</v>
      </c>
      <c r="H271" s="8">
        <f>IFERROR(__xludf.DUMMYFUNCTION("""COMPUTED_VALUE"""),0.196382428940568)</f>
        <v>0.1963824289</v>
      </c>
      <c r="I271" s="8">
        <f>IFERROR(__xludf.DUMMYFUNCTION("""COMPUTED_VALUE"""),0.161929371231696)</f>
        <v>0.1619293712</v>
      </c>
      <c r="J271" s="8">
        <f>IFERROR(__xludf.DUMMYFUNCTION("""COMPUTED_VALUE"""),0.14495254529767)</f>
        <v>0.1449525453</v>
      </c>
      <c r="K271" s="8">
        <f>IFERROR(__xludf.DUMMYFUNCTION("""COMPUTED_VALUE"""),0.120793787748058)</f>
        <v>0.1207937877</v>
      </c>
      <c r="L271" s="8">
        <f>IFERROR(__xludf.DUMMYFUNCTION("""COMPUTED_VALUE"""),0.10181190681622)</f>
        <v>0.1018119068</v>
      </c>
      <c r="M271" s="8">
        <f>IFERROR(__xludf.DUMMYFUNCTION("""COMPUTED_VALUE"""),0.0846286701208981)</f>
        <v>0.08462867012</v>
      </c>
      <c r="N271" s="8">
        <f>IFERROR(__xludf.DUMMYFUNCTION("""COMPUTED_VALUE"""),0.0751295336787564)</f>
        <v>0.07512953368</v>
      </c>
      <c r="O271" s="8">
        <f>IFERROR(__xludf.DUMMYFUNCTION("""COMPUTED_VALUE"""),0.0536796536796536)</f>
        <v>0.05367965368</v>
      </c>
      <c r="P271" s="8">
        <f>IFERROR(__xludf.DUMMYFUNCTION("""COMPUTED_VALUE"""),0.0464504820333041)</f>
        <v>0.04645048203</v>
      </c>
      <c r="Q271" s="8">
        <f>IFERROR(__xludf.DUMMYFUNCTION("""COMPUTED_VALUE"""),0.0257777777777777)</f>
        <v>0.02577777778</v>
      </c>
      <c r="R271" s="8">
        <f>IFERROR(__xludf.DUMMYFUNCTION("""COMPUTED_VALUE"""),0.016016016016016)</f>
        <v>0.01601601602</v>
      </c>
      <c r="S271" s="8">
        <f>IFERROR(__xludf.DUMMYFUNCTION("""COMPUTED_VALUE"""),0.0151133501259445)</f>
        <v>0.01511335013</v>
      </c>
      <c r="T271" s="8">
        <f>IFERROR(__xludf.DUMMYFUNCTION("""COMPUTED_VALUE"""),0.00617283950617283)</f>
        <v>0.006172839506</v>
      </c>
      <c r="U271" s="8">
        <f>IFERROR(__xludf.DUMMYFUNCTION("""COMPUTED_VALUE"""),0.00562851782363977)</f>
        <v>0.005628517824</v>
      </c>
      <c r="V271" s="8">
        <f>IFERROR(__xludf.DUMMYFUNCTION("""COMPUTED_VALUE"""),0.00284090909090909)</f>
        <v>0.002840909091</v>
      </c>
      <c r="W271" s="8">
        <f>IFERROR(__xludf.DUMMYFUNCTION("""COMPUTED_VALUE"""),0.0)</f>
        <v>0</v>
      </c>
      <c r="X271" s="8">
        <f>IFERROR(__xludf.DUMMYFUNCTION("""COMPUTED_VALUE"""),0.0)</f>
        <v>0</v>
      </c>
      <c r="Y271" s="8">
        <f>IFERROR(__xludf.DUMMYFUNCTION("""COMPUTED_VALUE"""),0.0)</f>
        <v>0</v>
      </c>
      <c r="Z271" s="8">
        <f>IFERROR(__xludf.DUMMYFUNCTION("""COMPUTED_VALUE"""),0.0)</f>
        <v>0</v>
      </c>
      <c r="AA271" s="8">
        <f>IFERROR(__xludf.DUMMYFUNCTION("""COMPUTED_VALUE"""),0.0)</f>
        <v>0</v>
      </c>
      <c r="AB271" s="8">
        <f>IFERROR(__xludf.DUMMYFUNCTION("""COMPUTED_VALUE"""),0.0)</f>
        <v>0</v>
      </c>
      <c r="AC271" s="8">
        <f>IFERROR(__xludf.DUMMYFUNCTION("""COMPUTED_VALUE"""),0.0)</f>
        <v>0</v>
      </c>
    </row>
    <row r="272" ht="15.75" customHeight="1">
      <c r="A272" s="6" t="str">
        <f>IFERROR(__xludf.DUMMYFUNCTION("""COMPUTED_VALUE"""),"f692474d2ac3ef329a93f72cfedf44bceaced5f1")</f>
        <v>f692474d2ac3ef329a93f72cfedf44bceaced5f1</v>
      </c>
      <c r="B272" s="6" t="str">
        <f>IFERROR(__xludf.DUMMYFUNCTION("""COMPUTED_VALUE"""),"Kingsley Reigns")</f>
        <v>Kingsley Reigns</v>
      </c>
      <c r="C272" s="6" t="str">
        <f>IFERROR(__xludf.DUMMYFUNCTION("""COMPUTED_VALUE"""),"Drama")</f>
        <v>Drama</v>
      </c>
      <c r="D272" s="11">
        <f>IFERROR(__xludf.DUMMYFUNCTION("""COMPUTED_VALUE"""),21912.0)</f>
        <v>21912</v>
      </c>
      <c r="E272" s="8">
        <f>IFERROR(__xludf.DUMMYFUNCTION("""COMPUTED_VALUE"""),0.863943713450292)</f>
        <v>0.8639437135</v>
      </c>
      <c r="F272" s="8">
        <f>IFERROR(__xludf.DUMMYFUNCTION("""COMPUTED_VALUE"""),0.47301993780867)</f>
        <v>0.4730199378</v>
      </c>
      <c r="G272" s="8">
        <f>IFERROR(__xludf.DUMMYFUNCTION("""COMPUTED_VALUE"""),0.430447515329001)</f>
        <v>0.4304475153</v>
      </c>
      <c r="H272" s="8">
        <f>IFERROR(__xludf.DUMMYFUNCTION("""COMPUTED_VALUE"""),0.404028381780727)</f>
        <v>0.4040283818</v>
      </c>
      <c r="I272" s="8">
        <f>IFERROR(__xludf.DUMMYFUNCTION("""COMPUTED_VALUE"""),0.389420654911838)</f>
        <v>0.3894206549</v>
      </c>
      <c r="J272" s="8">
        <f>IFERROR(__xludf.DUMMYFUNCTION("""COMPUTED_VALUE"""),0.372920962199312)</f>
        <v>0.3729209622</v>
      </c>
      <c r="K272" s="8">
        <f>IFERROR(__xludf.DUMMYFUNCTION("""COMPUTED_VALUE"""),0.356451982580793)</f>
        <v>0.3564519826</v>
      </c>
      <c r="L272" s="8">
        <f>IFERROR(__xludf.DUMMYFUNCTION("""COMPUTED_VALUE"""),0.342737865859253)</f>
        <v>0.3427378659</v>
      </c>
      <c r="M272" s="8">
        <f>IFERROR(__xludf.DUMMYFUNCTION("""COMPUTED_VALUE"""),0.336316900761957)</f>
        <v>0.3363169008</v>
      </c>
      <c r="N272" s="8">
        <f>IFERROR(__xludf.DUMMYFUNCTION("""COMPUTED_VALUE"""),0.332077725205567)</f>
        <v>0.3320777252</v>
      </c>
      <c r="O272" s="8">
        <f>IFERROR(__xludf.DUMMYFUNCTION("""COMPUTED_VALUE"""),0.307057576176646)</f>
        <v>0.3070575762</v>
      </c>
      <c r="P272" s="8">
        <f>IFERROR(__xludf.DUMMYFUNCTION("""COMPUTED_VALUE"""),0.258334489295787)</f>
        <v>0.2583344893</v>
      </c>
      <c r="Q272" s="8">
        <f>IFERROR(__xludf.DUMMYFUNCTION("""COMPUTED_VALUE"""),0.203602010424422)</f>
        <v>0.2036020104</v>
      </c>
      <c r="R272" s="8">
        <f>IFERROR(__xludf.DUMMYFUNCTION("""COMPUTED_VALUE"""),0.178836720392431)</f>
        <v>0.1788367204</v>
      </c>
      <c r="S272" s="8">
        <f>IFERROR(__xludf.DUMMYFUNCTION("""COMPUTED_VALUE"""),0.163431372549019)</f>
        <v>0.1634313725</v>
      </c>
      <c r="T272" s="8">
        <f>IFERROR(__xludf.DUMMYFUNCTION("""COMPUTED_VALUE"""),0.143895348837209)</f>
        <v>0.1438953488</v>
      </c>
      <c r="U272" s="8">
        <f>IFERROR(__xludf.DUMMYFUNCTION("""COMPUTED_VALUE"""),0.133523463831993)</f>
        <v>0.1335234638</v>
      </c>
      <c r="V272" s="8">
        <f>IFERROR(__xludf.DUMMYFUNCTION("""COMPUTED_VALUE"""),0.122991090015821)</f>
        <v>0.12299109</v>
      </c>
      <c r="W272" s="8">
        <f>IFERROR(__xludf.DUMMYFUNCTION("""COMPUTED_VALUE"""),0.112731819128985)</f>
        <v>0.1127318191</v>
      </c>
      <c r="X272" s="8">
        <f>IFERROR(__xludf.DUMMYFUNCTION("""COMPUTED_VALUE"""),0.108276643990929)</f>
        <v>0.108276644</v>
      </c>
      <c r="Y272" s="8">
        <f>IFERROR(__xludf.DUMMYFUNCTION("""COMPUTED_VALUE"""),0.0940711462450592)</f>
        <v>0.09407114625</v>
      </c>
      <c r="Z272" s="8">
        <f>IFERROR(__xludf.DUMMYFUNCTION("""COMPUTED_VALUE"""),0.0785234899328859)</f>
        <v>0.07852348993</v>
      </c>
      <c r="AA272" s="8">
        <f>IFERROR(__xludf.DUMMYFUNCTION("""COMPUTED_VALUE"""),0.0719844357976653)</f>
        <v>0.0719844358</v>
      </c>
      <c r="AB272" s="8">
        <f>IFERROR(__xludf.DUMMYFUNCTION("""COMPUTED_VALUE"""),0.0439121756487025)</f>
        <v>0.04391217565</v>
      </c>
      <c r="AC272" s="8">
        <f>IFERROR(__xludf.DUMMYFUNCTION("""COMPUTED_VALUE"""),0.036697247706422)</f>
        <v>0.03669724771</v>
      </c>
    </row>
    <row r="273" ht="15.75" customHeight="1">
      <c r="A273" s="6" t="str">
        <f>IFERROR(__xludf.DUMMYFUNCTION("""COMPUTED_VALUE"""),"f6ea1ee253b53b8124a4f7f92ae0a9ef960a044a")</f>
        <v>f6ea1ee253b53b8124a4f7f92ae0a9ef960a044a</v>
      </c>
      <c r="B273" s="6" t="str">
        <f>IFERROR(__xludf.DUMMYFUNCTION("""COMPUTED_VALUE"""),"Regret of the Ceo")</f>
        <v>Regret of the Ceo</v>
      </c>
      <c r="C273" s="6" t="str">
        <f>IFERROR(__xludf.DUMMYFUNCTION("""COMPUTED_VALUE"""),"Romance")</f>
        <v>Romance</v>
      </c>
      <c r="D273" s="11">
        <f>IFERROR(__xludf.DUMMYFUNCTION("""COMPUTED_VALUE"""),3354.0)</f>
        <v>3354</v>
      </c>
      <c r="E273" s="8">
        <f>IFERROR(__xludf.DUMMYFUNCTION("""COMPUTED_VALUE"""),0.960837887067395)</f>
        <v>0.9608378871</v>
      </c>
      <c r="F273" s="8">
        <f>IFERROR(__xludf.DUMMYFUNCTION("""COMPUTED_VALUE"""),0.629870129870129)</f>
        <v>0.6298701299</v>
      </c>
      <c r="G273" s="8">
        <f>IFERROR(__xludf.DUMMYFUNCTION("""COMPUTED_VALUE"""),0.577970297029702)</f>
        <v>0.577970297</v>
      </c>
      <c r="H273" s="8">
        <f>IFERROR(__xludf.DUMMYFUNCTION("""COMPUTED_VALUE"""),0.526086956521739)</f>
        <v>0.5260869565</v>
      </c>
      <c r="I273" s="8">
        <f>IFERROR(__xludf.DUMMYFUNCTION("""COMPUTED_VALUE"""),0.462928348909657)</f>
        <v>0.4629283489</v>
      </c>
      <c r="J273" s="8">
        <f>IFERROR(__xludf.DUMMYFUNCTION("""COMPUTED_VALUE"""),0.413847117794486)</f>
        <v>0.4138471178</v>
      </c>
      <c r="K273" s="8">
        <f>IFERROR(__xludf.DUMMYFUNCTION("""COMPUTED_VALUE"""),0.356761844995293)</f>
        <v>0.356761845</v>
      </c>
      <c r="L273" s="8">
        <f>IFERROR(__xludf.DUMMYFUNCTION("""COMPUTED_VALUE"""),0.31998738965952)</f>
        <v>0.3199873897</v>
      </c>
      <c r="M273" s="8">
        <f>IFERROR(__xludf.DUMMYFUNCTION("""COMPUTED_VALUE"""),0.286978508217446)</f>
        <v>0.2869785082</v>
      </c>
      <c r="N273" s="8">
        <f>IFERROR(__xludf.DUMMYFUNCTION("""COMPUTED_VALUE"""),0.26552598225602)</f>
        <v>0.2655259823</v>
      </c>
      <c r="O273" s="8">
        <f>IFERROR(__xludf.DUMMYFUNCTION("""COMPUTED_VALUE"""),0.196358907672301)</f>
        <v>0.1963589077</v>
      </c>
      <c r="P273" s="8">
        <f>IFERROR(__xludf.DUMMYFUNCTION("""COMPUTED_VALUE"""),0.156390363413638)</f>
        <v>0.1563903634</v>
      </c>
      <c r="Q273" s="8">
        <f>IFERROR(__xludf.DUMMYFUNCTION("""COMPUTED_VALUE"""),0.0925925925925925)</f>
        <v>0.09259259259</v>
      </c>
      <c r="R273" s="8">
        <f>IFERROR(__xludf.DUMMYFUNCTION("""COMPUTED_VALUE"""),0.0553047404063205)</f>
        <v>0.05530474041</v>
      </c>
      <c r="S273" s="8">
        <f>IFERROR(__xludf.DUMMYFUNCTION("""COMPUTED_VALUE"""),0.0260869565217391)</f>
        <v>0.02608695652</v>
      </c>
      <c r="T273" s="8">
        <f>IFERROR(__xludf.DUMMYFUNCTION("""COMPUTED_VALUE"""),0.00961538461538461)</f>
        <v>0.009615384615</v>
      </c>
      <c r="U273" s="8">
        <f>IFERROR(__xludf.DUMMYFUNCTION("""COMPUTED_VALUE"""),0.0)</f>
        <v>0</v>
      </c>
      <c r="V273" s="8">
        <f>IFERROR(__xludf.DUMMYFUNCTION("""COMPUTED_VALUE"""),0.0)</f>
        <v>0</v>
      </c>
      <c r="W273" s="8">
        <f>IFERROR(__xludf.DUMMYFUNCTION("""COMPUTED_VALUE"""),0.0)</f>
        <v>0</v>
      </c>
      <c r="X273" s="8">
        <f>IFERROR(__xludf.DUMMYFUNCTION("""COMPUTED_VALUE"""),0.0)</f>
        <v>0</v>
      </c>
      <c r="Y273" s="8">
        <f>IFERROR(__xludf.DUMMYFUNCTION("""COMPUTED_VALUE"""),0.0)</f>
        <v>0</v>
      </c>
      <c r="Z273" s="8">
        <f>IFERROR(__xludf.DUMMYFUNCTION("""COMPUTED_VALUE"""),0.0)</f>
        <v>0</v>
      </c>
      <c r="AA273" s="8">
        <f>IFERROR(__xludf.DUMMYFUNCTION("""COMPUTED_VALUE"""),0.0)</f>
        <v>0</v>
      </c>
      <c r="AB273" s="8">
        <f>IFERROR(__xludf.DUMMYFUNCTION("""COMPUTED_VALUE"""),0.0)</f>
        <v>0</v>
      </c>
      <c r="AC273" s="8">
        <f>IFERROR(__xludf.DUMMYFUNCTION("""COMPUTED_VALUE"""),0.0)</f>
        <v>0</v>
      </c>
    </row>
    <row r="274" ht="15.75" customHeight="1">
      <c r="A274" s="6" t="str">
        <f>IFERROR(__xludf.DUMMYFUNCTION("""COMPUTED_VALUE"""),"fb311a6dd8cd59a51bf680323116bcc5d2798a8e")</f>
        <v>fb311a6dd8cd59a51bf680323116bcc5d2798a8e</v>
      </c>
      <c r="B274" s="6" t="str">
        <f>IFERROR(__xludf.DUMMYFUNCTION("""COMPUTED_VALUE"""),"The Beast Tamer's Legacy")</f>
        <v>The Beast Tamer's Legacy</v>
      </c>
      <c r="C274" s="6" t="str">
        <f>IFERROR(__xludf.DUMMYFUNCTION("""COMPUTED_VALUE"""),"System and Superpower")</f>
        <v>System and Superpower</v>
      </c>
      <c r="D274" s="11">
        <f>IFERROR(__xludf.DUMMYFUNCTION("""COMPUTED_VALUE"""),2617.0)</f>
        <v>2617</v>
      </c>
      <c r="E274" s="8">
        <f>IFERROR(__xludf.DUMMYFUNCTION("""COMPUTED_VALUE"""),0.978943338437978)</f>
        <v>0.9789433384</v>
      </c>
      <c r="F274" s="8">
        <f>IFERROR(__xludf.DUMMYFUNCTION("""COMPUTED_VALUE"""),0.437452033768227)</f>
        <v>0.4374520338</v>
      </c>
      <c r="G274" s="8">
        <f>IFERROR(__xludf.DUMMYFUNCTION("""COMPUTED_VALUE"""),0.363566487317448)</f>
        <v>0.3635664873</v>
      </c>
      <c r="H274" s="8">
        <f>IFERROR(__xludf.DUMMYFUNCTION("""COMPUTED_VALUE"""),0.300963391136801)</f>
        <v>0.3009633911</v>
      </c>
      <c r="I274" s="8">
        <f>IFERROR(__xludf.DUMMYFUNCTION("""COMPUTED_VALUE"""),0.258973369355461)</f>
        <v>0.2589733694</v>
      </c>
      <c r="J274" s="8">
        <f>IFERROR(__xludf.DUMMYFUNCTION("""COMPUTED_VALUE"""),0.226130653266331)</f>
        <v>0.2261306533</v>
      </c>
      <c r="K274" s="8">
        <f>IFERROR(__xludf.DUMMYFUNCTION("""COMPUTED_VALUE"""),0.208672086720867)</f>
        <v>0.2086720867</v>
      </c>
      <c r="L274" s="8">
        <f>IFERROR(__xludf.DUMMYFUNCTION("""COMPUTED_VALUE"""),0.186796116504854)</f>
        <v>0.1867961165</v>
      </c>
      <c r="M274" s="8">
        <f>IFERROR(__xludf.DUMMYFUNCTION("""COMPUTED_VALUE"""),0.174882629107981)</f>
        <v>0.1748826291</v>
      </c>
      <c r="N274" s="8">
        <f>IFERROR(__xludf.DUMMYFUNCTION("""COMPUTED_VALUE"""),0.161378770074422)</f>
        <v>0.1613787701</v>
      </c>
      <c r="O274" s="8">
        <f>IFERROR(__xludf.DUMMYFUNCTION("""COMPUTED_VALUE"""),0.119582664526484)</f>
        <v>0.1195826645</v>
      </c>
      <c r="P274" s="8">
        <f>IFERROR(__xludf.DUMMYFUNCTION("""COMPUTED_VALUE"""),0.087742504409171)</f>
        <v>0.08774250441</v>
      </c>
      <c r="Q274" s="8">
        <f>IFERROR(__xludf.DUMMYFUNCTION("""COMPUTED_VALUE"""),0.0716194548369855)</f>
        <v>0.07161945484</v>
      </c>
      <c r="R274" s="8">
        <f>IFERROR(__xludf.DUMMYFUNCTION("""COMPUTED_VALUE"""),0.0)</f>
        <v>0</v>
      </c>
      <c r="S274" s="8">
        <f>IFERROR(__xludf.DUMMYFUNCTION("""COMPUTED_VALUE"""),0.0)</f>
        <v>0</v>
      </c>
      <c r="T274" s="8">
        <f>IFERROR(__xludf.DUMMYFUNCTION("""COMPUTED_VALUE"""),0.0)</f>
        <v>0</v>
      </c>
      <c r="U274" s="8">
        <f>IFERROR(__xludf.DUMMYFUNCTION("""COMPUTED_VALUE"""),0.0)</f>
        <v>0</v>
      </c>
      <c r="V274" s="8">
        <f>IFERROR(__xludf.DUMMYFUNCTION("""COMPUTED_VALUE"""),0.0)</f>
        <v>0</v>
      </c>
      <c r="W274" s="8">
        <f>IFERROR(__xludf.DUMMYFUNCTION("""COMPUTED_VALUE"""),0.0)</f>
        <v>0</v>
      </c>
      <c r="X274" s="8">
        <f>IFERROR(__xludf.DUMMYFUNCTION("""COMPUTED_VALUE"""),0.0)</f>
        <v>0</v>
      </c>
      <c r="Y274" s="8">
        <f>IFERROR(__xludf.DUMMYFUNCTION("""COMPUTED_VALUE"""),0.0)</f>
        <v>0</v>
      </c>
      <c r="Z274" s="8">
        <f>IFERROR(__xludf.DUMMYFUNCTION("""COMPUTED_VALUE"""),0.0)</f>
        <v>0</v>
      </c>
      <c r="AA274" s="8">
        <f>IFERROR(__xludf.DUMMYFUNCTION("""COMPUTED_VALUE"""),0.0)</f>
        <v>0</v>
      </c>
      <c r="AB274" s="8">
        <f>IFERROR(__xludf.DUMMYFUNCTION("""COMPUTED_VALUE"""),0.0)</f>
        <v>0</v>
      </c>
      <c r="AC274" s="8">
        <f>IFERROR(__xludf.DUMMYFUNCTION("""COMPUTED_VALUE"""),0.0)</f>
        <v>0</v>
      </c>
    </row>
    <row r="275" ht="15.75" customHeight="1">
      <c r="A275" s="6" t="str">
        <f>IFERROR(__xludf.DUMMYFUNCTION("""COMPUTED_VALUE"""),"fc599fbc708fd150dfe8d867a18a17fa8b439c84")</f>
        <v>fc599fbc708fd150dfe8d867a18a17fa8b439c84</v>
      </c>
      <c r="B275" s="6" t="str">
        <f>IFERROR(__xludf.DUMMYFUNCTION("""COMPUTED_VALUE"""),"Anything for Sunny")</f>
        <v>Anything for Sunny</v>
      </c>
      <c r="C275" s="6" t="str">
        <f>IFERROR(__xludf.DUMMYFUNCTION("""COMPUTED_VALUE"""),"Drama")</f>
        <v>Drama</v>
      </c>
      <c r="D275" s="11">
        <f>IFERROR(__xludf.DUMMYFUNCTION("""COMPUTED_VALUE"""),784.0)</f>
        <v>784</v>
      </c>
      <c r="E275" s="8">
        <f>IFERROR(__xludf.DUMMYFUNCTION("""COMPUTED_VALUE"""),0.974424552429667)</f>
        <v>0.9744245524</v>
      </c>
      <c r="F275" s="8">
        <f>IFERROR(__xludf.DUMMYFUNCTION("""COMPUTED_VALUE"""),0.47172236503856)</f>
        <v>0.471722365</v>
      </c>
      <c r="G275" s="8">
        <f>IFERROR(__xludf.DUMMYFUNCTION("""COMPUTED_VALUE"""),0.391752577319587)</f>
        <v>0.3917525773</v>
      </c>
      <c r="H275" s="8">
        <f>IFERROR(__xludf.DUMMYFUNCTION("""COMPUTED_VALUE"""),0.303617571059431)</f>
        <v>0.3036175711</v>
      </c>
      <c r="I275" s="8">
        <f>IFERROR(__xludf.DUMMYFUNCTION("""COMPUTED_VALUE"""),0.253246753246753)</f>
        <v>0.2532467532</v>
      </c>
      <c r="J275" s="8">
        <f>IFERROR(__xludf.DUMMYFUNCTION("""COMPUTED_VALUE"""),0.230971128608923)</f>
        <v>0.2309711286</v>
      </c>
      <c r="K275" s="8">
        <f>IFERROR(__xludf.DUMMYFUNCTION("""COMPUTED_VALUE"""),0.188654353562005)</f>
        <v>0.1886543536</v>
      </c>
      <c r="L275" s="8">
        <f>IFERROR(__xludf.DUMMYFUNCTION("""COMPUTED_VALUE"""),0.172)</f>
        <v>0.172</v>
      </c>
      <c r="M275" s="8">
        <f>IFERROR(__xludf.DUMMYFUNCTION("""COMPUTED_VALUE"""),0.164199192462987)</f>
        <v>0.1641991925</v>
      </c>
      <c r="N275" s="8">
        <f>IFERROR(__xludf.DUMMYFUNCTION("""COMPUTED_VALUE"""),0.152263374485596)</f>
        <v>0.1522633745</v>
      </c>
      <c r="O275" s="8">
        <f>IFERROR(__xludf.DUMMYFUNCTION("""COMPUTED_VALUE"""),0.130718954248366)</f>
        <v>0.1307189542</v>
      </c>
      <c r="P275" s="8">
        <f>IFERROR(__xludf.DUMMYFUNCTION("""COMPUTED_VALUE"""),0.113801452784503)</f>
        <v>0.1138014528</v>
      </c>
      <c r="Q275" s="8">
        <f>IFERROR(__xludf.DUMMYFUNCTION("""COMPUTED_VALUE"""),0.0923482849604221)</f>
        <v>0.09234828496</v>
      </c>
      <c r="R275" s="8">
        <f>IFERROR(__xludf.DUMMYFUNCTION("""COMPUTED_VALUE"""),0.0886075949367088)</f>
        <v>0.08860759494</v>
      </c>
      <c r="S275" s="8">
        <f>IFERROR(__xludf.DUMMYFUNCTION("""COMPUTED_VALUE"""),0.0)</f>
        <v>0</v>
      </c>
      <c r="T275" s="8">
        <f>IFERROR(__xludf.DUMMYFUNCTION("""COMPUTED_VALUE"""),0.0)</f>
        <v>0</v>
      </c>
      <c r="U275" s="8">
        <f>IFERROR(__xludf.DUMMYFUNCTION("""COMPUTED_VALUE"""),0.0)</f>
        <v>0</v>
      </c>
      <c r="V275" s="8">
        <f>IFERROR(__xludf.DUMMYFUNCTION("""COMPUTED_VALUE"""),0.0)</f>
        <v>0</v>
      </c>
      <c r="W275" s="8">
        <f>IFERROR(__xludf.DUMMYFUNCTION("""COMPUTED_VALUE"""),0.0)</f>
        <v>0</v>
      </c>
      <c r="X275" s="8">
        <f>IFERROR(__xludf.DUMMYFUNCTION("""COMPUTED_VALUE"""),0.0)</f>
        <v>0</v>
      </c>
      <c r="Y275" s="8">
        <f>IFERROR(__xludf.DUMMYFUNCTION("""COMPUTED_VALUE"""),0.0)</f>
        <v>0</v>
      </c>
      <c r="Z275" s="8">
        <f>IFERROR(__xludf.DUMMYFUNCTION("""COMPUTED_VALUE"""),0.0)</f>
        <v>0</v>
      </c>
      <c r="AA275" s="8">
        <f>IFERROR(__xludf.DUMMYFUNCTION("""COMPUTED_VALUE"""),0.0)</f>
        <v>0</v>
      </c>
      <c r="AB275" s="8">
        <f>IFERROR(__xludf.DUMMYFUNCTION("""COMPUTED_VALUE"""),0.0)</f>
        <v>0</v>
      </c>
      <c r="AC275" s="8">
        <f>IFERROR(__xludf.DUMMYFUNCTION("""COMPUTED_VALUE"""),0.0)</f>
        <v>0</v>
      </c>
    </row>
    <row r="276" ht="15.75" customHeight="1">
      <c r="A276" s="6" t="str">
        <f>IFERROR(__xludf.DUMMYFUNCTION("""COMPUTED_VALUE"""),"fcddd3d14a0e1b1dab1bcb5c11d4aec683fdb598")</f>
        <v>fcddd3d14a0e1b1dab1bcb5c11d4aec683fdb598</v>
      </c>
      <c r="B276" s="6" t="str">
        <f>IFERROR(__xludf.DUMMYFUNCTION("""COMPUTED_VALUE"""),"Rise of Drake Callahan")</f>
        <v>Rise of Drake Callahan</v>
      </c>
      <c r="C276" s="6" t="str">
        <f>IFERROR(__xludf.DUMMYFUNCTION("""COMPUTED_VALUE"""),"Drama")</f>
        <v>Drama</v>
      </c>
      <c r="D276" s="11">
        <f>IFERROR(__xludf.DUMMYFUNCTION("""COMPUTED_VALUE"""),1330.0)</f>
        <v>1330</v>
      </c>
      <c r="E276" s="8">
        <f>IFERROR(__xludf.DUMMYFUNCTION("""COMPUTED_VALUE"""),0.972138554216867)</f>
        <v>0.9721385542</v>
      </c>
      <c r="F276" s="8">
        <f>IFERROR(__xludf.DUMMYFUNCTION("""COMPUTED_VALUE"""),0.582191780821917)</f>
        <v>0.5821917808</v>
      </c>
      <c r="G276" s="8">
        <f>IFERROR(__xludf.DUMMYFUNCTION("""COMPUTED_VALUE"""),0.51123160340821)</f>
        <v>0.5112316034</v>
      </c>
      <c r="H276" s="8">
        <f>IFERROR(__xludf.DUMMYFUNCTION("""COMPUTED_VALUE"""),0.472888888888888)</f>
        <v>0.4728888889</v>
      </c>
      <c r="I276" s="8">
        <f>IFERROR(__xludf.DUMMYFUNCTION("""COMPUTED_VALUE"""),0.428439519852262)</f>
        <v>0.4284395199</v>
      </c>
      <c r="J276" s="8">
        <f>IFERROR(__xludf.DUMMYFUNCTION("""COMPUTED_VALUE"""),0.416582406471183)</f>
        <v>0.4165824065</v>
      </c>
      <c r="K276" s="8">
        <f>IFERROR(__xludf.DUMMYFUNCTION("""COMPUTED_VALUE"""),0.402399127589967)</f>
        <v>0.4023991276</v>
      </c>
      <c r="L276" s="8">
        <f>IFERROR(__xludf.DUMMYFUNCTION("""COMPUTED_VALUE"""),0.372860635696821)</f>
        <v>0.3728606357</v>
      </c>
      <c r="M276" s="8">
        <f>IFERROR(__xludf.DUMMYFUNCTION("""COMPUTED_VALUE"""),0.338983050847457)</f>
        <v>0.3389830508</v>
      </c>
      <c r="N276" s="8">
        <f>IFERROR(__xludf.DUMMYFUNCTION("""COMPUTED_VALUE"""),0.314285714285714)</f>
        <v>0.3142857143</v>
      </c>
      <c r="O276" s="8">
        <f>IFERROR(__xludf.DUMMYFUNCTION("""COMPUTED_VALUE"""),0.212424849699398)</f>
        <v>0.2124248497</v>
      </c>
      <c r="P276" s="8">
        <f>IFERROR(__xludf.DUMMYFUNCTION("""COMPUTED_VALUE"""),0.216748768472906)</f>
        <v>0.2167487685</v>
      </c>
      <c r="Q276" s="8">
        <f>IFERROR(__xludf.DUMMYFUNCTION("""COMPUTED_VALUE"""),0.0)</f>
        <v>0</v>
      </c>
      <c r="R276" s="8">
        <f>IFERROR(__xludf.DUMMYFUNCTION("""COMPUTED_VALUE"""),0.0)</f>
        <v>0</v>
      </c>
      <c r="S276" s="8">
        <f>IFERROR(__xludf.DUMMYFUNCTION("""COMPUTED_VALUE"""),0.0)</f>
        <v>0</v>
      </c>
      <c r="T276" s="8">
        <f>IFERROR(__xludf.DUMMYFUNCTION("""COMPUTED_VALUE"""),0.0)</f>
        <v>0</v>
      </c>
      <c r="U276" s="8">
        <f>IFERROR(__xludf.DUMMYFUNCTION("""COMPUTED_VALUE"""),0.0)</f>
        <v>0</v>
      </c>
      <c r="V276" s="8">
        <f>IFERROR(__xludf.DUMMYFUNCTION("""COMPUTED_VALUE"""),0.0)</f>
        <v>0</v>
      </c>
      <c r="W276" s="8">
        <f>IFERROR(__xludf.DUMMYFUNCTION("""COMPUTED_VALUE"""),0.0)</f>
        <v>0</v>
      </c>
      <c r="X276" s="8">
        <f>IFERROR(__xludf.DUMMYFUNCTION("""COMPUTED_VALUE"""),0.0)</f>
        <v>0</v>
      </c>
      <c r="Y276" s="8">
        <f>IFERROR(__xludf.DUMMYFUNCTION("""COMPUTED_VALUE"""),0.0)</f>
        <v>0</v>
      </c>
      <c r="Z276" s="8">
        <f>IFERROR(__xludf.DUMMYFUNCTION("""COMPUTED_VALUE"""),0.0)</f>
        <v>0</v>
      </c>
      <c r="AA276" s="8">
        <f>IFERROR(__xludf.DUMMYFUNCTION("""COMPUTED_VALUE"""),0.0)</f>
        <v>0</v>
      </c>
      <c r="AB276" s="8">
        <f>IFERROR(__xludf.DUMMYFUNCTION("""COMPUTED_VALUE"""),0.0)</f>
        <v>0</v>
      </c>
      <c r="AC276" s="8">
        <f>IFERROR(__xludf.DUMMYFUNCTION("""COMPUTED_VALUE"""),0.0)</f>
        <v>0</v>
      </c>
    </row>
    <row r="277" ht="15.75" customHeight="1">
      <c r="A277" s="6" t="str">
        <f>IFERROR(__xludf.DUMMYFUNCTION("""COMPUTED_VALUE"""),"fce8fe866ed4c3d213e087a4343996d06bb09af7")</f>
        <v>fce8fe866ed4c3d213e087a4343996d06bb09af7</v>
      </c>
      <c r="B277" s="6" t="str">
        <f>IFERROR(__xludf.DUMMYFUNCTION("""COMPUTED_VALUE"""),"The Anderson Rebirth")</f>
        <v>The Anderson Rebirth</v>
      </c>
      <c r="C277" s="6" t="str">
        <f>IFERROR(__xludf.DUMMYFUNCTION("""COMPUTED_VALUE"""),"System and Superpower")</f>
        <v>System and Superpower</v>
      </c>
      <c r="D277" s="11">
        <f>IFERROR(__xludf.DUMMYFUNCTION("""COMPUTED_VALUE"""),2128.0)</f>
        <v>2128</v>
      </c>
      <c r="E277" s="8">
        <f>IFERROR(__xludf.DUMMYFUNCTION("""COMPUTED_VALUE"""),0.946898496240601)</f>
        <v>0.9468984962</v>
      </c>
      <c r="F277" s="8">
        <f>IFERROR(__xludf.DUMMYFUNCTION("""COMPUTED_VALUE"""),0.579219558062999)</f>
        <v>0.5792195581</v>
      </c>
      <c r="G277" s="8">
        <f>IFERROR(__xludf.DUMMYFUNCTION("""COMPUTED_VALUE"""),0.520921485660554)</f>
        <v>0.5209214857</v>
      </c>
      <c r="H277" s="8">
        <f>IFERROR(__xludf.DUMMYFUNCTION("""COMPUTED_VALUE"""),0.486117647058823)</f>
        <v>0.4861176471</v>
      </c>
      <c r="I277" s="8">
        <f>IFERROR(__xludf.DUMMYFUNCTION("""COMPUTED_VALUE"""),0.443187175860443)</f>
        <v>0.4431871759</v>
      </c>
      <c r="J277" s="8">
        <f>IFERROR(__xludf.DUMMYFUNCTION("""COMPUTED_VALUE"""),0.418593676262387)</f>
        <v>0.4185936763</v>
      </c>
      <c r="K277" s="8">
        <f>IFERROR(__xludf.DUMMYFUNCTION("""COMPUTED_VALUE"""),0.402173913043478)</f>
        <v>0.402173913</v>
      </c>
      <c r="L277" s="8">
        <f>IFERROR(__xludf.DUMMYFUNCTION("""COMPUTED_VALUE"""),0.383632923368022)</f>
        <v>0.3836329234</v>
      </c>
      <c r="M277" s="8">
        <f>IFERROR(__xludf.DUMMYFUNCTION("""COMPUTED_VALUE"""),0.374110953058321)</f>
        <v>0.3741109531</v>
      </c>
      <c r="N277" s="8">
        <f>IFERROR(__xludf.DUMMYFUNCTION("""COMPUTED_VALUE"""),0.360710854947166)</f>
        <v>0.3607108549</v>
      </c>
      <c r="O277" s="8">
        <f>IFERROR(__xludf.DUMMYFUNCTION("""COMPUTED_VALUE"""),0.341377576671694)</f>
        <v>0.3413775767</v>
      </c>
      <c r="P277" s="8">
        <f>IFERROR(__xludf.DUMMYFUNCTION("""COMPUTED_VALUE"""),0.253960143076136)</f>
        <v>0.2539601431</v>
      </c>
      <c r="Q277" s="8">
        <f>IFERROR(__xludf.DUMMYFUNCTION("""COMPUTED_VALUE"""),0.138743455497382)</f>
        <v>0.1387434555</v>
      </c>
      <c r="R277" s="8">
        <f>IFERROR(__xludf.DUMMYFUNCTION("""COMPUTED_VALUE"""),0.0836653386454183)</f>
        <v>0.08366533865</v>
      </c>
      <c r="S277" s="8">
        <f>IFERROR(__xludf.DUMMYFUNCTION("""COMPUTED_VALUE"""),0.0)</f>
        <v>0</v>
      </c>
      <c r="T277" s="8">
        <f>IFERROR(__xludf.DUMMYFUNCTION("""COMPUTED_VALUE"""),0.0)</f>
        <v>0</v>
      </c>
      <c r="U277" s="8">
        <f>IFERROR(__xludf.DUMMYFUNCTION("""COMPUTED_VALUE"""),0.0)</f>
        <v>0</v>
      </c>
      <c r="V277" s="8">
        <f>IFERROR(__xludf.DUMMYFUNCTION("""COMPUTED_VALUE"""),0.0)</f>
        <v>0</v>
      </c>
      <c r="W277" s="8">
        <f>IFERROR(__xludf.DUMMYFUNCTION("""COMPUTED_VALUE"""),0.0)</f>
        <v>0</v>
      </c>
      <c r="X277" s="8">
        <f>IFERROR(__xludf.DUMMYFUNCTION("""COMPUTED_VALUE"""),0.0)</f>
        <v>0</v>
      </c>
      <c r="Y277" s="8">
        <f>IFERROR(__xludf.DUMMYFUNCTION("""COMPUTED_VALUE"""),0.0)</f>
        <v>0</v>
      </c>
      <c r="Z277" s="8">
        <f>IFERROR(__xludf.DUMMYFUNCTION("""COMPUTED_VALUE"""),0.0)</f>
        <v>0</v>
      </c>
      <c r="AA277" s="8">
        <f>IFERROR(__xludf.DUMMYFUNCTION("""COMPUTED_VALUE"""),0.0)</f>
        <v>0</v>
      </c>
      <c r="AB277" s="8">
        <f>IFERROR(__xludf.DUMMYFUNCTION("""COMPUTED_VALUE"""),0.0)</f>
        <v>0</v>
      </c>
      <c r="AC277" s="8">
        <f>IFERROR(__xludf.DUMMYFUNCTION("""COMPUTED_VALUE"""),0.0)</f>
        <v>0</v>
      </c>
    </row>
    <row r="278" ht="15.75" customHeight="1">
      <c r="A278" s="6" t="str">
        <f>IFERROR(__xludf.DUMMYFUNCTION("""COMPUTED_VALUE"""),"fce99720ddedf66c6e45f23c6876581e0b796f34")</f>
        <v>fce99720ddedf66c6e45f23c6876581e0b796f34</v>
      </c>
      <c r="B278" s="6" t="str">
        <f>IFERROR(__xludf.DUMMYFUNCTION("""COMPUTED_VALUE"""),"Reborn as Serena Whitmore")</f>
        <v>Reborn as Serena Whitmore</v>
      </c>
      <c r="C278" s="6" t="str">
        <f>IFERROR(__xludf.DUMMYFUNCTION("""COMPUTED_VALUE"""),"Romance")</f>
        <v>Romance</v>
      </c>
      <c r="D278" s="11">
        <f>IFERROR(__xludf.DUMMYFUNCTION("""COMPUTED_VALUE"""),1583.0)</f>
        <v>1583</v>
      </c>
      <c r="E278" s="8">
        <f>IFERROR(__xludf.DUMMYFUNCTION("""COMPUTED_VALUE"""),0.95506329113924)</f>
        <v>0.9550632911</v>
      </c>
      <c r="F278" s="8">
        <f>IFERROR(__xludf.DUMMYFUNCTION("""COMPUTED_VALUE"""),0.717571884984025)</f>
        <v>0.717571885</v>
      </c>
      <c r="G278" s="8">
        <f>IFERROR(__xludf.DUMMYFUNCTION("""COMPUTED_VALUE"""),0.66111467008328)</f>
        <v>0.6611146701</v>
      </c>
      <c r="H278" s="8">
        <f>IFERROR(__xludf.DUMMYFUNCTION("""COMPUTED_VALUE"""),0.612694300518134)</f>
        <v>0.6126943005</v>
      </c>
      <c r="I278" s="8">
        <f>IFERROR(__xludf.DUMMYFUNCTION("""COMPUTED_VALUE"""),0.547540983606557)</f>
        <v>0.5475409836</v>
      </c>
      <c r="J278" s="8">
        <f>IFERROR(__xludf.DUMMYFUNCTION("""COMPUTED_VALUE"""),0.525879917184265)</f>
        <v>0.5258799172</v>
      </c>
      <c r="K278" s="8">
        <f>IFERROR(__xludf.DUMMYFUNCTION("""COMPUTED_VALUE"""),0.49525893508388)</f>
        <v>0.4952589351</v>
      </c>
      <c r="L278" s="8">
        <f>IFERROR(__xludf.DUMMYFUNCTION("""COMPUTED_VALUE"""),0.459824980111376)</f>
        <v>0.4598249801</v>
      </c>
      <c r="M278" s="8">
        <f>IFERROR(__xludf.DUMMYFUNCTION("""COMPUTED_VALUE"""),0.420265780730897)</f>
        <v>0.4202657807</v>
      </c>
      <c r="N278" s="8">
        <f>IFERROR(__xludf.DUMMYFUNCTION("""COMPUTED_VALUE"""),0.402116402116402)</f>
        <v>0.4021164021</v>
      </c>
      <c r="O278" s="8">
        <f>IFERROR(__xludf.DUMMYFUNCTION("""COMPUTED_VALUE"""),0.333333333333333)</f>
        <v>0.3333333333</v>
      </c>
      <c r="P278" s="8">
        <f>IFERROR(__xludf.DUMMYFUNCTION("""COMPUTED_VALUE"""),0.245847176079734)</f>
        <v>0.2458471761</v>
      </c>
      <c r="Q278" s="8">
        <f>IFERROR(__xludf.DUMMYFUNCTION("""COMPUTED_VALUE"""),0.0)</f>
        <v>0</v>
      </c>
      <c r="R278" s="8">
        <f>IFERROR(__xludf.DUMMYFUNCTION("""COMPUTED_VALUE"""),0.0)</f>
        <v>0</v>
      </c>
      <c r="S278" s="8">
        <f>IFERROR(__xludf.DUMMYFUNCTION("""COMPUTED_VALUE"""),0.0)</f>
        <v>0</v>
      </c>
      <c r="T278" s="8">
        <f>IFERROR(__xludf.DUMMYFUNCTION("""COMPUTED_VALUE"""),0.0)</f>
        <v>0</v>
      </c>
      <c r="U278" s="8">
        <f>IFERROR(__xludf.DUMMYFUNCTION("""COMPUTED_VALUE"""),0.0)</f>
        <v>0</v>
      </c>
      <c r="V278" s="8">
        <f>IFERROR(__xludf.DUMMYFUNCTION("""COMPUTED_VALUE"""),0.0)</f>
        <v>0</v>
      </c>
      <c r="W278" s="8">
        <f>IFERROR(__xludf.DUMMYFUNCTION("""COMPUTED_VALUE"""),0.0)</f>
        <v>0</v>
      </c>
      <c r="X278" s="8">
        <f>IFERROR(__xludf.DUMMYFUNCTION("""COMPUTED_VALUE"""),0.0)</f>
        <v>0</v>
      </c>
      <c r="Y278" s="8">
        <f>IFERROR(__xludf.DUMMYFUNCTION("""COMPUTED_VALUE"""),0.0)</f>
        <v>0</v>
      </c>
      <c r="Z278" s="8">
        <f>IFERROR(__xludf.DUMMYFUNCTION("""COMPUTED_VALUE"""),0.0)</f>
        <v>0</v>
      </c>
      <c r="AA278" s="8">
        <f>IFERROR(__xludf.DUMMYFUNCTION("""COMPUTED_VALUE"""),0.0)</f>
        <v>0</v>
      </c>
      <c r="AB278" s="8">
        <f>IFERROR(__xludf.DUMMYFUNCTION("""COMPUTED_VALUE"""),0.0)</f>
        <v>0</v>
      </c>
      <c r="AC278" s="8">
        <f>IFERROR(__xludf.DUMMYFUNCTION("""COMPUTED_VALUE"""),0.0)</f>
        <v>0</v>
      </c>
    </row>
    <row r="279" ht="15.75" customHeight="1">
      <c r="A279" s="6" t="str">
        <f>IFERROR(__xludf.DUMMYFUNCTION("""COMPUTED_VALUE"""),"fe01aa725eab93a44f707bbab393a9640b0e69db")</f>
        <v>fe01aa725eab93a44f707bbab393a9640b0e69db</v>
      </c>
      <c r="B279" s="6" t="str">
        <f>IFERROR(__xludf.DUMMYFUNCTION("""COMPUTED_VALUE"""),"3 Years Later He Found Me")</f>
        <v>3 Years Later He Found Me</v>
      </c>
      <c r="C279" s="6" t="str">
        <f>IFERROR(__xludf.DUMMYFUNCTION("""COMPUTED_VALUE"""),"Romance")</f>
        <v>Romance</v>
      </c>
      <c r="D279" s="11">
        <f>IFERROR(__xludf.DUMMYFUNCTION("""COMPUTED_VALUE"""),1213.0)</f>
        <v>1213</v>
      </c>
      <c r="E279" s="8">
        <f>IFERROR(__xludf.DUMMYFUNCTION("""COMPUTED_VALUE"""),0.956234516928158)</f>
        <v>0.9562345169</v>
      </c>
      <c r="F279" s="8">
        <f>IFERROR(__xludf.DUMMYFUNCTION("""COMPUTED_VALUE"""),0.528535980148883)</f>
        <v>0.5285359801</v>
      </c>
      <c r="G279" s="8">
        <f>IFERROR(__xludf.DUMMYFUNCTION("""COMPUTED_VALUE"""),0.454921422663358)</f>
        <v>0.4549214227</v>
      </c>
      <c r="H279" s="8">
        <f>IFERROR(__xludf.DUMMYFUNCTION("""COMPUTED_VALUE"""),0.417564208782104)</f>
        <v>0.4175642088</v>
      </c>
      <c r="I279" s="8">
        <f>IFERROR(__xludf.DUMMYFUNCTION("""COMPUTED_VALUE"""),0.390041493775933)</f>
        <v>0.3900414938</v>
      </c>
      <c r="J279" s="8">
        <f>IFERROR(__xludf.DUMMYFUNCTION("""COMPUTED_VALUE"""),0.364315352697095)</f>
        <v>0.3643153527</v>
      </c>
      <c r="K279" s="8">
        <f>IFERROR(__xludf.DUMMYFUNCTION("""COMPUTED_VALUE"""),0.350789692435577)</f>
        <v>0.3507896924</v>
      </c>
      <c r="L279" s="8">
        <f>IFERROR(__xludf.DUMMYFUNCTION("""COMPUTED_VALUE"""),0.331662489557226)</f>
        <v>0.3316624896</v>
      </c>
      <c r="M279" s="8">
        <f>IFERROR(__xludf.DUMMYFUNCTION("""COMPUTED_VALUE"""),0.324414715719063)</f>
        <v>0.3244147157</v>
      </c>
      <c r="N279" s="8">
        <f>IFERROR(__xludf.DUMMYFUNCTION("""COMPUTED_VALUE"""),0.291213389121338)</f>
        <v>0.2912133891</v>
      </c>
      <c r="O279" s="8">
        <f>IFERROR(__xludf.DUMMYFUNCTION("""COMPUTED_VALUE"""),0.245089666951323)</f>
        <v>0.245089667</v>
      </c>
      <c r="P279" s="8">
        <f>IFERROR(__xludf.DUMMYFUNCTION("""COMPUTED_VALUE"""),0.151086956521739)</f>
        <v>0.1510869565</v>
      </c>
      <c r="Q279" s="8">
        <f>IFERROR(__xludf.DUMMYFUNCTION("""COMPUTED_VALUE"""),0.0830564784053156)</f>
        <v>0.08305647841</v>
      </c>
      <c r="R279" s="8">
        <f>IFERROR(__xludf.DUMMYFUNCTION("""COMPUTED_VALUE"""),1.0)</f>
        <v>1</v>
      </c>
      <c r="S279" s="8">
        <f>IFERROR(__xludf.DUMMYFUNCTION("""COMPUTED_VALUE"""),0.0)</f>
        <v>0</v>
      </c>
      <c r="T279" s="8">
        <f>IFERROR(__xludf.DUMMYFUNCTION("""COMPUTED_VALUE"""),0.0)</f>
        <v>0</v>
      </c>
      <c r="U279" s="8">
        <f>IFERROR(__xludf.DUMMYFUNCTION("""COMPUTED_VALUE"""),0.0)</f>
        <v>0</v>
      </c>
      <c r="V279" s="8">
        <f>IFERROR(__xludf.DUMMYFUNCTION("""COMPUTED_VALUE"""),0.0)</f>
        <v>0</v>
      </c>
      <c r="W279" s="8">
        <f>IFERROR(__xludf.DUMMYFUNCTION("""COMPUTED_VALUE"""),0.0)</f>
        <v>0</v>
      </c>
      <c r="X279" s="8">
        <f>IFERROR(__xludf.DUMMYFUNCTION("""COMPUTED_VALUE"""),0.0)</f>
        <v>0</v>
      </c>
      <c r="Y279" s="8">
        <f>IFERROR(__xludf.DUMMYFUNCTION("""COMPUTED_VALUE"""),0.0)</f>
        <v>0</v>
      </c>
      <c r="Z279" s="8">
        <f>IFERROR(__xludf.DUMMYFUNCTION("""COMPUTED_VALUE"""),0.0)</f>
        <v>0</v>
      </c>
      <c r="AA279" s="8">
        <f>IFERROR(__xludf.DUMMYFUNCTION("""COMPUTED_VALUE"""),0.0)</f>
        <v>0</v>
      </c>
      <c r="AB279" s="8">
        <f>IFERROR(__xludf.DUMMYFUNCTION("""COMPUTED_VALUE"""),0.0)</f>
        <v>0</v>
      </c>
      <c r="AC279" s="8">
        <f>IFERROR(__xludf.DUMMYFUNCTION("""COMPUTED_VALUE"""),0.0)</f>
        <v>0</v>
      </c>
    </row>
    <row r="280" ht="15.75" customHeight="1">
      <c r="A280" s="6" t="str">
        <f>IFERROR(__xludf.DUMMYFUNCTION("""COMPUTED_VALUE"""),"fe218223c3cbc0377d2bb07ad68251723f1b3792")</f>
        <v>fe218223c3cbc0377d2bb07ad68251723f1b3792</v>
      </c>
      <c r="B280" s="6" t="str">
        <f>IFERROR(__xludf.DUMMYFUNCTION("""COMPUTED_VALUE"""),"Return of the Gamer God")</f>
        <v>Return of the Gamer God</v>
      </c>
      <c r="C280" s="6" t="str">
        <f>IFERROR(__xludf.DUMMYFUNCTION("""COMPUTED_VALUE"""),"System and Superpower")</f>
        <v>System and Superpower</v>
      </c>
      <c r="D280" s="11">
        <f>IFERROR(__xludf.DUMMYFUNCTION("""COMPUTED_VALUE"""),5926.0)</f>
        <v>5926</v>
      </c>
      <c r="E280" s="8">
        <f>IFERROR(__xludf.DUMMYFUNCTION("""COMPUTED_VALUE"""),0.967365573216097)</f>
        <v>0.9673655732</v>
      </c>
      <c r="F280" s="8">
        <f>IFERROR(__xludf.DUMMYFUNCTION("""COMPUTED_VALUE"""),0.516134510869565)</f>
        <v>0.5161345109</v>
      </c>
      <c r="G280" s="8">
        <f>IFERROR(__xludf.DUMMYFUNCTION("""COMPUTED_VALUE"""),0.476978171896316)</f>
        <v>0.4769781719</v>
      </c>
      <c r="H280" s="8">
        <f>IFERROR(__xludf.DUMMYFUNCTION("""COMPUTED_VALUE"""),0.441932168550873)</f>
        <v>0.4419321686</v>
      </c>
      <c r="I280" s="8">
        <f>IFERROR(__xludf.DUMMYFUNCTION("""COMPUTED_VALUE"""),0.416881554065669)</f>
        <v>0.4168815541</v>
      </c>
      <c r="J280" s="8">
        <f>IFERROR(__xludf.DUMMYFUNCTION("""COMPUTED_VALUE"""),0.398893881783615)</f>
        <v>0.3988938818</v>
      </c>
      <c r="K280" s="8">
        <f>IFERROR(__xludf.DUMMYFUNCTION("""COMPUTED_VALUE"""),0.385241642127143)</f>
        <v>0.3852416421</v>
      </c>
      <c r="L280" s="8">
        <f>IFERROR(__xludf.DUMMYFUNCTION("""COMPUTED_VALUE"""),0.370524852276677)</f>
        <v>0.3705248523</v>
      </c>
      <c r="M280" s="8">
        <f>IFERROR(__xludf.DUMMYFUNCTION("""COMPUTED_VALUE"""),0.356159609688098)</f>
        <v>0.3561596097</v>
      </c>
      <c r="N280" s="8">
        <f>IFERROR(__xludf.DUMMYFUNCTION("""COMPUTED_VALUE"""),0.349097915571904)</f>
        <v>0.3490979156</v>
      </c>
      <c r="O280" s="8">
        <f>IFERROR(__xludf.DUMMYFUNCTION("""COMPUTED_VALUE"""),0.299546765554182)</f>
        <v>0.2995467656</v>
      </c>
      <c r="P280" s="8">
        <f>IFERROR(__xludf.DUMMYFUNCTION("""COMPUTED_VALUE"""),0.250206782464846)</f>
        <v>0.2502067825</v>
      </c>
      <c r="Q280" s="8">
        <f>IFERROR(__xludf.DUMMYFUNCTION("""COMPUTED_VALUE"""),0.111111111111111)</f>
        <v>0.1111111111</v>
      </c>
      <c r="R280" s="8">
        <f>IFERROR(__xludf.DUMMYFUNCTION("""COMPUTED_VALUE"""),0.0)</f>
        <v>0</v>
      </c>
      <c r="S280" s="8">
        <f>IFERROR(__xludf.DUMMYFUNCTION("""COMPUTED_VALUE"""),0.0)</f>
        <v>0</v>
      </c>
      <c r="T280" s="8">
        <f>IFERROR(__xludf.DUMMYFUNCTION("""COMPUTED_VALUE"""),0.0)</f>
        <v>0</v>
      </c>
      <c r="U280" s="8">
        <f>IFERROR(__xludf.DUMMYFUNCTION("""COMPUTED_VALUE"""),0.0)</f>
        <v>0</v>
      </c>
      <c r="V280" s="8">
        <f>IFERROR(__xludf.DUMMYFUNCTION("""COMPUTED_VALUE"""),0.0)</f>
        <v>0</v>
      </c>
      <c r="W280" s="8">
        <f>IFERROR(__xludf.DUMMYFUNCTION("""COMPUTED_VALUE"""),0.0)</f>
        <v>0</v>
      </c>
      <c r="X280" s="8">
        <f>IFERROR(__xludf.DUMMYFUNCTION("""COMPUTED_VALUE"""),0.0)</f>
        <v>0</v>
      </c>
      <c r="Y280" s="8">
        <f>IFERROR(__xludf.DUMMYFUNCTION("""COMPUTED_VALUE"""),0.0)</f>
        <v>0</v>
      </c>
      <c r="Z280" s="8">
        <f>IFERROR(__xludf.DUMMYFUNCTION("""COMPUTED_VALUE"""),0.0)</f>
        <v>0</v>
      </c>
      <c r="AA280" s="8">
        <f>IFERROR(__xludf.DUMMYFUNCTION("""COMPUTED_VALUE"""),0.0)</f>
        <v>0</v>
      </c>
      <c r="AB280" s="8">
        <f>IFERROR(__xludf.DUMMYFUNCTION("""COMPUTED_VALUE"""),0.0)</f>
        <v>0</v>
      </c>
      <c r="AC280" s="8">
        <f>IFERROR(__xludf.DUMMYFUNCTION("""COMPUTED_VALUE"""),0.0)</f>
        <v>0</v>
      </c>
    </row>
    <row r="281" ht="15.75" customHeight="1">
      <c r="A281" s="1"/>
      <c r="B281" s="1"/>
      <c r="C281" s="1"/>
      <c r="D281" s="2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5.75" customHeight="1">
      <c r="A282" s="1"/>
      <c r="B282" s="1"/>
      <c r="C282" s="1"/>
      <c r="D282" s="2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5.75" customHeight="1">
      <c r="A283" s="1"/>
      <c r="B283" s="1"/>
      <c r="C283" s="1"/>
      <c r="D283" s="2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5.75" customHeight="1">
      <c r="A284" s="12"/>
      <c r="B284" s="12"/>
      <c r="C284" s="12"/>
      <c r="D284" s="3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5.75" customHeight="1">
      <c r="A285" s="12"/>
      <c r="B285" s="12"/>
      <c r="C285" s="12"/>
      <c r="D285" s="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5.75" customHeight="1">
      <c r="A286" s="12"/>
      <c r="B286" s="12"/>
      <c r="C286" s="12"/>
      <c r="D286" s="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5.75" customHeight="1">
      <c r="A287" s="12"/>
      <c r="B287" s="12"/>
      <c r="C287" s="12"/>
      <c r="D287" s="3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5.75" customHeight="1">
      <c r="A288" s="12"/>
      <c r="B288" s="12"/>
      <c r="C288" s="12"/>
      <c r="D288" s="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5.75" customHeight="1">
      <c r="A289" s="12"/>
      <c r="B289" s="12"/>
      <c r="C289" s="12"/>
      <c r="D289" s="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5.75" customHeight="1">
      <c r="A290" s="12"/>
      <c r="B290" s="12"/>
      <c r="C290" s="12"/>
      <c r="D290" s="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5.75" customHeight="1">
      <c r="A291" s="12"/>
      <c r="B291" s="12"/>
      <c r="C291" s="12"/>
      <c r="D291" s="3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15.75" customHeight="1">
      <c r="A292" s="12"/>
      <c r="B292" s="12"/>
      <c r="C292" s="12"/>
      <c r="D292" s="3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15.75" customHeight="1">
      <c r="A293" s="12"/>
      <c r="B293" s="12"/>
      <c r="C293" s="12"/>
      <c r="D293" s="3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5.75" customHeight="1">
      <c r="A294" s="12"/>
      <c r="B294" s="12"/>
      <c r="C294" s="12"/>
      <c r="D294" s="3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15.75" customHeight="1">
      <c r="A295" s="12"/>
      <c r="B295" s="12"/>
      <c r="C295" s="12"/>
      <c r="D295" s="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15.75" customHeight="1">
      <c r="A296" s="12"/>
      <c r="B296" s="12"/>
      <c r="C296" s="12"/>
      <c r="D296" s="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15.75" customHeight="1">
      <c r="A297" s="12"/>
      <c r="B297" s="12"/>
      <c r="C297" s="12"/>
      <c r="D297" s="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5.75" customHeight="1">
      <c r="A298" s="12"/>
      <c r="B298" s="12"/>
      <c r="C298" s="12"/>
      <c r="D298" s="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15.75" customHeight="1">
      <c r="A299" s="12"/>
      <c r="B299" s="12"/>
      <c r="C299" s="12"/>
      <c r="D299" s="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15.75" customHeight="1">
      <c r="A300" s="12"/>
      <c r="B300" s="12"/>
      <c r="C300" s="12"/>
      <c r="D300" s="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15.75" customHeight="1">
      <c r="A301" s="12"/>
      <c r="B301" s="12"/>
      <c r="C301" s="12"/>
      <c r="D301" s="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5.75" customHeight="1">
      <c r="A302" s="12"/>
      <c r="B302" s="12"/>
      <c r="C302" s="12"/>
      <c r="D302" s="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15.75" customHeight="1">
      <c r="A303" s="12"/>
      <c r="B303" s="12"/>
      <c r="C303" s="12"/>
      <c r="D303" s="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15.75" customHeight="1">
      <c r="A304" s="12"/>
      <c r="B304" s="12"/>
      <c r="C304" s="12"/>
      <c r="D304" s="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5.75" customHeight="1">
      <c r="A305" s="12"/>
      <c r="B305" s="12"/>
      <c r="C305" s="12"/>
      <c r="D305" s="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15.75" customHeight="1">
      <c r="A306" s="12"/>
      <c r="B306" s="12"/>
      <c r="C306" s="12"/>
      <c r="D306" s="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5.75" customHeight="1">
      <c r="A307" s="12"/>
      <c r="B307" s="12"/>
      <c r="C307" s="12"/>
      <c r="D307" s="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15.75" customHeight="1">
      <c r="A308" s="12"/>
      <c r="B308" s="12"/>
      <c r="C308" s="12"/>
      <c r="D308" s="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5.75" customHeight="1">
      <c r="A309" s="12"/>
      <c r="B309" s="12"/>
      <c r="C309" s="12"/>
      <c r="D309" s="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15.75" customHeight="1">
      <c r="A310" s="12"/>
      <c r="B310" s="12"/>
      <c r="C310" s="12"/>
      <c r="D310" s="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15.75" customHeight="1">
      <c r="A311" s="12"/>
      <c r="B311" s="12"/>
      <c r="C311" s="12"/>
      <c r="D311" s="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15.75" customHeight="1">
      <c r="A312" s="12"/>
      <c r="B312" s="12"/>
      <c r="C312" s="12"/>
      <c r="D312" s="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5.75" customHeight="1">
      <c r="A313" s="12"/>
      <c r="B313" s="12"/>
      <c r="C313" s="12"/>
      <c r="D313" s="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15.75" customHeight="1">
      <c r="A314" s="12"/>
      <c r="B314" s="12"/>
      <c r="C314" s="12"/>
      <c r="D314" s="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15.75" customHeight="1">
      <c r="A315" s="12"/>
      <c r="B315" s="12"/>
      <c r="C315" s="12"/>
      <c r="D315" s="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15.75" customHeight="1">
      <c r="A316" s="12"/>
      <c r="B316" s="12"/>
      <c r="C316" s="12"/>
      <c r="D316" s="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5.75" customHeight="1">
      <c r="A317" s="12"/>
      <c r="B317" s="12"/>
      <c r="C317" s="12"/>
      <c r="D317" s="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15.75" customHeight="1">
      <c r="A318" s="12"/>
      <c r="B318" s="12"/>
      <c r="C318" s="12"/>
      <c r="D318" s="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15.75" customHeight="1">
      <c r="A319" s="12"/>
      <c r="B319" s="12"/>
      <c r="C319" s="12"/>
      <c r="D319" s="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15.75" customHeight="1">
      <c r="A320" s="12"/>
      <c r="B320" s="12"/>
      <c r="C320" s="12"/>
      <c r="D320" s="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5.75" customHeight="1">
      <c r="A321" s="12"/>
      <c r="B321" s="12"/>
      <c r="C321" s="12"/>
      <c r="D321" s="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15.75" customHeight="1">
      <c r="A322" s="12"/>
      <c r="B322" s="12"/>
      <c r="C322" s="12"/>
      <c r="D322" s="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15.75" customHeight="1">
      <c r="A323" s="12"/>
      <c r="B323" s="12"/>
      <c r="C323" s="12"/>
      <c r="D323" s="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5.75" customHeight="1">
      <c r="A324" s="12"/>
      <c r="B324" s="12"/>
      <c r="C324" s="12"/>
      <c r="D324" s="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15.75" customHeight="1">
      <c r="A325" s="12"/>
      <c r="B325" s="12"/>
      <c r="C325" s="12"/>
      <c r="D325" s="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15.75" customHeight="1">
      <c r="A326" s="12"/>
      <c r="B326" s="12"/>
      <c r="C326" s="12"/>
      <c r="D326" s="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15.75" customHeight="1">
      <c r="A327" s="12"/>
      <c r="B327" s="12"/>
      <c r="C327" s="12"/>
      <c r="D327" s="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5.75" customHeight="1">
      <c r="A328" s="12"/>
      <c r="B328" s="12"/>
      <c r="C328" s="12"/>
      <c r="D328" s="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15.75" customHeight="1">
      <c r="A329" s="12"/>
      <c r="B329" s="12"/>
      <c r="C329" s="12"/>
      <c r="D329" s="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15.75" customHeight="1">
      <c r="A330" s="12"/>
      <c r="B330" s="12"/>
      <c r="C330" s="12"/>
      <c r="D330" s="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5.75" customHeight="1">
      <c r="A331" s="12"/>
      <c r="B331" s="12"/>
      <c r="C331" s="12"/>
      <c r="D331" s="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15.75" customHeight="1">
      <c r="A332" s="12"/>
      <c r="B332" s="12"/>
      <c r="C332" s="12"/>
      <c r="D332" s="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15.75" customHeight="1">
      <c r="A333" s="12"/>
      <c r="B333" s="12"/>
      <c r="C333" s="12"/>
      <c r="D333" s="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5.75" customHeight="1">
      <c r="A334" s="12"/>
      <c r="B334" s="12"/>
      <c r="C334" s="12"/>
      <c r="D334" s="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15.75" customHeight="1">
      <c r="A335" s="12"/>
      <c r="B335" s="12"/>
      <c r="C335" s="12"/>
      <c r="D335" s="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15.75" customHeight="1">
      <c r="A336" s="12"/>
      <c r="B336" s="12"/>
      <c r="C336" s="12"/>
      <c r="D336" s="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15.75" customHeight="1">
      <c r="A337" s="12"/>
      <c r="B337" s="12"/>
      <c r="C337" s="12"/>
      <c r="D337" s="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5.75" customHeight="1">
      <c r="A338" s="12"/>
      <c r="B338" s="12"/>
      <c r="C338" s="12"/>
      <c r="D338" s="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15.75" customHeight="1">
      <c r="A339" s="12"/>
      <c r="B339" s="12"/>
      <c r="C339" s="12"/>
      <c r="D339" s="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15.75" customHeight="1">
      <c r="A340" s="12"/>
      <c r="B340" s="12"/>
      <c r="C340" s="12"/>
      <c r="D340" s="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5.75" customHeight="1">
      <c r="A341" s="12"/>
      <c r="B341" s="12"/>
      <c r="C341" s="12"/>
      <c r="D341" s="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15.75" customHeight="1">
      <c r="A342" s="12"/>
      <c r="B342" s="12"/>
      <c r="C342" s="12"/>
      <c r="D342" s="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15.75" customHeight="1">
      <c r="A343" s="12"/>
      <c r="B343" s="12"/>
      <c r="C343" s="12"/>
      <c r="D343" s="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5.75" customHeight="1">
      <c r="A344" s="12"/>
      <c r="B344" s="12"/>
      <c r="C344" s="12"/>
      <c r="D344" s="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15.75" customHeight="1">
      <c r="A345" s="12"/>
      <c r="B345" s="12"/>
      <c r="C345" s="12"/>
      <c r="D345" s="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15.75" customHeight="1">
      <c r="A346" s="12"/>
      <c r="B346" s="12"/>
      <c r="C346" s="12"/>
      <c r="D346" s="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15.75" customHeight="1">
      <c r="A347" s="12"/>
      <c r="B347" s="12"/>
      <c r="C347" s="12"/>
      <c r="D347" s="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15.75" customHeight="1">
      <c r="A348" s="12"/>
      <c r="B348" s="12"/>
      <c r="C348" s="12"/>
      <c r="D348" s="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15.75" customHeight="1">
      <c r="A349" s="12"/>
      <c r="B349" s="12"/>
      <c r="C349" s="12"/>
      <c r="D349" s="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15.75" customHeight="1">
      <c r="A350" s="12"/>
      <c r="B350" s="12"/>
      <c r="C350" s="12"/>
      <c r="D350" s="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15.75" customHeight="1">
      <c r="A351" s="12"/>
      <c r="B351" s="12"/>
      <c r="C351" s="12"/>
      <c r="D351" s="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15.75" customHeight="1">
      <c r="A352" s="12"/>
      <c r="B352" s="12"/>
      <c r="C352" s="12"/>
      <c r="D352" s="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15.75" customHeight="1">
      <c r="A353" s="12"/>
      <c r="B353" s="12"/>
      <c r="C353" s="12"/>
      <c r="D353" s="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15.75" customHeight="1">
      <c r="A354" s="12"/>
      <c r="B354" s="12"/>
      <c r="C354" s="12"/>
      <c r="D354" s="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15.75" customHeight="1">
      <c r="A355" s="12"/>
      <c r="B355" s="12"/>
      <c r="C355" s="12"/>
      <c r="D355" s="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15.75" customHeight="1">
      <c r="A356" s="12"/>
      <c r="B356" s="12"/>
      <c r="C356" s="12"/>
      <c r="D356" s="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15.75" customHeight="1">
      <c r="A357" s="12"/>
      <c r="B357" s="12"/>
      <c r="C357" s="12"/>
      <c r="D357" s="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15.75" customHeight="1">
      <c r="A358" s="12"/>
      <c r="B358" s="12"/>
      <c r="C358" s="12"/>
      <c r="D358" s="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15.75" customHeight="1">
      <c r="A359" s="12"/>
      <c r="B359" s="12"/>
      <c r="C359" s="12"/>
      <c r="D359" s="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15.75" customHeight="1">
      <c r="A360" s="12"/>
      <c r="B360" s="12"/>
      <c r="C360" s="12"/>
      <c r="D360" s="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15.75" customHeight="1">
      <c r="A361" s="12"/>
      <c r="B361" s="12"/>
      <c r="C361" s="12"/>
      <c r="D361" s="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15.75" customHeight="1">
      <c r="A362" s="12"/>
      <c r="B362" s="12"/>
      <c r="C362" s="12"/>
      <c r="D362" s="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15.75" customHeight="1">
      <c r="A363" s="12"/>
      <c r="B363" s="12"/>
      <c r="C363" s="12"/>
      <c r="D363" s="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15.75" customHeight="1">
      <c r="A364" s="12"/>
      <c r="B364" s="12"/>
      <c r="C364" s="12"/>
      <c r="D364" s="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15.75" customHeight="1">
      <c r="A365" s="12"/>
      <c r="B365" s="12"/>
      <c r="C365" s="12"/>
      <c r="D365" s="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15.75" customHeight="1">
      <c r="A366" s="12"/>
      <c r="B366" s="12"/>
      <c r="C366" s="12"/>
      <c r="D366" s="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15.75" customHeight="1">
      <c r="A367" s="12"/>
      <c r="B367" s="12"/>
      <c r="C367" s="12"/>
      <c r="D367" s="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15.75" customHeight="1">
      <c r="A368" s="12"/>
      <c r="B368" s="12"/>
      <c r="C368" s="12"/>
      <c r="D368" s="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15.75" customHeight="1">
      <c r="A369" s="12"/>
      <c r="B369" s="12"/>
      <c r="C369" s="12"/>
      <c r="D369" s="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15.75" customHeight="1">
      <c r="A370" s="12"/>
      <c r="B370" s="12"/>
      <c r="C370" s="12"/>
      <c r="D370" s="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15.75" customHeight="1">
      <c r="A371" s="12"/>
      <c r="B371" s="12"/>
      <c r="C371" s="12"/>
      <c r="D371" s="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15.75" customHeight="1">
      <c r="A372" s="12"/>
      <c r="B372" s="12"/>
      <c r="C372" s="12"/>
      <c r="D372" s="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15.75" customHeight="1">
      <c r="A373" s="12"/>
      <c r="B373" s="12"/>
      <c r="C373" s="12"/>
      <c r="D373" s="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15.75" customHeight="1">
      <c r="A374" s="12"/>
      <c r="B374" s="12"/>
      <c r="C374" s="12"/>
      <c r="D374" s="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15.75" customHeight="1">
      <c r="A375" s="12"/>
      <c r="B375" s="12"/>
      <c r="C375" s="12"/>
      <c r="D375" s="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15.75" customHeight="1">
      <c r="A376" s="12"/>
      <c r="B376" s="12"/>
      <c r="C376" s="12"/>
      <c r="D376" s="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15.75" customHeight="1">
      <c r="A377" s="12"/>
      <c r="B377" s="12"/>
      <c r="C377" s="12"/>
      <c r="D377" s="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15.75" customHeight="1">
      <c r="A378" s="12"/>
      <c r="B378" s="12"/>
      <c r="C378" s="12"/>
      <c r="D378" s="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15.75" customHeight="1">
      <c r="A379" s="12"/>
      <c r="B379" s="12"/>
      <c r="C379" s="12"/>
      <c r="D379" s="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15.75" customHeight="1">
      <c r="A380" s="12"/>
      <c r="B380" s="12"/>
      <c r="C380" s="12"/>
      <c r="D380" s="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15.75" customHeight="1">
      <c r="A381" s="12"/>
      <c r="B381" s="12"/>
      <c r="C381" s="12"/>
      <c r="D381" s="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15.75" customHeight="1">
      <c r="A382" s="12"/>
      <c r="B382" s="12"/>
      <c r="C382" s="12"/>
      <c r="D382" s="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15.75" customHeight="1">
      <c r="A383" s="12"/>
      <c r="B383" s="12"/>
      <c r="C383" s="12"/>
      <c r="D383" s="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15.75" customHeight="1">
      <c r="A384" s="12"/>
      <c r="B384" s="12"/>
      <c r="C384" s="12"/>
      <c r="D384" s="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15.75" customHeight="1">
      <c r="A385" s="12"/>
      <c r="B385" s="12"/>
      <c r="C385" s="12"/>
      <c r="D385" s="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15.75" customHeight="1">
      <c r="A386" s="12"/>
      <c r="B386" s="12"/>
      <c r="C386" s="12"/>
      <c r="D386" s="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15.75" customHeight="1">
      <c r="A387" s="12"/>
      <c r="B387" s="12"/>
      <c r="C387" s="12"/>
      <c r="D387" s="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15.75" customHeight="1">
      <c r="A388" s="12"/>
      <c r="B388" s="12"/>
      <c r="C388" s="12"/>
      <c r="D388" s="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15.75" customHeight="1">
      <c r="A389" s="12"/>
      <c r="B389" s="12"/>
      <c r="C389" s="12"/>
      <c r="D389" s="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15.75" customHeight="1">
      <c r="A390" s="12"/>
      <c r="B390" s="12"/>
      <c r="C390" s="12"/>
      <c r="D390" s="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15.75" customHeight="1">
      <c r="A391" s="12"/>
      <c r="B391" s="12"/>
      <c r="C391" s="12"/>
      <c r="D391" s="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15.75" customHeight="1">
      <c r="A392" s="12"/>
      <c r="B392" s="12"/>
      <c r="C392" s="12"/>
      <c r="D392" s="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15.75" customHeight="1">
      <c r="A393" s="12"/>
      <c r="B393" s="12"/>
      <c r="C393" s="12"/>
      <c r="D393" s="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15.75" customHeight="1">
      <c r="A394" s="12"/>
      <c r="B394" s="12"/>
      <c r="C394" s="12"/>
      <c r="D394" s="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15.75" customHeight="1">
      <c r="A395" s="12"/>
      <c r="B395" s="12"/>
      <c r="C395" s="12"/>
      <c r="D395" s="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15.75" customHeight="1">
      <c r="A396" s="12"/>
      <c r="B396" s="12"/>
      <c r="C396" s="12"/>
      <c r="D396" s="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15.75" customHeight="1">
      <c r="A397" s="12"/>
      <c r="B397" s="12"/>
      <c r="C397" s="12"/>
      <c r="D397" s="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15.75" customHeight="1">
      <c r="A398" s="12"/>
      <c r="B398" s="12"/>
      <c r="C398" s="12"/>
      <c r="D398" s="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15.75" customHeight="1">
      <c r="A399" s="12"/>
      <c r="B399" s="12"/>
      <c r="C399" s="12"/>
      <c r="D399" s="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15.75" customHeight="1">
      <c r="A400" s="12"/>
      <c r="B400" s="12"/>
      <c r="C400" s="12"/>
      <c r="D400" s="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15.75" customHeight="1">
      <c r="A401" s="12"/>
      <c r="B401" s="12"/>
      <c r="C401" s="12"/>
      <c r="D401" s="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15.75" customHeight="1">
      <c r="A402" s="12"/>
      <c r="B402" s="12"/>
      <c r="C402" s="12"/>
      <c r="D402" s="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15.75" customHeight="1">
      <c r="A403" s="12"/>
      <c r="B403" s="12"/>
      <c r="C403" s="12"/>
      <c r="D403" s="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15.75" customHeight="1">
      <c r="A404" s="12"/>
      <c r="B404" s="12"/>
      <c r="C404" s="12"/>
      <c r="D404" s="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15.75" customHeight="1">
      <c r="A405" s="12"/>
      <c r="B405" s="12"/>
      <c r="C405" s="12"/>
      <c r="D405" s="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15.75" customHeight="1">
      <c r="A406" s="12"/>
      <c r="B406" s="12"/>
      <c r="C406" s="12"/>
      <c r="D406" s="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15.75" customHeight="1">
      <c r="A407" s="12"/>
      <c r="B407" s="12"/>
      <c r="C407" s="12"/>
      <c r="D407" s="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15.75" customHeight="1">
      <c r="A408" s="12"/>
      <c r="B408" s="12"/>
      <c r="C408" s="12"/>
      <c r="D408" s="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15.75" customHeight="1">
      <c r="A409" s="12"/>
      <c r="B409" s="12"/>
      <c r="C409" s="12"/>
      <c r="D409" s="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15.75" customHeight="1">
      <c r="A410" s="12"/>
      <c r="B410" s="12"/>
      <c r="C410" s="12"/>
      <c r="D410" s="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15.75" customHeight="1">
      <c r="A411" s="12"/>
      <c r="B411" s="12"/>
      <c r="C411" s="12"/>
      <c r="D411" s="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15.75" customHeight="1">
      <c r="A412" s="12"/>
      <c r="B412" s="12"/>
      <c r="C412" s="12"/>
      <c r="D412" s="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15.75" customHeight="1">
      <c r="A413" s="12"/>
      <c r="B413" s="12"/>
      <c r="C413" s="12"/>
      <c r="D413" s="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15.75" customHeight="1">
      <c r="A414" s="12"/>
      <c r="B414" s="12"/>
      <c r="C414" s="12"/>
      <c r="D414" s="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15.75" customHeight="1">
      <c r="A415" s="12"/>
      <c r="B415" s="12"/>
      <c r="C415" s="12"/>
      <c r="D415" s="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15.75" customHeight="1">
      <c r="A416" s="12"/>
      <c r="B416" s="12"/>
      <c r="C416" s="12"/>
      <c r="D416" s="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15.75" customHeight="1">
      <c r="A417" s="12"/>
      <c r="B417" s="12"/>
      <c r="C417" s="12"/>
      <c r="D417" s="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15.75" customHeight="1">
      <c r="A418" s="12"/>
      <c r="B418" s="12"/>
      <c r="C418" s="12"/>
      <c r="D418" s="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15.75" customHeight="1">
      <c r="A419" s="12"/>
      <c r="B419" s="12"/>
      <c r="C419" s="12"/>
      <c r="D419" s="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15.75" customHeight="1">
      <c r="A420" s="12"/>
      <c r="B420" s="12"/>
      <c r="C420" s="12"/>
      <c r="D420" s="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15.75" customHeight="1">
      <c r="A421" s="12"/>
      <c r="B421" s="12"/>
      <c r="C421" s="12"/>
      <c r="D421" s="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15.75" customHeight="1">
      <c r="A422" s="12"/>
      <c r="B422" s="12"/>
      <c r="C422" s="12"/>
      <c r="D422" s="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15.75" customHeight="1">
      <c r="A423" s="12"/>
      <c r="B423" s="12"/>
      <c r="C423" s="12"/>
      <c r="D423" s="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15.75" customHeight="1">
      <c r="A424" s="12"/>
      <c r="B424" s="12"/>
      <c r="C424" s="12"/>
      <c r="D424" s="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15.75" customHeight="1">
      <c r="A425" s="12"/>
      <c r="B425" s="12"/>
      <c r="C425" s="12"/>
      <c r="D425" s="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15.75" customHeight="1">
      <c r="A426" s="12"/>
      <c r="B426" s="12"/>
      <c r="C426" s="12"/>
      <c r="D426" s="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15.75" customHeight="1">
      <c r="A427" s="12"/>
      <c r="B427" s="12"/>
      <c r="C427" s="12"/>
      <c r="D427" s="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15.75" customHeight="1">
      <c r="A428" s="12"/>
      <c r="B428" s="12"/>
      <c r="C428" s="12"/>
      <c r="D428" s="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15.75" customHeight="1">
      <c r="A429" s="12"/>
      <c r="B429" s="12"/>
      <c r="C429" s="12"/>
      <c r="D429" s="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15.75" customHeight="1">
      <c r="A430" s="12"/>
      <c r="B430" s="12"/>
      <c r="C430" s="12"/>
      <c r="D430" s="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15.75" customHeight="1">
      <c r="A431" s="12"/>
      <c r="B431" s="12"/>
      <c r="C431" s="12"/>
      <c r="D431" s="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15.75" customHeight="1">
      <c r="A432" s="12"/>
      <c r="B432" s="12"/>
      <c r="C432" s="12"/>
      <c r="D432" s="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15.75" customHeight="1">
      <c r="A433" s="12"/>
      <c r="B433" s="12"/>
      <c r="C433" s="12"/>
      <c r="D433" s="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15.75" customHeight="1">
      <c r="A434" s="12"/>
      <c r="B434" s="12"/>
      <c r="C434" s="12"/>
      <c r="D434" s="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15.75" customHeight="1">
      <c r="A435" s="12"/>
      <c r="B435" s="12"/>
      <c r="C435" s="12"/>
      <c r="D435" s="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15.75" customHeight="1">
      <c r="A436" s="12"/>
      <c r="B436" s="12"/>
      <c r="C436" s="12"/>
      <c r="D436" s="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15.75" customHeight="1">
      <c r="A437" s="12"/>
      <c r="B437" s="12"/>
      <c r="C437" s="12"/>
      <c r="D437" s="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15.75" customHeight="1">
      <c r="A438" s="12"/>
      <c r="B438" s="12"/>
      <c r="C438" s="12"/>
      <c r="D438" s="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15.75" customHeight="1">
      <c r="A439" s="12"/>
      <c r="B439" s="12"/>
      <c r="C439" s="12"/>
      <c r="D439" s="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15.75" customHeight="1">
      <c r="A440" s="12"/>
      <c r="B440" s="12"/>
      <c r="C440" s="12"/>
      <c r="D440" s="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15.75" customHeight="1">
      <c r="A441" s="12"/>
      <c r="B441" s="12"/>
      <c r="C441" s="12"/>
      <c r="D441" s="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15.75" customHeight="1">
      <c r="A442" s="12"/>
      <c r="B442" s="12"/>
      <c r="C442" s="12"/>
      <c r="D442" s="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15.75" customHeight="1">
      <c r="A443" s="12"/>
      <c r="B443" s="12"/>
      <c r="C443" s="12"/>
      <c r="D443" s="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15.75" customHeight="1">
      <c r="A444" s="12"/>
      <c r="B444" s="12"/>
      <c r="C444" s="12"/>
      <c r="D444" s="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15.75" customHeight="1">
      <c r="A445" s="12"/>
      <c r="B445" s="12"/>
      <c r="C445" s="12"/>
      <c r="D445" s="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15.75" customHeight="1">
      <c r="A446" s="12"/>
      <c r="B446" s="12"/>
      <c r="C446" s="12"/>
      <c r="D446" s="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15.75" customHeight="1">
      <c r="A447" s="12"/>
      <c r="B447" s="12"/>
      <c r="C447" s="12"/>
      <c r="D447" s="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15.75" customHeight="1">
      <c r="A448" s="12"/>
      <c r="B448" s="12"/>
      <c r="C448" s="12"/>
      <c r="D448" s="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15.75" customHeight="1">
      <c r="A449" s="12"/>
      <c r="B449" s="12"/>
      <c r="C449" s="12"/>
      <c r="D449" s="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15.75" customHeight="1">
      <c r="A450" s="12"/>
      <c r="B450" s="12"/>
      <c r="C450" s="12"/>
      <c r="D450" s="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15.75" customHeight="1">
      <c r="A451" s="12"/>
      <c r="B451" s="12"/>
      <c r="C451" s="12"/>
      <c r="D451" s="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15.75" customHeight="1">
      <c r="A452" s="12"/>
      <c r="B452" s="12"/>
      <c r="C452" s="12"/>
      <c r="D452" s="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15.75" customHeight="1">
      <c r="A453" s="12"/>
      <c r="B453" s="12"/>
      <c r="C453" s="12"/>
      <c r="D453" s="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15.75" customHeight="1">
      <c r="A454" s="12"/>
      <c r="B454" s="12"/>
      <c r="C454" s="12"/>
      <c r="D454" s="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15.75" customHeight="1">
      <c r="A455" s="12"/>
      <c r="B455" s="12"/>
      <c r="C455" s="12"/>
      <c r="D455" s="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15.75" customHeight="1">
      <c r="A456" s="12"/>
      <c r="B456" s="12"/>
      <c r="C456" s="12"/>
      <c r="D456" s="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15.75" customHeight="1">
      <c r="A457" s="12"/>
      <c r="B457" s="12"/>
      <c r="C457" s="12"/>
      <c r="D457" s="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15.75" customHeight="1">
      <c r="A458" s="12"/>
      <c r="B458" s="12"/>
      <c r="C458" s="12"/>
      <c r="D458" s="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15.75" customHeight="1">
      <c r="A459" s="12"/>
      <c r="B459" s="12"/>
      <c r="C459" s="12"/>
      <c r="D459" s="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15.75" customHeight="1">
      <c r="A460" s="12"/>
      <c r="B460" s="12"/>
      <c r="C460" s="12"/>
      <c r="D460" s="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15.75" customHeight="1">
      <c r="A461" s="12"/>
      <c r="B461" s="12"/>
      <c r="C461" s="12"/>
      <c r="D461" s="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15.75" customHeight="1">
      <c r="A462" s="12"/>
      <c r="B462" s="12"/>
      <c r="C462" s="12"/>
      <c r="D462" s="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15.75" customHeight="1">
      <c r="A463" s="12"/>
      <c r="B463" s="12"/>
      <c r="C463" s="12"/>
      <c r="D463" s="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15.75" customHeight="1">
      <c r="A464" s="12"/>
      <c r="B464" s="12"/>
      <c r="C464" s="12"/>
      <c r="D464" s="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15.75" customHeight="1">
      <c r="A465" s="12"/>
      <c r="B465" s="12"/>
      <c r="C465" s="12"/>
      <c r="D465" s="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15.75" customHeight="1">
      <c r="A466" s="12"/>
      <c r="B466" s="12"/>
      <c r="C466" s="12"/>
      <c r="D466" s="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15.75" customHeight="1">
      <c r="A467" s="12"/>
      <c r="B467" s="12"/>
      <c r="C467" s="12"/>
      <c r="D467" s="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15.75" customHeight="1">
      <c r="A468" s="12"/>
      <c r="B468" s="12"/>
      <c r="C468" s="12"/>
      <c r="D468" s="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15.75" customHeight="1">
      <c r="A469" s="12"/>
      <c r="B469" s="12"/>
      <c r="C469" s="12"/>
      <c r="D469" s="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15.75" customHeight="1">
      <c r="A470" s="12"/>
      <c r="B470" s="12"/>
      <c r="C470" s="12"/>
      <c r="D470" s="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15.75" customHeight="1">
      <c r="A471" s="12"/>
      <c r="B471" s="12"/>
      <c r="C471" s="12"/>
      <c r="D471" s="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15.75" customHeight="1">
      <c r="A472" s="12"/>
      <c r="B472" s="12"/>
      <c r="C472" s="12"/>
      <c r="D472" s="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15.75" customHeight="1">
      <c r="A473" s="12"/>
      <c r="B473" s="12"/>
      <c r="C473" s="12"/>
      <c r="D473" s="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ht="15.75" customHeight="1">
      <c r="A474" s="12"/>
      <c r="B474" s="12"/>
      <c r="C474" s="12"/>
      <c r="D474" s="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ht="15.75" customHeight="1">
      <c r="A475" s="12"/>
      <c r="B475" s="12"/>
      <c r="C475" s="12"/>
      <c r="D475" s="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ht="15.75" customHeight="1">
      <c r="A476" s="12"/>
      <c r="B476" s="12"/>
      <c r="C476" s="12"/>
      <c r="D476" s="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15.75" customHeight="1">
      <c r="A477" s="12"/>
      <c r="B477" s="12"/>
      <c r="C477" s="12"/>
      <c r="D477" s="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ht="15.75" customHeight="1">
      <c r="A478" s="12"/>
      <c r="B478" s="12"/>
      <c r="C478" s="12"/>
      <c r="D478" s="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ht="15.75" customHeight="1">
      <c r="A479" s="12"/>
      <c r="B479" s="12"/>
      <c r="C479" s="12"/>
      <c r="D479" s="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ht="15.75" customHeight="1">
      <c r="A480" s="12"/>
      <c r="B480" s="12"/>
      <c r="C480" s="12"/>
      <c r="D480" s="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15.75" customHeight="1">
      <c r="A481" s="12"/>
      <c r="B481" s="12"/>
      <c r="C481" s="12"/>
      <c r="D481" s="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ht="15.75" customHeight="1">
      <c r="A482" s="12"/>
      <c r="B482" s="12"/>
      <c r="C482" s="12"/>
      <c r="D482" s="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ht="15.75" customHeight="1">
      <c r="A483" s="12"/>
      <c r="B483" s="12"/>
      <c r="C483" s="12"/>
      <c r="D483" s="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</sheetData>
  <conditionalFormatting sqref="E5:E483">
    <cfRule type="expression" dxfId="0" priority="1" stopIfTrue="1">
      <formula>AND(ISNUMBER(E5),IF($C5="Romantasy",E$2,IF(OR($C5="Romance",$C5="Drama"),E$3,E$1))&gt;0,E5&gt;=(IF($C5="Romantasy",E$2,IF(OR($C5="Romance",$C5="Drama"),E$3,E$1))))</formula>
    </cfRule>
  </conditionalFormatting>
  <conditionalFormatting sqref="E5:E483">
    <cfRule type="expression" dxfId="1" priority="2" stopIfTrue="1">
      <formula>AND(ISNUMBER(E5),IF($C5="Romantasy",E$2,IF(OR($C5="Romance",$C5="Drama"),E$3,E$1))&gt;0,E5&gt;=0.7*(IF($C5="Romantasy",E$2,IF(OR($C5="Romance",$C5="Drama"),E$3,E$1))),E5&lt;(IF($C5="Romantasy",E$2,IF(OR($C5="Romance",$C5="Drama"),E$3,E$1))))</formula>
    </cfRule>
  </conditionalFormatting>
  <conditionalFormatting sqref="E5:E483">
    <cfRule type="expression" dxfId="2" priority="3" stopIfTrue="1">
      <formula>AND(ISNUMBER(E5),IF($C5="Romantasy",E$2,IF(OR($C5="Romance",$C5="Drama"),E$3,E$1))&gt;0,E5&lt;0.7*(IF($C5="Romantasy",E$2,IF(OR($C5="Romance",$C5="Drama"),E$3,E$1))))</formula>
    </cfRule>
  </conditionalFormatting>
  <conditionalFormatting sqref="F5:F483">
    <cfRule type="expression" dxfId="0" priority="4" stopIfTrue="1">
      <formula>AND(ISNUMBER(F5),IF($C5="Romantasy",F$2,IF(OR($C5="Romance",$C5="Drama"),F$3,F$1))&gt;0,F5&gt;=(IF($C5="Romantasy",F$2,IF(OR($C5="Romance",$C5="Drama"),F$3,F$1))))</formula>
    </cfRule>
  </conditionalFormatting>
  <conditionalFormatting sqref="F5:F483">
    <cfRule type="expression" dxfId="1" priority="5" stopIfTrue="1">
      <formula>AND(ISNUMBER(F5),IF($C5="Romantasy",F$2,IF(OR($C5="Romance",$C5="Drama"),F$3,F$1))&gt;0,F5&gt;=0.7*(IF($C5="Romantasy",F$2,IF(OR($C5="Romance",$C5="Drama"),F$3,F$1))),F5&lt;(IF($C5="Romantasy",F$2,IF(OR($C5="Romance",$C5="Drama"),F$3,F$1))))</formula>
    </cfRule>
  </conditionalFormatting>
  <conditionalFormatting sqref="F5:F483">
    <cfRule type="expression" dxfId="2" priority="6" stopIfTrue="1">
      <formula>AND(ISNUMBER(F5),IF($C5="Romantasy",F$2,IF(OR($C5="Romance",$C5="Drama"),F$3,F$1))&gt;0,F5&lt;0.7*(IF($C5="Romantasy",F$2,IF(OR($C5="Romance",$C5="Drama"),F$3,F$1))))</formula>
    </cfRule>
  </conditionalFormatting>
  <conditionalFormatting sqref="G5:G483">
    <cfRule type="expression" dxfId="0" priority="7" stopIfTrue="1">
      <formula>AND(ISNUMBER(G5),IF($C5="Romantasy",G$2,IF(OR($C5="Romance",$C5="Drama"),G$3,G$1))&gt;0,G5&gt;=(IF($C5="Romantasy",G$2,IF(OR($C5="Romance",$C5="Drama"),G$3,G$1))))</formula>
    </cfRule>
  </conditionalFormatting>
  <conditionalFormatting sqref="G5:G483">
    <cfRule type="expression" dxfId="1" priority="8" stopIfTrue="1">
      <formula>AND(ISNUMBER(G5),IF($C5="Romantasy",G$2,IF(OR($C5="Romance",$C5="Drama"),G$3,G$1))&gt;0,G5&gt;=0.7*(IF($C5="Romantasy",G$2,IF(OR($C5="Romance",$C5="Drama"),G$3,G$1))),G5&lt;(IF($C5="Romantasy",G$2,IF(OR($C5="Romance",$C5="Drama"),G$3,G$1))))</formula>
    </cfRule>
  </conditionalFormatting>
  <conditionalFormatting sqref="G5:G483">
    <cfRule type="expression" dxfId="2" priority="9" stopIfTrue="1">
      <formula>AND(ISNUMBER(G5),IF($C5="Romantasy",G$2,IF(OR($C5="Romance",$C5="Drama"),G$3,G$1))&gt;0,G5&lt;0.7*(IF($C5="Romantasy",G$2,IF(OR($C5="Romance",$C5="Drama"),G$3,G$1))))</formula>
    </cfRule>
  </conditionalFormatting>
  <conditionalFormatting sqref="H5:H483">
    <cfRule type="expression" dxfId="0" priority="10" stopIfTrue="1">
      <formula>AND(ISNUMBER(H5),IF($C5="Romantasy",H$2,IF(OR($C5="Romance",$C5="Drama"),H$3,H$1))&gt;0,H5&gt;=(IF($C5="Romantasy",H$2,IF(OR($C5="Romance",$C5="Drama"),H$3,H$1))))</formula>
    </cfRule>
  </conditionalFormatting>
  <conditionalFormatting sqref="H5:H483">
    <cfRule type="expression" dxfId="1" priority="11" stopIfTrue="1">
      <formula>AND(ISNUMBER(H5),IF($C5="Romantasy",H$2,IF(OR($C5="Romance",$C5="Drama"),H$3,H$1))&gt;0,H5&gt;=0.7*(IF($C5="Romantasy",H$2,IF(OR($C5="Romance",$C5="Drama"),H$3,H$1))),H5&lt;(IF($C5="Romantasy",H$2,IF(OR($C5="Romance",$C5="Drama"),H$3,H$1))))</formula>
    </cfRule>
  </conditionalFormatting>
  <conditionalFormatting sqref="H5:H483">
    <cfRule type="expression" dxfId="2" priority="12" stopIfTrue="1">
      <formula>AND(ISNUMBER(H5),IF($C5="Romantasy",H$2,IF(OR($C5="Romance",$C5="Drama"),H$3,H$1))&gt;0,H5&lt;0.7*(IF($C5="Romantasy",H$2,IF(OR($C5="Romance",$C5="Drama"),H$3,H$1))))</formula>
    </cfRule>
  </conditionalFormatting>
  <conditionalFormatting sqref="I5:I483">
    <cfRule type="expression" dxfId="0" priority="13" stopIfTrue="1">
      <formula>AND(ISNUMBER(I5),IF($C5="Romantasy",I$2,IF(OR($C5="Romance",$C5="Drama"),I$3,I$1))&gt;0,I5&gt;=(IF($C5="Romantasy",I$2,IF(OR($C5="Romance",$C5="Drama"),I$3,I$1))))</formula>
    </cfRule>
  </conditionalFormatting>
  <conditionalFormatting sqref="I5:I483">
    <cfRule type="expression" dxfId="1" priority="14" stopIfTrue="1">
      <formula>AND(ISNUMBER(I5),IF($C5="Romantasy",I$2,IF(OR($C5="Romance",$C5="Drama"),I$3,I$1))&gt;0,I5&gt;=0.7*(IF($C5="Romantasy",I$2,IF(OR($C5="Romance",$C5="Drama"),I$3,I$1))),I5&lt;(IF($C5="Romantasy",I$2,IF(OR($C5="Romance",$C5="Drama"),I$3,I$1))))</formula>
    </cfRule>
  </conditionalFormatting>
  <conditionalFormatting sqref="I5:I483">
    <cfRule type="expression" dxfId="2" priority="15" stopIfTrue="1">
      <formula>AND(ISNUMBER(I5),IF($C5="Romantasy",I$2,IF(OR($C5="Romance",$C5="Drama"),I$3,I$1))&gt;0,I5&lt;0.7*(IF($C5="Romantasy",I$2,IF(OR($C5="Romance",$C5="Drama"),I$3,I$1))))</formula>
    </cfRule>
  </conditionalFormatting>
  <conditionalFormatting sqref="J5:J483">
    <cfRule type="expression" dxfId="0" priority="16" stopIfTrue="1">
      <formula>AND(ISNUMBER(J5),IF($C5="Romantasy",J$2,IF(OR($C5="Romance",$C5="Drama"),J$3,J$1))&gt;0,J5&gt;=(IF($C5="Romantasy",J$2,IF(OR($C5="Romance",$C5="Drama"),J$3,J$1))))</formula>
    </cfRule>
  </conditionalFormatting>
  <conditionalFormatting sqref="J5:J483">
    <cfRule type="expression" dxfId="1" priority="17" stopIfTrue="1">
      <formula>AND(ISNUMBER(J5),IF($C5="Romantasy",J$2,IF(OR($C5="Romance",$C5="Drama"),J$3,J$1))&gt;0,J5&gt;=0.7*(IF($C5="Romantasy",J$2,IF(OR($C5="Romance",$C5="Drama"),J$3,J$1))),J5&lt;(IF($C5="Romantasy",J$2,IF(OR($C5="Romance",$C5="Drama"),J$3,J$1))))</formula>
    </cfRule>
  </conditionalFormatting>
  <conditionalFormatting sqref="J5:J483">
    <cfRule type="expression" dxfId="2" priority="18" stopIfTrue="1">
      <formula>AND(ISNUMBER(J5),IF($C5="Romantasy",J$2,IF(OR($C5="Romance",$C5="Drama"),J$3,J$1))&gt;0,J5&lt;0.7*(IF($C5="Romantasy",J$2,IF(OR($C5="Romance",$C5="Drama"),J$3,J$1))))</formula>
    </cfRule>
  </conditionalFormatting>
  <conditionalFormatting sqref="K5:K483">
    <cfRule type="expression" dxfId="0" priority="19" stopIfTrue="1">
      <formula>AND(ISNUMBER(K5),IF($C5="Romantasy",K$2,IF(OR($C5="Romance",$C5="Drama"),K$3,K$1))&gt;0,K5&gt;=(IF($C5="Romantasy",K$2,IF(OR($C5="Romance",$C5="Drama"),K$3,K$1))))</formula>
    </cfRule>
  </conditionalFormatting>
  <conditionalFormatting sqref="K5:K483">
    <cfRule type="expression" dxfId="1" priority="20" stopIfTrue="1">
      <formula>AND(ISNUMBER(K5),IF($C5="Romantasy",K$2,IF(OR($C5="Romance",$C5="Drama"),K$3,K$1))&gt;0,K5&gt;=0.7*(IF($C5="Romantasy",K$2,IF(OR($C5="Romance",$C5="Drama"),K$3,K$1))),K5&lt;(IF($C5="Romantasy",K$2,IF(OR($C5="Romance",$C5="Drama"),K$3,K$1))))</formula>
    </cfRule>
  </conditionalFormatting>
  <conditionalFormatting sqref="K5:K483">
    <cfRule type="expression" dxfId="2" priority="21" stopIfTrue="1">
      <formula>AND(ISNUMBER(K5),IF($C5="Romantasy",K$2,IF(OR($C5="Romance",$C5="Drama"),K$3,K$1))&gt;0,K5&lt;0.7*(IF($C5="Romantasy",K$2,IF(OR($C5="Romance",$C5="Drama"),K$3,K$1))))</formula>
    </cfRule>
  </conditionalFormatting>
  <conditionalFormatting sqref="L5:L483">
    <cfRule type="expression" dxfId="0" priority="22" stopIfTrue="1">
      <formula>AND(ISNUMBER(L5),IF($C5="Romantasy",L$2,IF(OR($C5="Romance",$C5="Drama"),L$3,L$1))&gt;0,L5&gt;=(IF($C5="Romantasy",L$2,IF(OR($C5="Romance",$C5="Drama"),L$3,L$1))))</formula>
    </cfRule>
  </conditionalFormatting>
  <conditionalFormatting sqref="L5:L483">
    <cfRule type="expression" dxfId="1" priority="23" stopIfTrue="1">
      <formula>AND(ISNUMBER(L5),IF($C5="Romantasy",L$2,IF(OR($C5="Romance",$C5="Drama"),L$3,L$1))&gt;0,L5&gt;=0.7*(IF($C5="Romantasy",L$2,IF(OR($C5="Romance",$C5="Drama"),L$3,L$1))),L5&lt;(IF($C5="Romantasy",L$2,IF(OR($C5="Romance",$C5="Drama"),L$3,L$1))))</formula>
    </cfRule>
  </conditionalFormatting>
  <conditionalFormatting sqref="L5:L483">
    <cfRule type="expression" dxfId="2" priority="24" stopIfTrue="1">
      <formula>AND(ISNUMBER(L5),IF($C5="Romantasy",L$2,IF(OR($C5="Romance",$C5="Drama"),L$3,L$1))&gt;0,L5&lt;0.7*(IF($C5="Romantasy",L$2,IF(OR($C5="Romance",$C5="Drama"),L$3,L$1))))</formula>
    </cfRule>
  </conditionalFormatting>
  <conditionalFormatting sqref="M5:M483">
    <cfRule type="expression" dxfId="0" priority="25" stopIfTrue="1">
      <formula>AND(ISNUMBER(M5),IF($C5="Romantasy",M$2,IF(OR($C5="Romance",$C5="Drama"),M$3,M$1))&gt;0,M5&gt;=(IF($C5="Romantasy",M$2,IF(OR($C5="Romance",$C5="Drama"),M$3,M$1))))</formula>
    </cfRule>
  </conditionalFormatting>
  <conditionalFormatting sqref="M5:M483">
    <cfRule type="expression" dxfId="1" priority="26" stopIfTrue="1">
      <formula>AND(ISNUMBER(M5),IF($C5="Romantasy",M$2,IF(OR($C5="Romance",$C5="Drama"),M$3,M$1))&gt;0,M5&gt;=0.7*(IF($C5="Romantasy",M$2,IF(OR($C5="Romance",$C5="Drama"),M$3,M$1))),M5&lt;(IF($C5="Romantasy",M$2,IF(OR($C5="Romance",$C5="Drama"),M$3,M$1))))</formula>
    </cfRule>
  </conditionalFormatting>
  <conditionalFormatting sqref="M5:M483">
    <cfRule type="expression" dxfId="2" priority="27" stopIfTrue="1">
      <formula>AND(ISNUMBER(M5),IF($C5="Romantasy",M$2,IF(OR($C5="Romance",$C5="Drama"),M$3,M$1))&gt;0,M5&lt;0.7*(IF($C5="Romantasy",M$2,IF(OR($C5="Romance",$C5="Drama"),M$3,M$1))))</formula>
    </cfRule>
  </conditionalFormatting>
  <conditionalFormatting sqref="N5:N483">
    <cfRule type="expression" dxfId="0" priority="28" stopIfTrue="1">
      <formula>AND(ISNUMBER(N5),IF($C5="Romantasy",N$2,IF(OR($C5="Romance",$C5="Drama"),N$3,N$1))&gt;0,N5&gt;=(IF($C5="Romantasy",N$2,IF(OR($C5="Romance",$C5="Drama"),N$3,N$1))))</formula>
    </cfRule>
  </conditionalFormatting>
  <conditionalFormatting sqref="N5:N483">
    <cfRule type="expression" dxfId="1" priority="29" stopIfTrue="1">
      <formula>AND(ISNUMBER(N5),IF($C5="Romantasy",N$2,IF(OR($C5="Romance",$C5="Drama"),N$3,N$1))&gt;0,N5&gt;=0.7*(IF($C5="Romantasy",N$2,IF(OR($C5="Romance",$C5="Drama"),N$3,N$1))),N5&lt;(IF($C5="Romantasy",N$2,IF(OR($C5="Romance",$C5="Drama"),N$3,N$1))))</formula>
    </cfRule>
  </conditionalFormatting>
  <conditionalFormatting sqref="N5:N483">
    <cfRule type="expression" dxfId="2" priority="30" stopIfTrue="1">
      <formula>AND(ISNUMBER(N5),IF($C5="Romantasy",N$2,IF(OR($C5="Romance",$C5="Drama"),N$3,N$1))&gt;0,N5&lt;0.7*(IF($C5="Romantasy",N$2,IF(OR($C5="Romance",$C5="Drama"),N$3,N$1))))</formula>
    </cfRule>
  </conditionalFormatting>
  <conditionalFormatting sqref="O5:O483">
    <cfRule type="expression" dxfId="0" priority="31" stopIfTrue="1">
      <formula>AND(ISNUMBER(O5),IF($C5="Romantasy",O$2,IF(OR($C5="Romance",$C5="Drama"),O$3,O$1))&gt;0,O5&gt;=(IF($C5="Romantasy",O$2,IF(OR($C5="Romance",$C5="Drama"),O$3,O$1))))</formula>
    </cfRule>
  </conditionalFormatting>
  <conditionalFormatting sqref="O5:O483">
    <cfRule type="expression" dxfId="1" priority="32" stopIfTrue="1">
      <formula>AND(ISNUMBER(O5),IF($C5="Romantasy",O$2,IF(OR($C5="Romance",$C5="Drama"),O$3,O$1))&gt;0,O5&gt;=0.7*(IF($C5="Romantasy",O$2,IF(OR($C5="Romance",$C5="Drama"),O$3,O$1))),O5&lt;(IF($C5="Romantasy",O$2,IF(OR($C5="Romance",$C5="Drama"),O$3,O$1))))</formula>
    </cfRule>
  </conditionalFormatting>
  <conditionalFormatting sqref="O5:O483">
    <cfRule type="expression" dxfId="2" priority="33" stopIfTrue="1">
      <formula>AND(ISNUMBER(O5),IF($C5="Romantasy",O$2,IF(OR($C5="Romance",$C5="Drama"),O$3,O$1))&gt;0,O5&lt;0.7*(IF($C5="Romantasy",O$2,IF(OR($C5="Romance",$C5="Drama"),O$3,O$1))))</formula>
    </cfRule>
  </conditionalFormatting>
  <conditionalFormatting sqref="P5:P483">
    <cfRule type="expression" dxfId="0" priority="34" stopIfTrue="1">
      <formula>AND(ISNUMBER(P5),IF($C5="Romantasy",P$2,IF(OR($C5="Romance",$C5="Drama"),P$3,P$1))&gt;0,P5&gt;=(IF($C5="Romantasy",P$2,IF(OR($C5="Romance",$C5="Drama"),P$3,P$1))))</formula>
    </cfRule>
  </conditionalFormatting>
  <conditionalFormatting sqref="P5:P483">
    <cfRule type="expression" dxfId="1" priority="35" stopIfTrue="1">
      <formula>AND(ISNUMBER(P5),IF($C5="Romantasy",P$2,IF(OR($C5="Romance",$C5="Drama"),P$3,P$1))&gt;0,P5&gt;=0.7*(IF($C5="Romantasy",P$2,IF(OR($C5="Romance",$C5="Drama"),P$3,P$1))),P5&lt;(IF($C5="Romantasy",P$2,IF(OR($C5="Romance",$C5="Drama"),P$3,P$1))))</formula>
    </cfRule>
  </conditionalFormatting>
  <conditionalFormatting sqref="P5:P483">
    <cfRule type="expression" dxfId="2" priority="36" stopIfTrue="1">
      <formula>AND(ISNUMBER(P5),IF($C5="Romantasy",P$2,IF(OR($C5="Romance",$C5="Drama"),P$3,P$1))&gt;0,P5&lt;0.7*(IF($C5="Romantasy",P$2,IF(OR($C5="Romance",$C5="Drama"),P$3,P$1))))</formula>
    </cfRule>
  </conditionalFormatting>
  <conditionalFormatting sqref="Q5:Q483">
    <cfRule type="expression" dxfId="0" priority="37" stopIfTrue="1">
      <formula>AND(ISNUMBER(Q5),IF($C5="Romantasy",Q$2,IF(OR($C5="Romance",$C5="Drama"),Q$3,Q$1))&gt;0,Q5&gt;=(IF($C5="Romantasy",Q$2,IF(OR($C5="Romance",$C5="Drama"),Q$3,Q$1))))</formula>
    </cfRule>
  </conditionalFormatting>
  <conditionalFormatting sqref="Q5:Q483">
    <cfRule type="expression" dxfId="1" priority="38" stopIfTrue="1">
      <formula>AND(ISNUMBER(Q5),IF($C5="Romantasy",Q$2,IF(OR($C5="Romance",$C5="Drama"),Q$3,Q$1))&gt;0,Q5&gt;=0.7*(IF($C5="Romantasy",Q$2,IF(OR($C5="Romance",$C5="Drama"),Q$3,Q$1))),Q5&lt;(IF($C5="Romantasy",Q$2,IF(OR($C5="Romance",$C5="Drama"),Q$3,Q$1))))</formula>
    </cfRule>
  </conditionalFormatting>
  <conditionalFormatting sqref="Q5:Q483">
    <cfRule type="expression" dxfId="2" priority="39" stopIfTrue="1">
      <formula>AND(ISNUMBER(Q5),IF($C5="Romantasy",Q$2,IF(OR($C5="Romance",$C5="Drama"),Q$3,Q$1))&gt;0,Q5&lt;0.7*(IF($C5="Romantasy",Q$2,IF(OR($C5="Romance",$C5="Drama"),Q$3,Q$1))))</formula>
    </cfRule>
  </conditionalFormatting>
  <conditionalFormatting sqref="R5:R483">
    <cfRule type="expression" dxfId="0" priority="40" stopIfTrue="1">
      <formula>AND(ISNUMBER(R5),IF($C5="Romantasy",R$2,IF(OR($C5="Romance",$C5="Drama"),R$3,R$1))&gt;0,R5&gt;=(IF($C5="Romantasy",R$2,IF(OR($C5="Romance",$C5="Drama"),R$3,R$1))))</formula>
    </cfRule>
  </conditionalFormatting>
  <conditionalFormatting sqref="R5:R483">
    <cfRule type="expression" dxfId="1" priority="41" stopIfTrue="1">
      <formula>AND(ISNUMBER(R5),IF($C5="Romantasy",R$2,IF(OR($C5="Romance",$C5="Drama"),R$3,R$1))&gt;0,R5&gt;=0.7*(IF($C5="Romantasy",R$2,IF(OR($C5="Romance",$C5="Drama"),R$3,R$1))),R5&lt;(IF($C5="Romantasy",R$2,IF(OR($C5="Romance",$C5="Drama"),R$3,R$1))))</formula>
    </cfRule>
  </conditionalFormatting>
  <conditionalFormatting sqref="R5:R483">
    <cfRule type="expression" dxfId="2" priority="42" stopIfTrue="1">
      <formula>AND(ISNUMBER(R5),IF($C5="Romantasy",R$2,IF(OR($C5="Romance",$C5="Drama"),R$3,R$1))&gt;0,R5&lt;0.7*(IF($C5="Romantasy",R$2,IF(OR($C5="Romance",$C5="Drama"),R$3,R$1))))</formula>
    </cfRule>
  </conditionalFormatting>
  <conditionalFormatting sqref="S5:S483">
    <cfRule type="expression" dxfId="0" priority="43" stopIfTrue="1">
      <formula>AND(ISNUMBER(S5),IF($C5="Romantasy",S$2,IF(OR($C5="Romance",$C5="Drama"),S$3,S$1))&gt;0,S5&gt;=(IF($C5="Romantasy",S$2,IF(OR($C5="Romance",$C5="Drama"),S$3,S$1))))</formula>
    </cfRule>
  </conditionalFormatting>
  <conditionalFormatting sqref="S5:S483">
    <cfRule type="expression" dxfId="1" priority="44" stopIfTrue="1">
      <formula>AND(ISNUMBER(S5),IF($C5="Romantasy",S$2,IF(OR($C5="Romance",$C5="Drama"),S$3,S$1))&gt;0,S5&gt;=0.7*(IF($C5="Romantasy",S$2,IF(OR($C5="Romance",$C5="Drama"),S$3,S$1))),S5&lt;(IF($C5="Romantasy",S$2,IF(OR($C5="Romance",$C5="Drama"),S$3,S$1))))</formula>
    </cfRule>
  </conditionalFormatting>
  <conditionalFormatting sqref="S5:S483">
    <cfRule type="expression" dxfId="2" priority="45" stopIfTrue="1">
      <formula>AND(ISNUMBER(S5),IF($C5="Romantasy",S$2,IF(OR($C5="Romance",$C5="Drama"),S$3,S$1))&gt;0,S5&lt;0.7*(IF($C5="Romantasy",S$2,IF(OR($C5="Romance",$C5="Drama"),S$3,S$1))))</formula>
    </cfRule>
  </conditionalFormatting>
  <conditionalFormatting sqref="T5:T483">
    <cfRule type="expression" dxfId="0" priority="46" stopIfTrue="1">
      <formula>AND(ISNUMBER(T5),IF($C5="Romantasy",T$2,IF(OR($C5="Romance",$C5="Drama"),T$3,T$1))&gt;0,T5&gt;=(IF($C5="Romantasy",T$2,IF(OR($C5="Romance",$C5="Drama"),T$3,T$1))))</formula>
    </cfRule>
  </conditionalFormatting>
  <conditionalFormatting sqref="T5:T483">
    <cfRule type="expression" dxfId="1" priority="47" stopIfTrue="1">
      <formula>AND(ISNUMBER(T5),IF($C5="Romantasy",T$2,IF(OR($C5="Romance",$C5="Drama"),T$3,T$1))&gt;0,T5&gt;=0.7*(IF($C5="Romantasy",T$2,IF(OR($C5="Romance",$C5="Drama"),T$3,T$1))),T5&lt;(IF($C5="Romantasy",T$2,IF(OR($C5="Romance",$C5="Drama"),T$3,T$1))))</formula>
    </cfRule>
  </conditionalFormatting>
  <conditionalFormatting sqref="T5:T483">
    <cfRule type="expression" dxfId="2" priority="48" stopIfTrue="1">
      <formula>AND(ISNUMBER(T5),IF($C5="Romantasy",T$2,IF(OR($C5="Romance",$C5="Drama"),T$3,T$1))&gt;0,T5&lt;0.7*(IF($C5="Romantasy",T$2,IF(OR($C5="Romance",$C5="Drama"),T$3,T$1))))</formula>
    </cfRule>
  </conditionalFormatting>
  <conditionalFormatting sqref="U5:U483">
    <cfRule type="expression" dxfId="0" priority="49" stopIfTrue="1">
      <formula>AND(ISNUMBER(U5),IF($C5="Romantasy",U$2,IF(OR($C5="Romance",$C5="Drama"),U$3,U$1))&gt;0,U5&gt;=(IF($C5="Romantasy",U$2,IF(OR($C5="Romance",$C5="Drama"),U$3,U$1))))</formula>
    </cfRule>
  </conditionalFormatting>
  <conditionalFormatting sqref="U5:U483">
    <cfRule type="expression" dxfId="1" priority="50" stopIfTrue="1">
      <formula>AND(ISNUMBER(U5),IF($C5="Romantasy",U$2,IF(OR($C5="Romance",$C5="Drama"),U$3,U$1))&gt;0,U5&gt;=0.7*(IF($C5="Romantasy",U$2,IF(OR($C5="Romance",$C5="Drama"),U$3,U$1))),U5&lt;(IF($C5="Romantasy",U$2,IF(OR($C5="Romance",$C5="Drama"),U$3,U$1))))</formula>
    </cfRule>
  </conditionalFormatting>
  <conditionalFormatting sqref="U5:U483">
    <cfRule type="expression" dxfId="2" priority="51" stopIfTrue="1">
      <formula>AND(ISNUMBER(U5),IF($C5="Romantasy",U$2,IF(OR($C5="Romance",$C5="Drama"),U$3,U$1))&gt;0,U5&lt;0.7*(IF($C5="Romantasy",U$2,IF(OR($C5="Romance",$C5="Drama"),U$3,U$1))))</formula>
    </cfRule>
  </conditionalFormatting>
  <conditionalFormatting sqref="V5:V483">
    <cfRule type="expression" dxfId="0" priority="52" stopIfTrue="1">
      <formula>AND(ISNUMBER(V5),IF($C5="Romantasy",V$2,IF(OR($C5="Romance",$C5="Drama"),V$3,V$1))&gt;0,V5&gt;=(IF($C5="Romantasy",V$2,IF(OR($C5="Romance",$C5="Drama"),V$3,V$1))))</formula>
    </cfRule>
  </conditionalFormatting>
  <conditionalFormatting sqref="V5:V483">
    <cfRule type="expression" dxfId="1" priority="53" stopIfTrue="1">
      <formula>AND(ISNUMBER(V5),IF($C5="Romantasy",V$2,IF(OR($C5="Romance",$C5="Drama"),V$3,V$1))&gt;0,V5&gt;=0.7*(IF($C5="Romantasy",V$2,IF(OR($C5="Romance",$C5="Drama"),V$3,V$1))),V5&lt;(IF($C5="Romantasy",V$2,IF(OR($C5="Romance",$C5="Drama"),V$3,V$1))))</formula>
    </cfRule>
  </conditionalFormatting>
  <conditionalFormatting sqref="V5:V483">
    <cfRule type="expression" dxfId="2" priority="54" stopIfTrue="1">
      <formula>AND(ISNUMBER(V5),IF($C5="Romantasy",V$2,IF(OR($C5="Romance",$C5="Drama"),V$3,V$1))&gt;0,V5&lt;0.7*(IF($C5="Romantasy",V$2,IF(OR($C5="Romance",$C5="Drama"),V$3,V$1))))</formula>
    </cfRule>
  </conditionalFormatting>
  <conditionalFormatting sqref="W5:W483">
    <cfRule type="expression" dxfId="0" priority="55" stopIfTrue="1">
      <formula>AND(ISNUMBER(W5),IF($C5="Romantasy",W$2,IF(OR($C5="Romance",$C5="Drama"),W$3,W$1))&gt;0,W5&gt;=(IF($C5="Romantasy",W$2,IF(OR($C5="Romance",$C5="Drama"),W$3,W$1))))</formula>
    </cfRule>
  </conditionalFormatting>
  <conditionalFormatting sqref="W5:W483">
    <cfRule type="expression" dxfId="1" priority="56" stopIfTrue="1">
      <formula>AND(ISNUMBER(W5),IF($C5="Romantasy",W$2,IF(OR($C5="Romance",$C5="Drama"),W$3,W$1))&gt;0,W5&gt;=0.7*(IF($C5="Romantasy",W$2,IF(OR($C5="Romance",$C5="Drama"),W$3,W$1))),W5&lt;(IF($C5="Romantasy",W$2,IF(OR($C5="Romance",$C5="Drama"),W$3,W$1))))</formula>
    </cfRule>
  </conditionalFormatting>
  <conditionalFormatting sqref="W5:W483">
    <cfRule type="expression" dxfId="2" priority="57" stopIfTrue="1">
      <formula>AND(ISNUMBER(W5),IF($C5="Romantasy",W$2,IF(OR($C5="Romance",$C5="Drama"),W$3,W$1))&gt;0,W5&lt;0.7*(IF($C5="Romantasy",W$2,IF(OR($C5="Romance",$C5="Drama"),W$3,W$1))))</formula>
    </cfRule>
  </conditionalFormatting>
  <conditionalFormatting sqref="X5:X483">
    <cfRule type="expression" dxfId="0" priority="58" stopIfTrue="1">
      <formula>AND(ISNUMBER(X5),IF($C5="Romantasy",X$2,IF(OR($C5="Romance",$C5="Drama"),X$3,X$1))&gt;0,X5&gt;=(IF($C5="Romantasy",X$2,IF(OR($C5="Romance",$C5="Drama"),X$3,X$1))))</formula>
    </cfRule>
  </conditionalFormatting>
  <conditionalFormatting sqref="X5:X483">
    <cfRule type="expression" dxfId="1" priority="59" stopIfTrue="1">
      <formula>AND(ISNUMBER(X5),IF($C5="Romantasy",X$2,IF(OR($C5="Romance",$C5="Drama"),X$3,X$1))&gt;0,X5&gt;=0.7*(IF($C5="Romantasy",X$2,IF(OR($C5="Romance",$C5="Drama"),X$3,X$1))),X5&lt;(IF($C5="Romantasy",X$2,IF(OR($C5="Romance",$C5="Drama"),X$3,X$1))))</formula>
    </cfRule>
  </conditionalFormatting>
  <conditionalFormatting sqref="X5:X483">
    <cfRule type="expression" dxfId="2" priority="60" stopIfTrue="1">
      <formula>AND(ISNUMBER(X5),IF($C5="Romantasy",X$2,IF(OR($C5="Romance",$C5="Drama"),X$3,X$1))&gt;0,X5&lt;0.7*(IF($C5="Romantasy",X$2,IF(OR($C5="Romance",$C5="Drama"),X$3,X$1))))</formula>
    </cfRule>
  </conditionalFormatting>
  <conditionalFormatting sqref="Y5:Y483">
    <cfRule type="expression" dxfId="0" priority="61" stopIfTrue="1">
      <formula>AND(ISNUMBER(Y5),IF($C5="Romantasy",Y$2,IF(OR($C5="Romance",$C5="Drama"),Y$3,Y$1))&gt;0,Y5&gt;=(IF($C5="Romantasy",Y$2,IF(OR($C5="Romance",$C5="Drama"),Y$3,Y$1))))</formula>
    </cfRule>
  </conditionalFormatting>
  <conditionalFormatting sqref="Y5:Y483">
    <cfRule type="expression" dxfId="1" priority="62" stopIfTrue="1">
      <formula>AND(ISNUMBER(Y5),IF($C5="Romantasy",Y$2,IF(OR($C5="Romance",$C5="Drama"),Y$3,Y$1))&gt;0,Y5&gt;=0.7*(IF($C5="Romantasy",Y$2,IF(OR($C5="Romance",$C5="Drama"),Y$3,Y$1))),Y5&lt;(IF($C5="Romantasy",Y$2,IF(OR($C5="Romance",$C5="Drama"),Y$3,Y$1))))</formula>
    </cfRule>
  </conditionalFormatting>
  <conditionalFormatting sqref="Y5:Y483">
    <cfRule type="expression" dxfId="2" priority="63" stopIfTrue="1">
      <formula>AND(ISNUMBER(Y5),IF($C5="Romantasy",Y$2,IF(OR($C5="Romance",$C5="Drama"),Y$3,Y$1))&gt;0,Y5&lt;0.7*(IF($C5="Romantasy",Y$2,IF(OR($C5="Romance",$C5="Drama"),Y$3,Y$1))))</formula>
    </cfRule>
  </conditionalFormatting>
  <conditionalFormatting sqref="Z5:Z483">
    <cfRule type="expression" dxfId="0" priority="64" stopIfTrue="1">
      <formula>AND(ISNUMBER(Z5),IF($C5="Romantasy",Z$2,IF(OR($C5="Romance",$C5="Drama"),Z$3,Z$1))&gt;0,Z5&gt;=(IF($C5="Romantasy",Z$2,IF(OR($C5="Romance",$C5="Drama"),Z$3,Z$1))))</formula>
    </cfRule>
  </conditionalFormatting>
  <conditionalFormatting sqref="Z5:Z483">
    <cfRule type="expression" dxfId="1" priority="65" stopIfTrue="1">
      <formula>AND(ISNUMBER(Z5),IF($C5="Romantasy",Z$2,IF(OR($C5="Romance",$C5="Drama"),Z$3,Z$1))&gt;0,Z5&gt;=0.7*(IF($C5="Romantasy",Z$2,IF(OR($C5="Romance",$C5="Drama"),Z$3,Z$1))),Z5&lt;(IF($C5="Romantasy",Z$2,IF(OR($C5="Romance",$C5="Drama"),Z$3,Z$1))))</formula>
    </cfRule>
  </conditionalFormatting>
  <conditionalFormatting sqref="Z5:Z483">
    <cfRule type="expression" dxfId="2" priority="66" stopIfTrue="1">
      <formula>AND(ISNUMBER(Z5),IF($C5="Romantasy",Z$2,IF(OR($C5="Romance",$C5="Drama"),Z$3,Z$1))&gt;0,Z5&lt;0.7*(IF($C5="Romantasy",Z$2,IF(OR($C5="Romance",$C5="Drama"),Z$3,Z$1))))</formula>
    </cfRule>
  </conditionalFormatting>
  <conditionalFormatting sqref="AA5:AA483">
    <cfRule type="expression" dxfId="0" priority="67" stopIfTrue="1">
      <formula>AND(ISNUMBER(AA5),IF($C5="Romantasy",AA$2,IF(OR($C5="Romance",$C5="Drama"),AA$3,AA$1))&gt;0,AA5&gt;=(IF($C5="Romantasy",AA$2,IF(OR($C5="Romance",$C5="Drama"),AA$3,AA$1))))</formula>
    </cfRule>
  </conditionalFormatting>
  <conditionalFormatting sqref="AA5:AA483">
    <cfRule type="expression" dxfId="1" priority="68" stopIfTrue="1">
      <formula>AND(ISNUMBER(AA5),IF($C5="Romantasy",AA$2,IF(OR($C5="Romance",$C5="Drama"),AA$3,AA$1))&gt;0,AA5&gt;=0.7*(IF($C5="Romantasy",AA$2,IF(OR($C5="Romance",$C5="Drama"),AA$3,AA$1))),AA5&lt;(IF($C5="Romantasy",AA$2,IF(OR($C5="Romance",$C5="Drama"),AA$3,AA$1))))</formula>
    </cfRule>
  </conditionalFormatting>
  <conditionalFormatting sqref="AA5:AA483">
    <cfRule type="expression" dxfId="2" priority="69" stopIfTrue="1">
      <formula>AND(ISNUMBER(AA5),IF($C5="Romantasy",AA$2,IF(OR($C5="Romance",$C5="Drama"),AA$3,AA$1))&gt;0,AA5&lt;0.7*(IF($C5="Romantasy",AA$2,IF(OR($C5="Romance",$C5="Drama"),AA$3,AA$1))))</formula>
    </cfRule>
  </conditionalFormatting>
  <conditionalFormatting sqref="AB5:AB483">
    <cfRule type="expression" dxfId="0" priority="70" stopIfTrue="1">
      <formula>AND(ISNUMBER(AB5),IF($C5="Romantasy",AB$2,IF(OR($C5="Romance",$C5="Drama"),AB$3,AB$1))&gt;0,AB5&gt;=(IF($C5="Romantasy",AB$2,IF(OR($C5="Romance",$C5="Drama"),AB$3,AB$1))))</formula>
    </cfRule>
  </conditionalFormatting>
  <conditionalFormatting sqref="AB5:AB483">
    <cfRule type="expression" dxfId="1" priority="71" stopIfTrue="1">
      <formula>AND(ISNUMBER(AB5),IF($C5="Romantasy",AB$2,IF(OR($C5="Romance",$C5="Drama"),AB$3,AB$1))&gt;0,AB5&gt;=0.7*(IF($C5="Romantasy",AB$2,IF(OR($C5="Romance",$C5="Drama"),AB$3,AB$1))),AB5&lt;(IF($C5="Romantasy",AB$2,IF(OR($C5="Romance",$C5="Drama"),AB$3,AB$1))))</formula>
    </cfRule>
  </conditionalFormatting>
  <conditionalFormatting sqref="AB5:AB483">
    <cfRule type="expression" dxfId="2" priority="72" stopIfTrue="1">
      <formula>AND(ISNUMBER(AB5),IF($C5="Romantasy",AB$2,IF(OR($C5="Romance",$C5="Drama"),AB$3,AB$1))&gt;0,AB5&lt;0.7*(IF($C5="Romantasy",AB$2,IF(OR($C5="Romance",$C5="Drama"),AB$3,AB$1))))</formula>
    </cfRule>
  </conditionalFormatting>
  <conditionalFormatting sqref="AC5:AC483">
    <cfRule type="expression" dxfId="0" priority="73" stopIfTrue="1">
      <formula>AND(ISNUMBER(AC5),IF($C5="Romantasy",AC$2,IF(OR($C5="Romance",$C5="Drama"),AC$3,AC$1))&gt;0,AC5&gt;=(IF($C5="Romantasy",AC$2,IF(OR($C5="Romance",$C5="Drama"),AC$3,AC$1))))</formula>
    </cfRule>
  </conditionalFormatting>
  <conditionalFormatting sqref="AC5:AC483">
    <cfRule type="expression" dxfId="1" priority="74" stopIfTrue="1">
      <formula>AND(ISNUMBER(AC5),IF($C5="Romantasy",AC$2,IF(OR($C5="Romance",$C5="Drama"),AC$3,AC$1))&gt;0,AC5&gt;=0.7*(IF($C5="Romantasy",AC$2,IF(OR($C5="Romance",$C5="Drama"),AC$3,AC$1))),AC5&lt;(IF($C5="Romantasy",AC$2,IF(OR($C5="Romance",$C5="Drama"),AC$3,AC$1))))</formula>
    </cfRule>
  </conditionalFormatting>
  <conditionalFormatting sqref="AC5:AC483">
    <cfRule type="expression" dxfId="2" priority="75" stopIfTrue="1">
      <formula>AND(ISNUMBER(AC5),IF($C5="Romantasy",AC$2,IF(OR($C5="Romance",$C5="Drama"),AC$3,AC$1))&gt;0,AC5&lt;0.7*(IF($C5="Romantasy",AC$2,IF(OR($C5="Romance",$C5="Drama"),AC$3,AC$1))))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2" width="12.63"/>
    <col customWidth="1" min="3" max="8" width="18.88"/>
  </cols>
  <sheetData>
    <row r="1" ht="15.75" customHeight="1">
      <c r="A1" s="1"/>
      <c r="B1" s="1" t="s">
        <v>0</v>
      </c>
      <c r="C1" s="1" t="s">
        <v>1</v>
      </c>
      <c r="D1" s="2">
        <v>786842.0</v>
      </c>
      <c r="E1" s="4">
        <v>0.855880996838707</v>
      </c>
      <c r="F1" s="4">
        <v>0.464403062613343</v>
      </c>
      <c r="G1" s="4">
        <v>0.402705271193126</v>
      </c>
      <c r="H1" s="4">
        <v>0.376188298408065</v>
      </c>
      <c r="I1" s="4">
        <v>0.347478722006199</v>
      </c>
      <c r="J1" s="4">
        <v>0.336318409245639</v>
      </c>
      <c r="K1" s="4">
        <v>0.304688856354378</v>
      </c>
      <c r="L1" s="4">
        <v>0.28141902992004</v>
      </c>
      <c r="M1" s="4">
        <v>0.270373124706145</v>
      </c>
      <c r="N1" s="4">
        <v>0.262674123455048</v>
      </c>
      <c r="O1" s="4">
        <v>0.235022522373284</v>
      </c>
      <c r="P1" s="4">
        <v>0.211179019920808</v>
      </c>
      <c r="Q1" s="4">
        <v>0.185015002984244</v>
      </c>
      <c r="R1" s="4">
        <v>0.167481217828917</v>
      </c>
      <c r="S1" s="4">
        <v>0.156838421231367</v>
      </c>
      <c r="T1" s="4">
        <v>0.151903032724315</v>
      </c>
      <c r="U1" s="4">
        <v>0.146148792572526</v>
      </c>
      <c r="V1" s="4">
        <v>0.141495499992659</v>
      </c>
      <c r="W1" s="4">
        <v>0.136947561015649</v>
      </c>
      <c r="X1" s="4">
        <v>0.132770516742681</v>
      </c>
      <c r="Y1" s="4">
        <v>0.127470894767352</v>
      </c>
      <c r="Z1" s="4">
        <v>0.121009380325205</v>
      </c>
      <c r="AA1" s="4">
        <v>0.112426742054578</v>
      </c>
      <c r="AB1" s="4">
        <v>0.104379663336173</v>
      </c>
      <c r="AC1" s="4">
        <v>0.0963955154519402</v>
      </c>
    </row>
    <row r="2" ht="15.75" customHeight="1">
      <c r="A2" s="1"/>
      <c r="B2" s="1" t="s">
        <v>0</v>
      </c>
      <c r="C2" s="1" t="s">
        <v>2</v>
      </c>
      <c r="D2" s="2">
        <v>242315.0</v>
      </c>
      <c r="E2" s="4">
        <v>0.869091526237576</v>
      </c>
      <c r="F2" s="4">
        <v>0.575252712005949</v>
      </c>
      <c r="G2" s="4">
        <v>0.490183499614671</v>
      </c>
      <c r="H2" s="4">
        <v>0.42849258018791</v>
      </c>
      <c r="I2" s="4">
        <v>0.344049236135567</v>
      </c>
      <c r="J2" s="4">
        <v>0.292978574853422</v>
      </c>
      <c r="K2" s="4">
        <v>0.258576723999628</v>
      </c>
      <c r="L2" s="4">
        <v>0.23824779090632</v>
      </c>
      <c r="M2" s="4">
        <v>0.222442549722302</v>
      </c>
      <c r="N2" s="4">
        <v>0.212330314331379</v>
      </c>
      <c r="O2" s="4">
        <v>0.177478909827021</v>
      </c>
      <c r="P2" s="4">
        <v>0.158624075581189</v>
      </c>
      <c r="Q2" s="4">
        <v>0.140821948301288</v>
      </c>
      <c r="R2" s="4">
        <v>0.129101959421834</v>
      </c>
      <c r="S2" s="4">
        <v>0.111814397351315</v>
      </c>
      <c r="T2" s="4">
        <v>0.100965889625762</v>
      </c>
      <c r="U2" s="4">
        <v>0.0891071864005294</v>
      </c>
      <c r="V2" s="4">
        <v>0.0780926450041199</v>
      </c>
      <c r="W2" s="4">
        <v>0.0705988896326337</v>
      </c>
      <c r="X2" s="4">
        <v>0.062422644352365</v>
      </c>
      <c r="Y2" s="4">
        <v>0.0478294920563884</v>
      </c>
      <c r="Z2" s="4">
        <v>0.0392970466194776</v>
      </c>
      <c r="AA2" s="4">
        <v>0.0</v>
      </c>
      <c r="AB2" s="4">
        <v>0.0</v>
      </c>
      <c r="AC2" s="4">
        <v>0.0</v>
      </c>
    </row>
    <row r="3" ht="15.75" customHeight="1">
      <c r="A3" s="1"/>
      <c r="B3" s="1" t="s">
        <v>0</v>
      </c>
      <c r="C3" s="1" t="s">
        <v>3</v>
      </c>
      <c r="D3" s="2">
        <v>179457.0</v>
      </c>
      <c r="E3" s="4">
        <v>0.907220003124093</v>
      </c>
      <c r="F3" s="4">
        <v>0.427204809986533</v>
      </c>
      <c r="G3" s="4">
        <v>0.367008452342993</v>
      </c>
      <c r="H3" s="4">
        <v>0.294707701963597</v>
      </c>
      <c r="I3" s="4">
        <v>0.258653198653198</v>
      </c>
      <c r="J3" s="4">
        <v>0.212525990446754</v>
      </c>
      <c r="K3" s="4">
        <v>0.193266194178145</v>
      </c>
      <c r="L3" s="4">
        <v>0.180240749298378</v>
      </c>
      <c r="M3" s="4">
        <v>0.172204415150557</v>
      </c>
      <c r="N3" s="4">
        <v>0.165730114760585</v>
      </c>
      <c r="O3" s="4">
        <v>0.141167615159152</v>
      </c>
      <c r="P3" s="4">
        <v>0.125449699816378</v>
      </c>
      <c r="Q3" s="4">
        <v>0.110598640102705</v>
      </c>
      <c r="R3" s="4">
        <v>0.0961087329802413</v>
      </c>
      <c r="S3" s="4">
        <v>0.0868090836750933</v>
      </c>
      <c r="T3" s="4">
        <v>0.0771901104281924</v>
      </c>
      <c r="U3" s="4">
        <v>0.0710750712209161</v>
      </c>
      <c r="V3" s="4">
        <v>0.066898336414048</v>
      </c>
      <c r="W3" s="4">
        <v>0.0628563044936284</v>
      </c>
      <c r="X3" s="4">
        <v>0.0571594170898653</v>
      </c>
      <c r="Y3" s="4">
        <v>0.0424147801196981</v>
      </c>
      <c r="Z3" s="4">
        <v>0.0371774048005775</v>
      </c>
      <c r="AA3" s="4">
        <v>0.02803738317757</v>
      </c>
      <c r="AB3" s="4">
        <v>0.0</v>
      </c>
      <c r="AC3" s="4">
        <v>0.0</v>
      </c>
    </row>
    <row r="4" ht="15.75" customHeight="1">
      <c r="A4" s="6" t="s">
        <v>4</v>
      </c>
      <c r="B4" s="6" t="s">
        <v>5</v>
      </c>
      <c r="C4" s="6" t="s">
        <v>6</v>
      </c>
      <c r="D4" s="7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8" t="s">
        <v>13</v>
      </c>
      <c r="K4" s="8" t="s">
        <v>14</v>
      </c>
      <c r="L4" s="8" t="s">
        <v>15</v>
      </c>
      <c r="M4" s="8" t="s">
        <v>16</v>
      </c>
      <c r="N4" s="8" t="s">
        <v>17</v>
      </c>
      <c r="O4" s="8" t="s">
        <v>18</v>
      </c>
      <c r="P4" s="8" t="s">
        <v>19</v>
      </c>
      <c r="Q4" s="8" t="s">
        <v>20</v>
      </c>
      <c r="R4" s="8" t="s">
        <v>21</v>
      </c>
      <c r="S4" s="8" t="s">
        <v>22</v>
      </c>
      <c r="T4" s="8" t="s">
        <v>23</v>
      </c>
      <c r="U4" s="8" t="s">
        <v>24</v>
      </c>
      <c r="V4" s="8" t="s">
        <v>25</v>
      </c>
      <c r="W4" s="8" t="s">
        <v>26</v>
      </c>
      <c r="X4" s="8" t="s">
        <v>27</v>
      </c>
      <c r="Y4" s="8" t="s">
        <v>28</v>
      </c>
      <c r="Z4" s="8" t="s">
        <v>29</v>
      </c>
      <c r="AA4" s="8" t="s">
        <v>30</v>
      </c>
      <c r="AB4" s="8" t="s">
        <v>31</v>
      </c>
      <c r="AC4" s="8" t="s">
        <v>32</v>
      </c>
    </row>
    <row r="5" ht="15.75" customHeight="1">
      <c r="A5" s="10" t="str">
        <f>IFERROR(__xludf.DUMMYFUNCTION("{
IMPORTRANGE(""https://docs.google.com/spreadsheets/d/1OLoRCn0B2mP-LizDOaFp_LsrXGtZR4ZKvHn3aia4TMo/edit"",""Nml Male!B5:B""),
IMPORTRANGE(""https://docs.google.com/spreadsheets/d/1OLoRCn0B2mP-LizDOaFp_LsrXGtZR4ZKvHn3aia4TMo/edit"",""Nml Male!C5:C""),
IMP"&amp;"ORTRANGE(""https://docs.google.com/spreadsheets/d/1OLoRCn0B2mP-LizDOaFp_LsrXGtZR4ZKvHn3aia4TMo/edit"",""Nml Male!E5:E""),
IMPORTRANGE(""https://docs.google.com/spreadsheets/d/1OLoRCn0B2mP-LizDOaFp_LsrXGtZR4ZKvHn3aia4TMo/edit"",""Nml Male!AC5:AC""),
IMPORT"&amp;"RANGE(""https://docs.google.com/spreadsheets/d/1OLoRCn0B2mP-LizDOaFp_LsrXGtZR4ZKvHn3aia4TMo/edit"",""Nml Male!AJ5:BH"")
}"),"003c0c0b3759df17ce3f0b5feeeed123024f274d")</f>
        <v>003c0c0b3759df17ce3f0b5feeeed123024f274d</v>
      </c>
      <c r="B5" s="6" t="str">
        <f>IFERROR(__xludf.DUMMYFUNCTION("""COMPUTED_VALUE"""),"The Invictus Mage Returns")</f>
        <v>The Invictus Mage Returns</v>
      </c>
      <c r="C5" s="6" t="str">
        <f>IFERROR(__xludf.DUMMYFUNCTION("""COMPUTED_VALUE"""),"Fantasy")</f>
        <v>Fantasy</v>
      </c>
      <c r="D5" s="11">
        <f>IFERROR(__xludf.DUMMYFUNCTION("""COMPUTED_VALUE"""),1534.0)</f>
        <v>1534</v>
      </c>
      <c r="E5" s="8">
        <f>IFERROR(__xludf.DUMMYFUNCTION("""COMPUTED_VALUE"""),0.966101694915254)</f>
        <v>0.9661016949</v>
      </c>
      <c r="F5" s="8">
        <f>IFERROR(__xludf.DUMMYFUNCTION("""COMPUTED_VALUE"""),0.638145003265839)</f>
        <v>0.6381450033</v>
      </c>
      <c r="G5" s="8">
        <f>IFERROR(__xludf.DUMMYFUNCTION("""COMPUTED_VALUE"""),0.602094240837696)</f>
        <v>0.6020942408</v>
      </c>
      <c r="H5" s="8">
        <f>IFERROR(__xludf.DUMMYFUNCTION("""COMPUTED_VALUE"""),0.548788474132285)</f>
        <v>0.5487884741</v>
      </c>
      <c r="I5" s="8">
        <f>IFERROR(__xludf.DUMMYFUNCTION("""COMPUTED_VALUE"""),0.495743287491814)</f>
        <v>0.4957432875</v>
      </c>
      <c r="J5" s="8">
        <f>IFERROR(__xludf.DUMMYFUNCTION("""COMPUTED_VALUE"""),0.464262295081967)</f>
        <v>0.4642622951</v>
      </c>
      <c r="K5" s="8">
        <f>IFERROR(__xludf.DUMMYFUNCTION("""COMPUTED_VALUE"""),0.441524310118265)</f>
        <v>0.4415243101</v>
      </c>
      <c r="L5" s="8">
        <f>IFERROR(__xludf.DUMMYFUNCTION("""COMPUTED_VALUE"""),0.429229756418696)</f>
        <v>0.4292297564</v>
      </c>
      <c r="M5" s="8">
        <f>IFERROR(__xludf.DUMMYFUNCTION("""COMPUTED_VALUE"""),0.413588390501319)</f>
        <v>0.4135883905</v>
      </c>
      <c r="N5" s="8">
        <f>IFERROR(__xludf.DUMMYFUNCTION("""COMPUTED_VALUE"""),0.398679867986798)</f>
        <v>0.398679868</v>
      </c>
      <c r="O5" s="8">
        <f>IFERROR(__xludf.DUMMYFUNCTION("""COMPUTED_VALUE"""),0.337474120082815)</f>
        <v>0.3374741201</v>
      </c>
      <c r="P5" s="8">
        <f>IFERROR(__xludf.DUMMYFUNCTION("""COMPUTED_VALUE"""),0.238026124818577)</f>
        <v>0.2380261248</v>
      </c>
      <c r="Q5" s="8">
        <f>IFERROR(__xludf.DUMMYFUNCTION("""COMPUTED_VALUE"""),0.0991228070175438)</f>
        <v>0.09912280702</v>
      </c>
      <c r="R5" s="8">
        <f>IFERROR(__xludf.DUMMYFUNCTION("""COMPUTED_VALUE"""),0.0)</f>
        <v>0</v>
      </c>
      <c r="S5" s="8">
        <f>IFERROR(__xludf.DUMMYFUNCTION("""COMPUTED_VALUE"""),0.0)</f>
        <v>0</v>
      </c>
      <c r="T5" s="8">
        <f>IFERROR(__xludf.DUMMYFUNCTION("""COMPUTED_VALUE"""),0.0)</f>
        <v>0</v>
      </c>
      <c r="U5" s="8">
        <f>IFERROR(__xludf.DUMMYFUNCTION("""COMPUTED_VALUE"""),0.0)</f>
        <v>0</v>
      </c>
      <c r="V5" s="8">
        <f>IFERROR(__xludf.DUMMYFUNCTION("""COMPUTED_VALUE"""),0.0)</f>
        <v>0</v>
      </c>
      <c r="W5" s="8">
        <f>IFERROR(__xludf.DUMMYFUNCTION("""COMPUTED_VALUE"""),0.0)</f>
        <v>0</v>
      </c>
      <c r="X5" s="8">
        <f>IFERROR(__xludf.DUMMYFUNCTION("""COMPUTED_VALUE"""),0.0)</f>
        <v>0</v>
      </c>
      <c r="Y5" s="8">
        <f>IFERROR(__xludf.DUMMYFUNCTION("""COMPUTED_VALUE"""),0.0)</f>
        <v>0</v>
      </c>
      <c r="Z5" s="8">
        <f>IFERROR(__xludf.DUMMYFUNCTION("""COMPUTED_VALUE"""),0.0)</f>
        <v>0</v>
      </c>
      <c r="AA5" s="8">
        <f>IFERROR(__xludf.DUMMYFUNCTION("""COMPUTED_VALUE"""),0.0)</f>
        <v>0</v>
      </c>
      <c r="AB5" s="8">
        <f>IFERROR(__xludf.DUMMYFUNCTION("""COMPUTED_VALUE"""),0.0)</f>
        <v>0</v>
      </c>
      <c r="AC5" s="8">
        <f>IFERROR(__xludf.DUMMYFUNCTION("""COMPUTED_VALUE"""),0.0)</f>
        <v>0</v>
      </c>
    </row>
    <row r="6" ht="15.75" customHeight="1">
      <c r="A6" s="6" t="str">
        <f>IFERROR(__xludf.DUMMYFUNCTION("""COMPUTED_VALUE"""),"01f367b494a414fb7c994e946bddd99820cc7e28")</f>
        <v>01f367b494a414fb7c994e946bddd99820cc7e28</v>
      </c>
      <c r="B6" s="6" t="str">
        <f>IFERROR(__xludf.DUMMYFUNCTION("""COMPUTED_VALUE"""),"The Dragon Prince’s Favor")</f>
        <v>The Dragon Prince’s Favor</v>
      </c>
      <c r="C6" s="6" t="str">
        <f>IFERROR(__xludf.DUMMYFUNCTION("""COMPUTED_VALUE"""),"Romantasy")</f>
        <v>Romantasy</v>
      </c>
      <c r="D6" s="11">
        <f>IFERROR(__xludf.DUMMYFUNCTION("""COMPUTED_VALUE"""),87.0)</f>
        <v>87</v>
      </c>
      <c r="E6" s="8">
        <f>IFERROR(__xludf.DUMMYFUNCTION("""COMPUTED_VALUE"""),0.977011494252873)</f>
        <v>0.9770114943</v>
      </c>
      <c r="F6" s="8">
        <f>IFERROR(__xludf.DUMMYFUNCTION("""COMPUTED_VALUE"""),0.390804597701149)</f>
        <v>0.3908045977</v>
      </c>
      <c r="G6" s="8">
        <f>IFERROR(__xludf.DUMMYFUNCTION("""COMPUTED_VALUE"""),0.310344827586206)</f>
        <v>0.3103448276</v>
      </c>
      <c r="H6" s="8">
        <f>IFERROR(__xludf.DUMMYFUNCTION("""COMPUTED_VALUE"""),0.290697674418604)</f>
        <v>0.2906976744</v>
      </c>
      <c r="I6" s="8">
        <f>IFERROR(__xludf.DUMMYFUNCTION("""COMPUTED_VALUE"""),0.211764705882352)</f>
        <v>0.2117647059</v>
      </c>
      <c r="J6" s="8">
        <f>IFERROR(__xludf.DUMMYFUNCTION("""COMPUTED_VALUE"""),0.209876543209876)</f>
        <v>0.2098765432</v>
      </c>
      <c r="K6" s="8">
        <f>IFERROR(__xludf.DUMMYFUNCTION("""COMPUTED_VALUE"""),0.162162162162162)</f>
        <v>0.1621621622</v>
      </c>
      <c r="L6" s="8">
        <f>IFERROR(__xludf.DUMMYFUNCTION("""COMPUTED_VALUE"""),0.128571428571428)</f>
        <v>0.1285714286</v>
      </c>
      <c r="M6" s="8">
        <f>IFERROR(__xludf.DUMMYFUNCTION("""COMPUTED_VALUE"""),0.1)</f>
        <v>0.1</v>
      </c>
      <c r="N6" s="8">
        <f>IFERROR(__xludf.DUMMYFUNCTION("""COMPUTED_VALUE"""),0.0923076923076923)</f>
        <v>0.09230769231</v>
      </c>
      <c r="O6" s="8">
        <f>IFERROR(__xludf.DUMMYFUNCTION("""COMPUTED_VALUE"""),0.0769230769230769)</f>
        <v>0.07692307692</v>
      </c>
      <c r="P6" s="8">
        <f>IFERROR(__xludf.DUMMYFUNCTION("""COMPUTED_VALUE"""),0.0357142857142857)</f>
        <v>0.03571428571</v>
      </c>
      <c r="Q6" s="8">
        <f>IFERROR(__xludf.DUMMYFUNCTION("""COMPUTED_VALUE"""),0.5)</f>
        <v>0.5</v>
      </c>
      <c r="R6" s="8">
        <f>IFERROR(__xludf.DUMMYFUNCTION("""COMPUTED_VALUE"""),0.0)</f>
        <v>0</v>
      </c>
      <c r="S6" s="8">
        <f>IFERROR(__xludf.DUMMYFUNCTION("""COMPUTED_VALUE"""),0.0)</f>
        <v>0</v>
      </c>
      <c r="T6" s="8">
        <f>IFERROR(__xludf.DUMMYFUNCTION("""COMPUTED_VALUE"""),0.0)</f>
        <v>0</v>
      </c>
      <c r="U6" s="8">
        <f>IFERROR(__xludf.DUMMYFUNCTION("""COMPUTED_VALUE"""),0.0)</f>
        <v>0</v>
      </c>
      <c r="V6" s="8">
        <f>IFERROR(__xludf.DUMMYFUNCTION("""COMPUTED_VALUE"""),0.0)</f>
        <v>0</v>
      </c>
      <c r="W6" s="8">
        <f>IFERROR(__xludf.DUMMYFUNCTION("""COMPUTED_VALUE"""),0.0)</f>
        <v>0</v>
      </c>
      <c r="X6" s="8">
        <f>IFERROR(__xludf.DUMMYFUNCTION("""COMPUTED_VALUE"""),0.0)</f>
        <v>0</v>
      </c>
      <c r="Y6" s="8">
        <f>IFERROR(__xludf.DUMMYFUNCTION("""COMPUTED_VALUE"""),0.0)</f>
        <v>0</v>
      </c>
      <c r="Z6" s="8">
        <f>IFERROR(__xludf.DUMMYFUNCTION("""COMPUTED_VALUE"""),0.0)</f>
        <v>0</v>
      </c>
      <c r="AA6" s="8">
        <f>IFERROR(__xludf.DUMMYFUNCTION("""COMPUTED_VALUE"""),0.0)</f>
        <v>0</v>
      </c>
      <c r="AB6" s="8">
        <f>IFERROR(__xludf.DUMMYFUNCTION("""COMPUTED_VALUE"""),0.0)</f>
        <v>0</v>
      </c>
      <c r="AC6" s="8">
        <f>IFERROR(__xludf.DUMMYFUNCTION("""COMPUTED_VALUE"""),0.0)</f>
        <v>0</v>
      </c>
    </row>
    <row r="7" ht="15.75" customHeight="1">
      <c r="A7" s="6" t="str">
        <f>IFERROR(__xludf.DUMMYFUNCTION("""COMPUTED_VALUE"""),"026a120c807e0094812e891c9140a3fd3d0f1d48")</f>
        <v>026a120c807e0094812e891c9140a3fd3d0f1d48</v>
      </c>
      <c r="B7" s="6" t="str">
        <f>IFERROR(__xludf.DUMMYFUNCTION("""COMPUTED_VALUE"""),"Vintage Heart")</f>
        <v>Vintage Heart</v>
      </c>
      <c r="C7" s="6" t="str">
        <f>IFERROR(__xludf.DUMMYFUNCTION("""COMPUTED_VALUE"""),"Romance")</f>
        <v>Romance</v>
      </c>
      <c r="D7" s="11">
        <f>IFERROR(__xludf.DUMMYFUNCTION("""COMPUTED_VALUE"""),710.0)</f>
        <v>710</v>
      </c>
      <c r="E7" s="8">
        <f>IFERROR(__xludf.DUMMYFUNCTION("""COMPUTED_VALUE"""),0.94225352112676)</f>
        <v>0.9422535211</v>
      </c>
      <c r="F7" s="8">
        <f>IFERROR(__xludf.DUMMYFUNCTION("""COMPUTED_VALUE"""),0.340845070422535)</f>
        <v>0.3408450704</v>
      </c>
      <c r="G7" s="8">
        <f>IFERROR(__xludf.DUMMYFUNCTION("""COMPUTED_VALUE"""),0.299435028248587)</f>
        <v>0.2994350282</v>
      </c>
      <c r="H7" s="8">
        <f>IFERROR(__xludf.DUMMYFUNCTION("""COMPUTED_VALUE"""),0.268361581920904)</f>
        <v>0.2683615819</v>
      </c>
      <c r="I7" s="8">
        <f>IFERROR(__xludf.DUMMYFUNCTION("""COMPUTED_VALUE"""),0.254237288135593)</f>
        <v>0.2542372881</v>
      </c>
      <c r="J7" s="8">
        <f>IFERROR(__xludf.DUMMYFUNCTION("""COMPUTED_VALUE"""),0.237623762376237)</f>
        <v>0.2376237624</v>
      </c>
      <c r="K7" s="8">
        <f>IFERROR(__xludf.DUMMYFUNCTION("""COMPUTED_VALUE"""),0.21671388101983)</f>
        <v>0.216713881</v>
      </c>
      <c r="L7" s="8">
        <f>IFERROR(__xludf.DUMMYFUNCTION("""COMPUTED_VALUE"""),0.209631728045325)</f>
        <v>0.209631728</v>
      </c>
      <c r="M7" s="8">
        <f>IFERROR(__xludf.DUMMYFUNCTION("""COMPUTED_VALUE"""),0.198581560283687)</f>
        <v>0.1985815603</v>
      </c>
      <c r="N7" s="8">
        <f>IFERROR(__xludf.DUMMYFUNCTION("""COMPUTED_VALUE"""),0.191489361702127)</f>
        <v>0.1914893617</v>
      </c>
      <c r="O7" s="8">
        <f>IFERROR(__xludf.DUMMYFUNCTION("""COMPUTED_VALUE"""),0.185074626865671)</f>
        <v>0.1850746269</v>
      </c>
      <c r="P7" s="8">
        <f>IFERROR(__xludf.DUMMYFUNCTION("""COMPUTED_VALUE"""),0.134206219312602)</f>
        <v>0.1342062193</v>
      </c>
      <c r="Q7" s="8">
        <f>IFERROR(__xludf.DUMMYFUNCTION("""COMPUTED_VALUE"""),0.107272727272727)</f>
        <v>0.1072727273</v>
      </c>
      <c r="R7" s="8">
        <f>IFERROR(__xludf.DUMMYFUNCTION("""COMPUTED_VALUE"""),0.0773809523809523)</f>
        <v>0.07738095238</v>
      </c>
      <c r="S7" s="8">
        <f>IFERROR(__xludf.DUMMYFUNCTION("""COMPUTED_VALUE"""),0.050632911392405)</f>
        <v>0.05063291139</v>
      </c>
      <c r="T7" s="8">
        <f>IFERROR(__xludf.DUMMYFUNCTION("""COMPUTED_VALUE"""),0.0)</f>
        <v>0</v>
      </c>
      <c r="U7" s="8">
        <f>IFERROR(__xludf.DUMMYFUNCTION("""COMPUTED_VALUE"""),0.0)</f>
        <v>0</v>
      </c>
      <c r="V7" s="8">
        <f>IFERROR(__xludf.DUMMYFUNCTION("""COMPUTED_VALUE"""),0.0)</f>
        <v>0</v>
      </c>
      <c r="W7" s="8">
        <f>IFERROR(__xludf.DUMMYFUNCTION("""COMPUTED_VALUE"""),0.0)</f>
        <v>0</v>
      </c>
      <c r="X7" s="8">
        <f>IFERROR(__xludf.DUMMYFUNCTION("""COMPUTED_VALUE"""),0.0)</f>
        <v>0</v>
      </c>
      <c r="Y7" s="8">
        <f>IFERROR(__xludf.DUMMYFUNCTION("""COMPUTED_VALUE"""),0.0)</f>
        <v>0</v>
      </c>
      <c r="Z7" s="8">
        <f>IFERROR(__xludf.DUMMYFUNCTION("""COMPUTED_VALUE"""),0.0)</f>
        <v>0</v>
      </c>
      <c r="AA7" s="8">
        <f>IFERROR(__xludf.DUMMYFUNCTION("""COMPUTED_VALUE"""),0.0)</f>
        <v>0</v>
      </c>
      <c r="AB7" s="8">
        <f>IFERROR(__xludf.DUMMYFUNCTION("""COMPUTED_VALUE"""),0.0)</f>
        <v>0</v>
      </c>
      <c r="AC7" s="8">
        <f>IFERROR(__xludf.DUMMYFUNCTION("""COMPUTED_VALUE"""),0.0)</f>
        <v>0</v>
      </c>
    </row>
    <row r="8" ht="15.75" customHeight="1">
      <c r="A8" s="6" t="str">
        <f>IFERROR(__xludf.DUMMYFUNCTION("""COMPUTED_VALUE"""),"03488a9bdecaf176a7a11138160e470f361ce803")</f>
        <v>03488a9bdecaf176a7a11138160e470f361ce803</v>
      </c>
      <c r="B8" s="6" t="str">
        <f>IFERROR(__xludf.DUMMYFUNCTION("""COMPUTED_VALUE"""),"Reborn to Be His Wife")</f>
        <v>Reborn to Be His Wife</v>
      </c>
      <c r="C8" s="6" t="str">
        <f>IFERROR(__xludf.DUMMYFUNCTION("""COMPUTED_VALUE"""),"Romantasy")</f>
        <v>Romantasy</v>
      </c>
      <c r="D8" s="11">
        <f>IFERROR(__xludf.DUMMYFUNCTION("""COMPUTED_VALUE"""),814.0)</f>
        <v>814</v>
      </c>
      <c r="E8" s="8">
        <f>IFERROR(__xludf.DUMMYFUNCTION("""COMPUTED_VALUE"""),0.97539975399754)</f>
        <v>0.975399754</v>
      </c>
      <c r="F8" s="8">
        <f>IFERROR(__xludf.DUMMYFUNCTION("""COMPUTED_VALUE"""),0.478474784747847)</f>
        <v>0.4784747847</v>
      </c>
      <c r="G8" s="8">
        <f>IFERROR(__xludf.DUMMYFUNCTION("""COMPUTED_VALUE"""),0.416974169741697)</f>
        <v>0.4169741697</v>
      </c>
      <c r="H8" s="8">
        <f>IFERROR(__xludf.DUMMYFUNCTION("""COMPUTED_VALUE"""),0.348093480934809)</f>
        <v>0.3480934809</v>
      </c>
      <c r="I8" s="8">
        <f>IFERROR(__xludf.DUMMYFUNCTION("""COMPUTED_VALUE"""),0.313653136531365)</f>
        <v>0.3136531365</v>
      </c>
      <c r="J8" s="8">
        <f>IFERROR(__xludf.DUMMYFUNCTION("""COMPUTED_VALUE"""),0.292742927429274)</f>
        <v>0.2927429274</v>
      </c>
      <c r="K8" s="8">
        <f>IFERROR(__xludf.DUMMYFUNCTION("""COMPUTED_VALUE"""),0.261992619926199)</f>
        <v>0.2619926199</v>
      </c>
      <c r="L8" s="8">
        <f>IFERROR(__xludf.DUMMYFUNCTION("""COMPUTED_VALUE"""),0.238622386223862)</f>
        <v>0.2386223862</v>
      </c>
      <c r="M8" s="8">
        <f>IFERROR(__xludf.DUMMYFUNCTION("""COMPUTED_VALUE"""),0.217980295566502)</f>
        <v>0.2179802956</v>
      </c>
      <c r="N8" s="8">
        <f>IFERROR(__xludf.DUMMYFUNCTION("""COMPUTED_VALUE"""),0.208384710234278)</f>
        <v>0.2083847102</v>
      </c>
      <c r="O8" s="8">
        <f>IFERROR(__xludf.DUMMYFUNCTION("""COMPUTED_VALUE"""),0.16)</f>
        <v>0.16</v>
      </c>
      <c r="P8" s="8">
        <f>IFERROR(__xludf.DUMMYFUNCTION("""COMPUTED_VALUE"""),0.124233128834355)</f>
        <v>0.1242331288</v>
      </c>
      <c r="Q8" s="8">
        <f>IFERROR(__xludf.DUMMYFUNCTION("""COMPUTED_VALUE"""),0.0666666666666666)</f>
        <v>0.06666666667</v>
      </c>
      <c r="R8" s="8">
        <f>IFERROR(__xludf.DUMMYFUNCTION("""COMPUTED_VALUE"""),0.0541082164328657)</f>
        <v>0.05410821643</v>
      </c>
      <c r="S8" s="8">
        <f>IFERROR(__xludf.DUMMYFUNCTION("""COMPUTED_VALUE"""),0.0421836228287841)</f>
        <v>0.04218362283</v>
      </c>
      <c r="T8" s="8">
        <f>IFERROR(__xludf.DUMMYFUNCTION("""COMPUTED_VALUE"""),0.0304709141274238)</f>
        <v>0.03047091413</v>
      </c>
      <c r="U8" s="8">
        <f>IFERROR(__xludf.DUMMYFUNCTION("""COMPUTED_VALUE"""),0.0172413793103448)</f>
        <v>0.01724137931</v>
      </c>
      <c r="V8" s="8">
        <f>IFERROR(__xludf.DUMMYFUNCTION("""COMPUTED_VALUE"""),0.0)</f>
        <v>0</v>
      </c>
      <c r="W8" s="8">
        <f>IFERROR(__xludf.DUMMYFUNCTION("""COMPUTED_VALUE"""),0.0)</f>
        <v>0</v>
      </c>
      <c r="X8" s="8">
        <f>IFERROR(__xludf.DUMMYFUNCTION("""COMPUTED_VALUE"""),0.0)</f>
        <v>0</v>
      </c>
      <c r="Y8" s="8">
        <f>IFERROR(__xludf.DUMMYFUNCTION("""COMPUTED_VALUE"""),0.0)</f>
        <v>0</v>
      </c>
      <c r="Z8" s="8">
        <f>IFERROR(__xludf.DUMMYFUNCTION("""COMPUTED_VALUE"""),0.0)</f>
        <v>0</v>
      </c>
      <c r="AA8" s="8">
        <f>IFERROR(__xludf.DUMMYFUNCTION("""COMPUTED_VALUE"""),0.0)</f>
        <v>0</v>
      </c>
      <c r="AB8" s="8">
        <f>IFERROR(__xludf.DUMMYFUNCTION("""COMPUTED_VALUE"""),0.0)</f>
        <v>0</v>
      </c>
      <c r="AC8" s="8">
        <f>IFERROR(__xludf.DUMMYFUNCTION("""COMPUTED_VALUE"""),0.0)</f>
        <v>0</v>
      </c>
    </row>
    <row r="9" ht="15.75" customHeight="1">
      <c r="A9" s="6" t="str">
        <f>IFERROR(__xludf.DUMMYFUNCTION("""COMPUTED_VALUE"""),"0433315d89000a02178e5d4fb75f31de3d906cff")</f>
        <v>0433315d89000a02178e5d4fb75f31de3d906cff</v>
      </c>
      <c r="B9" s="6" t="str">
        <f>IFERROR(__xludf.DUMMYFUNCTION("""COMPUTED_VALUE"""),"Billionaire Secret Babies")</f>
        <v>Billionaire Secret Babies</v>
      </c>
      <c r="C9" s="6" t="str">
        <f>IFERROR(__xludf.DUMMYFUNCTION("""COMPUTED_VALUE"""),"Romance")</f>
        <v>Romance</v>
      </c>
      <c r="D9" s="11">
        <f>IFERROR(__xludf.DUMMYFUNCTION("""COMPUTED_VALUE"""),620.0)</f>
        <v>620</v>
      </c>
      <c r="E9" s="8">
        <f>IFERROR(__xludf.DUMMYFUNCTION("""COMPUTED_VALUE"""),0.948387096774193)</f>
        <v>0.9483870968</v>
      </c>
      <c r="F9" s="8">
        <f>IFERROR(__xludf.DUMMYFUNCTION("""COMPUTED_VALUE"""),0.337096774193548)</f>
        <v>0.3370967742</v>
      </c>
      <c r="G9" s="8">
        <f>IFERROR(__xludf.DUMMYFUNCTION("""COMPUTED_VALUE"""),0.264516129032258)</f>
        <v>0.264516129</v>
      </c>
      <c r="H9" s="8">
        <f>IFERROR(__xludf.DUMMYFUNCTION("""COMPUTED_VALUE"""),0.230645161290322)</f>
        <v>0.2306451613</v>
      </c>
      <c r="I9" s="8">
        <f>IFERROR(__xludf.DUMMYFUNCTION("""COMPUTED_VALUE"""),0.219354838709677)</f>
        <v>0.2193548387</v>
      </c>
      <c r="J9" s="8">
        <f>IFERROR(__xludf.DUMMYFUNCTION("""COMPUTED_VALUE"""),0.208064516129032)</f>
        <v>0.2080645161</v>
      </c>
      <c r="K9" s="8">
        <f>IFERROR(__xludf.DUMMYFUNCTION("""COMPUTED_VALUE"""),0.198387096774193)</f>
        <v>0.1983870968</v>
      </c>
      <c r="L9" s="8">
        <f>IFERROR(__xludf.DUMMYFUNCTION("""COMPUTED_VALUE"""),0.193548387096774)</f>
        <v>0.1935483871</v>
      </c>
      <c r="M9" s="8">
        <f>IFERROR(__xludf.DUMMYFUNCTION("""COMPUTED_VALUE"""),0.185483870967741)</f>
        <v>0.185483871</v>
      </c>
      <c r="N9" s="8">
        <f>IFERROR(__xludf.DUMMYFUNCTION("""COMPUTED_VALUE"""),0.183870967741935)</f>
        <v>0.1838709677</v>
      </c>
      <c r="O9" s="8">
        <f>IFERROR(__xludf.DUMMYFUNCTION("""COMPUTED_VALUE"""),0.161290322580645)</f>
        <v>0.1612903226</v>
      </c>
      <c r="P9" s="8">
        <f>IFERROR(__xludf.DUMMYFUNCTION("""COMPUTED_VALUE"""),0.125806451612903)</f>
        <v>0.1258064516</v>
      </c>
      <c r="Q9" s="8">
        <f>IFERROR(__xludf.DUMMYFUNCTION("""COMPUTED_VALUE"""),0.0920840064620355)</f>
        <v>0.09208400646</v>
      </c>
      <c r="R9" s="8">
        <f>IFERROR(__xludf.DUMMYFUNCTION("""COMPUTED_VALUE"""),0.0)</f>
        <v>0</v>
      </c>
      <c r="S9" s="8">
        <f>IFERROR(__xludf.DUMMYFUNCTION("""COMPUTED_VALUE"""),0.0)</f>
        <v>0</v>
      </c>
      <c r="T9" s="8">
        <f>IFERROR(__xludf.DUMMYFUNCTION("""COMPUTED_VALUE"""),0.0)</f>
        <v>0</v>
      </c>
      <c r="U9" s="8">
        <f>IFERROR(__xludf.DUMMYFUNCTION("""COMPUTED_VALUE"""),0.0)</f>
        <v>0</v>
      </c>
      <c r="V9" s="8">
        <f>IFERROR(__xludf.DUMMYFUNCTION("""COMPUTED_VALUE"""),0.0)</f>
        <v>0</v>
      </c>
      <c r="W9" s="8">
        <f>IFERROR(__xludf.DUMMYFUNCTION("""COMPUTED_VALUE"""),0.0)</f>
        <v>0</v>
      </c>
      <c r="X9" s="8">
        <f>IFERROR(__xludf.DUMMYFUNCTION("""COMPUTED_VALUE"""),0.0)</f>
        <v>0</v>
      </c>
      <c r="Y9" s="8">
        <f>IFERROR(__xludf.DUMMYFUNCTION("""COMPUTED_VALUE"""),0.0)</f>
        <v>0</v>
      </c>
      <c r="Z9" s="8">
        <f>IFERROR(__xludf.DUMMYFUNCTION("""COMPUTED_VALUE"""),0.0)</f>
        <v>0</v>
      </c>
      <c r="AA9" s="8">
        <f>IFERROR(__xludf.DUMMYFUNCTION("""COMPUTED_VALUE"""),0.0)</f>
        <v>0</v>
      </c>
      <c r="AB9" s="8">
        <f>IFERROR(__xludf.DUMMYFUNCTION("""COMPUTED_VALUE"""),0.0)</f>
        <v>0</v>
      </c>
      <c r="AC9" s="8">
        <f>IFERROR(__xludf.DUMMYFUNCTION("""COMPUTED_VALUE"""),0.0)</f>
        <v>0</v>
      </c>
    </row>
    <row r="10" ht="15.75" customHeight="1">
      <c r="A10" s="6" t="str">
        <f>IFERROR(__xludf.DUMMYFUNCTION("""COMPUTED_VALUE"""),"048b7efb083246fe7c75b60c3bccf0e015f15e03")</f>
        <v>048b7efb083246fe7c75b60c3bccf0e015f15e03</v>
      </c>
      <c r="B10" s="6" t="str">
        <f>IFERROR(__xludf.DUMMYFUNCTION("""COMPUTED_VALUE"""),"Veterinarian Beast Master")</f>
        <v>Veterinarian Beast Master</v>
      </c>
      <c r="C10" s="6" t="str">
        <f>IFERROR(__xludf.DUMMYFUNCTION("""COMPUTED_VALUE"""),"Fantasy")</f>
        <v>Fantasy</v>
      </c>
      <c r="D10" s="11">
        <f>IFERROR(__xludf.DUMMYFUNCTION("""COMPUTED_VALUE"""),364.0)</f>
        <v>364</v>
      </c>
      <c r="E10" s="8">
        <f>IFERROR(__xludf.DUMMYFUNCTION("""COMPUTED_VALUE"""),0.967032967032967)</f>
        <v>0.967032967</v>
      </c>
      <c r="F10" s="8">
        <f>IFERROR(__xludf.DUMMYFUNCTION("""COMPUTED_VALUE"""),0.569060773480663)</f>
        <v>0.5690607735</v>
      </c>
      <c r="G10" s="8">
        <f>IFERROR(__xludf.DUMMYFUNCTION("""COMPUTED_VALUE"""),0.480662983425414)</f>
        <v>0.4806629834</v>
      </c>
      <c r="H10" s="8">
        <f>IFERROR(__xludf.DUMMYFUNCTION("""COMPUTED_VALUE"""),0.409972299168975)</f>
        <v>0.4099722992</v>
      </c>
      <c r="I10" s="8">
        <f>IFERROR(__xludf.DUMMYFUNCTION("""COMPUTED_VALUE"""),0.388888888888888)</f>
        <v>0.3888888889</v>
      </c>
      <c r="J10" s="8">
        <f>IFERROR(__xludf.DUMMYFUNCTION("""COMPUTED_VALUE"""),0.364902506963788)</f>
        <v>0.364902507</v>
      </c>
      <c r="K10" s="8">
        <f>IFERROR(__xludf.DUMMYFUNCTION("""COMPUTED_VALUE"""),0.335211267605633)</f>
        <v>0.3352112676</v>
      </c>
      <c r="L10" s="8">
        <f>IFERROR(__xludf.DUMMYFUNCTION("""COMPUTED_VALUE"""),0.31054131054131)</f>
        <v>0.3105413105</v>
      </c>
      <c r="M10" s="8">
        <f>IFERROR(__xludf.DUMMYFUNCTION("""COMPUTED_VALUE"""),0.303206997084548)</f>
        <v>0.3032069971</v>
      </c>
      <c r="N10" s="8">
        <f>IFERROR(__xludf.DUMMYFUNCTION("""COMPUTED_VALUE"""),0.281524926686217)</f>
        <v>0.2815249267</v>
      </c>
      <c r="O10" s="8">
        <f>IFERROR(__xludf.DUMMYFUNCTION("""COMPUTED_VALUE"""),0.181818181818181)</f>
        <v>0.1818181818</v>
      </c>
      <c r="P10" s="8">
        <f>IFERROR(__xludf.DUMMYFUNCTION("""COMPUTED_VALUE"""),0.128712871287128)</f>
        <v>0.1287128713</v>
      </c>
      <c r="Q10" s="8">
        <f>IFERROR(__xludf.DUMMYFUNCTION("""COMPUTED_VALUE"""),0.0405405405405405)</f>
        <v>0.04054054054</v>
      </c>
      <c r="R10" s="8">
        <f>IFERROR(__xludf.DUMMYFUNCTION("""COMPUTED_VALUE"""),0.0)</f>
        <v>0</v>
      </c>
      <c r="S10" s="8">
        <f>IFERROR(__xludf.DUMMYFUNCTION("""COMPUTED_VALUE"""),0.0)</f>
        <v>0</v>
      </c>
      <c r="T10" s="8">
        <f>IFERROR(__xludf.DUMMYFUNCTION("""COMPUTED_VALUE"""),0.0)</f>
        <v>0</v>
      </c>
      <c r="U10" s="8">
        <f>IFERROR(__xludf.DUMMYFUNCTION("""COMPUTED_VALUE"""),0.0)</f>
        <v>0</v>
      </c>
      <c r="V10" s="8">
        <f>IFERROR(__xludf.DUMMYFUNCTION("""COMPUTED_VALUE"""),0.0)</f>
        <v>0</v>
      </c>
      <c r="W10" s="8">
        <f>IFERROR(__xludf.DUMMYFUNCTION("""COMPUTED_VALUE"""),0.0)</f>
        <v>0</v>
      </c>
      <c r="X10" s="8">
        <f>IFERROR(__xludf.DUMMYFUNCTION("""COMPUTED_VALUE"""),0.0)</f>
        <v>0</v>
      </c>
      <c r="Y10" s="8">
        <f>IFERROR(__xludf.DUMMYFUNCTION("""COMPUTED_VALUE"""),0.0)</f>
        <v>0</v>
      </c>
      <c r="Z10" s="8">
        <f>IFERROR(__xludf.DUMMYFUNCTION("""COMPUTED_VALUE"""),0.0)</f>
        <v>0</v>
      </c>
      <c r="AA10" s="8">
        <f>IFERROR(__xludf.DUMMYFUNCTION("""COMPUTED_VALUE"""),0.0)</f>
        <v>0</v>
      </c>
      <c r="AB10" s="8">
        <f>IFERROR(__xludf.DUMMYFUNCTION("""COMPUTED_VALUE"""),0.0)</f>
        <v>0</v>
      </c>
      <c r="AC10" s="8">
        <f>IFERROR(__xludf.DUMMYFUNCTION("""COMPUTED_VALUE"""),0.0)</f>
        <v>0</v>
      </c>
    </row>
    <row r="11" ht="15.75" customHeight="1">
      <c r="A11" s="6" t="str">
        <f>IFERROR(__xludf.DUMMYFUNCTION("""COMPUTED_VALUE"""),"05081ee1026b5a4754958dd34670379788a6d672")</f>
        <v>05081ee1026b5a4754958dd34670379788a6d672</v>
      </c>
      <c r="B11" s="6" t="str">
        <f>IFERROR(__xludf.DUMMYFUNCTION("""COMPUTED_VALUE"""),"Billionaire Prison Bride")</f>
        <v>Billionaire Prison Bride</v>
      </c>
      <c r="C11" s="6" t="str">
        <f>IFERROR(__xludf.DUMMYFUNCTION("""COMPUTED_VALUE"""),"Romance")</f>
        <v>Romance</v>
      </c>
      <c r="D11" s="11">
        <f>IFERROR(__xludf.DUMMYFUNCTION("""COMPUTED_VALUE"""),173.0)</f>
        <v>173</v>
      </c>
      <c r="E11" s="8">
        <f>IFERROR(__xludf.DUMMYFUNCTION("""COMPUTED_VALUE"""),0.953216374269005)</f>
        <v>0.9532163743</v>
      </c>
      <c r="F11" s="8">
        <f>IFERROR(__xludf.DUMMYFUNCTION("""COMPUTED_VALUE"""),0.652694610778443)</f>
        <v>0.6526946108</v>
      </c>
      <c r="G11" s="8">
        <f>IFERROR(__xludf.DUMMYFUNCTION("""COMPUTED_VALUE"""),0.625766871165644)</f>
        <v>0.6257668712</v>
      </c>
      <c r="H11" s="8">
        <f>IFERROR(__xludf.DUMMYFUNCTION("""COMPUTED_VALUE"""),0.602564102564102)</f>
        <v>0.6025641026</v>
      </c>
      <c r="I11" s="8">
        <f>IFERROR(__xludf.DUMMYFUNCTION("""COMPUTED_VALUE"""),0.6)</f>
        <v>0.6</v>
      </c>
      <c r="J11" s="8">
        <f>IFERROR(__xludf.DUMMYFUNCTION("""COMPUTED_VALUE"""),0.570469798657718)</f>
        <v>0.5704697987</v>
      </c>
      <c r="K11" s="8">
        <f>IFERROR(__xludf.DUMMYFUNCTION("""COMPUTED_VALUE"""),0.532374100719424)</f>
        <v>0.5323741007</v>
      </c>
      <c r="L11" s="8">
        <f>IFERROR(__xludf.DUMMYFUNCTION("""COMPUTED_VALUE"""),0.503937007874015)</f>
        <v>0.5039370079</v>
      </c>
      <c r="M11" s="8">
        <f>IFERROR(__xludf.DUMMYFUNCTION("""COMPUTED_VALUE"""),0.463414634146341)</f>
        <v>0.4634146341</v>
      </c>
      <c r="N11" s="8">
        <f>IFERROR(__xludf.DUMMYFUNCTION("""COMPUTED_VALUE"""),0.397959183673469)</f>
        <v>0.3979591837</v>
      </c>
      <c r="O11" s="8">
        <f>IFERROR(__xludf.DUMMYFUNCTION("""COMPUTED_VALUE"""),0.327272727272727)</f>
        <v>0.3272727273</v>
      </c>
      <c r="P11" s="8">
        <f>IFERROR(__xludf.DUMMYFUNCTION("""COMPUTED_VALUE"""),0.0)</f>
        <v>0</v>
      </c>
      <c r="Q11" s="8">
        <f>IFERROR(__xludf.DUMMYFUNCTION("""COMPUTED_VALUE"""),0.0)</f>
        <v>0</v>
      </c>
      <c r="R11" s="8">
        <f>IFERROR(__xludf.DUMMYFUNCTION("""COMPUTED_VALUE"""),0.0)</f>
        <v>0</v>
      </c>
      <c r="S11" s="8">
        <f>IFERROR(__xludf.DUMMYFUNCTION("""COMPUTED_VALUE"""),0.0)</f>
        <v>0</v>
      </c>
      <c r="T11" s="8">
        <f>IFERROR(__xludf.DUMMYFUNCTION("""COMPUTED_VALUE"""),0.0)</f>
        <v>0</v>
      </c>
      <c r="U11" s="8">
        <f>IFERROR(__xludf.DUMMYFUNCTION("""COMPUTED_VALUE"""),0.0)</f>
        <v>0</v>
      </c>
      <c r="V11" s="8">
        <f>IFERROR(__xludf.DUMMYFUNCTION("""COMPUTED_VALUE"""),0.0)</f>
        <v>0</v>
      </c>
      <c r="W11" s="8">
        <f>IFERROR(__xludf.DUMMYFUNCTION("""COMPUTED_VALUE"""),0.0)</f>
        <v>0</v>
      </c>
      <c r="X11" s="8">
        <f>IFERROR(__xludf.DUMMYFUNCTION("""COMPUTED_VALUE"""),0.0)</f>
        <v>0</v>
      </c>
      <c r="Y11" s="8">
        <f>IFERROR(__xludf.DUMMYFUNCTION("""COMPUTED_VALUE"""),0.0)</f>
        <v>0</v>
      </c>
      <c r="Z11" s="8">
        <f>IFERROR(__xludf.DUMMYFUNCTION("""COMPUTED_VALUE"""),0.0)</f>
        <v>0</v>
      </c>
      <c r="AA11" s="8">
        <f>IFERROR(__xludf.DUMMYFUNCTION("""COMPUTED_VALUE"""),0.0)</f>
        <v>0</v>
      </c>
      <c r="AB11" s="8">
        <f>IFERROR(__xludf.DUMMYFUNCTION("""COMPUTED_VALUE"""),0.0)</f>
        <v>0</v>
      </c>
      <c r="AC11" s="8">
        <f>IFERROR(__xludf.DUMMYFUNCTION("""COMPUTED_VALUE"""),0.0)</f>
        <v>0</v>
      </c>
    </row>
    <row r="12" ht="15.75" customHeight="1">
      <c r="A12" s="6" t="str">
        <f>IFERROR(__xludf.DUMMYFUNCTION("""COMPUTED_VALUE"""),"05808ad9143ee75794133fd50497137fea47e57b")</f>
        <v>05808ad9143ee75794133fd50497137fea47e57b</v>
      </c>
      <c r="B12" s="6" t="str">
        <f>IFERROR(__xludf.DUMMYFUNCTION("""COMPUTED_VALUE"""),"Infinity Stars")</f>
        <v>Infinity Stars</v>
      </c>
      <c r="C12" s="6" t="str">
        <f>IFERROR(__xludf.DUMMYFUNCTION("""COMPUTED_VALUE"""),"Fantasy")</f>
        <v>Fantasy</v>
      </c>
      <c r="D12" s="11">
        <f>IFERROR(__xludf.DUMMYFUNCTION("""COMPUTED_VALUE"""),3827.0)</f>
        <v>3827</v>
      </c>
      <c r="E12" s="8">
        <f>IFERROR(__xludf.DUMMYFUNCTION("""COMPUTED_VALUE"""),0.924482665950013)</f>
        <v>0.924482666</v>
      </c>
      <c r="F12" s="8">
        <f>IFERROR(__xludf.DUMMYFUNCTION("""COMPUTED_VALUE"""),0.575783475783475)</f>
        <v>0.5757834758</v>
      </c>
      <c r="G12" s="8">
        <f>IFERROR(__xludf.DUMMYFUNCTION("""COMPUTED_VALUE"""),0.537069988137603)</f>
        <v>0.5370699881</v>
      </c>
      <c r="H12" s="8">
        <f>IFERROR(__xludf.DUMMYFUNCTION("""COMPUTED_VALUE"""),0.516189290161892)</f>
        <v>0.5161892902</v>
      </c>
      <c r="I12" s="8">
        <f>IFERROR(__xludf.DUMMYFUNCTION("""COMPUTED_VALUE"""),0.506544502617801)</f>
        <v>0.5065445026</v>
      </c>
      <c r="J12" s="8">
        <f>IFERROR(__xludf.DUMMYFUNCTION("""COMPUTED_VALUE"""),0.49103448275862)</f>
        <v>0.4910344828</v>
      </c>
      <c r="K12" s="8">
        <f>IFERROR(__xludf.DUMMYFUNCTION("""COMPUTED_VALUE"""),0.473021582733812)</f>
        <v>0.4730215827</v>
      </c>
      <c r="L12" s="8">
        <f>IFERROR(__xludf.DUMMYFUNCTION("""COMPUTED_VALUE"""),0.466287878787878)</f>
        <v>0.4662878788</v>
      </c>
      <c r="M12" s="8">
        <f>IFERROR(__xludf.DUMMYFUNCTION("""COMPUTED_VALUE"""),0.45807453416149)</f>
        <v>0.4580745342</v>
      </c>
      <c r="N12" s="8">
        <f>IFERROR(__xludf.DUMMYFUNCTION("""COMPUTED_VALUE"""),0.452648475120385)</f>
        <v>0.4526484751</v>
      </c>
      <c r="O12" s="8">
        <f>IFERROR(__xludf.DUMMYFUNCTION("""COMPUTED_VALUE"""),0.435511607910576)</f>
        <v>0.4355116079</v>
      </c>
      <c r="P12" s="8">
        <f>IFERROR(__xludf.DUMMYFUNCTION("""COMPUTED_VALUE"""),0.379584622182943)</f>
        <v>0.3795846222</v>
      </c>
      <c r="Q12" s="8">
        <f>IFERROR(__xludf.DUMMYFUNCTION("""COMPUTED_VALUE"""),0.309628697293895)</f>
        <v>0.3096286973</v>
      </c>
      <c r="R12" s="8">
        <f>IFERROR(__xludf.DUMMYFUNCTION("""COMPUTED_VALUE"""),0.214165261382799)</f>
        <v>0.2141652614</v>
      </c>
      <c r="S12" s="8">
        <f>IFERROR(__xludf.DUMMYFUNCTION("""COMPUTED_VALUE"""),0.137218045112781)</f>
        <v>0.1372180451</v>
      </c>
      <c r="T12" s="8">
        <f>IFERROR(__xludf.DUMMYFUNCTION("""COMPUTED_VALUE"""),0.125)</f>
        <v>0.125</v>
      </c>
      <c r="U12" s="8">
        <f>IFERROR(__xludf.DUMMYFUNCTION("""COMPUTED_VALUE"""),0.0)</f>
        <v>0</v>
      </c>
      <c r="V12" s="8">
        <f>IFERROR(__xludf.DUMMYFUNCTION("""COMPUTED_VALUE"""),0.0)</f>
        <v>0</v>
      </c>
      <c r="W12" s="8">
        <f>IFERROR(__xludf.DUMMYFUNCTION("""COMPUTED_VALUE"""),0.0)</f>
        <v>0</v>
      </c>
      <c r="X12" s="8">
        <f>IFERROR(__xludf.DUMMYFUNCTION("""COMPUTED_VALUE"""),0.0)</f>
        <v>0</v>
      </c>
      <c r="Y12" s="8">
        <f>IFERROR(__xludf.DUMMYFUNCTION("""COMPUTED_VALUE"""),0.0)</f>
        <v>0</v>
      </c>
      <c r="Z12" s="8">
        <f>IFERROR(__xludf.DUMMYFUNCTION("""COMPUTED_VALUE"""),0.0)</f>
        <v>0</v>
      </c>
      <c r="AA12" s="8">
        <f>IFERROR(__xludf.DUMMYFUNCTION("""COMPUTED_VALUE"""),0.0)</f>
        <v>0</v>
      </c>
      <c r="AB12" s="8">
        <f>IFERROR(__xludf.DUMMYFUNCTION("""COMPUTED_VALUE"""),0.0)</f>
        <v>0</v>
      </c>
      <c r="AC12" s="8">
        <f>IFERROR(__xludf.DUMMYFUNCTION("""COMPUTED_VALUE"""),0.0)</f>
        <v>0</v>
      </c>
    </row>
    <row r="13" ht="15.75" customHeight="1">
      <c r="A13" s="6" t="str">
        <f>IFERROR(__xludf.DUMMYFUNCTION("""COMPUTED_VALUE"""),"06f83c7bf7296efe61da1c2da6e5c12e8e7d4aa8")</f>
        <v>06f83c7bf7296efe61da1c2da6e5c12e8e7d4aa8</v>
      </c>
      <c r="B13" s="6" t="str">
        <f>IFERROR(__xludf.DUMMYFUNCTION("""COMPUTED_VALUE"""),"Sigil of the Seven")</f>
        <v>Sigil of the Seven</v>
      </c>
      <c r="C13" s="6" t="str">
        <f>IFERROR(__xludf.DUMMYFUNCTION("""COMPUTED_VALUE"""),"Fantasy")</f>
        <v>Fantasy</v>
      </c>
      <c r="D13" s="11">
        <f>IFERROR(__xludf.DUMMYFUNCTION("""COMPUTED_VALUE"""),12360.0)</f>
        <v>12360</v>
      </c>
      <c r="E13" s="8">
        <f>IFERROR(__xludf.DUMMYFUNCTION("""COMPUTED_VALUE"""),0.921339184137818)</f>
        <v>0.9213391841</v>
      </c>
      <c r="F13" s="8">
        <f>IFERROR(__xludf.DUMMYFUNCTION("""COMPUTED_VALUE"""),0.543691703485517)</f>
        <v>0.5436917035</v>
      </c>
      <c r="G13" s="8">
        <f>IFERROR(__xludf.DUMMYFUNCTION("""COMPUTED_VALUE"""),0.477161972412653)</f>
        <v>0.4771619724</v>
      </c>
      <c r="H13" s="8">
        <f>IFERROR(__xludf.DUMMYFUNCTION("""COMPUTED_VALUE"""),0.453035462170916)</f>
        <v>0.4530354622</v>
      </c>
      <c r="I13" s="8">
        <f>IFERROR(__xludf.DUMMYFUNCTION("""COMPUTED_VALUE"""),0.424811399832355)</f>
        <v>0.4248113998</v>
      </c>
      <c r="J13" s="8">
        <f>IFERROR(__xludf.DUMMYFUNCTION("""COMPUTED_VALUE"""),0.408300995444575)</f>
        <v>0.4083009954</v>
      </c>
      <c r="K13" s="8">
        <f>IFERROR(__xludf.DUMMYFUNCTION("""COMPUTED_VALUE"""),0.394368586209821)</f>
        <v>0.3943685862</v>
      </c>
      <c r="L13" s="8">
        <f>IFERROR(__xludf.DUMMYFUNCTION("""COMPUTED_VALUE"""),0.385471036194061)</f>
        <v>0.3854710362</v>
      </c>
      <c r="M13" s="8">
        <f>IFERROR(__xludf.DUMMYFUNCTION("""COMPUTED_VALUE"""),0.379746835443038)</f>
        <v>0.3797468354</v>
      </c>
      <c r="N13" s="8">
        <f>IFERROR(__xludf.DUMMYFUNCTION("""COMPUTED_VALUE"""),0.373451174075036)</f>
        <v>0.3734511741</v>
      </c>
      <c r="O13" s="8">
        <f>IFERROR(__xludf.DUMMYFUNCTION("""COMPUTED_VALUE"""),0.356722539229671)</f>
        <v>0.3567225392</v>
      </c>
      <c r="P13" s="8">
        <f>IFERROR(__xludf.DUMMYFUNCTION("""COMPUTED_VALUE"""),0.323902622426919)</f>
        <v>0.3239026224</v>
      </c>
      <c r="Q13" s="8">
        <f>IFERROR(__xludf.DUMMYFUNCTION("""COMPUTED_VALUE"""),0.245350500715307)</f>
        <v>0.2453505007</v>
      </c>
      <c r="R13" s="8">
        <f>IFERROR(__xludf.DUMMYFUNCTION("""COMPUTED_VALUE"""),0.191692240245506)</f>
        <v>0.1916922402</v>
      </c>
      <c r="S13" s="8">
        <f>IFERROR(__xludf.DUMMYFUNCTION("""COMPUTED_VALUE"""),0.155432477020975)</f>
        <v>0.155432477</v>
      </c>
      <c r="T13" s="8">
        <f>IFERROR(__xludf.DUMMYFUNCTION("""COMPUTED_VALUE"""),0.0916630292448712)</f>
        <v>0.09166302924</v>
      </c>
      <c r="U13" s="8">
        <f>IFERROR(__xludf.DUMMYFUNCTION("""COMPUTED_VALUE"""),0.0737979873276183)</f>
        <v>0.07379798733</v>
      </c>
      <c r="V13" s="8">
        <f>IFERROR(__xludf.DUMMYFUNCTION("""COMPUTED_VALUE"""),0.0650912996777658)</f>
        <v>0.06509129968</v>
      </c>
      <c r="W13" s="8">
        <f>IFERROR(__xludf.DUMMYFUNCTION("""COMPUTED_VALUE"""),0.0745433117265763)</f>
        <v>0.07454331173</v>
      </c>
      <c r="X13" s="8">
        <f>IFERROR(__xludf.DUMMYFUNCTION("""COMPUTED_VALUE"""),0.0751833740831295)</f>
        <v>0.07518337408</v>
      </c>
      <c r="Y13" s="8">
        <f>IFERROR(__xludf.DUMMYFUNCTION("""COMPUTED_VALUE"""),0.0)</f>
        <v>0</v>
      </c>
      <c r="Z13" s="8">
        <f>IFERROR(__xludf.DUMMYFUNCTION("""COMPUTED_VALUE"""),0.0)</f>
        <v>0</v>
      </c>
      <c r="AA13" s="8">
        <f>IFERROR(__xludf.DUMMYFUNCTION("""COMPUTED_VALUE"""),0.0)</f>
        <v>0</v>
      </c>
      <c r="AB13" s="8">
        <f>IFERROR(__xludf.DUMMYFUNCTION("""COMPUTED_VALUE"""),0.0)</f>
        <v>0</v>
      </c>
      <c r="AC13" s="8">
        <f>IFERROR(__xludf.DUMMYFUNCTION("""COMPUTED_VALUE"""),0.0)</f>
        <v>0</v>
      </c>
    </row>
    <row r="14" ht="15.75" customHeight="1">
      <c r="A14" s="6" t="str">
        <f>IFERROR(__xludf.DUMMYFUNCTION("""COMPUTED_VALUE"""),"0b07b41ff930aa13e98588f626eef70da51bb47e")</f>
        <v>0b07b41ff930aa13e98588f626eef70da51bb47e</v>
      </c>
      <c r="B14" s="6" t="str">
        <f>IFERROR(__xludf.DUMMYFUNCTION("""COMPUTED_VALUE"""),"Debtbound Between Worlds")</f>
        <v>Debtbound Between Worlds</v>
      </c>
      <c r="C14" s="6" t="str">
        <f>IFERROR(__xludf.DUMMYFUNCTION("""COMPUTED_VALUE"""),"Fantasy")</f>
        <v>Fantasy</v>
      </c>
      <c r="D14" s="11">
        <f>IFERROR(__xludf.DUMMYFUNCTION("""COMPUTED_VALUE"""),861.0)</f>
        <v>861</v>
      </c>
      <c r="E14" s="8">
        <f>IFERROR(__xludf.DUMMYFUNCTION("""COMPUTED_VALUE"""),0.967479674796748)</f>
        <v>0.9674796748</v>
      </c>
      <c r="F14" s="8">
        <f>IFERROR(__xludf.DUMMYFUNCTION("""COMPUTED_VALUE"""),0.40534262485482)</f>
        <v>0.4053426249</v>
      </c>
      <c r="G14" s="8">
        <f>IFERROR(__xludf.DUMMYFUNCTION("""COMPUTED_VALUE"""),0.365541327124563)</f>
        <v>0.3655413271</v>
      </c>
      <c r="H14" s="8">
        <f>IFERROR(__xludf.DUMMYFUNCTION("""COMPUTED_VALUE"""),0.338766006984866)</f>
        <v>0.338766007</v>
      </c>
      <c r="I14" s="8">
        <f>IFERROR(__xludf.DUMMYFUNCTION("""COMPUTED_VALUE"""),0.320139697322468)</f>
        <v>0.3201396973</v>
      </c>
      <c r="J14" s="8">
        <f>IFERROR(__xludf.DUMMYFUNCTION("""COMPUTED_VALUE"""),0.301050175029171)</f>
        <v>0.301050175</v>
      </c>
      <c r="K14" s="8">
        <f>IFERROR(__xludf.DUMMYFUNCTION("""COMPUTED_VALUE"""),0.289381563593932)</f>
        <v>0.2893815636</v>
      </c>
      <c r="L14" s="8">
        <f>IFERROR(__xludf.DUMMYFUNCTION("""COMPUTED_VALUE"""),0.279205607476635)</f>
        <v>0.2792056075</v>
      </c>
      <c r="M14" s="8">
        <f>IFERROR(__xludf.DUMMYFUNCTION("""COMPUTED_VALUE"""),0.261124121779859)</f>
        <v>0.2611241218</v>
      </c>
      <c r="N14" s="8">
        <f>IFERROR(__xludf.DUMMYFUNCTION("""COMPUTED_VALUE"""),0.250891795481569)</f>
        <v>0.2508917955</v>
      </c>
      <c r="O14" s="8">
        <f>IFERROR(__xludf.DUMMYFUNCTION("""COMPUTED_VALUE"""),0.231457800511508)</f>
        <v>0.2314578005</v>
      </c>
      <c r="P14" s="8">
        <f>IFERROR(__xludf.DUMMYFUNCTION("""COMPUTED_VALUE"""),0.194127243066884)</f>
        <v>0.1941272431</v>
      </c>
      <c r="Q14" s="8">
        <f>IFERROR(__xludf.DUMMYFUNCTION("""COMPUTED_VALUE"""),0.142857142857142)</f>
        <v>0.1428571429</v>
      </c>
      <c r="R14" s="8">
        <f>IFERROR(__xludf.DUMMYFUNCTION("""COMPUTED_VALUE"""),0.0)</f>
        <v>0</v>
      </c>
      <c r="S14" s="8">
        <f>IFERROR(__xludf.DUMMYFUNCTION("""COMPUTED_VALUE"""),0.0)</f>
        <v>0</v>
      </c>
      <c r="T14" s="8">
        <f>IFERROR(__xludf.DUMMYFUNCTION("""COMPUTED_VALUE"""),0.0)</f>
        <v>0</v>
      </c>
      <c r="U14" s="8">
        <f>IFERROR(__xludf.DUMMYFUNCTION("""COMPUTED_VALUE"""),0.0)</f>
        <v>0</v>
      </c>
      <c r="V14" s="8">
        <f>IFERROR(__xludf.DUMMYFUNCTION("""COMPUTED_VALUE"""),0.0)</f>
        <v>0</v>
      </c>
      <c r="W14" s="8">
        <f>IFERROR(__xludf.DUMMYFUNCTION("""COMPUTED_VALUE"""),0.0)</f>
        <v>0</v>
      </c>
      <c r="X14" s="8">
        <f>IFERROR(__xludf.DUMMYFUNCTION("""COMPUTED_VALUE"""),0.0)</f>
        <v>0</v>
      </c>
      <c r="Y14" s="8">
        <f>IFERROR(__xludf.DUMMYFUNCTION("""COMPUTED_VALUE"""),0.0)</f>
        <v>0</v>
      </c>
      <c r="Z14" s="8">
        <f>IFERROR(__xludf.DUMMYFUNCTION("""COMPUTED_VALUE"""),0.0)</f>
        <v>0</v>
      </c>
      <c r="AA14" s="8">
        <f>IFERROR(__xludf.DUMMYFUNCTION("""COMPUTED_VALUE"""),0.0)</f>
        <v>0</v>
      </c>
      <c r="AB14" s="8">
        <f>IFERROR(__xludf.DUMMYFUNCTION("""COMPUTED_VALUE"""),0.0)</f>
        <v>0</v>
      </c>
      <c r="AC14" s="8">
        <f>IFERROR(__xludf.DUMMYFUNCTION("""COMPUTED_VALUE"""),0.0)</f>
        <v>0</v>
      </c>
    </row>
    <row r="15" ht="15.75" customHeight="1">
      <c r="A15" s="6" t="str">
        <f>IFERROR(__xludf.DUMMYFUNCTION("""COMPUTED_VALUE"""),"0b24baea319eafeca1995fb9b34e29d6ebfb9a50")</f>
        <v>0b24baea319eafeca1995fb9b34e29d6ebfb9a50</v>
      </c>
      <c r="B15" s="6" t="str">
        <f>IFERROR(__xludf.DUMMYFUNCTION("""COMPUTED_VALUE"""),"Rejected Bride Returns")</f>
        <v>Rejected Bride Returns</v>
      </c>
      <c r="C15" s="6" t="str">
        <f>IFERROR(__xludf.DUMMYFUNCTION("""COMPUTED_VALUE"""),"Romance")</f>
        <v>Romance</v>
      </c>
      <c r="D15" s="11">
        <f>IFERROR(__xludf.DUMMYFUNCTION("""COMPUTED_VALUE"""),202.0)</f>
        <v>202</v>
      </c>
      <c r="E15" s="8">
        <f>IFERROR(__xludf.DUMMYFUNCTION("""COMPUTED_VALUE"""),0.98019801980198)</f>
        <v>0.9801980198</v>
      </c>
      <c r="F15" s="8">
        <f>IFERROR(__xludf.DUMMYFUNCTION("""COMPUTED_VALUE"""),0.368159203980099)</f>
        <v>0.368159204</v>
      </c>
      <c r="G15" s="8">
        <f>IFERROR(__xludf.DUMMYFUNCTION("""COMPUTED_VALUE"""),0.328358208955223)</f>
        <v>0.328358209</v>
      </c>
      <c r="H15" s="8">
        <f>IFERROR(__xludf.DUMMYFUNCTION("""COMPUTED_VALUE"""),0.271356783919598)</f>
        <v>0.2713567839</v>
      </c>
      <c r="I15" s="8">
        <f>IFERROR(__xludf.DUMMYFUNCTION("""COMPUTED_VALUE"""),0.202020202020202)</f>
        <v>0.202020202</v>
      </c>
      <c r="J15" s="8">
        <f>IFERROR(__xludf.DUMMYFUNCTION("""COMPUTED_VALUE"""),0.197969543147208)</f>
        <v>0.1979695431</v>
      </c>
      <c r="K15" s="8">
        <f>IFERROR(__xludf.DUMMYFUNCTION("""COMPUTED_VALUE"""),0.170103092783505)</f>
        <v>0.1701030928</v>
      </c>
      <c r="L15" s="8">
        <f>IFERROR(__xludf.DUMMYFUNCTION("""COMPUTED_VALUE"""),0.154255319148936)</f>
        <v>0.1542553191</v>
      </c>
      <c r="M15" s="8">
        <f>IFERROR(__xludf.DUMMYFUNCTION("""COMPUTED_VALUE"""),0.149732620320855)</f>
        <v>0.1497326203</v>
      </c>
      <c r="N15" s="8">
        <f>IFERROR(__xludf.DUMMYFUNCTION("""COMPUTED_VALUE"""),0.108108108108108)</f>
        <v>0.1081081081</v>
      </c>
      <c r="O15" s="8">
        <f>IFERROR(__xludf.DUMMYFUNCTION("""COMPUTED_VALUE"""),0.0924855491329479)</f>
        <v>0.09248554913</v>
      </c>
      <c r="P15" s="8">
        <f>IFERROR(__xludf.DUMMYFUNCTION("""COMPUTED_VALUE"""),0.0)</f>
        <v>0</v>
      </c>
      <c r="Q15" s="8">
        <f>IFERROR(__xludf.DUMMYFUNCTION("""COMPUTED_VALUE"""),0.0)</f>
        <v>0</v>
      </c>
      <c r="R15" s="8">
        <f>IFERROR(__xludf.DUMMYFUNCTION("""COMPUTED_VALUE"""),0.0)</f>
        <v>0</v>
      </c>
      <c r="S15" s="8">
        <f>IFERROR(__xludf.DUMMYFUNCTION("""COMPUTED_VALUE"""),0.0)</f>
        <v>0</v>
      </c>
      <c r="T15" s="8">
        <f>IFERROR(__xludf.DUMMYFUNCTION("""COMPUTED_VALUE"""),0.0)</f>
        <v>0</v>
      </c>
      <c r="U15" s="8">
        <f>IFERROR(__xludf.DUMMYFUNCTION("""COMPUTED_VALUE"""),0.0)</f>
        <v>0</v>
      </c>
      <c r="V15" s="8">
        <f>IFERROR(__xludf.DUMMYFUNCTION("""COMPUTED_VALUE"""),0.0)</f>
        <v>0</v>
      </c>
      <c r="W15" s="8">
        <f>IFERROR(__xludf.DUMMYFUNCTION("""COMPUTED_VALUE"""),0.0)</f>
        <v>0</v>
      </c>
      <c r="X15" s="8">
        <f>IFERROR(__xludf.DUMMYFUNCTION("""COMPUTED_VALUE"""),0.0)</f>
        <v>0</v>
      </c>
      <c r="Y15" s="8">
        <f>IFERROR(__xludf.DUMMYFUNCTION("""COMPUTED_VALUE"""),0.0)</f>
        <v>0</v>
      </c>
      <c r="Z15" s="8">
        <f>IFERROR(__xludf.DUMMYFUNCTION("""COMPUTED_VALUE"""),0.0)</f>
        <v>0</v>
      </c>
      <c r="AA15" s="8">
        <f>IFERROR(__xludf.DUMMYFUNCTION("""COMPUTED_VALUE"""),0.0)</f>
        <v>0</v>
      </c>
      <c r="AB15" s="8">
        <f>IFERROR(__xludf.DUMMYFUNCTION("""COMPUTED_VALUE"""),0.0)</f>
        <v>0</v>
      </c>
      <c r="AC15" s="8">
        <f>IFERROR(__xludf.DUMMYFUNCTION("""COMPUTED_VALUE"""),0.0)</f>
        <v>0</v>
      </c>
    </row>
    <row r="16" ht="15.75" customHeight="1">
      <c r="A16" s="6" t="str">
        <f>IFERROR(__xludf.DUMMYFUNCTION("""COMPUTED_VALUE"""),"0c7fa1a2b4bca0746ad0384d77796b98dd7d801c")</f>
        <v>0c7fa1a2b4bca0746ad0384d77796b98dd7d801c</v>
      </c>
      <c r="B16" s="6" t="str">
        <f>IFERROR(__xludf.DUMMYFUNCTION("""COMPUTED_VALUE"""),"Flash Marriage to My Ex’s Boss")</f>
        <v>Flash Marriage to My Ex’s Boss</v>
      </c>
      <c r="C16" s="6" t="str">
        <f>IFERROR(__xludf.DUMMYFUNCTION("""COMPUTED_VALUE"""),"Romance")</f>
        <v>Romance</v>
      </c>
      <c r="D16" s="11">
        <f>IFERROR(__xludf.DUMMYFUNCTION("""COMPUTED_VALUE"""),635.0)</f>
        <v>635</v>
      </c>
      <c r="E16" s="8">
        <f>IFERROR(__xludf.DUMMYFUNCTION("""COMPUTED_VALUE"""),0.954258675078864)</f>
        <v>0.9542586751</v>
      </c>
      <c r="F16" s="8">
        <f>IFERROR(__xludf.DUMMYFUNCTION("""COMPUTED_VALUE"""),0.154574132492113)</f>
        <v>0.1545741325</v>
      </c>
      <c r="G16" s="8">
        <f>IFERROR(__xludf.DUMMYFUNCTION("""COMPUTED_VALUE"""),0.12954186413902)</f>
        <v>0.1295418641</v>
      </c>
      <c r="H16" s="8">
        <f>IFERROR(__xludf.DUMMYFUNCTION("""COMPUTED_VALUE"""),0.115323854660347)</f>
        <v>0.1153238547</v>
      </c>
      <c r="I16" s="8">
        <f>IFERROR(__xludf.DUMMYFUNCTION("""COMPUTED_VALUE"""),0.110759493670886)</f>
        <v>0.1107594937</v>
      </c>
      <c r="J16" s="8">
        <f>IFERROR(__xludf.DUMMYFUNCTION("""COMPUTED_VALUE"""),0.0933544303797468)</f>
        <v>0.09335443038</v>
      </c>
      <c r="K16" s="8">
        <f>IFERROR(__xludf.DUMMYFUNCTION("""COMPUTED_VALUE"""),0.0886075949367088)</f>
        <v>0.08860759494</v>
      </c>
      <c r="L16" s="8">
        <f>IFERROR(__xludf.DUMMYFUNCTION("""COMPUTED_VALUE"""),0.080824088748019)</f>
        <v>0.08082408875</v>
      </c>
      <c r="M16" s="8">
        <f>IFERROR(__xludf.DUMMYFUNCTION("""COMPUTED_VALUE"""),0.0824088748019017)</f>
        <v>0.0824088748</v>
      </c>
      <c r="N16" s="8">
        <f>IFERROR(__xludf.DUMMYFUNCTION("""COMPUTED_VALUE"""),0.0776545166402535)</f>
        <v>0.07765451664</v>
      </c>
      <c r="O16" s="8">
        <f>IFERROR(__xludf.DUMMYFUNCTION("""COMPUTED_VALUE"""),0.0653907496012759)</f>
        <v>0.0653907496</v>
      </c>
      <c r="P16" s="8">
        <f>IFERROR(__xludf.DUMMYFUNCTION("""COMPUTED_VALUE"""),0.0559105431309904)</f>
        <v>0.05591054313</v>
      </c>
      <c r="Q16" s="8">
        <f>IFERROR(__xludf.DUMMYFUNCTION("""COMPUTED_VALUE"""),0.0387096774193548)</f>
        <v>0.03870967742</v>
      </c>
      <c r="R16" s="8">
        <f>IFERROR(__xludf.DUMMYFUNCTION("""COMPUTED_VALUE"""),0.0291734197730956)</f>
        <v>0.02917341977</v>
      </c>
      <c r="S16" s="8">
        <f>IFERROR(__xludf.DUMMYFUNCTION("""COMPUTED_VALUE"""),0.0)</f>
        <v>0</v>
      </c>
      <c r="T16" s="8">
        <f>IFERROR(__xludf.DUMMYFUNCTION("""COMPUTED_VALUE"""),0.0)</f>
        <v>0</v>
      </c>
      <c r="U16" s="8">
        <f>IFERROR(__xludf.DUMMYFUNCTION("""COMPUTED_VALUE"""),0.0)</f>
        <v>0</v>
      </c>
      <c r="V16" s="8">
        <f>IFERROR(__xludf.DUMMYFUNCTION("""COMPUTED_VALUE"""),0.0)</f>
        <v>0</v>
      </c>
      <c r="W16" s="8">
        <f>IFERROR(__xludf.DUMMYFUNCTION("""COMPUTED_VALUE"""),0.0)</f>
        <v>0</v>
      </c>
      <c r="X16" s="8">
        <f>IFERROR(__xludf.DUMMYFUNCTION("""COMPUTED_VALUE"""),0.0)</f>
        <v>0</v>
      </c>
      <c r="Y16" s="8">
        <f>IFERROR(__xludf.DUMMYFUNCTION("""COMPUTED_VALUE"""),0.0)</f>
        <v>0</v>
      </c>
      <c r="Z16" s="8">
        <f>IFERROR(__xludf.DUMMYFUNCTION("""COMPUTED_VALUE"""),0.0)</f>
        <v>0</v>
      </c>
      <c r="AA16" s="8">
        <f>IFERROR(__xludf.DUMMYFUNCTION("""COMPUTED_VALUE"""),0.0)</f>
        <v>0</v>
      </c>
      <c r="AB16" s="8">
        <f>IFERROR(__xludf.DUMMYFUNCTION("""COMPUTED_VALUE"""),0.0)</f>
        <v>0</v>
      </c>
      <c r="AC16" s="8">
        <f>IFERROR(__xludf.DUMMYFUNCTION("""COMPUTED_VALUE"""),0.0)</f>
        <v>0</v>
      </c>
    </row>
    <row r="17" ht="15.75" customHeight="1">
      <c r="A17" s="6" t="str">
        <f>IFERROR(__xludf.DUMMYFUNCTION("""COMPUTED_VALUE"""),"0d62d7798adbffba76234feba6e58e4a73a6baf8")</f>
        <v>0d62d7798adbffba76234feba6e58e4a73a6baf8</v>
      </c>
      <c r="B17" s="6" t="str">
        <f>IFERROR(__xludf.DUMMYFUNCTION("""COMPUTED_VALUE"""),"Devil's Redemption")</f>
        <v>Devil's Redemption</v>
      </c>
      <c r="C17" s="6" t="str">
        <f>IFERROR(__xludf.DUMMYFUNCTION("""COMPUTED_VALUE"""),"Fantasy")</f>
        <v>Fantasy</v>
      </c>
      <c r="D17" s="11">
        <f>IFERROR(__xludf.DUMMYFUNCTION("""COMPUTED_VALUE"""),958.0)</f>
        <v>958</v>
      </c>
      <c r="E17" s="8">
        <f>IFERROR(__xludf.DUMMYFUNCTION("""COMPUTED_VALUE"""),0.978883861236802)</f>
        <v>0.9788838612</v>
      </c>
      <c r="F17" s="8">
        <f>IFERROR(__xludf.DUMMYFUNCTION("""COMPUTED_VALUE"""),0.680487804878048)</f>
        <v>0.6804878049</v>
      </c>
      <c r="G17" s="8">
        <f>IFERROR(__xludf.DUMMYFUNCTION("""COMPUTED_VALUE"""),0.611825192802056)</f>
        <v>0.6118251928</v>
      </c>
      <c r="H17" s="8">
        <f>IFERROR(__xludf.DUMMYFUNCTION("""COMPUTED_VALUE"""),0.56396866840731)</f>
        <v>0.5639686684</v>
      </c>
      <c r="I17" s="8">
        <f>IFERROR(__xludf.DUMMYFUNCTION("""COMPUTED_VALUE"""),0.464985994397759)</f>
        <v>0.4649859944</v>
      </c>
      <c r="J17" s="8">
        <f>IFERROR(__xludf.DUMMYFUNCTION("""COMPUTED_VALUE"""),0.433526011560693)</f>
        <v>0.4335260116</v>
      </c>
      <c r="K17" s="8">
        <f>IFERROR(__xludf.DUMMYFUNCTION("""COMPUTED_VALUE"""),0.383233532934131)</f>
        <v>0.3832335329</v>
      </c>
      <c r="L17" s="8">
        <f>IFERROR(__xludf.DUMMYFUNCTION("""COMPUTED_VALUE"""),0.352409638554216)</f>
        <v>0.3524096386</v>
      </c>
      <c r="M17" s="8">
        <f>IFERROR(__xludf.DUMMYFUNCTION("""COMPUTED_VALUE"""),0.329305135951661)</f>
        <v>0.329305136</v>
      </c>
      <c r="N17" s="8">
        <f>IFERROR(__xludf.DUMMYFUNCTION("""COMPUTED_VALUE"""),0.319148936170212)</f>
        <v>0.3191489362</v>
      </c>
      <c r="O17" s="8">
        <f>IFERROR(__xludf.DUMMYFUNCTION("""COMPUTED_VALUE"""),0.253521126760563)</f>
        <v>0.2535211268</v>
      </c>
      <c r="P17" s="8">
        <f>IFERROR(__xludf.DUMMYFUNCTION("""COMPUTED_VALUE"""),0.214285714285714)</f>
        <v>0.2142857143</v>
      </c>
      <c r="Q17" s="8">
        <f>IFERROR(__xludf.DUMMYFUNCTION("""COMPUTED_VALUE"""),0.0)</f>
        <v>0</v>
      </c>
      <c r="R17" s="8">
        <f>IFERROR(__xludf.DUMMYFUNCTION("""COMPUTED_VALUE"""),0.0)</f>
        <v>0</v>
      </c>
      <c r="S17" s="8">
        <f>IFERROR(__xludf.DUMMYFUNCTION("""COMPUTED_VALUE"""),0.0)</f>
        <v>0</v>
      </c>
      <c r="T17" s="8">
        <f>IFERROR(__xludf.DUMMYFUNCTION("""COMPUTED_VALUE"""),0.0)</f>
        <v>0</v>
      </c>
      <c r="U17" s="8">
        <f>IFERROR(__xludf.DUMMYFUNCTION("""COMPUTED_VALUE"""),0.0)</f>
        <v>0</v>
      </c>
      <c r="V17" s="8">
        <f>IFERROR(__xludf.DUMMYFUNCTION("""COMPUTED_VALUE"""),0.0)</f>
        <v>0</v>
      </c>
      <c r="W17" s="8">
        <f>IFERROR(__xludf.DUMMYFUNCTION("""COMPUTED_VALUE"""),0.0)</f>
        <v>0</v>
      </c>
      <c r="X17" s="8">
        <f>IFERROR(__xludf.DUMMYFUNCTION("""COMPUTED_VALUE"""),0.0)</f>
        <v>0</v>
      </c>
      <c r="Y17" s="8">
        <f>IFERROR(__xludf.DUMMYFUNCTION("""COMPUTED_VALUE"""),0.0)</f>
        <v>0</v>
      </c>
      <c r="Z17" s="8">
        <f>IFERROR(__xludf.DUMMYFUNCTION("""COMPUTED_VALUE"""),0.0)</f>
        <v>0</v>
      </c>
      <c r="AA17" s="8">
        <f>IFERROR(__xludf.DUMMYFUNCTION("""COMPUTED_VALUE"""),0.0)</f>
        <v>0</v>
      </c>
      <c r="AB17" s="8">
        <f>IFERROR(__xludf.DUMMYFUNCTION("""COMPUTED_VALUE"""),0.0)</f>
        <v>0</v>
      </c>
      <c r="AC17" s="8">
        <f>IFERROR(__xludf.DUMMYFUNCTION("""COMPUTED_VALUE"""),0.0)</f>
        <v>0</v>
      </c>
    </row>
    <row r="18" ht="15.75" customHeight="1">
      <c r="A18" s="6" t="str">
        <f>IFERROR(__xludf.DUMMYFUNCTION("""COMPUTED_VALUE"""),"0db57923d2182ad47e7480030a03e05da109b1bf")</f>
        <v>0db57923d2182ad47e7480030a03e05da109b1bf</v>
      </c>
      <c r="B18" s="6" t="str">
        <f>IFERROR(__xludf.DUMMYFUNCTION("""COMPUTED_VALUE"""),"The Ceo's Borrowed Beauty")</f>
        <v>The Ceo's Borrowed Beauty</v>
      </c>
      <c r="C18" s="6" t="str">
        <f>IFERROR(__xludf.DUMMYFUNCTION("""COMPUTED_VALUE"""),"Romance")</f>
        <v>Romance</v>
      </c>
      <c r="D18" s="11">
        <f>IFERROR(__xludf.DUMMYFUNCTION("""COMPUTED_VALUE"""),345.0)</f>
        <v>345</v>
      </c>
      <c r="E18" s="8">
        <f>IFERROR(__xludf.DUMMYFUNCTION("""COMPUTED_VALUE"""),0.970238095238095)</f>
        <v>0.9702380952</v>
      </c>
      <c r="F18" s="8">
        <f>IFERROR(__xludf.DUMMYFUNCTION("""COMPUTED_VALUE"""),0.404191616766467)</f>
        <v>0.4041916168</v>
      </c>
      <c r="G18" s="8">
        <f>IFERROR(__xludf.DUMMYFUNCTION("""COMPUTED_VALUE"""),0.345345345345345)</f>
        <v>0.3453453453</v>
      </c>
      <c r="H18" s="8">
        <f>IFERROR(__xludf.DUMMYFUNCTION("""COMPUTED_VALUE"""),0.289156626506024)</f>
        <v>0.2891566265</v>
      </c>
      <c r="I18" s="8">
        <f>IFERROR(__xludf.DUMMYFUNCTION("""COMPUTED_VALUE"""),0.268882175226586)</f>
        <v>0.2688821752</v>
      </c>
      <c r="J18" s="8">
        <f>IFERROR(__xludf.DUMMYFUNCTION("""COMPUTED_VALUE"""),0.236363636363636)</f>
        <v>0.2363636364</v>
      </c>
      <c r="K18" s="8">
        <f>IFERROR(__xludf.DUMMYFUNCTION("""COMPUTED_VALUE"""),0.209090909090909)</f>
        <v>0.2090909091</v>
      </c>
      <c r="L18" s="8">
        <f>IFERROR(__xludf.DUMMYFUNCTION("""COMPUTED_VALUE"""),0.1875)</f>
        <v>0.1875</v>
      </c>
      <c r="M18" s="8">
        <f>IFERROR(__xludf.DUMMYFUNCTION("""COMPUTED_VALUE"""),0.185303514376996)</f>
        <v>0.1853035144</v>
      </c>
      <c r="N18" s="8">
        <f>IFERROR(__xludf.DUMMYFUNCTION("""COMPUTED_VALUE"""),0.203389830508474)</f>
        <v>0.2033898305</v>
      </c>
      <c r="O18" s="8">
        <f>IFERROR(__xludf.DUMMYFUNCTION("""COMPUTED_VALUE"""),0.157407407407407)</f>
        <v>0.1574074074</v>
      </c>
      <c r="P18" s="8">
        <f>IFERROR(__xludf.DUMMYFUNCTION("""COMPUTED_VALUE"""),0.169491525423728)</f>
        <v>0.1694915254</v>
      </c>
      <c r="Q18" s="8">
        <f>IFERROR(__xludf.DUMMYFUNCTION("""COMPUTED_VALUE"""),0.277777777777777)</f>
        <v>0.2777777778</v>
      </c>
      <c r="R18" s="8">
        <f>IFERROR(__xludf.DUMMYFUNCTION("""COMPUTED_VALUE"""),0.333333333333333)</f>
        <v>0.3333333333</v>
      </c>
      <c r="S18" s="8">
        <f>IFERROR(__xludf.DUMMYFUNCTION("""COMPUTED_VALUE"""),0.0)</f>
        <v>0</v>
      </c>
      <c r="T18" s="8">
        <f>IFERROR(__xludf.DUMMYFUNCTION("""COMPUTED_VALUE"""),0.0)</f>
        <v>0</v>
      </c>
      <c r="U18" s="8">
        <f>IFERROR(__xludf.DUMMYFUNCTION("""COMPUTED_VALUE"""),0.0)</f>
        <v>0</v>
      </c>
      <c r="V18" s="8">
        <f>IFERROR(__xludf.DUMMYFUNCTION("""COMPUTED_VALUE"""),0.0)</f>
        <v>0</v>
      </c>
      <c r="W18" s="8">
        <f>IFERROR(__xludf.DUMMYFUNCTION("""COMPUTED_VALUE"""),0.0)</f>
        <v>0</v>
      </c>
      <c r="X18" s="8">
        <f>IFERROR(__xludf.DUMMYFUNCTION("""COMPUTED_VALUE"""),0.0)</f>
        <v>0</v>
      </c>
      <c r="Y18" s="8">
        <f>IFERROR(__xludf.DUMMYFUNCTION("""COMPUTED_VALUE"""),0.0)</f>
        <v>0</v>
      </c>
      <c r="Z18" s="8">
        <f>IFERROR(__xludf.DUMMYFUNCTION("""COMPUTED_VALUE"""),0.0)</f>
        <v>0</v>
      </c>
      <c r="AA18" s="8">
        <f>IFERROR(__xludf.DUMMYFUNCTION("""COMPUTED_VALUE"""),0.0)</f>
        <v>0</v>
      </c>
      <c r="AB18" s="8">
        <f>IFERROR(__xludf.DUMMYFUNCTION("""COMPUTED_VALUE"""),0.0)</f>
        <v>0</v>
      </c>
      <c r="AC18" s="8">
        <f>IFERROR(__xludf.DUMMYFUNCTION("""COMPUTED_VALUE"""),0.0)</f>
        <v>0</v>
      </c>
    </row>
    <row r="19" ht="15.75" customHeight="1">
      <c r="A19" s="6" t="str">
        <f>IFERROR(__xludf.DUMMYFUNCTION("""COMPUTED_VALUE"""),"0f3d56fd651e66eb62e990fd31d006aa80eaab5f")</f>
        <v>0f3d56fd651e66eb62e990fd31d006aa80eaab5f</v>
      </c>
      <c r="B19" s="6" t="str">
        <f>IFERROR(__xludf.DUMMYFUNCTION("""COMPUTED_VALUE"""),"The Forsaken Tamer")</f>
        <v>The Forsaken Tamer</v>
      </c>
      <c r="C19" s="6" t="str">
        <f>IFERROR(__xludf.DUMMYFUNCTION("""COMPUTED_VALUE"""),"System and Superpower")</f>
        <v>System and Superpower</v>
      </c>
      <c r="D19" s="11">
        <f>IFERROR(__xludf.DUMMYFUNCTION("""COMPUTED_VALUE"""),2271.0)</f>
        <v>2271</v>
      </c>
      <c r="E19" s="8">
        <f>IFERROR(__xludf.DUMMYFUNCTION("""COMPUTED_VALUE"""),0.985871964679911)</f>
        <v>0.9858719647</v>
      </c>
      <c r="F19" s="8">
        <f>IFERROR(__xludf.DUMMYFUNCTION("""COMPUTED_VALUE"""),0.564689397477814)</f>
        <v>0.5646893975</v>
      </c>
      <c r="G19" s="8">
        <f>IFERROR(__xludf.DUMMYFUNCTION("""COMPUTED_VALUE"""),0.489984591679506)</f>
        <v>0.4899845917</v>
      </c>
      <c r="H19" s="8">
        <f>IFERROR(__xludf.DUMMYFUNCTION("""COMPUTED_VALUE"""),0.407049459920409)</f>
        <v>0.4070494599</v>
      </c>
      <c r="I19" s="8">
        <f>IFERROR(__xludf.DUMMYFUNCTION("""COMPUTED_VALUE"""),0.354153653966271)</f>
        <v>0.354153654</v>
      </c>
      <c r="J19" s="8">
        <f>IFERROR(__xludf.DUMMYFUNCTION("""COMPUTED_VALUE"""),0.27304714989444)</f>
        <v>0.2730471499</v>
      </c>
      <c r="K19" s="8">
        <f>IFERROR(__xludf.DUMMYFUNCTION("""COMPUTED_VALUE"""),0.236248236953455)</f>
        <v>0.236248237</v>
      </c>
      <c r="L19" s="8">
        <f>IFERROR(__xludf.DUMMYFUNCTION("""COMPUTED_VALUE"""),0.203835227272727)</f>
        <v>0.2038352273</v>
      </c>
      <c r="M19" s="8">
        <f>IFERROR(__xludf.DUMMYFUNCTION("""COMPUTED_VALUE"""),0.186295503211991)</f>
        <v>0.1862955032</v>
      </c>
      <c r="N19" s="8">
        <f>IFERROR(__xludf.DUMMYFUNCTION("""COMPUTED_VALUE"""),0.170014347202295)</f>
        <v>0.1700143472</v>
      </c>
      <c r="O19" s="8">
        <f>IFERROR(__xludf.DUMMYFUNCTION("""COMPUTED_VALUE"""),0.123099203475742)</f>
        <v>0.1230992035</v>
      </c>
      <c r="P19" s="8">
        <f>IFERROR(__xludf.DUMMYFUNCTION("""COMPUTED_VALUE"""),0.0879940343027591)</f>
        <v>0.0879940343</v>
      </c>
      <c r="Q19" s="8">
        <f>IFERROR(__xludf.DUMMYFUNCTION("""COMPUTED_VALUE"""),0.0354330708661417)</f>
        <v>0.03543307087</v>
      </c>
      <c r="R19" s="8">
        <f>IFERROR(__xludf.DUMMYFUNCTION("""COMPUTED_VALUE"""),0.0226928895612708)</f>
        <v>0.02269288956</v>
      </c>
      <c r="S19" s="8">
        <f>IFERROR(__xludf.DUMMYFUNCTION("""COMPUTED_VALUE"""),0.0)</f>
        <v>0</v>
      </c>
      <c r="T19" s="8">
        <f>IFERROR(__xludf.DUMMYFUNCTION("""COMPUTED_VALUE"""),0.0)</f>
        <v>0</v>
      </c>
      <c r="U19" s="8">
        <f>IFERROR(__xludf.DUMMYFUNCTION("""COMPUTED_VALUE"""),0.0)</f>
        <v>0</v>
      </c>
      <c r="V19" s="8">
        <f>IFERROR(__xludf.DUMMYFUNCTION("""COMPUTED_VALUE"""),0.0)</f>
        <v>0</v>
      </c>
      <c r="W19" s="8">
        <f>IFERROR(__xludf.DUMMYFUNCTION("""COMPUTED_VALUE"""),0.0)</f>
        <v>0</v>
      </c>
      <c r="X19" s="8">
        <f>IFERROR(__xludf.DUMMYFUNCTION("""COMPUTED_VALUE"""),0.0)</f>
        <v>0</v>
      </c>
      <c r="Y19" s="8">
        <f>IFERROR(__xludf.DUMMYFUNCTION("""COMPUTED_VALUE"""),0.0)</f>
        <v>0</v>
      </c>
      <c r="Z19" s="8">
        <f>IFERROR(__xludf.DUMMYFUNCTION("""COMPUTED_VALUE"""),0.0)</f>
        <v>0</v>
      </c>
      <c r="AA19" s="8">
        <f>IFERROR(__xludf.DUMMYFUNCTION("""COMPUTED_VALUE"""),0.0)</f>
        <v>0</v>
      </c>
      <c r="AB19" s="8">
        <f>IFERROR(__xludf.DUMMYFUNCTION("""COMPUTED_VALUE"""),0.0)</f>
        <v>0</v>
      </c>
      <c r="AC19" s="8">
        <f>IFERROR(__xludf.DUMMYFUNCTION("""COMPUTED_VALUE"""),0.0)</f>
        <v>0</v>
      </c>
    </row>
    <row r="20" ht="15.75" customHeight="1">
      <c r="A20" s="6" t="str">
        <f>IFERROR(__xludf.DUMMYFUNCTION("""COMPUTED_VALUE"""),"0fadc6da7c4d814463023dc7ffd8be44c68fa457")</f>
        <v>0fadc6da7c4d814463023dc7ffd8be44c68fa457</v>
      </c>
      <c r="B20" s="6" t="str">
        <f>IFERROR(__xludf.DUMMYFUNCTION("""COMPUTED_VALUE"""),"From Ceo to Young Lord")</f>
        <v>From Ceo to Young Lord</v>
      </c>
      <c r="C20" s="6" t="str">
        <f>IFERROR(__xludf.DUMMYFUNCTION("""COMPUTED_VALUE"""),"Fantasy")</f>
        <v>Fantasy</v>
      </c>
      <c r="D20" s="11">
        <f>IFERROR(__xludf.DUMMYFUNCTION("""COMPUTED_VALUE"""),1994.0)</f>
        <v>1994</v>
      </c>
      <c r="E20" s="8">
        <f>IFERROR(__xludf.DUMMYFUNCTION("""COMPUTED_VALUE"""),0.94218200100553)</f>
        <v>0.942182001</v>
      </c>
      <c r="F20" s="8">
        <f>IFERROR(__xludf.DUMMYFUNCTION("""COMPUTED_VALUE"""),0.606656580937972)</f>
        <v>0.6066565809</v>
      </c>
      <c r="G20" s="8">
        <f>IFERROR(__xludf.DUMMYFUNCTION("""COMPUTED_VALUE"""),0.573521980798383)</f>
        <v>0.5735219808</v>
      </c>
      <c r="H20" s="8">
        <f>IFERROR(__xludf.DUMMYFUNCTION("""COMPUTED_VALUE"""),0.56614292954891)</f>
        <v>0.5661429295</v>
      </c>
      <c r="I20" s="8">
        <f>IFERROR(__xludf.DUMMYFUNCTION("""COMPUTED_VALUE"""),0.538383324860193)</f>
        <v>0.5383833249</v>
      </c>
      <c r="J20" s="8">
        <f>IFERROR(__xludf.DUMMYFUNCTION("""COMPUTED_VALUE"""),0.507660878447395)</f>
        <v>0.5076608784</v>
      </c>
      <c r="K20" s="8">
        <f>IFERROR(__xludf.DUMMYFUNCTION("""COMPUTED_VALUE"""),0.49769820971867)</f>
        <v>0.4976982097</v>
      </c>
      <c r="L20" s="8">
        <f>IFERROR(__xludf.DUMMYFUNCTION("""COMPUTED_VALUE"""),0.4653312788906)</f>
        <v>0.4653312789</v>
      </c>
      <c r="M20" s="8">
        <f>IFERROR(__xludf.DUMMYFUNCTION("""COMPUTED_VALUE"""),0.44879053010808)</f>
        <v>0.4487905301</v>
      </c>
      <c r="N20" s="8">
        <f>IFERROR(__xludf.DUMMYFUNCTION("""COMPUTED_VALUE"""),0.442317640972581)</f>
        <v>0.442317641</v>
      </c>
      <c r="O20" s="8">
        <f>IFERROR(__xludf.DUMMYFUNCTION("""COMPUTED_VALUE"""),0.402412280701754)</f>
        <v>0.4024122807</v>
      </c>
      <c r="P20" s="8">
        <f>IFERROR(__xludf.DUMMYFUNCTION("""COMPUTED_VALUE"""),0.290640394088669)</f>
        <v>0.2906403941</v>
      </c>
      <c r="Q20" s="8">
        <f>IFERROR(__xludf.DUMMYFUNCTION("""COMPUTED_VALUE"""),0.2223291626564)</f>
        <v>0.2223291627</v>
      </c>
      <c r="R20" s="8">
        <f>IFERROR(__xludf.DUMMYFUNCTION("""COMPUTED_VALUE"""),0.162303664921465)</f>
        <v>0.1623036649</v>
      </c>
      <c r="S20" s="8">
        <f>IFERROR(__xludf.DUMMYFUNCTION("""COMPUTED_VALUE"""),0.0714285714285714)</f>
        <v>0.07142857143</v>
      </c>
      <c r="T20" s="8">
        <f>IFERROR(__xludf.DUMMYFUNCTION("""COMPUTED_VALUE"""),0.0)</f>
        <v>0</v>
      </c>
      <c r="U20" s="8">
        <f>IFERROR(__xludf.DUMMYFUNCTION("""COMPUTED_VALUE"""),0.0)</f>
        <v>0</v>
      </c>
      <c r="V20" s="8">
        <f>IFERROR(__xludf.DUMMYFUNCTION("""COMPUTED_VALUE"""),0.0)</f>
        <v>0</v>
      </c>
      <c r="W20" s="8">
        <f>IFERROR(__xludf.DUMMYFUNCTION("""COMPUTED_VALUE"""),0.0)</f>
        <v>0</v>
      </c>
      <c r="X20" s="8">
        <f>IFERROR(__xludf.DUMMYFUNCTION("""COMPUTED_VALUE"""),0.0)</f>
        <v>0</v>
      </c>
      <c r="Y20" s="8">
        <f>IFERROR(__xludf.DUMMYFUNCTION("""COMPUTED_VALUE"""),0.0)</f>
        <v>0</v>
      </c>
      <c r="Z20" s="8">
        <f>IFERROR(__xludf.DUMMYFUNCTION("""COMPUTED_VALUE"""),0.0)</f>
        <v>0</v>
      </c>
      <c r="AA20" s="8">
        <f>IFERROR(__xludf.DUMMYFUNCTION("""COMPUTED_VALUE"""),0.0)</f>
        <v>0</v>
      </c>
      <c r="AB20" s="8">
        <f>IFERROR(__xludf.DUMMYFUNCTION("""COMPUTED_VALUE"""),0.0)</f>
        <v>0</v>
      </c>
      <c r="AC20" s="8">
        <f>IFERROR(__xludf.DUMMYFUNCTION("""COMPUTED_VALUE"""),0.0)</f>
        <v>0</v>
      </c>
    </row>
    <row r="21" ht="15.75" customHeight="1">
      <c r="A21" s="6" t="str">
        <f>IFERROR(__xludf.DUMMYFUNCTION("""COMPUTED_VALUE"""),"114fed9f0540f90ccc58d03a383c7c69260baeae")</f>
        <v>114fed9f0540f90ccc58d03a383c7c69260baeae</v>
      </c>
      <c r="B21" s="6" t="str">
        <f>IFERROR(__xludf.DUMMYFUNCTION("""COMPUTED_VALUE"""),"Mother's Murder &amp; Secrets")</f>
        <v>Mother's Murder &amp; Secrets</v>
      </c>
      <c r="C21" s="6" t="str">
        <f>IFERROR(__xludf.DUMMYFUNCTION("""COMPUTED_VALUE"""),"Suspense or Thriller")</f>
        <v>Suspense or Thriller</v>
      </c>
      <c r="D21" s="11">
        <f>IFERROR(__xludf.DUMMYFUNCTION("""COMPUTED_VALUE"""),805.0)</f>
        <v>805</v>
      </c>
      <c r="E21" s="8">
        <f>IFERROR(__xludf.DUMMYFUNCTION("""COMPUTED_VALUE"""),0.983850931677018)</f>
        <v>0.9838509317</v>
      </c>
      <c r="F21" s="8">
        <f>IFERROR(__xludf.DUMMYFUNCTION("""COMPUTED_VALUE"""),0.248447204968944)</f>
        <v>0.248447205</v>
      </c>
      <c r="G21" s="8">
        <f>IFERROR(__xludf.DUMMYFUNCTION("""COMPUTED_VALUE"""),0.195273631840796)</f>
        <v>0.1952736318</v>
      </c>
      <c r="H21" s="8">
        <f>IFERROR(__xludf.DUMMYFUNCTION("""COMPUTED_VALUE"""),0.166666666666666)</f>
        <v>0.1666666667</v>
      </c>
      <c r="I21" s="8">
        <f>IFERROR(__xludf.DUMMYFUNCTION("""COMPUTED_VALUE"""),0.143034825870646)</f>
        <v>0.1430348259</v>
      </c>
      <c r="J21" s="8">
        <f>IFERROR(__xludf.DUMMYFUNCTION("""COMPUTED_VALUE"""),0.119402985074626)</f>
        <v>0.1194029851</v>
      </c>
      <c r="K21" s="8">
        <f>IFERROR(__xludf.DUMMYFUNCTION("""COMPUTED_VALUE"""),0.104738154613466)</f>
        <v>0.1047381546</v>
      </c>
      <c r="L21" s="8">
        <f>IFERROR(__xludf.DUMMYFUNCTION("""COMPUTED_VALUE"""),0.0948813982521847)</f>
        <v>0.09488139825</v>
      </c>
      <c r="M21" s="8">
        <f>IFERROR(__xludf.DUMMYFUNCTION("""COMPUTED_VALUE"""),0.0861423220973782)</f>
        <v>0.0861423221</v>
      </c>
      <c r="N21" s="8">
        <f>IFERROR(__xludf.DUMMYFUNCTION("""COMPUTED_VALUE"""),0.0823970037453183)</f>
        <v>0.08239700375</v>
      </c>
      <c r="O21" s="8">
        <f>IFERROR(__xludf.DUMMYFUNCTION("""COMPUTED_VALUE"""),0.0559085133418043)</f>
        <v>0.05590851334</v>
      </c>
      <c r="P21" s="8">
        <f>IFERROR(__xludf.DUMMYFUNCTION("""COMPUTED_VALUE"""),0.0338101430429128)</f>
        <v>0.03381014304</v>
      </c>
      <c r="Q21" s="8">
        <f>IFERROR(__xludf.DUMMYFUNCTION("""COMPUTED_VALUE"""),0.0288713910761154)</f>
        <v>0.02887139108</v>
      </c>
      <c r="R21" s="8">
        <f>IFERROR(__xludf.DUMMYFUNCTION("""COMPUTED_VALUE"""),0.0206043956043956)</f>
        <v>0.0206043956</v>
      </c>
      <c r="S21" s="8">
        <f>IFERROR(__xludf.DUMMYFUNCTION("""COMPUTED_VALUE"""),0.0115107913669064)</f>
        <v>0.01151079137</v>
      </c>
      <c r="T21" s="8">
        <f>IFERROR(__xludf.DUMMYFUNCTION("""COMPUTED_VALUE"""),0.00945179584120983)</f>
        <v>0.009451795841</v>
      </c>
      <c r="U21" s="8">
        <f>IFERROR(__xludf.DUMMYFUNCTION("""COMPUTED_VALUE"""),0.00961538461538461)</f>
        <v>0.009615384615</v>
      </c>
      <c r="V21" s="8">
        <f>IFERROR(__xludf.DUMMYFUNCTION("""COMPUTED_VALUE"""),0.0333333333333333)</f>
        <v>0.03333333333</v>
      </c>
      <c r="W21" s="8">
        <f>IFERROR(__xludf.DUMMYFUNCTION("""COMPUTED_VALUE"""),0.0)</f>
        <v>0</v>
      </c>
      <c r="X21" s="8">
        <f>IFERROR(__xludf.DUMMYFUNCTION("""COMPUTED_VALUE"""),0.0)</f>
        <v>0</v>
      </c>
      <c r="Y21" s="8">
        <f>IFERROR(__xludf.DUMMYFUNCTION("""COMPUTED_VALUE"""),0.0)</f>
        <v>0</v>
      </c>
      <c r="Z21" s="8">
        <f>IFERROR(__xludf.DUMMYFUNCTION("""COMPUTED_VALUE"""),0.0)</f>
        <v>0</v>
      </c>
      <c r="AA21" s="8">
        <f>IFERROR(__xludf.DUMMYFUNCTION("""COMPUTED_VALUE"""),0.0)</f>
        <v>0</v>
      </c>
      <c r="AB21" s="8">
        <f>IFERROR(__xludf.DUMMYFUNCTION("""COMPUTED_VALUE"""),0.0)</f>
        <v>0</v>
      </c>
      <c r="AC21" s="8">
        <f>IFERROR(__xludf.DUMMYFUNCTION("""COMPUTED_VALUE"""),0.0)</f>
        <v>0</v>
      </c>
    </row>
    <row r="22" ht="15.75" customHeight="1">
      <c r="A22" s="6" t="str">
        <f>IFERROR(__xludf.DUMMYFUNCTION("""COMPUTED_VALUE"""),"123964565c4c79c7f1a3737171a0125020300913")</f>
        <v>123964565c4c79c7f1a3737171a0125020300913</v>
      </c>
      <c r="B22" s="6" t="str">
        <f>IFERROR(__xludf.DUMMYFUNCTION("""COMPUTED_VALUE"""),"My Alien Boxing System")</f>
        <v>My Alien Boxing System</v>
      </c>
      <c r="C22" s="6" t="str">
        <f>IFERROR(__xludf.DUMMYFUNCTION("""COMPUTED_VALUE"""),"Fantasy")</f>
        <v>Fantasy</v>
      </c>
      <c r="D22" s="11">
        <f>IFERROR(__xludf.DUMMYFUNCTION("""COMPUTED_VALUE"""),1062.0)</f>
        <v>1062</v>
      </c>
      <c r="E22" s="8">
        <f>IFERROR(__xludf.DUMMYFUNCTION("""COMPUTED_VALUE"""),0.982075471698113)</f>
        <v>0.9820754717</v>
      </c>
      <c r="F22" s="8">
        <f>IFERROR(__xludf.DUMMYFUNCTION("""COMPUTED_VALUE"""),0.57615894039735)</f>
        <v>0.5761589404</v>
      </c>
      <c r="G22" s="8">
        <f>IFERROR(__xludf.DUMMYFUNCTION("""COMPUTED_VALUE"""),0.540719696969697)</f>
        <v>0.540719697</v>
      </c>
      <c r="H22" s="8">
        <f>IFERROR(__xludf.DUMMYFUNCTION("""COMPUTED_VALUE"""),0.478632478632478)</f>
        <v>0.4786324786</v>
      </c>
      <c r="I22" s="8">
        <f>IFERROR(__xludf.DUMMYFUNCTION("""COMPUTED_VALUE"""),0.44095238095238)</f>
        <v>0.440952381</v>
      </c>
      <c r="J22" s="8">
        <f>IFERROR(__xludf.DUMMYFUNCTION("""COMPUTED_VALUE"""),0.380268199233716)</f>
        <v>0.3802681992</v>
      </c>
      <c r="K22" s="8">
        <f>IFERROR(__xludf.DUMMYFUNCTION("""COMPUTED_VALUE"""),0.336538461538461)</f>
        <v>0.3365384615</v>
      </c>
      <c r="L22" s="8">
        <f>IFERROR(__xludf.DUMMYFUNCTION("""COMPUTED_VALUE"""),0.335583413693346)</f>
        <v>0.3355834137</v>
      </c>
      <c r="M22" s="8">
        <f>IFERROR(__xludf.DUMMYFUNCTION("""COMPUTED_VALUE"""),0.312015503875969)</f>
        <v>0.3120155039</v>
      </c>
      <c r="N22" s="8">
        <f>IFERROR(__xludf.DUMMYFUNCTION("""COMPUTED_VALUE"""),0.27405247813411)</f>
        <v>0.2740524781</v>
      </c>
      <c r="O22" s="8">
        <f>IFERROR(__xludf.DUMMYFUNCTION("""COMPUTED_VALUE"""),0.221010901883052)</f>
        <v>0.2210109019</v>
      </c>
      <c r="P22" s="8">
        <f>IFERROR(__xludf.DUMMYFUNCTION("""COMPUTED_VALUE"""),0.15796178343949)</f>
        <v>0.1579617834</v>
      </c>
      <c r="Q22" s="8">
        <f>IFERROR(__xludf.DUMMYFUNCTION("""COMPUTED_VALUE"""),0.08)</f>
        <v>0.08</v>
      </c>
      <c r="R22" s="8">
        <f>IFERROR(__xludf.DUMMYFUNCTION("""COMPUTED_VALUE"""),0.0)</f>
        <v>0</v>
      </c>
      <c r="S22" s="8">
        <f>IFERROR(__xludf.DUMMYFUNCTION("""COMPUTED_VALUE"""),0.0)</f>
        <v>0</v>
      </c>
      <c r="T22" s="8">
        <f>IFERROR(__xludf.DUMMYFUNCTION("""COMPUTED_VALUE"""),0.0)</f>
        <v>0</v>
      </c>
      <c r="U22" s="8">
        <f>IFERROR(__xludf.DUMMYFUNCTION("""COMPUTED_VALUE"""),0.0)</f>
        <v>0</v>
      </c>
      <c r="V22" s="8">
        <f>IFERROR(__xludf.DUMMYFUNCTION("""COMPUTED_VALUE"""),0.0)</f>
        <v>0</v>
      </c>
      <c r="W22" s="8">
        <f>IFERROR(__xludf.DUMMYFUNCTION("""COMPUTED_VALUE"""),0.0)</f>
        <v>0</v>
      </c>
      <c r="X22" s="8">
        <f>IFERROR(__xludf.DUMMYFUNCTION("""COMPUTED_VALUE"""),0.0)</f>
        <v>0</v>
      </c>
      <c r="Y22" s="8">
        <f>IFERROR(__xludf.DUMMYFUNCTION("""COMPUTED_VALUE"""),0.0)</f>
        <v>0</v>
      </c>
      <c r="Z22" s="8">
        <f>IFERROR(__xludf.DUMMYFUNCTION("""COMPUTED_VALUE"""),0.0)</f>
        <v>0</v>
      </c>
      <c r="AA22" s="8">
        <f>IFERROR(__xludf.DUMMYFUNCTION("""COMPUTED_VALUE"""),0.0)</f>
        <v>0</v>
      </c>
      <c r="AB22" s="8">
        <f>IFERROR(__xludf.DUMMYFUNCTION("""COMPUTED_VALUE"""),0.0)</f>
        <v>0</v>
      </c>
      <c r="AC22" s="8">
        <f>IFERROR(__xludf.DUMMYFUNCTION("""COMPUTED_VALUE"""),0.0)</f>
        <v>0</v>
      </c>
    </row>
    <row r="23" ht="15.75" customHeight="1">
      <c r="A23" s="6" t="str">
        <f>IFERROR(__xludf.DUMMYFUNCTION("""COMPUTED_VALUE"""),"158669d764d53a995f111683b8700642d7c4847c")</f>
        <v>158669d764d53a995f111683b8700642d7c4847c</v>
      </c>
      <c r="B23" s="6" t="str">
        <f>IFERROR(__xludf.DUMMYFUNCTION("""COMPUTED_VALUE"""),"The Silent Wife Strikes")</f>
        <v>The Silent Wife Strikes</v>
      </c>
      <c r="C23" s="6" t="str">
        <f>IFERROR(__xludf.DUMMYFUNCTION("""COMPUTED_VALUE"""),"Romance")</f>
        <v>Romance</v>
      </c>
      <c r="D23" s="11">
        <f>IFERROR(__xludf.DUMMYFUNCTION("""COMPUTED_VALUE"""),278.0)</f>
        <v>278</v>
      </c>
      <c r="E23" s="8">
        <f>IFERROR(__xludf.DUMMYFUNCTION("""COMPUTED_VALUE"""),0.960431654676259)</f>
        <v>0.9604316547</v>
      </c>
      <c r="F23" s="8">
        <f>IFERROR(__xludf.DUMMYFUNCTION("""COMPUTED_VALUE"""),0.503597122302158)</f>
        <v>0.5035971223</v>
      </c>
      <c r="G23" s="8">
        <f>IFERROR(__xludf.DUMMYFUNCTION("""COMPUTED_VALUE"""),0.447653429602888)</f>
        <v>0.4476534296</v>
      </c>
      <c r="H23" s="8">
        <f>IFERROR(__xludf.DUMMYFUNCTION("""COMPUTED_VALUE"""),0.392727272727272)</f>
        <v>0.3927272727</v>
      </c>
      <c r="I23" s="8">
        <f>IFERROR(__xludf.DUMMYFUNCTION("""COMPUTED_VALUE"""),0.33090909090909)</f>
        <v>0.3309090909</v>
      </c>
      <c r="J23" s="8">
        <f>IFERROR(__xludf.DUMMYFUNCTION("""COMPUTED_VALUE"""),0.327272727272727)</f>
        <v>0.3272727273</v>
      </c>
      <c r="K23" s="8">
        <f>IFERROR(__xludf.DUMMYFUNCTION("""COMPUTED_VALUE"""),0.305454545454545)</f>
        <v>0.3054545455</v>
      </c>
      <c r="L23" s="8">
        <f>IFERROR(__xludf.DUMMYFUNCTION("""COMPUTED_VALUE"""),0.266423357664233)</f>
        <v>0.2664233577</v>
      </c>
      <c r="M23" s="8">
        <f>IFERROR(__xludf.DUMMYFUNCTION("""COMPUTED_VALUE"""),0.274725274725274)</f>
        <v>0.2747252747</v>
      </c>
      <c r="N23" s="8">
        <f>IFERROR(__xludf.DUMMYFUNCTION("""COMPUTED_VALUE"""),0.241758241758241)</f>
        <v>0.2417582418</v>
      </c>
      <c r="O23" s="8">
        <f>IFERROR(__xludf.DUMMYFUNCTION("""COMPUTED_VALUE"""),0.19626168224299)</f>
        <v>0.1962616822</v>
      </c>
      <c r="P23" s="8">
        <f>IFERROR(__xludf.DUMMYFUNCTION("""COMPUTED_VALUE"""),0.112676056338028)</f>
        <v>0.1126760563</v>
      </c>
      <c r="Q23" s="8">
        <f>IFERROR(__xludf.DUMMYFUNCTION("""COMPUTED_VALUE"""),0.0957446808510638)</f>
        <v>0.09574468085</v>
      </c>
      <c r="R23" s="8">
        <f>IFERROR(__xludf.DUMMYFUNCTION("""COMPUTED_VALUE"""),0.0121951219512195)</f>
        <v>0.01219512195</v>
      </c>
      <c r="S23" s="8">
        <f>IFERROR(__xludf.DUMMYFUNCTION("""COMPUTED_VALUE"""),0.0)</f>
        <v>0</v>
      </c>
      <c r="T23" s="8">
        <f>IFERROR(__xludf.DUMMYFUNCTION("""COMPUTED_VALUE"""),0.0)</f>
        <v>0</v>
      </c>
      <c r="U23" s="8">
        <f>IFERROR(__xludf.DUMMYFUNCTION("""COMPUTED_VALUE"""),0.0)</f>
        <v>0</v>
      </c>
      <c r="V23" s="8">
        <f>IFERROR(__xludf.DUMMYFUNCTION("""COMPUTED_VALUE"""),0.0)</f>
        <v>0</v>
      </c>
      <c r="W23" s="8">
        <f>IFERROR(__xludf.DUMMYFUNCTION("""COMPUTED_VALUE"""),0.0)</f>
        <v>0</v>
      </c>
      <c r="X23" s="8">
        <f>IFERROR(__xludf.DUMMYFUNCTION("""COMPUTED_VALUE"""),0.0)</f>
        <v>0</v>
      </c>
      <c r="Y23" s="8">
        <f>IFERROR(__xludf.DUMMYFUNCTION("""COMPUTED_VALUE"""),0.0)</f>
        <v>0</v>
      </c>
      <c r="Z23" s="8">
        <f>IFERROR(__xludf.DUMMYFUNCTION("""COMPUTED_VALUE"""),0.0)</f>
        <v>0</v>
      </c>
      <c r="AA23" s="8">
        <f>IFERROR(__xludf.DUMMYFUNCTION("""COMPUTED_VALUE"""),0.0)</f>
        <v>0</v>
      </c>
      <c r="AB23" s="8">
        <f>IFERROR(__xludf.DUMMYFUNCTION("""COMPUTED_VALUE"""),0.0)</f>
        <v>0</v>
      </c>
      <c r="AC23" s="8">
        <f>IFERROR(__xludf.DUMMYFUNCTION("""COMPUTED_VALUE"""),0.0)</f>
        <v>0</v>
      </c>
    </row>
    <row r="24" ht="15.75" customHeight="1">
      <c r="A24" s="6" t="str">
        <f>IFERROR(__xludf.DUMMYFUNCTION("""COMPUTED_VALUE"""),"170bf0ee514e18fe892383ebee0f53a0f634136f")</f>
        <v>170bf0ee514e18fe892383ebee0f53a0f634136f</v>
      </c>
      <c r="B24" s="6" t="str">
        <f>IFERROR(__xludf.DUMMYFUNCTION("""COMPUTED_VALUE"""),"Started From the Bottom")</f>
        <v>Started From the Bottom</v>
      </c>
      <c r="C24" s="6" t="str">
        <f>IFERROR(__xludf.DUMMYFUNCTION("""COMPUTED_VALUE"""),"Drama")</f>
        <v>Drama</v>
      </c>
      <c r="D24" s="11">
        <f>IFERROR(__xludf.DUMMYFUNCTION("""COMPUTED_VALUE"""),24.0)</f>
        <v>24</v>
      </c>
      <c r="E24" s="8">
        <f>IFERROR(__xludf.DUMMYFUNCTION("""COMPUTED_VALUE"""),0.904761904761904)</f>
        <v>0.9047619048</v>
      </c>
      <c r="F24" s="8">
        <f>IFERROR(__xludf.DUMMYFUNCTION("""COMPUTED_VALUE"""),0.0)</f>
        <v>0</v>
      </c>
      <c r="G24" s="8">
        <f>IFERROR(__xludf.DUMMYFUNCTION("""COMPUTED_VALUE"""),0.0)</f>
        <v>0</v>
      </c>
      <c r="H24" s="8">
        <f>IFERROR(__xludf.DUMMYFUNCTION("""COMPUTED_VALUE"""),0.0)</f>
        <v>0</v>
      </c>
      <c r="I24" s="8">
        <f>IFERROR(__xludf.DUMMYFUNCTION("""COMPUTED_VALUE"""),0.0)</f>
        <v>0</v>
      </c>
      <c r="J24" s="8">
        <f>IFERROR(__xludf.DUMMYFUNCTION("""COMPUTED_VALUE"""),0.157894736842105)</f>
        <v>0.1578947368</v>
      </c>
      <c r="K24" s="8">
        <f>IFERROR(__xludf.DUMMYFUNCTION("""COMPUTED_VALUE"""),0.0526315789473684)</f>
        <v>0.05263157895</v>
      </c>
      <c r="L24" s="8">
        <f>IFERROR(__xludf.DUMMYFUNCTION("""COMPUTED_VALUE"""),0.0)</f>
        <v>0</v>
      </c>
      <c r="M24" s="8">
        <f>IFERROR(__xludf.DUMMYFUNCTION("""COMPUTED_VALUE"""),0.0)</f>
        <v>0</v>
      </c>
      <c r="N24" s="8">
        <f>IFERROR(__xludf.DUMMYFUNCTION("""COMPUTED_VALUE"""),0.0)</f>
        <v>0</v>
      </c>
      <c r="O24" s="8">
        <f>IFERROR(__xludf.DUMMYFUNCTION("""COMPUTED_VALUE"""),0.0)</f>
        <v>0</v>
      </c>
      <c r="P24" s="8">
        <f>IFERROR(__xludf.DUMMYFUNCTION("""COMPUTED_VALUE"""),0.0)</f>
        <v>0</v>
      </c>
      <c r="Q24" s="8">
        <f>IFERROR(__xludf.DUMMYFUNCTION("""COMPUTED_VALUE"""),0.0)</f>
        <v>0</v>
      </c>
      <c r="R24" s="8">
        <f>IFERROR(__xludf.DUMMYFUNCTION("""COMPUTED_VALUE"""),0.0)</f>
        <v>0</v>
      </c>
      <c r="S24" s="8">
        <f>IFERROR(__xludf.DUMMYFUNCTION("""COMPUTED_VALUE"""),0.0)</f>
        <v>0</v>
      </c>
      <c r="T24" s="8">
        <f>IFERROR(__xludf.DUMMYFUNCTION("""COMPUTED_VALUE"""),0.0)</f>
        <v>0</v>
      </c>
      <c r="U24" s="8">
        <f>IFERROR(__xludf.DUMMYFUNCTION("""COMPUTED_VALUE"""),0.0)</f>
        <v>0</v>
      </c>
      <c r="V24" s="8">
        <f>IFERROR(__xludf.DUMMYFUNCTION("""COMPUTED_VALUE"""),0.0)</f>
        <v>0</v>
      </c>
      <c r="W24" s="8">
        <f>IFERROR(__xludf.DUMMYFUNCTION("""COMPUTED_VALUE"""),0.0)</f>
        <v>0</v>
      </c>
      <c r="X24" s="8">
        <f>IFERROR(__xludf.DUMMYFUNCTION("""COMPUTED_VALUE"""),0.0)</f>
        <v>0</v>
      </c>
      <c r="Y24" s="8">
        <f>IFERROR(__xludf.DUMMYFUNCTION("""COMPUTED_VALUE"""),0.0)</f>
        <v>0</v>
      </c>
      <c r="Z24" s="8">
        <f>IFERROR(__xludf.DUMMYFUNCTION("""COMPUTED_VALUE"""),0.0)</f>
        <v>0</v>
      </c>
      <c r="AA24" s="8">
        <f>IFERROR(__xludf.DUMMYFUNCTION("""COMPUTED_VALUE"""),0.0)</f>
        <v>0</v>
      </c>
      <c r="AB24" s="8">
        <f>IFERROR(__xludf.DUMMYFUNCTION("""COMPUTED_VALUE"""),0.0)</f>
        <v>0</v>
      </c>
      <c r="AC24" s="8">
        <f>IFERROR(__xludf.DUMMYFUNCTION("""COMPUTED_VALUE"""),0.0)</f>
        <v>0</v>
      </c>
    </row>
    <row r="25" ht="15.75" customHeight="1">
      <c r="A25" s="6" t="str">
        <f>IFERROR(__xludf.DUMMYFUNCTION("""COMPUTED_VALUE"""),"184b660f61809850b4478d5bf89e9d10794578ee")</f>
        <v>184b660f61809850b4478d5bf89e9d10794578ee</v>
      </c>
      <c r="B25" s="6" t="str">
        <f>IFERROR(__xludf.DUMMYFUNCTION("""COMPUTED_VALUE"""),"Playing with Fire")</f>
        <v>Playing with Fire</v>
      </c>
      <c r="C25" s="6" t="str">
        <f>IFERROR(__xludf.DUMMYFUNCTION("""COMPUTED_VALUE"""),"Romance")</f>
        <v>Romance</v>
      </c>
      <c r="D25" s="11">
        <f>IFERROR(__xludf.DUMMYFUNCTION("""COMPUTED_VALUE"""),55.0)</f>
        <v>55</v>
      </c>
      <c r="E25" s="8">
        <f>IFERROR(__xludf.DUMMYFUNCTION("""COMPUTED_VALUE"""),0.888888888888888)</f>
        <v>0.8888888889</v>
      </c>
      <c r="F25" s="8">
        <f>IFERROR(__xludf.DUMMYFUNCTION("""COMPUTED_VALUE"""),0.259259259259259)</f>
        <v>0.2592592593</v>
      </c>
      <c r="G25" s="8">
        <f>IFERROR(__xludf.DUMMYFUNCTION("""COMPUTED_VALUE"""),0.203703703703703)</f>
        <v>0.2037037037</v>
      </c>
      <c r="H25" s="8">
        <f>IFERROR(__xludf.DUMMYFUNCTION("""COMPUTED_VALUE"""),0.148148148148148)</f>
        <v>0.1481481481</v>
      </c>
      <c r="I25" s="8">
        <f>IFERROR(__xludf.DUMMYFUNCTION("""COMPUTED_VALUE"""),0.148148148148148)</f>
        <v>0.1481481481</v>
      </c>
      <c r="J25" s="8">
        <f>IFERROR(__xludf.DUMMYFUNCTION("""COMPUTED_VALUE"""),0.129629629629629)</f>
        <v>0.1296296296</v>
      </c>
      <c r="K25" s="8">
        <f>IFERROR(__xludf.DUMMYFUNCTION("""COMPUTED_VALUE"""),0.129629629629629)</f>
        <v>0.1296296296</v>
      </c>
      <c r="L25" s="8">
        <f>IFERROR(__xludf.DUMMYFUNCTION("""COMPUTED_VALUE"""),0.111111111111111)</f>
        <v>0.1111111111</v>
      </c>
      <c r="M25" s="8">
        <f>IFERROR(__xludf.DUMMYFUNCTION("""COMPUTED_VALUE"""),0.074074074074074)</f>
        <v>0.07407407407</v>
      </c>
      <c r="N25" s="8">
        <f>IFERROR(__xludf.DUMMYFUNCTION("""COMPUTED_VALUE"""),0.074074074074074)</f>
        <v>0.07407407407</v>
      </c>
      <c r="O25" s="8">
        <f>IFERROR(__xludf.DUMMYFUNCTION("""COMPUTED_VALUE"""),0.0754716981132075)</f>
        <v>0.07547169811</v>
      </c>
      <c r="P25" s="8">
        <f>IFERROR(__xludf.DUMMYFUNCTION("""COMPUTED_VALUE"""),0.0188679245283018)</f>
        <v>0.01886792453</v>
      </c>
      <c r="Q25" s="8">
        <f>IFERROR(__xludf.DUMMYFUNCTION("""COMPUTED_VALUE"""),0.0)</f>
        <v>0</v>
      </c>
      <c r="R25" s="8">
        <f>IFERROR(__xludf.DUMMYFUNCTION("""COMPUTED_VALUE"""),0.0)</f>
        <v>0</v>
      </c>
      <c r="S25" s="8">
        <f>IFERROR(__xludf.DUMMYFUNCTION("""COMPUTED_VALUE"""),0.0)</f>
        <v>0</v>
      </c>
      <c r="T25" s="8">
        <f>IFERROR(__xludf.DUMMYFUNCTION("""COMPUTED_VALUE"""),0.0)</f>
        <v>0</v>
      </c>
      <c r="U25" s="8">
        <f>IFERROR(__xludf.DUMMYFUNCTION("""COMPUTED_VALUE"""),0.0)</f>
        <v>0</v>
      </c>
      <c r="V25" s="8">
        <f>IFERROR(__xludf.DUMMYFUNCTION("""COMPUTED_VALUE"""),0.0)</f>
        <v>0</v>
      </c>
      <c r="W25" s="8">
        <f>IFERROR(__xludf.DUMMYFUNCTION("""COMPUTED_VALUE"""),0.0)</f>
        <v>0</v>
      </c>
      <c r="X25" s="8">
        <f>IFERROR(__xludf.DUMMYFUNCTION("""COMPUTED_VALUE"""),0.0)</f>
        <v>0</v>
      </c>
      <c r="Y25" s="8">
        <f>IFERROR(__xludf.DUMMYFUNCTION("""COMPUTED_VALUE"""),0.0)</f>
        <v>0</v>
      </c>
      <c r="Z25" s="8">
        <f>IFERROR(__xludf.DUMMYFUNCTION("""COMPUTED_VALUE"""),0.0)</f>
        <v>0</v>
      </c>
      <c r="AA25" s="8">
        <f>IFERROR(__xludf.DUMMYFUNCTION("""COMPUTED_VALUE"""),0.0)</f>
        <v>0</v>
      </c>
      <c r="AB25" s="8">
        <f>IFERROR(__xludf.DUMMYFUNCTION("""COMPUTED_VALUE"""),0.0)</f>
        <v>0</v>
      </c>
      <c r="AC25" s="8">
        <f>IFERROR(__xludf.DUMMYFUNCTION("""COMPUTED_VALUE"""),0.0)</f>
        <v>0</v>
      </c>
    </row>
    <row r="26" ht="15.75" customHeight="1">
      <c r="A26" s="6" t="str">
        <f>IFERROR(__xludf.DUMMYFUNCTION("""COMPUTED_VALUE"""),"19153cd9dd2e137f1311235c9104db0ecba38abb")</f>
        <v>19153cd9dd2e137f1311235c9104db0ecba38abb</v>
      </c>
      <c r="B26" s="6" t="str">
        <f>IFERROR(__xludf.DUMMYFUNCTION("""COMPUTED_VALUE"""),"My Apex Trading System")</f>
        <v>My Apex Trading System</v>
      </c>
      <c r="C26" s="6" t="str">
        <f>IFERROR(__xludf.DUMMYFUNCTION("""COMPUTED_VALUE"""),"Sci-Fi")</f>
        <v>Sci-Fi</v>
      </c>
      <c r="D26" s="11">
        <f>IFERROR(__xludf.DUMMYFUNCTION("""COMPUTED_VALUE"""),987.0)</f>
        <v>987</v>
      </c>
      <c r="E26" s="8">
        <f>IFERROR(__xludf.DUMMYFUNCTION("""COMPUTED_VALUE"""),0.980066445182724)</f>
        <v>0.9800664452</v>
      </c>
      <c r="F26" s="8">
        <f>IFERROR(__xludf.DUMMYFUNCTION("""COMPUTED_VALUE"""),0.582597730138713)</f>
        <v>0.5825977301</v>
      </c>
      <c r="G26" s="8">
        <f>IFERROR(__xludf.DUMMYFUNCTION("""COMPUTED_VALUE"""),0.49090909090909)</f>
        <v>0.4909090909</v>
      </c>
      <c r="H26" s="8">
        <f>IFERROR(__xludf.DUMMYFUNCTION("""COMPUTED_VALUE"""),0.463519313304721)</f>
        <v>0.4635193133</v>
      </c>
      <c r="I26" s="8">
        <f>IFERROR(__xludf.DUMMYFUNCTION("""COMPUTED_VALUE"""),0.437593984962406)</f>
        <v>0.437593985</v>
      </c>
      <c r="J26" s="8">
        <f>IFERROR(__xludf.DUMMYFUNCTION("""COMPUTED_VALUE"""),0.427652733118971)</f>
        <v>0.4276527331</v>
      </c>
      <c r="K26" s="8">
        <f>IFERROR(__xludf.DUMMYFUNCTION("""COMPUTED_VALUE"""),0.406837606837606)</f>
        <v>0.4068376068</v>
      </c>
      <c r="L26" s="8">
        <f>IFERROR(__xludf.DUMMYFUNCTION("""COMPUTED_VALUE"""),0.404517453798767)</f>
        <v>0.4045174538</v>
      </c>
      <c r="M26" s="8">
        <f>IFERROR(__xludf.DUMMYFUNCTION("""COMPUTED_VALUE"""),0.350588235294117)</f>
        <v>0.3505882353</v>
      </c>
      <c r="N26" s="8">
        <f>IFERROR(__xludf.DUMMYFUNCTION("""COMPUTED_VALUE"""),0.332335329341317)</f>
        <v>0.3323353293</v>
      </c>
      <c r="O26" s="8">
        <f>IFERROR(__xludf.DUMMYFUNCTION("""COMPUTED_VALUE"""),0.25)</f>
        <v>0.25</v>
      </c>
      <c r="P26" s="8">
        <f>IFERROR(__xludf.DUMMYFUNCTION("""COMPUTED_VALUE"""),0.111111111111111)</f>
        <v>0.1111111111</v>
      </c>
      <c r="Q26" s="8">
        <f>IFERROR(__xludf.DUMMYFUNCTION("""COMPUTED_VALUE"""),0.0)</f>
        <v>0</v>
      </c>
      <c r="R26" s="8">
        <f>IFERROR(__xludf.DUMMYFUNCTION("""COMPUTED_VALUE"""),0.0)</f>
        <v>0</v>
      </c>
      <c r="S26" s="8">
        <f>IFERROR(__xludf.DUMMYFUNCTION("""COMPUTED_VALUE"""),0.0)</f>
        <v>0</v>
      </c>
      <c r="T26" s="8">
        <f>IFERROR(__xludf.DUMMYFUNCTION("""COMPUTED_VALUE"""),0.0)</f>
        <v>0</v>
      </c>
      <c r="U26" s="8">
        <f>IFERROR(__xludf.DUMMYFUNCTION("""COMPUTED_VALUE"""),0.0)</f>
        <v>0</v>
      </c>
      <c r="V26" s="8">
        <f>IFERROR(__xludf.DUMMYFUNCTION("""COMPUTED_VALUE"""),0.0)</f>
        <v>0</v>
      </c>
      <c r="W26" s="8">
        <f>IFERROR(__xludf.DUMMYFUNCTION("""COMPUTED_VALUE"""),0.0)</f>
        <v>0</v>
      </c>
      <c r="X26" s="8">
        <f>IFERROR(__xludf.DUMMYFUNCTION("""COMPUTED_VALUE"""),0.0)</f>
        <v>0</v>
      </c>
      <c r="Y26" s="8">
        <f>IFERROR(__xludf.DUMMYFUNCTION("""COMPUTED_VALUE"""),0.0)</f>
        <v>0</v>
      </c>
      <c r="Z26" s="8">
        <f>IFERROR(__xludf.DUMMYFUNCTION("""COMPUTED_VALUE"""),0.0)</f>
        <v>0</v>
      </c>
      <c r="AA26" s="8">
        <f>IFERROR(__xludf.DUMMYFUNCTION("""COMPUTED_VALUE"""),0.0)</f>
        <v>0</v>
      </c>
      <c r="AB26" s="8">
        <f>IFERROR(__xludf.DUMMYFUNCTION("""COMPUTED_VALUE"""),0.0)</f>
        <v>0</v>
      </c>
      <c r="AC26" s="8">
        <f>IFERROR(__xludf.DUMMYFUNCTION("""COMPUTED_VALUE"""),0.0)</f>
        <v>0</v>
      </c>
    </row>
    <row r="27" ht="15.75" customHeight="1">
      <c r="A27" s="6" t="str">
        <f>IFERROR(__xludf.DUMMYFUNCTION("""COMPUTED_VALUE"""),"1a5df306886a7b0e7736ec2c8efad3467507a1c6")</f>
        <v>1a5df306886a7b0e7736ec2c8efad3467507a1c6</v>
      </c>
      <c r="B27" s="6" t="str">
        <f>IFERROR(__xludf.DUMMYFUNCTION("""COMPUTED_VALUE"""),"Billionaire Bentley’s Runaway Princess")</f>
        <v>Billionaire Bentley’s Runaway Princess</v>
      </c>
      <c r="C27" s="6" t="str">
        <f>IFERROR(__xludf.DUMMYFUNCTION("""COMPUTED_VALUE"""),"Romance")</f>
        <v>Romance</v>
      </c>
      <c r="D27" s="11">
        <f>IFERROR(__xludf.DUMMYFUNCTION("""COMPUTED_VALUE"""),2010.0)</f>
        <v>2010</v>
      </c>
      <c r="E27" s="8">
        <f>IFERROR(__xludf.DUMMYFUNCTION("""COMPUTED_VALUE"""),0.944748631159781)</f>
        <v>0.9447486312</v>
      </c>
      <c r="F27" s="8">
        <f>IFERROR(__xludf.DUMMYFUNCTION("""COMPUTED_VALUE"""),0.420109507217521)</f>
        <v>0.4201095072</v>
      </c>
      <c r="G27" s="8">
        <f>IFERROR(__xludf.DUMMYFUNCTION("""COMPUTED_VALUE"""),0.370333499253359)</f>
        <v>0.3703334993</v>
      </c>
      <c r="H27" s="8">
        <f>IFERROR(__xludf.DUMMYFUNCTION("""COMPUTED_VALUE"""),0.339641434262948)</f>
        <v>0.3396414343</v>
      </c>
      <c r="I27" s="8">
        <f>IFERROR(__xludf.DUMMYFUNCTION("""COMPUTED_VALUE"""),0.320876930742401)</f>
        <v>0.3208769307</v>
      </c>
      <c r="J27" s="8">
        <f>IFERROR(__xludf.DUMMYFUNCTION("""COMPUTED_VALUE"""),0.301595214356929)</f>
        <v>0.3015952144</v>
      </c>
      <c r="K27" s="8">
        <f>IFERROR(__xludf.DUMMYFUNCTION("""COMPUTED_VALUE"""),0.283649052841475)</f>
        <v>0.2836490528</v>
      </c>
      <c r="L27" s="8">
        <f>IFERROR(__xludf.DUMMYFUNCTION("""COMPUTED_VALUE"""),0.269690927218345)</f>
        <v>0.2696909272</v>
      </c>
      <c r="M27" s="8">
        <f>IFERROR(__xludf.DUMMYFUNCTION("""COMPUTED_VALUE"""),0.247381546134663)</f>
        <v>0.2473815461</v>
      </c>
      <c r="N27" s="8">
        <f>IFERROR(__xludf.DUMMYFUNCTION("""COMPUTED_VALUE"""),0.248502994011976)</f>
        <v>0.248502994</v>
      </c>
      <c r="O27" s="8">
        <f>IFERROR(__xludf.DUMMYFUNCTION("""COMPUTED_VALUE"""),0.198792148968293)</f>
        <v>0.198792149</v>
      </c>
      <c r="P27" s="8">
        <f>IFERROR(__xludf.DUMMYFUNCTION("""COMPUTED_VALUE"""),0.159602302459445)</f>
        <v>0.1596023025</v>
      </c>
      <c r="Q27" s="8">
        <f>IFERROR(__xludf.DUMMYFUNCTION("""COMPUTED_VALUE"""),0.137130801687763)</f>
        <v>0.1371308017</v>
      </c>
      <c r="R27" s="8">
        <f>IFERROR(__xludf.DUMMYFUNCTION("""COMPUTED_VALUE"""),0.0)</f>
        <v>0</v>
      </c>
      <c r="S27" s="8">
        <f>IFERROR(__xludf.DUMMYFUNCTION("""COMPUTED_VALUE"""),0.0)</f>
        <v>0</v>
      </c>
      <c r="T27" s="8">
        <f>IFERROR(__xludf.DUMMYFUNCTION("""COMPUTED_VALUE"""),0.0)</f>
        <v>0</v>
      </c>
      <c r="U27" s="8">
        <f>IFERROR(__xludf.DUMMYFUNCTION("""COMPUTED_VALUE"""),0.0)</f>
        <v>0</v>
      </c>
      <c r="V27" s="8">
        <f>IFERROR(__xludf.DUMMYFUNCTION("""COMPUTED_VALUE"""),0.0)</f>
        <v>0</v>
      </c>
      <c r="W27" s="8">
        <f>IFERROR(__xludf.DUMMYFUNCTION("""COMPUTED_VALUE"""),0.0)</f>
        <v>0</v>
      </c>
      <c r="X27" s="8">
        <f>IFERROR(__xludf.DUMMYFUNCTION("""COMPUTED_VALUE"""),0.0)</f>
        <v>0</v>
      </c>
      <c r="Y27" s="8">
        <f>IFERROR(__xludf.DUMMYFUNCTION("""COMPUTED_VALUE"""),0.0)</f>
        <v>0</v>
      </c>
      <c r="Z27" s="8">
        <f>IFERROR(__xludf.DUMMYFUNCTION("""COMPUTED_VALUE"""),0.0)</f>
        <v>0</v>
      </c>
      <c r="AA27" s="8">
        <f>IFERROR(__xludf.DUMMYFUNCTION("""COMPUTED_VALUE"""),0.0)</f>
        <v>0</v>
      </c>
      <c r="AB27" s="8">
        <f>IFERROR(__xludf.DUMMYFUNCTION("""COMPUTED_VALUE"""),0.0)</f>
        <v>0</v>
      </c>
      <c r="AC27" s="8">
        <f>IFERROR(__xludf.DUMMYFUNCTION("""COMPUTED_VALUE"""),0.0)</f>
        <v>0</v>
      </c>
    </row>
    <row r="28" ht="15.75" customHeight="1">
      <c r="A28" s="6" t="str">
        <f>IFERROR(__xludf.DUMMYFUNCTION("""COMPUTED_VALUE"""),"1b5acb214bfe00156d933b176eef6987dcf9aa8c")</f>
        <v>1b5acb214bfe00156d933b176eef6987dcf9aa8c</v>
      </c>
      <c r="B28" s="6" t="str">
        <f>IFERROR(__xludf.DUMMYFUNCTION("""COMPUTED_VALUE"""),"The Night Forgotten by Us")</f>
        <v>The Night Forgotten by Us</v>
      </c>
      <c r="C28" s="6" t="str">
        <f>IFERROR(__xludf.DUMMYFUNCTION("""COMPUTED_VALUE"""),"Romance")</f>
        <v>Romance</v>
      </c>
      <c r="D28" s="11">
        <f>IFERROR(__xludf.DUMMYFUNCTION("""COMPUTED_VALUE"""),402.0)</f>
        <v>402</v>
      </c>
      <c r="E28" s="8">
        <f>IFERROR(__xludf.DUMMYFUNCTION("""COMPUTED_VALUE"""),0.970149253731343)</f>
        <v>0.9701492537</v>
      </c>
      <c r="F28" s="8">
        <f>IFERROR(__xludf.DUMMYFUNCTION("""COMPUTED_VALUE"""),0.4875)</f>
        <v>0.4875</v>
      </c>
      <c r="G28" s="8">
        <f>IFERROR(__xludf.DUMMYFUNCTION("""COMPUTED_VALUE"""),0.445)</f>
        <v>0.445</v>
      </c>
      <c r="H28" s="8">
        <f>IFERROR(__xludf.DUMMYFUNCTION("""COMPUTED_VALUE"""),0.4025)</f>
        <v>0.4025</v>
      </c>
      <c r="I28" s="8">
        <f>IFERROR(__xludf.DUMMYFUNCTION("""COMPUTED_VALUE"""),0.3775)</f>
        <v>0.3775</v>
      </c>
      <c r="J28" s="8">
        <f>IFERROR(__xludf.DUMMYFUNCTION("""COMPUTED_VALUE"""),0.365)</f>
        <v>0.365</v>
      </c>
      <c r="K28" s="8">
        <f>IFERROR(__xludf.DUMMYFUNCTION("""COMPUTED_VALUE"""),0.355)</f>
        <v>0.355</v>
      </c>
      <c r="L28" s="8">
        <f>IFERROR(__xludf.DUMMYFUNCTION("""COMPUTED_VALUE"""),0.34)</f>
        <v>0.34</v>
      </c>
      <c r="M28" s="8">
        <f>IFERROR(__xludf.DUMMYFUNCTION("""COMPUTED_VALUE"""),0.323308270676691)</f>
        <v>0.3233082707</v>
      </c>
      <c r="N28" s="8">
        <f>IFERROR(__xludf.DUMMYFUNCTION("""COMPUTED_VALUE"""),0.31829573934837)</f>
        <v>0.3182957393</v>
      </c>
      <c r="O28" s="8">
        <f>IFERROR(__xludf.DUMMYFUNCTION("""COMPUTED_VALUE"""),0.303108808290155)</f>
        <v>0.3031088083</v>
      </c>
      <c r="P28" s="8">
        <f>IFERROR(__xludf.DUMMYFUNCTION("""COMPUTED_VALUE"""),0.230061349693251)</f>
        <v>0.2300613497</v>
      </c>
      <c r="Q28" s="8">
        <f>IFERROR(__xludf.DUMMYFUNCTION("""COMPUTED_VALUE"""),0.174757281553398)</f>
        <v>0.1747572816</v>
      </c>
      <c r="R28" s="8">
        <f>IFERROR(__xludf.DUMMYFUNCTION("""COMPUTED_VALUE"""),0.0)</f>
        <v>0</v>
      </c>
      <c r="S28" s="8">
        <f>IFERROR(__xludf.DUMMYFUNCTION("""COMPUTED_VALUE"""),0.0)</f>
        <v>0</v>
      </c>
      <c r="T28" s="8">
        <f>IFERROR(__xludf.DUMMYFUNCTION("""COMPUTED_VALUE"""),0.0)</f>
        <v>0</v>
      </c>
      <c r="U28" s="8">
        <f>IFERROR(__xludf.DUMMYFUNCTION("""COMPUTED_VALUE"""),0.0)</f>
        <v>0</v>
      </c>
      <c r="V28" s="8">
        <f>IFERROR(__xludf.DUMMYFUNCTION("""COMPUTED_VALUE"""),0.0)</f>
        <v>0</v>
      </c>
      <c r="W28" s="8">
        <f>IFERROR(__xludf.DUMMYFUNCTION("""COMPUTED_VALUE"""),0.0)</f>
        <v>0</v>
      </c>
      <c r="X28" s="8">
        <f>IFERROR(__xludf.DUMMYFUNCTION("""COMPUTED_VALUE"""),0.0)</f>
        <v>0</v>
      </c>
      <c r="Y28" s="8">
        <f>IFERROR(__xludf.DUMMYFUNCTION("""COMPUTED_VALUE"""),0.0)</f>
        <v>0</v>
      </c>
      <c r="Z28" s="8">
        <f>IFERROR(__xludf.DUMMYFUNCTION("""COMPUTED_VALUE"""),0.0)</f>
        <v>0</v>
      </c>
      <c r="AA28" s="8">
        <f>IFERROR(__xludf.DUMMYFUNCTION("""COMPUTED_VALUE"""),0.0)</f>
        <v>0</v>
      </c>
      <c r="AB28" s="8">
        <f>IFERROR(__xludf.DUMMYFUNCTION("""COMPUTED_VALUE"""),0.0)</f>
        <v>0</v>
      </c>
      <c r="AC28" s="8">
        <f>IFERROR(__xludf.DUMMYFUNCTION("""COMPUTED_VALUE"""),0.0)</f>
        <v>0</v>
      </c>
    </row>
    <row r="29" ht="15.75" customHeight="1">
      <c r="A29" s="6" t="str">
        <f>IFERROR(__xludf.DUMMYFUNCTION("""COMPUTED_VALUE"""),"1b7d7de6c90d2460cfe3da014469e3c056fec830")</f>
        <v>1b7d7de6c90d2460cfe3da014469e3c056fec830</v>
      </c>
      <c r="B29" s="6" t="str">
        <f>IFERROR(__xludf.DUMMYFUNCTION("""COMPUTED_VALUE"""),"The Ceo's Secret Babies")</f>
        <v>The Ceo's Secret Babies</v>
      </c>
      <c r="C29" s="6" t="str">
        <f>IFERROR(__xludf.DUMMYFUNCTION("""COMPUTED_VALUE"""),"Romance")</f>
        <v>Romance</v>
      </c>
      <c r="D29" s="11">
        <f>IFERROR(__xludf.DUMMYFUNCTION("""COMPUTED_VALUE"""),178.0)</f>
        <v>178</v>
      </c>
      <c r="E29" s="8">
        <f>IFERROR(__xludf.DUMMYFUNCTION("""COMPUTED_VALUE"""),0.915254237288135)</f>
        <v>0.9152542373</v>
      </c>
      <c r="F29" s="8">
        <f>IFERROR(__xludf.DUMMYFUNCTION("""COMPUTED_VALUE"""),0.474285714285714)</f>
        <v>0.4742857143</v>
      </c>
      <c r="G29" s="8">
        <f>IFERROR(__xludf.DUMMYFUNCTION("""COMPUTED_VALUE"""),0.408045977011494)</f>
        <v>0.408045977</v>
      </c>
      <c r="H29" s="8">
        <f>IFERROR(__xludf.DUMMYFUNCTION("""COMPUTED_VALUE"""),0.410404624277456)</f>
        <v>0.4104046243</v>
      </c>
      <c r="I29" s="8">
        <f>IFERROR(__xludf.DUMMYFUNCTION("""COMPUTED_VALUE"""),0.387283236994219)</f>
        <v>0.387283237</v>
      </c>
      <c r="J29" s="8">
        <f>IFERROR(__xludf.DUMMYFUNCTION("""COMPUTED_VALUE"""),0.358381502890173)</f>
        <v>0.3583815029</v>
      </c>
      <c r="K29" s="8">
        <f>IFERROR(__xludf.DUMMYFUNCTION("""COMPUTED_VALUE"""),0.346820809248554)</f>
        <v>0.3468208092</v>
      </c>
      <c r="L29" s="8">
        <f>IFERROR(__xludf.DUMMYFUNCTION("""COMPUTED_VALUE"""),0.345029239766081)</f>
        <v>0.3450292398</v>
      </c>
      <c r="M29" s="8">
        <f>IFERROR(__xludf.DUMMYFUNCTION("""COMPUTED_VALUE"""),0.329411764705882)</f>
        <v>0.3294117647</v>
      </c>
      <c r="N29" s="8">
        <f>IFERROR(__xludf.DUMMYFUNCTION("""COMPUTED_VALUE"""),0.347058823529411)</f>
        <v>0.3470588235</v>
      </c>
      <c r="O29" s="8">
        <f>IFERROR(__xludf.DUMMYFUNCTION("""COMPUTED_VALUE"""),0.236363636363636)</f>
        <v>0.2363636364</v>
      </c>
      <c r="P29" s="8">
        <f>IFERROR(__xludf.DUMMYFUNCTION("""COMPUTED_VALUE"""),0.176829268292682)</f>
        <v>0.1768292683</v>
      </c>
      <c r="Q29" s="8">
        <f>IFERROR(__xludf.DUMMYFUNCTION("""COMPUTED_VALUE"""),0.073170731707317)</f>
        <v>0.07317073171</v>
      </c>
      <c r="R29" s="8">
        <f>IFERROR(__xludf.DUMMYFUNCTION("""COMPUTED_VALUE"""),0.0304878048780487)</f>
        <v>0.03048780488</v>
      </c>
      <c r="S29" s="8">
        <f>IFERROR(__xludf.DUMMYFUNCTION("""COMPUTED_VALUE"""),0.0265486725663716)</f>
        <v>0.02654867257</v>
      </c>
      <c r="T29" s="8">
        <f>IFERROR(__xludf.DUMMYFUNCTION("""COMPUTED_VALUE"""),0.0)</f>
        <v>0</v>
      </c>
      <c r="U29" s="8">
        <f>IFERROR(__xludf.DUMMYFUNCTION("""COMPUTED_VALUE"""),0.0)</f>
        <v>0</v>
      </c>
      <c r="V29" s="8">
        <f>IFERROR(__xludf.DUMMYFUNCTION("""COMPUTED_VALUE"""),0.0)</f>
        <v>0</v>
      </c>
      <c r="W29" s="8">
        <f>IFERROR(__xludf.DUMMYFUNCTION("""COMPUTED_VALUE"""),0.0)</f>
        <v>0</v>
      </c>
      <c r="X29" s="8">
        <f>IFERROR(__xludf.DUMMYFUNCTION("""COMPUTED_VALUE"""),0.0)</f>
        <v>0</v>
      </c>
      <c r="Y29" s="8">
        <f>IFERROR(__xludf.DUMMYFUNCTION("""COMPUTED_VALUE"""),0.0)</f>
        <v>0</v>
      </c>
      <c r="Z29" s="8">
        <f>IFERROR(__xludf.DUMMYFUNCTION("""COMPUTED_VALUE"""),0.0)</f>
        <v>0</v>
      </c>
      <c r="AA29" s="8">
        <f>IFERROR(__xludf.DUMMYFUNCTION("""COMPUTED_VALUE"""),0.0)</f>
        <v>0</v>
      </c>
      <c r="AB29" s="8">
        <f>IFERROR(__xludf.DUMMYFUNCTION("""COMPUTED_VALUE"""),0.0)</f>
        <v>0</v>
      </c>
      <c r="AC29" s="8">
        <f>IFERROR(__xludf.DUMMYFUNCTION("""COMPUTED_VALUE"""),0.0)</f>
        <v>0</v>
      </c>
    </row>
    <row r="30" ht="15.75" customHeight="1">
      <c r="A30" s="6" t="str">
        <f>IFERROR(__xludf.DUMMYFUNCTION("""COMPUTED_VALUE"""),"1b7d89c237c133e6c5b15db13e684c2e1f3688e1")</f>
        <v>1b7d89c237c133e6c5b15db13e684c2e1f3688e1</v>
      </c>
      <c r="B30" s="6" t="str">
        <f>IFERROR(__xludf.DUMMYFUNCTION("""COMPUTED_VALUE"""),"War God of the Red Sea!")</f>
        <v>War God of the Red Sea!</v>
      </c>
      <c r="C30" s="6" t="str">
        <f>IFERROR(__xludf.DUMMYFUNCTION("""COMPUTED_VALUE"""),"Drama")</f>
        <v>Drama</v>
      </c>
      <c r="D30" s="11">
        <f>IFERROR(__xludf.DUMMYFUNCTION("""COMPUTED_VALUE"""),1013.0)</f>
        <v>1013</v>
      </c>
      <c r="E30" s="8">
        <f>IFERROR(__xludf.DUMMYFUNCTION("""COMPUTED_VALUE"""),0.981836528758829)</f>
        <v>0.9818365288</v>
      </c>
      <c r="F30" s="8">
        <f>IFERROR(__xludf.DUMMYFUNCTION("""COMPUTED_VALUE"""),0.481601731601731)</f>
        <v>0.4816017316</v>
      </c>
      <c r="G30" s="8">
        <f>IFERROR(__xludf.DUMMYFUNCTION("""COMPUTED_VALUE"""),0.393728222996515)</f>
        <v>0.393728223</v>
      </c>
      <c r="H30" s="8">
        <f>IFERROR(__xludf.DUMMYFUNCTION("""COMPUTED_VALUE"""),0.337164750957854)</f>
        <v>0.337164751</v>
      </c>
      <c r="I30" s="8">
        <f>IFERROR(__xludf.DUMMYFUNCTION("""COMPUTED_VALUE"""),0.306684141546526)</f>
        <v>0.3066841415</v>
      </c>
      <c r="J30" s="8">
        <f>IFERROR(__xludf.DUMMYFUNCTION("""COMPUTED_VALUE"""),0.279729729729729)</f>
        <v>0.2797297297</v>
      </c>
      <c r="K30" s="8">
        <f>IFERROR(__xludf.DUMMYFUNCTION("""COMPUTED_VALUE"""),0.250343878954607)</f>
        <v>0.250343879</v>
      </c>
      <c r="L30" s="8">
        <f>IFERROR(__xludf.DUMMYFUNCTION("""COMPUTED_VALUE"""),0.235820895522388)</f>
        <v>0.2358208955</v>
      </c>
      <c r="M30" s="8">
        <f>IFERROR(__xludf.DUMMYFUNCTION("""COMPUTED_VALUE"""),0.209523809523809)</f>
        <v>0.2095238095</v>
      </c>
      <c r="N30" s="8">
        <f>IFERROR(__xludf.DUMMYFUNCTION("""COMPUTED_VALUE"""),0.207017543859649)</f>
        <v>0.2070175439</v>
      </c>
      <c r="O30" s="8">
        <f>IFERROR(__xludf.DUMMYFUNCTION("""COMPUTED_VALUE"""),0.179871520342612)</f>
        <v>0.1798715203</v>
      </c>
      <c r="P30" s="8">
        <f>IFERROR(__xludf.DUMMYFUNCTION("""COMPUTED_VALUE"""),0.146907216494845)</f>
        <v>0.1469072165</v>
      </c>
      <c r="Q30" s="8">
        <f>IFERROR(__xludf.DUMMYFUNCTION("""COMPUTED_VALUE"""),0.0)</f>
        <v>0</v>
      </c>
      <c r="R30" s="8">
        <f>IFERROR(__xludf.DUMMYFUNCTION("""COMPUTED_VALUE"""),0.0)</f>
        <v>0</v>
      </c>
      <c r="S30" s="8">
        <f>IFERROR(__xludf.DUMMYFUNCTION("""COMPUTED_VALUE"""),0.0)</f>
        <v>0</v>
      </c>
      <c r="T30" s="8">
        <f>IFERROR(__xludf.DUMMYFUNCTION("""COMPUTED_VALUE"""),0.0)</f>
        <v>0</v>
      </c>
      <c r="U30" s="8">
        <f>IFERROR(__xludf.DUMMYFUNCTION("""COMPUTED_VALUE"""),0.0)</f>
        <v>0</v>
      </c>
      <c r="V30" s="8">
        <f>IFERROR(__xludf.DUMMYFUNCTION("""COMPUTED_VALUE"""),0.0)</f>
        <v>0</v>
      </c>
      <c r="W30" s="8">
        <f>IFERROR(__xludf.DUMMYFUNCTION("""COMPUTED_VALUE"""),0.0)</f>
        <v>0</v>
      </c>
      <c r="X30" s="8">
        <f>IFERROR(__xludf.DUMMYFUNCTION("""COMPUTED_VALUE"""),0.0)</f>
        <v>0</v>
      </c>
      <c r="Y30" s="8">
        <f>IFERROR(__xludf.DUMMYFUNCTION("""COMPUTED_VALUE"""),0.0)</f>
        <v>0</v>
      </c>
      <c r="Z30" s="8">
        <f>IFERROR(__xludf.DUMMYFUNCTION("""COMPUTED_VALUE"""),0.0)</f>
        <v>0</v>
      </c>
      <c r="AA30" s="8">
        <f>IFERROR(__xludf.DUMMYFUNCTION("""COMPUTED_VALUE"""),0.0)</f>
        <v>0</v>
      </c>
      <c r="AB30" s="8">
        <f>IFERROR(__xludf.DUMMYFUNCTION("""COMPUTED_VALUE"""),0.0)</f>
        <v>0</v>
      </c>
      <c r="AC30" s="8">
        <f>IFERROR(__xludf.DUMMYFUNCTION("""COMPUTED_VALUE"""),0.0)</f>
        <v>0</v>
      </c>
    </row>
    <row r="31" ht="15.75" customHeight="1">
      <c r="A31" s="6" t="str">
        <f>IFERROR(__xludf.DUMMYFUNCTION("""COMPUTED_VALUE"""),"1c56eb2cce6609cb207d235ae3464f7759d4cb84")</f>
        <v>1c56eb2cce6609cb207d235ae3464f7759d4cb84</v>
      </c>
      <c r="B31" s="6" t="str">
        <f>IFERROR(__xludf.DUMMYFUNCTION("""COMPUTED_VALUE"""),"Rage of the Heiress")</f>
        <v>Rage of the Heiress</v>
      </c>
      <c r="C31" s="6" t="str">
        <f>IFERROR(__xludf.DUMMYFUNCTION("""COMPUTED_VALUE"""),"Drama")</f>
        <v>Drama</v>
      </c>
      <c r="D31" s="11">
        <f>IFERROR(__xludf.DUMMYFUNCTION("""COMPUTED_VALUE"""),1344.0)</f>
        <v>1344</v>
      </c>
      <c r="E31" s="8">
        <f>IFERROR(__xludf.DUMMYFUNCTION("""COMPUTED_VALUE"""),0.963691376701966)</f>
        <v>0.9636913767</v>
      </c>
      <c r="F31" s="8">
        <f>IFERROR(__xludf.DUMMYFUNCTION("""COMPUTED_VALUE"""),0.37890625)</f>
        <v>0.37890625</v>
      </c>
      <c r="G31" s="8">
        <f>IFERROR(__xludf.DUMMYFUNCTION("""COMPUTED_VALUE"""),0.34357316087308)</f>
        <v>0.3435731609</v>
      </c>
      <c r="H31" s="8">
        <f>IFERROR(__xludf.DUMMYFUNCTION("""COMPUTED_VALUE"""),0.305414551607445)</f>
        <v>0.3054145516</v>
      </c>
      <c r="I31" s="8">
        <f>IFERROR(__xludf.DUMMYFUNCTION("""COMPUTED_VALUE"""),0.288650580875781)</f>
        <v>0.2886505809</v>
      </c>
      <c r="J31" s="8">
        <f>IFERROR(__xludf.DUMMYFUNCTION("""COMPUTED_VALUE"""),0.268642447418738)</f>
        <v>0.2686424474</v>
      </c>
      <c r="K31" s="8">
        <f>IFERROR(__xludf.DUMMYFUNCTION("""COMPUTED_VALUE"""),0.266201395812562)</f>
        <v>0.2662013958</v>
      </c>
      <c r="L31" s="8">
        <f>IFERROR(__xludf.DUMMYFUNCTION("""COMPUTED_VALUE"""),0.262226847034339)</f>
        <v>0.262226847</v>
      </c>
      <c r="M31" s="8">
        <f>IFERROR(__xludf.DUMMYFUNCTION("""COMPUTED_VALUE"""),0.254054054054054)</f>
        <v>0.2540540541</v>
      </c>
      <c r="N31" s="8">
        <f>IFERROR(__xludf.DUMMYFUNCTION("""COMPUTED_VALUE"""),0.239057239057239)</f>
        <v>0.2390572391</v>
      </c>
      <c r="O31" s="8">
        <f>IFERROR(__xludf.DUMMYFUNCTION("""COMPUTED_VALUE"""),0.236006051437216)</f>
        <v>0.2360060514</v>
      </c>
      <c r="P31" s="8">
        <f>IFERROR(__xludf.DUMMYFUNCTION("""COMPUTED_VALUE"""),0.185920577617328)</f>
        <v>0.1859205776</v>
      </c>
      <c r="Q31" s="8">
        <f>IFERROR(__xludf.DUMMYFUNCTION("""COMPUTED_VALUE"""),0.125279642058165)</f>
        <v>0.1252796421</v>
      </c>
      <c r="R31" s="8">
        <f>IFERROR(__xludf.DUMMYFUNCTION("""COMPUTED_VALUE"""),0.0888888888888888)</f>
        <v>0.08888888889</v>
      </c>
      <c r="S31" s="8">
        <f>IFERROR(__xludf.DUMMYFUNCTION("""COMPUTED_VALUE"""),0.0883280757097791)</f>
        <v>0.08832807571</v>
      </c>
      <c r="T31" s="8">
        <f>IFERROR(__xludf.DUMMYFUNCTION("""COMPUTED_VALUE"""),0.0695970695970696)</f>
        <v>0.0695970696</v>
      </c>
      <c r="U31" s="8">
        <f>IFERROR(__xludf.DUMMYFUNCTION("""COMPUTED_VALUE"""),0.0544747081712062)</f>
        <v>0.05447470817</v>
      </c>
      <c r="V31" s="8">
        <f>IFERROR(__xludf.DUMMYFUNCTION("""COMPUTED_VALUE"""),0.0617977528089887)</f>
        <v>0.06179775281</v>
      </c>
      <c r="W31" s="8">
        <f>IFERROR(__xludf.DUMMYFUNCTION("""COMPUTED_VALUE"""),0.0)</f>
        <v>0</v>
      </c>
      <c r="X31" s="8">
        <f>IFERROR(__xludf.DUMMYFUNCTION("""COMPUTED_VALUE"""),0.0)</f>
        <v>0</v>
      </c>
      <c r="Y31" s="8">
        <f>IFERROR(__xludf.DUMMYFUNCTION("""COMPUTED_VALUE"""),0.0)</f>
        <v>0</v>
      </c>
      <c r="Z31" s="8">
        <f>IFERROR(__xludf.DUMMYFUNCTION("""COMPUTED_VALUE"""),0.0)</f>
        <v>0</v>
      </c>
      <c r="AA31" s="8">
        <f>IFERROR(__xludf.DUMMYFUNCTION("""COMPUTED_VALUE"""),0.0)</f>
        <v>0</v>
      </c>
      <c r="AB31" s="8">
        <f>IFERROR(__xludf.DUMMYFUNCTION("""COMPUTED_VALUE"""),0.0)</f>
        <v>0</v>
      </c>
      <c r="AC31" s="8">
        <f>IFERROR(__xludf.DUMMYFUNCTION("""COMPUTED_VALUE"""),0.0)</f>
        <v>0</v>
      </c>
    </row>
    <row r="32" ht="15.75" customHeight="1">
      <c r="A32" s="6" t="str">
        <f>IFERROR(__xludf.DUMMYFUNCTION("""COMPUTED_VALUE"""),"1ca4f3c3b8e200f37ec14ed7a11442df6a65f4e6")</f>
        <v>1ca4f3c3b8e200f37ec14ed7a11442df6a65f4e6</v>
      </c>
      <c r="B32" s="6" t="str">
        <f>IFERROR(__xludf.DUMMYFUNCTION("""COMPUTED_VALUE"""),"Unstoppable Cultivator")</f>
        <v>Unstoppable Cultivator</v>
      </c>
      <c r="C32" s="6" t="str">
        <f>IFERROR(__xludf.DUMMYFUNCTION("""COMPUTED_VALUE"""),"Fantasy")</f>
        <v>Fantasy</v>
      </c>
      <c r="D32" s="11">
        <f>IFERROR(__xludf.DUMMYFUNCTION("""COMPUTED_VALUE"""),1146.0)</f>
        <v>1146</v>
      </c>
      <c r="E32" s="8">
        <f>IFERROR(__xludf.DUMMYFUNCTION("""COMPUTED_VALUE"""),0.963190184049079)</f>
        <v>0.963190184</v>
      </c>
      <c r="F32" s="8">
        <f>IFERROR(__xludf.DUMMYFUNCTION("""COMPUTED_VALUE"""),0.46883230904302)</f>
        <v>0.468832309</v>
      </c>
      <c r="G32" s="8">
        <f>IFERROR(__xludf.DUMMYFUNCTION("""COMPUTED_VALUE"""),0.412489006156552)</f>
        <v>0.4124890062</v>
      </c>
      <c r="H32" s="8">
        <f>IFERROR(__xludf.DUMMYFUNCTION("""COMPUTED_VALUE"""),0.371478873239436)</f>
        <v>0.3714788732</v>
      </c>
      <c r="I32" s="8">
        <f>IFERROR(__xludf.DUMMYFUNCTION("""COMPUTED_VALUE"""),0.343059239610963)</f>
        <v>0.3430592396</v>
      </c>
      <c r="J32" s="8">
        <f>IFERROR(__xludf.DUMMYFUNCTION("""COMPUTED_VALUE"""),0.318262411347517)</f>
        <v>0.3182624113</v>
      </c>
      <c r="K32" s="8">
        <f>IFERROR(__xludf.DUMMYFUNCTION("""COMPUTED_VALUE"""),0.305084745762711)</f>
        <v>0.3050847458</v>
      </c>
      <c r="L32" s="8">
        <f>IFERROR(__xludf.DUMMYFUNCTION("""COMPUTED_VALUE"""),0.292748433303491)</f>
        <v>0.2927484333</v>
      </c>
      <c r="M32" s="8">
        <f>IFERROR(__xludf.DUMMYFUNCTION("""COMPUTED_VALUE"""),0.27403414195867)</f>
        <v>0.274034142</v>
      </c>
      <c r="N32" s="8">
        <f>IFERROR(__xludf.DUMMYFUNCTION("""COMPUTED_VALUE"""),0.260397830018083)</f>
        <v>0.26039783</v>
      </c>
      <c r="O32" s="8">
        <f>IFERROR(__xludf.DUMMYFUNCTION("""COMPUTED_VALUE"""),0.237322515212981)</f>
        <v>0.2373225152</v>
      </c>
      <c r="P32" s="8">
        <f>IFERROR(__xludf.DUMMYFUNCTION("""COMPUTED_VALUE"""),0.158653846153846)</f>
        <v>0.1586538462</v>
      </c>
      <c r="Q32" s="8">
        <f>IFERROR(__xludf.DUMMYFUNCTION("""COMPUTED_VALUE"""),0.126760563380281)</f>
        <v>0.1267605634</v>
      </c>
      <c r="R32" s="8">
        <f>IFERROR(__xludf.DUMMYFUNCTION("""COMPUTED_VALUE"""),0.235294117647058)</f>
        <v>0.2352941176</v>
      </c>
      <c r="S32" s="8">
        <f>IFERROR(__xludf.DUMMYFUNCTION("""COMPUTED_VALUE"""),0.0526315789473684)</f>
        <v>0.05263157895</v>
      </c>
      <c r="T32" s="8">
        <f>IFERROR(__xludf.DUMMYFUNCTION("""COMPUTED_VALUE"""),0.0)</f>
        <v>0</v>
      </c>
      <c r="U32" s="8">
        <f>IFERROR(__xludf.DUMMYFUNCTION("""COMPUTED_VALUE"""),0.0)</f>
        <v>0</v>
      </c>
      <c r="V32" s="8">
        <f>IFERROR(__xludf.DUMMYFUNCTION("""COMPUTED_VALUE"""),0.0)</f>
        <v>0</v>
      </c>
      <c r="W32" s="8">
        <f>IFERROR(__xludf.DUMMYFUNCTION("""COMPUTED_VALUE"""),0.0)</f>
        <v>0</v>
      </c>
      <c r="X32" s="8">
        <f>IFERROR(__xludf.DUMMYFUNCTION("""COMPUTED_VALUE"""),0.0)</f>
        <v>0</v>
      </c>
      <c r="Y32" s="8">
        <f>IFERROR(__xludf.DUMMYFUNCTION("""COMPUTED_VALUE"""),0.0)</f>
        <v>0</v>
      </c>
      <c r="Z32" s="8">
        <f>IFERROR(__xludf.DUMMYFUNCTION("""COMPUTED_VALUE"""),0.0)</f>
        <v>0</v>
      </c>
      <c r="AA32" s="8">
        <f>IFERROR(__xludf.DUMMYFUNCTION("""COMPUTED_VALUE"""),0.0)</f>
        <v>0</v>
      </c>
      <c r="AB32" s="8">
        <f>IFERROR(__xludf.DUMMYFUNCTION("""COMPUTED_VALUE"""),0.0)</f>
        <v>0</v>
      </c>
      <c r="AC32" s="8">
        <f>IFERROR(__xludf.DUMMYFUNCTION("""COMPUTED_VALUE"""),0.0)</f>
        <v>0</v>
      </c>
    </row>
    <row r="33" ht="15.75" customHeight="1">
      <c r="A33" s="6" t="str">
        <f>IFERROR(__xludf.DUMMYFUNCTION("""COMPUTED_VALUE"""),"1d8b1f39e146ede1f7528763445a7a47aad10b05")</f>
        <v>1d8b1f39e146ede1f7528763445a7a47aad10b05</v>
      </c>
      <c r="B33" s="6" t="str">
        <f>IFERROR(__xludf.DUMMYFUNCTION("""COMPUTED_VALUE"""),"Love and Heartbroken")</f>
        <v>Love and Heartbroken</v>
      </c>
      <c r="C33" s="6" t="str">
        <f>IFERROR(__xludf.DUMMYFUNCTION("""COMPUTED_VALUE"""),"System and Superpower")</f>
        <v>System and Superpower</v>
      </c>
      <c r="D33" s="11">
        <f>IFERROR(__xludf.DUMMYFUNCTION("""COMPUTED_VALUE"""),723.0)</f>
        <v>723</v>
      </c>
      <c r="E33" s="8">
        <f>IFERROR(__xludf.DUMMYFUNCTION("""COMPUTED_VALUE"""),0.961272475795297)</f>
        <v>0.9612724758</v>
      </c>
      <c r="F33" s="8">
        <f>IFERROR(__xludf.DUMMYFUNCTION("""COMPUTED_VALUE"""),0.547717842323651)</f>
        <v>0.5477178423</v>
      </c>
      <c r="G33" s="8">
        <f>IFERROR(__xludf.DUMMYFUNCTION("""COMPUTED_VALUE"""),0.5)</f>
        <v>0.5</v>
      </c>
      <c r="H33" s="8">
        <f>IFERROR(__xludf.DUMMYFUNCTION("""COMPUTED_VALUE"""),0.450762829403606)</f>
        <v>0.4507628294</v>
      </c>
      <c r="I33" s="8">
        <f>IFERROR(__xludf.DUMMYFUNCTION("""COMPUTED_VALUE"""),0.4125)</f>
        <v>0.4125</v>
      </c>
      <c r="J33" s="8">
        <f>IFERROR(__xludf.DUMMYFUNCTION("""COMPUTED_VALUE"""),0.380555555555555)</f>
        <v>0.3805555556</v>
      </c>
      <c r="K33" s="8">
        <f>IFERROR(__xludf.DUMMYFUNCTION("""COMPUTED_VALUE"""),0.368055555555555)</f>
        <v>0.3680555556</v>
      </c>
      <c r="L33" s="8">
        <f>IFERROR(__xludf.DUMMYFUNCTION("""COMPUTED_VALUE"""),0.348611111111111)</f>
        <v>0.3486111111</v>
      </c>
      <c r="M33" s="8">
        <f>IFERROR(__xludf.DUMMYFUNCTION("""COMPUTED_VALUE"""),0.328690807799442)</f>
        <v>0.3286908078</v>
      </c>
      <c r="N33" s="8">
        <f>IFERROR(__xludf.DUMMYFUNCTION("""COMPUTED_VALUE"""),0.281729428172942)</f>
        <v>0.2817294282</v>
      </c>
      <c r="O33" s="8">
        <f>IFERROR(__xludf.DUMMYFUNCTION("""COMPUTED_VALUE"""),0.198250728862973)</f>
        <v>0.1982507289</v>
      </c>
      <c r="P33" s="8">
        <f>IFERROR(__xludf.DUMMYFUNCTION("""COMPUTED_VALUE"""),0.126168224299065)</f>
        <v>0.1261682243</v>
      </c>
      <c r="Q33" s="8">
        <f>IFERROR(__xludf.DUMMYFUNCTION("""COMPUTED_VALUE"""),0.07)</f>
        <v>0.07</v>
      </c>
      <c r="R33" s="8">
        <f>IFERROR(__xludf.DUMMYFUNCTION("""COMPUTED_VALUE"""),0.0400801603206412)</f>
        <v>0.04008016032</v>
      </c>
      <c r="S33" s="8">
        <f>IFERROR(__xludf.DUMMYFUNCTION("""COMPUTED_VALUE"""),0.0175438596491228)</f>
        <v>0.01754385965</v>
      </c>
      <c r="T33" s="8">
        <f>IFERROR(__xludf.DUMMYFUNCTION("""COMPUTED_VALUE"""),0.0)</f>
        <v>0</v>
      </c>
      <c r="U33" s="8">
        <f>IFERROR(__xludf.DUMMYFUNCTION("""COMPUTED_VALUE"""),0.0)</f>
        <v>0</v>
      </c>
      <c r="V33" s="8">
        <f>IFERROR(__xludf.DUMMYFUNCTION("""COMPUTED_VALUE"""),0.0)</f>
        <v>0</v>
      </c>
      <c r="W33" s="8">
        <f>IFERROR(__xludf.DUMMYFUNCTION("""COMPUTED_VALUE"""),0.0)</f>
        <v>0</v>
      </c>
      <c r="X33" s="8">
        <f>IFERROR(__xludf.DUMMYFUNCTION("""COMPUTED_VALUE"""),0.0)</f>
        <v>0</v>
      </c>
      <c r="Y33" s="8">
        <f>IFERROR(__xludf.DUMMYFUNCTION("""COMPUTED_VALUE"""),0.0)</f>
        <v>0</v>
      </c>
      <c r="Z33" s="8">
        <f>IFERROR(__xludf.DUMMYFUNCTION("""COMPUTED_VALUE"""),0.0)</f>
        <v>0</v>
      </c>
      <c r="AA33" s="8">
        <f>IFERROR(__xludf.DUMMYFUNCTION("""COMPUTED_VALUE"""),0.0)</f>
        <v>0</v>
      </c>
      <c r="AB33" s="8">
        <f>IFERROR(__xludf.DUMMYFUNCTION("""COMPUTED_VALUE"""),0.0)</f>
        <v>0</v>
      </c>
      <c r="AC33" s="8">
        <f>IFERROR(__xludf.DUMMYFUNCTION("""COMPUTED_VALUE"""),0.0)</f>
        <v>0</v>
      </c>
    </row>
    <row r="34" ht="15.75" customHeight="1">
      <c r="A34" s="6" t="str">
        <f>IFERROR(__xludf.DUMMYFUNCTION("""COMPUTED_VALUE"""),"1e1205d9e93348005e7eb4b2e071c8c63b7914ca")</f>
        <v>1e1205d9e93348005e7eb4b2e071c8c63b7914ca</v>
      </c>
      <c r="B34" s="6" t="str">
        <f>IFERROR(__xludf.DUMMYFUNCTION("""COMPUTED_VALUE"""),"The Heart's Captive")</f>
        <v>The Heart's Captive</v>
      </c>
      <c r="C34" s="6" t="str">
        <f>IFERROR(__xludf.DUMMYFUNCTION("""COMPUTED_VALUE"""),"Romantasy")</f>
        <v>Romantasy</v>
      </c>
      <c r="D34" s="11">
        <f>IFERROR(__xludf.DUMMYFUNCTION("""COMPUTED_VALUE"""),100.0)</f>
        <v>100</v>
      </c>
      <c r="E34" s="8">
        <f>IFERROR(__xludf.DUMMYFUNCTION("""COMPUTED_VALUE"""),0.92)</f>
        <v>0.92</v>
      </c>
      <c r="F34" s="8">
        <f>IFERROR(__xludf.DUMMYFUNCTION("""COMPUTED_VALUE"""),0.16)</f>
        <v>0.16</v>
      </c>
      <c r="G34" s="8">
        <f>IFERROR(__xludf.DUMMYFUNCTION("""COMPUTED_VALUE"""),0.13)</f>
        <v>0.13</v>
      </c>
      <c r="H34" s="8">
        <f>IFERROR(__xludf.DUMMYFUNCTION("""COMPUTED_VALUE"""),0.14)</f>
        <v>0.14</v>
      </c>
      <c r="I34" s="8">
        <f>IFERROR(__xludf.DUMMYFUNCTION("""COMPUTED_VALUE"""),0.12)</f>
        <v>0.12</v>
      </c>
      <c r="J34" s="8">
        <f>IFERROR(__xludf.DUMMYFUNCTION("""COMPUTED_VALUE"""),0.12)</f>
        <v>0.12</v>
      </c>
      <c r="K34" s="8">
        <f>IFERROR(__xludf.DUMMYFUNCTION("""COMPUTED_VALUE"""),0.13)</f>
        <v>0.13</v>
      </c>
      <c r="L34" s="8">
        <f>IFERROR(__xludf.DUMMYFUNCTION("""COMPUTED_VALUE"""),0.13)</f>
        <v>0.13</v>
      </c>
      <c r="M34" s="8">
        <f>IFERROR(__xludf.DUMMYFUNCTION("""COMPUTED_VALUE"""),0.13)</f>
        <v>0.13</v>
      </c>
      <c r="N34" s="8">
        <f>IFERROR(__xludf.DUMMYFUNCTION("""COMPUTED_VALUE"""),0.15)</f>
        <v>0.15</v>
      </c>
      <c r="O34" s="8">
        <f>IFERROR(__xludf.DUMMYFUNCTION("""COMPUTED_VALUE"""),0.11)</f>
        <v>0.11</v>
      </c>
      <c r="P34" s="8">
        <f>IFERROR(__xludf.DUMMYFUNCTION("""COMPUTED_VALUE"""),0.05)</f>
        <v>0.05</v>
      </c>
      <c r="Q34" s="8">
        <f>IFERROR(__xludf.DUMMYFUNCTION("""COMPUTED_VALUE"""),0.02)</f>
        <v>0.02</v>
      </c>
      <c r="R34" s="8">
        <f>IFERROR(__xludf.DUMMYFUNCTION("""COMPUTED_VALUE"""),0.0101010101010101)</f>
        <v>0.0101010101</v>
      </c>
      <c r="S34" s="8">
        <f>IFERROR(__xludf.DUMMYFUNCTION("""COMPUTED_VALUE"""),0.0)</f>
        <v>0</v>
      </c>
      <c r="T34" s="8">
        <f>IFERROR(__xludf.DUMMYFUNCTION("""COMPUTED_VALUE"""),0.0)</f>
        <v>0</v>
      </c>
      <c r="U34" s="8">
        <f>IFERROR(__xludf.DUMMYFUNCTION("""COMPUTED_VALUE"""),0.0)</f>
        <v>0</v>
      </c>
      <c r="V34" s="8">
        <f>IFERROR(__xludf.DUMMYFUNCTION("""COMPUTED_VALUE"""),0.0)</f>
        <v>0</v>
      </c>
      <c r="W34" s="8">
        <f>IFERROR(__xludf.DUMMYFUNCTION("""COMPUTED_VALUE"""),0.0)</f>
        <v>0</v>
      </c>
      <c r="X34" s="8">
        <f>IFERROR(__xludf.DUMMYFUNCTION("""COMPUTED_VALUE"""),0.0)</f>
        <v>0</v>
      </c>
      <c r="Y34" s="8">
        <f>IFERROR(__xludf.DUMMYFUNCTION("""COMPUTED_VALUE"""),0.0)</f>
        <v>0</v>
      </c>
      <c r="Z34" s="8">
        <f>IFERROR(__xludf.DUMMYFUNCTION("""COMPUTED_VALUE"""),0.0)</f>
        <v>0</v>
      </c>
      <c r="AA34" s="8">
        <f>IFERROR(__xludf.DUMMYFUNCTION("""COMPUTED_VALUE"""),0.0)</f>
        <v>0</v>
      </c>
      <c r="AB34" s="8">
        <f>IFERROR(__xludf.DUMMYFUNCTION("""COMPUTED_VALUE"""),0.0)</f>
        <v>0</v>
      </c>
      <c r="AC34" s="8">
        <f>IFERROR(__xludf.DUMMYFUNCTION("""COMPUTED_VALUE"""),0.0)</f>
        <v>0</v>
      </c>
    </row>
    <row r="35" ht="15.75" customHeight="1">
      <c r="A35" s="6" t="str">
        <f>IFERROR(__xludf.DUMMYFUNCTION("""COMPUTED_VALUE"""),"1e2b4197fd4a9f595c560bc8d4530339758b031a")</f>
        <v>1e2b4197fd4a9f595c560bc8d4530339758b031a</v>
      </c>
      <c r="B35" s="6" t="str">
        <f>IFERROR(__xludf.DUMMYFUNCTION("""COMPUTED_VALUE"""),"Becoming Garrison Green")</f>
        <v>Becoming Garrison Green</v>
      </c>
      <c r="C35" s="6" t="str">
        <f>IFERROR(__xludf.DUMMYFUNCTION("""COMPUTED_VALUE"""),"Drama")</f>
        <v>Drama</v>
      </c>
      <c r="D35" s="11">
        <f>IFERROR(__xludf.DUMMYFUNCTION("""COMPUTED_VALUE"""),1477.0)</f>
        <v>1477</v>
      </c>
      <c r="E35" s="8">
        <f>IFERROR(__xludf.DUMMYFUNCTION("""COMPUTED_VALUE"""),0.954637779282329)</f>
        <v>0.9546377793</v>
      </c>
      <c r="F35" s="8">
        <f>IFERROR(__xludf.DUMMYFUNCTION("""COMPUTED_VALUE"""),0.526743398781313)</f>
        <v>0.5267433988</v>
      </c>
      <c r="G35" s="8">
        <f>IFERROR(__xludf.DUMMYFUNCTION("""COMPUTED_VALUE"""),0.502032520325203)</f>
        <v>0.5020325203</v>
      </c>
      <c r="H35" s="8">
        <f>IFERROR(__xludf.DUMMYFUNCTION("""COMPUTED_VALUE"""),0.470149253731343)</f>
        <v>0.4701492537</v>
      </c>
      <c r="I35" s="8">
        <f>IFERROR(__xludf.DUMMYFUNCTION("""COMPUTED_VALUE"""),0.440896739130434)</f>
        <v>0.4408967391</v>
      </c>
      <c r="J35" s="8">
        <f>IFERROR(__xludf.DUMMYFUNCTION("""COMPUTED_VALUE"""),0.42556084296397)</f>
        <v>0.425560843</v>
      </c>
      <c r="K35" s="8">
        <f>IFERROR(__xludf.DUMMYFUNCTION("""COMPUTED_VALUE"""),0.398368456832087)</f>
        <v>0.3983684568</v>
      </c>
      <c r="L35" s="8">
        <f>IFERROR(__xludf.DUMMYFUNCTION("""COMPUTED_VALUE"""),0.378065395095367)</f>
        <v>0.3780653951</v>
      </c>
      <c r="M35" s="8">
        <f>IFERROR(__xludf.DUMMYFUNCTION("""COMPUTED_VALUE"""),0.3653715064758)</f>
        <v>0.3653715065</v>
      </c>
      <c r="N35" s="8">
        <f>IFERROR(__xludf.DUMMYFUNCTION("""COMPUTED_VALUE"""),0.355037697052775)</f>
        <v>0.3550376971</v>
      </c>
      <c r="O35" s="8">
        <f>IFERROR(__xludf.DUMMYFUNCTION("""COMPUTED_VALUE"""),0.316409124356144)</f>
        <v>0.3164091244</v>
      </c>
      <c r="P35" s="8">
        <f>IFERROR(__xludf.DUMMYFUNCTION("""COMPUTED_VALUE"""),0.220919747520288)</f>
        <v>0.2209197475</v>
      </c>
      <c r="Q35" s="8">
        <f>IFERROR(__xludf.DUMMYFUNCTION("""COMPUTED_VALUE"""),0.153963414634146)</f>
        <v>0.1539634146</v>
      </c>
      <c r="R35" s="8">
        <f>IFERROR(__xludf.DUMMYFUNCTION("""COMPUTED_VALUE"""),0.12)</f>
        <v>0.12</v>
      </c>
      <c r="S35" s="8">
        <f>IFERROR(__xludf.DUMMYFUNCTION("""COMPUTED_VALUE"""),0.0)</f>
        <v>0</v>
      </c>
      <c r="T35" s="8">
        <f>IFERROR(__xludf.DUMMYFUNCTION("""COMPUTED_VALUE"""),0.0)</f>
        <v>0</v>
      </c>
      <c r="U35" s="8">
        <f>IFERROR(__xludf.DUMMYFUNCTION("""COMPUTED_VALUE"""),0.0)</f>
        <v>0</v>
      </c>
      <c r="V35" s="8">
        <f>IFERROR(__xludf.DUMMYFUNCTION("""COMPUTED_VALUE"""),0.0)</f>
        <v>0</v>
      </c>
      <c r="W35" s="8">
        <f>IFERROR(__xludf.DUMMYFUNCTION("""COMPUTED_VALUE"""),0.0)</f>
        <v>0</v>
      </c>
      <c r="X35" s="8">
        <f>IFERROR(__xludf.DUMMYFUNCTION("""COMPUTED_VALUE"""),0.0)</f>
        <v>0</v>
      </c>
      <c r="Y35" s="8">
        <f>IFERROR(__xludf.DUMMYFUNCTION("""COMPUTED_VALUE"""),0.0)</f>
        <v>0</v>
      </c>
      <c r="Z35" s="8">
        <f>IFERROR(__xludf.DUMMYFUNCTION("""COMPUTED_VALUE"""),0.0)</f>
        <v>0</v>
      </c>
      <c r="AA35" s="8">
        <f>IFERROR(__xludf.DUMMYFUNCTION("""COMPUTED_VALUE"""),0.0)</f>
        <v>0</v>
      </c>
      <c r="AB35" s="8">
        <f>IFERROR(__xludf.DUMMYFUNCTION("""COMPUTED_VALUE"""),0.0)</f>
        <v>0</v>
      </c>
      <c r="AC35" s="8">
        <f>IFERROR(__xludf.DUMMYFUNCTION("""COMPUTED_VALUE"""),0.0)</f>
        <v>0</v>
      </c>
    </row>
    <row r="36" ht="15.75" customHeight="1">
      <c r="A36" s="6" t="str">
        <f>IFERROR(__xludf.DUMMYFUNCTION("""COMPUTED_VALUE"""),"1e8c33b5d824973efcdca4b5194f961aed4ba258")</f>
        <v>1e8c33b5d824973efcdca4b5194f961aed4ba258</v>
      </c>
      <c r="B36" s="6" t="str">
        <f>IFERROR(__xludf.DUMMYFUNCTION("""COMPUTED_VALUE"""),"Mafia's Reluctant Bride")</f>
        <v>Mafia's Reluctant Bride</v>
      </c>
      <c r="C36" s="6" t="str">
        <f>IFERROR(__xludf.DUMMYFUNCTION("""COMPUTED_VALUE"""),"Romance")</f>
        <v>Romance</v>
      </c>
      <c r="D36" s="11">
        <f>IFERROR(__xludf.DUMMYFUNCTION("""COMPUTED_VALUE"""),661.0)</f>
        <v>661</v>
      </c>
      <c r="E36" s="8">
        <f>IFERROR(__xludf.DUMMYFUNCTION("""COMPUTED_VALUE"""),0.984756097560975)</f>
        <v>0.9847560976</v>
      </c>
      <c r="F36" s="8">
        <f>IFERROR(__xludf.DUMMYFUNCTION("""COMPUTED_VALUE"""),0.217592592592592)</f>
        <v>0.2175925926</v>
      </c>
      <c r="G36" s="8">
        <f>IFERROR(__xludf.DUMMYFUNCTION("""COMPUTED_VALUE"""),0.174382716049382)</f>
        <v>0.174382716</v>
      </c>
      <c r="H36" s="8">
        <f>IFERROR(__xludf.DUMMYFUNCTION("""COMPUTED_VALUE"""),0.150621118012422)</f>
        <v>0.150621118</v>
      </c>
      <c r="I36" s="8">
        <f>IFERROR(__xludf.DUMMYFUNCTION("""COMPUTED_VALUE"""),0.12539184952978)</f>
        <v>0.1253918495</v>
      </c>
      <c r="J36" s="8">
        <f>IFERROR(__xludf.DUMMYFUNCTION("""COMPUTED_VALUE"""),0.106583072100313)</f>
        <v>0.1065830721</v>
      </c>
      <c r="K36" s="8">
        <f>IFERROR(__xludf.DUMMYFUNCTION("""COMPUTED_VALUE"""),0.102685624012638)</f>
        <v>0.102685624</v>
      </c>
      <c r="L36" s="8">
        <f>IFERROR(__xludf.DUMMYFUNCTION("""COMPUTED_VALUE"""),0.0985691573926868)</f>
        <v>0.09856915739</v>
      </c>
      <c r="M36" s="8">
        <f>IFERROR(__xludf.DUMMYFUNCTION("""COMPUTED_VALUE"""),0.0948553054662379)</f>
        <v>0.09485530547</v>
      </c>
      <c r="N36" s="8">
        <f>IFERROR(__xludf.DUMMYFUNCTION("""COMPUTED_VALUE"""),0.0874587458745874)</f>
        <v>0.08745874587</v>
      </c>
      <c r="O36" s="8">
        <f>IFERROR(__xludf.DUMMYFUNCTION("""COMPUTED_VALUE"""),0.0763500931098696)</f>
        <v>0.07635009311</v>
      </c>
      <c r="P36" s="8">
        <f>IFERROR(__xludf.DUMMYFUNCTION("""COMPUTED_VALUE"""),0.0489510489510489)</f>
        <v>0.04895104895</v>
      </c>
      <c r="Q36" s="8">
        <f>IFERROR(__xludf.DUMMYFUNCTION("""COMPUTED_VALUE"""),0.0)</f>
        <v>0</v>
      </c>
      <c r="R36" s="8">
        <f>IFERROR(__xludf.DUMMYFUNCTION("""COMPUTED_VALUE"""),0.0)</f>
        <v>0</v>
      </c>
      <c r="S36" s="8">
        <f>IFERROR(__xludf.DUMMYFUNCTION("""COMPUTED_VALUE"""),0.0)</f>
        <v>0</v>
      </c>
      <c r="T36" s="8">
        <f>IFERROR(__xludf.DUMMYFUNCTION("""COMPUTED_VALUE"""),0.0)</f>
        <v>0</v>
      </c>
      <c r="U36" s="8">
        <f>IFERROR(__xludf.DUMMYFUNCTION("""COMPUTED_VALUE"""),0.0)</f>
        <v>0</v>
      </c>
      <c r="V36" s="8">
        <f>IFERROR(__xludf.DUMMYFUNCTION("""COMPUTED_VALUE"""),0.0)</f>
        <v>0</v>
      </c>
      <c r="W36" s="8">
        <f>IFERROR(__xludf.DUMMYFUNCTION("""COMPUTED_VALUE"""),0.0)</f>
        <v>0</v>
      </c>
      <c r="X36" s="8">
        <f>IFERROR(__xludf.DUMMYFUNCTION("""COMPUTED_VALUE"""),0.0)</f>
        <v>0</v>
      </c>
      <c r="Y36" s="8">
        <f>IFERROR(__xludf.DUMMYFUNCTION("""COMPUTED_VALUE"""),0.0)</f>
        <v>0</v>
      </c>
      <c r="Z36" s="8">
        <f>IFERROR(__xludf.DUMMYFUNCTION("""COMPUTED_VALUE"""),0.0)</f>
        <v>0</v>
      </c>
      <c r="AA36" s="8">
        <f>IFERROR(__xludf.DUMMYFUNCTION("""COMPUTED_VALUE"""),0.0)</f>
        <v>0</v>
      </c>
      <c r="AB36" s="8">
        <f>IFERROR(__xludf.DUMMYFUNCTION("""COMPUTED_VALUE"""),0.0)</f>
        <v>0</v>
      </c>
      <c r="AC36" s="8">
        <f>IFERROR(__xludf.DUMMYFUNCTION("""COMPUTED_VALUE"""),0.0)</f>
        <v>0</v>
      </c>
    </row>
    <row r="37" ht="15.75" customHeight="1">
      <c r="A37" s="6" t="str">
        <f>IFERROR(__xludf.DUMMYFUNCTION("""COMPUTED_VALUE"""),"1f78098e196cc2154bbadfe054e0bdd13c10fa60")</f>
        <v>1f78098e196cc2154bbadfe054e0bdd13c10fa60</v>
      </c>
      <c r="B37" s="6" t="str">
        <f>IFERROR(__xludf.DUMMYFUNCTION("""COMPUTED_VALUE"""),"The Marriage Timer")</f>
        <v>The Marriage Timer</v>
      </c>
      <c r="C37" s="6" t="str">
        <f>IFERROR(__xludf.DUMMYFUNCTION("""COMPUTED_VALUE"""),"Romance")</f>
        <v>Romance</v>
      </c>
      <c r="D37" s="11">
        <f>IFERROR(__xludf.DUMMYFUNCTION("""COMPUTED_VALUE"""),1360.0)</f>
        <v>1360</v>
      </c>
      <c r="E37" s="8">
        <f>IFERROR(__xludf.DUMMYFUNCTION("""COMPUTED_VALUE"""),0.963154016212232)</f>
        <v>0.9631540162</v>
      </c>
      <c r="F37" s="8">
        <f>IFERROR(__xludf.DUMMYFUNCTION("""COMPUTED_VALUE"""),0.209439528023598)</f>
        <v>0.209439528</v>
      </c>
      <c r="G37" s="8">
        <f>IFERROR(__xludf.DUMMYFUNCTION("""COMPUTED_VALUE"""),0.15940959409594)</f>
        <v>0.1594095941</v>
      </c>
      <c r="H37" s="8">
        <f>IFERROR(__xludf.DUMMYFUNCTION("""COMPUTED_VALUE"""),0.146233382570162)</f>
        <v>0.1462333826</v>
      </c>
      <c r="I37" s="8">
        <f>IFERROR(__xludf.DUMMYFUNCTION("""COMPUTED_VALUE"""),0.128698224852071)</f>
        <v>0.1286982249</v>
      </c>
      <c r="J37" s="8">
        <f>IFERROR(__xludf.DUMMYFUNCTION("""COMPUTED_VALUE"""),0.121391561806069)</f>
        <v>0.1213915618</v>
      </c>
      <c r="K37" s="8">
        <f>IFERROR(__xludf.DUMMYFUNCTION("""COMPUTED_VALUE"""),0.114729829755736)</f>
        <v>0.1147298298</v>
      </c>
      <c r="L37" s="8">
        <f>IFERROR(__xludf.DUMMYFUNCTION("""COMPUTED_VALUE"""),0.111028867505551)</f>
        <v>0.1110288675</v>
      </c>
      <c r="M37" s="8">
        <f>IFERROR(__xludf.DUMMYFUNCTION("""COMPUTED_VALUE"""),0.106666666666666)</f>
        <v>0.1066666667</v>
      </c>
      <c r="N37" s="8">
        <f>IFERROR(__xludf.DUMMYFUNCTION("""COMPUTED_VALUE"""),0.106004447739065)</f>
        <v>0.1060044477</v>
      </c>
      <c r="O37" s="8">
        <f>IFERROR(__xludf.DUMMYFUNCTION("""COMPUTED_VALUE"""),0.0988847583643122)</f>
        <v>0.09888475836</v>
      </c>
      <c r="P37" s="8">
        <f>IFERROR(__xludf.DUMMYFUNCTION("""COMPUTED_VALUE"""),0.0458793542905692)</f>
        <v>0.04587935429</v>
      </c>
      <c r="Q37" s="8">
        <f>IFERROR(__xludf.DUMMYFUNCTION("""COMPUTED_VALUE"""),0.0302474793767186)</f>
        <v>0.03024747938</v>
      </c>
      <c r="R37" s="8">
        <f>IFERROR(__xludf.DUMMYFUNCTION("""COMPUTED_VALUE"""),0.0)</f>
        <v>0</v>
      </c>
      <c r="S37" s="8">
        <f>IFERROR(__xludf.DUMMYFUNCTION("""COMPUTED_VALUE"""),0.0)</f>
        <v>0</v>
      </c>
      <c r="T37" s="8">
        <f>IFERROR(__xludf.DUMMYFUNCTION("""COMPUTED_VALUE"""),0.0)</f>
        <v>0</v>
      </c>
      <c r="U37" s="8">
        <f>IFERROR(__xludf.DUMMYFUNCTION("""COMPUTED_VALUE"""),0.0)</f>
        <v>0</v>
      </c>
      <c r="V37" s="8">
        <f>IFERROR(__xludf.DUMMYFUNCTION("""COMPUTED_VALUE"""),0.0)</f>
        <v>0</v>
      </c>
      <c r="W37" s="8">
        <f>IFERROR(__xludf.DUMMYFUNCTION("""COMPUTED_VALUE"""),0.0)</f>
        <v>0</v>
      </c>
      <c r="X37" s="8">
        <f>IFERROR(__xludf.DUMMYFUNCTION("""COMPUTED_VALUE"""),0.0)</f>
        <v>0</v>
      </c>
      <c r="Y37" s="8">
        <f>IFERROR(__xludf.DUMMYFUNCTION("""COMPUTED_VALUE"""),0.0)</f>
        <v>0</v>
      </c>
      <c r="Z37" s="8">
        <f>IFERROR(__xludf.DUMMYFUNCTION("""COMPUTED_VALUE"""),0.0)</f>
        <v>0</v>
      </c>
      <c r="AA37" s="8">
        <f>IFERROR(__xludf.DUMMYFUNCTION("""COMPUTED_VALUE"""),0.0)</f>
        <v>0</v>
      </c>
      <c r="AB37" s="8">
        <f>IFERROR(__xludf.DUMMYFUNCTION("""COMPUTED_VALUE"""),0.0)</f>
        <v>0</v>
      </c>
      <c r="AC37" s="8">
        <f>IFERROR(__xludf.DUMMYFUNCTION("""COMPUTED_VALUE"""),0.0)</f>
        <v>0</v>
      </c>
    </row>
    <row r="38" ht="15.75" customHeight="1">
      <c r="A38" s="6" t="str">
        <f>IFERROR(__xludf.DUMMYFUNCTION("""COMPUTED_VALUE"""),"2039c770620dbd485e50118a476f0b91b4bd035b")</f>
        <v>2039c770620dbd485e50118a476f0b91b4bd035b</v>
      </c>
      <c r="B38" s="6" t="str">
        <f>IFERROR(__xludf.DUMMYFUNCTION("""COMPUTED_VALUE"""),"Princess Ebony &amp; the Silver Dragon - Remastered Edition")</f>
        <v>Princess Ebony &amp; the Silver Dragon - Remastered Edition</v>
      </c>
      <c r="C38" s="6" t="str">
        <f>IFERROR(__xludf.DUMMYFUNCTION("""COMPUTED_VALUE"""),"Fantasy")</f>
        <v>Fantasy</v>
      </c>
      <c r="D38" s="11">
        <f>IFERROR(__xludf.DUMMYFUNCTION("""COMPUTED_VALUE"""),5938.0)</f>
        <v>5938</v>
      </c>
      <c r="E38" s="8">
        <f>IFERROR(__xludf.DUMMYFUNCTION("""COMPUTED_VALUE"""),0.927602577144794)</f>
        <v>0.9276025771</v>
      </c>
      <c r="F38" s="8">
        <f>IFERROR(__xludf.DUMMYFUNCTION("""COMPUTED_VALUE"""),0.438163754710517)</f>
        <v>0.4381637547</v>
      </c>
      <c r="G38" s="8">
        <f>IFERROR(__xludf.DUMMYFUNCTION("""COMPUTED_VALUE"""),0.386678200692041)</f>
        <v>0.3866782007</v>
      </c>
      <c r="H38" s="8">
        <f>IFERROR(__xludf.DUMMYFUNCTION("""COMPUTED_VALUE"""),0.358141160027952)</f>
        <v>0.35814116</v>
      </c>
      <c r="I38" s="8">
        <f>IFERROR(__xludf.DUMMYFUNCTION("""COMPUTED_VALUE"""),0.340905088924106)</f>
        <v>0.3409050889</v>
      </c>
      <c r="J38" s="8">
        <f>IFERROR(__xludf.DUMMYFUNCTION("""COMPUTED_VALUE"""),0.327463536108146)</f>
        <v>0.3274635361</v>
      </c>
      <c r="K38" s="8">
        <f>IFERROR(__xludf.DUMMYFUNCTION("""COMPUTED_VALUE"""),0.316489839956842)</f>
        <v>0.31648984</v>
      </c>
      <c r="L38" s="8">
        <f>IFERROR(__xludf.DUMMYFUNCTION("""COMPUTED_VALUE"""),0.308448652585579)</f>
        <v>0.3084486526</v>
      </c>
      <c r="M38" s="8">
        <f>IFERROR(__xludf.DUMMYFUNCTION("""COMPUTED_VALUE"""),0.30422794117647)</f>
        <v>0.3042279412</v>
      </c>
      <c r="N38" s="8">
        <f>IFERROR(__xludf.DUMMYFUNCTION("""COMPUTED_VALUE"""),0.300837209302325)</f>
        <v>0.3008372093</v>
      </c>
      <c r="O38" s="8">
        <f>IFERROR(__xludf.DUMMYFUNCTION("""COMPUTED_VALUE"""),0.280642602142007)</f>
        <v>0.2806426021</v>
      </c>
      <c r="P38" s="8">
        <f>IFERROR(__xludf.DUMMYFUNCTION("""COMPUTED_VALUE"""),0.244017094017094)</f>
        <v>0.244017094</v>
      </c>
      <c r="Q38" s="8">
        <f>IFERROR(__xludf.DUMMYFUNCTION("""COMPUTED_VALUE"""),0.193683691093017)</f>
        <v>0.1936836911</v>
      </c>
      <c r="R38" s="8">
        <f>IFERROR(__xludf.DUMMYFUNCTION("""COMPUTED_VALUE"""),0.14262691377921)</f>
        <v>0.1426269138</v>
      </c>
      <c r="S38" s="8">
        <f>IFERROR(__xludf.DUMMYFUNCTION("""COMPUTED_VALUE"""),0.108549751969652)</f>
        <v>0.108549752</v>
      </c>
      <c r="T38" s="8">
        <f>IFERROR(__xludf.DUMMYFUNCTION("""COMPUTED_VALUE"""),0.0743519781718963)</f>
        <v>0.07435197817</v>
      </c>
      <c r="U38" s="8">
        <f>IFERROR(__xludf.DUMMYFUNCTION("""COMPUTED_VALUE"""),0.0612648221343873)</f>
        <v>0.06126482213</v>
      </c>
      <c r="V38" s="8">
        <f>IFERROR(__xludf.DUMMYFUNCTION("""COMPUTED_VALUE"""),0.0602076124567474)</f>
        <v>0.06020761246</v>
      </c>
      <c r="W38" s="8">
        <f>IFERROR(__xludf.DUMMYFUNCTION("""COMPUTED_VALUE"""),0.0444874274661508)</f>
        <v>0.04448742747</v>
      </c>
      <c r="X38" s="8">
        <f>IFERROR(__xludf.DUMMYFUNCTION("""COMPUTED_VALUE"""),0.0159010600706713)</f>
        <v>0.01590106007</v>
      </c>
      <c r="Y38" s="8">
        <f>IFERROR(__xludf.DUMMYFUNCTION("""COMPUTED_VALUE"""),0.0)</f>
        <v>0</v>
      </c>
      <c r="Z38" s="8">
        <f>IFERROR(__xludf.DUMMYFUNCTION("""COMPUTED_VALUE"""),0.0)</f>
        <v>0</v>
      </c>
      <c r="AA38" s="8">
        <f>IFERROR(__xludf.DUMMYFUNCTION("""COMPUTED_VALUE"""),0.0)</f>
        <v>0</v>
      </c>
      <c r="AB38" s="8">
        <f>IFERROR(__xludf.DUMMYFUNCTION("""COMPUTED_VALUE"""),0.0)</f>
        <v>0</v>
      </c>
      <c r="AC38" s="8">
        <f>IFERROR(__xludf.DUMMYFUNCTION("""COMPUTED_VALUE"""),0.0)</f>
        <v>0</v>
      </c>
    </row>
    <row r="39" ht="15.75" customHeight="1">
      <c r="A39" s="6" t="str">
        <f>IFERROR(__xludf.DUMMYFUNCTION("""COMPUTED_VALUE"""),"215d4622bad0b1fca5cb36bca9f92b3c41d21f7e")</f>
        <v>215d4622bad0b1fca5cb36bca9f92b3c41d21f7e</v>
      </c>
      <c r="B39" s="6" t="str">
        <f>IFERROR(__xludf.DUMMYFUNCTION("""COMPUTED_VALUE"""),"Aiden's Regression")</f>
        <v>Aiden's Regression</v>
      </c>
      <c r="C39" s="6" t="str">
        <f>IFERROR(__xludf.DUMMYFUNCTION("""COMPUTED_VALUE"""),"System and Superpower")</f>
        <v>System and Superpower</v>
      </c>
      <c r="D39" s="11">
        <f>IFERROR(__xludf.DUMMYFUNCTION("""COMPUTED_VALUE"""),1239.0)</f>
        <v>1239</v>
      </c>
      <c r="E39" s="8">
        <f>IFERROR(__xludf.DUMMYFUNCTION("""COMPUTED_VALUE"""),0.962753036437247)</f>
        <v>0.9627530364</v>
      </c>
      <c r="F39" s="8">
        <f>IFERROR(__xludf.DUMMYFUNCTION("""COMPUTED_VALUE"""),0.574918566775244)</f>
        <v>0.5749185668</v>
      </c>
      <c r="G39" s="8">
        <f>IFERROR(__xludf.DUMMYFUNCTION("""COMPUTED_VALUE"""),0.525285481239804)</f>
        <v>0.5252854812</v>
      </c>
      <c r="H39" s="8">
        <f>IFERROR(__xludf.DUMMYFUNCTION("""COMPUTED_VALUE"""),0.498775510204081)</f>
        <v>0.4987755102</v>
      </c>
      <c r="I39" s="8">
        <f>IFERROR(__xludf.DUMMYFUNCTION("""COMPUTED_VALUE"""),0.477049180327868)</f>
        <v>0.4770491803</v>
      </c>
      <c r="J39" s="8">
        <f>IFERROR(__xludf.DUMMYFUNCTION("""COMPUTED_VALUE"""),0.457166392092257)</f>
        <v>0.4571663921</v>
      </c>
      <c r="K39" s="8">
        <f>IFERROR(__xludf.DUMMYFUNCTION("""COMPUTED_VALUE"""),0.442880794701986)</f>
        <v>0.4428807947</v>
      </c>
      <c r="L39" s="8">
        <f>IFERROR(__xludf.DUMMYFUNCTION("""COMPUTED_VALUE"""),0.420615128844555)</f>
        <v>0.4206151288</v>
      </c>
      <c r="M39" s="8">
        <f>IFERROR(__xludf.DUMMYFUNCTION("""COMPUTED_VALUE"""),0.402835696413678)</f>
        <v>0.4028356964</v>
      </c>
      <c r="N39" s="8">
        <f>IFERROR(__xludf.DUMMYFUNCTION("""COMPUTED_VALUE"""),0.385390428211586)</f>
        <v>0.3853904282</v>
      </c>
      <c r="O39" s="8">
        <f>IFERROR(__xludf.DUMMYFUNCTION("""COMPUTED_VALUE"""),0.362911266201395)</f>
        <v>0.3629112662</v>
      </c>
      <c r="P39" s="8">
        <f>IFERROR(__xludf.DUMMYFUNCTION("""COMPUTED_VALUE"""),0.288088642659279)</f>
        <v>0.2880886427</v>
      </c>
      <c r="Q39" s="8">
        <f>IFERROR(__xludf.DUMMYFUNCTION("""COMPUTED_VALUE"""),0.0)</f>
        <v>0</v>
      </c>
      <c r="R39" s="8">
        <f>IFERROR(__xludf.DUMMYFUNCTION("""COMPUTED_VALUE"""),0.0)</f>
        <v>0</v>
      </c>
      <c r="S39" s="8">
        <f>IFERROR(__xludf.DUMMYFUNCTION("""COMPUTED_VALUE"""),0.0)</f>
        <v>0</v>
      </c>
      <c r="T39" s="8">
        <f>IFERROR(__xludf.DUMMYFUNCTION("""COMPUTED_VALUE"""),0.0)</f>
        <v>0</v>
      </c>
      <c r="U39" s="8">
        <f>IFERROR(__xludf.DUMMYFUNCTION("""COMPUTED_VALUE"""),0.0)</f>
        <v>0</v>
      </c>
      <c r="V39" s="8">
        <f>IFERROR(__xludf.DUMMYFUNCTION("""COMPUTED_VALUE"""),0.0)</f>
        <v>0</v>
      </c>
      <c r="W39" s="8">
        <f>IFERROR(__xludf.DUMMYFUNCTION("""COMPUTED_VALUE"""),0.0)</f>
        <v>0</v>
      </c>
      <c r="X39" s="8">
        <f>IFERROR(__xludf.DUMMYFUNCTION("""COMPUTED_VALUE"""),0.0)</f>
        <v>0</v>
      </c>
      <c r="Y39" s="8">
        <f>IFERROR(__xludf.DUMMYFUNCTION("""COMPUTED_VALUE"""),0.0)</f>
        <v>0</v>
      </c>
      <c r="Z39" s="8">
        <f>IFERROR(__xludf.DUMMYFUNCTION("""COMPUTED_VALUE"""),0.0)</f>
        <v>0</v>
      </c>
      <c r="AA39" s="8">
        <f>IFERROR(__xludf.DUMMYFUNCTION("""COMPUTED_VALUE"""),0.0)</f>
        <v>0</v>
      </c>
      <c r="AB39" s="8">
        <f>IFERROR(__xludf.DUMMYFUNCTION("""COMPUTED_VALUE"""),0.0)</f>
        <v>0</v>
      </c>
      <c r="AC39" s="8">
        <f>IFERROR(__xludf.DUMMYFUNCTION("""COMPUTED_VALUE"""),0.0)</f>
        <v>0</v>
      </c>
    </row>
    <row r="40" ht="15.75" customHeight="1">
      <c r="A40" s="6" t="str">
        <f>IFERROR(__xludf.DUMMYFUNCTION("""COMPUTED_VALUE"""),"2217881cc8f3c05fb3e0dbf70a118129e4e12471")</f>
        <v>2217881cc8f3c05fb3e0dbf70a118129e4e12471</v>
      </c>
      <c r="B40" s="6" t="str">
        <f>IFERROR(__xludf.DUMMYFUNCTION("""COMPUTED_VALUE"""),"Sevenfold Saint's Rise")</f>
        <v>Sevenfold Saint's Rise</v>
      </c>
      <c r="C40" s="6" t="str">
        <f>IFERROR(__xludf.DUMMYFUNCTION("""COMPUTED_VALUE"""),"Fantasy")</f>
        <v>Fantasy</v>
      </c>
      <c r="D40" s="11">
        <f>IFERROR(__xludf.DUMMYFUNCTION("""COMPUTED_VALUE"""),681.0)</f>
        <v>681</v>
      </c>
      <c r="E40" s="8">
        <f>IFERROR(__xludf.DUMMYFUNCTION("""COMPUTED_VALUE"""),0.98237885462555)</f>
        <v>0.9823788546</v>
      </c>
      <c r="F40" s="8">
        <f>IFERROR(__xludf.DUMMYFUNCTION("""COMPUTED_VALUE"""),0.614475627769571)</f>
        <v>0.6144756278</v>
      </c>
      <c r="G40" s="8">
        <f>IFERROR(__xludf.DUMMYFUNCTION("""COMPUTED_VALUE"""),0.540178571428571)</f>
        <v>0.5401785714</v>
      </c>
      <c r="H40" s="8">
        <f>IFERROR(__xludf.DUMMYFUNCTION("""COMPUTED_VALUE"""),0.526946107784431)</f>
        <v>0.5269461078</v>
      </c>
      <c r="I40" s="8">
        <f>IFERROR(__xludf.DUMMYFUNCTION("""COMPUTED_VALUE"""),0.451807228915662)</f>
        <v>0.4518072289</v>
      </c>
      <c r="J40" s="8">
        <f>IFERROR(__xludf.DUMMYFUNCTION("""COMPUTED_VALUE"""),0.403669724770642)</f>
        <v>0.4036697248</v>
      </c>
      <c r="K40" s="8">
        <f>IFERROR(__xludf.DUMMYFUNCTION("""COMPUTED_VALUE"""),0.352574102964118)</f>
        <v>0.352574103</v>
      </c>
      <c r="L40" s="8">
        <f>IFERROR(__xludf.DUMMYFUNCTION("""COMPUTED_VALUE"""),0.332185886402753)</f>
        <v>0.3321858864</v>
      </c>
      <c r="M40" s="8">
        <f>IFERROR(__xludf.DUMMYFUNCTION("""COMPUTED_VALUE"""),0.297247706422018)</f>
        <v>0.2972477064</v>
      </c>
      <c r="N40" s="8">
        <f>IFERROR(__xludf.DUMMYFUNCTION("""COMPUTED_VALUE"""),0.250530785562632)</f>
        <v>0.2505307856</v>
      </c>
      <c r="O40" s="8">
        <f>IFERROR(__xludf.DUMMYFUNCTION("""COMPUTED_VALUE"""),0.0)</f>
        <v>0</v>
      </c>
      <c r="P40" s="8">
        <f>IFERROR(__xludf.DUMMYFUNCTION("""COMPUTED_VALUE"""),0.0)</f>
        <v>0</v>
      </c>
      <c r="Q40" s="8">
        <f>IFERROR(__xludf.DUMMYFUNCTION("""COMPUTED_VALUE"""),0.0)</f>
        <v>0</v>
      </c>
      <c r="R40" s="8">
        <f>IFERROR(__xludf.DUMMYFUNCTION("""COMPUTED_VALUE"""),0.0)</f>
        <v>0</v>
      </c>
      <c r="S40" s="8">
        <f>IFERROR(__xludf.DUMMYFUNCTION("""COMPUTED_VALUE"""),0.0)</f>
        <v>0</v>
      </c>
      <c r="T40" s="8">
        <f>IFERROR(__xludf.DUMMYFUNCTION("""COMPUTED_VALUE"""),0.0)</f>
        <v>0</v>
      </c>
      <c r="U40" s="8">
        <f>IFERROR(__xludf.DUMMYFUNCTION("""COMPUTED_VALUE"""),0.0)</f>
        <v>0</v>
      </c>
      <c r="V40" s="8">
        <f>IFERROR(__xludf.DUMMYFUNCTION("""COMPUTED_VALUE"""),0.0)</f>
        <v>0</v>
      </c>
      <c r="W40" s="8">
        <f>IFERROR(__xludf.DUMMYFUNCTION("""COMPUTED_VALUE"""),0.0)</f>
        <v>0</v>
      </c>
      <c r="X40" s="8">
        <f>IFERROR(__xludf.DUMMYFUNCTION("""COMPUTED_VALUE"""),0.0)</f>
        <v>0</v>
      </c>
      <c r="Y40" s="8">
        <f>IFERROR(__xludf.DUMMYFUNCTION("""COMPUTED_VALUE"""),0.0)</f>
        <v>0</v>
      </c>
      <c r="Z40" s="8">
        <f>IFERROR(__xludf.DUMMYFUNCTION("""COMPUTED_VALUE"""),0.0)</f>
        <v>0</v>
      </c>
      <c r="AA40" s="8">
        <f>IFERROR(__xludf.DUMMYFUNCTION("""COMPUTED_VALUE"""),0.0)</f>
        <v>0</v>
      </c>
      <c r="AB40" s="8">
        <f>IFERROR(__xludf.DUMMYFUNCTION("""COMPUTED_VALUE"""),0.0)</f>
        <v>0</v>
      </c>
      <c r="AC40" s="8">
        <f>IFERROR(__xludf.DUMMYFUNCTION("""COMPUTED_VALUE"""),0.0)</f>
        <v>0</v>
      </c>
    </row>
    <row r="41" ht="15.75" customHeight="1">
      <c r="A41" s="6" t="str">
        <f>IFERROR(__xludf.DUMMYFUNCTION("""COMPUTED_VALUE"""),"23200139c53ab123429a0f621a7519272bf21ea7")</f>
        <v>23200139c53ab123429a0f621a7519272bf21ea7</v>
      </c>
      <c r="B41" s="6" t="str">
        <f>IFERROR(__xludf.DUMMYFUNCTION("""COMPUTED_VALUE"""),"The Fae Lycan Abomination")</f>
        <v>The Fae Lycan Abomination</v>
      </c>
      <c r="C41" s="6" t="str">
        <f>IFERROR(__xludf.DUMMYFUNCTION("""COMPUTED_VALUE"""),"Fantasy")</f>
        <v>Fantasy</v>
      </c>
      <c r="D41" s="11">
        <f>IFERROR(__xludf.DUMMYFUNCTION("""COMPUTED_VALUE"""),212.0)</f>
        <v>212</v>
      </c>
      <c r="E41" s="8">
        <f>IFERROR(__xludf.DUMMYFUNCTION("""COMPUTED_VALUE"""),0.971698113207547)</f>
        <v>0.9716981132</v>
      </c>
      <c r="F41" s="8">
        <f>IFERROR(__xludf.DUMMYFUNCTION("""COMPUTED_VALUE"""),0.309523809523809)</f>
        <v>0.3095238095</v>
      </c>
      <c r="G41" s="8">
        <f>IFERROR(__xludf.DUMMYFUNCTION("""COMPUTED_VALUE"""),0.199029126213592)</f>
        <v>0.1990291262</v>
      </c>
      <c r="H41" s="8">
        <f>IFERROR(__xludf.DUMMYFUNCTION("""COMPUTED_VALUE"""),0.160621761658031)</f>
        <v>0.1606217617</v>
      </c>
      <c r="I41" s="8">
        <f>IFERROR(__xludf.DUMMYFUNCTION("""COMPUTED_VALUE"""),0.157608695652173)</f>
        <v>0.1576086957</v>
      </c>
      <c r="J41" s="8">
        <f>IFERROR(__xludf.DUMMYFUNCTION("""COMPUTED_VALUE"""),0.134502923976608)</f>
        <v>0.134502924</v>
      </c>
      <c r="K41" s="8">
        <f>IFERROR(__xludf.DUMMYFUNCTION("""COMPUTED_VALUE"""),0.121212121212121)</f>
        <v>0.1212121212</v>
      </c>
      <c r="L41" s="8">
        <f>IFERROR(__xludf.DUMMYFUNCTION("""COMPUTED_VALUE"""),0.101910828025477)</f>
        <v>0.101910828</v>
      </c>
      <c r="M41" s="8">
        <f>IFERROR(__xludf.DUMMYFUNCTION("""COMPUTED_VALUE"""),0.0967741935483871)</f>
        <v>0.09677419355</v>
      </c>
      <c r="N41" s="8">
        <f>IFERROR(__xludf.DUMMYFUNCTION("""COMPUTED_VALUE"""),0.0733333333333333)</f>
        <v>0.07333333333</v>
      </c>
      <c r="O41" s="8">
        <f>IFERROR(__xludf.DUMMYFUNCTION("""COMPUTED_VALUE"""),0.0601503759398496)</f>
        <v>0.06015037594</v>
      </c>
      <c r="P41" s="8">
        <f>IFERROR(__xludf.DUMMYFUNCTION("""COMPUTED_VALUE"""),0.06)</f>
        <v>0.06</v>
      </c>
      <c r="Q41" s="8">
        <f>IFERROR(__xludf.DUMMYFUNCTION("""COMPUTED_VALUE"""),0.0)</f>
        <v>0</v>
      </c>
      <c r="R41" s="8">
        <f>IFERROR(__xludf.DUMMYFUNCTION("""COMPUTED_VALUE"""),0.0)</f>
        <v>0</v>
      </c>
      <c r="S41" s="8">
        <f>IFERROR(__xludf.DUMMYFUNCTION("""COMPUTED_VALUE"""),0.0)</f>
        <v>0</v>
      </c>
      <c r="T41" s="8">
        <f>IFERROR(__xludf.DUMMYFUNCTION("""COMPUTED_VALUE"""),0.0)</f>
        <v>0</v>
      </c>
      <c r="U41" s="8">
        <f>IFERROR(__xludf.DUMMYFUNCTION("""COMPUTED_VALUE"""),0.0)</f>
        <v>0</v>
      </c>
      <c r="V41" s="8">
        <f>IFERROR(__xludf.DUMMYFUNCTION("""COMPUTED_VALUE"""),0.0)</f>
        <v>0</v>
      </c>
      <c r="W41" s="8">
        <f>IFERROR(__xludf.DUMMYFUNCTION("""COMPUTED_VALUE"""),0.0)</f>
        <v>0</v>
      </c>
      <c r="X41" s="8">
        <f>IFERROR(__xludf.DUMMYFUNCTION("""COMPUTED_VALUE"""),0.0)</f>
        <v>0</v>
      </c>
      <c r="Y41" s="8">
        <f>IFERROR(__xludf.DUMMYFUNCTION("""COMPUTED_VALUE"""),0.0)</f>
        <v>0</v>
      </c>
      <c r="Z41" s="8">
        <f>IFERROR(__xludf.DUMMYFUNCTION("""COMPUTED_VALUE"""),0.0)</f>
        <v>0</v>
      </c>
      <c r="AA41" s="8">
        <f>IFERROR(__xludf.DUMMYFUNCTION("""COMPUTED_VALUE"""),0.0)</f>
        <v>0</v>
      </c>
      <c r="AB41" s="8">
        <f>IFERROR(__xludf.DUMMYFUNCTION("""COMPUTED_VALUE"""),0.0)</f>
        <v>0</v>
      </c>
      <c r="AC41" s="8">
        <f>IFERROR(__xludf.DUMMYFUNCTION("""COMPUTED_VALUE"""),0.0)</f>
        <v>0</v>
      </c>
    </row>
    <row r="42" ht="15.75" customHeight="1">
      <c r="A42" s="6" t="str">
        <f>IFERROR(__xludf.DUMMYFUNCTION("""COMPUTED_VALUE"""),"234ed47144507d63e9a903acfe37512c24bc9290")</f>
        <v>234ed47144507d63e9a903acfe37512c24bc9290</v>
      </c>
      <c r="B42" s="6" t="str">
        <f>IFERROR(__xludf.DUMMYFUNCTION("""COMPUTED_VALUE"""),"Twists of Love &amp; Revenge")</f>
        <v>Twists of Love &amp; Revenge</v>
      </c>
      <c r="C42" s="6" t="str">
        <f>IFERROR(__xludf.DUMMYFUNCTION("""COMPUTED_VALUE"""),"Drama")</f>
        <v>Drama</v>
      </c>
      <c r="D42" s="11">
        <f>IFERROR(__xludf.DUMMYFUNCTION("""COMPUTED_VALUE"""),5637.0)</f>
        <v>5637</v>
      </c>
      <c r="E42" s="8">
        <f>IFERROR(__xludf.DUMMYFUNCTION("""COMPUTED_VALUE"""),0.912261380323054)</f>
        <v>0.9122613803</v>
      </c>
      <c r="F42" s="8">
        <f>IFERROR(__xludf.DUMMYFUNCTION("""COMPUTED_VALUE"""),0.502118253822066)</f>
        <v>0.5021182538</v>
      </c>
      <c r="G42" s="8">
        <f>IFERROR(__xludf.DUMMYFUNCTION("""COMPUTED_VALUE"""),0.447110947018645)</f>
        <v>0.447110947</v>
      </c>
      <c r="H42" s="8">
        <f>IFERROR(__xludf.DUMMYFUNCTION("""COMPUTED_VALUE"""),0.405440414507772)</f>
        <v>0.4054404145</v>
      </c>
      <c r="I42" s="8">
        <f>IFERROR(__xludf.DUMMYFUNCTION("""COMPUTED_VALUE"""),0.384801189149015)</f>
        <v>0.3848011891</v>
      </c>
      <c r="J42" s="8">
        <f>IFERROR(__xludf.DUMMYFUNCTION("""COMPUTED_VALUE"""),0.374254843517138)</f>
        <v>0.3742548435</v>
      </c>
      <c r="K42" s="8">
        <f>IFERROR(__xludf.DUMMYFUNCTION("""COMPUTED_VALUE"""),0.358328670024249)</f>
        <v>0.35832867</v>
      </c>
      <c r="L42" s="8">
        <f>IFERROR(__xludf.DUMMYFUNCTION("""COMPUTED_VALUE"""),0.342937324602432)</f>
        <v>0.3429373246</v>
      </c>
      <c r="M42" s="8">
        <f>IFERROR(__xludf.DUMMYFUNCTION("""COMPUTED_VALUE"""),0.33339580209895)</f>
        <v>0.3333958021</v>
      </c>
      <c r="N42" s="8">
        <f>IFERROR(__xludf.DUMMYFUNCTION("""COMPUTED_VALUE"""),0.326568959037955)</f>
        <v>0.326568959</v>
      </c>
      <c r="O42" s="8">
        <f>IFERROR(__xludf.DUMMYFUNCTION("""COMPUTED_VALUE"""),0.307721639656816)</f>
        <v>0.3077216397</v>
      </c>
      <c r="P42" s="8">
        <f>IFERROR(__xludf.DUMMYFUNCTION("""COMPUTED_VALUE"""),0.25598743619945)</f>
        <v>0.2559874362</v>
      </c>
      <c r="Q42" s="8">
        <f>IFERROR(__xludf.DUMMYFUNCTION("""COMPUTED_VALUE"""),0.202524038461538)</f>
        <v>0.2025240385</v>
      </c>
      <c r="R42" s="8">
        <f>IFERROR(__xludf.DUMMYFUNCTION("""COMPUTED_VALUE"""),0.157018078407475)</f>
        <v>0.1570180784</v>
      </c>
      <c r="S42" s="8">
        <f>IFERROR(__xludf.DUMMYFUNCTION("""COMPUTED_VALUE"""),0.135635018495684)</f>
        <v>0.1356350185</v>
      </c>
      <c r="T42" s="8">
        <f>IFERROR(__xludf.DUMMYFUNCTION("""COMPUTED_VALUE"""),0.127446897126197)</f>
        <v>0.1274468971</v>
      </c>
      <c r="U42" s="8">
        <f>IFERROR(__xludf.DUMMYFUNCTION("""COMPUTED_VALUE"""),0.117597292724196)</f>
        <v>0.1175972927</v>
      </c>
      <c r="V42" s="8">
        <f>IFERROR(__xludf.DUMMYFUNCTION("""COMPUTED_VALUE"""),0.108984830805134)</f>
        <v>0.1089848308</v>
      </c>
      <c r="W42" s="8">
        <f>IFERROR(__xludf.DUMMYFUNCTION("""COMPUTED_VALUE"""),0.102295409181636)</f>
        <v>0.1022954092</v>
      </c>
      <c r="X42" s="8">
        <f>IFERROR(__xludf.DUMMYFUNCTION("""COMPUTED_VALUE"""),0.0948574473754329)</f>
        <v>0.09485744738</v>
      </c>
      <c r="Y42" s="8">
        <f>IFERROR(__xludf.DUMMYFUNCTION("""COMPUTED_VALUE"""),0.0785938839668476)</f>
        <v>0.07859388397</v>
      </c>
      <c r="Z42" s="8">
        <f>IFERROR(__xludf.DUMMYFUNCTION("""COMPUTED_VALUE"""),0.0611179361179361)</f>
        <v>0.06111793612</v>
      </c>
      <c r="AA42" s="8">
        <f>IFERROR(__xludf.DUMMYFUNCTION("""COMPUTED_VALUE"""),0.0306372549019607)</f>
        <v>0.0306372549</v>
      </c>
      <c r="AB42" s="8">
        <f>IFERROR(__xludf.DUMMYFUNCTION("""COMPUTED_VALUE"""),0.0240963855421686)</f>
        <v>0.02409638554</v>
      </c>
      <c r="AC42" s="8">
        <f>IFERROR(__xludf.DUMMYFUNCTION("""COMPUTED_VALUE"""),0.0)</f>
        <v>0</v>
      </c>
    </row>
    <row r="43" ht="15.75" customHeight="1">
      <c r="A43" s="6" t="str">
        <f>IFERROR(__xludf.DUMMYFUNCTION("""COMPUTED_VALUE"""),"239987644f409ac822be4ca9051a98eb8bf7e766")</f>
        <v>239987644f409ac822be4ca9051a98eb8bf7e766</v>
      </c>
      <c r="B43" s="6" t="str">
        <f>IFERROR(__xludf.DUMMYFUNCTION("""COMPUTED_VALUE"""),"The Silent Rebirth")</f>
        <v>The Silent Rebirth</v>
      </c>
      <c r="C43" s="6" t="str">
        <f>IFERROR(__xludf.DUMMYFUNCTION("""COMPUTED_VALUE"""),"Romantasy")</f>
        <v>Romantasy</v>
      </c>
      <c r="D43" s="11">
        <f>IFERROR(__xludf.DUMMYFUNCTION("""COMPUTED_VALUE"""),3865.0)</f>
        <v>3865</v>
      </c>
      <c r="E43" s="8">
        <f>IFERROR(__xludf.DUMMYFUNCTION("""COMPUTED_VALUE"""),0.956994818652849)</f>
        <v>0.9569948187</v>
      </c>
      <c r="F43" s="8">
        <f>IFERROR(__xludf.DUMMYFUNCTION("""COMPUTED_VALUE"""),0.425388601036269)</f>
        <v>0.425388601</v>
      </c>
      <c r="G43" s="8">
        <f>IFERROR(__xludf.DUMMYFUNCTION("""COMPUTED_VALUE"""),0.360103626943005)</f>
        <v>0.3601036269</v>
      </c>
      <c r="H43" s="8">
        <f>IFERROR(__xludf.DUMMYFUNCTION("""COMPUTED_VALUE"""),0.333679025149079)</f>
        <v>0.3336790251</v>
      </c>
      <c r="I43" s="8">
        <f>IFERROR(__xludf.DUMMYFUNCTION("""COMPUTED_VALUE"""),0.321752657505833)</f>
        <v>0.3217526575</v>
      </c>
      <c r="J43" s="8">
        <f>IFERROR(__xludf.DUMMYFUNCTION("""COMPUTED_VALUE"""),0.305677988073632)</f>
        <v>0.3056779881</v>
      </c>
      <c r="K43" s="8">
        <f>IFERROR(__xludf.DUMMYFUNCTION("""COMPUTED_VALUE"""),0.282676348547717)</f>
        <v>0.2826763485</v>
      </c>
      <c r="L43" s="8">
        <f>IFERROR(__xludf.DUMMYFUNCTION("""COMPUTED_VALUE"""),0.272255385413963)</f>
        <v>0.2722553854</v>
      </c>
      <c r="M43" s="8">
        <f>IFERROR(__xludf.DUMMYFUNCTION("""COMPUTED_VALUE"""),0.260903426791277)</f>
        <v>0.2609034268</v>
      </c>
      <c r="N43" s="8">
        <f>IFERROR(__xludf.DUMMYFUNCTION("""COMPUTED_VALUE"""),0.254545454545454)</f>
        <v>0.2545454545</v>
      </c>
      <c r="O43" s="8">
        <f>IFERROR(__xludf.DUMMYFUNCTION("""COMPUTED_VALUE"""),0.239781306951314)</f>
        <v>0.239781307</v>
      </c>
      <c r="P43" s="8">
        <f>IFERROR(__xludf.DUMMYFUNCTION("""COMPUTED_VALUE"""),0.192418300653594)</f>
        <v>0.1924183007</v>
      </c>
      <c r="Q43" s="8">
        <f>IFERROR(__xludf.DUMMYFUNCTION("""COMPUTED_VALUE"""),0.129551451187335)</f>
        <v>0.1295514512</v>
      </c>
      <c r="R43" s="8">
        <f>IFERROR(__xludf.DUMMYFUNCTION("""COMPUTED_VALUE"""),0.110687022900763)</f>
        <v>0.1106870229</v>
      </c>
      <c r="S43" s="8">
        <f>IFERROR(__xludf.DUMMYFUNCTION("""COMPUTED_VALUE"""),0.099322033898305)</f>
        <v>0.0993220339</v>
      </c>
      <c r="T43" s="8">
        <f>IFERROR(__xludf.DUMMYFUNCTION("""COMPUTED_VALUE"""),0.086734693877551)</f>
        <v>0.08673469388</v>
      </c>
      <c r="U43" s="8">
        <f>IFERROR(__xludf.DUMMYFUNCTION("""COMPUTED_VALUE"""),0.0714285714285714)</f>
        <v>0.07142857143</v>
      </c>
      <c r="V43" s="8">
        <f>IFERROR(__xludf.DUMMYFUNCTION("""COMPUTED_VALUE"""),0.0579710144927536)</f>
        <v>0.05797101449</v>
      </c>
      <c r="W43" s="8">
        <f>IFERROR(__xludf.DUMMYFUNCTION("""COMPUTED_VALUE"""),0.0467836257309941)</f>
        <v>0.04678362573</v>
      </c>
      <c r="X43" s="8">
        <f>IFERROR(__xludf.DUMMYFUNCTION("""COMPUTED_VALUE"""),0.0391644908616188)</f>
        <v>0.03916449086</v>
      </c>
      <c r="Y43" s="8">
        <f>IFERROR(__xludf.DUMMYFUNCTION("""COMPUTED_VALUE"""),0.0)</f>
        <v>0</v>
      </c>
      <c r="Z43" s="8">
        <f>IFERROR(__xludf.DUMMYFUNCTION("""COMPUTED_VALUE"""),0.0)</f>
        <v>0</v>
      </c>
      <c r="AA43" s="8">
        <f>IFERROR(__xludf.DUMMYFUNCTION("""COMPUTED_VALUE"""),0.0)</f>
        <v>0</v>
      </c>
      <c r="AB43" s="8">
        <f>IFERROR(__xludf.DUMMYFUNCTION("""COMPUTED_VALUE"""),0.0)</f>
        <v>0</v>
      </c>
      <c r="AC43" s="8">
        <f>IFERROR(__xludf.DUMMYFUNCTION("""COMPUTED_VALUE"""),0.0)</f>
        <v>0</v>
      </c>
    </row>
    <row r="44" ht="15.75" customHeight="1">
      <c r="A44" s="6" t="str">
        <f>IFERROR(__xludf.DUMMYFUNCTION("""COMPUTED_VALUE"""),"239fafc880752526fba110a11c49b101aec7192f")</f>
        <v>239fafc880752526fba110a11c49b101aec7192f</v>
      </c>
      <c r="B44" s="6" t="str">
        <f>IFERROR(__xludf.DUMMYFUNCTION("""COMPUTED_VALUE"""),"Mama's Lil Kings")</f>
        <v>Mama's Lil Kings</v>
      </c>
      <c r="C44" s="6" t="str">
        <f>IFERROR(__xludf.DUMMYFUNCTION("""COMPUTED_VALUE"""),"Drama")</f>
        <v>Drama</v>
      </c>
      <c r="D44" s="11">
        <f>IFERROR(__xludf.DUMMYFUNCTION("""COMPUTED_VALUE"""),92.0)</f>
        <v>92</v>
      </c>
      <c r="E44" s="8">
        <f>IFERROR(__xludf.DUMMYFUNCTION("""COMPUTED_VALUE"""),0.78021978021978)</f>
        <v>0.7802197802</v>
      </c>
      <c r="F44" s="8">
        <f>IFERROR(__xludf.DUMMYFUNCTION("""COMPUTED_VALUE"""),0.2)</f>
        <v>0.2</v>
      </c>
      <c r="G44" s="8">
        <f>IFERROR(__xludf.DUMMYFUNCTION("""COMPUTED_VALUE"""),0.157303370786516)</f>
        <v>0.1573033708</v>
      </c>
      <c r="H44" s="8">
        <f>IFERROR(__xludf.DUMMYFUNCTION("""COMPUTED_VALUE"""),0.103448275862068)</f>
        <v>0.1034482759</v>
      </c>
      <c r="I44" s="8">
        <f>IFERROR(__xludf.DUMMYFUNCTION("""COMPUTED_VALUE"""),0.119047619047619)</f>
        <v>0.119047619</v>
      </c>
      <c r="J44" s="8">
        <f>IFERROR(__xludf.DUMMYFUNCTION("""COMPUTED_VALUE"""),0.134146341463414)</f>
        <v>0.1341463415</v>
      </c>
      <c r="K44" s="8">
        <f>IFERROR(__xludf.DUMMYFUNCTION("""COMPUTED_VALUE"""),0.146341463414634)</f>
        <v>0.1463414634</v>
      </c>
      <c r="L44" s="8">
        <f>IFERROR(__xludf.DUMMYFUNCTION("""COMPUTED_VALUE"""),0.1875)</f>
        <v>0.1875</v>
      </c>
      <c r="M44" s="8">
        <f>IFERROR(__xludf.DUMMYFUNCTION("""COMPUTED_VALUE"""),0.12)</f>
        <v>0.12</v>
      </c>
      <c r="N44" s="8">
        <f>IFERROR(__xludf.DUMMYFUNCTION("""COMPUTED_VALUE"""),0.126760563380281)</f>
        <v>0.1267605634</v>
      </c>
      <c r="O44" s="8">
        <f>IFERROR(__xludf.DUMMYFUNCTION("""COMPUTED_VALUE"""),0.125)</f>
        <v>0.125</v>
      </c>
      <c r="P44" s="8">
        <f>IFERROR(__xludf.DUMMYFUNCTION("""COMPUTED_VALUE"""),0.116666666666666)</f>
        <v>0.1166666667</v>
      </c>
      <c r="Q44" s="8">
        <f>IFERROR(__xludf.DUMMYFUNCTION("""COMPUTED_VALUE"""),0.125)</f>
        <v>0.125</v>
      </c>
      <c r="R44" s="8">
        <f>IFERROR(__xludf.DUMMYFUNCTION("""COMPUTED_VALUE"""),0.0769230769230769)</f>
        <v>0.07692307692</v>
      </c>
      <c r="S44" s="8">
        <f>IFERROR(__xludf.DUMMYFUNCTION("""COMPUTED_VALUE"""),0.064516129032258)</f>
        <v>0.06451612903</v>
      </c>
      <c r="T44" s="8">
        <f>IFERROR(__xludf.DUMMYFUNCTION("""COMPUTED_VALUE"""),0.08)</f>
        <v>0.08</v>
      </c>
      <c r="U44" s="8">
        <f>IFERROR(__xludf.DUMMYFUNCTION("""COMPUTED_VALUE"""),0.0434782608695652)</f>
        <v>0.04347826087</v>
      </c>
      <c r="V44" s="8">
        <f>IFERROR(__xludf.DUMMYFUNCTION("""COMPUTED_VALUE"""),0.0625)</f>
        <v>0.0625</v>
      </c>
      <c r="W44" s="8">
        <f>IFERROR(__xludf.DUMMYFUNCTION("""COMPUTED_VALUE"""),0.0625)</f>
        <v>0.0625</v>
      </c>
      <c r="X44" s="8">
        <f>IFERROR(__xludf.DUMMYFUNCTION("""COMPUTED_VALUE"""),0.0)</f>
        <v>0</v>
      </c>
      <c r="Y44" s="8">
        <f>IFERROR(__xludf.DUMMYFUNCTION("""COMPUTED_VALUE"""),0.0)</f>
        <v>0</v>
      </c>
      <c r="Z44" s="8">
        <f>IFERROR(__xludf.DUMMYFUNCTION("""COMPUTED_VALUE"""),0.0)</f>
        <v>0</v>
      </c>
      <c r="AA44" s="8">
        <f>IFERROR(__xludf.DUMMYFUNCTION("""COMPUTED_VALUE"""),0.0)</f>
        <v>0</v>
      </c>
      <c r="AB44" s="8">
        <f>IFERROR(__xludf.DUMMYFUNCTION("""COMPUTED_VALUE"""),0.0)</f>
        <v>0</v>
      </c>
      <c r="AC44" s="8">
        <f>IFERROR(__xludf.DUMMYFUNCTION("""COMPUTED_VALUE"""),0.0)</f>
        <v>0</v>
      </c>
    </row>
    <row r="45" ht="15.75" customHeight="1">
      <c r="A45" s="6" t="str">
        <f>IFERROR(__xludf.DUMMYFUNCTION("""COMPUTED_VALUE"""),"23a0bb3d5deb8d4707bdb34175170e288d724c97")</f>
        <v>23a0bb3d5deb8d4707bdb34175170e288d724c97</v>
      </c>
      <c r="B45" s="6" t="str">
        <f>IFERROR(__xludf.DUMMYFUNCTION("""COMPUTED_VALUE"""),"System of Super Tech")</f>
        <v>System of Super Tech</v>
      </c>
      <c r="C45" s="6" t="str">
        <f>IFERROR(__xludf.DUMMYFUNCTION("""COMPUTED_VALUE"""),"System and Superpower")</f>
        <v>System and Superpower</v>
      </c>
      <c r="D45" s="11">
        <f>IFERROR(__xludf.DUMMYFUNCTION("""COMPUTED_VALUE"""),1020.0)</f>
        <v>1020</v>
      </c>
      <c r="E45" s="8">
        <f>IFERROR(__xludf.DUMMYFUNCTION("""COMPUTED_VALUE"""),0.974409448818897)</f>
        <v>0.9744094488</v>
      </c>
      <c r="F45" s="8">
        <f>IFERROR(__xludf.DUMMYFUNCTION("""COMPUTED_VALUE"""),0.522343594836147)</f>
        <v>0.5223435948</v>
      </c>
      <c r="G45" s="8">
        <f>IFERROR(__xludf.DUMMYFUNCTION("""COMPUTED_VALUE"""),0.416167664670658)</f>
        <v>0.4161676647</v>
      </c>
      <c r="H45" s="8">
        <f>IFERROR(__xludf.DUMMYFUNCTION("""COMPUTED_VALUE"""),0.383534136546184)</f>
        <v>0.3835341365</v>
      </c>
      <c r="I45" s="8">
        <f>IFERROR(__xludf.DUMMYFUNCTION("""COMPUTED_VALUE"""),0.348314606741573)</f>
        <v>0.3483146067</v>
      </c>
      <c r="J45" s="8">
        <f>IFERROR(__xludf.DUMMYFUNCTION("""COMPUTED_VALUE"""),0.323899371069182)</f>
        <v>0.3238993711</v>
      </c>
      <c r="K45" s="8">
        <f>IFERROR(__xludf.DUMMYFUNCTION("""COMPUTED_VALUE"""),0.3007769145394)</f>
        <v>0.3007769145</v>
      </c>
      <c r="L45" s="8">
        <f>IFERROR(__xludf.DUMMYFUNCTION("""COMPUTED_VALUE"""),0.286592865928659)</f>
        <v>0.2865928659</v>
      </c>
      <c r="M45" s="8">
        <f>IFERROR(__xludf.DUMMYFUNCTION("""COMPUTED_VALUE"""),0.275510204081632)</f>
        <v>0.2755102041</v>
      </c>
      <c r="N45" s="8">
        <f>IFERROR(__xludf.DUMMYFUNCTION("""COMPUTED_VALUE"""),0.25615763546798)</f>
        <v>0.2561576355</v>
      </c>
      <c r="O45" s="8">
        <f>IFERROR(__xludf.DUMMYFUNCTION("""COMPUTED_VALUE"""),0.172661870503597)</f>
        <v>0.1726618705</v>
      </c>
      <c r="P45" s="8">
        <f>IFERROR(__xludf.DUMMYFUNCTION("""COMPUTED_VALUE"""),0.138613861386138)</f>
        <v>0.1386138614</v>
      </c>
      <c r="Q45" s="8">
        <f>IFERROR(__xludf.DUMMYFUNCTION("""COMPUTED_VALUE"""),0.0793650793650793)</f>
        <v>0.07936507937</v>
      </c>
      <c r="R45" s="8">
        <f>IFERROR(__xludf.DUMMYFUNCTION("""COMPUTED_VALUE"""),0.0)</f>
        <v>0</v>
      </c>
      <c r="S45" s="8">
        <f>IFERROR(__xludf.DUMMYFUNCTION("""COMPUTED_VALUE"""),0.0)</f>
        <v>0</v>
      </c>
      <c r="T45" s="8">
        <f>IFERROR(__xludf.DUMMYFUNCTION("""COMPUTED_VALUE"""),0.0)</f>
        <v>0</v>
      </c>
      <c r="U45" s="8">
        <f>IFERROR(__xludf.DUMMYFUNCTION("""COMPUTED_VALUE"""),0.0)</f>
        <v>0</v>
      </c>
      <c r="V45" s="8">
        <f>IFERROR(__xludf.DUMMYFUNCTION("""COMPUTED_VALUE"""),0.0)</f>
        <v>0</v>
      </c>
      <c r="W45" s="8">
        <f>IFERROR(__xludf.DUMMYFUNCTION("""COMPUTED_VALUE"""),0.0)</f>
        <v>0</v>
      </c>
      <c r="X45" s="8">
        <f>IFERROR(__xludf.DUMMYFUNCTION("""COMPUTED_VALUE"""),0.0)</f>
        <v>0</v>
      </c>
      <c r="Y45" s="8">
        <f>IFERROR(__xludf.DUMMYFUNCTION("""COMPUTED_VALUE"""),0.0)</f>
        <v>0</v>
      </c>
      <c r="Z45" s="8">
        <f>IFERROR(__xludf.DUMMYFUNCTION("""COMPUTED_VALUE"""),0.0)</f>
        <v>0</v>
      </c>
      <c r="AA45" s="8">
        <f>IFERROR(__xludf.DUMMYFUNCTION("""COMPUTED_VALUE"""),0.0)</f>
        <v>0</v>
      </c>
      <c r="AB45" s="8">
        <f>IFERROR(__xludf.DUMMYFUNCTION("""COMPUTED_VALUE"""),0.0)</f>
        <v>0</v>
      </c>
      <c r="AC45" s="8">
        <f>IFERROR(__xludf.DUMMYFUNCTION("""COMPUTED_VALUE"""),0.0)</f>
        <v>0</v>
      </c>
    </row>
    <row r="46" ht="15.75" customHeight="1">
      <c r="A46" s="6" t="str">
        <f>IFERROR(__xludf.DUMMYFUNCTION("""COMPUTED_VALUE"""),"247dcedeaecc161909c6ddd57b599f4e38d758d8")</f>
        <v>247dcedeaecc161909c6ddd57b599f4e38d758d8</v>
      </c>
      <c r="B46" s="6" t="str">
        <f>IFERROR(__xludf.DUMMYFUNCTION("""COMPUTED_VALUE"""),"A Christmas of Betrayals")</f>
        <v>A Christmas of Betrayals</v>
      </c>
      <c r="C46" s="6" t="str">
        <f>IFERROR(__xludf.DUMMYFUNCTION("""COMPUTED_VALUE"""),"Romance")</f>
        <v>Romance</v>
      </c>
      <c r="D46" s="11">
        <f>IFERROR(__xludf.DUMMYFUNCTION("""COMPUTED_VALUE"""),255.0)</f>
        <v>255</v>
      </c>
      <c r="E46" s="8">
        <f>IFERROR(__xludf.DUMMYFUNCTION("""COMPUTED_VALUE"""),0.964566929133858)</f>
        <v>0.9645669291</v>
      </c>
      <c r="F46" s="8">
        <f>IFERROR(__xludf.DUMMYFUNCTION("""COMPUTED_VALUE"""),0.354330708661417)</f>
        <v>0.3543307087</v>
      </c>
      <c r="G46" s="8">
        <f>IFERROR(__xludf.DUMMYFUNCTION("""COMPUTED_VALUE"""),0.314960629921259)</f>
        <v>0.3149606299</v>
      </c>
      <c r="H46" s="8">
        <f>IFERROR(__xludf.DUMMYFUNCTION("""COMPUTED_VALUE"""),0.260869565217391)</f>
        <v>0.2608695652</v>
      </c>
      <c r="I46" s="8">
        <f>IFERROR(__xludf.DUMMYFUNCTION("""COMPUTED_VALUE"""),0.229249011857707)</f>
        <v>0.2292490119</v>
      </c>
      <c r="J46" s="8">
        <f>IFERROR(__xludf.DUMMYFUNCTION("""COMPUTED_VALUE"""),0.213438735177865)</f>
        <v>0.2134387352</v>
      </c>
      <c r="K46" s="8">
        <f>IFERROR(__xludf.DUMMYFUNCTION("""COMPUTED_VALUE"""),0.185770750988142)</f>
        <v>0.185770751</v>
      </c>
      <c r="L46" s="8">
        <f>IFERROR(__xludf.DUMMYFUNCTION("""COMPUTED_VALUE"""),0.158730158730158)</f>
        <v>0.1587301587</v>
      </c>
      <c r="M46" s="8">
        <f>IFERROR(__xludf.DUMMYFUNCTION("""COMPUTED_VALUE"""),0.155378486055776)</f>
        <v>0.1553784861</v>
      </c>
      <c r="N46" s="8">
        <f>IFERROR(__xludf.DUMMYFUNCTION("""COMPUTED_VALUE"""),0.14)</f>
        <v>0.14</v>
      </c>
      <c r="O46" s="8">
        <f>IFERROR(__xludf.DUMMYFUNCTION("""COMPUTED_VALUE"""),0.125)</f>
        <v>0.125</v>
      </c>
      <c r="P46" s="8">
        <f>IFERROR(__xludf.DUMMYFUNCTION("""COMPUTED_VALUE"""),0.0829694323144104)</f>
        <v>0.08296943231</v>
      </c>
      <c r="Q46" s="8">
        <f>IFERROR(__xludf.DUMMYFUNCTION("""COMPUTED_VALUE"""),0.0394736842105263)</f>
        <v>0.03947368421</v>
      </c>
      <c r="R46" s="8">
        <f>IFERROR(__xludf.DUMMYFUNCTION("""COMPUTED_VALUE"""),0.0)</f>
        <v>0</v>
      </c>
      <c r="S46" s="8">
        <f>IFERROR(__xludf.DUMMYFUNCTION("""COMPUTED_VALUE"""),0.0)</f>
        <v>0</v>
      </c>
      <c r="T46" s="8">
        <f>IFERROR(__xludf.DUMMYFUNCTION("""COMPUTED_VALUE"""),0.0)</f>
        <v>0</v>
      </c>
      <c r="U46" s="8">
        <f>IFERROR(__xludf.DUMMYFUNCTION("""COMPUTED_VALUE"""),0.0)</f>
        <v>0</v>
      </c>
      <c r="V46" s="8">
        <f>IFERROR(__xludf.DUMMYFUNCTION("""COMPUTED_VALUE"""),0.0)</f>
        <v>0</v>
      </c>
      <c r="W46" s="8">
        <f>IFERROR(__xludf.DUMMYFUNCTION("""COMPUTED_VALUE"""),0.0)</f>
        <v>0</v>
      </c>
      <c r="X46" s="8">
        <f>IFERROR(__xludf.DUMMYFUNCTION("""COMPUTED_VALUE"""),0.0)</f>
        <v>0</v>
      </c>
      <c r="Y46" s="8">
        <f>IFERROR(__xludf.DUMMYFUNCTION("""COMPUTED_VALUE"""),0.0)</f>
        <v>0</v>
      </c>
      <c r="Z46" s="8">
        <f>IFERROR(__xludf.DUMMYFUNCTION("""COMPUTED_VALUE"""),0.0)</f>
        <v>0</v>
      </c>
      <c r="AA46" s="8">
        <f>IFERROR(__xludf.DUMMYFUNCTION("""COMPUTED_VALUE"""),0.0)</f>
        <v>0</v>
      </c>
      <c r="AB46" s="8">
        <f>IFERROR(__xludf.DUMMYFUNCTION("""COMPUTED_VALUE"""),0.0)</f>
        <v>0</v>
      </c>
      <c r="AC46" s="8">
        <f>IFERROR(__xludf.DUMMYFUNCTION("""COMPUTED_VALUE"""),0.0)</f>
        <v>0</v>
      </c>
    </row>
    <row r="47" ht="15.75" customHeight="1">
      <c r="A47" s="6" t="str">
        <f>IFERROR(__xludf.DUMMYFUNCTION("""COMPUTED_VALUE"""),"248aae390e84177edc04ecc06fac6c17aed375ff")</f>
        <v>248aae390e84177edc04ecc06fac6c17aed375ff</v>
      </c>
      <c r="B47" s="6" t="str">
        <f>IFERROR(__xludf.DUMMYFUNCTION("""COMPUTED_VALUE"""),"Silver Onyx: Dragonbound")</f>
        <v>Silver Onyx: Dragonbound</v>
      </c>
      <c r="C47" s="6" t="str">
        <f>IFERROR(__xludf.DUMMYFUNCTION("""COMPUTED_VALUE"""),"Romantasy")</f>
        <v>Romantasy</v>
      </c>
      <c r="D47" s="11">
        <f>IFERROR(__xludf.DUMMYFUNCTION("""COMPUTED_VALUE"""),549.0)</f>
        <v>549</v>
      </c>
      <c r="E47" s="8">
        <f>IFERROR(__xludf.DUMMYFUNCTION("""COMPUTED_VALUE"""),0.943119266055045)</f>
        <v>0.9431192661</v>
      </c>
      <c r="F47" s="8">
        <f>IFERROR(__xludf.DUMMYFUNCTION("""COMPUTED_VALUE"""),0.504780114722753)</f>
        <v>0.5047801147</v>
      </c>
      <c r="G47" s="8">
        <f>IFERROR(__xludf.DUMMYFUNCTION("""COMPUTED_VALUE"""),0.456862745098039)</f>
        <v>0.4568627451</v>
      </c>
      <c r="H47" s="8">
        <f>IFERROR(__xludf.DUMMYFUNCTION("""COMPUTED_VALUE"""),0.43030303030303)</f>
        <v>0.4303030303</v>
      </c>
      <c r="I47" s="8">
        <f>IFERROR(__xludf.DUMMYFUNCTION("""COMPUTED_VALUE"""),0.418891170431211)</f>
        <v>0.4188911704</v>
      </c>
      <c r="J47" s="8">
        <f>IFERROR(__xludf.DUMMYFUNCTION("""COMPUTED_VALUE"""),0.398340248962655)</f>
        <v>0.398340249</v>
      </c>
      <c r="K47" s="8">
        <f>IFERROR(__xludf.DUMMYFUNCTION("""COMPUTED_VALUE"""),0.377118644067796)</f>
        <v>0.3771186441</v>
      </c>
      <c r="L47" s="8">
        <f>IFERROR(__xludf.DUMMYFUNCTION("""COMPUTED_VALUE"""),0.367170626349892)</f>
        <v>0.3671706263</v>
      </c>
      <c r="M47" s="8">
        <f>IFERROR(__xludf.DUMMYFUNCTION("""COMPUTED_VALUE"""),0.364035087719298)</f>
        <v>0.3640350877</v>
      </c>
      <c r="N47" s="8">
        <f>IFERROR(__xludf.DUMMYFUNCTION("""COMPUTED_VALUE"""),0.361990950226244)</f>
        <v>0.3619909502</v>
      </c>
      <c r="O47" s="8">
        <f>IFERROR(__xludf.DUMMYFUNCTION("""COMPUTED_VALUE"""),0.454545454545454)</f>
        <v>0.4545454545</v>
      </c>
      <c r="P47" s="8">
        <f>IFERROR(__xludf.DUMMYFUNCTION("""COMPUTED_VALUE"""),0.411764705882352)</f>
        <v>0.4117647059</v>
      </c>
      <c r="Q47" s="8">
        <f>IFERROR(__xludf.DUMMYFUNCTION("""COMPUTED_VALUE"""),0.0)</f>
        <v>0</v>
      </c>
      <c r="R47" s="8">
        <f>IFERROR(__xludf.DUMMYFUNCTION("""COMPUTED_VALUE"""),0.0)</f>
        <v>0</v>
      </c>
      <c r="S47" s="8">
        <f>IFERROR(__xludf.DUMMYFUNCTION("""COMPUTED_VALUE"""),0.0)</f>
        <v>0</v>
      </c>
      <c r="T47" s="8">
        <f>IFERROR(__xludf.DUMMYFUNCTION("""COMPUTED_VALUE"""),0.0)</f>
        <v>0</v>
      </c>
      <c r="U47" s="8">
        <f>IFERROR(__xludf.DUMMYFUNCTION("""COMPUTED_VALUE"""),0.0)</f>
        <v>0</v>
      </c>
      <c r="V47" s="8">
        <f>IFERROR(__xludf.DUMMYFUNCTION("""COMPUTED_VALUE"""),0.0)</f>
        <v>0</v>
      </c>
      <c r="W47" s="8">
        <f>IFERROR(__xludf.DUMMYFUNCTION("""COMPUTED_VALUE"""),0.0)</f>
        <v>0</v>
      </c>
      <c r="X47" s="8">
        <f>IFERROR(__xludf.DUMMYFUNCTION("""COMPUTED_VALUE"""),0.0)</f>
        <v>0</v>
      </c>
      <c r="Y47" s="8">
        <f>IFERROR(__xludf.DUMMYFUNCTION("""COMPUTED_VALUE"""),0.0)</f>
        <v>0</v>
      </c>
      <c r="Z47" s="8">
        <f>IFERROR(__xludf.DUMMYFUNCTION("""COMPUTED_VALUE"""),0.0)</f>
        <v>0</v>
      </c>
      <c r="AA47" s="8">
        <f>IFERROR(__xludf.DUMMYFUNCTION("""COMPUTED_VALUE"""),0.0)</f>
        <v>0</v>
      </c>
      <c r="AB47" s="8">
        <f>IFERROR(__xludf.DUMMYFUNCTION("""COMPUTED_VALUE"""),0.0)</f>
        <v>0</v>
      </c>
      <c r="AC47" s="8">
        <f>IFERROR(__xludf.DUMMYFUNCTION("""COMPUTED_VALUE"""),0.0)</f>
        <v>0</v>
      </c>
    </row>
    <row r="48" ht="15.75" customHeight="1">
      <c r="A48" s="6" t="str">
        <f>IFERROR(__xludf.DUMMYFUNCTION("""COMPUTED_VALUE"""),"248ba0ec55862a22dd7993c8b49d5f052ce03954")</f>
        <v>248ba0ec55862a22dd7993c8b49d5f052ce03954</v>
      </c>
      <c r="B48" s="6" t="str">
        <f>IFERROR(__xludf.DUMMYFUNCTION("""COMPUTED_VALUE"""),"The Silent Sovereign")</f>
        <v>The Silent Sovereign</v>
      </c>
      <c r="C48" s="6" t="str">
        <f>IFERROR(__xludf.DUMMYFUNCTION("""COMPUTED_VALUE"""),"Fantasy")</f>
        <v>Fantasy</v>
      </c>
      <c r="D48" s="11">
        <f>IFERROR(__xludf.DUMMYFUNCTION("""COMPUTED_VALUE"""),1397.0)</f>
        <v>1397</v>
      </c>
      <c r="E48" s="8">
        <f>IFERROR(__xludf.DUMMYFUNCTION("""COMPUTED_VALUE"""),0.970651395848246)</f>
        <v>0.9706513958</v>
      </c>
      <c r="F48" s="8">
        <f>IFERROR(__xludf.DUMMYFUNCTION("""COMPUTED_VALUE"""),0.731461483081353)</f>
        <v>0.7314614831</v>
      </c>
      <c r="G48" s="8">
        <f>IFERROR(__xludf.DUMMYFUNCTION("""COMPUTED_VALUE"""),0.662563359884142)</f>
        <v>0.6625633599</v>
      </c>
      <c r="H48" s="8">
        <f>IFERROR(__xludf.DUMMYFUNCTION("""COMPUTED_VALUE"""),0.603384841795437)</f>
        <v>0.6033848418</v>
      </c>
      <c r="I48" s="8">
        <f>IFERROR(__xludf.DUMMYFUNCTION("""COMPUTED_VALUE"""),0.566792452830188)</f>
        <v>0.5667924528</v>
      </c>
      <c r="J48" s="8">
        <f>IFERROR(__xludf.DUMMYFUNCTION("""COMPUTED_VALUE"""),0.528985507246376)</f>
        <v>0.5289855072</v>
      </c>
      <c r="K48" s="8">
        <f>IFERROR(__xludf.DUMMYFUNCTION("""COMPUTED_VALUE"""),0.480508474576271)</f>
        <v>0.4805084746</v>
      </c>
      <c r="L48" s="8">
        <f>IFERROR(__xludf.DUMMYFUNCTION("""COMPUTED_VALUE"""),0.452229299363057)</f>
        <v>0.4522292994</v>
      </c>
      <c r="M48" s="8">
        <f>IFERROR(__xludf.DUMMYFUNCTION("""COMPUTED_VALUE"""),0.429126213592233)</f>
        <v>0.4291262136</v>
      </c>
      <c r="N48" s="8">
        <f>IFERROR(__xludf.DUMMYFUNCTION("""COMPUTED_VALUE"""),0.396825396825396)</f>
        <v>0.3968253968</v>
      </c>
      <c r="O48" s="8">
        <f>IFERROR(__xludf.DUMMYFUNCTION("""COMPUTED_VALUE"""),0.306451612903225)</f>
        <v>0.3064516129</v>
      </c>
      <c r="P48" s="8">
        <f>IFERROR(__xludf.DUMMYFUNCTION("""COMPUTED_VALUE"""),0.212328767123287)</f>
        <v>0.2123287671</v>
      </c>
      <c r="Q48" s="8">
        <f>IFERROR(__xludf.DUMMYFUNCTION("""COMPUTED_VALUE"""),0.166666666666666)</f>
        <v>0.1666666667</v>
      </c>
      <c r="R48" s="8">
        <f>IFERROR(__xludf.DUMMYFUNCTION("""COMPUTED_VALUE"""),0.0)</f>
        <v>0</v>
      </c>
      <c r="S48" s="8">
        <f>IFERROR(__xludf.DUMMYFUNCTION("""COMPUTED_VALUE"""),0.0)</f>
        <v>0</v>
      </c>
      <c r="T48" s="8">
        <f>IFERROR(__xludf.DUMMYFUNCTION("""COMPUTED_VALUE"""),0.0)</f>
        <v>0</v>
      </c>
      <c r="U48" s="8">
        <f>IFERROR(__xludf.DUMMYFUNCTION("""COMPUTED_VALUE"""),0.0)</f>
        <v>0</v>
      </c>
      <c r="V48" s="8">
        <f>IFERROR(__xludf.DUMMYFUNCTION("""COMPUTED_VALUE"""),0.0)</f>
        <v>0</v>
      </c>
      <c r="W48" s="8">
        <f>IFERROR(__xludf.DUMMYFUNCTION("""COMPUTED_VALUE"""),0.0)</f>
        <v>0</v>
      </c>
      <c r="X48" s="8">
        <f>IFERROR(__xludf.DUMMYFUNCTION("""COMPUTED_VALUE"""),0.0)</f>
        <v>0</v>
      </c>
      <c r="Y48" s="8">
        <f>IFERROR(__xludf.DUMMYFUNCTION("""COMPUTED_VALUE"""),0.0)</f>
        <v>0</v>
      </c>
      <c r="Z48" s="8">
        <f>IFERROR(__xludf.DUMMYFUNCTION("""COMPUTED_VALUE"""),0.0)</f>
        <v>0</v>
      </c>
      <c r="AA48" s="8">
        <f>IFERROR(__xludf.DUMMYFUNCTION("""COMPUTED_VALUE"""),0.0)</f>
        <v>0</v>
      </c>
      <c r="AB48" s="8">
        <f>IFERROR(__xludf.DUMMYFUNCTION("""COMPUTED_VALUE"""),0.0)</f>
        <v>0</v>
      </c>
      <c r="AC48" s="8">
        <f>IFERROR(__xludf.DUMMYFUNCTION("""COMPUTED_VALUE"""),0.0)</f>
        <v>0</v>
      </c>
    </row>
    <row r="49" ht="15.75" customHeight="1">
      <c r="A49" s="6" t="str">
        <f>IFERROR(__xludf.DUMMYFUNCTION("""COMPUTED_VALUE"""),"26e1fd07be016edcad6988356011ef8b49038bd1")</f>
        <v>26e1fd07be016edcad6988356011ef8b49038bd1</v>
      </c>
      <c r="B49" s="6" t="str">
        <f>IFERROR(__xludf.DUMMYFUNCTION("""COMPUTED_VALUE"""),"The Last Anniversary Lie")</f>
        <v>The Last Anniversary Lie</v>
      </c>
      <c r="C49" s="6" t="str">
        <f>IFERROR(__xludf.DUMMYFUNCTION("""COMPUTED_VALUE"""),"Romance")</f>
        <v>Romance</v>
      </c>
      <c r="D49" s="11">
        <f>IFERROR(__xludf.DUMMYFUNCTION("""COMPUTED_VALUE"""),122.0)</f>
        <v>122</v>
      </c>
      <c r="E49" s="8">
        <f>IFERROR(__xludf.DUMMYFUNCTION("""COMPUTED_VALUE"""),0.975206611570247)</f>
        <v>0.9752066116</v>
      </c>
      <c r="F49" s="8">
        <f>IFERROR(__xludf.DUMMYFUNCTION("""COMPUTED_VALUE"""),0.611570247933884)</f>
        <v>0.6115702479</v>
      </c>
      <c r="G49" s="8">
        <f>IFERROR(__xludf.DUMMYFUNCTION("""COMPUTED_VALUE"""),0.575)</f>
        <v>0.575</v>
      </c>
      <c r="H49" s="8">
        <f>IFERROR(__xludf.DUMMYFUNCTION("""COMPUTED_VALUE"""),0.483333333333333)</f>
        <v>0.4833333333</v>
      </c>
      <c r="I49" s="8">
        <f>IFERROR(__xludf.DUMMYFUNCTION("""COMPUTED_VALUE"""),0.45)</f>
        <v>0.45</v>
      </c>
      <c r="J49" s="8">
        <f>IFERROR(__xludf.DUMMYFUNCTION("""COMPUTED_VALUE"""),0.383333333333333)</f>
        <v>0.3833333333</v>
      </c>
      <c r="K49" s="8">
        <f>IFERROR(__xludf.DUMMYFUNCTION("""COMPUTED_VALUE"""),0.375)</f>
        <v>0.375</v>
      </c>
      <c r="L49" s="8">
        <f>IFERROR(__xludf.DUMMYFUNCTION("""COMPUTED_VALUE"""),0.366666666666666)</f>
        <v>0.3666666667</v>
      </c>
      <c r="M49" s="8">
        <f>IFERROR(__xludf.DUMMYFUNCTION("""COMPUTED_VALUE"""),0.347457627118644)</f>
        <v>0.3474576271</v>
      </c>
      <c r="N49" s="8">
        <f>IFERROR(__xludf.DUMMYFUNCTION("""COMPUTED_VALUE"""),0.347826086956521)</f>
        <v>0.347826087</v>
      </c>
      <c r="O49" s="8">
        <f>IFERROR(__xludf.DUMMYFUNCTION("""COMPUTED_VALUE"""),0.157894736842105)</f>
        <v>0.1578947368</v>
      </c>
      <c r="P49" s="8">
        <f>IFERROR(__xludf.DUMMYFUNCTION("""COMPUTED_VALUE"""),0.0)</f>
        <v>0</v>
      </c>
      <c r="Q49" s="8">
        <f>IFERROR(__xludf.DUMMYFUNCTION("""COMPUTED_VALUE"""),0.0)</f>
        <v>0</v>
      </c>
      <c r="R49" s="8">
        <f>IFERROR(__xludf.DUMMYFUNCTION("""COMPUTED_VALUE"""),0.0)</f>
        <v>0</v>
      </c>
      <c r="S49" s="8">
        <f>IFERROR(__xludf.DUMMYFUNCTION("""COMPUTED_VALUE"""),0.0)</f>
        <v>0</v>
      </c>
      <c r="T49" s="8">
        <f>IFERROR(__xludf.DUMMYFUNCTION("""COMPUTED_VALUE"""),0.0)</f>
        <v>0</v>
      </c>
      <c r="U49" s="8">
        <f>IFERROR(__xludf.DUMMYFUNCTION("""COMPUTED_VALUE"""),0.0)</f>
        <v>0</v>
      </c>
      <c r="V49" s="8">
        <f>IFERROR(__xludf.DUMMYFUNCTION("""COMPUTED_VALUE"""),0.0)</f>
        <v>0</v>
      </c>
      <c r="W49" s="8">
        <f>IFERROR(__xludf.DUMMYFUNCTION("""COMPUTED_VALUE"""),0.0)</f>
        <v>0</v>
      </c>
      <c r="X49" s="8">
        <f>IFERROR(__xludf.DUMMYFUNCTION("""COMPUTED_VALUE"""),0.0)</f>
        <v>0</v>
      </c>
      <c r="Y49" s="8">
        <f>IFERROR(__xludf.DUMMYFUNCTION("""COMPUTED_VALUE"""),0.0)</f>
        <v>0</v>
      </c>
      <c r="Z49" s="8">
        <f>IFERROR(__xludf.DUMMYFUNCTION("""COMPUTED_VALUE"""),0.0)</f>
        <v>0</v>
      </c>
      <c r="AA49" s="8">
        <f>IFERROR(__xludf.DUMMYFUNCTION("""COMPUTED_VALUE"""),0.0)</f>
        <v>0</v>
      </c>
      <c r="AB49" s="8">
        <f>IFERROR(__xludf.DUMMYFUNCTION("""COMPUTED_VALUE"""),0.0)</f>
        <v>0</v>
      </c>
      <c r="AC49" s="8">
        <f>IFERROR(__xludf.DUMMYFUNCTION("""COMPUTED_VALUE"""),0.0)</f>
        <v>0</v>
      </c>
    </row>
    <row r="50" ht="15.75" customHeight="1">
      <c r="A50" s="6" t="str">
        <f>IFERROR(__xludf.DUMMYFUNCTION("""COMPUTED_VALUE"""),"2804c5c0d94ac97e4b67564cc852e784e64583e5")</f>
        <v>2804c5c0d94ac97e4b67564cc852e784e64583e5</v>
      </c>
      <c r="B50" s="6" t="str">
        <f>IFERROR(__xludf.DUMMYFUNCTION("""COMPUTED_VALUE"""),"Rebirth in Beauty")</f>
        <v>Rebirth in Beauty</v>
      </c>
      <c r="C50" s="6" t="str">
        <f>IFERROR(__xludf.DUMMYFUNCTION("""COMPUTED_VALUE"""),"Fantasy")</f>
        <v>Fantasy</v>
      </c>
      <c r="D50" s="11">
        <f>IFERROR(__xludf.DUMMYFUNCTION("""COMPUTED_VALUE"""),158.0)</f>
        <v>158</v>
      </c>
      <c r="E50" s="8">
        <f>IFERROR(__xludf.DUMMYFUNCTION("""COMPUTED_VALUE"""),0.968152866242038)</f>
        <v>0.9681528662</v>
      </c>
      <c r="F50" s="8">
        <f>IFERROR(__xludf.DUMMYFUNCTION("""COMPUTED_VALUE"""),0.509803921568627)</f>
        <v>0.5098039216</v>
      </c>
      <c r="G50" s="8">
        <f>IFERROR(__xludf.DUMMYFUNCTION("""COMPUTED_VALUE"""),0.446666666666666)</f>
        <v>0.4466666667</v>
      </c>
      <c r="H50" s="8">
        <f>IFERROR(__xludf.DUMMYFUNCTION("""COMPUTED_VALUE"""),0.388888888888888)</f>
        <v>0.3888888889</v>
      </c>
      <c r="I50" s="8">
        <f>IFERROR(__xludf.DUMMYFUNCTION("""COMPUTED_VALUE"""),0.35251798561151)</f>
        <v>0.3525179856</v>
      </c>
      <c r="J50" s="8">
        <f>IFERROR(__xludf.DUMMYFUNCTION("""COMPUTED_VALUE"""),0.282258064516129)</f>
        <v>0.2822580645</v>
      </c>
      <c r="K50" s="8">
        <f>IFERROR(__xludf.DUMMYFUNCTION("""COMPUTED_VALUE"""),0.227272727272727)</f>
        <v>0.2272727273</v>
      </c>
      <c r="L50" s="8">
        <f>IFERROR(__xludf.DUMMYFUNCTION("""COMPUTED_VALUE"""),0.223300970873786)</f>
        <v>0.2233009709</v>
      </c>
      <c r="M50" s="8">
        <f>IFERROR(__xludf.DUMMYFUNCTION("""COMPUTED_VALUE"""),0.23076923076923)</f>
        <v>0.2307692308</v>
      </c>
      <c r="N50" s="8">
        <f>IFERROR(__xludf.DUMMYFUNCTION("""COMPUTED_VALUE"""),0.216216216216216)</f>
        <v>0.2162162162</v>
      </c>
      <c r="O50" s="8">
        <f>IFERROR(__xludf.DUMMYFUNCTION("""COMPUTED_VALUE"""),0.666666666666666)</f>
        <v>0.6666666667</v>
      </c>
      <c r="P50" s="8">
        <f>IFERROR(__xludf.DUMMYFUNCTION("""COMPUTED_VALUE"""),0.0)</f>
        <v>0</v>
      </c>
      <c r="Q50" s="8">
        <f>IFERROR(__xludf.DUMMYFUNCTION("""COMPUTED_VALUE"""),0.0)</f>
        <v>0</v>
      </c>
      <c r="R50" s="8">
        <f>IFERROR(__xludf.DUMMYFUNCTION("""COMPUTED_VALUE"""),0.0)</f>
        <v>0</v>
      </c>
      <c r="S50" s="8">
        <f>IFERROR(__xludf.DUMMYFUNCTION("""COMPUTED_VALUE"""),0.0)</f>
        <v>0</v>
      </c>
      <c r="T50" s="8">
        <f>IFERROR(__xludf.DUMMYFUNCTION("""COMPUTED_VALUE"""),0.0)</f>
        <v>0</v>
      </c>
      <c r="U50" s="8">
        <f>IFERROR(__xludf.DUMMYFUNCTION("""COMPUTED_VALUE"""),0.0)</f>
        <v>0</v>
      </c>
      <c r="V50" s="8">
        <f>IFERROR(__xludf.DUMMYFUNCTION("""COMPUTED_VALUE"""),0.0)</f>
        <v>0</v>
      </c>
      <c r="W50" s="8">
        <f>IFERROR(__xludf.DUMMYFUNCTION("""COMPUTED_VALUE"""),0.0)</f>
        <v>0</v>
      </c>
      <c r="X50" s="8">
        <f>IFERROR(__xludf.DUMMYFUNCTION("""COMPUTED_VALUE"""),0.0)</f>
        <v>0</v>
      </c>
      <c r="Y50" s="8">
        <f>IFERROR(__xludf.DUMMYFUNCTION("""COMPUTED_VALUE"""),0.0)</f>
        <v>0</v>
      </c>
      <c r="Z50" s="8">
        <f>IFERROR(__xludf.DUMMYFUNCTION("""COMPUTED_VALUE"""),0.0)</f>
        <v>0</v>
      </c>
      <c r="AA50" s="8">
        <f>IFERROR(__xludf.DUMMYFUNCTION("""COMPUTED_VALUE"""),0.0)</f>
        <v>0</v>
      </c>
      <c r="AB50" s="8">
        <f>IFERROR(__xludf.DUMMYFUNCTION("""COMPUTED_VALUE"""),0.0)</f>
        <v>0</v>
      </c>
      <c r="AC50" s="8">
        <f>IFERROR(__xludf.DUMMYFUNCTION("""COMPUTED_VALUE"""),0.0)</f>
        <v>0</v>
      </c>
    </row>
    <row r="51" ht="15.75" customHeight="1">
      <c r="A51" s="6" t="str">
        <f>IFERROR(__xludf.DUMMYFUNCTION("""COMPUTED_VALUE"""),"2969766ce2d0cd5c21da961666ea357622d5d073")</f>
        <v>2969766ce2d0cd5c21da961666ea357622d5d073</v>
      </c>
      <c r="B51" s="6" t="str">
        <f>IFERROR(__xludf.DUMMYFUNCTION("""COMPUTED_VALUE"""),"The Magical Mystic Master")</f>
        <v>The Magical Mystic Master</v>
      </c>
      <c r="C51" s="6" t="str">
        <f>IFERROR(__xludf.DUMMYFUNCTION("""COMPUTED_VALUE"""),"Fantasy")</f>
        <v>Fantasy</v>
      </c>
      <c r="D51" s="11">
        <f>IFERROR(__xludf.DUMMYFUNCTION("""COMPUTED_VALUE"""),2502.0)</f>
        <v>2502</v>
      </c>
      <c r="E51" s="8">
        <f>IFERROR(__xludf.DUMMYFUNCTION("""COMPUTED_VALUE"""),0.972377902321857)</f>
        <v>0.9723779023</v>
      </c>
      <c r="F51" s="8">
        <f>IFERROR(__xludf.DUMMYFUNCTION("""COMPUTED_VALUE"""),0.499399279134961)</f>
        <v>0.4993992791</v>
      </c>
      <c r="G51" s="8">
        <f>IFERROR(__xludf.DUMMYFUNCTION("""COMPUTED_VALUE"""),0.374749498997996)</f>
        <v>0.374749499</v>
      </c>
      <c r="H51" s="8">
        <f>IFERROR(__xludf.DUMMYFUNCTION("""COMPUTED_VALUE"""),0.325310870437224)</f>
        <v>0.3253108704</v>
      </c>
      <c r="I51" s="8">
        <f>IFERROR(__xludf.DUMMYFUNCTION("""COMPUTED_VALUE"""),0.275682182985553)</f>
        <v>0.275682183</v>
      </c>
      <c r="J51" s="8">
        <f>IFERROR(__xludf.DUMMYFUNCTION("""COMPUTED_VALUE"""),0.250100361300682)</f>
        <v>0.2501003613</v>
      </c>
      <c r="K51" s="8">
        <f>IFERROR(__xludf.DUMMYFUNCTION("""COMPUTED_VALUE"""),0.231731933790876)</f>
        <v>0.2317319338</v>
      </c>
      <c r="L51" s="8">
        <f>IFERROR(__xludf.DUMMYFUNCTION("""COMPUTED_VALUE"""),0.218989898989898)</f>
        <v>0.218989899</v>
      </c>
      <c r="M51" s="8">
        <f>IFERROR(__xludf.DUMMYFUNCTION("""COMPUTED_VALUE"""),0.206227254346947)</f>
        <v>0.2062272543</v>
      </c>
      <c r="N51" s="8">
        <f>IFERROR(__xludf.DUMMYFUNCTION("""COMPUTED_VALUE"""),0.195951417004048)</f>
        <v>0.195951417</v>
      </c>
      <c r="O51" s="8">
        <f>IFERROR(__xludf.DUMMYFUNCTION("""COMPUTED_VALUE"""),0.15713028169014)</f>
        <v>0.1571302817</v>
      </c>
      <c r="P51" s="8">
        <f>IFERROR(__xludf.DUMMYFUNCTION("""COMPUTED_VALUE"""),0.0987246102975909)</f>
        <v>0.0987246103</v>
      </c>
      <c r="Q51" s="8">
        <f>IFERROR(__xludf.DUMMYFUNCTION("""COMPUTED_VALUE"""),0.0839642119752236)</f>
        <v>0.08396421198</v>
      </c>
      <c r="R51" s="8">
        <f>IFERROR(__xludf.DUMMYFUNCTION("""COMPUTED_VALUE"""),0.056562726613488)</f>
        <v>0.05656272661</v>
      </c>
      <c r="S51" s="8">
        <f>IFERROR(__xludf.DUMMYFUNCTION("""COMPUTED_VALUE"""),0.00908265213442325)</f>
        <v>0.009082652134</v>
      </c>
      <c r="T51" s="8">
        <f>IFERROR(__xludf.DUMMYFUNCTION("""COMPUTED_VALUE"""),0.0)</f>
        <v>0</v>
      </c>
      <c r="U51" s="8">
        <f>IFERROR(__xludf.DUMMYFUNCTION("""COMPUTED_VALUE"""),0.0)</f>
        <v>0</v>
      </c>
      <c r="V51" s="8">
        <f>IFERROR(__xludf.DUMMYFUNCTION("""COMPUTED_VALUE"""),0.0)</f>
        <v>0</v>
      </c>
      <c r="W51" s="8">
        <f>IFERROR(__xludf.DUMMYFUNCTION("""COMPUTED_VALUE"""),0.0)</f>
        <v>0</v>
      </c>
      <c r="X51" s="8">
        <f>IFERROR(__xludf.DUMMYFUNCTION("""COMPUTED_VALUE"""),0.0)</f>
        <v>0</v>
      </c>
      <c r="Y51" s="8">
        <f>IFERROR(__xludf.DUMMYFUNCTION("""COMPUTED_VALUE"""),0.0)</f>
        <v>0</v>
      </c>
      <c r="Z51" s="8">
        <f>IFERROR(__xludf.DUMMYFUNCTION("""COMPUTED_VALUE"""),0.0)</f>
        <v>0</v>
      </c>
      <c r="AA51" s="8">
        <f>IFERROR(__xludf.DUMMYFUNCTION("""COMPUTED_VALUE"""),0.0)</f>
        <v>0</v>
      </c>
      <c r="AB51" s="8">
        <f>IFERROR(__xludf.DUMMYFUNCTION("""COMPUTED_VALUE"""),0.0)</f>
        <v>0</v>
      </c>
      <c r="AC51" s="8">
        <f>IFERROR(__xludf.DUMMYFUNCTION("""COMPUTED_VALUE"""),0.0)</f>
        <v>0</v>
      </c>
    </row>
    <row r="52" ht="15.75" customHeight="1">
      <c r="A52" s="6" t="str">
        <f>IFERROR(__xludf.DUMMYFUNCTION("""COMPUTED_VALUE"""),"29b6547143fa9e79e6e0d3e0463e7b79ac00c7fd")</f>
        <v>29b6547143fa9e79e6e0d3e0463e7b79ac00c7fd</v>
      </c>
      <c r="B52" s="6" t="str">
        <f>IFERROR(__xludf.DUMMYFUNCTION("""COMPUTED_VALUE"""),"Love, Revenge &amp; My Past")</f>
        <v>Love, Revenge &amp; My Past</v>
      </c>
      <c r="C52" s="6" t="str">
        <f>IFERROR(__xludf.DUMMYFUNCTION("""COMPUTED_VALUE"""),"Romance")</f>
        <v>Romance</v>
      </c>
      <c r="D52" s="11">
        <f>IFERROR(__xludf.DUMMYFUNCTION("""COMPUTED_VALUE"""),469.0)</f>
        <v>469</v>
      </c>
      <c r="E52" s="8">
        <f>IFERROR(__xludf.DUMMYFUNCTION("""COMPUTED_VALUE"""),0.987179487179487)</f>
        <v>0.9871794872</v>
      </c>
      <c r="F52" s="8">
        <f>IFERROR(__xludf.DUMMYFUNCTION("""COMPUTED_VALUE"""),0.297008547008547)</f>
        <v>0.297008547</v>
      </c>
      <c r="G52" s="8">
        <f>IFERROR(__xludf.DUMMYFUNCTION("""COMPUTED_VALUE"""),0.256410256410256)</f>
        <v>0.2564102564</v>
      </c>
      <c r="H52" s="8">
        <f>IFERROR(__xludf.DUMMYFUNCTION("""COMPUTED_VALUE"""),0.245726495726495)</f>
        <v>0.2457264957</v>
      </c>
      <c r="I52" s="8">
        <f>IFERROR(__xludf.DUMMYFUNCTION("""COMPUTED_VALUE"""),0.222698072805139)</f>
        <v>0.2226980728</v>
      </c>
      <c r="J52" s="8">
        <f>IFERROR(__xludf.DUMMYFUNCTION("""COMPUTED_VALUE"""),0.199143468950749)</f>
        <v>0.199143469</v>
      </c>
      <c r="K52" s="8">
        <f>IFERROR(__xludf.DUMMYFUNCTION("""COMPUTED_VALUE"""),0.182012847965738)</f>
        <v>0.182012848</v>
      </c>
      <c r="L52" s="8">
        <f>IFERROR(__xludf.DUMMYFUNCTION("""COMPUTED_VALUE"""),0.167023554603854)</f>
        <v>0.1670235546</v>
      </c>
      <c r="M52" s="8">
        <f>IFERROR(__xludf.DUMMYFUNCTION("""COMPUTED_VALUE"""),0.156316916488222)</f>
        <v>0.1563169165</v>
      </c>
      <c r="N52" s="8">
        <f>IFERROR(__xludf.DUMMYFUNCTION("""COMPUTED_VALUE"""),0.148387096774193)</f>
        <v>0.1483870968</v>
      </c>
      <c r="O52" s="8">
        <f>IFERROR(__xludf.DUMMYFUNCTION("""COMPUTED_VALUE"""),0.102908277404921)</f>
        <v>0.1029082774</v>
      </c>
      <c r="P52" s="8">
        <f>IFERROR(__xludf.DUMMYFUNCTION("""COMPUTED_VALUE"""),0.0592592592592592)</f>
        <v>0.05925925926</v>
      </c>
      <c r="Q52" s="8">
        <f>IFERROR(__xludf.DUMMYFUNCTION("""COMPUTED_VALUE"""),0.0276923076923076)</f>
        <v>0.02769230769</v>
      </c>
      <c r="R52" s="8">
        <f>IFERROR(__xludf.DUMMYFUNCTION("""COMPUTED_VALUE"""),0.029940119760479)</f>
        <v>0.02994011976</v>
      </c>
      <c r="S52" s="8">
        <f>IFERROR(__xludf.DUMMYFUNCTION("""COMPUTED_VALUE"""),0.0)</f>
        <v>0</v>
      </c>
      <c r="T52" s="8">
        <f>IFERROR(__xludf.DUMMYFUNCTION("""COMPUTED_VALUE"""),0.0)</f>
        <v>0</v>
      </c>
      <c r="U52" s="8">
        <f>IFERROR(__xludf.DUMMYFUNCTION("""COMPUTED_VALUE"""),0.0)</f>
        <v>0</v>
      </c>
      <c r="V52" s="8">
        <f>IFERROR(__xludf.DUMMYFUNCTION("""COMPUTED_VALUE"""),0.0)</f>
        <v>0</v>
      </c>
      <c r="W52" s="8">
        <f>IFERROR(__xludf.DUMMYFUNCTION("""COMPUTED_VALUE"""),0.0)</f>
        <v>0</v>
      </c>
      <c r="X52" s="8">
        <f>IFERROR(__xludf.DUMMYFUNCTION("""COMPUTED_VALUE"""),0.0)</f>
        <v>0</v>
      </c>
      <c r="Y52" s="8">
        <f>IFERROR(__xludf.DUMMYFUNCTION("""COMPUTED_VALUE"""),0.0)</f>
        <v>0</v>
      </c>
      <c r="Z52" s="8">
        <f>IFERROR(__xludf.DUMMYFUNCTION("""COMPUTED_VALUE"""),0.0)</f>
        <v>0</v>
      </c>
      <c r="AA52" s="8">
        <f>IFERROR(__xludf.DUMMYFUNCTION("""COMPUTED_VALUE"""),0.0)</f>
        <v>0</v>
      </c>
      <c r="AB52" s="8">
        <f>IFERROR(__xludf.DUMMYFUNCTION("""COMPUTED_VALUE"""),0.0)</f>
        <v>0</v>
      </c>
      <c r="AC52" s="8">
        <f>IFERROR(__xludf.DUMMYFUNCTION("""COMPUTED_VALUE"""),0.0)</f>
        <v>0</v>
      </c>
    </row>
    <row r="53" ht="15.75" customHeight="1">
      <c r="A53" s="6" t="str">
        <f>IFERROR(__xludf.DUMMYFUNCTION("""COMPUTED_VALUE"""),"2a8120a20d0bebaa0f325746e4058859d5e610ee")</f>
        <v>2a8120a20d0bebaa0f325746e4058859d5e610ee</v>
      </c>
      <c r="B53" s="6" t="str">
        <f>IFERROR(__xludf.DUMMYFUNCTION("""COMPUTED_VALUE"""),"Cultivated Love")</f>
        <v>Cultivated Love</v>
      </c>
      <c r="C53" s="6" t="str">
        <f>IFERROR(__xludf.DUMMYFUNCTION("""COMPUTED_VALUE"""),"Romance")</f>
        <v>Romance</v>
      </c>
      <c r="D53" s="11">
        <f>IFERROR(__xludf.DUMMYFUNCTION("""COMPUTED_VALUE"""),111.0)</f>
        <v>111</v>
      </c>
      <c r="E53" s="8">
        <f>IFERROR(__xludf.DUMMYFUNCTION("""COMPUTED_VALUE"""),0.909909909909909)</f>
        <v>0.9099099099</v>
      </c>
      <c r="F53" s="8">
        <f>IFERROR(__xludf.DUMMYFUNCTION("""COMPUTED_VALUE"""),0.222222222222222)</f>
        <v>0.2222222222</v>
      </c>
      <c r="G53" s="8">
        <f>IFERROR(__xludf.DUMMYFUNCTION("""COMPUTED_VALUE"""),0.194444444444444)</f>
        <v>0.1944444444</v>
      </c>
      <c r="H53" s="8">
        <f>IFERROR(__xludf.DUMMYFUNCTION("""COMPUTED_VALUE"""),0.179245283018867)</f>
        <v>0.179245283</v>
      </c>
      <c r="I53" s="8">
        <f>IFERROR(__xludf.DUMMYFUNCTION("""COMPUTED_VALUE"""),0.171428571428571)</f>
        <v>0.1714285714</v>
      </c>
      <c r="J53" s="8">
        <f>IFERROR(__xludf.DUMMYFUNCTION("""COMPUTED_VALUE"""),0.18095238095238)</f>
        <v>0.180952381</v>
      </c>
      <c r="K53" s="8">
        <f>IFERROR(__xludf.DUMMYFUNCTION("""COMPUTED_VALUE"""),0.153846153846153)</f>
        <v>0.1538461538</v>
      </c>
      <c r="L53" s="8">
        <f>IFERROR(__xludf.DUMMYFUNCTION("""COMPUTED_VALUE"""),0.156862745098039)</f>
        <v>0.1568627451</v>
      </c>
      <c r="M53" s="8">
        <f>IFERROR(__xludf.DUMMYFUNCTION("""COMPUTED_VALUE"""),0.166666666666666)</f>
        <v>0.1666666667</v>
      </c>
      <c r="N53" s="8">
        <f>IFERROR(__xludf.DUMMYFUNCTION("""COMPUTED_VALUE"""),0.141414141414141)</f>
        <v>0.1414141414</v>
      </c>
      <c r="O53" s="8">
        <f>IFERROR(__xludf.DUMMYFUNCTION("""COMPUTED_VALUE"""),0.152173913043478)</f>
        <v>0.152173913</v>
      </c>
      <c r="P53" s="8">
        <f>IFERROR(__xludf.DUMMYFUNCTION("""COMPUTED_VALUE"""),0.130434782608695)</f>
        <v>0.1304347826</v>
      </c>
      <c r="Q53" s="8">
        <f>IFERROR(__xludf.DUMMYFUNCTION("""COMPUTED_VALUE"""),0.0533333333333333)</f>
        <v>0.05333333333</v>
      </c>
      <c r="R53" s="8">
        <f>IFERROR(__xludf.DUMMYFUNCTION("""COMPUTED_VALUE"""),0.0212765957446808)</f>
        <v>0.02127659574</v>
      </c>
      <c r="S53" s="8">
        <f>IFERROR(__xludf.DUMMYFUNCTION("""COMPUTED_VALUE"""),0.0)</f>
        <v>0</v>
      </c>
      <c r="T53" s="8">
        <f>IFERROR(__xludf.DUMMYFUNCTION("""COMPUTED_VALUE"""),0.0)</f>
        <v>0</v>
      </c>
      <c r="U53" s="8">
        <f>IFERROR(__xludf.DUMMYFUNCTION("""COMPUTED_VALUE"""),0.0769230769230769)</f>
        <v>0.07692307692</v>
      </c>
      <c r="V53" s="8">
        <f>IFERROR(__xludf.DUMMYFUNCTION("""COMPUTED_VALUE"""),0.0)</f>
        <v>0</v>
      </c>
      <c r="W53" s="8">
        <f>IFERROR(__xludf.DUMMYFUNCTION("""COMPUTED_VALUE"""),0.0)</f>
        <v>0</v>
      </c>
      <c r="X53" s="8">
        <f>IFERROR(__xludf.DUMMYFUNCTION("""COMPUTED_VALUE"""),0.0)</f>
        <v>0</v>
      </c>
      <c r="Y53" s="8">
        <f>IFERROR(__xludf.DUMMYFUNCTION("""COMPUTED_VALUE"""),0.0)</f>
        <v>0</v>
      </c>
      <c r="Z53" s="8">
        <f>IFERROR(__xludf.DUMMYFUNCTION("""COMPUTED_VALUE"""),0.0)</f>
        <v>0</v>
      </c>
      <c r="AA53" s="8">
        <f>IFERROR(__xludf.DUMMYFUNCTION("""COMPUTED_VALUE"""),0.0)</f>
        <v>0</v>
      </c>
      <c r="AB53" s="8">
        <f>IFERROR(__xludf.DUMMYFUNCTION("""COMPUTED_VALUE"""),0.0)</f>
        <v>0</v>
      </c>
      <c r="AC53" s="8">
        <f>IFERROR(__xludf.DUMMYFUNCTION("""COMPUTED_VALUE"""),0.0)</f>
        <v>0</v>
      </c>
    </row>
    <row r="54" ht="15.75" customHeight="1">
      <c r="A54" s="6" t="str">
        <f>IFERROR(__xludf.DUMMYFUNCTION("""COMPUTED_VALUE"""),"2b967281ca19c941aa99d03c959adaf6349da9b3")</f>
        <v>2b967281ca19c941aa99d03c959adaf6349da9b3</v>
      </c>
      <c r="B54" s="6" t="str">
        <f>IFERROR(__xludf.DUMMYFUNCTION("""COMPUTED_VALUE"""),"The Unlikely Heiress")</f>
        <v>The Unlikely Heiress</v>
      </c>
      <c r="C54" s="6" t="str">
        <f>IFERROR(__xludf.DUMMYFUNCTION("""COMPUTED_VALUE"""),"Romance")</f>
        <v>Romance</v>
      </c>
      <c r="D54" s="11">
        <f>IFERROR(__xludf.DUMMYFUNCTION("""COMPUTED_VALUE"""),3596.0)</f>
        <v>3596</v>
      </c>
      <c r="E54" s="8">
        <f>IFERROR(__xludf.DUMMYFUNCTION("""COMPUTED_VALUE"""),0.948203842940685)</f>
        <v>0.9482038429</v>
      </c>
      <c r="F54" s="8">
        <f>IFERROR(__xludf.DUMMYFUNCTION("""COMPUTED_VALUE"""),0.389887640449438)</f>
        <v>0.3898876404</v>
      </c>
      <c r="G54" s="8">
        <f>IFERROR(__xludf.DUMMYFUNCTION("""COMPUTED_VALUE"""),0.361228515074668)</f>
        <v>0.3612285151</v>
      </c>
      <c r="H54" s="8">
        <f>IFERROR(__xludf.DUMMYFUNCTION("""COMPUTED_VALUE"""),0.335873553485746)</f>
        <v>0.3358735535</v>
      </c>
      <c r="I54" s="8">
        <f>IFERROR(__xludf.DUMMYFUNCTION("""COMPUTED_VALUE"""),0.321387940841865)</f>
        <v>0.3213879408</v>
      </c>
      <c r="J54" s="8">
        <f>IFERROR(__xludf.DUMMYFUNCTION("""COMPUTED_VALUE"""),0.312839576780097)</f>
        <v>0.3128395768</v>
      </c>
      <c r="K54" s="8">
        <f>IFERROR(__xludf.DUMMYFUNCTION("""COMPUTED_VALUE"""),0.29968454258675)</f>
        <v>0.2996845426</v>
      </c>
      <c r="L54" s="8">
        <f>IFERROR(__xludf.DUMMYFUNCTION("""COMPUTED_VALUE"""),0.28953421506613)</f>
        <v>0.2895342151</v>
      </c>
      <c r="M54" s="8">
        <f>IFERROR(__xludf.DUMMYFUNCTION("""COMPUTED_VALUE"""),0.279883381924198)</f>
        <v>0.2798833819</v>
      </c>
      <c r="N54" s="8">
        <f>IFERROR(__xludf.DUMMYFUNCTION("""COMPUTED_VALUE"""),0.275154004106776)</f>
        <v>0.2751540041</v>
      </c>
      <c r="O54" s="8">
        <f>IFERROR(__xludf.DUMMYFUNCTION("""COMPUTED_VALUE"""),0.244658441167619)</f>
        <v>0.2446584412</v>
      </c>
      <c r="P54" s="8">
        <f>IFERROR(__xludf.DUMMYFUNCTION("""COMPUTED_VALUE"""),0.195334370139968)</f>
        <v>0.1953343701</v>
      </c>
      <c r="Q54" s="8">
        <f>IFERROR(__xludf.DUMMYFUNCTION("""COMPUTED_VALUE"""),0.125082726671078)</f>
        <v>0.1250827267</v>
      </c>
      <c r="R54" s="8">
        <f>IFERROR(__xludf.DUMMYFUNCTION("""COMPUTED_VALUE"""),0.113019580900034)</f>
        <v>0.1130195809</v>
      </c>
      <c r="S54" s="8">
        <f>IFERROR(__xludf.DUMMYFUNCTION("""COMPUTED_VALUE"""),0.0876874148114493)</f>
        <v>0.08768741481</v>
      </c>
      <c r="T54" s="8">
        <f>IFERROR(__xludf.DUMMYFUNCTION("""COMPUTED_VALUE"""),0.0858806404657933)</f>
        <v>0.08588064047</v>
      </c>
      <c r="U54" s="8">
        <f>IFERROR(__xludf.DUMMYFUNCTION("""COMPUTED_VALUE"""),0.0)</f>
        <v>0</v>
      </c>
      <c r="V54" s="8">
        <f>IFERROR(__xludf.DUMMYFUNCTION("""COMPUTED_VALUE"""),0.0)</f>
        <v>0</v>
      </c>
      <c r="W54" s="8">
        <f>IFERROR(__xludf.DUMMYFUNCTION("""COMPUTED_VALUE"""),0.0)</f>
        <v>0</v>
      </c>
      <c r="X54" s="8">
        <f>IFERROR(__xludf.DUMMYFUNCTION("""COMPUTED_VALUE"""),0.0)</f>
        <v>0</v>
      </c>
      <c r="Y54" s="8">
        <f>IFERROR(__xludf.DUMMYFUNCTION("""COMPUTED_VALUE"""),0.0)</f>
        <v>0</v>
      </c>
      <c r="Z54" s="8">
        <f>IFERROR(__xludf.DUMMYFUNCTION("""COMPUTED_VALUE"""),0.0)</f>
        <v>0</v>
      </c>
      <c r="AA54" s="8">
        <f>IFERROR(__xludf.DUMMYFUNCTION("""COMPUTED_VALUE"""),0.0)</f>
        <v>0</v>
      </c>
      <c r="AB54" s="8">
        <f>IFERROR(__xludf.DUMMYFUNCTION("""COMPUTED_VALUE"""),0.0)</f>
        <v>0</v>
      </c>
      <c r="AC54" s="8">
        <f>IFERROR(__xludf.DUMMYFUNCTION("""COMPUTED_VALUE"""),0.0)</f>
        <v>0</v>
      </c>
    </row>
    <row r="55" ht="15.75" customHeight="1">
      <c r="A55" s="6" t="str">
        <f>IFERROR(__xludf.DUMMYFUNCTION("""COMPUTED_VALUE"""),"2fb79ac2c90574002aaeec2f842f6693eb8ff7c2")</f>
        <v>2fb79ac2c90574002aaeec2f842f6693eb8ff7c2</v>
      </c>
      <c r="B55" s="6" t="str">
        <f>IFERROR(__xludf.DUMMYFUNCTION("""COMPUTED_VALUE"""),"Dear Boss")</f>
        <v>Dear Boss</v>
      </c>
      <c r="C55" s="6" t="str">
        <f>IFERROR(__xludf.DUMMYFUNCTION("""COMPUTED_VALUE"""),"Romance")</f>
        <v>Romance</v>
      </c>
      <c r="D55" s="11">
        <f>IFERROR(__xludf.DUMMYFUNCTION("""COMPUTED_VALUE"""),119.0)</f>
        <v>119</v>
      </c>
      <c r="E55" s="8">
        <f>IFERROR(__xludf.DUMMYFUNCTION("""COMPUTED_VALUE"""),0.966101694915254)</f>
        <v>0.9661016949</v>
      </c>
      <c r="F55" s="8">
        <f>IFERROR(__xludf.DUMMYFUNCTION("""COMPUTED_VALUE"""),0.491525423728813)</f>
        <v>0.4915254237</v>
      </c>
      <c r="G55" s="8">
        <f>IFERROR(__xludf.DUMMYFUNCTION("""COMPUTED_VALUE"""),0.398305084745762)</f>
        <v>0.3983050847</v>
      </c>
      <c r="H55" s="8">
        <f>IFERROR(__xludf.DUMMYFUNCTION("""COMPUTED_VALUE"""),0.322033898305084)</f>
        <v>0.3220338983</v>
      </c>
      <c r="I55" s="8">
        <f>IFERROR(__xludf.DUMMYFUNCTION("""COMPUTED_VALUE"""),0.296610169491525)</f>
        <v>0.2966101695</v>
      </c>
      <c r="J55" s="8">
        <f>IFERROR(__xludf.DUMMYFUNCTION("""COMPUTED_VALUE"""),0.264957264957264)</f>
        <v>0.264957265</v>
      </c>
      <c r="K55" s="8">
        <f>IFERROR(__xludf.DUMMYFUNCTION("""COMPUTED_VALUE"""),0.252173913043478)</f>
        <v>0.252173913</v>
      </c>
      <c r="L55" s="8">
        <f>IFERROR(__xludf.DUMMYFUNCTION("""COMPUTED_VALUE"""),0.247787610619469)</f>
        <v>0.2477876106</v>
      </c>
      <c r="M55" s="8">
        <f>IFERROR(__xludf.DUMMYFUNCTION("""COMPUTED_VALUE"""),0.222222222222222)</f>
        <v>0.2222222222</v>
      </c>
      <c r="N55" s="8">
        <f>IFERROR(__xludf.DUMMYFUNCTION("""COMPUTED_VALUE"""),0.216494845360824)</f>
        <v>0.2164948454</v>
      </c>
      <c r="O55" s="8">
        <f>IFERROR(__xludf.DUMMYFUNCTION("""COMPUTED_VALUE"""),0.215686274509803)</f>
        <v>0.2156862745</v>
      </c>
      <c r="P55" s="8">
        <f>IFERROR(__xludf.DUMMYFUNCTION("""COMPUTED_VALUE"""),0.0833333333333333)</f>
        <v>0.08333333333</v>
      </c>
      <c r="Q55" s="8">
        <f>IFERROR(__xludf.DUMMYFUNCTION("""COMPUTED_VALUE"""),0.0)</f>
        <v>0</v>
      </c>
      <c r="R55" s="8">
        <f>IFERROR(__xludf.DUMMYFUNCTION("""COMPUTED_VALUE"""),0.0)</f>
        <v>0</v>
      </c>
      <c r="S55" s="8">
        <f>IFERROR(__xludf.DUMMYFUNCTION("""COMPUTED_VALUE"""),0.0)</f>
        <v>0</v>
      </c>
      <c r="T55" s="8">
        <f>IFERROR(__xludf.DUMMYFUNCTION("""COMPUTED_VALUE"""),0.0)</f>
        <v>0</v>
      </c>
      <c r="U55" s="8">
        <f>IFERROR(__xludf.DUMMYFUNCTION("""COMPUTED_VALUE"""),0.0)</f>
        <v>0</v>
      </c>
      <c r="V55" s="8">
        <f>IFERROR(__xludf.DUMMYFUNCTION("""COMPUTED_VALUE"""),0.0)</f>
        <v>0</v>
      </c>
      <c r="W55" s="8">
        <f>IFERROR(__xludf.DUMMYFUNCTION("""COMPUTED_VALUE"""),0.0)</f>
        <v>0</v>
      </c>
      <c r="X55" s="8">
        <f>IFERROR(__xludf.DUMMYFUNCTION("""COMPUTED_VALUE"""),0.0)</f>
        <v>0</v>
      </c>
      <c r="Y55" s="8">
        <f>IFERROR(__xludf.DUMMYFUNCTION("""COMPUTED_VALUE"""),0.0)</f>
        <v>0</v>
      </c>
      <c r="Z55" s="8">
        <f>IFERROR(__xludf.DUMMYFUNCTION("""COMPUTED_VALUE"""),0.0)</f>
        <v>0</v>
      </c>
      <c r="AA55" s="8">
        <f>IFERROR(__xludf.DUMMYFUNCTION("""COMPUTED_VALUE"""),0.0)</f>
        <v>0</v>
      </c>
      <c r="AB55" s="8">
        <f>IFERROR(__xludf.DUMMYFUNCTION("""COMPUTED_VALUE"""),0.0)</f>
        <v>0</v>
      </c>
      <c r="AC55" s="8">
        <f>IFERROR(__xludf.DUMMYFUNCTION("""COMPUTED_VALUE"""),0.0)</f>
        <v>0</v>
      </c>
    </row>
    <row r="56" ht="15.75" customHeight="1">
      <c r="A56" s="6" t="str">
        <f>IFERROR(__xludf.DUMMYFUNCTION("""COMPUTED_VALUE"""),"31b86ee5ffeadf52fab3148c3add083a2f90b442")</f>
        <v>31b86ee5ffeadf52fab3148c3add083a2f90b442</v>
      </c>
      <c r="B56" s="6" t="str">
        <f>IFERROR(__xludf.DUMMYFUNCTION("""COMPUTED_VALUE"""),"Enchanted by Blood ")</f>
        <v>Enchanted by Blood </v>
      </c>
      <c r="C56" s="6" t="str">
        <f>IFERROR(__xludf.DUMMYFUNCTION("""COMPUTED_VALUE"""),"Romantasy")</f>
        <v>Romantasy</v>
      </c>
      <c r="D56" s="11">
        <f>IFERROR(__xludf.DUMMYFUNCTION("""COMPUTED_VALUE"""),11.0)</f>
        <v>11</v>
      </c>
      <c r="E56" s="8">
        <f>IFERROR(__xludf.DUMMYFUNCTION("""COMPUTED_VALUE"""),1.0)</f>
        <v>1</v>
      </c>
      <c r="F56" s="8">
        <f>IFERROR(__xludf.DUMMYFUNCTION("""COMPUTED_VALUE"""),0.454545454545454)</f>
        <v>0.4545454545</v>
      </c>
      <c r="G56" s="8">
        <f>IFERROR(__xludf.DUMMYFUNCTION("""COMPUTED_VALUE"""),0.5)</f>
        <v>0.5</v>
      </c>
      <c r="H56" s="8">
        <f>IFERROR(__xludf.DUMMYFUNCTION("""COMPUTED_VALUE"""),0.4)</f>
        <v>0.4</v>
      </c>
      <c r="I56" s="8">
        <f>IFERROR(__xludf.DUMMYFUNCTION("""COMPUTED_VALUE"""),0.444444444444444)</f>
        <v>0.4444444444</v>
      </c>
      <c r="J56" s="8">
        <f>IFERROR(__xludf.DUMMYFUNCTION("""COMPUTED_VALUE"""),0.428571428571428)</f>
        <v>0.4285714286</v>
      </c>
      <c r="K56" s="8">
        <f>IFERROR(__xludf.DUMMYFUNCTION("""COMPUTED_VALUE"""),0.428571428571428)</f>
        <v>0.4285714286</v>
      </c>
      <c r="L56" s="8">
        <f>IFERROR(__xludf.DUMMYFUNCTION("""COMPUTED_VALUE"""),0.5)</f>
        <v>0.5</v>
      </c>
      <c r="M56" s="8">
        <f>IFERROR(__xludf.DUMMYFUNCTION("""COMPUTED_VALUE"""),0.5)</f>
        <v>0.5</v>
      </c>
      <c r="N56" s="8">
        <f>IFERROR(__xludf.DUMMYFUNCTION("""COMPUTED_VALUE"""),0.5)</f>
        <v>0.5</v>
      </c>
      <c r="O56" s="8">
        <f>IFERROR(__xludf.DUMMYFUNCTION("""COMPUTED_VALUE"""),0.0)</f>
        <v>0</v>
      </c>
      <c r="P56" s="8">
        <f>IFERROR(__xludf.DUMMYFUNCTION("""COMPUTED_VALUE"""),0.0)</f>
        <v>0</v>
      </c>
      <c r="Q56" s="8">
        <f>IFERROR(__xludf.DUMMYFUNCTION("""COMPUTED_VALUE"""),0.0)</f>
        <v>0</v>
      </c>
      <c r="R56" s="8">
        <f>IFERROR(__xludf.DUMMYFUNCTION("""COMPUTED_VALUE"""),0.0)</f>
        <v>0</v>
      </c>
      <c r="S56" s="8">
        <f>IFERROR(__xludf.DUMMYFUNCTION("""COMPUTED_VALUE"""),0.0)</f>
        <v>0</v>
      </c>
      <c r="T56" s="8">
        <f>IFERROR(__xludf.DUMMYFUNCTION("""COMPUTED_VALUE"""),0.0)</f>
        <v>0</v>
      </c>
      <c r="U56" s="8">
        <f>IFERROR(__xludf.DUMMYFUNCTION("""COMPUTED_VALUE"""),0.0)</f>
        <v>0</v>
      </c>
      <c r="V56" s="8">
        <f>IFERROR(__xludf.DUMMYFUNCTION("""COMPUTED_VALUE"""),0.0)</f>
        <v>0</v>
      </c>
      <c r="W56" s="8">
        <f>IFERROR(__xludf.DUMMYFUNCTION("""COMPUTED_VALUE"""),0.0)</f>
        <v>0</v>
      </c>
      <c r="X56" s="8">
        <f>IFERROR(__xludf.DUMMYFUNCTION("""COMPUTED_VALUE"""),0.0)</f>
        <v>0</v>
      </c>
      <c r="Y56" s="8">
        <f>IFERROR(__xludf.DUMMYFUNCTION("""COMPUTED_VALUE"""),0.0)</f>
        <v>0</v>
      </c>
      <c r="Z56" s="8">
        <f>IFERROR(__xludf.DUMMYFUNCTION("""COMPUTED_VALUE"""),0.0)</f>
        <v>0</v>
      </c>
      <c r="AA56" s="8">
        <f>IFERROR(__xludf.DUMMYFUNCTION("""COMPUTED_VALUE"""),0.0)</f>
        <v>0</v>
      </c>
      <c r="AB56" s="8">
        <f>IFERROR(__xludf.DUMMYFUNCTION("""COMPUTED_VALUE"""),0.0)</f>
        <v>0</v>
      </c>
      <c r="AC56" s="8">
        <f>IFERROR(__xludf.DUMMYFUNCTION("""COMPUTED_VALUE"""),0.0)</f>
        <v>0</v>
      </c>
    </row>
    <row r="57" ht="15.75" customHeight="1">
      <c r="A57" s="6" t="str">
        <f>IFERROR(__xludf.DUMMYFUNCTION("""COMPUTED_VALUE"""),"31e58f7ec421b1daaed1f4ac654ecd9eb855bc93")</f>
        <v>31e58f7ec421b1daaed1f4ac654ecd9eb855bc93</v>
      </c>
      <c r="B57" s="6" t="str">
        <f>IFERROR(__xludf.DUMMYFUNCTION("""COMPUTED_VALUE"""),"The Forsaken Path")</f>
        <v>The Forsaken Path</v>
      </c>
      <c r="C57" s="6" t="str">
        <f>IFERROR(__xludf.DUMMYFUNCTION("""COMPUTED_VALUE"""),"Fantasy")</f>
        <v>Fantasy</v>
      </c>
      <c r="D57" s="11">
        <f>IFERROR(__xludf.DUMMYFUNCTION("""COMPUTED_VALUE"""),2404.0)</f>
        <v>2404</v>
      </c>
      <c r="E57" s="8">
        <f>IFERROR(__xludf.DUMMYFUNCTION("""COMPUTED_VALUE"""),0.980416666666666)</f>
        <v>0.9804166667</v>
      </c>
      <c r="F57" s="8">
        <f>IFERROR(__xludf.DUMMYFUNCTION("""COMPUTED_VALUE"""),0.366138448707256)</f>
        <v>0.3661384487</v>
      </c>
      <c r="G57" s="8">
        <f>IFERROR(__xludf.DUMMYFUNCTION("""COMPUTED_VALUE"""),0.316645807259073)</f>
        <v>0.3166458073</v>
      </c>
      <c r="H57" s="8">
        <f>IFERROR(__xludf.DUMMYFUNCTION("""COMPUTED_VALUE"""),0.270598076118778)</f>
        <v>0.2705980761</v>
      </c>
      <c r="I57" s="8">
        <f>IFERROR(__xludf.DUMMYFUNCTION("""COMPUTED_VALUE"""),0.255033557046979)</f>
        <v>0.255033557</v>
      </c>
      <c r="J57" s="8">
        <f>IFERROR(__xludf.DUMMYFUNCTION("""COMPUTED_VALUE"""),0.244528619528619)</f>
        <v>0.2445286195</v>
      </c>
      <c r="K57" s="8">
        <f>IFERROR(__xludf.DUMMYFUNCTION("""COMPUTED_VALUE"""),0.228741496598639)</f>
        <v>0.2287414966</v>
      </c>
      <c r="L57" s="8">
        <f>IFERROR(__xludf.DUMMYFUNCTION("""COMPUTED_VALUE"""),0.21832529592284)</f>
        <v>0.2183252959</v>
      </c>
      <c r="M57" s="8">
        <f>IFERROR(__xludf.DUMMYFUNCTION("""COMPUTED_VALUE"""),0.209756097560975)</f>
        <v>0.2097560976</v>
      </c>
      <c r="N57" s="8">
        <f>IFERROR(__xludf.DUMMYFUNCTION("""COMPUTED_VALUE"""),0.19870009285051)</f>
        <v>0.1987000929</v>
      </c>
      <c r="O57" s="8">
        <f>IFERROR(__xludf.DUMMYFUNCTION("""COMPUTED_VALUE"""),0.139860139860139)</f>
        <v>0.1398601399</v>
      </c>
      <c r="P57" s="8">
        <f>IFERROR(__xludf.DUMMYFUNCTION("""COMPUTED_VALUE"""),0.0966090850927703)</f>
        <v>0.09660908509</v>
      </c>
      <c r="Q57" s="8">
        <f>IFERROR(__xludf.DUMMYFUNCTION("""COMPUTED_VALUE"""),0.0632530120481927)</f>
        <v>0.06325301205</v>
      </c>
      <c r="R57" s="8">
        <f>IFERROR(__xludf.DUMMYFUNCTION("""COMPUTED_VALUE"""),0.111111111111111)</f>
        <v>0.1111111111</v>
      </c>
      <c r="S57" s="8">
        <f>IFERROR(__xludf.DUMMYFUNCTION("""COMPUTED_VALUE"""),0.0)</f>
        <v>0</v>
      </c>
      <c r="T57" s="8">
        <f>IFERROR(__xludf.DUMMYFUNCTION("""COMPUTED_VALUE"""),0.0)</f>
        <v>0</v>
      </c>
      <c r="U57" s="8">
        <f>IFERROR(__xludf.DUMMYFUNCTION("""COMPUTED_VALUE"""),0.0)</f>
        <v>0</v>
      </c>
      <c r="V57" s="8">
        <f>IFERROR(__xludf.DUMMYFUNCTION("""COMPUTED_VALUE"""),0.0)</f>
        <v>0</v>
      </c>
      <c r="W57" s="8">
        <f>IFERROR(__xludf.DUMMYFUNCTION("""COMPUTED_VALUE"""),0.0)</f>
        <v>0</v>
      </c>
      <c r="X57" s="8">
        <f>IFERROR(__xludf.DUMMYFUNCTION("""COMPUTED_VALUE"""),0.0)</f>
        <v>0</v>
      </c>
      <c r="Y57" s="8">
        <f>IFERROR(__xludf.DUMMYFUNCTION("""COMPUTED_VALUE"""),0.0)</f>
        <v>0</v>
      </c>
      <c r="Z57" s="8">
        <f>IFERROR(__xludf.DUMMYFUNCTION("""COMPUTED_VALUE"""),0.0)</f>
        <v>0</v>
      </c>
      <c r="AA57" s="8">
        <f>IFERROR(__xludf.DUMMYFUNCTION("""COMPUTED_VALUE"""),0.0)</f>
        <v>0</v>
      </c>
      <c r="AB57" s="8">
        <f>IFERROR(__xludf.DUMMYFUNCTION("""COMPUTED_VALUE"""),0.0)</f>
        <v>0</v>
      </c>
      <c r="AC57" s="8">
        <f>IFERROR(__xludf.DUMMYFUNCTION("""COMPUTED_VALUE"""),0.0)</f>
        <v>0</v>
      </c>
    </row>
    <row r="58" ht="15.75" customHeight="1">
      <c r="A58" s="6" t="str">
        <f>IFERROR(__xludf.DUMMYFUNCTION("""COMPUTED_VALUE"""),"328a6c95d732271bc4717aa2abf3a7c15f89a25e")</f>
        <v>328a6c95d732271bc4717aa2abf3a7c15f89a25e</v>
      </c>
      <c r="B58" s="6" t="str">
        <f>IFERROR(__xludf.DUMMYFUNCTION("""COMPUTED_VALUE"""),"Braving the Rapid Waters")</f>
        <v>Braving the Rapid Waters</v>
      </c>
      <c r="C58" s="6" t="str">
        <f>IFERROR(__xludf.DUMMYFUNCTION("""COMPUTED_VALUE"""),"Romance")</f>
        <v>Romance</v>
      </c>
      <c r="D58" s="11">
        <f>IFERROR(__xludf.DUMMYFUNCTION("""COMPUTED_VALUE"""),235.0)</f>
        <v>235</v>
      </c>
      <c r="E58" s="8">
        <f>IFERROR(__xludf.DUMMYFUNCTION("""COMPUTED_VALUE"""),0.961538461538461)</f>
        <v>0.9615384615</v>
      </c>
      <c r="F58" s="8">
        <f>IFERROR(__xludf.DUMMYFUNCTION("""COMPUTED_VALUE"""),0.446351931330472)</f>
        <v>0.4463519313</v>
      </c>
      <c r="G58" s="8">
        <f>IFERROR(__xludf.DUMMYFUNCTION("""COMPUTED_VALUE"""),0.373390557939914)</f>
        <v>0.3733905579</v>
      </c>
      <c r="H58" s="8">
        <f>IFERROR(__xludf.DUMMYFUNCTION("""COMPUTED_VALUE"""),0.364806866952789)</f>
        <v>0.364806867</v>
      </c>
      <c r="I58" s="8">
        <f>IFERROR(__xludf.DUMMYFUNCTION("""COMPUTED_VALUE"""),0.326180257510729)</f>
        <v>0.3261802575</v>
      </c>
      <c r="J58" s="8">
        <f>IFERROR(__xludf.DUMMYFUNCTION("""COMPUTED_VALUE"""),0.321888412017167)</f>
        <v>0.321888412</v>
      </c>
      <c r="K58" s="8">
        <f>IFERROR(__xludf.DUMMYFUNCTION("""COMPUTED_VALUE"""),0.291845493562231)</f>
        <v>0.2918454936</v>
      </c>
      <c r="L58" s="8">
        <f>IFERROR(__xludf.DUMMYFUNCTION("""COMPUTED_VALUE"""),0.29004329004329)</f>
        <v>0.29004329</v>
      </c>
      <c r="M58" s="8">
        <f>IFERROR(__xludf.DUMMYFUNCTION("""COMPUTED_VALUE"""),0.281385281385281)</f>
        <v>0.2813852814</v>
      </c>
      <c r="N58" s="8">
        <f>IFERROR(__xludf.DUMMYFUNCTION("""COMPUTED_VALUE"""),0.272727272727272)</f>
        <v>0.2727272727</v>
      </c>
      <c r="O58" s="8">
        <f>IFERROR(__xludf.DUMMYFUNCTION("""COMPUTED_VALUE"""),0.21875)</f>
        <v>0.21875</v>
      </c>
      <c r="P58" s="8">
        <f>IFERROR(__xludf.DUMMYFUNCTION("""COMPUTED_VALUE"""),0.108108108108108)</f>
        <v>0.1081081081</v>
      </c>
      <c r="Q58" s="8">
        <f>IFERROR(__xludf.DUMMYFUNCTION("""COMPUTED_VALUE"""),0.072992700729927)</f>
        <v>0.07299270073</v>
      </c>
      <c r="R58" s="8">
        <f>IFERROR(__xludf.DUMMYFUNCTION("""COMPUTED_VALUE"""),0.0238095238095238)</f>
        <v>0.02380952381</v>
      </c>
      <c r="S58" s="8">
        <f>IFERROR(__xludf.DUMMYFUNCTION("""COMPUTED_VALUE"""),0.0)</f>
        <v>0</v>
      </c>
      <c r="T58" s="8">
        <f>IFERROR(__xludf.DUMMYFUNCTION("""COMPUTED_VALUE"""),0.0)</f>
        <v>0</v>
      </c>
      <c r="U58" s="8">
        <f>IFERROR(__xludf.DUMMYFUNCTION("""COMPUTED_VALUE"""),0.0)</f>
        <v>0</v>
      </c>
      <c r="V58" s="8">
        <f>IFERROR(__xludf.DUMMYFUNCTION("""COMPUTED_VALUE"""),0.0)</f>
        <v>0</v>
      </c>
      <c r="W58" s="8">
        <f>IFERROR(__xludf.DUMMYFUNCTION("""COMPUTED_VALUE"""),0.0)</f>
        <v>0</v>
      </c>
      <c r="X58" s="8">
        <f>IFERROR(__xludf.DUMMYFUNCTION("""COMPUTED_VALUE"""),0.0)</f>
        <v>0</v>
      </c>
      <c r="Y58" s="8">
        <f>IFERROR(__xludf.DUMMYFUNCTION("""COMPUTED_VALUE"""),0.0)</f>
        <v>0</v>
      </c>
      <c r="Z58" s="8">
        <f>IFERROR(__xludf.DUMMYFUNCTION("""COMPUTED_VALUE"""),0.0)</f>
        <v>0</v>
      </c>
      <c r="AA58" s="8">
        <f>IFERROR(__xludf.DUMMYFUNCTION("""COMPUTED_VALUE"""),0.0)</f>
        <v>0</v>
      </c>
      <c r="AB58" s="8">
        <f>IFERROR(__xludf.DUMMYFUNCTION("""COMPUTED_VALUE"""),0.0)</f>
        <v>0</v>
      </c>
      <c r="AC58" s="8">
        <f>IFERROR(__xludf.DUMMYFUNCTION("""COMPUTED_VALUE"""),0.0)</f>
        <v>0</v>
      </c>
    </row>
    <row r="59" ht="15.75" customHeight="1">
      <c r="A59" s="6" t="str">
        <f>IFERROR(__xludf.DUMMYFUNCTION("""COMPUTED_VALUE"""),"328d4b017d5db890a886902acdade960088fb3d8")</f>
        <v>328d4b017d5db890a886902acdade960088fb3d8</v>
      </c>
      <c r="B59" s="6" t="str">
        <f>IFERROR(__xludf.DUMMYFUNCTION("""COMPUTED_VALUE"""),"Her Worthless Son-in-Law")</f>
        <v>Her Worthless Son-in-Law</v>
      </c>
      <c r="C59" s="6" t="str">
        <f>IFERROR(__xludf.DUMMYFUNCTION("""COMPUTED_VALUE"""),"System and Superpower")</f>
        <v>System and Superpower</v>
      </c>
      <c r="D59" s="11">
        <f>IFERROR(__xludf.DUMMYFUNCTION("""COMPUTED_VALUE"""),455.0)</f>
        <v>455</v>
      </c>
      <c r="E59" s="8">
        <f>IFERROR(__xludf.DUMMYFUNCTION("""COMPUTED_VALUE"""),0.944933920704845)</f>
        <v>0.9449339207</v>
      </c>
      <c r="F59" s="8">
        <f>IFERROR(__xludf.DUMMYFUNCTION("""COMPUTED_VALUE"""),0.731543624161073)</f>
        <v>0.7315436242</v>
      </c>
      <c r="G59" s="8">
        <f>IFERROR(__xludf.DUMMYFUNCTION("""COMPUTED_VALUE"""),0.676404494382022)</f>
        <v>0.6764044944</v>
      </c>
      <c r="H59" s="8">
        <f>IFERROR(__xludf.DUMMYFUNCTION("""COMPUTED_VALUE"""),0.653488372093023)</f>
        <v>0.6534883721</v>
      </c>
      <c r="I59" s="8">
        <f>IFERROR(__xludf.DUMMYFUNCTION("""COMPUTED_VALUE"""),0.625882352941176)</f>
        <v>0.6258823529</v>
      </c>
      <c r="J59" s="8">
        <f>IFERROR(__xludf.DUMMYFUNCTION("""COMPUTED_VALUE"""),0.58472553699284)</f>
        <v>0.584725537</v>
      </c>
      <c r="K59" s="8">
        <f>IFERROR(__xludf.DUMMYFUNCTION("""COMPUTED_VALUE"""),0.585131894484412)</f>
        <v>0.5851318945</v>
      </c>
      <c r="L59" s="8">
        <f>IFERROR(__xludf.DUMMYFUNCTION("""COMPUTED_VALUE"""),0.560386473429951)</f>
        <v>0.5603864734</v>
      </c>
      <c r="M59" s="8">
        <f>IFERROR(__xludf.DUMMYFUNCTION("""COMPUTED_VALUE"""),0.548543689320388)</f>
        <v>0.5485436893</v>
      </c>
      <c r="N59" s="8">
        <f>IFERROR(__xludf.DUMMYFUNCTION("""COMPUTED_VALUE"""),0.550122249388753)</f>
        <v>0.5501222494</v>
      </c>
      <c r="O59" s="8">
        <f>IFERROR(__xludf.DUMMYFUNCTION("""COMPUTED_VALUE"""),0.449350649350649)</f>
        <v>0.4493506494</v>
      </c>
      <c r="P59" s="8">
        <f>IFERROR(__xludf.DUMMYFUNCTION("""COMPUTED_VALUE"""),0.344709897610921)</f>
        <v>0.3447098976</v>
      </c>
      <c r="Q59" s="8">
        <f>IFERROR(__xludf.DUMMYFUNCTION("""COMPUTED_VALUE"""),0.226415094339622)</f>
        <v>0.2264150943</v>
      </c>
      <c r="R59" s="8">
        <f>IFERROR(__xludf.DUMMYFUNCTION("""COMPUTED_VALUE"""),0.111111111111111)</f>
        <v>0.1111111111</v>
      </c>
      <c r="S59" s="8">
        <f>IFERROR(__xludf.DUMMYFUNCTION("""COMPUTED_VALUE"""),0.0)</f>
        <v>0</v>
      </c>
      <c r="T59" s="8">
        <f>IFERROR(__xludf.DUMMYFUNCTION("""COMPUTED_VALUE"""),0.0)</f>
        <v>0</v>
      </c>
      <c r="U59" s="8">
        <f>IFERROR(__xludf.DUMMYFUNCTION("""COMPUTED_VALUE"""),0.0)</f>
        <v>0</v>
      </c>
      <c r="V59" s="8">
        <f>IFERROR(__xludf.DUMMYFUNCTION("""COMPUTED_VALUE"""),0.0)</f>
        <v>0</v>
      </c>
      <c r="W59" s="8">
        <f>IFERROR(__xludf.DUMMYFUNCTION("""COMPUTED_VALUE"""),0.0)</f>
        <v>0</v>
      </c>
      <c r="X59" s="8">
        <f>IFERROR(__xludf.DUMMYFUNCTION("""COMPUTED_VALUE"""),0.0)</f>
        <v>0</v>
      </c>
      <c r="Y59" s="8">
        <f>IFERROR(__xludf.DUMMYFUNCTION("""COMPUTED_VALUE"""),0.0)</f>
        <v>0</v>
      </c>
      <c r="Z59" s="8">
        <f>IFERROR(__xludf.DUMMYFUNCTION("""COMPUTED_VALUE"""),0.0)</f>
        <v>0</v>
      </c>
      <c r="AA59" s="8">
        <f>IFERROR(__xludf.DUMMYFUNCTION("""COMPUTED_VALUE"""),0.0)</f>
        <v>0</v>
      </c>
      <c r="AB59" s="8">
        <f>IFERROR(__xludf.DUMMYFUNCTION("""COMPUTED_VALUE"""),0.0)</f>
        <v>0</v>
      </c>
      <c r="AC59" s="8">
        <f>IFERROR(__xludf.DUMMYFUNCTION("""COMPUTED_VALUE"""),0.0)</f>
        <v>0</v>
      </c>
    </row>
    <row r="60" ht="15.75" customHeight="1">
      <c r="A60" s="6" t="str">
        <f>IFERROR(__xludf.DUMMYFUNCTION("""COMPUTED_VALUE"""),"33e8ab0db9ae32917785af78276932f16eac10c0")</f>
        <v>33e8ab0db9ae32917785af78276932f16eac10c0</v>
      </c>
      <c r="B60" s="6" t="str">
        <f>IFERROR(__xludf.DUMMYFUNCTION("""COMPUTED_VALUE"""),"The Crowns Selection")</f>
        <v>The Crowns Selection</v>
      </c>
      <c r="C60" s="6" t="str">
        <f>IFERROR(__xludf.DUMMYFUNCTION("""COMPUTED_VALUE"""),"Romance")</f>
        <v>Romance</v>
      </c>
      <c r="D60" s="11">
        <f>IFERROR(__xludf.DUMMYFUNCTION("""COMPUTED_VALUE"""),728.0)</f>
        <v>728</v>
      </c>
      <c r="E60" s="8">
        <f>IFERROR(__xludf.DUMMYFUNCTION("""COMPUTED_VALUE"""),0.984869325997249)</f>
        <v>0.984869326</v>
      </c>
      <c r="F60" s="8">
        <f>IFERROR(__xludf.DUMMYFUNCTION("""COMPUTED_VALUE"""),0.201101928374655)</f>
        <v>0.2011019284</v>
      </c>
      <c r="G60" s="8">
        <f>IFERROR(__xludf.DUMMYFUNCTION("""COMPUTED_VALUE"""),0.162049861495844)</f>
        <v>0.1620498615</v>
      </c>
      <c r="H60" s="8">
        <f>IFERROR(__xludf.DUMMYFUNCTION("""COMPUTED_VALUE"""),0.13490959666203)</f>
        <v>0.1349095967</v>
      </c>
      <c r="I60" s="8">
        <f>IFERROR(__xludf.DUMMYFUNCTION("""COMPUTED_VALUE"""),0.0963687150837988)</f>
        <v>0.09636871508</v>
      </c>
      <c r="J60" s="8">
        <f>IFERROR(__xludf.DUMMYFUNCTION("""COMPUTED_VALUE"""),0.0925666199158485)</f>
        <v>0.09256661992</v>
      </c>
      <c r="K60" s="8">
        <f>IFERROR(__xludf.DUMMYFUNCTION("""COMPUTED_VALUE"""),0.0838068181818181)</f>
        <v>0.08380681818</v>
      </c>
      <c r="L60" s="8">
        <f>IFERROR(__xludf.DUMMYFUNCTION("""COMPUTED_VALUE"""),0.0773638968481375)</f>
        <v>0.07736389685</v>
      </c>
      <c r="M60" s="8">
        <f>IFERROR(__xludf.DUMMYFUNCTION("""COMPUTED_VALUE"""),0.0734870317002881)</f>
        <v>0.0734870317</v>
      </c>
      <c r="N60" s="8">
        <f>IFERROR(__xludf.DUMMYFUNCTION("""COMPUTED_VALUE"""),0.072463768115942)</f>
        <v>0.07246376812</v>
      </c>
      <c r="O60" s="8">
        <f>IFERROR(__xludf.DUMMYFUNCTION("""COMPUTED_VALUE"""),0.0520504731861198)</f>
        <v>0.05205047319</v>
      </c>
      <c r="P60" s="8">
        <f>IFERROR(__xludf.DUMMYFUNCTION("""COMPUTED_VALUE"""),0.0419580419580419)</f>
        <v>0.04195804196</v>
      </c>
      <c r="Q60" s="8">
        <f>IFERROR(__xludf.DUMMYFUNCTION("""COMPUTED_VALUE"""),0.0)</f>
        <v>0</v>
      </c>
      <c r="R60" s="8">
        <f>IFERROR(__xludf.DUMMYFUNCTION("""COMPUTED_VALUE"""),0.0)</f>
        <v>0</v>
      </c>
      <c r="S60" s="8">
        <f>IFERROR(__xludf.DUMMYFUNCTION("""COMPUTED_VALUE"""),0.0)</f>
        <v>0</v>
      </c>
      <c r="T60" s="8">
        <f>IFERROR(__xludf.DUMMYFUNCTION("""COMPUTED_VALUE"""),0.0)</f>
        <v>0</v>
      </c>
      <c r="U60" s="8">
        <f>IFERROR(__xludf.DUMMYFUNCTION("""COMPUTED_VALUE"""),0.0)</f>
        <v>0</v>
      </c>
      <c r="V60" s="8">
        <f>IFERROR(__xludf.DUMMYFUNCTION("""COMPUTED_VALUE"""),0.0)</f>
        <v>0</v>
      </c>
      <c r="W60" s="8">
        <f>IFERROR(__xludf.DUMMYFUNCTION("""COMPUTED_VALUE"""),0.0)</f>
        <v>0</v>
      </c>
      <c r="X60" s="8">
        <f>IFERROR(__xludf.DUMMYFUNCTION("""COMPUTED_VALUE"""),0.0)</f>
        <v>0</v>
      </c>
      <c r="Y60" s="8">
        <f>IFERROR(__xludf.DUMMYFUNCTION("""COMPUTED_VALUE"""),0.0)</f>
        <v>0</v>
      </c>
      <c r="Z60" s="8">
        <f>IFERROR(__xludf.DUMMYFUNCTION("""COMPUTED_VALUE"""),0.0)</f>
        <v>0</v>
      </c>
      <c r="AA60" s="8">
        <f>IFERROR(__xludf.DUMMYFUNCTION("""COMPUTED_VALUE"""),0.0)</f>
        <v>0</v>
      </c>
      <c r="AB60" s="8">
        <f>IFERROR(__xludf.DUMMYFUNCTION("""COMPUTED_VALUE"""),0.0)</f>
        <v>0</v>
      </c>
      <c r="AC60" s="8">
        <f>IFERROR(__xludf.DUMMYFUNCTION("""COMPUTED_VALUE"""),0.0)</f>
        <v>0</v>
      </c>
    </row>
    <row r="61" ht="15.75" customHeight="1">
      <c r="A61" s="6" t="str">
        <f>IFERROR(__xludf.DUMMYFUNCTION("""COMPUTED_VALUE"""),"344fcbb2ea419c5e240def842cb2949db59acee4")</f>
        <v>344fcbb2ea419c5e240def842cb2949db59acee4</v>
      </c>
      <c r="B61" s="6" t="str">
        <f>IFERROR(__xludf.DUMMYFUNCTION("""COMPUTED_VALUE"""),"Gate of Immortality")</f>
        <v>Gate of Immortality</v>
      </c>
      <c r="C61" s="6" t="str">
        <f>IFERROR(__xludf.DUMMYFUNCTION("""COMPUTED_VALUE"""),"Drama")</f>
        <v>Drama</v>
      </c>
      <c r="D61" s="11">
        <f>IFERROR(__xludf.DUMMYFUNCTION("""COMPUTED_VALUE"""),1083.0)</f>
        <v>1083</v>
      </c>
      <c r="E61" s="8">
        <f>IFERROR(__xludf.DUMMYFUNCTION("""COMPUTED_VALUE"""),0.970845481049562)</f>
        <v>0.970845481</v>
      </c>
      <c r="F61" s="8">
        <f>IFERROR(__xludf.DUMMYFUNCTION("""COMPUTED_VALUE"""),0.536410256410256)</f>
        <v>0.5364102564</v>
      </c>
      <c r="G61" s="8">
        <f>IFERROR(__xludf.DUMMYFUNCTION("""COMPUTED_VALUE"""),0.47787610619469)</f>
        <v>0.4778761062</v>
      </c>
      <c r="H61" s="8">
        <f>IFERROR(__xludf.DUMMYFUNCTION("""COMPUTED_VALUE"""),0.43520782396088)</f>
        <v>0.435207824</v>
      </c>
      <c r="I61" s="8">
        <f>IFERROR(__xludf.DUMMYFUNCTION("""COMPUTED_VALUE"""),0.418181818181818)</f>
        <v>0.4181818182</v>
      </c>
      <c r="J61" s="8">
        <f>IFERROR(__xludf.DUMMYFUNCTION("""COMPUTED_VALUE"""),0.377808988764044)</f>
        <v>0.3778089888</v>
      </c>
      <c r="K61" s="8">
        <f>IFERROR(__xludf.DUMMYFUNCTION("""COMPUTED_VALUE"""),0.332838038632986)</f>
        <v>0.3328380386</v>
      </c>
      <c r="L61" s="8">
        <f>IFERROR(__xludf.DUMMYFUNCTION("""COMPUTED_VALUE"""),0.311605723370429)</f>
        <v>0.3116057234</v>
      </c>
      <c r="M61" s="8">
        <f>IFERROR(__xludf.DUMMYFUNCTION("""COMPUTED_VALUE"""),0.290969899665551)</f>
        <v>0.2909698997</v>
      </c>
      <c r="N61" s="8">
        <f>IFERROR(__xludf.DUMMYFUNCTION("""COMPUTED_VALUE"""),0.279437609841827)</f>
        <v>0.2794376098</v>
      </c>
      <c r="O61" s="8">
        <f>IFERROR(__xludf.DUMMYFUNCTION("""COMPUTED_VALUE"""),0.222879684418145)</f>
        <v>0.2228796844</v>
      </c>
      <c r="P61" s="8">
        <f>IFERROR(__xludf.DUMMYFUNCTION("""COMPUTED_VALUE"""),0.173076923076923)</f>
        <v>0.1730769231</v>
      </c>
      <c r="Q61" s="8">
        <f>IFERROR(__xludf.DUMMYFUNCTION("""COMPUTED_VALUE"""),0.148148148148148)</f>
        <v>0.1481481481</v>
      </c>
      <c r="R61" s="8">
        <f>IFERROR(__xludf.DUMMYFUNCTION("""COMPUTED_VALUE"""),0.111111111111111)</f>
        <v>0.1111111111</v>
      </c>
      <c r="S61" s="8">
        <f>IFERROR(__xludf.DUMMYFUNCTION("""COMPUTED_VALUE"""),0.0)</f>
        <v>0</v>
      </c>
      <c r="T61" s="8">
        <f>IFERROR(__xludf.DUMMYFUNCTION("""COMPUTED_VALUE"""),0.0)</f>
        <v>0</v>
      </c>
      <c r="U61" s="8">
        <f>IFERROR(__xludf.DUMMYFUNCTION("""COMPUTED_VALUE"""),0.0)</f>
        <v>0</v>
      </c>
      <c r="V61" s="8">
        <f>IFERROR(__xludf.DUMMYFUNCTION("""COMPUTED_VALUE"""),0.0)</f>
        <v>0</v>
      </c>
      <c r="W61" s="8">
        <f>IFERROR(__xludf.DUMMYFUNCTION("""COMPUTED_VALUE"""),0.0)</f>
        <v>0</v>
      </c>
      <c r="X61" s="8">
        <f>IFERROR(__xludf.DUMMYFUNCTION("""COMPUTED_VALUE"""),0.0)</f>
        <v>0</v>
      </c>
      <c r="Y61" s="8">
        <f>IFERROR(__xludf.DUMMYFUNCTION("""COMPUTED_VALUE"""),0.0)</f>
        <v>0</v>
      </c>
      <c r="Z61" s="8">
        <f>IFERROR(__xludf.DUMMYFUNCTION("""COMPUTED_VALUE"""),0.0)</f>
        <v>0</v>
      </c>
      <c r="AA61" s="8">
        <f>IFERROR(__xludf.DUMMYFUNCTION("""COMPUTED_VALUE"""),0.0)</f>
        <v>0</v>
      </c>
      <c r="AB61" s="8">
        <f>IFERROR(__xludf.DUMMYFUNCTION("""COMPUTED_VALUE"""),0.0)</f>
        <v>0</v>
      </c>
      <c r="AC61" s="8">
        <f>IFERROR(__xludf.DUMMYFUNCTION("""COMPUTED_VALUE"""),0.0)</f>
        <v>0</v>
      </c>
    </row>
    <row r="62" ht="15.75" customHeight="1">
      <c r="A62" s="6" t="str">
        <f>IFERROR(__xludf.DUMMYFUNCTION("""COMPUTED_VALUE"""),"34997bc4167305107b251e0bf8431553064ef3a5")</f>
        <v>34997bc4167305107b251e0bf8431553064ef3a5</v>
      </c>
      <c r="B62" s="6" t="str">
        <f>IFERROR(__xludf.DUMMYFUNCTION("""COMPUTED_VALUE"""),"The Ghost Heiress")</f>
        <v>The Ghost Heiress</v>
      </c>
      <c r="C62" s="6" t="str">
        <f>IFERROR(__xludf.DUMMYFUNCTION("""COMPUTED_VALUE"""),"Romance")</f>
        <v>Romance</v>
      </c>
      <c r="D62" s="11">
        <f>IFERROR(__xludf.DUMMYFUNCTION("""COMPUTED_VALUE"""),259.0)</f>
        <v>259</v>
      </c>
      <c r="E62" s="8">
        <f>IFERROR(__xludf.DUMMYFUNCTION("""COMPUTED_VALUE"""),0.96414342629482)</f>
        <v>0.9641434263</v>
      </c>
      <c r="F62" s="8">
        <f>IFERROR(__xludf.DUMMYFUNCTION("""COMPUTED_VALUE"""),0.55327868852459)</f>
        <v>0.5532786885</v>
      </c>
      <c r="G62" s="8">
        <f>IFERROR(__xludf.DUMMYFUNCTION("""COMPUTED_VALUE"""),0.483333333333333)</f>
        <v>0.4833333333</v>
      </c>
      <c r="H62" s="8">
        <f>IFERROR(__xludf.DUMMYFUNCTION("""COMPUTED_VALUE"""),0.445887445887445)</f>
        <v>0.4458874459</v>
      </c>
      <c r="I62" s="8">
        <f>IFERROR(__xludf.DUMMYFUNCTION("""COMPUTED_VALUE"""),0.418918918918918)</f>
        <v>0.4189189189</v>
      </c>
      <c r="J62" s="8">
        <f>IFERROR(__xludf.DUMMYFUNCTION("""COMPUTED_VALUE"""),0.369158878504672)</f>
        <v>0.3691588785</v>
      </c>
      <c r="K62" s="8">
        <f>IFERROR(__xludf.DUMMYFUNCTION("""COMPUTED_VALUE"""),0.274881516587677)</f>
        <v>0.2748815166</v>
      </c>
      <c r="L62" s="8">
        <f>IFERROR(__xludf.DUMMYFUNCTION("""COMPUTED_VALUE"""),0.313432835820895)</f>
        <v>0.3134328358</v>
      </c>
      <c r="M62" s="8">
        <f>IFERROR(__xludf.DUMMYFUNCTION("""COMPUTED_VALUE"""),0.352331606217616)</f>
        <v>0.3523316062</v>
      </c>
      <c r="N62" s="8">
        <f>IFERROR(__xludf.DUMMYFUNCTION("""COMPUTED_VALUE"""),0.358288770053475)</f>
        <v>0.3582887701</v>
      </c>
      <c r="O62" s="8">
        <f>IFERROR(__xludf.DUMMYFUNCTION("""COMPUTED_VALUE"""),0.164835164835164)</f>
        <v>0.1648351648</v>
      </c>
      <c r="P62" s="8">
        <f>IFERROR(__xludf.DUMMYFUNCTION("""COMPUTED_VALUE"""),0.121621621621621)</f>
        <v>0.1216216216</v>
      </c>
      <c r="Q62" s="8">
        <f>IFERROR(__xludf.DUMMYFUNCTION("""COMPUTED_VALUE"""),0.0)</f>
        <v>0</v>
      </c>
      <c r="R62" s="8">
        <f>IFERROR(__xludf.DUMMYFUNCTION("""COMPUTED_VALUE"""),0.0)</f>
        <v>0</v>
      </c>
      <c r="S62" s="8">
        <f>IFERROR(__xludf.DUMMYFUNCTION("""COMPUTED_VALUE"""),0.0)</f>
        <v>0</v>
      </c>
      <c r="T62" s="8">
        <f>IFERROR(__xludf.DUMMYFUNCTION("""COMPUTED_VALUE"""),0.0)</f>
        <v>0</v>
      </c>
      <c r="U62" s="8">
        <f>IFERROR(__xludf.DUMMYFUNCTION("""COMPUTED_VALUE"""),0.0)</f>
        <v>0</v>
      </c>
      <c r="V62" s="8">
        <f>IFERROR(__xludf.DUMMYFUNCTION("""COMPUTED_VALUE"""),0.0)</f>
        <v>0</v>
      </c>
      <c r="W62" s="8">
        <f>IFERROR(__xludf.DUMMYFUNCTION("""COMPUTED_VALUE"""),0.0)</f>
        <v>0</v>
      </c>
      <c r="X62" s="8">
        <f>IFERROR(__xludf.DUMMYFUNCTION("""COMPUTED_VALUE"""),0.0)</f>
        <v>0</v>
      </c>
      <c r="Y62" s="8">
        <f>IFERROR(__xludf.DUMMYFUNCTION("""COMPUTED_VALUE"""),0.0)</f>
        <v>0</v>
      </c>
      <c r="Z62" s="8">
        <f>IFERROR(__xludf.DUMMYFUNCTION("""COMPUTED_VALUE"""),0.0)</f>
        <v>0</v>
      </c>
      <c r="AA62" s="8">
        <f>IFERROR(__xludf.DUMMYFUNCTION("""COMPUTED_VALUE"""),0.0)</f>
        <v>0</v>
      </c>
      <c r="AB62" s="8">
        <f>IFERROR(__xludf.DUMMYFUNCTION("""COMPUTED_VALUE"""),0.0)</f>
        <v>0</v>
      </c>
      <c r="AC62" s="8">
        <f>IFERROR(__xludf.DUMMYFUNCTION("""COMPUTED_VALUE"""),0.0)</f>
        <v>0</v>
      </c>
    </row>
    <row r="63" ht="15.75" customHeight="1">
      <c r="A63" s="6" t="str">
        <f>IFERROR(__xludf.DUMMYFUNCTION("""COMPUTED_VALUE"""),"34f2f307c600eaadeadd185f5681a891034fb635")</f>
        <v>34f2f307c600eaadeadd185f5681a891034fb635</v>
      </c>
      <c r="B63" s="6" t="str">
        <f>IFERROR(__xludf.DUMMYFUNCTION("""COMPUTED_VALUE"""),"Complete Deception")</f>
        <v>Complete Deception</v>
      </c>
      <c r="C63" s="6" t="str">
        <f>IFERROR(__xludf.DUMMYFUNCTION("""COMPUTED_VALUE"""),"Romance")</f>
        <v>Romance</v>
      </c>
      <c r="D63" s="11">
        <f>IFERROR(__xludf.DUMMYFUNCTION("""COMPUTED_VALUE"""),159.0)</f>
        <v>159</v>
      </c>
      <c r="E63" s="8">
        <f>IFERROR(__xludf.DUMMYFUNCTION("""COMPUTED_VALUE"""),0.924528301886792)</f>
        <v>0.9245283019</v>
      </c>
      <c r="F63" s="8">
        <f>IFERROR(__xludf.DUMMYFUNCTION("""COMPUTED_VALUE"""),0.392405063291139)</f>
        <v>0.3924050633</v>
      </c>
      <c r="G63" s="8">
        <f>IFERROR(__xludf.DUMMYFUNCTION("""COMPUTED_VALUE"""),0.305732484076433)</f>
        <v>0.3057324841</v>
      </c>
      <c r="H63" s="8">
        <f>IFERROR(__xludf.DUMMYFUNCTION("""COMPUTED_VALUE"""),0.286624203821656)</f>
        <v>0.2866242038</v>
      </c>
      <c r="I63" s="8">
        <f>IFERROR(__xludf.DUMMYFUNCTION("""COMPUTED_VALUE"""),0.261146496815286)</f>
        <v>0.2611464968</v>
      </c>
      <c r="J63" s="8">
        <f>IFERROR(__xludf.DUMMYFUNCTION("""COMPUTED_VALUE"""),0.242038216560509)</f>
        <v>0.2420382166</v>
      </c>
      <c r="K63" s="8">
        <f>IFERROR(__xludf.DUMMYFUNCTION("""COMPUTED_VALUE"""),0.242038216560509)</f>
        <v>0.2420382166</v>
      </c>
      <c r="L63" s="8">
        <f>IFERROR(__xludf.DUMMYFUNCTION("""COMPUTED_VALUE"""),0.224358974358974)</f>
        <v>0.2243589744</v>
      </c>
      <c r="M63" s="8">
        <f>IFERROR(__xludf.DUMMYFUNCTION("""COMPUTED_VALUE"""),0.232258064516129)</f>
        <v>0.2322580645</v>
      </c>
      <c r="N63" s="8">
        <f>IFERROR(__xludf.DUMMYFUNCTION("""COMPUTED_VALUE"""),0.243421052631578)</f>
        <v>0.2434210526</v>
      </c>
      <c r="O63" s="8">
        <f>IFERROR(__xludf.DUMMYFUNCTION("""COMPUTED_VALUE"""),0.208)</f>
        <v>0.208</v>
      </c>
      <c r="P63" s="8">
        <f>IFERROR(__xludf.DUMMYFUNCTION("""COMPUTED_VALUE"""),0.152380952380952)</f>
        <v>0.1523809524</v>
      </c>
      <c r="Q63" s="8">
        <f>IFERROR(__xludf.DUMMYFUNCTION("""COMPUTED_VALUE"""),0.087378640776699)</f>
        <v>0.08737864078</v>
      </c>
      <c r="R63" s="8">
        <f>IFERROR(__xludf.DUMMYFUNCTION("""COMPUTED_VALUE"""),0.0784313725490196)</f>
        <v>0.07843137255</v>
      </c>
      <c r="S63" s="8">
        <f>IFERROR(__xludf.DUMMYFUNCTION("""COMPUTED_VALUE"""),0.0784313725490196)</f>
        <v>0.07843137255</v>
      </c>
      <c r="T63" s="8">
        <f>IFERROR(__xludf.DUMMYFUNCTION("""COMPUTED_VALUE"""),0.07)</f>
        <v>0.07</v>
      </c>
      <c r="U63" s="8">
        <f>IFERROR(__xludf.DUMMYFUNCTION("""COMPUTED_VALUE"""),0.0714285714285714)</f>
        <v>0.07142857143</v>
      </c>
      <c r="V63" s="8">
        <f>IFERROR(__xludf.DUMMYFUNCTION("""COMPUTED_VALUE"""),0.0444444444444444)</f>
        <v>0.04444444444</v>
      </c>
      <c r="W63" s="8">
        <f>IFERROR(__xludf.DUMMYFUNCTION("""COMPUTED_VALUE"""),0.0)</f>
        <v>0</v>
      </c>
      <c r="X63" s="8">
        <f>IFERROR(__xludf.DUMMYFUNCTION("""COMPUTED_VALUE"""),0.0)</f>
        <v>0</v>
      </c>
      <c r="Y63" s="8">
        <f>IFERROR(__xludf.DUMMYFUNCTION("""COMPUTED_VALUE"""),0.0)</f>
        <v>0</v>
      </c>
      <c r="Z63" s="8">
        <f>IFERROR(__xludf.DUMMYFUNCTION("""COMPUTED_VALUE"""),0.0)</f>
        <v>0</v>
      </c>
      <c r="AA63" s="8">
        <f>IFERROR(__xludf.DUMMYFUNCTION("""COMPUTED_VALUE"""),0.0)</f>
        <v>0</v>
      </c>
      <c r="AB63" s="8">
        <f>IFERROR(__xludf.DUMMYFUNCTION("""COMPUTED_VALUE"""),0.0)</f>
        <v>0</v>
      </c>
      <c r="AC63" s="8">
        <f>IFERROR(__xludf.DUMMYFUNCTION("""COMPUTED_VALUE"""),0.0)</f>
        <v>0</v>
      </c>
    </row>
    <row r="64" ht="15.75" customHeight="1">
      <c r="A64" s="6" t="str">
        <f>IFERROR(__xludf.DUMMYFUNCTION("""COMPUTED_VALUE"""),"362902a5f0edf9862b88e64b166bdf3fa44487fc")</f>
        <v>362902a5f0edf9862b88e64b166bdf3fa44487fc</v>
      </c>
      <c r="B64" s="6" t="str">
        <f>IFERROR(__xludf.DUMMYFUNCTION("""COMPUTED_VALUE"""),"Almighty Sword Domain")</f>
        <v>Almighty Sword Domain</v>
      </c>
      <c r="C64" s="6" t="str">
        <f>IFERROR(__xludf.DUMMYFUNCTION("""COMPUTED_VALUE"""),"Fantasy")</f>
        <v>Fantasy</v>
      </c>
      <c r="D64" s="11">
        <f>IFERROR(__xludf.DUMMYFUNCTION("""COMPUTED_VALUE"""),336.0)</f>
        <v>336</v>
      </c>
      <c r="E64" s="8">
        <f>IFERROR(__xludf.DUMMYFUNCTION("""COMPUTED_VALUE"""),0.973941368078175)</f>
        <v>0.9739413681</v>
      </c>
      <c r="F64" s="8">
        <f>IFERROR(__xludf.DUMMYFUNCTION("""COMPUTED_VALUE"""),0.370212765957446)</f>
        <v>0.370212766</v>
      </c>
      <c r="G64" s="8">
        <f>IFERROR(__xludf.DUMMYFUNCTION("""COMPUTED_VALUE"""),0.340425531914893)</f>
        <v>0.3404255319</v>
      </c>
      <c r="H64" s="8">
        <f>IFERROR(__xludf.DUMMYFUNCTION("""COMPUTED_VALUE"""),0.317567567567567)</f>
        <v>0.3175675676</v>
      </c>
      <c r="I64" s="8">
        <f>IFERROR(__xludf.DUMMYFUNCTION("""COMPUTED_VALUE"""),0.313432835820895)</f>
        <v>0.3134328358</v>
      </c>
      <c r="J64" s="8">
        <f>IFERROR(__xludf.DUMMYFUNCTION("""COMPUTED_VALUE"""),0.280701754385964)</f>
        <v>0.2807017544</v>
      </c>
      <c r="K64" s="8">
        <f>IFERROR(__xludf.DUMMYFUNCTION("""COMPUTED_VALUE"""),0.271844660194174)</f>
        <v>0.2718446602</v>
      </c>
      <c r="L64" s="8">
        <f>IFERROR(__xludf.DUMMYFUNCTION("""COMPUTED_VALUE"""),0.282608695652173)</f>
        <v>0.2826086957</v>
      </c>
      <c r="M64" s="8">
        <f>IFERROR(__xludf.DUMMYFUNCTION("""COMPUTED_VALUE"""),0.292134831460674)</f>
        <v>0.2921348315</v>
      </c>
      <c r="N64" s="8">
        <f>IFERROR(__xludf.DUMMYFUNCTION("""COMPUTED_VALUE"""),0.280898876404494)</f>
        <v>0.2808988764</v>
      </c>
      <c r="O64" s="8">
        <f>IFERROR(__xludf.DUMMYFUNCTION("""COMPUTED_VALUE"""),0.275862068965517)</f>
        <v>0.275862069</v>
      </c>
      <c r="P64" s="8">
        <f>IFERROR(__xludf.DUMMYFUNCTION("""COMPUTED_VALUE"""),0.228915662650602)</f>
        <v>0.2289156627</v>
      </c>
      <c r="Q64" s="8">
        <f>IFERROR(__xludf.DUMMYFUNCTION("""COMPUTED_VALUE"""),0.16)</f>
        <v>0.16</v>
      </c>
      <c r="R64" s="8">
        <f>IFERROR(__xludf.DUMMYFUNCTION("""COMPUTED_VALUE"""),0.128571428571428)</f>
        <v>0.1285714286</v>
      </c>
      <c r="S64" s="8">
        <f>IFERROR(__xludf.DUMMYFUNCTION("""COMPUTED_VALUE"""),0.14516129032258)</f>
        <v>0.1451612903</v>
      </c>
      <c r="T64" s="8">
        <f>IFERROR(__xludf.DUMMYFUNCTION("""COMPUTED_VALUE"""),0.0930232558139534)</f>
        <v>0.09302325581</v>
      </c>
      <c r="U64" s="8">
        <f>IFERROR(__xludf.DUMMYFUNCTION("""COMPUTED_VALUE"""),0.0)</f>
        <v>0</v>
      </c>
      <c r="V64" s="8">
        <f>IFERROR(__xludf.DUMMYFUNCTION("""COMPUTED_VALUE"""),0.0)</f>
        <v>0</v>
      </c>
      <c r="W64" s="8">
        <f>IFERROR(__xludf.DUMMYFUNCTION("""COMPUTED_VALUE"""),0.0)</f>
        <v>0</v>
      </c>
      <c r="X64" s="8">
        <f>IFERROR(__xludf.DUMMYFUNCTION("""COMPUTED_VALUE"""),0.0)</f>
        <v>0</v>
      </c>
      <c r="Y64" s="8">
        <f>IFERROR(__xludf.DUMMYFUNCTION("""COMPUTED_VALUE"""),0.0)</f>
        <v>0</v>
      </c>
      <c r="Z64" s="8">
        <f>IFERROR(__xludf.DUMMYFUNCTION("""COMPUTED_VALUE"""),0.0)</f>
        <v>0</v>
      </c>
      <c r="AA64" s="8">
        <f>IFERROR(__xludf.DUMMYFUNCTION("""COMPUTED_VALUE"""),0.0)</f>
        <v>0</v>
      </c>
      <c r="AB64" s="8">
        <f>IFERROR(__xludf.DUMMYFUNCTION("""COMPUTED_VALUE"""),0.0)</f>
        <v>0</v>
      </c>
      <c r="AC64" s="8">
        <f>IFERROR(__xludf.DUMMYFUNCTION("""COMPUTED_VALUE"""),0.0)</f>
        <v>0</v>
      </c>
    </row>
    <row r="65" ht="15.75" customHeight="1">
      <c r="A65" s="6" t="str">
        <f>IFERROR(__xludf.DUMMYFUNCTION("""COMPUTED_VALUE"""),"37a4619595e440ac361cdc0df4d1bd0a9bd5d60c")</f>
        <v>37a4619595e440ac361cdc0df4d1bd0a9bd5d60c</v>
      </c>
      <c r="B65" s="6" t="str">
        <f>IFERROR(__xludf.DUMMYFUNCTION("""COMPUTED_VALUE"""),"The Bloodline Copy System")</f>
        <v>The Bloodline Copy System</v>
      </c>
      <c r="C65" s="6" t="str">
        <f>IFERROR(__xludf.DUMMYFUNCTION("""COMPUTED_VALUE"""),"System and Superpower")</f>
        <v>System and Superpower</v>
      </c>
      <c r="D65" s="11">
        <f>IFERROR(__xludf.DUMMYFUNCTION("""COMPUTED_VALUE"""),2196.0)</f>
        <v>2196</v>
      </c>
      <c r="E65" s="8">
        <f>IFERROR(__xludf.DUMMYFUNCTION("""COMPUTED_VALUE"""),0.976722957553628)</f>
        <v>0.9767229576</v>
      </c>
      <c r="F65" s="8">
        <f>IFERROR(__xludf.DUMMYFUNCTION("""COMPUTED_VALUE"""),0.617566331198536)</f>
        <v>0.6175663312</v>
      </c>
      <c r="G65" s="8">
        <f>IFERROR(__xludf.DUMMYFUNCTION("""COMPUTED_VALUE"""),0.540825688073394)</f>
        <v>0.5408256881</v>
      </c>
      <c r="H65" s="8">
        <f>IFERROR(__xludf.DUMMYFUNCTION("""COMPUTED_VALUE"""),0.485490557346844)</f>
        <v>0.4854905573</v>
      </c>
      <c r="I65" s="8">
        <f>IFERROR(__xludf.DUMMYFUNCTION("""COMPUTED_VALUE"""),0.45395650161962)</f>
        <v>0.4539565016</v>
      </c>
      <c r="J65" s="8">
        <f>IFERROR(__xludf.DUMMYFUNCTION("""COMPUTED_VALUE"""),0.421787709497206)</f>
        <v>0.4217877095</v>
      </c>
      <c r="K65" s="8">
        <f>IFERROR(__xludf.DUMMYFUNCTION("""COMPUTED_VALUE"""),0.399717514124293)</f>
        <v>0.3997175141</v>
      </c>
      <c r="L65" s="8">
        <f>IFERROR(__xludf.DUMMYFUNCTION("""COMPUTED_VALUE"""),0.389051808406647)</f>
        <v>0.3890518084</v>
      </c>
      <c r="M65" s="8">
        <f>IFERROR(__xludf.DUMMYFUNCTION("""COMPUTED_VALUE"""),0.381338742393509)</f>
        <v>0.3813387424</v>
      </c>
      <c r="N65" s="8">
        <f>IFERROR(__xludf.DUMMYFUNCTION("""COMPUTED_VALUE"""),0.368339368856699)</f>
        <v>0.3683393689</v>
      </c>
      <c r="O65" s="8">
        <f>IFERROR(__xludf.DUMMYFUNCTION("""COMPUTED_VALUE"""),0.307142857142857)</f>
        <v>0.3071428571</v>
      </c>
      <c r="P65" s="8">
        <f>IFERROR(__xludf.DUMMYFUNCTION("""COMPUTED_VALUE"""),0.231614539306847)</f>
        <v>0.2316145393</v>
      </c>
      <c r="Q65" s="8">
        <f>IFERROR(__xludf.DUMMYFUNCTION("""COMPUTED_VALUE"""),0.0984615384615384)</f>
        <v>0.09846153846</v>
      </c>
      <c r="R65" s="8">
        <f>IFERROR(__xludf.DUMMYFUNCTION("""COMPUTED_VALUE"""),0.0526315789473684)</f>
        <v>0.05263157895</v>
      </c>
      <c r="S65" s="8">
        <f>IFERROR(__xludf.DUMMYFUNCTION("""COMPUTED_VALUE"""),0.06)</f>
        <v>0.06</v>
      </c>
      <c r="T65" s="8">
        <f>IFERROR(__xludf.DUMMYFUNCTION("""COMPUTED_VALUE"""),0.0)</f>
        <v>0</v>
      </c>
      <c r="U65" s="8">
        <f>IFERROR(__xludf.DUMMYFUNCTION("""COMPUTED_VALUE"""),0.0)</f>
        <v>0</v>
      </c>
      <c r="V65" s="8">
        <f>IFERROR(__xludf.DUMMYFUNCTION("""COMPUTED_VALUE"""),0.0)</f>
        <v>0</v>
      </c>
      <c r="W65" s="8">
        <f>IFERROR(__xludf.DUMMYFUNCTION("""COMPUTED_VALUE"""),0.0)</f>
        <v>0</v>
      </c>
      <c r="X65" s="8">
        <f>IFERROR(__xludf.DUMMYFUNCTION("""COMPUTED_VALUE"""),0.0)</f>
        <v>0</v>
      </c>
      <c r="Y65" s="8">
        <f>IFERROR(__xludf.DUMMYFUNCTION("""COMPUTED_VALUE"""),0.0)</f>
        <v>0</v>
      </c>
      <c r="Z65" s="8">
        <f>IFERROR(__xludf.DUMMYFUNCTION("""COMPUTED_VALUE"""),0.0)</f>
        <v>0</v>
      </c>
      <c r="AA65" s="8">
        <f>IFERROR(__xludf.DUMMYFUNCTION("""COMPUTED_VALUE"""),0.0)</f>
        <v>0</v>
      </c>
      <c r="AB65" s="8">
        <f>IFERROR(__xludf.DUMMYFUNCTION("""COMPUTED_VALUE"""),0.0)</f>
        <v>0</v>
      </c>
      <c r="AC65" s="8">
        <f>IFERROR(__xludf.DUMMYFUNCTION("""COMPUTED_VALUE"""),0.0)</f>
        <v>0</v>
      </c>
    </row>
    <row r="66" ht="15.75" customHeight="1">
      <c r="A66" s="6" t="str">
        <f>IFERROR(__xludf.DUMMYFUNCTION("""COMPUTED_VALUE"""),"381f2f23cfe6043e04a4a705bfde2d0832cb6847")</f>
        <v>381f2f23cfe6043e04a4a705bfde2d0832cb6847</v>
      </c>
      <c r="B66" s="6" t="str">
        <f>IFERROR(__xludf.DUMMYFUNCTION("""COMPUTED_VALUE"""),"The Personal Maid")</f>
        <v>The Personal Maid</v>
      </c>
      <c r="C66" s="6" t="str">
        <f>IFERROR(__xludf.DUMMYFUNCTION("""COMPUTED_VALUE"""),"Romance")</f>
        <v>Romance</v>
      </c>
      <c r="D66" s="11">
        <f>IFERROR(__xludf.DUMMYFUNCTION("""COMPUTED_VALUE"""),60.0)</f>
        <v>60</v>
      </c>
      <c r="E66" s="8">
        <f>IFERROR(__xludf.DUMMYFUNCTION("""COMPUTED_VALUE"""),0.916666666666666)</f>
        <v>0.9166666667</v>
      </c>
      <c r="F66" s="8">
        <f>IFERROR(__xludf.DUMMYFUNCTION("""COMPUTED_VALUE"""),0.366666666666666)</f>
        <v>0.3666666667</v>
      </c>
      <c r="G66" s="8">
        <f>IFERROR(__xludf.DUMMYFUNCTION("""COMPUTED_VALUE"""),0.233333333333333)</f>
        <v>0.2333333333</v>
      </c>
      <c r="H66" s="8">
        <f>IFERROR(__xludf.DUMMYFUNCTION("""COMPUTED_VALUE"""),0.2)</f>
        <v>0.2</v>
      </c>
      <c r="I66" s="8">
        <f>IFERROR(__xludf.DUMMYFUNCTION("""COMPUTED_VALUE"""),0.216666666666666)</f>
        <v>0.2166666667</v>
      </c>
      <c r="J66" s="8">
        <f>IFERROR(__xludf.DUMMYFUNCTION("""COMPUTED_VALUE"""),0.183333333333333)</f>
        <v>0.1833333333</v>
      </c>
      <c r="K66" s="8">
        <f>IFERROR(__xludf.DUMMYFUNCTION("""COMPUTED_VALUE"""),0.133333333333333)</f>
        <v>0.1333333333</v>
      </c>
      <c r="L66" s="8">
        <f>IFERROR(__xludf.DUMMYFUNCTION("""COMPUTED_VALUE"""),0.116666666666666)</f>
        <v>0.1166666667</v>
      </c>
      <c r="M66" s="8">
        <f>IFERROR(__xludf.DUMMYFUNCTION("""COMPUTED_VALUE"""),0.0677966101694915)</f>
        <v>0.06779661017</v>
      </c>
      <c r="N66" s="8">
        <f>IFERROR(__xludf.DUMMYFUNCTION("""COMPUTED_VALUE"""),0.0677966101694915)</f>
        <v>0.06779661017</v>
      </c>
      <c r="O66" s="8">
        <f>IFERROR(__xludf.DUMMYFUNCTION("""COMPUTED_VALUE"""),0.0677966101694915)</f>
        <v>0.06779661017</v>
      </c>
      <c r="P66" s="8">
        <f>IFERROR(__xludf.DUMMYFUNCTION("""COMPUTED_VALUE"""),0.0847457627118644)</f>
        <v>0.08474576271</v>
      </c>
      <c r="Q66" s="8">
        <f>IFERROR(__xludf.DUMMYFUNCTION("""COMPUTED_VALUE"""),0.0285714285714285)</f>
        <v>0.02857142857</v>
      </c>
      <c r="R66" s="8">
        <f>IFERROR(__xludf.DUMMYFUNCTION("""COMPUTED_VALUE"""),0.0)</f>
        <v>0</v>
      </c>
      <c r="S66" s="8">
        <f>IFERROR(__xludf.DUMMYFUNCTION("""COMPUTED_VALUE"""),0.0)</f>
        <v>0</v>
      </c>
      <c r="T66" s="8">
        <f>IFERROR(__xludf.DUMMYFUNCTION("""COMPUTED_VALUE"""),0.0)</f>
        <v>0</v>
      </c>
      <c r="U66" s="8">
        <f>IFERROR(__xludf.DUMMYFUNCTION("""COMPUTED_VALUE"""),0.0)</f>
        <v>0</v>
      </c>
      <c r="V66" s="8">
        <f>IFERROR(__xludf.DUMMYFUNCTION("""COMPUTED_VALUE"""),0.0)</f>
        <v>0</v>
      </c>
      <c r="W66" s="8">
        <f>IFERROR(__xludf.DUMMYFUNCTION("""COMPUTED_VALUE"""),0.0)</f>
        <v>0</v>
      </c>
      <c r="X66" s="8">
        <f>IFERROR(__xludf.DUMMYFUNCTION("""COMPUTED_VALUE"""),0.0)</f>
        <v>0</v>
      </c>
      <c r="Y66" s="8">
        <f>IFERROR(__xludf.DUMMYFUNCTION("""COMPUTED_VALUE"""),0.0)</f>
        <v>0</v>
      </c>
      <c r="Z66" s="8">
        <f>IFERROR(__xludf.DUMMYFUNCTION("""COMPUTED_VALUE"""),0.0)</f>
        <v>0</v>
      </c>
      <c r="AA66" s="8">
        <f>IFERROR(__xludf.DUMMYFUNCTION("""COMPUTED_VALUE"""),0.0)</f>
        <v>0</v>
      </c>
      <c r="AB66" s="8">
        <f>IFERROR(__xludf.DUMMYFUNCTION("""COMPUTED_VALUE"""),0.0)</f>
        <v>0</v>
      </c>
      <c r="AC66" s="8">
        <f>IFERROR(__xludf.DUMMYFUNCTION("""COMPUTED_VALUE"""),0.0)</f>
        <v>0</v>
      </c>
    </row>
    <row r="67" ht="15.75" customHeight="1">
      <c r="A67" s="6" t="str">
        <f>IFERROR(__xludf.DUMMYFUNCTION("""COMPUTED_VALUE"""),"3a6212d18e444c9585676ce7dba35b7111dd1613")</f>
        <v>3a6212d18e444c9585676ce7dba35b7111dd1613</v>
      </c>
      <c r="B67" s="6" t="str">
        <f>IFERROR(__xludf.DUMMYFUNCTION("""COMPUTED_VALUE"""),"King of Throne")</f>
        <v>King of Throne</v>
      </c>
      <c r="C67" s="6" t="str">
        <f>IFERROR(__xludf.DUMMYFUNCTION("""COMPUTED_VALUE"""),"Fantasy")</f>
        <v>Fantasy</v>
      </c>
      <c r="D67" s="11">
        <f>IFERROR(__xludf.DUMMYFUNCTION("""COMPUTED_VALUE"""),662.0)</f>
        <v>662</v>
      </c>
      <c r="E67" s="8">
        <f>IFERROR(__xludf.DUMMYFUNCTION("""COMPUTED_VALUE"""),0.987711213517665)</f>
        <v>0.9877112135</v>
      </c>
      <c r="F67" s="8">
        <f>IFERROR(__xludf.DUMMYFUNCTION("""COMPUTED_VALUE"""),0.415126050420168)</f>
        <v>0.4151260504</v>
      </c>
      <c r="G67" s="8">
        <f>IFERROR(__xludf.DUMMYFUNCTION("""COMPUTED_VALUE"""),0.365079365079365)</f>
        <v>0.3650793651</v>
      </c>
      <c r="H67" s="8">
        <f>IFERROR(__xludf.DUMMYFUNCTION("""COMPUTED_VALUE"""),0.357340720221606)</f>
        <v>0.3573407202</v>
      </c>
      <c r="I67" s="8">
        <f>IFERROR(__xludf.DUMMYFUNCTION("""COMPUTED_VALUE"""),0.35016835016835)</f>
        <v>0.3501683502</v>
      </c>
      <c r="J67" s="8">
        <f>IFERROR(__xludf.DUMMYFUNCTION("""COMPUTED_VALUE"""),0.317919075144508)</f>
        <v>0.3179190751</v>
      </c>
      <c r="K67" s="8">
        <f>IFERROR(__xludf.DUMMYFUNCTION("""COMPUTED_VALUE"""),0.298387096774193)</f>
        <v>0.2983870968</v>
      </c>
      <c r="L67" s="8">
        <f>IFERROR(__xludf.DUMMYFUNCTION("""COMPUTED_VALUE"""),0.263636363636363)</f>
        <v>0.2636363636</v>
      </c>
      <c r="M67" s="8">
        <f>IFERROR(__xludf.DUMMYFUNCTION("""COMPUTED_VALUE"""),0.259615384615384)</f>
        <v>0.2596153846</v>
      </c>
      <c r="N67" s="8">
        <f>IFERROR(__xludf.DUMMYFUNCTION("""COMPUTED_VALUE"""),0.254901960784313)</f>
        <v>0.2549019608</v>
      </c>
      <c r="O67" s="8">
        <f>IFERROR(__xludf.DUMMYFUNCTION("""COMPUTED_VALUE"""),0.244186046511627)</f>
        <v>0.2441860465</v>
      </c>
      <c r="P67" s="8">
        <f>IFERROR(__xludf.DUMMYFUNCTION("""COMPUTED_VALUE"""),0.166666666666666)</f>
        <v>0.1666666667</v>
      </c>
      <c r="Q67" s="8">
        <f>IFERROR(__xludf.DUMMYFUNCTION("""COMPUTED_VALUE"""),0.0)</f>
        <v>0</v>
      </c>
      <c r="R67" s="8">
        <f>IFERROR(__xludf.DUMMYFUNCTION("""COMPUTED_VALUE"""),0.0)</f>
        <v>0</v>
      </c>
      <c r="S67" s="8">
        <f>IFERROR(__xludf.DUMMYFUNCTION("""COMPUTED_VALUE"""),0.0)</f>
        <v>0</v>
      </c>
      <c r="T67" s="8">
        <f>IFERROR(__xludf.DUMMYFUNCTION("""COMPUTED_VALUE"""),0.0)</f>
        <v>0</v>
      </c>
      <c r="U67" s="8">
        <f>IFERROR(__xludf.DUMMYFUNCTION("""COMPUTED_VALUE"""),0.0)</f>
        <v>0</v>
      </c>
      <c r="V67" s="8">
        <f>IFERROR(__xludf.DUMMYFUNCTION("""COMPUTED_VALUE"""),0.0)</f>
        <v>0</v>
      </c>
      <c r="W67" s="8">
        <f>IFERROR(__xludf.DUMMYFUNCTION("""COMPUTED_VALUE"""),0.0)</f>
        <v>0</v>
      </c>
      <c r="X67" s="8">
        <f>IFERROR(__xludf.DUMMYFUNCTION("""COMPUTED_VALUE"""),0.0)</f>
        <v>0</v>
      </c>
      <c r="Y67" s="8">
        <f>IFERROR(__xludf.DUMMYFUNCTION("""COMPUTED_VALUE"""),0.0)</f>
        <v>0</v>
      </c>
      <c r="Z67" s="8">
        <f>IFERROR(__xludf.DUMMYFUNCTION("""COMPUTED_VALUE"""),0.0)</f>
        <v>0</v>
      </c>
      <c r="AA67" s="8">
        <f>IFERROR(__xludf.DUMMYFUNCTION("""COMPUTED_VALUE"""),0.0)</f>
        <v>0</v>
      </c>
      <c r="AB67" s="8">
        <f>IFERROR(__xludf.DUMMYFUNCTION("""COMPUTED_VALUE"""),0.0)</f>
        <v>0</v>
      </c>
      <c r="AC67" s="8">
        <f>IFERROR(__xludf.DUMMYFUNCTION("""COMPUTED_VALUE"""),0.0)</f>
        <v>0</v>
      </c>
    </row>
    <row r="68" ht="15.75" customHeight="1">
      <c r="A68" s="6" t="str">
        <f>IFERROR(__xludf.DUMMYFUNCTION("""COMPUTED_VALUE"""),"3b626e0d14c34edb82f4b215f3b8d2e50455bbdd")</f>
        <v>3b626e0d14c34edb82f4b215f3b8d2e50455bbdd</v>
      </c>
      <c r="B68" s="6" t="str">
        <f>IFERROR(__xludf.DUMMYFUNCTION("""COMPUTED_VALUE"""),"His Lady Boss Is a Mafia")</f>
        <v>His Lady Boss Is a Mafia</v>
      </c>
      <c r="C68" s="6" t="str">
        <f>IFERROR(__xludf.DUMMYFUNCTION("""COMPUTED_VALUE"""),"Romance")</f>
        <v>Romance</v>
      </c>
      <c r="D68" s="11">
        <f>IFERROR(__xludf.DUMMYFUNCTION("""COMPUTED_VALUE"""),1222.0)</f>
        <v>1222</v>
      </c>
      <c r="E68" s="8">
        <f>IFERROR(__xludf.DUMMYFUNCTION("""COMPUTED_VALUE"""),0.924917491749174)</f>
        <v>0.9249174917</v>
      </c>
      <c r="F68" s="8">
        <f>IFERROR(__xludf.DUMMYFUNCTION("""COMPUTED_VALUE"""),0.370682392586352)</f>
        <v>0.3706823926</v>
      </c>
      <c r="G68" s="8">
        <f>IFERROR(__xludf.DUMMYFUNCTION("""COMPUTED_VALUE"""),0.351190476190476)</f>
        <v>0.3511904762</v>
      </c>
      <c r="H68" s="8">
        <f>IFERROR(__xludf.DUMMYFUNCTION("""COMPUTED_VALUE"""),0.331903945111492)</f>
        <v>0.3319039451</v>
      </c>
      <c r="I68" s="8">
        <f>IFERROR(__xludf.DUMMYFUNCTION("""COMPUTED_VALUE"""),0.3)</f>
        <v>0.3</v>
      </c>
      <c r="J68" s="8">
        <f>IFERROR(__xludf.DUMMYFUNCTION("""COMPUTED_VALUE"""),0.277296360485268)</f>
        <v>0.2772963605</v>
      </c>
      <c r="K68" s="8">
        <f>IFERROR(__xludf.DUMMYFUNCTION("""COMPUTED_VALUE"""),0.251304347826086)</f>
        <v>0.2513043478</v>
      </c>
      <c r="L68" s="8">
        <f>IFERROR(__xludf.DUMMYFUNCTION("""COMPUTED_VALUE"""),0.243838028169014)</f>
        <v>0.2438380282</v>
      </c>
      <c r="M68" s="8">
        <f>IFERROR(__xludf.DUMMYFUNCTION("""COMPUTED_VALUE"""),0.255731922398589)</f>
        <v>0.2557319224</v>
      </c>
      <c r="N68" s="8">
        <f>IFERROR(__xludf.DUMMYFUNCTION("""COMPUTED_VALUE"""),0.242907801418439)</f>
        <v>0.2429078014</v>
      </c>
      <c r="O68" s="8">
        <f>IFERROR(__xludf.DUMMYFUNCTION("""COMPUTED_VALUE"""),0.217040358744394)</f>
        <v>0.2170403587</v>
      </c>
      <c r="P68" s="8">
        <f>IFERROR(__xludf.DUMMYFUNCTION("""COMPUTED_VALUE"""),0.169216921692169)</f>
        <v>0.1692169217</v>
      </c>
      <c r="Q68" s="8">
        <f>IFERROR(__xludf.DUMMYFUNCTION("""COMPUTED_VALUE"""),0.0)</f>
        <v>0</v>
      </c>
      <c r="R68" s="8">
        <f>IFERROR(__xludf.DUMMYFUNCTION("""COMPUTED_VALUE"""),0.0)</f>
        <v>0</v>
      </c>
      <c r="S68" s="8">
        <f>IFERROR(__xludf.DUMMYFUNCTION("""COMPUTED_VALUE"""),0.0)</f>
        <v>0</v>
      </c>
      <c r="T68" s="8">
        <f>IFERROR(__xludf.DUMMYFUNCTION("""COMPUTED_VALUE"""),0.0)</f>
        <v>0</v>
      </c>
      <c r="U68" s="8">
        <f>IFERROR(__xludf.DUMMYFUNCTION("""COMPUTED_VALUE"""),0.0)</f>
        <v>0</v>
      </c>
      <c r="V68" s="8">
        <f>IFERROR(__xludf.DUMMYFUNCTION("""COMPUTED_VALUE"""),0.0)</f>
        <v>0</v>
      </c>
      <c r="W68" s="8">
        <f>IFERROR(__xludf.DUMMYFUNCTION("""COMPUTED_VALUE"""),0.0)</f>
        <v>0</v>
      </c>
      <c r="X68" s="8">
        <f>IFERROR(__xludf.DUMMYFUNCTION("""COMPUTED_VALUE"""),0.0)</f>
        <v>0</v>
      </c>
      <c r="Y68" s="8">
        <f>IFERROR(__xludf.DUMMYFUNCTION("""COMPUTED_VALUE"""),0.0)</f>
        <v>0</v>
      </c>
      <c r="Z68" s="8">
        <f>IFERROR(__xludf.DUMMYFUNCTION("""COMPUTED_VALUE"""),0.0)</f>
        <v>0</v>
      </c>
      <c r="AA68" s="8">
        <f>IFERROR(__xludf.DUMMYFUNCTION("""COMPUTED_VALUE"""),0.0)</f>
        <v>0</v>
      </c>
      <c r="AB68" s="8">
        <f>IFERROR(__xludf.DUMMYFUNCTION("""COMPUTED_VALUE"""),0.0)</f>
        <v>0</v>
      </c>
      <c r="AC68" s="8">
        <f>IFERROR(__xludf.DUMMYFUNCTION("""COMPUTED_VALUE"""),0.0)</f>
        <v>0</v>
      </c>
    </row>
    <row r="69" ht="15.75" customHeight="1">
      <c r="A69" s="6" t="str">
        <f>IFERROR(__xludf.DUMMYFUNCTION("""COMPUTED_VALUE"""),"3c57dd9bd6f929bdb36d8716aa9f261a72778e24")</f>
        <v>3c57dd9bd6f929bdb36d8716aa9f261a72778e24</v>
      </c>
      <c r="B69" s="6" t="str">
        <f>IFERROR(__xludf.DUMMYFUNCTION("""COMPUTED_VALUE"""),"Resurrected as a Secret Billionaire Liam Carson")</f>
        <v>Resurrected as a Secret Billionaire Liam Carson</v>
      </c>
      <c r="C69" s="6" t="str">
        <f>IFERROR(__xludf.DUMMYFUNCTION("""COMPUTED_VALUE"""),"Fantasy")</f>
        <v>Fantasy</v>
      </c>
      <c r="D69" s="11">
        <f>IFERROR(__xludf.DUMMYFUNCTION("""COMPUTED_VALUE"""),45835.0)</f>
        <v>45835</v>
      </c>
      <c r="E69" s="8">
        <f>IFERROR(__xludf.DUMMYFUNCTION("""COMPUTED_VALUE"""),0.862190195436183)</f>
        <v>0.8621901954</v>
      </c>
      <c r="F69" s="8">
        <f>IFERROR(__xludf.DUMMYFUNCTION("""COMPUTED_VALUE"""),0.420774108900065)</f>
        <v>0.4207741089</v>
      </c>
      <c r="G69" s="8">
        <f>IFERROR(__xludf.DUMMYFUNCTION("""COMPUTED_VALUE"""),0.378321586481635)</f>
        <v>0.3783215865</v>
      </c>
      <c r="H69" s="8">
        <f>IFERROR(__xludf.DUMMYFUNCTION("""COMPUTED_VALUE"""),0.356199198124575)</f>
        <v>0.3561991981</v>
      </c>
      <c r="I69" s="8">
        <f>IFERROR(__xludf.DUMMYFUNCTION("""COMPUTED_VALUE"""),0.339921902421902)</f>
        <v>0.3399219024</v>
      </c>
      <c r="J69" s="8">
        <f>IFERROR(__xludf.DUMMYFUNCTION("""COMPUTED_VALUE"""),0.329004899698987)</f>
        <v>0.3290048997</v>
      </c>
      <c r="K69" s="8">
        <f>IFERROR(__xludf.DUMMYFUNCTION("""COMPUTED_VALUE"""),0.325157827588482)</f>
        <v>0.3251578276</v>
      </c>
      <c r="L69" s="8">
        <f>IFERROR(__xludf.DUMMYFUNCTION("""COMPUTED_VALUE"""),0.319081918103923)</f>
        <v>0.3190819181</v>
      </c>
      <c r="M69" s="8">
        <f>IFERROR(__xludf.DUMMYFUNCTION("""COMPUTED_VALUE"""),0.313655415839399)</f>
        <v>0.3136554158</v>
      </c>
      <c r="N69" s="8">
        <f>IFERROR(__xludf.DUMMYFUNCTION("""COMPUTED_VALUE"""),0.310474338863972)</f>
        <v>0.3104743389</v>
      </c>
      <c r="O69" s="8">
        <f>IFERROR(__xludf.DUMMYFUNCTION("""COMPUTED_VALUE"""),0.29831679857318)</f>
        <v>0.2983167986</v>
      </c>
      <c r="P69" s="8">
        <f>IFERROR(__xludf.DUMMYFUNCTION("""COMPUTED_VALUE"""),0.265177948360083)</f>
        <v>0.2651779484</v>
      </c>
      <c r="Q69" s="8">
        <f>IFERROR(__xludf.DUMMYFUNCTION("""COMPUTED_VALUE"""),0.220778329405843)</f>
        <v>0.2207783294</v>
      </c>
      <c r="R69" s="8">
        <f>IFERROR(__xludf.DUMMYFUNCTION("""COMPUTED_VALUE"""),0.193669044815404)</f>
        <v>0.1936690448</v>
      </c>
      <c r="S69" s="8">
        <f>IFERROR(__xludf.DUMMYFUNCTION("""COMPUTED_VALUE"""),0.161633772694516)</f>
        <v>0.1616337727</v>
      </c>
      <c r="T69" s="8">
        <f>IFERROR(__xludf.DUMMYFUNCTION("""COMPUTED_VALUE"""),0.141888244819412)</f>
        <v>0.1418882448</v>
      </c>
      <c r="U69" s="8">
        <f>IFERROR(__xludf.DUMMYFUNCTION("""COMPUTED_VALUE"""),0.131085502221788)</f>
        <v>0.1310855022</v>
      </c>
      <c r="V69" s="8">
        <f>IFERROR(__xludf.DUMMYFUNCTION("""COMPUTED_VALUE"""),0.120639236609891)</f>
        <v>0.1206392366</v>
      </c>
      <c r="W69" s="8">
        <f>IFERROR(__xludf.DUMMYFUNCTION("""COMPUTED_VALUE"""),0.119674068545126)</f>
        <v>0.1196740685</v>
      </c>
      <c r="X69" s="8">
        <f>IFERROR(__xludf.DUMMYFUNCTION("""COMPUTED_VALUE"""),0.101421122584602)</f>
        <v>0.1014211226</v>
      </c>
      <c r="Y69" s="8">
        <f>IFERROR(__xludf.DUMMYFUNCTION("""COMPUTED_VALUE"""),0.0492248752672843)</f>
        <v>0.04922487527</v>
      </c>
      <c r="Z69" s="8">
        <f>IFERROR(__xludf.DUMMYFUNCTION("""COMPUTED_VALUE"""),0.0344170861107332)</f>
        <v>0.03441708611</v>
      </c>
      <c r="AA69" s="8">
        <f>IFERROR(__xludf.DUMMYFUNCTION("""COMPUTED_VALUE"""),0.0281827016520894)</f>
        <v>0.02818270165</v>
      </c>
      <c r="AB69" s="8">
        <f>IFERROR(__xludf.DUMMYFUNCTION("""COMPUTED_VALUE"""),0.1)</f>
        <v>0.1</v>
      </c>
      <c r="AC69" s="8">
        <f>IFERROR(__xludf.DUMMYFUNCTION("""COMPUTED_VALUE"""),0.0)</f>
        <v>0</v>
      </c>
    </row>
    <row r="70" ht="15.75" customHeight="1">
      <c r="A70" s="6" t="str">
        <f>IFERROR(__xludf.DUMMYFUNCTION("""COMPUTED_VALUE"""),"4010f733ac400156fd9f4d75852b8ebdeabe1689")</f>
        <v>4010f733ac400156fd9f4d75852b8ebdeabe1689</v>
      </c>
      <c r="B70" s="6" t="str">
        <f>IFERROR(__xludf.DUMMYFUNCTION("""COMPUTED_VALUE"""),"My Ceo Husband's Secret")</f>
        <v>My Ceo Husband's Secret</v>
      </c>
      <c r="C70" s="6" t="str">
        <f>IFERROR(__xludf.DUMMYFUNCTION("""COMPUTED_VALUE"""),"Romance")</f>
        <v>Romance</v>
      </c>
      <c r="D70" s="11">
        <f>IFERROR(__xludf.DUMMYFUNCTION("""COMPUTED_VALUE"""),317.0)</f>
        <v>317</v>
      </c>
      <c r="E70" s="8">
        <f>IFERROR(__xludf.DUMMYFUNCTION("""COMPUTED_VALUE"""),0.955271565495207)</f>
        <v>0.9552715655</v>
      </c>
      <c r="F70" s="8">
        <f>IFERROR(__xludf.DUMMYFUNCTION("""COMPUTED_VALUE"""),0.488745980707395)</f>
        <v>0.4887459807</v>
      </c>
      <c r="G70" s="8">
        <f>IFERROR(__xludf.DUMMYFUNCTION("""COMPUTED_VALUE"""),0.419354838709677)</f>
        <v>0.4193548387</v>
      </c>
      <c r="H70" s="8">
        <f>IFERROR(__xludf.DUMMYFUNCTION("""COMPUTED_VALUE"""),0.396774193548387)</f>
        <v>0.3967741935</v>
      </c>
      <c r="I70" s="8">
        <f>IFERROR(__xludf.DUMMYFUNCTION("""COMPUTED_VALUE"""),0.376623376623376)</f>
        <v>0.3766233766</v>
      </c>
      <c r="J70" s="8">
        <f>IFERROR(__xludf.DUMMYFUNCTION("""COMPUTED_VALUE"""),0.347402597402597)</f>
        <v>0.3474025974</v>
      </c>
      <c r="K70" s="8">
        <f>IFERROR(__xludf.DUMMYFUNCTION("""COMPUTED_VALUE"""),0.314935064935064)</f>
        <v>0.3149350649</v>
      </c>
      <c r="L70" s="8">
        <f>IFERROR(__xludf.DUMMYFUNCTION("""COMPUTED_VALUE"""),0.289902280130293)</f>
        <v>0.2899022801</v>
      </c>
      <c r="M70" s="8">
        <f>IFERROR(__xludf.DUMMYFUNCTION("""COMPUTED_VALUE"""),0.281045751633986)</f>
        <v>0.2810457516</v>
      </c>
      <c r="N70" s="8">
        <f>IFERROR(__xludf.DUMMYFUNCTION("""COMPUTED_VALUE"""),0.258169934640522)</f>
        <v>0.2581699346</v>
      </c>
      <c r="O70" s="8">
        <f>IFERROR(__xludf.DUMMYFUNCTION("""COMPUTED_VALUE"""),0.239285714285714)</f>
        <v>0.2392857143</v>
      </c>
      <c r="P70" s="8">
        <f>IFERROR(__xludf.DUMMYFUNCTION("""COMPUTED_VALUE"""),0.209486166007905)</f>
        <v>0.209486166</v>
      </c>
      <c r="Q70" s="8">
        <f>IFERROR(__xludf.DUMMYFUNCTION("""COMPUTED_VALUE"""),0.232804232804232)</f>
        <v>0.2328042328</v>
      </c>
      <c r="R70" s="8">
        <f>IFERROR(__xludf.DUMMYFUNCTION("""COMPUTED_VALUE"""),0.227272727272727)</f>
        <v>0.2272727273</v>
      </c>
      <c r="S70" s="8">
        <f>IFERROR(__xludf.DUMMYFUNCTION("""COMPUTED_VALUE"""),0.15)</f>
        <v>0.15</v>
      </c>
      <c r="T70" s="8">
        <f>IFERROR(__xludf.DUMMYFUNCTION("""COMPUTED_VALUE"""),0.0674157303370786)</f>
        <v>0.06741573034</v>
      </c>
      <c r="U70" s="8">
        <f>IFERROR(__xludf.DUMMYFUNCTION("""COMPUTED_VALUE"""),0.0666666666666666)</f>
        <v>0.06666666667</v>
      </c>
      <c r="V70" s="8">
        <f>IFERROR(__xludf.DUMMYFUNCTION("""COMPUTED_VALUE"""),0.0)</f>
        <v>0</v>
      </c>
      <c r="W70" s="8">
        <f>IFERROR(__xludf.DUMMYFUNCTION("""COMPUTED_VALUE"""),0.0)</f>
        <v>0</v>
      </c>
      <c r="X70" s="8">
        <f>IFERROR(__xludf.DUMMYFUNCTION("""COMPUTED_VALUE"""),0.0)</f>
        <v>0</v>
      </c>
      <c r="Y70" s="8">
        <f>IFERROR(__xludf.DUMMYFUNCTION("""COMPUTED_VALUE"""),0.0)</f>
        <v>0</v>
      </c>
      <c r="Z70" s="8">
        <f>IFERROR(__xludf.DUMMYFUNCTION("""COMPUTED_VALUE"""),0.0)</f>
        <v>0</v>
      </c>
      <c r="AA70" s="8">
        <f>IFERROR(__xludf.DUMMYFUNCTION("""COMPUTED_VALUE"""),0.0)</f>
        <v>0</v>
      </c>
      <c r="AB70" s="8">
        <f>IFERROR(__xludf.DUMMYFUNCTION("""COMPUTED_VALUE"""),0.0)</f>
        <v>0</v>
      </c>
      <c r="AC70" s="8">
        <f>IFERROR(__xludf.DUMMYFUNCTION("""COMPUTED_VALUE"""),0.0)</f>
        <v>0</v>
      </c>
    </row>
    <row r="71" ht="15.75" customHeight="1">
      <c r="A71" s="6" t="str">
        <f>IFERROR(__xludf.DUMMYFUNCTION("""COMPUTED_VALUE"""),"4056d8e031445adbb80d52b1fd723609be585a3b")</f>
        <v>4056d8e031445adbb80d52b1fd723609be585a3b</v>
      </c>
      <c r="B71" s="6" t="str">
        <f>IFERROR(__xludf.DUMMYFUNCTION("""COMPUTED_VALUE"""),"Only Boy on the Bus")</f>
        <v>Only Boy on the Bus</v>
      </c>
      <c r="C71" s="6" t="str">
        <f>IFERROR(__xludf.DUMMYFUNCTION("""COMPUTED_VALUE"""),"Fantasy")</f>
        <v>Fantasy</v>
      </c>
      <c r="D71" s="11">
        <f>IFERROR(__xludf.DUMMYFUNCTION("""COMPUTED_VALUE"""),847.0)</f>
        <v>847</v>
      </c>
      <c r="E71" s="8">
        <f>IFERROR(__xludf.DUMMYFUNCTION("""COMPUTED_VALUE"""),0.969267139479905)</f>
        <v>0.9692671395</v>
      </c>
      <c r="F71" s="8">
        <f>IFERROR(__xludf.DUMMYFUNCTION("""COMPUTED_VALUE"""),0.642603550295858)</f>
        <v>0.6426035503</v>
      </c>
      <c r="G71" s="8">
        <f>IFERROR(__xludf.DUMMYFUNCTION("""COMPUTED_VALUE"""),0.537914691943127)</f>
        <v>0.5379146919</v>
      </c>
      <c r="H71" s="8">
        <f>IFERROR(__xludf.DUMMYFUNCTION("""COMPUTED_VALUE"""),0.483333333333333)</f>
        <v>0.4833333333</v>
      </c>
      <c r="I71" s="8">
        <f>IFERROR(__xludf.DUMMYFUNCTION("""COMPUTED_VALUE"""),0.460620525059665)</f>
        <v>0.4606205251</v>
      </c>
      <c r="J71" s="8">
        <f>IFERROR(__xludf.DUMMYFUNCTION("""COMPUTED_VALUE"""),0.440047961630695)</f>
        <v>0.4400479616</v>
      </c>
      <c r="K71" s="8">
        <f>IFERROR(__xludf.DUMMYFUNCTION("""COMPUTED_VALUE"""),0.399518652226233)</f>
        <v>0.3995186522</v>
      </c>
      <c r="L71" s="8">
        <f>IFERROR(__xludf.DUMMYFUNCTION("""COMPUTED_VALUE"""),0.387213510253317)</f>
        <v>0.3872135103</v>
      </c>
      <c r="M71" s="8">
        <f>IFERROR(__xludf.DUMMYFUNCTION("""COMPUTED_VALUE"""),0.380894800483675)</f>
        <v>0.3808948005</v>
      </c>
      <c r="N71" s="8">
        <f>IFERROR(__xludf.DUMMYFUNCTION("""COMPUTED_VALUE"""),0.37135922330097)</f>
        <v>0.3713592233</v>
      </c>
      <c r="O71" s="8">
        <f>IFERROR(__xludf.DUMMYFUNCTION("""COMPUTED_VALUE"""),0.354881266490765)</f>
        <v>0.3548812665</v>
      </c>
      <c r="P71" s="8">
        <f>IFERROR(__xludf.DUMMYFUNCTION("""COMPUTED_VALUE"""),0.287719298245614)</f>
        <v>0.2877192982</v>
      </c>
      <c r="Q71" s="8">
        <f>IFERROR(__xludf.DUMMYFUNCTION("""COMPUTED_VALUE"""),0.0835509138381201)</f>
        <v>0.08355091384</v>
      </c>
      <c r="R71" s="8">
        <f>IFERROR(__xludf.DUMMYFUNCTION("""COMPUTED_VALUE"""),0.0)</f>
        <v>0</v>
      </c>
      <c r="S71" s="8">
        <f>IFERROR(__xludf.DUMMYFUNCTION("""COMPUTED_VALUE"""),0.0)</f>
        <v>0</v>
      </c>
      <c r="T71" s="8">
        <f>IFERROR(__xludf.DUMMYFUNCTION("""COMPUTED_VALUE"""),0.0)</f>
        <v>0</v>
      </c>
      <c r="U71" s="8">
        <f>IFERROR(__xludf.DUMMYFUNCTION("""COMPUTED_VALUE"""),0.0)</f>
        <v>0</v>
      </c>
      <c r="V71" s="8">
        <f>IFERROR(__xludf.DUMMYFUNCTION("""COMPUTED_VALUE"""),0.0)</f>
        <v>0</v>
      </c>
      <c r="W71" s="8">
        <f>IFERROR(__xludf.DUMMYFUNCTION("""COMPUTED_VALUE"""),0.0)</f>
        <v>0</v>
      </c>
      <c r="X71" s="8">
        <f>IFERROR(__xludf.DUMMYFUNCTION("""COMPUTED_VALUE"""),0.0)</f>
        <v>0</v>
      </c>
      <c r="Y71" s="8">
        <f>IFERROR(__xludf.DUMMYFUNCTION("""COMPUTED_VALUE"""),0.0)</f>
        <v>0</v>
      </c>
      <c r="Z71" s="8">
        <f>IFERROR(__xludf.DUMMYFUNCTION("""COMPUTED_VALUE"""),0.0)</f>
        <v>0</v>
      </c>
      <c r="AA71" s="8">
        <f>IFERROR(__xludf.DUMMYFUNCTION("""COMPUTED_VALUE"""),0.0)</f>
        <v>0</v>
      </c>
      <c r="AB71" s="8">
        <f>IFERROR(__xludf.DUMMYFUNCTION("""COMPUTED_VALUE"""),0.0)</f>
        <v>0</v>
      </c>
      <c r="AC71" s="8">
        <f>IFERROR(__xludf.DUMMYFUNCTION("""COMPUTED_VALUE"""),0.0)</f>
        <v>0</v>
      </c>
    </row>
    <row r="72" ht="15.75" customHeight="1">
      <c r="A72" s="6" t="str">
        <f>IFERROR(__xludf.DUMMYFUNCTION("""COMPUTED_VALUE"""),"40e06046d3679811f910f8beed9306369f59c60e")</f>
        <v>40e06046d3679811f910f8beed9306369f59c60e</v>
      </c>
      <c r="B72" s="6" t="str">
        <f>IFERROR(__xludf.DUMMYFUNCTION("""COMPUTED_VALUE"""),"Lycan Unity Academy")</f>
        <v>Lycan Unity Academy</v>
      </c>
      <c r="C72" s="6" t="str">
        <f>IFERROR(__xludf.DUMMYFUNCTION("""COMPUTED_VALUE"""),"Romantasy")</f>
        <v>Romantasy</v>
      </c>
      <c r="D72" s="11">
        <f>IFERROR(__xludf.DUMMYFUNCTION("""COMPUTED_VALUE"""),579.0)</f>
        <v>579</v>
      </c>
      <c r="E72" s="8">
        <f>IFERROR(__xludf.DUMMYFUNCTION("""COMPUTED_VALUE"""),0.982638888888888)</f>
        <v>0.9826388889</v>
      </c>
      <c r="F72" s="8">
        <f>IFERROR(__xludf.DUMMYFUNCTION("""COMPUTED_VALUE"""),0.347222222222222)</f>
        <v>0.3472222222</v>
      </c>
      <c r="G72" s="8">
        <f>IFERROR(__xludf.DUMMYFUNCTION("""COMPUTED_VALUE"""),0.288695652173913)</f>
        <v>0.2886956522</v>
      </c>
      <c r="H72" s="8">
        <f>IFERROR(__xludf.DUMMYFUNCTION("""COMPUTED_VALUE"""),0.255652173913043)</f>
        <v>0.2556521739</v>
      </c>
      <c r="I72" s="8">
        <f>IFERROR(__xludf.DUMMYFUNCTION("""COMPUTED_VALUE"""),0.234782608695652)</f>
        <v>0.2347826087</v>
      </c>
      <c r="J72" s="8">
        <f>IFERROR(__xludf.DUMMYFUNCTION("""COMPUTED_VALUE"""),0.219130434782608)</f>
        <v>0.2191304348</v>
      </c>
      <c r="K72" s="8">
        <f>IFERROR(__xludf.DUMMYFUNCTION("""COMPUTED_VALUE"""),0.219130434782608)</f>
        <v>0.2191304348</v>
      </c>
      <c r="L72" s="8">
        <f>IFERROR(__xludf.DUMMYFUNCTION("""COMPUTED_VALUE"""),0.209059233449477)</f>
        <v>0.2090592334</v>
      </c>
      <c r="M72" s="8">
        <f>IFERROR(__xludf.DUMMYFUNCTION("""COMPUTED_VALUE"""),0.186736474694589)</f>
        <v>0.1867364747</v>
      </c>
      <c r="N72" s="8">
        <f>IFERROR(__xludf.DUMMYFUNCTION("""COMPUTED_VALUE"""),0.178010471204188)</f>
        <v>0.1780104712</v>
      </c>
      <c r="O72" s="8">
        <f>IFERROR(__xludf.DUMMYFUNCTION("""COMPUTED_VALUE"""),0.139622641509433)</f>
        <v>0.1396226415</v>
      </c>
      <c r="P72" s="8">
        <f>IFERROR(__xludf.DUMMYFUNCTION("""COMPUTED_VALUE"""),0.103250478011472)</f>
        <v>0.103250478</v>
      </c>
      <c r="Q72" s="8">
        <f>IFERROR(__xludf.DUMMYFUNCTION("""COMPUTED_VALUE"""),0.0351437699680511)</f>
        <v>0.03514376997</v>
      </c>
      <c r="R72" s="8">
        <f>IFERROR(__xludf.DUMMYFUNCTION("""COMPUTED_VALUE"""),0.0526315789473684)</f>
        <v>0.05263157895</v>
      </c>
      <c r="S72" s="8">
        <f>IFERROR(__xludf.DUMMYFUNCTION("""COMPUTED_VALUE"""),0.0)</f>
        <v>0</v>
      </c>
      <c r="T72" s="8">
        <f>IFERROR(__xludf.DUMMYFUNCTION("""COMPUTED_VALUE"""),0.0)</f>
        <v>0</v>
      </c>
      <c r="U72" s="8">
        <f>IFERROR(__xludf.DUMMYFUNCTION("""COMPUTED_VALUE"""),0.0)</f>
        <v>0</v>
      </c>
      <c r="V72" s="8">
        <f>IFERROR(__xludf.DUMMYFUNCTION("""COMPUTED_VALUE"""),0.0)</f>
        <v>0</v>
      </c>
      <c r="W72" s="8">
        <f>IFERROR(__xludf.DUMMYFUNCTION("""COMPUTED_VALUE"""),0.0)</f>
        <v>0</v>
      </c>
      <c r="X72" s="8">
        <f>IFERROR(__xludf.DUMMYFUNCTION("""COMPUTED_VALUE"""),0.0)</f>
        <v>0</v>
      </c>
      <c r="Y72" s="8">
        <f>IFERROR(__xludf.DUMMYFUNCTION("""COMPUTED_VALUE"""),0.0)</f>
        <v>0</v>
      </c>
      <c r="Z72" s="8">
        <f>IFERROR(__xludf.DUMMYFUNCTION("""COMPUTED_VALUE"""),0.0)</f>
        <v>0</v>
      </c>
      <c r="AA72" s="8">
        <f>IFERROR(__xludf.DUMMYFUNCTION("""COMPUTED_VALUE"""),0.0)</f>
        <v>0</v>
      </c>
      <c r="AB72" s="8">
        <f>IFERROR(__xludf.DUMMYFUNCTION("""COMPUTED_VALUE"""),0.0)</f>
        <v>0</v>
      </c>
      <c r="AC72" s="8">
        <f>IFERROR(__xludf.DUMMYFUNCTION("""COMPUTED_VALUE"""),0.0)</f>
        <v>0</v>
      </c>
    </row>
    <row r="73" ht="15.75" customHeight="1">
      <c r="A73" s="6" t="str">
        <f>IFERROR(__xludf.DUMMYFUNCTION("""COMPUTED_VALUE"""),"41afeacb4e481e249d618ae39936f1173864e026")</f>
        <v>41afeacb4e481e249d618ae39936f1173864e026</v>
      </c>
      <c r="B73" s="6" t="str">
        <f>IFERROR(__xludf.DUMMYFUNCTION("""COMPUTED_VALUE"""),"Disguised Successor")</f>
        <v>Disguised Successor</v>
      </c>
      <c r="C73" s="6" t="str">
        <f>IFERROR(__xludf.DUMMYFUNCTION("""COMPUTED_VALUE"""),"Drama")</f>
        <v>Drama</v>
      </c>
      <c r="D73" s="11">
        <f>IFERROR(__xludf.DUMMYFUNCTION("""COMPUTED_VALUE"""),1262.0)</f>
        <v>1262</v>
      </c>
      <c r="E73" s="8">
        <f>IFERROR(__xludf.DUMMYFUNCTION("""COMPUTED_VALUE"""),0.952418715305313)</f>
        <v>0.9524187153</v>
      </c>
      <c r="F73" s="8">
        <f>IFERROR(__xludf.DUMMYFUNCTION("""COMPUTED_VALUE"""),0.66031746031746)</f>
        <v>0.6603174603</v>
      </c>
      <c r="G73" s="8">
        <f>IFERROR(__xludf.DUMMYFUNCTION("""COMPUTED_VALUE"""),0.585714285714285)</f>
        <v>0.5857142857</v>
      </c>
      <c r="H73" s="8">
        <f>IFERROR(__xludf.DUMMYFUNCTION("""COMPUTED_VALUE"""),0.548489666136725)</f>
        <v>0.5484896661</v>
      </c>
      <c r="I73" s="8">
        <f>IFERROR(__xludf.DUMMYFUNCTION("""COMPUTED_VALUE"""),0.523847376788553)</f>
        <v>0.5238473768</v>
      </c>
      <c r="J73" s="8">
        <f>IFERROR(__xludf.DUMMYFUNCTION("""COMPUTED_VALUE"""),0.492038216560509)</f>
        <v>0.4920382166</v>
      </c>
      <c r="K73" s="8">
        <f>IFERROR(__xludf.DUMMYFUNCTION("""COMPUTED_VALUE"""),0.462090981644054)</f>
        <v>0.4620909816</v>
      </c>
      <c r="L73" s="8">
        <f>IFERROR(__xludf.DUMMYFUNCTION("""COMPUTED_VALUE"""),0.4464)</f>
        <v>0.4464</v>
      </c>
      <c r="M73" s="8">
        <f>IFERROR(__xludf.DUMMYFUNCTION("""COMPUTED_VALUE"""),0.422275641025641)</f>
        <v>0.422275641</v>
      </c>
      <c r="N73" s="8">
        <f>IFERROR(__xludf.DUMMYFUNCTION("""COMPUTED_VALUE"""),0.398876404494382)</f>
        <v>0.3988764045</v>
      </c>
      <c r="O73" s="8">
        <f>IFERROR(__xludf.DUMMYFUNCTION("""COMPUTED_VALUE"""),0.333333333333333)</f>
        <v>0.3333333333</v>
      </c>
      <c r="P73" s="8">
        <f>IFERROR(__xludf.DUMMYFUNCTION("""COMPUTED_VALUE"""),0.227513227513227)</f>
        <v>0.2275132275</v>
      </c>
      <c r="Q73" s="8">
        <f>IFERROR(__xludf.DUMMYFUNCTION("""COMPUTED_VALUE"""),0.141078838174273)</f>
        <v>0.1410788382</v>
      </c>
      <c r="R73" s="8">
        <f>IFERROR(__xludf.DUMMYFUNCTION("""COMPUTED_VALUE"""),0.0723981900452488)</f>
        <v>0.07239819005</v>
      </c>
      <c r="S73" s="8">
        <f>IFERROR(__xludf.DUMMYFUNCTION("""COMPUTED_VALUE"""),0.0)</f>
        <v>0</v>
      </c>
      <c r="T73" s="8">
        <f>IFERROR(__xludf.DUMMYFUNCTION("""COMPUTED_VALUE"""),0.0)</f>
        <v>0</v>
      </c>
      <c r="U73" s="8">
        <f>IFERROR(__xludf.DUMMYFUNCTION("""COMPUTED_VALUE"""),0.0)</f>
        <v>0</v>
      </c>
      <c r="V73" s="8">
        <f>IFERROR(__xludf.DUMMYFUNCTION("""COMPUTED_VALUE"""),0.0)</f>
        <v>0</v>
      </c>
      <c r="W73" s="8">
        <f>IFERROR(__xludf.DUMMYFUNCTION("""COMPUTED_VALUE"""),0.0)</f>
        <v>0</v>
      </c>
      <c r="X73" s="8">
        <f>IFERROR(__xludf.DUMMYFUNCTION("""COMPUTED_VALUE"""),0.0)</f>
        <v>0</v>
      </c>
      <c r="Y73" s="8">
        <f>IFERROR(__xludf.DUMMYFUNCTION("""COMPUTED_VALUE"""),0.0)</f>
        <v>0</v>
      </c>
      <c r="Z73" s="8">
        <f>IFERROR(__xludf.DUMMYFUNCTION("""COMPUTED_VALUE"""),0.0)</f>
        <v>0</v>
      </c>
      <c r="AA73" s="8">
        <f>IFERROR(__xludf.DUMMYFUNCTION("""COMPUTED_VALUE"""),0.0)</f>
        <v>0</v>
      </c>
      <c r="AB73" s="8">
        <f>IFERROR(__xludf.DUMMYFUNCTION("""COMPUTED_VALUE"""),0.0)</f>
        <v>0</v>
      </c>
      <c r="AC73" s="8">
        <f>IFERROR(__xludf.DUMMYFUNCTION("""COMPUTED_VALUE"""),0.0)</f>
        <v>0</v>
      </c>
    </row>
    <row r="74" ht="15.75" customHeight="1">
      <c r="A74" s="6" t="str">
        <f>IFERROR(__xludf.DUMMYFUNCTION("""COMPUTED_VALUE"""),"41fe3152f98c34f655d93ac2fc85bf506eac3371")</f>
        <v>41fe3152f98c34f655d93ac2fc85bf506eac3371</v>
      </c>
      <c r="B74" s="6" t="str">
        <f>IFERROR(__xludf.DUMMYFUNCTION("""COMPUTED_VALUE"""),"Owen &amp; Liam")</f>
        <v>Owen &amp; Liam</v>
      </c>
      <c r="C74" s="6" t="str">
        <f>IFERROR(__xludf.DUMMYFUNCTION("""COMPUTED_VALUE"""),"Romance")</f>
        <v>Romance</v>
      </c>
      <c r="D74" s="11">
        <f>IFERROR(__xludf.DUMMYFUNCTION("""COMPUTED_VALUE"""),5220.0)</f>
        <v>5220</v>
      </c>
      <c r="E74" s="8">
        <f>IFERROR(__xludf.DUMMYFUNCTION("""COMPUTED_VALUE"""),0.908828620888632)</f>
        <v>0.9088286209</v>
      </c>
      <c r="F74" s="8">
        <f>IFERROR(__xludf.DUMMYFUNCTION("""COMPUTED_VALUE"""),0.397650683612555)</f>
        <v>0.3976506836</v>
      </c>
      <c r="G74" s="8">
        <f>IFERROR(__xludf.DUMMYFUNCTION("""COMPUTED_VALUE"""),0.316063174114021)</f>
        <v>0.3160631741</v>
      </c>
      <c r="H74" s="8">
        <f>IFERROR(__xludf.DUMMYFUNCTION("""COMPUTED_VALUE"""),0.27907425265188)</f>
        <v>0.2790742527</v>
      </c>
      <c r="I74" s="8">
        <f>IFERROR(__xludf.DUMMYFUNCTION("""COMPUTED_VALUE"""),0.252414059482425)</f>
        <v>0.2524140595</v>
      </c>
      <c r="J74" s="8">
        <f>IFERROR(__xludf.DUMMYFUNCTION("""COMPUTED_VALUE"""),0.239798878360085)</f>
        <v>0.2397988784</v>
      </c>
      <c r="K74" s="8">
        <f>IFERROR(__xludf.DUMMYFUNCTION("""COMPUTED_VALUE"""),0.222996515679442)</f>
        <v>0.2229965157</v>
      </c>
      <c r="L74" s="8">
        <f>IFERROR(__xludf.DUMMYFUNCTION("""COMPUTED_VALUE"""),0.21453488372093)</f>
        <v>0.2145348837</v>
      </c>
      <c r="M74" s="8">
        <f>IFERROR(__xludf.DUMMYFUNCTION("""COMPUTED_VALUE"""),0.205431619786614)</f>
        <v>0.2054316198</v>
      </c>
      <c r="N74" s="8">
        <f>IFERROR(__xludf.DUMMYFUNCTION("""COMPUTED_VALUE"""),0.198017877963466)</f>
        <v>0.198017878</v>
      </c>
      <c r="O74" s="8">
        <f>IFERROR(__xludf.DUMMYFUNCTION("""COMPUTED_VALUE"""),0.179472140762463)</f>
        <v>0.1794721408</v>
      </c>
      <c r="P74" s="8">
        <f>IFERROR(__xludf.DUMMYFUNCTION("""COMPUTED_VALUE"""),0.138916256157635)</f>
        <v>0.1389162562</v>
      </c>
      <c r="Q74" s="8">
        <f>IFERROR(__xludf.DUMMYFUNCTION("""COMPUTED_VALUE"""),0.105215827338129)</f>
        <v>0.1052158273</v>
      </c>
      <c r="R74" s="8">
        <f>IFERROR(__xludf.DUMMYFUNCTION("""COMPUTED_VALUE"""),0.0833333333333333)</f>
        <v>0.08333333333</v>
      </c>
      <c r="S74" s="8">
        <f>IFERROR(__xludf.DUMMYFUNCTION("""COMPUTED_VALUE"""),0.0943877551020408)</f>
        <v>0.0943877551</v>
      </c>
      <c r="T74" s="8">
        <f>IFERROR(__xludf.DUMMYFUNCTION("""COMPUTED_VALUE"""),0.0885993485342019)</f>
        <v>0.08859934853</v>
      </c>
      <c r="U74" s="8">
        <f>IFERROR(__xludf.DUMMYFUNCTION("""COMPUTED_VALUE"""),0.0883652430044182)</f>
        <v>0.088365243</v>
      </c>
      <c r="V74" s="8">
        <f>IFERROR(__xludf.DUMMYFUNCTION("""COMPUTED_VALUE"""),0.0788824979457682)</f>
        <v>0.07888249795</v>
      </c>
      <c r="W74" s="8">
        <f>IFERROR(__xludf.DUMMYFUNCTION("""COMPUTED_VALUE"""),0.067906976744186)</f>
        <v>0.06790697674</v>
      </c>
      <c r="X74" s="8">
        <f>IFERROR(__xludf.DUMMYFUNCTION("""COMPUTED_VALUE"""),0.0709812108559499)</f>
        <v>0.07098121086</v>
      </c>
      <c r="Y74" s="8">
        <f>IFERROR(__xludf.DUMMYFUNCTION("""COMPUTED_VALUE"""),0.054054054054054)</f>
        <v>0.05405405405</v>
      </c>
      <c r="Z74" s="8">
        <f>IFERROR(__xludf.DUMMYFUNCTION("""COMPUTED_VALUE"""),0.0606060606060606)</f>
        <v>0.06060606061</v>
      </c>
      <c r="AA74" s="8">
        <f>IFERROR(__xludf.DUMMYFUNCTION("""COMPUTED_VALUE"""),0.0)</f>
        <v>0</v>
      </c>
      <c r="AB74" s="8">
        <f>IFERROR(__xludf.DUMMYFUNCTION("""COMPUTED_VALUE"""),0.0)</f>
        <v>0</v>
      </c>
      <c r="AC74" s="8">
        <f>IFERROR(__xludf.DUMMYFUNCTION("""COMPUTED_VALUE"""),0.0)</f>
        <v>0</v>
      </c>
    </row>
    <row r="75" ht="15.75" customHeight="1">
      <c r="A75" s="6" t="str">
        <f>IFERROR(__xludf.DUMMYFUNCTION("""COMPUTED_VALUE"""),"424b450dc35cc4bf4fc088069830e978aa97884a")</f>
        <v>424b450dc35cc4bf4fc088069830e978aa97884a</v>
      </c>
      <c r="B75" s="6" t="str">
        <f>IFERROR(__xludf.DUMMYFUNCTION("""COMPUTED_VALUE"""),"The Alpha's Witch")</f>
        <v>The Alpha's Witch</v>
      </c>
      <c r="C75" s="6" t="str">
        <f>IFERROR(__xludf.DUMMYFUNCTION("""COMPUTED_VALUE"""),"Romantasy")</f>
        <v>Romantasy</v>
      </c>
      <c r="D75" s="11">
        <f>IFERROR(__xludf.DUMMYFUNCTION("""COMPUTED_VALUE"""),1487.0)</f>
        <v>1487</v>
      </c>
      <c r="E75" s="8">
        <f>IFERROR(__xludf.DUMMYFUNCTION("""COMPUTED_VALUE"""),0.981842636180228)</f>
        <v>0.9818426362</v>
      </c>
      <c r="F75" s="8">
        <f>IFERROR(__xludf.DUMMYFUNCTION("""COMPUTED_VALUE"""),0.279461279461279)</f>
        <v>0.2794612795</v>
      </c>
      <c r="G75" s="8">
        <f>IFERROR(__xludf.DUMMYFUNCTION("""COMPUTED_VALUE"""),0.219676549865229)</f>
        <v>0.2196765499</v>
      </c>
      <c r="H75" s="8">
        <f>IFERROR(__xludf.DUMMYFUNCTION("""COMPUTED_VALUE"""),0.177897574123989)</f>
        <v>0.1778975741</v>
      </c>
      <c r="I75" s="8">
        <f>IFERROR(__xludf.DUMMYFUNCTION("""COMPUTED_VALUE"""),0.157538877620013)</f>
        <v>0.1575388776</v>
      </c>
      <c r="J75" s="8">
        <f>IFERROR(__xludf.DUMMYFUNCTION("""COMPUTED_VALUE"""),0.151967435549525)</f>
        <v>0.1519674355</v>
      </c>
      <c r="K75" s="8">
        <f>IFERROR(__xludf.DUMMYFUNCTION("""COMPUTED_VALUE"""),0.14266304347826)</f>
        <v>0.1426630435</v>
      </c>
      <c r="L75" s="8">
        <f>IFERROR(__xludf.DUMMYFUNCTION("""COMPUTED_VALUE"""),0.140816326530612)</f>
        <v>0.1408163265</v>
      </c>
      <c r="M75" s="8">
        <f>IFERROR(__xludf.DUMMYFUNCTION("""COMPUTED_VALUE"""),0.137695978186775)</f>
        <v>0.1376959782</v>
      </c>
      <c r="N75" s="8">
        <f>IFERROR(__xludf.DUMMYFUNCTION("""COMPUTED_VALUE"""),0.126962457337883)</f>
        <v>0.1269624573</v>
      </c>
      <c r="O75" s="8">
        <f>IFERROR(__xludf.DUMMYFUNCTION("""COMPUTED_VALUE"""),0.0755649717514124)</f>
        <v>0.07556497175</v>
      </c>
      <c r="P75" s="8">
        <f>IFERROR(__xludf.DUMMYFUNCTION("""COMPUTED_VALUE"""),0.0586370839936608)</f>
        <v>0.05863708399</v>
      </c>
      <c r="Q75" s="8">
        <f>IFERROR(__xludf.DUMMYFUNCTION("""COMPUTED_VALUE"""),0.0519083969465648)</f>
        <v>0.05190839695</v>
      </c>
      <c r="R75" s="8">
        <f>IFERROR(__xludf.DUMMYFUNCTION("""COMPUTED_VALUE"""),0.0608695652173913)</f>
        <v>0.06086956522</v>
      </c>
      <c r="S75" s="8">
        <f>IFERROR(__xludf.DUMMYFUNCTION("""COMPUTED_VALUE"""),0.0)</f>
        <v>0</v>
      </c>
      <c r="T75" s="8">
        <f>IFERROR(__xludf.DUMMYFUNCTION("""COMPUTED_VALUE"""),0.0)</f>
        <v>0</v>
      </c>
      <c r="U75" s="8">
        <f>IFERROR(__xludf.DUMMYFUNCTION("""COMPUTED_VALUE"""),0.0)</f>
        <v>0</v>
      </c>
      <c r="V75" s="8">
        <f>IFERROR(__xludf.DUMMYFUNCTION("""COMPUTED_VALUE"""),0.0)</f>
        <v>0</v>
      </c>
      <c r="W75" s="8">
        <f>IFERROR(__xludf.DUMMYFUNCTION("""COMPUTED_VALUE"""),0.0)</f>
        <v>0</v>
      </c>
      <c r="X75" s="8">
        <f>IFERROR(__xludf.DUMMYFUNCTION("""COMPUTED_VALUE"""),0.0)</f>
        <v>0</v>
      </c>
      <c r="Y75" s="8">
        <f>IFERROR(__xludf.DUMMYFUNCTION("""COMPUTED_VALUE"""),0.0)</f>
        <v>0</v>
      </c>
      <c r="Z75" s="8">
        <f>IFERROR(__xludf.DUMMYFUNCTION("""COMPUTED_VALUE"""),0.0)</f>
        <v>0</v>
      </c>
      <c r="AA75" s="8">
        <f>IFERROR(__xludf.DUMMYFUNCTION("""COMPUTED_VALUE"""),0.0)</f>
        <v>0</v>
      </c>
      <c r="AB75" s="8">
        <f>IFERROR(__xludf.DUMMYFUNCTION("""COMPUTED_VALUE"""),0.0)</f>
        <v>0</v>
      </c>
      <c r="AC75" s="8">
        <f>IFERROR(__xludf.DUMMYFUNCTION("""COMPUTED_VALUE"""),0.0)</f>
        <v>0</v>
      </c>
    </row>
    <row r="76" ht="15.75" customHeight="1">
      <c r="A76" s="6" t="str">
        <f>IFERROR(__xludf.DUMMYFUNCTION("""COMPUTED_VALUE"""),"42515091e7b47b7b2d2381d7512fdb9f9866aa1e")</f>
        <v>42515091e7b47b7b2d2381d7512fdb9f9866aa1e</v>
      </c>
      <c r="B76" s="6" t="str">
        <f>IFERROR(__xludf.DUMMYFUNCTION("""COMPUTED_VALUE"""),"The Tomboy Love Story")</f>
        <v>The Tomboy Love Story</v>
      </c>
      <c r="C76" s="6" t="str">
        <f>IFERROR(__xludf.DUMMYFUNCTION("""COMPUTED_VALUE"""),"Romance")</f>
        <v>Romance</v>
      </c>
      <c r="D76" s="11">
        <f>IFERROR(__xludf.DUMMYFUNCTION("""COMPUTED_VALUE"""),1230.0)</f>
        <v>1230</v>
      </c>
      <c r="E76" s="8">
        <f>IFERROR(__xludf.DUMMYFUNCTION("""COMPUTED_VALUE"""),0.960880195599022)</f>
        <v>0.9608801956</v>
      </c>
      <c r="F76" s="8">
        <f>IFERROR(__xludf.DUMMYFUNCTION("""COMPUTED_VALUE"""),0.46443172526574)</f>
        <v>0.4644317253</v>
      </c>
      <c r="G76" s="8">
        <f>IFERROR(__xludf.DUMMYFUNCTION("""COMPUTED_VALUE"""),0.394112837285363)</f>
        <v>0.3941128373</v>
      </c>
      <c r="H76" s="8">
        <f>IFERROR(__xludf.DUMMYFUNCTION("""COMPUTED_VALUE"""),0.364975450081833)</f>
        <v>0.3649754501</v>
      </c>
      <c r="I76" s="8">
        <f>IFERROR(__xludf.DUMMYFUNCTION("""COMPUTED_VALUE"""),0.338788870703764)</f>
        <v>0.3387888707</v>
      </c>
      <c r="J76" s="8">
        <f>IFERROR(__xludf.DUMMYFUNCTION("""COMPUTED_VALUE"""),0.322422258592471)</f>
        <v>0.3224222586</v>
      </c>
      <c r="K76" s="8">
        <f>IFERROR(__xludf.DUMMYFUNCTION("""COMPUTED_VALUE"""),0.311220311220311)</f>
        <v>0.3112203112</v>
      </c>
      <c r="L76" s="8">
        <f>IFERROR(__xludf.DUMMYFUNCTION("""COMPUTED_VALUE"""),0.307060755336617)</f>
        <v>0.3070607553</v>
      </c>
      <c r="M76" s="8">
        <f>IFERROR(__xludf.DUMMYFUNCTION("""COMPUTED_VALUE"""),0.302382908792111)</f>
        <v>0.3023829088</v>
      </c>
      <c r="N76" s="8">
        <f>IFERROR(__xludf.DUMMYFUNCTION("""COMPUTED_VALUE"""),0.299342105263157)</f>
        <v>0.2993421053</v>
      </c>
      <c r="O76" s="8">
        <f>IFERROR(__xludf.DUMMYFUNCTION("""COMPUTED_VALUE"""),0.262809917355371)</f>
        <v>0.2628099174</v>
      </c>
      <c r="P76" s="8">
        <f>IFERROR(__xludf.DUMMYFUNCTION("""COMPUTED_VALUE"""),0.171146953405017)</f>
        <v>0.1711469534</v>
      </c>
      <c r="Q76" s="8">
        <f>IFERROR(__xludf.DUMMYFUNCTION("""COMPUTED_VALUE"""),0.114874815905743)</f>
        <v>0.1148748159</v>
      </c>
      <c r="R76" s="8">
        <f>IFERROR(__xludf.DUMMYFUNCTION("""COMPUTED_VALUE"""),0.0780141843971631)</f>
        <v>0.0780141844</v>
      </c>
      <c r="S76" s="8">
        <f>IFERROR(__xludf.DUMMYFUNCTION("""COMPUTED_VALUE"""),0.117647058823529)</f>
        <v>0.1176470588</v>
      </c>
      <c r="T76" s="8">
        <f>IFERROR(__xludf.DUMMYFUNCTION("""COMPUTED_VALUE"""),0.0)</f>
        <v>0</v>
      </c>
      <c r="U76" s="8">
        <f>IFERROR(__xludf.DUMMYFUNCTION("""COMPUTED_VALUE"""),0.0)</f>
        <v>0</v>
      </c>
      <c r="V76" s="8">
        <f>IFERROR(__xludf.DUMMYFUNCTION("""COMPUTED_VALUE"""),0.0)</f>
        <v>0</v>
      </c>
      <c r="W76" s="8">
        <f>IFERROR(__xludf.DUMMYFUNCTION("""COMPUTED_VALUE"""),0.0)</f>
        <v>0</v>
      </c>
      <c r="X76" s="8">
        <f>IFERROR(__xludf.DUMMYFUNCTION("""COMPUTED_VALUE"""),0.0)</f>
        <v>0</v>
      </c>
      <c r="Y76" s="8">
        <f>IFERROR(__xludf.DUMMYFUNCTION("""COMPUTED_VALUE"""),0.0)</f>
        <v>0</v>
      </c>
      <c r="Z76" s="8">
        <f>IFERROR(__xludf.DUMMYFUNCTION("""COMPUTED_VALUE"""),0.0)</f>
        <v>0</v>
      </c>
      <c r="AA76" s="8">
        <f>IFERROR(__xludf.DUMMYFUNCTION("""COMPUTED_VALUE"""),0.0)</f>
        <v>0</v>
      </c>
      <c r="AB76" s="8">
        <f>IFERROR(__xludf.DUMMYFUNCTION("""COMPUTED_VALUE"""),0.0)</f>
        <v>0</v>
      </c>
      <c r="AC76" s="8">
        <f>IFERROR(__xludf.DUMMYFUNCTION("""COMPUTED_VALUE"""),0.0)</f>
        <v>0</v>
      </c>
    </row>
    <row r="77" ht="15.75" customHeight="1">
      <c r="A77" s="6" t="str">
        <f>IFERROR(__xludf.DUMMYFUNCTION("""COMPUTED_VALUE"""),"4335258b71733375cbccc0fbf7ce0bf0975b095d")</f>
        <v>4335258b71733375cbccc0fbf7ce0bf0975b095d</v>
      </c>
      <c r="B77" s="6" t="str">
        <f>IFERROR(__xludf.DUMMYFUNCTION("""COMPUTED_VALUE"""),"Alex &amp; the Prison System")</f>
        <v>Alex &amp; the Prison System</v>
      </c>
      <c r="C77" s="6" t="str">
        <f>IFERROR(__xludf.DUMMYFUNCTION("""COMPUTED_VALUE"""),"System and Superpower")</f>
        <v>System and Superpower</v>
      </c>
      <c r="D77" s="11">
        <f>IFERROR(__xludf.DUMMYFUNCTION("""COMPUTED_VALUE"""),2360.0)</f>
        <v>2360</v>
      </c>
      <c r="E77" s="8">
        <f>IFERROR(__xludf.DUMMYFUNCTION("""COMPUTED_VALUE"""),0.94692144373673)</f>
        <v>0.9469214437</v>
      </c>
      <c r="F77" s="8">
        <f>IFERROR(__xludf.DUMMYFUNCTION("""COMPUTED_VALUE"""),0.669787234042553)</f>
        <v>0.669787234</v>
      </c>
      <c r="G77" s="8">
        <f>IFERROR(__xludf.DUMMYFUNCTION("""COMPUTED_VALUE"""),0.621160409556314)</f>
        <v>0.6211604096</v>
      </c>
      <c r="H77" s="8">
        <f>IFERROR(__xludf.DUMMYFUNCTION("""COMPUTED_VALUE"""),0.597091531223267)</f>
        <v>0.5970915312</v>
      </c>
      <c r="I77" s="8">
        <f>IFERROR(__xludf.DUMMYFUNCTION("""COMPUTED_VALUE"""),0.573883161512027)</f>
        <v>0.5738831615</v>
      </c>
      <c r="J77" s="8">
        <f>IFERROR(__xludf.DUMMYFUNCTION("""COMPUTED_VALUE"""),0.566078346965131)</f>
        <v>0.566078347</v>
      </c>
      <c r="K77" s="8">
        <f>IFERROR(__xludf.DUMMYFUNCTION("""COMPUTED_VALUE"""),0.560691144708423)</f>
        <v>0.5606911447</v>
      </c>
      <c r="L77" s="8">
        <f>IFERROR(__xludf.DUMMYFUNCTION("""COMPUTED_VALUE"""),0.549913194444444)</f>
        <v>0.5499131944</v>
      </c>
      <c r="M77" s="8">
        <f>IFERROR(__xludf.DUMMYFUNCTION("""COMPUTED_VALUE"""),0.531304347826086)</f>
        <v>0.5313043478</v>
      </c>
      <c r="N77" s="8">
        <f>IFERROR(__xludf.DUMMYFUNCTION("""COMPUTED_VALUE"""),0.510926573426573)</f>
        <v>0.5109265734</v>
      </c>
      <c r="O77" s="8">
        <f>IFERROR(__xludf.DUMMYFUNCTION("""COMPUTED_VALUE"""),0.418547595682041)</f>
        <v>0.4185475957</v>
      </c>
      <c r="P77" s="8">
        <f>IFERROR(__xludf.DUMMYFUNCTION("""COMPUTED_VALUE"""),0.297563805104408)</f>
        <v>0.2975638051</v>
      </c>
      <c r="Q77" s="8">
        <f>IFERROR(__xludf.DUMMYFUNCTION("""COMPUTED_VALUE"""),0.237422771403353)</f>
        <v>0.2374227714</v>
      </c>
      <c r="R77" s="8">
        <f>IFERROR(__xludf.DUMMYFUNCTION("""COMPUTED_VALUE"""),0.193181818181818)</f>
        <v>0.1931818182</v>
      </c>
      <c r="S77" s="8">
        <f>IFERROR(__xludf.DUMMYFUNCTION("""COMPUTED_VALUE"""),0.142857142857142)</f>
        <v>0.1428571429</v>
      </c>
      <c r="T77" s="8">
        <f>IFERROR(__xludf.DUMMYFUNCTION("""COMPUTED_VALUE"""),0.0)</f>
        <v>0</v>
      </c>
      <c r="U77" s="8">
        <f>IFERROR(__xludf.DUMMYFUNCTION("""COMPUTED_VALUE"""),0.0)</f>
        <v>0</v>
      </c>
      <c r="V77" s="8">
        <f>IFERROR(__xludf.DUMMYFUNCTION("""COMPUTED_VALUE"""),0.0)</f>
        <v>0</v>
      </c>
      <c r="W77" s="8">
        <f>IFERROR(__xludf.DUMMYFUNCTION("""COMPUTED_VALUE"""),0.0)</f>
        <v>0</v>
      </c>
      <c r="X77" s="8">
        <f>IFERROR(__xludf.DUMMYFUNCTION("""COMPUTED_VALUE"""),0.0)</f>
        <v>0</v>
      </c>
      <c r="Y77" s="8">
        <f>IFERROR(__xludf.DUMMYFUNCTION("""COMPUTED_VALUE"""),0.0)</f>
        <v>0</v>
      </c>
      <c r="Z77" s="8">
        <f>IFERROR(__xludf.DUMMYFUNCTION("""COMPUTED_VALUE"""),0.0)</f>
        <v>0</v>
      </c>
      <c r="AA77" s="8">
        <f>IFERROR(__xludf.DUMMYFUNCTION("""COMPUTED_VALUE"""),0.0)</f>
        <v>0</v>
      </c>
      <c r="AB77" s="8">
        <f>IFERROR(__xludf.DUMMYFUNCTION("""COMPUTED_VALUE"""),0.0)</f>
        <v>0</v>
      </c>
      <c r="AC77" s="8">
        <f>IFERROR(__xludf.DUMMYFUNCTION("""COMPUTED_VALUE"""),0.0)</f>
        <v>0</v>
      </c>
    </row>
    <row r="78" ht="15.75" customHeight="1">
      <c r="A78" s="6" t="str">
        <f>IFERROR(__xludf.DUMMYFUNCTION("""COMPUTED_VALUE"""),"43de49339ed40a2c4d8acef5644870ce292f541e")</f>
        <v>43de49339ed40a2c4d8acef5644870ce292f541e</v>
      </c>
      <c r="B78" s="6" t="str">
        <f>IFERROR(__xludf.DUMMYFUNCTION("""COMPUTED_VALUE"""),"Second Chances: Reborn to Be a CEO’s Wife")</f>
        <v>Second Chances: Reborn to Be a CEO’s Wife</v>
      </c>
      <c r="C78" s="6" t="str">
        <f>IFERROR(__xludf.DUMMYFUNCTION("""COMPUTED_VALUE"""),"Romance")</f>
        <v>Romance</v>
      </c>
      <c r="D78" s="11">
        <f>IFERROR(__xludf.DUMMYFUNCTION("""COMPUTED_VALUE"""),983.0)</f>
        <v>983</v>
      </c>
      <c r="E78" s="8">
        <f>IFERROR(__xludf.DUMMYFUNCTION("""COMPUTED_VALUE"""),0.964358452138492)</f>
        <v>0.9643584521</v>
      </c>
      <c r="F78" s="8">
        <f>IFERROR(__xludf.DUMMYFUNCTION("""COMPUTED_VALUE"""),0.265306122448979)</f>
        <v>0.2653061224</v>
      </c>
      <c r="G78" s="8">
        <f>IFERROR(__xludf.DUMMYFUNCTION("""COMPUTED_VALUE"""),0.226993865030674)</f>
        <v>0.226993865</v>
      </c>
      <c r="H78" s="8">
        <f>IFERROR(__xludf.DUMMYFUNCTION("""COMPUTED_VALUE"""),0.202661207778915)</f>
        <v>0.2026612078</v>
      </c>
      <c r="I78" s="8">
        <f>IFERROR(__xludf.DUMMYFUNCTION("""COMPUTED_VALUE"""),0.185641025641025)</f>
        <v>0.1856410256</v>
      </c>
      <c r="J78" s="8">
        <f>IFERROR(__xludf.DUMMYFUNCTION("""COMPUTED_VALUE"""),0.169230769230769)</f>
        <v>0.1692307692</v>
      </c>
      <c r="K78" s="8">
        <f>IFERROR(__xludf.DUMMYFUNCTION("""COMPUTED_VALUE"""),0.155030800821355)</f>
        <v>0.1550308008</v>
      </c>
      <c r="L78" s="8">
        <f>IFERROR(__xludf.DUMMYFUNCTION("""COMPUTED_VALUE"""),0.149897330595482)</f>
        <v>0.1498973306</v>
      </c>
      <c r="M78" s="8">
        <f>IFERROR(__xludf.DUMMYFUNCTION("""COMPUTED_VALUE"""),0.140946502057613)</f>
        <v>0.1409465021</v>
      </c>
      <c r="N78" s="8">
        <f>IFERROR(__xludf.DUMMYFUNCTION("""COMPUTED_VALUE"""),0.123839009287925)</f>
        <v>0.1238390093</v>
      </c>
      <c r="O78" s="8">
        <f>IFERROR(__xludf.DUMMYFUNCTION("""COMPUTED_VALUE"""),0.0996884735202492)</f>
        <v>0.09968847352</v>
      </c>
      <c r="P78" s="8">
        <f>IFERROR(__xludf.DUMMYFUNCTION("""COMPUTED_VALUE"""),0.049317943336831)</f>
        <v>0.04931794334</v>
      </c>
      <c r="Q78" s="8">
        <f>IFERROR(__xludf.DUMMYFUNCTION("""COMPUTED_VALUE"""),0.00640341515474919)</f>
        <v>0.006403415155</v>
      </c>
      <c r="R78" s="8">
        <f>IFERROR(__xludf.DUMMYFUNCTION("""COMPUTED_VALUE"""),0.0)</f>
        <v>0</v>
      </c>
      <c r="S78" s="8">
        <f>IFERROR(__xludf.DUMMYFUNCTION("""COMPUTED_VALUE"""),0.0)</f>
        <v>0</v>
      </c>
      <c r="T78" s="8">
        <f>IFERROR(__xludf.DUMMYFUNCTION("""COMPUTED_VALUE"""),0.0)</f>
        <v>0</v>
      </c>
      <c r="U78" s="8">
        <f>IFERROR(__xludf.DUMMYFUNCTION("""COMPUTED_VALUE"""),0.0)</f>
        <v>0</v>
      </c>
      <c r="V78" s="8">
        <f>IFERROR(__xludf.DUMMYFUNCTION("""COMPUTED_VALUE"""),0.0)</f>
        <v>0</v>
      </c>
      <c r="W78" s="8">
        <f>IFERROR(__xludf.DUMMYFUNCTION("""COMPUTED_VALUE"""),0.0)</f>
        <v>0</v>
      </c>
      <c r="X78" s="8">
        <f>IFERROR(__xludf.DUMMYFUNCTION("""COMPUTED_VALUE"""),0.0)</f>
        <v>0</v>
      </c>
      <c r="Y78" s="8">
        <f>IFERROR(__xludf.DUMMYFUNCTION("""COMPUTED_VALUE"""),0.0)</f>
        <v>0</v>
      </c>
      <c r="Z78" s="8">
        <f>IFERROR(__xludf.DUMMYFUNCTION("""COMPUTED_VALUE"""),0.0)</f>
        <v>0</v>
      </c>
      <c r="AA78" s="8">
        <f>IFERROR(__xludf.DUMMYFUNCTION("""COMPUTED_VALUE"""),0.0)</f>
        <v>0</v>
      </c>
      <c r="AB78" s="8">
        <f>IFERROR(__xludf.DUMMYFUNCTION("""COMPUTED_VALUE"""),0.0)</f>
        <v>0</v>
      </c>
      <c r="AC78" s="8">
        <f>IFERROR(__xludf.DUMMYFUNCTION("""COMPUTED_VALUE"""),0.0)</f>
        <v>0</v>
      </c>
    </row>
    <row r="79" ht="15.75" customHeight="1">
      <c r="A79" s="6" t="str">
        <f>IFERROR(__xludf.DUMMYFUNCTION("""COMPUTED_VALUE"""),"442d4dce8ca376c2bb4438209980daa53b761b51")</f>
        <v>442d4dce8ca376c2bb4438209980daa53b761b51</v>
      </c>
      <c r="B79" s="6" t="str">
        <f>IFERROR(__xludf.DUMMYFUNCTION("""COMPUTED_VALUE"""),"Rejected and Craved")</f>
        <v>Rejected and Craved</v>
      </c>
      <c r="C79" s="6" t="str">
        <f>IFERROR(__xludf.DUMMYFUNCTION("""COMPUTED_VALUE"""),"Romantasy")</f>
        <v>Romantasy</v>
      </c>
      <c r="D79" s="11">
        <f>IFERROR(__xludf.DUMMYFUNCTION("""COMPUTED_VALUE"""),239.0)</f>
        <v>239</v>
      </c>
      <c r="E79" s="8">
        <f>IFERROR(__xludf.DUMMYFUNCTION("""COMPUTED_VALUE"""),0.966527196652719)</f>
        <v>0.9665271967</v>
      </c>
      <c r="F79" s="8">
        <f>IFERROR(__xludf.DUMMYFUNCTION("""COMPUTED_VALUE"""),0.326359832635983)</f>
        <v>0.3263598326</v>
      </c>
      <c r="G79" s="8">
        <f>IFERROR(__xludf.DUMMYFUNCTION("""COMPUTED_VALUE"""),0.285714285714285)</f>
        <v>0.2857142857</v>
      </c>
      <c r="H79" s="8">
        <f>IFERROR(__xludf.DUMMYFUNCTION("""COMPUTED_VALUE"""),0.256302521008403)</f>
        <v>0.256302521</v>
      </c>
      <c r="I79" s="8">
        <f>IFERROR(__xludf.DUMMYFUNCTION("""COMPUTED_VALUE"""),0.239495798319327)</f>
        <v>0.2394957983</v>
      </c>
      <c r="J79" s="8">
        <f>IFERROR(__xludf.DUMMYFUNCTION("""COMPUTED_VALUE"""),0.218487394957983)</f>
        <v>0.218487395</v>
      </c>
      <c r="K79" s="8">
        <f>IFERROR(__xludf.DUMMYFUNCTION("""COMPUTED_VALUE"""),0.201680672268907)</f>
        <v>0.2016806723</v>
      </c>
      <c r="L79" s="8">
        <f>IFERROR(__xludf.DUMMYFUNCTION("""COMPUTED_VALUE"""),0.197478991596638)</f>
        <v>0.1974789916</v>
      </c>
      <c r="M79" s="8">
        <f>IFERROR(__xludf.DUMMYFUNCTION("""COMPUTED_VALUE"""),0.201680672268907)</f>
        <v>0.2016806723</v>
      </c>
      <c r="N79" s="8">
        <f>IFERROR(__xludf.DUMMYFUNCTION("""COMPUTED_VALUE"""),0.199152542372881)</f>
        <v>0.1991525424</v>
      </c>
      <c r="O79" s="8">
        <f>IFERROR(__xludf.DUMMYFUNCTION("""COMPUTED_VALUE"""),0.163716814159292)</f>
        <v>0.1637168142</v>
      </c>
      <c r="P79" s="8">
        <f>IFERROR(__xludf.DUMMYFUNCTION("""COMPUTED_VALUE"""),0.118343195266272)</f>
        <v>0.1183431953</v>
      </c>
      <c r="Q79" s="8">
        <f>IFERROR(__xludf.DUMMYFUNCTION("""COMPUTED_VALUE"""),0.0175438596491228)</f>
        <v>0.01754385965</v>
      </c>
      <c r="R79" s="8">
        <f>IFERROR(__xludf.DUMMYFUNCTION("""COMPUTED_VALUE"""),0.0)</f>
        <v>0</v>
      </c>
      <c r="S79" s="8">
        <f>IFERROR(__xludf.DUMMYFUNCTION("""COMPUTED_VALUE"""),0.0)</f>
        <v>0</v>
      </c>
      <c r="T79" s="8">
        <f>IFERROR(__xludf.DUMMYFUNCTION("""COMPUTED_VALUE"""),0.0)</f>
        <v>0</v>
      </c>
      <c r="U79" s="8">
        <f>IFERROR(__xludf.DUMMYFUNCTION("""COMPUTED_VALUE"""),0.0)</f>
        <v>0</v>
      </c>
      <c r="V79" s="8">
        <f>IFERROR(__xludf.DUMMYFUNCTION("""COMPUTED_VALUE"""),0.0)</f>
        <v>0</v>
      </c>
      <c r="W79" s="8">
        <f>IFERROR(__xludf.DUMMYFUNCTION("""COMPUTED_VALUE"""),0.0)</f>
        <v>0</v>
      </c>
      <c r="X79" s="8">
        <f>IFERROR(__xludf.DUMMYFUNCTION("""COMPUTED_VALUE"""),0.0)</f>
        <v>0</v>
      </c>
      <c r="Y79" s="8">
        <f>IFERROR(__xludf.DUMMYFUNCTION("""COMPUTED_VALUE"""),0.0)</f>
        <v>0</v>
      </c>
      <c r="Z79" s="8">
        <f>IFERROR(__xludf.DUMMYFUNCTION("""COMPUTED_VALUE"""),0.0)</f>
        <v>0</v>
      </c>
      <c r="AA79" s="8">
        <f>IFERROR(__xludf.DUMMYFUNCTION("""COMPUTED_VALUE"""),0.0)</f>
        <v>0</v>
      </c>
      <c r="AB79" s="8">
        <f>IFERROR(__xludf.DUMMYFUNCTION("""COMPUTED_VALUE"""),0.0)</f>
        <v>0</v>
      </c>
      <c r="AC79" s="8">
        <f>IFERROR(__xludf.DUMMYFUNCTION("""COMPUTED_VALUE"""),0.0)</f>
        <v>0</v>
      </c>
    </row>
    <row r="80" ht="15.75" customHeight="1">
      <c r="A80" s="6" t="str">
        <f>IFERROR(__xludf.DUMMYFUNCTION("""COMPUTED_VALUE"""),"446d5769edafce0d5daf04c6cfc40515f289004f")</f>
        <v>446d5769edafce0d5daf04c6cfc40515f289004f</v>
      </c>
      <c r="B80" s="6" t="str">
        <f>IFERROR(__xludf.DUMMYFUNCTION("""COMPUTED_VALUE"""),"The Cloaked Mogul")</f>
        <v>The Cloaked Mogul</v>
      </c>
      <c r="C80" s="6" t="str">
        <f>IFERROR(__xludf.DUMMYFUNCTION("""COMPUTED_VALUE"""),"Drama")</f>
        <v>Drama</v>
      </c>
      <c r="D80" s="11">
        <f>IFERROR(__xludf.DUMMYFUNCTION("""COMPUTED_VALUE"""),11384.0)</f>
        <v>11384</v>
      </c>
      <c r="E80" s="8">
        <f>IFERROR(__xludf.DUMMYFUNCTION("""COMPUTED_VALUE"""),0.908914215036664)</f>
        <v>0.908914215</v>
      </c>
      <c r="F80" s="8">
        <f>IFERROR(__xludf.DUMMYFUNCTION("""COMPUTED_VALUE"""),0.423620367901892)</f>
        <v>0.4236203679</v>
      </c>
      <c r="G80" s="8">
        <f>IFERROR(__xludf.DUMMYFUNCTION("""COMPUTED_VALUE"""),0.382224207235372)</f>
        <v>0.3822242072</v>
      </c>
      <c r="H80" s="8">
        <f>IFERROR(__xludf.DUMMYFUNCTION("""COMPUTED_VALUE"""),0.358002514819471)</f>
        <v>0.3580025148</v>
      </c>
      <c r="I80" s="8">
        <f>IFERROR(__xludf.DUMMYFUNCTION("""COMPUTED_VALUE"""),0.345851764918299)</f>
        <v>0.3458517649</v>
      </c>
      <c r="J80" s="8">
        <f>IFERROR(__xludf.DUMMYFUNCTION("""COMPUTED_VALUE"""),0.335486806187443)</f>
        <v>0.3354868062</v>
      </c>
      <c r="K80" s="8">
        <f>IFERROR(__xludf.DUMMYFUNCTION("""COMPUTED_VALUE"""),0.325523704520396)</f>
        <v>0.3255237045</v>
      </c>
      <c r="L80" s="8">
        <f>IFERROR(__xludf.DUMMYFUNCTION("""COMPUTED_VALUE"""),0.319562801037421)</f>
        <v>0.319562801</v>
      </c>
      <c r="M80" s="8">
        <f>IFERROR(__xludf.DUMMYFUNCTION("""COMPUTED_VALUE"""),0.315549348230912)</f>
        <v>0.3155493482</v>
      </c>
      <c r="N80" s="8">
        <f>IFERROR(__xludf.DUMMYFUNCTION("""COMPUTED_VALUE"""),0.307713990416236)</f>
        <v>0.3077139904</v>
      </c>
      <c r="O80" s="8">
        <f>IFERROR(__xludf.DUMMYFUNCTION("""COMPUTED_VALUE"""),0.286491211032339)</f>
        <v>0.286491211</v>
      </c>
      <c r="P80" s="8">
        <f>IFERROR(__xludf.DUMMYFUNCTION("""COMPUTED_VALUE"""),0.264341163423732)</f>
        <v>0.2643411634</v>
      </c>
      <c r="Q80" s="8">
        <f>IFERROR(__xludf.DUMMYFUNCTION("""COMPUTED_VALUE"""),0.208265183731327)</f>
        <v>0.2082651837</v>
      </c>
      <c r="R80" s="8">
        <f>IFERROR(__xludf.DUMMYFUNCTION("""COMPUTED_VALUE"""),0.140674729471674)</f>
        <v>0.1406747295</v>
      </c>
      <c r="S80" s="8">
        <f>IFERROR(__xludf.DUMMYFUNCTION("""COMPUTED_VALUE"""),0.121270284418077)</f>
        <v>0.1212702844</v>
      </c>
      <c r="T80" s="8">
        <f>IFERROR(__xludf.DUMMYFUNCTION("""COMPUTED_VALUE"""),0.106712915731483)</f>
        <v>0.1067129157</v>
      </c>
      <c r="U80" s="8">
        <f>IFERROR(__xludf.DUMMYFUNCTION("""COMPUTED_VALUE"""),0.0935937127887592)</f>
        <v>0.09359371279</v>
      </c>
      <c r="V80" s="8">
        <f>IFERROR(__xludf.DUMMYFUNCTION("""COMPUTED_VALUE"""),0.0805475963069086)</f>
        <v>0.08054759631</v>
      </c>
      <c r="W80" s="8">
        <f>IFERROR(__xludf.DUMMYFUNCTION("""COMPUTED_VALUE"""),0.0427461139896373)</f>
        <v>0.04274611399</v>
      </c>
      <c r="X80" s="8">
        <f>IFERROR(__xludf.DUMMYFUNCTION("""COMPUTED_VALUE"""),0.0)</f>
        <v>0</v>
      </c>
      <c r="Y80" s="8">
        <f>IFERROR(__xludf.DUMMYFUNCTION("""COMPUTED_VALUE"""),0.0)</f>
        <v>0</v>
      </c>
      <c r="Z80" s="8">
        <f>IFERROR(__xludf.DUMMYFUNCTION("""COMPUTED_VALUE"""),0.0)</f>
        <v>0</v>
      </c>
      <c r="AA80" s="8">
        <f>IFERROR(__xludf.DUMMYFUNCTION("""COMPUTED_VALUE"""),0.0)</f>
        <v>0</v>
      </c>
      <c r="AB80" s="8">
        <f>IFERROR(__xludf.DUMMYFUNCTION("""COMPUTED_VALUE"""),0.0)</f>
        <v>0</v>
      </c>
      <c r="AC80" s="8">
        <f>IFERROR(__xludf.DUMMYFUNCTION("""COMPUTED_VALUE"""),0.0)</f>
        <v>0</v>
      </c>
    </row>
    <row r="81" ht="15.75" customHeight="1">
      <c r="A81" s="6" t="str">
        <f>IFERROR(__xludf.DUMMYFUNCTION("""COMPUTED_VALUE"""),"44c616c59b6b2cd7fcb80263ece968b250ad9dbe")</f>
        <v>44c616c59b6b2cd7fcb80263ece968b250ad9dbe</v>
      </c>
      <c r="B81" s="6" t="str">
        <f>IFERROR(__xludf.DUMMYFUNCTION("""COMPUTED_VALUE"""),"Supreme Miracle Doctor")</f>
        <v>Supreme Miracle Doctor</v>
      </c>
      <c r="C81" s="6" t="str">
        <f>IFERROR(__xludf.DUMMYFUNCTION("""COMPUTED_VALUE"""),"Drama")</f>
        <v>Drama</v>
      </c>
      <c r="D81" s="11">
        <f>IFERROR(__xludf.DUMMYFUNCTION("""COMPUTED_VALUE"""),830.0)</f>
        <v>830</v>
      </c>
      <c r="E81" s="8">
        <f>IFERROR(__xludf.DUMMYFUNCTION("""COMPUTED_VALUE"""),0.962825278810408)</f>
        <v>0.9628252788</v>
      </c>
      <c r="F81" s="8">
        <f>IFERROR(__xludf.DUMMYFUNCTION("""COMPUTED_VALUE"""),0.571612903225806)</f>
        <v>0.5716129032</v>
      </c>
      <c r="G81" s="8">
        <f>IFERROR(__xludf.DUMMYFUNCTION("""COMPUTED_VALUE"""),0.507978723404255)</f>
        <v>0.5079787234</v>
      </c>
      <c r="H81" s="8">
        <f>IFERROR(__xludf.DUMMYFUNCTION("""COMPUTED_VALUE"""),0.462184873949579)</f>
        <v>0.4621848739</v>
      </c>
      <c r="I81" s="8">
        <f>IFERROR(__xludf.DUMMYFUNCTION("""COMPUTED_VALUE"""),0.431457431457431)</f>
        <v>0.4314574315</v>
      </c>
      <c r="J81" s="8">
        <f>IFERROR(__xludf.DUMMYFUNCTION("""COMPUTED_VALUE"""),0.393984962406015)</f>
        <v>0.3939849624</v>
      </c>
      <c r="K81" s="8">
        <f>IFERROR(__xludf.DUMMYFUNCTION("""COMPUTED_VALUE"""),0.37227414330218)</f>
        <v>0.3722741433</v>
      </c>
      <c r="L81" s="8">
        <f>IFERROR(__xludf.DUMMYFUNCTION("""COMPUTED_VALUE"""),0.36734693877551)</f>
        <v>0.3673469388</v>
      </c>
      <c r="M81" s="8">
        <f>IFERROR(__xludf.DUMMYFUNCTION("""COMPUTED_VALUE"""),0.362038664323374)</f>
        <v>0.3620386643</v>
      </c>
      <c r="N81" s="8">
        <f>IFERROR(__xludf.DUMMYFUNCTION("""COMPUTED_VALUE"""),0.355963302752293)</f>
        <v>0.3559633028</v>
      </c>
      <c r="O81" s="8">
        <f>IFERROR(__xludf.DUMMYFUNCTION("""COMPUTED_VALUE"""),0.277511961722488)</f>
        <v>0.2775119617</v>
      </c>
      <c r="P81" s="8">
        <f>IFERROR(__xludf.DUMMYFUNCTION("""COMPUTED_VALUE"""),0.182222222222222)</f>
        <v>0.1822222222</v>
      </c>
      <c r="Q81" s="8">
        <f>IFERROR(__xludf.DUMMYFUNCTION("""COMPUTED_VALUE"""),0.0)</f>
        <v>0</v>
      </c>
      <c r="R81" s="8">
        <f>IFERROR(__xludf.DUMMYFUNCTION("""COMPUTED_VALUE"""),0.0)</f>
        <v>0</v>
      </c>
      <c r="S81" s="8">
        <f>IFERROR(__xludf.DUMMYFUNCTION("""COMPUTED_VALUE"""),0.0)</f>
        <v>0</v>
      </c>
      <c r="T81" s="8">
        <f>IFERROR(__xludf.DUMMYFUNCTION("""COMPUTED_VALUE"""),0.0)</f>
        <v>0</v>
      </c>
      <c r="U81" s="8">
        <f>IFERROR(__xludf.DUMMYFUNCTION("""COMPUTED_VALUE"""),0.0)</f>
        <v>0</v>
      </c>
      <c r="V81" s="8">
        <f>IFERROR(__xludf.DUMMYFUNCTION("""COMPUTED_VALUE"""),0.0)</f>
        <v>0</v>
      </c>
      <c r="W81" s="8">
        <f>IFERROR(__xludf.DUMMYFUNCTION("""COMPUTED_VALUE"""),0.0)</f>
        <v>0</v>
      </c>
      <c r="X81" s="8">
        <f>IFERROR(__xludf.DUMMYFUNCTION("""COMPUTED_VALUE"""),0.0)</f>
        <v>0</v>
      </c>
      <c r="Y81" s="8">
        <f>IFERROR(__xludf.DUMMYFUNCTION("""COMPUTED_VALUE"""),0.0)</f>
        <v>0</v>
      </c>
      <c r="Z81" s="8">
        <f>IFERROR(__xludf.DUMMYFUNCTION("""COMPUTED_VALUE"""),0.0)</f>
        <v>0</v>
      </c>
      <c r="AA81" s="8">
        <f>IFERROR(__xludf.DUMMYFUNCTION("""COMPUTED_VALUE"""),0.0)</f>
        <v>0</v>
      </c>
      <c r="AB81" s="8">
        <f>IFERROR(__xludf.DUMMYFUNCTION("""COMPUTED_VALUE"""),0.0)</f>
        <v>0</v>
      </c>
      <c r="AC81" s="8">
        <f>IFERROR(__xludf.DUMMYFUNCTION("""COMPUTED_VALUE"""),0.0)</f>
        <v>0</v>
      </c>
    </row>
    <row r="82" ht="15.75" customHeight="1">
      <c r="A82" s="6" t="str">
        <f>IFERROR(__xludf.DUMMYFUNCTION("""COMPUTED_VALUE"""),"44f5a6fb4876567a5eec3722df1d0a3d436d8bdf")</f>
        <v>44f5a6fb4876567a5eec3722df1d0a3d436d8bdf</v>
      </c>
      <c r="B82" s="6" t="str">
        <f>IFERROR(__xludf.DUMMYFUNCTION("""COMPUTED_VALUE"""),"Alpha Kyros")</f>
        <v>Alpha Kyros</v>
      </c>
      <c r="C82" s="6" t="str">
        <f>IFERROR(__xludf.DUMMYFUNCTION("""COMPUTED_VALUE"""),"Romantasy")</f>
        <v>Romantasy</v>
      </c>
      <c r="D82" s="11">
        <f>IFERROR(__xludf.DUMMYFUNCTION("""COMPUTED_VALUE"""),962.0)</f>
        <v>962</v>
      </c>
      <c r="E82" s="8">
        <f>IFERROR(__xludf.DUMMYFUNCTION("""COMPUTED_VALUE"""),0.968782518210197)</f>
        <v>0.9687825182</v>
      </c>
      <c r="F82" s="8">
        <f>IFERROR(__xludf.DUMMYFUNCTION("""COMPUTED_VALUE"""),0.533333333333333)</f>
        <v>0.5333333333</v>
      </c>
      <c r="G82" s="8">
        <f>IFERROR(__xludf.DUMMYFUNCTION("""COMPUTED_VALUE"""),0.493222106360792)</f>
        <v>0.4932221064</v>
      </c>
      <c r="H82" s="8">
        <f>IFERROR(__xludf.DUMMYFUNCTION("""COMPUTED_VALUE"""),0.469728601252609)</f>
        <v>0.4697286013</v>
      </c>
      <c r="I82" s="8">
        <f>IFERROR(__xludf.DUMMYFUNCTION("""COMPUTED_VALUE"""),0.449790794979079)</f>
        <v>0.449790795</v>
      </c>
      <c r="J82" s="8">
        <f>IFERROR(__xludf.DUMMYFUNCTION("""COMPUTED_VALUE"""),0.437238493723849)</f>
        <v>0.4372384937</v>
      </c>
      <c r="K82" s="8">
        <f>IFERROR(__xludf.DUMMYFUNCTION("""COMPUTED_VALUE"""),0.431865828092243)</f>
        <v>0.4318658281</v>
      </c>
      <c r="L82" s="8">
        <f>IFERROR(__xludf.DUMMYFUNCTION("""COMPUTED_VALUE"""),0.416579223504721)</f>
        <v>0.4165792235</v>
      </c>
      <c r="M82" s="8">
        <f>IFERROR(__xludf.DUMMYFUNCTION("""COMPUTED_VALUE"""),0.404210526315789)</f>
        <v>0.4042105263</v>
      </c>
      <c r="N82" s="8">
        <f>IFERROR(__xludf.DUMMYFUNCTION("""COMPUTED_VALUE"""),0.385021097046413)</f>
        <v>0.385021097</v>
      </c>
      <c r="O82" s="8">
        <f>IFERROR(__xludf.DUMMYFUNCTION("""COMPUTED_VALUE"""),0.327832783278327)</f>
        <v>0.3278327833</v>
      </c>
      <c r="P82" s="8">
        <f>IFERROR(__xludf.DUMMYFUNCTION("""COMPUTED_VALUE"""),0.251564455569461)</f>
        <v>0.2515644556</v>
      </c>
      <c r="Q82" s="8">
        <f>IFERROR(__xludf.DUMMYFUNCTION("""COMPUTED_VALUE"""),0.146666666666666)</f>
        <v>0.1466666667</v>
      </c>
      <c r="R82" s="8">
        <f>IFERROR(__xludf.DUMMYFUNCTION("""COMPUTED_VALUE"""),0.036144578313253)</f>
        <v>0.03614457831</v>
      </c>
      <c r="S82" s="8">
        <f>IFERROR(__xludf.DUMMYFUNCTION("""COMPUTED_VALUE"""),0.0)</f>
        <v>0</v>
      </c>
      <c r="T82" s="8">
        <f>IFERROR(__xludf.DUMMYFUNCTION("""COMPUTED_VALUE"""),0.0)</f>
        <v>0</v>
      </c>
      <c r="U82" s="8">
        <f>IFERROR(__xludf.DUMMYFUNCTION("""COMPUTED_VALUE"""),0.0)</f>
        <v>0</v>
      </c>
      <c r="V82" s="8">
        <f>IFERROR(__xludf.DUMMYFUNCTION("""COMPUTED_VALUE"""),0.0)</f>
        <v>0</v>
      </c>
      <c r="W82" s="8">
        <f>IFERROR(__xludf.DUMMYFUNCTION("""COMPUTED_VALUE"""),0.0)</f>
        <v>0</v>
      </c>
      <c r="X82" s="8">
        <f>IFERROR(__xludf.DUMMYFUNCTION("""COMPUTED_VALUE"""),0.0)</f>
        <v>0</v>
      </c>
      <c r="Y82" s="8">
        <f>IFERROR(__xludf.DUMMYFUNCTION("""COMPUTED_VALUE"""),0.0)</f>
        <v>0</v>
      </c>
      <c r="Z82" s="8">
        <f>IFERROR(__xludf.DUMMYFUNCTION("""COMPUTED_VALUE"""),0.0)</f>
        <v>0</v>
      </c>
      <c r="AA82" s="8">
        <f>IFERROR(__xludf.DUMMYFUNCTION("""COMPUTED_VALUE"""),0.0)</f>
        <v>0</v>
      </c>
      <c r="AB82" s="8">
        <f>IFERROR(__xludf.DUMMYFUNCTION("""COMPUTED_VALUE"""),0.0)</f>
        <v>0</v>
      </c>
      <c r="AC82" s="8">
        <f>IFERROR(__xludf.DUMMYFUNCTION("""COMPUTED_VALUE"""),0.0)</f>
        <v>0</v>
      </c>
    </row>
    <row r="83" ht="15.75" customHeight="1">
      <c r="A83" s="6" t="str">
        <f>IFERROR(__xludf.DUMMYFUNCTION("""COMPUTED_VALUE"""),"462b561ac0c6d238fc5ed6d8ce632a9e6a2152d9")</f>
        <v>462b561ac0c6d238fc5ed6d8ce632a9e6a2152d9</v>
      </c>
      <c r="B83" s="6" t="str">
        <f>IFERROR(__xludf.DUMMYFUNCTION("""COMPUTED_VALUE"""),"My Billionaire System")</f>
        <v>My Billionaire System</v>
      </c>
      <c r="C83" s="6" t="str">
        <f>IFERROR(__xludf.DUMMYFUNCTION("""COMPUTED_VALUE"""),"System and Superpower")</f>
        <v>System and Superpower</v>
      </c>
      <c r="D83" s="11">
        <f>IFERROR(__xludf.DUMMYFUNCTION("""COMPUTED_VALUE"""),1806.0)</f>
        <v>1806</v>
      </c>
      <c r="E83" s="8">
        <f>IFERROR(__xludf.DUMMYFUNCTION("""COMPUTED_VALUE"""),0.975013881177123)</f>
        <v>0.9750138812</v>
      </c>
      <c r="F83" s="8">
        <f>IFERROR(__xludf.DUMMYFUNCTION("""COMPUTED_VALUE"""),0.567189249720044)</f>
        <v>0.5671892497</v>
      </c>
      <c r="G83" s="8">
        <f>IFERROR(__xludf.DUMMYFUNCTION("""COMPUTED_VALUE"""),0.482758620689655)</f>
        <v>0.4827586207</v>
      </c>
      <c r="H83" s="8">
        <f>IFERROR(__xludf.DUMMYFUNCTION("""COMPUTED_VALUE"""),0.42743312464428)</f>
        <v>0.4274331246</v>
      </c>
      <c r="I83" s="8">
        <f>IFERROR(__xludf.DUMMYFUNCTION("""COMPUTED_VALUE"""),0.373923032739804)</f>
        <v>0.3739230327</v>
      </c>
      <c r="J83" s="8">
        <f>IFERROR(__xludf.DUMMYFUNCTION("""COMPUTED_VALUE"""),0.337019790454016)</f>
        <v>0.3370197905</v>
      </c>
      <c r="K83" s="8">
        <f>IFERROR(__xludf.DUMMYFUNCTION("""COMPUTED_VALUE"""),0.288014311270125)</f>
        <v>0.2880143113</v>
      </c>
      <c r="L83" s="8">
        <f>IFERROR(__xludf.DUMMYFUNCTION("""COMPUTED_VALUE"""),0.26830808080808)</f>
        <v>0.2683080808</v>
      </c>
      <c r="M83" s="8">
        <f>IFERROR(__xludf.DUMMYFUNCTION("""COMPUTED_VALUE"""),0.253886010362694)</f>
        <v>0.2538860104</v>
      </c>
      <c r="N83" s="8">
        <f>IFERROR(__xludf.DUMMYFUNCTION("""COMPUTED_VALUE"""),0.237638376383763)</f>
        <v>0.2376383764</v>
      </c>
      <c r="O83" s="8">
        <f>IFERROR(__xludf.DUMMYFUNCTION("""COMPUTED_VALUE"""),0.185873605947955)</f>
        <v>0.1858736059</v>
      </c>
      <c r="P83" s="8">
        <f>IFERROR(__xludf.DUMMYFUNCTION("""COMPUTED_VALUE"""),0.154566744730679)</f>
        <v>0.1545667447</v>
      </c>
      <c r="Q83" s="8">
        <f>IFERROR(__xludf.DUMMYFUNCTION("""COMPUTED_VALUE"""),0.0)</f>
        <v>0</v>
      </c>
      <c r="R83" s="8">
        <f>IFERROR(__xludf.DUMMYFUNCTION("""COMPUTED_VALUE"""),0.0)</f>
        <v>0</v>
      </c>
      <c r="S83" s="8">
        <f>IFERROR(__xludf.DUMMYFUNCTION("""COMPUTED_VALUE"""),0.0)</f>
        <v>0</v>
      </c>
      <c r="T83" s="8">
        <f>IFERROR(__xludf.DUMMYFUNCTION("""COMPUTED_VALUE"""),0.0)</f>
        <v>0</v>
      </c>
      <c r="U83" s="8">
        <f>IFERROR(__xludf.DUMMYFUNCTION("""COMPUTED_VALUE"""),0.0)</f>
        <v>0</v>
      </c>
      <c r="V83" s="8">
        <f>IFERROR(__xludf.DUMMYFUNCTION("""COMPUTED_VALUE"""),0.0)</f>
        <v>0</v>
      </c>
      <c r="W83" s="8">
        <f>IFERROR(__xludf.DUMMYFUNCTION("""COMPUTED_VALUE"""),0.0)</f>
        <v>0</v>
      </c>
      <c r="X83" s="8">
        <f>IFERROR(__xludf.DUMMYFUNCTION("""COMPUTED_VALUE"""),0.0)</f>
        <v>0</v>
      </c>
      <c r="Y83" s="8">
        <f>IFERROR(__xludf.DUMMYFUNCTION("""COMPUTED_VALUE"""),0.0)</f>
        <v>0</v>
      </c>
      <c r="Z83" s="8">
        <f>IFERROR(__xludf.DUMMYFUNCTION("""COMPUTED_VALUE"""),0.0)</f>
        <v>0</v>
      </c>
      <c r="AA83" s="8">
        <f>IFERROR(__xludf.DUMMYFUNCTION("""COMPUTED_VALUE"""),0.0)</f>
        <v>0</v>
      </c>
      <c r="AB83" s="8">
        <f>IFERROR(__xludf.DUMMYFUNCTION("""COMPUTED_VALUE"""),0.0)</f>
        <v>0</v>
      </c>
      <c r="AC83" s="8">
        <f>IFERROR(__xludf.DUMMYFUNCTION("""COMPUTED_VALUE"""),0.0)</f>
        <v>0</v>
      </c>
    </row>
    <row r="84" ht="15.75" customHeight="1">
      <c r="A84" s="6" t="str">
        <f>IFERROR(__xludf.DUMMYFUNCTION("""COMPUTED_VALUE"""),"46b27558432dbda1475a912729ae1e1dee8ac6fa")</f>
        <v>46b27558432dbda1475a912729ae1e1dee8ac6fa</v>
      </c>
      <c r="B84" s="6" t="str">
        <f>IFERROR(__xludf.DUMMYFUNCTION("""COMPUTED_VALUE"""),"Secrets of Thunder Eyes ")</f>
        <v>Secrets of Thunder Eyes </v>
      </c>
      <c r="C84" s="6" t="str">
        <f>IFERROR(__xludf.DUMMYFUNCTION("""COMPUTED_VALUE"""),"Fantasy")</f>
        <v>Fantasy</v>
      </c>
      <c r="D84" s="11">
        <f>IFERROR(__xludf.DUMMYFUNCTION("""COMPUTED_VALUE"""),603.0)</f>
        <v>603</v>
      </c>
      <c r="E84" s="8">
        <f>IFERROR(__xludf.DUMMYFUNCTION("""COMPUTED_VALUE"""),0.950086058519793)</f>
        <v>0.9500860585</v>
      </c>
      <c r="F84" s="8">
        <f>IFERROR(__xludf.DUMMYFUNCTION("""COMPUTED_VALUE"""),0.333928571428571)</f>
        <v>0.3339285714</v>
      </c>
      <c r="G84" s="8">
        <f>IFERROR(__xludf.DUMMYFUNCTION("""COMPUTED_VALUE"""),0.24907063197026)</f>
        <v>0.249070632</v>
      </c>
      <c r="H84" s="8">
        <f>IFERROR(__xludf.DUMMYFUNCTION("""COMPUTED_VALUE"""),0.226120857699805)</f>
        <v>0.2261208577</v>
      </c>
      <c r="I84" s="8">
        <f>IFERROR(__xludf.DUMMYFUNCTION("""COMPUTED_VALUE"""),0.198380566801619)</f>
        <v>0.1983805668</v>
      </c>
      <c r="J84" s="8">
        <f>IFERROR(__xludf.DUMMYFUNCTION("""COMPUTED_VALUE"""),0.178723404255319)</f>
        <v>0.1787234043</v>
      </c>
      <c r="K84" s="8">
        <f>IFERROR(__xludf.DUMMYFUNCTION("""COMPUTED_VALUE"""),0.155902004454343)</f>
        <v>0.1559020045</v>
      </c>
      <c r="L84" s="8">
        <f>IFERROR(__xludf.DUMMYFUNCTION("""COMPUTED_VALUE"""),0.155555555555555)</f>
        <v>0.1555555556</v>
      </c>
      <c r="M84" s="8">
        <f>IFERROR(__xludf.DUMMYFUNCTION("""COMPUTED_VALUE"""),0.158031088082901)</f>
        <v>0.1580310881</v>
      </c>
      <c r="N84" s="8">
        <f>IFERROR(__xludf.DUMMYFUNCTION("""COMPUTED_VALUE"""),0.141993957703927)</f>
        <v>0.1419939577</v>
      </c>
      <c r="O84" s="8">
        <f>IFERROR(__xludf.DUMMYFUNCTION("""COMPUTED_VALUE"""),0.138613861386138)</f>
        <v>0.1386138614</v>
      </c>
      <c r="P84" s="8">
        <f>IFERROR(__xludf.DUMMYFUNCTION("""COMPUTED_VALUE"""),0.10204081632653)</f>
        <v>0.1020408163</v>
      </c>
      <c r="Q84" s="8">
        <f>IFERROR(__xludf.DUMMYFUNCTION("""COMPUTED_VALUE"""),0.0264550264550264)</f>
        <v>0.02645502646</v>
      </c>
      <c r="R84" s="8">
        <f>IFERROR(__xludf.DUMMYFUNCTION("""COMPUTED_VALUE"""),0.0160427807486631)</f>
        <v>0.01604278075</v>
      </c>
      <c r="S84" s="8">
        <f>IFERROR(__xludf.DUMMYFUNCTION("""COMPUTED_VALUE"""),0.0162162162162162)</f>
        <v>0.01621621622</v>
      </c>
      <c r="T84" s="8">
        <f>IFERROR(__xludf.DUMMYFUNCTION("""COMPUTED_VALUE"""),0.0170454545454545)</f>
        <v>0.01704545455</v>
      </c>
      <c r="U84" s="8">
        <f>IFERROR(__xludf.DUMMYFUNCTION("""COMPUTED_VALUE"""),0.0239520958083832)</f>
        <v>0.02395209581</v>
      </c>
      <c r="V84" s="8">
        <f>IFERROR(__xludf.DUMMYFUNCTION("""COMPUTED_VALUE"""),0.0138888888888888)</f>
        <v>0.01388888889</v>
      </c>
      <c r="W84" s="8">
        <f>IFERROR(__xludf.DUMMYFUNCTION("""COMPUTED_VALUE"""),0.0151515151515151)</f>
        <v>0.01515151515</v>
      </c>
      <c r="X84" s="8">
        <f>IFERROR(__xludf.DUMMYFUNCTION("""COMPUTED_VALUE"""),0.0)</f>
        <v>0</v>
      </c>
      <c r="Y84" s="8">
        <f>IFERROR(__xludf.DUMMYFUNCTION("""COMPUTED_VALUE"""),0.0)</f>
        <v>0</v>
      </c>
      <c r="Z84" s="8">
        <f>IFERROR(__xludf.DUMMYFUNCTION("""COMPUTED_VALUE"""),0.0)</f>
        <v>0</v>
      </c>
      <c r="AA84" s="8">
        <f>IFERROR(__xludf.DUMMYFUNCTION("""COMPUTED_VALUE"""),0.0)</f>
        <v>0</v>
      </c>
      <c r="AB84" s="8">
        <f>IFERROR(__xludf.DUMMYFUNCTION("""COMPUTED_VALUE"""),0.0)</f>
        <v>0</v>
      </c>
      <c r="AC84" s="8">
        <f>IFERROR(__xludf.DUMMYFUNCTION("""COMPUTED_VALUE"""),0.0)</f>
        <v>0</v>
      </c>
    </row>
    <row r="85" ht="15.75" customHeight="1">
      <c r="A85" s="6" t="str">
        <f>IFERROR(__xludf.DUMMYFUNCTION("""COMPUTED_VALUE"""),"48b422f2dbf0dc909fde9fadad832fde3d20f4a4")</f>
        <v>48b422f2dbf0dc909fde9fadad832fde3d20f4a4</v>
      </c>
      <c r="B85" s="6" t="str">
        <f>IFERROR(__xludf.DUMMYFUNCTION("""COMPUTED_VALUE"""),"Bride of the Ice Ceo")</f>
        <v>Bride of the Ice Ceo</v>
      </c>
      <c r="C85" s="6" t="str">
        <f>IFERROR(__xludf.DUMMYFUNCTION("""COMPUTED_VALUE"""),"Romance")</f>
        <v>Romance</v>
      </c>
      <c r="D85" s="11">
        <f>IFERROR(__xludf.DUMMYFUNCTION("""COMPUTED_VALUE"""),400.0)</f>
        <v>400</v>
      </c>
      <c r="E85" s="8">
        <f>IFERROR(__xludf.DUMMYFUNCTION("""COMPUTED_VALUE"""),0.957393483709273)</f>
        <v>0.9573934837</v>
      </c>
      <c r="F85" s="8">
        <f>IFERROR(__xludf.DUMMYFUNCTION("""COMPUTED_VALUE"""),0.493734335839598)</f>
        <v>0.4937343358</v>
      </c>
      <c r="G85" s="8">
        <f>IFERROR(__xludf.DUMMYFUNCTION("""COMPUTED_VALUE"""),0.452261306532663)</f>
        <v>0.4522613065</v>
      </c>
      <c r="H85" s="8">
        <f>IFERROR(__xludf.DUMMYFUNCTION("""COMPUTED_VALUE"""),0.43467336683417)</f>
        <v>0.4346733668</v>
      </c>
      <c r="I85" s="8">
        <f>IFERROR(__xludf.DUMMYFUNCTION("""COMPUTED_VALUE"""),0.412060301507537)</f>
        <v>0.4120603015</v>
      </c>
      <c r="J85" s="8">
        <f>IFERROR(__xludf.DUMMYFUNCTION("""COMPUTED_VALUE"""),0.380352644836272)</f>
        <v>0.3803526448</v>
      </c>
      <c r="K85" s="8">
        <f>IFERROR(__xludf.DUMMYFUNCTION("""COMPUTED_VALUE"""),0.36272040302267)</f>
        <v>0.362720403</v>
      </c>
      <c r="L85" s="8">
        <f>IFERROR(__xludf.DUMMYFUNCTION("""COMPUTED_VALUE"""),0.360201511335012)</f>
        <v>0.3602015113</v>
      </c>
      <c r="M85" s="8">
        <f>IFERROR(__xludf.DUMMYFUNCTION("""COMPUTED_VALUE"""),0.335012594458438)</f>
        <v>0.3350125945</v>
      </c>
      <c r="N85" s="8">
        <f>IFERROR(__xludf.DUMMYFUNCTION("""COMPUTED_VALUE"""),0.32741116751269)</f>
        <v>0.3274111675</v>
      </c>
      <c r="O85" s="8">
        <f>IFERROR(__xludf.DUMMYFUNCTION("""COMPUTED_VALUE"""),0.248677248677248)</f>
        <v>0.2486772487</v>
      </c>
      <c r="P85" s="8">
        <f>IFERROR(__xludf.DUMMYFUNCTION("""COMPUTED_VALUE"""),0.187683284457478)</f>
        <v>0.1876832845</v>
      </c>
      <c r="Q85" s="8">
        <f>IFERROR(__xludf.DUMMYFUNCTION("""COMPUTED_VALUE"""),0.10655737704918)</f>
        <v>0.106557377</v>
      </c>
      <c r="R85" s="8">
        <f>IFERROR(__xludf.DUMMYFUNCTION("""COMPUTED_VALUE"""),0.0823529411764705)</f>
        <v>0.08235294118</v>
      </c>
      <c r="S85" s="8">
        <f>IFERROR(__xludf.DUMMYFUNCTION("""COMPUTED_VALUE"""),0.0)</f>
        <v>0</v>
      </c>
      <c r="T85" s="8">
        <f>IFERROR(__xludf.DUMMYFUNCTION("""COMPUTED_VALUE"""),0.0)</f>
        <v>0</v>
      </c>
      <c r="U85" s="8">
        <f>IFERROR(__xludf.DUMMYFUNCTION("""COMPUTED_VALUE"""),0.0)</f>
        <v>0</v>
      </c>
      <c r="V85" s="8">
        <f>IFERROR(__xludf.DUMMYFUNCTION("""COMPUTED_VALUE"""),0.0)</f>
        <v>0</v>
      </c>
      <c r="W85" s="8">
        <f>IFERROR(__xludf.DUMMYFUNCTION("""COMPUTED_VALUE"""),0.0)</f>
        <v>0</v>
      </c>
      <c r="X85" s="8">
        <f>IFERROR(__xludf.DUMMYFUNCTION("""COMPUTED_VALUE"""),0.0)</f>
        <v>0</v>
      </c>
      <c r="Y85" s="8">
        <f>IFERROR(__xludf.DUMMYFUNCTION("""COMPUTED_VALUE"""),0.0)</f>
        <v>0</v>
      </c>
      <c r="Z85" s="8">
        <f>IFERROR(__xludf.DUMMYFUNCTION("""COMPUTED_VALUE"""),0.0)</f>
        <v>0</v>
      </c>
      <c r="AA85" s="8">
        <f>IFERROR(__xludf.DUMMYFUNCTION("""COMPUTED_VALUE"""),0.0)</f>
        <v>0</v>
      </c>
      <c r="AB85" s="8">
        <f>IFERROR(__xludf.DUMMYFUNCTION("""COMPUTED_VALUE"""),0.0)</f>
        <v>0</v>
      </c>
      <c r="AC85" s="8">
        <f>IFERROR(__xludf.DUMMYFUNCTION("""COMPUTED_VALUE"""),0.0)</f>
        <v>0</v>
      </c>
    </row>
    <row r="86" ht="15.75" customHeight="1">
      <c r="A86" s="6" t="str">
        <f>IFERROR(__xludf.DUMMYFUNCTION("""COMPUTED_VALUE"""),"4a310051c4c56c2fab46c3a7f528a09901399ecd")</f>
        <v>4a310051c4c56c2fab46c3a7f528a09901399ecd</v>
      </c>
      <c r="B86" s="6" t="str">
        <f>IFERROR(__xludf.DUMMYFUNCTION("""COMPUTED_VALUE"""),"Strongest Warlock ")</f>
        <v>Strongest Warlock </v>
      </c>
      <c r="C86" s="6" t="str">
        <f>IFERROR(__xludf.DUMMYFUNCTION("""COMPUTED_VALUE"""),"Fantasy")</f>
        <v>Fantasy</v>
      </c>
      <c r="D86" s="11">
        <f>IFERROR(__xludf.DUMMYFUNCTION("""COMPUTED_VALUE"""),110599.0)</f>
        <v>110599</v>
      </c>
      <c r="E86" s="8">
        <f>IFERROR(__xludf.DUMMYFUNCTION("""COMPUTED_VALUE"""),0.912605682354221)</f>
        <v>0.9126056824</v>
      </c>
      <c r="F86" s="8">
        <f>IFERROR(__xludf.DUMMYFUNCTION("""COMPUTED_VALUE"""),0.486048883546424)</f>
        <v>0.4860488835</v>
      </c>
      <c r="G86" s="8">
        <f>IFERROR(__xludf.DUMMYFUNCTION("""COMPUTED_VALUE"""),0.440810096966706)</f>
        <v>0.440810097</v>
      </c>
      <c r="H86" s="8">
        <f>IFERROR(__xludf.DUMMYFUNCTION("""COMPUTED_VALUE"""),0.411491807938094)</f>
        <v>0.4114918079</v>
      </c>
      <c r="I86" s="8">
        <f>IFERROR(__xludf.DUMMYFUNCTION("""COMPUTED_VALUE"""),0.392921609076843)</f>
        <v>0.3929216091</v>
      </c>
      <c r="J86" s="8">
        <f>IFERROR(__xludf.DUMMYFUNCTION("""COMPUTED_VALUE"""),0.378793479466232)</f>
        <v>0.3787934795</v>
      </c>
      <c r="K86" s="8">
        <f>IFERROR(__xludf.DUMMYFUNCTION("""COMPUTED_VALUE"""),0.364001297918694)</f>
        <v>0.3640012979</v>
      </c>
      <c r="L86" s="8">
        <f>IFERROR(__xludf.DUMMYFUNCTION("""COMPUTED_VALUE"""),0.354904263847717)</f>
        <v>0.3549042638</v>
      </c>
      <c r="M86" s="8">
        <f>IFERROR(__xludf.DUMMYFUNCTION("""COMPUTED_VALUE"""),0.347383285949423)</f>
        <v>0.3473832859</v>
      </c>
      <c r="N86" s="8">
        <f>IFERROR(__xludf.DUMMYFUNCTION("""COMPUTED_VALUE"""),0.340415353444394)</f>
        <v>0.3404153534</v>
      </c>
      <c r="O86" s="8">
        <f>IFERROR(__xludf.DUMMYFUNCTION("""COMPUTED_VALUE"""),0.316079790850674)</f>
        <v>0.3160797909</v>
      </c>
      <c r="P86" s="8">
        <f>IFERROR(__xludf.DUMMYFUNCTION("""COMPUTED_VALUE"""),0.280620002943051)</f>
        <v>0.2806200029</v>
      </c>
      <c r="Q86" s="8">
        <f>IFERROR(__xludf.DUMMYFUNCTION("""COMPUTED_VALUE"""),0.227142053301959)</f>
        <v>0.2271420533</v>
      </c>
      <c r="R86" s="8">
        <f>IFERROR(__xludf.DUMMYFUNCTION("""COMPUTED_VALUE"""),0.194773850445612)</f>
        <v>0.1947738504</v>
      </c>
      <c r="S86" s="8">
        <f>IFERROR(__xludf.DUMMYFUNCTION("""COMPUTED_VALUE"""),0.167725121004201)</f>
        <v>0.167725121</v>
      </c>
      <c r="T86" s="8">
        <f>IFERROR(__xludf.DUMMYFUNCTION("""COMPUTED_VALUE"""),0.150334522505719)</f>
        <v>0.1503345225</v>
      </c>
      <c r="U86" s="8">
        <f>IFERROR(__xludf.DUMMYFUNCTION("""COMPUTED_VALUE"""),0.137605030388238)</f>
        <v>0.1376050304</v>
      </c>
      <c r="V86" s="8">
        <f>IFERROR(__xludf.DUMMYFUNCTION("""COMPUTED_VALUE"""),0.127361310040713)</f>
        <v>0.12736131</v>
      </c>
      <c r="W86" s="8">
        <f>IFERROR(__xludf.DUMMYFUNCTION("""COMPUTED_VALUE"""),0.118257571403942)</f>
        <v>0.1182575714</v>
      </c>
      <c r="X86" s="8">
        <f>IFERROR(__xludf.DUMMYFUNCTION("""COMPUTED_VALUE"""),0.101926924291881)</f>
        <v>0.1019269243</v>
      </c>
      <c r="Y86" s="8">
        <f>IFERROR(__xludf.DUMMYFUNCTION("""COMPUTED_VALUE"""),0.0729562335180122)</f>
        <v>0.07295623352</v>
      </c>
      <c r="Z86" s="8">
        <f>IFERROR(__xludf.DUMMYFUNCTION("""COMPUTED_VALUE"""),0.00924197762875053)</f>
        <v>0.009241977629</v>
      </c>
      <c r="AA86" s="8">
        <f>IFERROR(__xludf.DUMMYFUNCTION("""COMPUTED_VALUE"""),0.0)</f>
        <v>0</v>
      </c>
      <c r="AB86" s="8">
        <f>IFERROR(__xludf.DUMMYFUNCTION("""COMPUTED_VALUE"""),0.0)</f>
        <v>0</v>
      </c>
      <c r="AC86" s="8">
        <f>IFERROR(__xludf.DUMMYFUNCTION("""COMPUTED_VALUE"""),0.0)</f>
        <v>0</v>
      </c>
    </row>
    <row r="87" ht="15.75" customHeight="1">
      <c r="A87" s="6" t="str">
        <f>IFERROR(__xludf.DUMMYFUNCTION("""COMPUTED_VALUE"""),"4b2d918a2f639175cf29754151e058356b36f273")</f>
        <v>4b2d918a2f639175cf29754151e058356b36f273</v>
      </c>
      <c r="B87" s="6" t="str">
        <f>IFERROR(__xludf.DUMMYFUNCTION("""COMPUTED_VALUE"""),"Surviving Zombies Rising")</f>
        <v>Surviving Zombies Rising</v>
      </c>
      <c r="C87" s="6" t="str">
        <f>IFERROR(__xludf.DUMMYFUNCTION("""COMPUTED_VALUE"""),"Sci-Fi")</f>
        <v>Sci-Fi</v>
      </c>
      <c r="D87" s="11">
        <f>IFERROR(__xludf.DUMMYFUNCTION("""COMPUTED_VALUE"""),710.0)</f>
        <v>710</v>
      </c>
      <c r="E87" s="8">
        <f>IFERROR(__xludf.DUMMYFUNCTION("""COMPUTED_VALUE"""),0.978632478632478)</f>
        <v>0.9786324786</v>
      </c>
      <c r="F87" s="8">
        <f>IFERROR(__xludf.DUMMYFUNCTION("""COMPUTED_VALUE"""),0.367496339677891)</f>
        <v>0.3674963397</v>
      </c>
      <c r="G87" s="8">
        <f>IFERROR(__xludf.DUMMYFUNCTION("""COMPUTED_VALUE"""),0.286356821589205)</f>
        <v>0.2863568216</v>
      </c>
      <c r="H87" s="8">
        <f>IFERROR(__xludf.DUMMYFUNCTION("""COMPUTED_VALUE"""),0.240310077519379)</f>
        <v>0.2403100775</v>
      </c>
      <c r="I87" s="8">
        <f>IFERROR(__xludf.DUMMYFUNCTION("""COMPUTED_VALUE"""),0.214733542319749)</f>
        <v>0.2147335423</v>
      </c>
      <c r="J87" s="8">
        <f>IFERROR(__xludf.DUMMYFUNCTION("""COMPUTED_VALUE"""),0.197452229299363)</f>
        <v>0.1974522293</v>
      </c>
      <c r="K87" s="8">
        <f>IFERROR(__xludf.DUMMYFUNCTION("""COMPUTED_VALUE"""),0.186195826645264)</f>
        <v>0.1861958266</v>
      </c>
      <c r="L87" s="8">
        <f>IFERROR(__xludf.DUMMYFUNCTION("""COMPUTED_VALUE"""),0.167479674796747)</f>
        <v>0.1674796748</v>
      </c>
      <c r="M87" s="8">
        <f>IFERROR(__xludf.DUMMYFUNCTION("""COMPUTED_VALUE"""),0.160655737704918)</f>
        <v>0.1606557377</v>
      </c>
      <c r="N87" s="8">
        <f>IFERROR(__xludf.DUMMYFUNCTION("""COMPUTED_VALUE"""),0.153719008264462)</f>
        <v>0.1537190083</v>
      </c>
      <c r="O87" s="8">
        <f>IFERROR(__xludf.DUMMYFUNCTION("""COMPUTED_VALUE"""),0.136915077989601)</f>
        <v>0.136915078</v>
      </c>
      <c r="P87" s="8">
        <f>IFERROR(__xludf.DUMMYFUNCTION("""COMPUTED_VALUE"""),0.0957230142566191)</f>
        <v>0.09572301426</v>
      </c>
      <c r="Q87" s="8">
        <f>IFERROR(__xludf.DUMMYFUNCTION("""COMPUTED_VALUE"""),0.0555555555555555)</f>
        <v>0.05555555556</v>
      </c>
      <c r="R87" s="8">
        <f>IFERROR(__xludf.DUMMYFUNCTION("""COMPUTED_VALUE"""),0.0)</f>
        <v>0</v>
      </c>
      <c r="S87" s="8">
        <f>IFERROR(__xludf.DUMMYFUNCTION("""COMPUTED_VALUE"""),0.0)</f>
        <v>0</v>
      </c>
      <c r="T87" s="8">
        <f>IFERROR(__xludf.DUMMYFUNCTION("""COMPUTED_VALUE"""),0.0)</f>
        <v>0</v>
      </c>
      <c r="U87" s="8">
        <f>IFERROR(__xludf.DUMMYFUNCTION("""COMPUTED_VALUE"""),0.0)</f>
        <v>0</v>
      </c>
      <c r="V87" s="8">
        <f>IFERROR(__xludf.DUMMYFUNCTION("""COMPUTED_VALUE"""),0.0)</f>
        <v>0</v>
      </c>
      <c r="W87" s="8">
        <f>IFERROR(__xludf.DUMMYFUNCTION("""COMPUTED_VALUE"""),0.0)</f>
        <v>0</v>
      </c>
      <c r="X87" s="8">
        <f>IFERROR(__xludf.DUMMYFUNCTION("""COMPUTED_VALUE"""),0.0)</f>
        <v>0</v>
      </c>
      <c r="Y87" s="8">
        <f>IFERROR(__xludf.DUMMYFUNCTION("""COMPUTED_VALUE"""),0.0)</f>
        <v>0</v>
      </c>
      <c r="Z87" s="8">
        <f>IFERROR(__xludf.DUMMYFUNCTION("""COMPUTED_VALUE"""),0.0)</f>
        <v>0</v>
      </c>
      <c r="AA87" s="8">
        <f>IFERROR(__xludf.DUMMYFUNCTION("""COMPUTED_VALUE"""),0.0)</f>
        <v>0</v>
      </c>
      <c r="AB87" s="8">
        <f>IFERROR(__xludf.DUMMYFUNCTION("""COMPUTED_VALUE"""),0.0)</f>
        <v>0</v>
      </c>
      <c r="AC87" s="8">
        <f>IFERROR(__xludf.DUMMYFUNCTION("""COMPUTED_VALUE"""),0.0)</f>
        <v>0</v>
      </c>
    </row>
    <row r="88" ht="15.75" customHeight="1">
      <c r="A88" s="6" t="str">
        <f>IFERROR(__xludf.DUMMYFUNCTION("""COMPUTED_VALUE"""),"4bb85319b3dd3ab4ec654bdd13098e3f37cb3e3b")</f>
        <v>4bb85319b3dd3ab4ec654bdd13098e3f37cb3e3b</v>
      </c>
      <c r="B88" s="6" t="str">
        <f>IFERROR(__xludf.DUMMYFUNCTION("""COMPUTED_VALUE"""),"Shadowed Wealth")</f>
        <v>Shadowed Wealth</v>
      </c>
      <c r="C88" s="6" t="str">
        <f>IFERROR(__xludf.DUMMYFUNCTION("""COMPUTED_VALUE"""),"System and Superpower")</f>
        <v>System and Superpower</v>
      </c>
      <c r="D88" s="11">
        <f>IFERROR(__xludf.DUMMYFUNCTION("""COMPUTED_VALUE"""),500.0)</f>
        <v>500</v>
      </c>
      <c r="E88" s="8">
        <f>IFERROR(__xludf.DUMMYFUNCTION("""COMPUTED_VALUE"""),0.922)</f>
        <v>0.922</v>
      </c>
      <c r="F88" s="8">
        <f>IFERROR(__xludf.DUMMYFUNCTION("""COMPUTED_VALUE"""),0.532)</f>
        <v>0.532</v>
      </c>
      <c r="G88" s="8">
        <f>IFERROR(__xludf.DUMMYFUNCTION("""COMPUTED_VALUE"""),0.48)</f>
        <v>0.48</v>
      </c>
      <c r="H88" s="8">
        <f>IFERROR(__xludf.DUMMYFUNCTION("""COMPUTED_VALUE"""),0.416)</f>
        <v>0.416</v>
      </c>
      <c r="I88" s="8">
        <f>IFERROR(__xludf.DUMMYFUNCTION("""COMPUTED_VALUE"""),0.322645290581162)</f>
        <v>0.3226452906</v>
      </c>
      <c r="J88" s="8">
        <f>IFERROR(__xludf.DUMMYFUNCTION("""COMPUTED_VALUE"""),0.275100401606425)</f>
        <v>0.2751004016</v>
      </c>
      <c r="K88" s="8">
        <f>IFERROR(__xludf.DUMMYFUNCTION("""COMPUTED_VALUE"""),0.279116465863453)</f>
        <v>0.2791164659</v>
      </c>
      <c r="L88" s="8">
        <f>IFERROR(__xludf.DUMMYFUNCTION("""COMPUTED_VALUE"""),0.265060240963855)</f>
        <v>0.265060241</v>
      </c>
      <c r="M88" s="8">
        <f>IFERROR(__xludf.DUMMYFUNCTION("""COMPUTED_VALUE"""),0.257028112449799)</f>
        <v>0.2570281124</v>
      </c>
      <c r="N88" s="8">
        <f>IFERROR(__xludf.DUMMYFUNCTION("""COMPUTED_VALUE"""),0.239919354838709)</f>
        <v>0.2399193548</v>
      </c>
      <c r="O88" s="8">
        <f>IFERROR(__xludf.DUMMYFUNCTION("""COMPUTED_VALUE"""),0.194274028629856)</f>
        <v>0.1942740286</v>
      </c>
      <c r="P88" s="8">
        <f>IFERROR(__xludf.DUMMYFUNCTION("""COMPUTED_VALUE"""),0.110655737704918)</f>
        <v>0.1106557377</v>
      </c>
      <c r="Q88" s="8">
        <f>IFERROR(__xludf.DUMMYFUNCTION("""COMPUTED_VALUE"""),0.0289256198347107)</f>
        <v>0.02892561983</v>
      </c>
      <c r="R88" s="8">
        <f>IFERROR(__xludf.DUMMYFUNCTION("""COMPUTED_VALUE"""),0.0)</f>
        <v>0</v>
      </c>
      <c r="S88" s="8">
        <f>IFERROR(__xludf.DUMMYFUNCTION("""COMPUTED_VALUE"""),0.0)</f>
        <v>0</v>
      </c>
      <c r="T88" s="8">
        <f>IFERROR(__xludf.DUMMYFUNCTION("""COMPUTED_VALUE"""),0.0)</f>
        <v>0</v>
      </c>
      <c r="U88" s="8">
        <f>IFERROR(__xludf.DUMMYFUNCTION("""COMPUTED_VALUE"""),0.0)</f>
        <v>0</v>
      </c>
      <c r="V88" s="8">
        <f>IFERROR(__xludf.DUMMYFUNCTION("""COMPUTED_VALUE"""),0.0)</f>
        <v>0</v>
      </c>
      <c r="W88" s="8">
        <f>IFERROR(__xludf.DUMMYFUNCTION("""COMPUTED_VALUE"""),0.0)</f>
        <v>0</v>
      </c>
      <c r="X88" s="8">
        <f>IFERROR(__xludf.DUMMYFUNCTION("""COMPUTED_VALUE"""),0.0)</f>
        <v>0</v>
      </c>
      <c r="Y88" s="8">
        <f>IFERROR(__xludf.DUMMYFUNCTION("""COMPUTED_VALUE"""),0.0)</f>
        <v>0</v>
      </c>
      <c r="Z88" s="8">
        <f>IFERROR(__xludf.DUMMYFUNCTION("""COMPUTED_VALUE"""),0.0)</f>
        <v>0</v>
      </c>
      <c r="AA88" s="8">
        <f>IFERROR(__xludf.DUMMYFUNCTION("""COMPUTED_VALUE"""),0.0)</f>
        <v>0</v>
      </c>
      <c r="AB88" s="8">
        <f>IFERROR(__xludf.DUMMYFUNCTION("""COMPUTED_VALUE"""),0.0)</f>
        <v>0</v>
      </c>
      <c r="AC88" s="8">
        <f>IFERROR(__xludf.DUMMYFUNCTION("""COMPUTED_VALUE"""),0.0)</f>
        <v>0</v>
      </c>
    </row>
    <row r="89" ht="15.75" customHeight="1">
      <c r="A89" s="6" t="str">
        <f>IFERROR(__xludf.DUMMYFUNCTION("""COMPUTED_VALUE"""),"4c43207d3f7885c90d8aaafbb8952de80561f21d")</f>
        <v>4c43207d3f7885c90d8aaafbb8952de80561f21d</v>
      </c>
      <c r="B89" s="6" t="str">
        <f>IFERROR(__xludf.DUMMYFUNCTION("""COMPUTED_VALUE"""),"The Boss &amp; His Fake Wife")</f>
        <v>The Boss &amp; His Fake Wife</v>
      </c>
      <c r="C89" s="6" t="str">
        <f>IFERROR(__xludf.DUMMYFUNCTION("""COMPUTED_VALUE"""),"Romance")</f>
        <v>Romance</v>
      </c>
      <c r="D89" s="11">
        <f>IFERROR(__xludf.DUMMYFUNCTION("""COMPUTED_VALUE"""),722.0)</f>
        <v>722</v>
      </c>
      <c r="E89" s="8">
        <f>IFERROR(__xludf.DUMMYFUNCTION("""COMPUTED_VALUE"""),0.973426573426573)</f>
        <v>0.9734265734</v>
      </c>
      <c r="F89" s="8">
        <f>IFERROR(__xludf.DUMMYFUNCTION("""COMPUTED_VALUE"""),0.223796033994334)</f>
        <v>0.223796034</v>
      </c>
      <c r="G89" s="8">
        <f>IFERROR(__xludf.DUMMYFUNCTION("""COMPUTED_VALUE"""),0.194879089615931)</f>
        <v>0.1948790896</v>
      </c>
      <c r="H89" s="8">
        <f>IFERROR(__xludf.DUMMYFUNCTION("""COMPUTED_VALUE"""),0.184813753581661)</f>
        <v>0.1848137536</v>
      </c>
      <c r="I89" s="8">
        <f>IFERROR(__xludf.DUMMYFUNCTION("""COMPUTED_VALUE"""),0.168345323741007)</f>
        <v>0.1683453237</v>
      </c>
      <c r="J89" s="8">
        <f>IFERROR(__xludf.DUMMYFUNCTION("""COMPUTED_VALUE"""),0.15850144092219)</f>
        <v>0.1585014409</v>
      </c>
      <c r="K89" s="8">
        <f>IFERROR(__xludf.DUMMYFUNCTION("""COMPUTED_VALUE"""),0.15007215007215)</f>
        <v>0.1500721501</v>
      </c>
      <c r="L89" s="8">
        <f>IFERROR(__xludf.DUMMYFUNCTION("""COMPUTED_VALUE"""),0.145743145743145)</f>
        <v>0.1457431457</v>
      </c>
      <c r="M89" s="8">
        <f>IFERROR(__xludf.DUMMYFUNCTION("""COMPUTED_VALUE"""),0.143274853801169)</f>
        <v>0.1432748538</v>
      </c>
      <c r="N89" s="8">
        <f>IFERROR(__xludf.DUMMYFUNCTION("""COMPUTED_VALUE"""),0.142228739002932)</f>
        <v>0.142228739</v>
      </c>
      <c r="O89" s="8">
        <f>IFERROR(__xludf.DUMMYFUNCTION("""COMPUTED_VALUE"""),0.137931034482758)</f>
        <v>0.1379310345</v>
      </c>
      <c r="P89" s="8">
        <f>IFERROR(__xludf.DUMMYFUNCTION("""COMPUTED_VALUE"""),0.18)</f>
        <v>0.18</v>
      </c>
      <c r="Q89" s="8">
        <f>IFERROR(__xludf.DUMMYFUNCTION("""COMPUTED_VALUE"""),0.0)</f>
        <v>0</v>
      </c>
      <c r="R89" s="8">
        <f>IFERROR(__xludf.DUMMYFUNCTION("""COMPUTED_VALUE"""),0.0)</f>
        <v>0</v>
      </c>
      <c r="S89" s="8">
        <f>IFERROR(__xludf.DUMMYFUNCTION("""COMPUTED_VALUE"""),0.0)</f>
        <v>0</v>
      </c>
      <c r="T89" s="8">
        <f>IFERROR(__xludf.DUMMYFUNCTION("""COMPUTED_VALUE"""),0.0)</f>
        <v>0</v>
      </c>
      <c r="U89" s="8">
        <f>IFERROR(__xludf.DUMMYFUNCTION("""COMPUTED_VALUE"""),0.0)</f>
        <v>0</v>
      </c>
      <c r="V89" s="8">
        <f>IFERROR(__xludf.DUMMYFUNCTION("""COMPUTED_VALUE"""),0.0)</f>
        <v>0</v>
      </c>
      <c r="W89" s="8">
        <f>IFERROR(__xludf.DUMMYFUNCTION("""COMPUTED_VALUE"""),0.0)</f>
        <v>0</v>
      </c>
      <c r="X89" s="8">
        <f>IFERROR(__xludf.DUMMYFUNCTION("""COMPUTED_VALUE"""),0.0)</f>
        <v>0</v>
      </c>
      <c r="Y89" s="8">
        <f>IFERROR(__xludf.DUMMYFUNCTION("""COMPUTED_VALUE"""),0.0)</f>
        <v>0</v>
      </c>
      <c r="Z89" s="8">
        <f>IFERROR(__xludf.DUMMYFUNCTION("""COMPUTED_VALUE"""),0.0)</f>
        <v>0</v>
      </c>
      <c r="AA89" s="8">
        <f>IFERROR(__xludf.DUMMYFUNCTION("""COMPUTED_VALUE"""),0.0)</f>
        <v>0</v>
      </c>
      <c r="AB89" s="8">
        <f>IFERROR(__xludf.DUMMYFUNCTION("""COMPUTED_VALUE"""),0.0)</f>
        <v>0</v>
      </c>
      <c r="AC89" s="8">
        <f>IFERROR(__xludf.DUMMYFUNCTION("""COMPUTED_VALUE"""),0.0)</f>
        <v>0</v>
      </c>
    </row>
    <row r="90" ht="15.75" customHeight="1">
      <c r="A90" s="6" t="str">
        <f>IFERROR(__xludf.DUMMYFUNCTION("""COMPUTED_VALUE"""),"4d01d84cdfff217f33b380cdb07a2a1c706749ea")</f>
        <v>4d01d84cdfff217f33b380cdb07a2a1c706749ea</v>
      </c>
      <c r="B90" s="6" t="str">
        <f>IFERROR(__xludf.DUMMYFUNCTION("""COMPUTED_VALUE"""),"The Fifth Bride")</f>
        <v>The Fifth Bride</v>
      </c>
      <c r="C90" s="6" t="str">
        <f>IFERROR(__xludf.DUMMYFUNCTION("""COMPUTED_VALUE"""),"Suspense or Thriller")</f>
        <v>Suspense or Thriller</v>
      </c>
      <c r="D90" s="11">
        <f>IFERROR(__xludf.DUMMYFUNCTION("""COMPUTED_VALUE"""),74.0)</f>
        <v>74</v>
      </c>
      <c r="E90" s="8">
        <f>IFERROR(__xludf.DUMMYFUNCTION("""COMPUTED_VALUE"""),0.918918918918919)</f>
        <v>0.9189189189</v>
      </c>
      <c r="F90" s="8">
        <f>IFERROR(__xludf.DUMMYFUNCTION("""COMPUTED_VALUE"""),0.418918918918918)</f>
        <v>0.4189189189</v>
      </c>
      <c r="G90" s="8">
        <f>IFERROR(__xludf.DUMMYFUNCTION("""COMPUTED_VALUE"""),0.337837837837837)</f>
        <v>0.3378378378</v>
      </c>
      <c r="H90" s="8">
        <f>IFERROR(__xludf.DUMMYFUNCTION("""COMPUTED_VALUE"""),0.283783783783783)</f>
        <v>0.2837837838</v>
      </c>
      <c r="I90" s="8">
        <f>IFERROR(__xludf.DUMMYFUNCTION("""COMPUTED_VALUE"""),0.27027027027027)</f>
        <v>0.2702702703</v>
      </c>
      <c r="J90" s="8">
        <f>IFERROR(__xludf.DUMMYFUNCTION("""COMPUTED_VALUE"""),0.283783783783783)</f>
        <v>0.2837837838</v>
      </c>
      <c r="K90" s="8">
        <f>IFERROR(__xludf.DUMMYFUNCTION("""COMPUTED_VALUE"""),0.256756756756756)</f>
        <v>0.2567567568</v>
      </c>
      <c r="L90" s="8">
        <f>IFERROR(__xludf.DUMMYFUNCTION("""COMPUTED_VALUE"""),0.202702702702702)</f>
        <v>0.2027027027</v>
      </c>
      <c r="M90" s="8">
        <f>IFERROR(__xludf.DUMMYFUNCTION("""COMPUTED_VALUE"""),0.229729729729729)</f>
        <v>0.2297297297</v>
      </c>
      <c r="N90" s="8">
        <f>IFERROR(__xludf.DUMMYFUNCTION("""COMPUTED_VALUE"""),0.202702702702702)</f>
        <v>0.2027027027</v>
      </c>
      <c r="O90" s="8">
        <f>IFERROR(__xludf.DUMMYFUNCTION("""COMPUTED_VALUE"""),0.175675675675675)</f>
        <v>0.1756756757</v>
      </c>
      <c r="P90" s="8">
        <f>IFERROR(__xludf.DUMMYFUNCTION("""COMPUTED_VALUE"""),0.135135135135135)</f>
        <v>0.1351351351</v>
      </c>
      <c r="Q90" s="8">
        <f>IFERROR(__xludf.DUMMYFUNCTION("""COMPUTED_VALUE"""),0.0363636363636363)</f>
        <v>0.03636363636</v>
      </c>
      <c r="R90" s="8">
        <f>IFERROR(__xludf.DUMMYFUNCTION("""COMPUTED_VALUE"""),0.0)</f>
        <v>0</v>
      </c>
      <c r="S90" s="8">
        <f>IFERROR(__xludf.DUMMYFUNCTION("""COMPUTED_VALUE"""),0.0)</f>
        <v>0</v>
      </c>
      <c r="T90" s="8">
        <f>IFERROR(__xludf.DUMMYFUNCTION("""COMPUTED_VALUE"""),0.0)</f>
        <v>0</v>
      </c>
      <c r="U90" s="8">
        <f>IFERROR(__xludf.DUMMYFUNCTION("""COMPUTED_VALUE"""),0.0)</f>
        <v>0</v>
      </c>
      <c r="V90" s="8">
        <f>IFERROR(__xludf.DUMMYFUNCTION("""COMPUTED_VALUE"""),0.0)</f>
        <v>0</v>
      </c>
      <c r="W90" s="8">
        <f>IFERROR(__xludf.DUMMYFUNCTION("""COMPUTED_VALUE"""),0.0)</f>
        <v>0</v>
      </c>
      <c r="X90" s="8">
        <f>IFERROR(__xludf.DUMMYFUNCTION("""COMPUTED_VALUE"""),0.0)</f>
        <v>0</v>
      </c>
      <c r="Y90" s="8">
        <f>IFERROR(__xludf.DUMMYFUNCTION("""COMPUTED_VALUE"""),0.0)</f>
        <v>0</v>
      </c>
      <c r="Z90" s="8">
        <f>IFERROR(__xludf.DUMMYFUNCTION("""COMPUTED_VALUE"""),0.0)</f>
        <v>0</v>
      </c>
      <c r="AA90" s="8">
        <f>IFERROR(__xludf.DUMMYFUNCTION("""COMPUTED_VALUE"""),0.0)</f>
        <v>0</v>
      </c>
      <c r="AB90" s="8">
        <f>IFERROR(__xludf.DUMMYFUNCTION("""COMPUTED_VALUE"""),0.0)</f>
        <v>0</v>
      </c>
      <c r="AC90" s="8">
        <f>IFERROR(__xludf.DUMMYFUNCTION("""COMPUTED_VALUE"""),0.0)</f>
        <v>0</v>
      </c>
    </row>
    <row r="91" ht="15.75" customHeight="1">
      <c r="A91" s="6" t="str">
        <f>IFERROR(__xludf.DUMMYFUNCTION("""COMPUTED_VALUE"""),"4d887dec2a071a00150fdcd6417f16bcaf5f02b0")</f>
        <v>4d887dec2a071a00150fdcd6417f16bcaf5f02b0</v>
      </c>
      <c r="B91" s="6" t="str">
        <f>IFERROR(__xludf.DUMMYFUNCTION("""COMPUTED_VALUE"""),"Loving Nathaniel Hawthorne: The Billionaire Playboy")</f>
        <v>Loving Nathaniel Hawthorne: The Billionaire Playboy</v>
      </c>
      <c r="C91" s="6" t="str">
        <f>IFERROR(__xludf.DUMMYFUNCTION("""COMPUTED_VALUE"""),"Romance")</f>
        <v>Romance</v>
      </c>
      <c r="D91" s="11">
        <f>IFERROR(__xludf.DUMMYFUNCTION("""COMPUTED_VALUE"""),4925.0)</f>
        <v>4925</v>
      </c>
      <c r="E91" s="8">
        <f>IFERROR(__xludf.DUMMYFUNCTION("""COMPUTED_VALUE"""),0.841463414634146)</f>
        <v>0.8414634146</v>
      </c>
      <c r="F91" s="8">
        <f>IFERROR(__xludf.DUMMYFUNCTION("""COMPUTED_VALUE"""),0.381659211061407)</f>
        <v>0.3816592111</v>
      </c>
      <c r="G91" s="8">
        <f>IFERROR(__xludf.DUMMYFUNCTION("""COMPUTED_VALUE"""),0.34017893452623)</f>
        <v>0.3401789345</v>
      </c>
      <c r="H91" s="8">
        <f>IFERROR(__xludf.DUMMYFUNCTION("""COMPUTED_VALUE"""),0.323367907260524)</f>
        <v>0.3233679073</v>
      </c>
      <c r="I91" s="8">
        <f>IFERROR(__xludf.DUMMYFUNCTION("""COMPUTED_VALUE"""),0.301729399796541)</f>
        <v>0.3017293998</v>
      </c>
      <c r="J91" s="8">
        <f>IFERROR(__xludf.DUMMYFUNCTION("""COMPUTED_VALUE"""),0.293303480561774)</f>
        <v>0.2933034806</v>
      </c>
      <c r="K91" s="8">
        <f>IFERROR(__xludf.DUMMYFUNCTION("""COMPUTED_VALUE"""),0.282108691227356)</f>
        <v>0.2821086912</v>
      </c>
      <c r="L91" s="8">
        <f>IFERROR(__xludf.DUMMYFUNCTION("""COMPUTED_VALUE"""),0.27422638436482)</f>
        <v>0.2742263844</v>
      </c>
      <c r="M91" s="8">
        <f>IFERROR(__xludf.DUMMYFUNCTION("""COMPUTED_VALUE"""),0.269395235186316)</f>
        <v>0.2693952352</v>
      </c>
      <c r="N91" s="8">
        <f>IFERROR(__xludf.DUMMYFUNCTION("""COMPUTED_VALUE"""),0.264412303931554)</f>
        <v>0.2644123039</v>
      </c>
      <c r="O91" s="8">
        <f>IFERROR(__xludf.DUMMYFUNCTION("""COMPUTED_VALUE"""),0.250662859473791)</f>
        <v>0.2506628595</v>
      </c>
      <c r="P91" s="8">
        <f>IFERROR(__xludf.DUMMYFUNCTION("""COMPUTED_VALUE"""),0.189503777823157)</f>
        <v>0.1895037778</v>
      </c>
      <c r="Q91" s="8">
        <f>IFERROR(__xludf.DUMMYFUNCTION("""COMPUTED_VALUE"""),0.135962209899363)</f>
        <v>0.1359622099</v>
      </c>
      <c r="R91" s="8">
        <f>IFERROR(__xludf.DUMMYFUNCTION("""COMPUTED_VALUE"""),0.10863739435168)</f>
        <v>0.1086373944</v>
      </c>
      <c r="S91" s="8">
        <f>IFERROR(__xludf.DUMMYFUNCTION("""COMPUTED_VALUE"""),0.0957997103248499)</f>
        <v>0.09579971032</v>
      </c>
      <c r="T91" s="8">
        <f>IFERROR(__xludf.DUMMYFUNCTION("""COMPUTED_VALUE"""),0.0869022869022869)</f>
        <v>0.0869022869</v>
      </c>
      <c r="U91" s="8">
        <f>IFERROR(__xludf.DUMMYFUNCTION("""COMPUTED_VALUE"""),0.0789968652037617)</f>
        <v>0.0789968652</v>
      </c>
      <c r="V91" s="8">
        <f>IFERROR(__xludf.DUMMYFUNCTION("""COMPUTED_VALUE"""),0.0769230769230769)</f>
        <v>0.07692307692</v>
      </c>
      <c r="W91" s="8">
        <f>IFERROR(__xludf.DUMMYFUNCTION("""COMPUTED_VALUE"""),0.0730832873690016)</f>
        <v>0.07308328737</v>
      </c>
      <c r="X91" s="8">
        <f>IFERROR(__xludf.DUMMYFUNCTION("""COMPUTED_VALUE"""),0.0701418167880413)</f>
        <v>0.07014181679</v>
      </c>
      <c r="Y91" s="8">
        <f>IFERROR(__xludf.DUMMYFUNCTION("""COMPUTED_VALUE"""),0.0725346373268133)</f>
        <v>0.07253463733</v>
      </c>
      <c r="Z91" s="8">
        <f>IFERROR(__xludf.DUMMYFUNCTION("""COMPUTED_VALUE"""),0.0643274853801169)</f>
        <v>0.06432748538</v>
      </c>
      <c r="AA91" s="8">
        <f>IFERROR(__xludf.DUMMYFUNCTION("""COMPUTED_VALUE"""),0.0)</f>
        <v>0</v>
      </c>
      <c r="AB91" s="8">
        <f>IFERROR(__xludf.DUMMYFUNCTION("""COMPUTED_VALUE"""),0.0)</f>
        <v>0</v>
      </c>
      <c r="AC91" s="8">
        <f>IFERROR(__xludf.DUMMYFUNCTION("""COMPUTED_VALUE"""),0.0)</f>
        <v>0</v>
      </c>
    </row>
    <row r="92" ht="15.75" customHeight="1">
      <c r="A92" s="6" t="str">
        <f>IFERROR(__xludf.DUMMYFUNCTION("""COMPUTED_VALUE"""),"4e3bbfc86993cf8c574bdebca34a49627f4a386a")</f>
        <v>4e3bbfc86993cf8c574bdebca34a49627f4a386a</v>
      </c>
      <c r="B92" s="6" t="str">
        <f>IFERROR(__xludf.DUMMYFUNCTION("""COMPUTED_VALUE"""),"Our Beloved Villains ")</f>
        <v>Our Beloved Villains </v>
      </c>
      <c r="C92" s="6" t="str">
        <f>IFERROR(__xludf.DUMMYFUNCTION("""COMPUTED_VALUE"""),"Fantasy")</f>
        <v>Fantasy</v>
      </c>
      <c r="D92" s="11">
        <f>IFERROR(__xludf.DUMMYFUNCTION("""COMPUTED_VALUE"""),538.0)</f>
        <v>538</v>
      </c>
      <c r="E92" s="8">
        <f>IFERROR(__xludf.DUMMYFUNCTION("""COMPUTED_VALUE"""),0.960820895522388)</f>
        <v>0.9608208955</v>
      </c>
      <c r="F92" s="8">
        <f>IFERROR(__xludf.DUMMYFUNCTION("""COMPUTED_VALUE"""),0.451492537313432)</f>
        <v>0.4514925373</v>
      </c>
      <c r="G92" s="8">
        <f>IFERROR(__xludf.DUMMYFUNCTION("""COMPUTED_VALUE"""),0.375)</f>
        <v>0.375</v>
      </c>
      <c r="H92" s="8">
        <f>IFERROR(__xludf.DUMMYFUNCTION("""COMPUTED_VALUE"""),0.325842696629213)</f>
        <v>0.3258426966</v>
      </c>
      <c r="I92" s="8">
        <f>IFERROR(__xludf.DUMMYFUNCTION("""COMPUTED_VALUE"""),0.292682926829268)</f>
        <v>0.2926829268</v>
      </c>
      <c r="J92" s="8">
        <f>IFERROR(__xludf.DUMMYFUNCTION("""COMPUTED_VALUE"""),0.279245283018867)</f>
        <v>0.279245283</v>
      </c>
      <c r="K92" s="8">
        <f>IFERROR(__xludf.DUMMYFUNCTION("""COMPUTED_VALUE"""),0.258490566037735)</f>
        <v>0.258490566</v>
      </c>
      <c r="L92" s="8">
        <f>IFERROR(__xludf.DUMMYFUNCTION("""COMPUTED_VALUE"""),0.21590909090909)</f>
        <v>0.2159090909</v>
      </c>
      <c r="M92" s="8">
        <f>IFERROR(__xludf.DUMMYFUNCTION("""COMPUTED_VALUE"""),0.191650853889943)</f>
        <v>0.1916508539</v>
      </c>
      <c r="N92" s="8">
        <f>IFERROR(__xludf.DUMMYFUNCTION("""COMPUTED_VALUE"""),0.172675521821631)</f>
        <v>0.1726755218</v>
      </c>
      <c r="O92" s="8">
        <f>IFERROR(__xludf.DUMMYFUNCTION("""COMPUTED_VALUE"""),0.106986899563318)</f>
        <v>0.1069868996</v>
      </c>
      <c r="P92" s="8">
        <f>IFERROR(__xludf.DUMMYFUNCTION("""COMPUTED_VALUE"""),0.0788177339901477)</f>
        <v>0.07881773399</v>
      </c>
      <c r="Q92" s="8">
        <f>IFERROR(__xludf.DUMMYFUNCTION("""COMPUTED_VALUE"""),0.0412087912087912)</f>
        <v>0.04120879121</v>
      </c>
      <c r="R92" s="8">
        <f>IFERROR(__xludf.DUMMYFUNCTION("""COMPUTED_VALUE"""),0.0104166666666666)</f>
        <v>0.01041666667</v>
      </c>
      <c r="S92" s="8">
        <f>IFERROR(__xludf.DUMMYFUNCTION("""COMPUTED_VALUE"""),0.0)</f>
        <v>0</v>
      </c>
      <c r="T92" s="8">
        <f>IFERROR(__xludf.DUMMYFUNCTION("""COMPUTED_VALUE"""),0.0)</f>
        <v>0</v>
      </c>
      <c r="U92" s="8">
        <f>IFERROR(__xludf.DUMMYFUNCTION("""COMPUTED_VALUE"""),0.0)</f>
        <v>0</v>
      </c>
      <c r="V92" s="8">
        <f>IFERROR(__xludf.DUMMYFUNCTION("""COMPUTED_VALUE"""),0.0)</f>
        <v>0</v>
      </c>
      <c r="W92" s="8">
        <f>IFERROR(__xludf.DUMMYFUNCTION("""COMPUTED_VALUE"""),0.0)</f>
        <v>0</v>
      </c>
      <c r="X92" s="8">
        <f>IFERROR(__xludf.DUMMYFUNCTION("""COMPUTED_VALUE"""),0.0)</f>
        <v>0</v>
      </c>
      <c r="Y92" s="8">
        <f>IFERROR(__xludf.DUMMYFUNCTION("""COMPUTED_VALUE"""),0.0)</f>
        <v>0</v>
      </c>
      <c r="Z92" s="8">
        <f>IFERROR(__xludf.DUMMYFUNCTION("""COMPUTED_VALUE"""),0.0)</f>
        <v>0</v>
      </c>
      <c r="AA92" s="8">
        <f>IFERROR(__xludf.DUMMYFUNCTION("""COMPUTED_VALUE"""),0.0)</f>
        <v>0</v>
      </c>
      <c r="AB92" s="8">
        <f>IFERROR(__xludf.DUMMYFUNCTION("""COMPUTED_VALUE"""),0.0)</f>
        <v>0</v>
      </c>
      <c r="AC92" s="8">
        <f>IFERROR(__xludf.DUMMYFUNCTION("""COMPUTED_VALUE"""),0.0)</f>
        <v>0</v>
      </c>
    </row>
    <row r="93" ht="15.75" customHeight="1">
      <c r="A93" s="6" t="str">
        <f>IFERROR(__xludf.DUMMYFUNCTION("""COMPUTED_VALUE"""),"4e767fe3eae1eb30991fabcb73be16e9925ab124")</f>
        <v>4e767fe3eae1eb30991fabcb73be16e9925ab124</v>
      </c>
      <c r="B93" s="6" t="str">
        <f>IFERROR(__xludf.DUMMYFUNCTION("""COMPUTED_VALUE"""),"The Ill-Fated Aristocrat")</f>
        <v>The Ill-Fated Aristocrat</v>
      </c>
      <c r="C93" s="6" t="str">
        <f>IFERROR(__xludf.DUMMYFUNCTION("""COMPUTED_VALUE"""),"Romance")</f>
        <v>Romance</v>
      </c>
      <c r="D93" s="11">
        <f>IFERROR(__xludf.DUMMYFUNCTION("""COMPUTED_VALUE"""),407.0)</f>
        <v>407</v>
      </c>
      <c r="E93" s="8">
        <f>IFERROR(__xludf.DUMMYFUNCTION("""COMPUTED_VALUE"""),0.965601965601965)</f>
        <v>0.9656019656</v>
      </c>
      <c r="F93" s="8">
        <f>IFERROR(__xludf.DUMMYFUNCTION("""COMPUTED_VALUE"""),0.341584158415841)</f>
        <v>0.3415841584</v>
      </c>
      <c r="G93" s="8">
        <f>IFERROR(__xludf.DUMMYFUNCTION("""COMPUTED_VALUE"""),0.289603960396039)</f>
        <v>0.2896039604</v>
      </c>
      <c r="H93" s="8">
        <f>IFERROR(__xludf.DUMMYFUNCTION("""COMPUTED_VALUE"""),0.258064516129032)</f>
        <v>0.2580645161</v>
      </c>
      <c r="I93" s="8">
        <f>IFERROR(__xludf.DUMMYFUNCTION("""COMPUTED_VALUE"""),0.228070175438596)</f>
        <v>0.2280701754</v>
      </c>
      <c r="J93" s="8">
        <f>IFERROR(__xludf.DUMMYFUNCTION("""COMPUTED_VALUE"""),0.213032581453634)</f>
        <v>0.2130325815</v>
      </c>
      <c r="K93" s="8">
        <f>IFERROR(__xludf.DUMMYFUNCTION("""COMPUTED_VALUE"""),0.213032581453634)</f>
        <v>0.2130325815</v>
      </c>
      <c r="L93" s="8">
        <f>IFERROR(__xludf.DUMMYFUNCTION("""COMPUTED_VALUE"""),0.193467336683417)</f>
        <v>0.1934673367</v>
      </c>
      <c r="M93" s="8">
        <f>IFERROR(__xludf.DUMMYFUNCTION("""COMPUTED_VALUE"""),0.185929648241206)</f>
        <v>0.1859296482</v>
      </c>
      <c r="N93" s="8">
        <f>IFERROR(__xludf.DUMMYFUNCTION("""COMPUTED_VALUE"""),0.170854271356783)</f>
        <v>0.1708542714</v>
      </c>
      <c r="O93" s="8">
        <f>IFERROR(__xludf.DUMMYFUNCTION("""COMPUTED_VALUE"""),0.164556962025316)</f>
        <v>0.164556962</v>
      </c>
      <c r="P93" s="8">
        <f>IFERROR(__xludf.DUMMYFUNCTION("""COMPUTED_VALUE"""),0.118863049095607)</f>
        <v>0.1188630491</v>
      </c>
      <c r="Q93" s="8">
        <f>IFERROR(__xludf.DUMMYFUNCTION("""COMPUTED_VALUE"""),0.111111111111111)</f>
        <v>0.1111111111</v>
      </c>
      <c r="R93" s="8">
        <f>IFERROR(__xludf.DUMMYFUNCTION("""COMPUTED_VALUE"""),0.0683760683760683)</f>
        <v>0.06837606838</v>
      </c>
      <c r="S93" s="8">
        <f>IFERROR(__xludf.DUMMYFUNCTION("""COMPUTED_VALUE"""),0.125)</f>
        <v>0.125</v>
      </c>
      <c r="T93" s="8">
        <f>IFERROR(__xludf.DUMMYFUNCTION("""COMPUTED_VALUE"""),0.0)</f>
        <v>0</v>
      </c>
      <c r="U93" s="8">
        <f>IFERROR(__xludf.DUMMYFUNCTION("""COMPUTED_VALUE"""),0.0)</f>
        <v>0</v>
      </c>
      <c r="V93" s="8">
        <f>IFERROR(__xludf.DUMMYFUNCTION("""COMPUTED_VALUE"""),0.0)</f>
        <v>0</v>
      </c>
      <c r="W93" s="8">
        <f>IFERROR(__xludf.DUMMYFUNCTION("""COMPUTED_VALUE"""),0.0)</f>
        <v>0</v>
      </c>
      <c r="X93" s="8">
        <f>IFERROR(__xludf.DUMMYFUNCTION("""COMPUTED_VALUE"""),0.0)</f>
        <v>0</v>
      </c>
      <c r="Y93" s="8">
        <f>IFERROR(__xludf.DUMMYFUNCTION("""COMPUTED_VALUE"""),0.0)</f>
        <v>0</v>
      </c>
      <c r="Z93" s="8">
        <f>IFERROR(__xludf.DUMMYFUNCTION("""COMPUTED_VALUE"""),0.0)</f>
        <v>0</v>
      </c>
      <c r="AA93" s="8">
        <f>IFERROR(__xludf.DUMMYFUNCTION("""COMPUTED_VALUE"""),0.0)</f>
        <v>0</v>
      </c>
      <c r="AB93" s="8">
        <f>IFERROR(__xludf.DUMMYFUNCTION("""COMPUTED_VALUE"""),0.0)</f>
        <v>0</v>
      </c>
      <c r="AC93" s="8">
        <f>IFERROR(__xludf.DUMMYFUNCTION("""COMPUTED_VALUE"""),0.0)</f>
        <v>0</v>
      </c>
    </row>
    <row r="94" ht="15.75" customHeight="1">
      <c r="A94" s="6" t="str">
        <f>IFERROR(__xludf.DUMMYFUNCTION("""COMPUTED_VALUE"""),"4e82e5be987e78daa5bb2bb67006b68256170925")</f>
        <v>4e82e5be987e78daa5bb2bb67006b68256170925</v>
      </c>
      <c r="B94" s="6" t="str">
        <f>IFERROR(__xludf.DUMMYFUNCTION("""COMPUTED_VALUE"""),"Machine Invasion")</f>
        <v>Machine Invasion</v>
      </c>
      <c r="C94" s="6" t="str">
        <f>IFERROR(__xludf.DUMMYFUNCTION("""COMPUTED_VALUE"""),"System and Superpower")</f>
        <v>System and Superpower</v>
      </c>
      <c r="D94" s="11">
        <f>IFERROR(__xludf.DUMMYFUNCTION("""COMPUTED_VALUE"""),2935.0)</f>
        <v>2935</v>
      </c>
      <c r="E94" s="8">
        <f>IFERROR(__xludf.DUMMYFUNCTION("""COMPUTED_VALUE"""),0.954312990112512)</f>
        <v>0.9543129901</v>
      </c>
      <c r="F94" s="8">
        <f>IFERROR(__xludf.DUMMYFUNCTION("""COMPUTED_VALUE"""),0.581681476418318)</f>
        <v>0.5816814764</v>
      </c>
      <c r="G94" s="8">
        <f>IFERROR(__xludf.DUMMYFUNCTION("""COMPUTED_VALUE"""),0.534063676823005)</f>
        <v>0.5340636768</v>
      </c>
      <c r="H94" s="8">
        <f>IFERROR(__xludf.DUMMYFUNCTION("""COMPUTED_VALUE"""),0.495890410958904)</f>
        <v>0.495890411</v>
      </c>
      <c r="I94" s="8">
        <f>IFERROR(__xludf.DUMMYFUNCTION("""COMPUTED_VALUE"""),0.476664378860672)</f>
        <v>0.4766643789</v>
      </c>
      <c r="J94" s="8">
        <f>IFERROR(__xludf.DUMMYFUNCTION("""COMPUTED_VALUE"""),0.450704225352112)</f>
        <v>0.4507042254</v>
      </c>
      <c r="K94" s="8">
        <f>IFERROR(__xludf.DUMMYFUNCTION("""COMPUTED_VALUE"""),0.437133999311057)</f>
        <v>0.4371339993</v>
      </c>
      <c r="L94" s="8">
        <f>IFERROR(__xludf.DUMMYFUNCTION("""COMPUTED_VALUE"""),0.408635578583765)</f>
        <v>0.4086355786</v>
      </c>
      <c r="M94" s="8">
        <f>IFERROR(__xludf.DUMMYFUNCTION("""COMPUTED_VALUE"""),0.402912621359223)</f>
        <v>0.4029126214</v>
      </c>
      <c r="N94" s="8">
        <f>IFERROR(__xludf.DUMMYFUNCTION("""COMPUTED_VALUE"""),0.394371091035441)</f>
        <v>0.394371091</v>
      </c>
      <c r="O94" s="8">
        <f>IFERROR(__xludf.DUMMYFUNCTION("""COMPUTED_VALUE"""),0.357672349888806)</f>
        <v>0.3576723499</v>
      </c>
      <c r="P94" s="8">
        <f>IFERROR(__xludf.DUMMYFUNCTION("""COMPUTED_VALUE"""),0.282131661442006)</f>
        <v>0.2821316614</v>
      </c>
      <c r="Q94" s="8">
        <f>IFERROR(__xludf.DUMMYFUNCTION("""COMPUTED_VALUE"""),0.234762979683972)</f>
        <v>0.2347629797</v>
      </c>
      <c r="R94" s="8">
        <f>IFERROR(__xludf.DUMMYFUNCTION("""COMPUTED_VALUE"""),0.0)</f>
        <v>0</v>
      </c>
      <c r="S94" s="8">
        <f>IFERROR(__xludf.DUMMYFUNCTION("""COMPUTED_VALUE"""),0.0)</f>
        <v>0</v>
      </c>
      <c r="T94" s="8">
        <f>IFERROR(__xludf.DUMMYFUNCTION("""COMPUTED_VALUE"""),0.0)</f>
        <v>0</v>
      </c>
      <c r="U94" s="8">
        <f>IFERROR(__xludf.DUMMYFUNCTION("""COMPUTED_VALUE"""),0.0)</f>
        <v>0</v>
      </c>
      <c r="V94" s="8">
        <f>IFERROR(__xludf.DUMMYFUNCTION("""COMPUTED_VALUE"""),0.0)</f>
        <v>0</v>
      </c>
      <c r="W94" s="8">
        <f>IFERROR(__xludf.DUMMYFUNCTION("""COMPUTED_VALUE"""),0.0)</f>
        <v>0</v>
      </c>
      <c r="X94" s="8">
        <f>IFERROR(__xludf.DUMMYFUNCTION("""COMPUTED_VALUE"""),0.0)</f>
        <v>0</v>
      </c>
      <c r="Y94" s="8">
        <f>IFERROR(__xludf.DUMMYFUNCTION("""COMPUTED_VALUE"""),0.0)</f>
        <v>0</v>
      </c>
      <c r="Z94" s="8">
        <f>IFERROR(__xludf.DUMMYFUNCTION("""COMPUTED_VALUE"""),0.0)</f>
        <v>0</v>
      </c>
      <c r="AA94" s="8">
        <f>IFERROR(__xludf.DUMMYFUNCTION("""COMPUTED_VALUE"""),0.0)</f>
        <v>0</v>
      </c>
      <c r="AB94" s="8">
        <f>IFERROR(__xludf.DUMMYFUNCTION("""COMPUTED_VALUE"""),0.0)</f>
        <v>0</v>
      </c>
      <c r="AC94" s="8">
        <f>IFERROR(__xludf.DUMMYFUNCTION("""COMPUTED_VALUE"""),0.0)</f>
        <v>0</v>
      </c>
    </row>
    <row r="95" ht="15.75" customHeight="1">
      <c r="A95" s="6" t="str">
        <f>IFERROR(__xludf.DUMMYFUNCTION("""COMPUTED_VALUE"""),"4e8fc1ec90ca0e70f873bdd45aea984fc56b5c89")</f>
        <v>4e8fc1ec90ca0e70f873bdd45aea984fc56b5c89</v>
      </c>
      <c r="B95" s="6" t="str">
        <f>IFERROR(__xludf.DUMMYFUNCTION("""COMPUTED_VALUE"""),"When Strangers Say I Do")</f>
        <v>When Strangers Say I Do</v>
      </c>
      <c r="C95" s="6" t="str">
        <f>IFERROR(__xludf.DUMMYFUNCTION("""COMPUTED_VALUE"""),"Drama")</f>
        <v>Drama</v>
      </c>
      <c r="D95" s="11">
        <f>IFERROR(__xludf.DUMMYFUNCTION("""COMPUTED_VALUE"""),364.0)</f>
        <v>364</v>
      </c>
      <c r="E95" s="8">
        <f>IFERROR(__xludf.DUMMYFUNCTION("""COMPUTED_VALUE"""),0.983333333333333)</f>
        <v>0.9833333333</v>
      </c>
      <c r="F95" s="8">
        <f>IFERROR(__xludf.DUMMYFUNCTION("""COMPUTED_VALUE"""),0.461971830985915)</f>
        <v>0.461971831</v>
      </c>
      <c r="G95" s="8">
        <f>IFERROR(__xludf.DUMMYFUNCTION("""COMPUTED_VALUE"""),0.367231638418079)</f>
        <v>0.3672316384</v>
      </c>
      <c r="H95" s="8">
        <f>IFERROR(__xludf.DUMMYFUNCTION("""COMPUTED_VALUE"""),0.275862068965517)</f>
        <v>0.275862069</v>
      </c>
      <c r="I95" s="8">
        <f>IFERROR(__xludf.DUMMYFUNCTION("""COMPUTED_VALUE"""),0.236994219653179)</f>
        <v>0.2369942197</v>
      </c>
      <c r="J95" s="8">
        <f>IFERROR(__xludf.DUMMYFUNCTION("""COMPUTED_VALUE"""),0.204678362573099)</f>
        <v>0.2046783626</v>
      </c>
      <c r="K95" s="8">
        <f>IFERROR(__xludf.DUMMYFUNCTION("""COMPUTED_VALUE"""),0.187683284457478)</f>
        <v>0.1876832845</v>
      </c>
      <c r="L95" s="8">
        <f>IFERROR(__xludf.DUMMYFUNCTION("""COMPUTED_VALUE"""),0.175074183976261)</f>
        <v>0.175074184</v>
      </c>
      <c r="M95" s="8">
        <f>IFERROR(__xludf.DUMMYFUNCTION("""COMPUTED_VALUE"""),0.165165165165165)</f>
        <v>0.1651651652</v>
      </c>
      <c r="N95" s="8">
        <f>IFERROR(__xludf.DUMMYFUNCTION("""COMPUTED_VALUE"""),0.144615384615384)</f>
        <v>0.1446153846</v>
      </c>
      <c r="O95" s="8">
        <f>IFERROR(__xludf.DUMMYFUNCTION("""COMPUTED_VALUE"""),0.113636363636363)</f>
        <v>0.1136363636</v>
      </c>
      <c r="P95" s="8">
        <f>IFERROR(__xludf.DUMMYFUNCTION("""COMPUTED_VALUE"""),0.0338983050847457)</f>
        <v>0.03389830508</v>
      </c>
      <c r="Q95" s="8">
        <f>IFERROR(__xludf.DUMMYFUNCTION("""COMPUTED_VALUE"""),0.031578947368421)</f>
        <v>0.03157894737</v>
      </c>
      <c r="R95" s="8">
        <f>IFERROR(__xludf.DUMMYFUNCTION("""COMPUTED_VALUE"""),0.0)</f>
        <v>0</v>
      </c>
      <c r="S95" s="8">
        <f>IFERROR(__xludf.DUMMYFUNCTION("""COMPUTED_VALUE"""),0.0)</f>
        <v>0</v>
      </c>
      <c r="T95" s="8">
        <f>IFERROR(__xludf.DUMMYFUNCTION("""COMPUTED_VALUE"""),0.0)</f>
        <v>0</v>
      </c>
      <c r="U95" s="8">
        <f>IFERROR(__xludf.DUMMYFUNCTION("""COMPUTED_VALUE"""),0.0)</f>
        <v>0</v>
      </c>
      <c r="V95" s="8">
        <f>IFERROR(__xludf.DUMMYFUNCTION("""COMPUTED_VALUE"""),0.0)</f>
        <v>0</v>
      </c>
      <c r="W95" s="8">
        <f>IFERROR(__xludf.DUMMYFUNCTION("""COMPUTED_VALUE"""),0.0)</f>
        <v>0</v>
      </c>
      <c r="X95" s="8">
        <f>IFERROR(__xludf.DUMMYFUNCTION("""COMPUTED_VALUE"""),0.0)</f>
        <v>0</v>
      </c>
      <c r="Y95" s="8">
        <f>IFERROR(__xludf.DUMMYFUNCTION("""COMPUTED_VALUE"""),0.0)</f>
        <v>0</v>
      </c>
      <c r="Z95" s="8">
        <f>IFERROR(__xludf.DUMMYFUNCTION("""COMPUTED_VALUE"""),0.0)</f>
        <v>0</v>
      </c>
      <c r="AA95" s="8">
        <f>IFERROR(__xludf.DUMMYFUNCTION("""COMPUTED_VALUE"""),0.0)</f>
        <v>0</v>
      </c>
      <c r="AB95" s="8">
        <f>IFERROR(__xludf.DUMMYFUNCTION("""COMPUTED_VALUE"""),0.0)</f>
        <v>0</v>
      </c>
      <c r="AC95" s="8">
        <f>IFERROR(__xludf.DUMMYFUNCTION("""COMPUTED_VALUE"""),0.0)</f>
        <v>0</v>
      </c>
    </row>
    <row r="96" ht="15.75" customHeight="1">
      <c r="A96" s="6" t="str">
        <f>IFERROR(__xludf.DUMMYFUNCTION("""COMPUTED_VALUE"""),"4ef829b74ddfb2f550d1c5ceb22a6d68f5936dff")</f>
        <v>4ef829b74ddfb2f550d1c5ceb22a6d68f5936dff</v>
      </c>
      <c r="B96" s="6" t="str">
        <f>IFERROR(__xludf.DUMMYFUNCTION("""COMPUTED_VALUE"""),"The Mad Alpha’s True Luna")</f>
        <v>The Mad Alpha’s True Luna</v>
      </c>
      <c r="C96" s="6" t="str">
        <f>IFERROR(__xludf.DUMMYFUNCTION("""COMPUTED_VALUE"""),"Romantasy")</f>
        <v>Romantasy</v>
      </c>
      <c r="D96" s="11">
        <f>IFERROR(__xludf.DUMMYFUNCTION("""COMPUTED_VALUE"""),139.0)</f>
        <v>139</v>
      </c>
      <c r="E96" s="8">
        <f>IFERROR(__xludf.DUMMYFUNCTION("""COMPUTED_VALUE"""),0.985507246376811)</f>
        <v>0.9855072464</v>
      </c>
      <c r="F96" s="8">
        <f>IFERROR(__xludf.DUMMYFUNCTION("""COMPUTED_VALUE"""),0.688)</f>
        <v>0.688</v>
      </c>
      <c r="G96" s="8">
        <f>IFERROR(__xludf.DUMMYFUNCTION("""COMPUTED_VALUE"""),0.528301886792452)</f>
        <v>0.5283018868</v>
      </c>
      <c r="H96" s="8">
        <f>IFERROR(__xludf.DUMMYFUNCTION("""COMPUTED_VALUE"""),0.484536082474226)</f>
        <v>0.4845360825</v>
      </c>
      <c r="I96" s="8">
        <f>IFERROR(__xludf.DUMMYFUNCTION("""COMPUTED_VALUE"""),0.476744186046511)</f>
        <v>0.476744186</v>
      </c>
      <c r="J96" s="8">
        <f>IFERROR(__xludf.DUMMYFUNCTION("""COMPUTED_VALUE"""),0.4375)</f>
        <v>0.4375</v>
      </c>
      <c r="K96" s="8">
        <f>IFERROR(__xludf.DUMMYFUNCTION("""COMPUTED_VALUE"""),0.419354838709677)</f>
        <v>0.4193548387</v>
      </c>
      <c r="L96" s="8">
        <f>IFERROR(__xludf.DUMMYFUNCTION("""COMPUTED_VALUE"""),0.377049180327868)</f>
        <v>0.3770491803</v>
      </c>
      <c r="M96" s="8">
        <f>IFERROR(__xludf.DUMMYFUNCTION("""COMPUTED_VALUE"""),0.377049180327868)</f>
        <v>0.3770491803</v>
      </c>
      <c r="N96" s="8">
        <f>IFERROR(__xludf.DUMMYFUNCTION("""COMPUTED_VALUE"""),0.360655737704918)</f>
        <v>0.3606557377</v>
      </c>
      <c r="O96" s="8">
        <f>IFERROR(__xludf.DUMMYFUNCTION("""COMPUTED_VALUE"""),0.27906976744186)</f>
        <v>0.2790697674</v>
      </c>
      <c r="P96" s="8">
        <f>IFERROR(__xludf.DUMMYFUNCTION("""COMPUTED_VALUE"""),0.133333333333333)</f>
        <v>0.1333333333</v>
      </c>
      <c r="Q96" s="8">
        <f>IFERROR(__xludf.DUMMYFUNCTION("""COMPUTED_VALUE"""),0.0)</f>
        <v>0</v>
      </c>
      <c r="R96" s="8">
        <f>IFERROR(__xludf.DUMMYFUNCTION("""COMPUTED_VALUE"""),0.0)</f>
        <v>0</v>
      </c>
      <c r="S96" s="8">
        <f>IFERROR(__xludf.DUMMYFUNCTION("""COMPUTED_VALUE"""),0.0)</f>
        <v>0</v>
      </c>
      <c r="T96" s="8">
        <f>IFERROR(__xludf.DUMMYFUNCTION("""COMPUTED_VALUE"""),0.0)</f>
        <v>0</v>
      </c>
      <c r="U96" s="8">
        <f>IFERROR(__xludf.DUMMYFUNCTION("""COMPUTED_VALUE"""),0.0)</f>
        <v>0</v>
      </c>
      <c r="V96" s="8">
        <f>IFERROR(__xludf.DUMMYFUNCTION("""COMPUTED_VALUE"""),0.0)</f>
        <v>0</v>
      </c>
      <c r="W96" s="8">
        <f>IFERROR(__xludf.DUMMYFUNCTION("""COMPUTED_VALUE"""),0.0)</f>
        <v>0</v>
      </c>
      <c r="X96" s="8">
        <f>IFERROR(__xludf.DUMMYFUNCTION("""COMPUTED_VALUE"""),0.0)</f>
        <v>0</v>
      </c>
      <c r="Y96" s="8">
        <f>IFERROR(__xludf.DUMMYFUNCTION("""COMPUTED_VALUE"""),0.0)</f>
        <v>0</v>
      </c>
      <c r="Z96" s="8">
        <f>IFERROR(__xludf.DUMMYFUNCTION("""COMPUTED_VALUE"""),0.0)</f>
        <v>0</v>
      </c>
      <c r="AA96" s="8">
        <f>IFERROR(__xludf.DUMMYFUNCTION("""COMPUTED_VALUE"""),0.0)</f>
        <v>0</v>
      </c>
      <c r="AB96" s="8">
        <f>IFERROR(__xludf.DUMMYFUNCTION("""COMPUTED_VALUE"""),0.0)</f>
        <v>0</v>
      </c>
      <c r="AC96" s="8">
        <f>IFERROR(__xludf.DUMMYFUNCTION("""COMPUTED_VALUE"""),0.0)</f>
        <v>0</v>
      </c>
    </row>
    <row r="97" ht="15.75" customHeight="1">
      <c r="A97" s="6" t="str">
        <f>IFERROR(__xludf.DUMMYFUNCTION("""COMPUTED_VALUE"""),"4fed71af64877bcaf79252f171bf022a3b80e926")</f>
        <v>4fed71af64877bcaf79252f171bf022a3b80e926</v>
      </c>
      <c r="B97" s="6" t="str">
        <f>IFERROR(__xludf.DUMMYFUNCTION("""COMPUTED_VALUE"""),"Doomsday Hoarder")</f>
        <v>Doomsday Hoarder</v>
      </c>
      <c r="C97" s="6" t="str">
        <f>IFERROR(__xludf.DUMMYFUNCTION("""COMPUTED_VALUE"""),"Fantasy")</f>
        <v>Fantasy</v>
      </c>
      <c r="D97" s="11">
        <f>IFERROR(__xludf.DUMMYFUNCTION("""COMPUTED_VALUE"""),108.0)</f>
        <v>108</v>
      </c>
      <c r="E97" s="8">
        <f>IFERROR(__xludf.DUMMYFUNCTION("""COMPUTED_VALUE"""),0.981481481481481)</f>
        <v>0.9814814815</v>
      </c>
      <c r="F97" s="8">
        <f>IFERROR(__xludf.DUMMYFUNCTION("""COMPUTED_VALUE"""),0.629629629629629)</f>
        <v>0.6296296296</v>
      </c>
      <c r="G97" s="8">
        <f>IFERROR(__xludf.DUMMYFUNCTION("""COMPUTED_VALUE"""),0.62037037037037)</f>
        <v>0.6203703704</v>
      </c>
      <c r="H97" s="8">
        <f>IFERROR(__xludf.DUMMYFUNCTION("""COMPUTED_VALUE"""),0.601851851851851)</f>
        <v>0.6018518519</v>
      </c>
      <c r="I97" s="8">
        <f>IFERROR(__xludf.DUMMYFUNCTION("""COMPUTED_VALUE"""),0.601851851851851)</f>
        <v>0.6018518519</v>
      </c>
      <c r="J97" s="8">
        <f>IFERROR(__xludf.DUMMYFUNCTION("""COMPUTED_VALUE"""),0.601851851851851)</f>
        <v>0.6018518519</v>
      </c>
      <c r="K97" s="8">
        <f>IFERROR(__xludf.DUMMYFUNCTION("""COMPUTED_VALUE"""),0.601851851851851)</f>
        <v>0.6018518519</v>
      </c>
      <c r="L97" s="8">
        <f>IFERROR(__xludf.DUMMYFUNCTION("""COMPUTED_VALUE"""),0.574074074074074)</f>
        <v>0.5740740741</v>
      </c>
      <c r="M97" s="8">
        <f>IFERROR(__xludf.DUMMYFUNCTION("""COMPUTED_VALUE"""),0.537037037037037)</f>
        <v>0.537037037</v>
      </c>
      <c r="N97" s="8">
        <f>IFERROR(__xludf.DUMMYFUNCTION("""COMPUTED_VALUE"""),0.527777777777777)</f>
        <v>0.5277777778</v>
      </c>
      <c r="O97" s="8">
        <f>IFERROR(__xludf.DUMMYFUNCTION("""COMPUTED_VALUE"""),0.396039603960396)</f>
        <v>0.396039604</v>
      </c>
      <c r="P97" s="8">
        <f>IFERROR(__xludf.DUMMYFUNCTION("""COMPUTED_VALUE"""),0.326530612244897)</f>
        <v>0.3265306122</v>
      </c>
      <c r="Q97" s="8">
        <f>IFERROR(__xludf.DUMMYFUNCTION("""COMPUTED_VALUE"""),0.193548387096774)</f>
        <v>0.1935483871</v>
      </c>
      <c r="R97" s="8">
        <f>IFERROR(__xludf.DUMMYFUNCTION("""COMPUTED_VALUE"""),0.0)</f>
        <v>0</v>
      </c>
      <c r="S97" s="8">
        <f>IFERROR(__xludf.DUMMYFUNCTION("""COMPUTED_VALUE"""),0.0)</f>
        <v>0</v>
      </c>
      <c r="T97" s="8">
        <f>IFERROR(__xludf.DUMMYFUNCTION("""COMPUTED_VALUE"""),0.0)</f>
        <v>0</v>
      </c>
      <c r="U97" s="8">
        <f>IFERROR(__xludf.DUMMYFUNCTION("""COMPUTED_VALUE"""),0.0)</f>
        <v>0</v>
      </c>
      <c r="V97" s="8">
        <f>IFERROR(__xludf.DUMMYFUNCTION("""COMPUTED_VALUE"""),0.0)</f>
        <v>0</v>
      </c>
      <c r="W97" s="8">
        <f>IFERROR(__xludf.DUMMYFUNCTION("""COMPUTED_VALUE"""),0.0)</f>
        <v>0</v>
      </c>
      <c r="X97" s="8">
        <f>IFERROR(__xludf.DUMMYFUNCTION("""COMPUTED_VALUE"""),0.0)</f>
        <v>0</v>
      </c>
      <c r="Y97" s="8">
        <f>IFERROR(__xludf.DUMMYFUNCTION("""COMPUTED_VALUE"""),0.0)</f>
        <v>0</v>
      </c>
      <c r="Z97" s="8">
        <f>IFERROR(__xludf.DUMMYFUNCTION("""COMPUTED_VALUE"""),0.0)</f>
        <v>0</v>
      </c>
      <c r="AA97" s="8">
        <f>IFERROR(__xludf.DUMMYFUNCTION("""COMPUTED_VALUE"""),0.0)</f>
        <v>0</v>
      </c>
      <c r="AB97" s="8">
        <f>IFERROR(__xludf.DUMMYFUNCTION("""COMPUTED_VALUE"""),0.0)</f>
        <v>0</v>
      </c>
      <c r="AC97" s="8">
        <f>IFERROR(__xludf.DUMMYFUNCTION("""COMPUTED_VALUE"""),0.0)</f>
        <v>0</v>
      </c>
    </row>
    <row r="98" ht="15.75" customHeight="1">
      <c r="A98" s="6" t="str">
        <f>IFERROR(__xludf.DUMMYFUNCTION("""COMPUTED_VALUE"""),"514efd834428337923e640a1254ea9d7477b18b3")</f>
        <v>514efd834428337923e640a1254ea9d7477b18b3</v>
      </c>
      <c r="B98" s="6" t="str">
        <f>IFERROR(__xludf.DUMMYFUNCTION("""COMPUTED_VALUE"""),"Bride of a Dragon")</f>
        <v>Bride of a Dragon</v>
      </c>
      <c r="C98" s="6" t="str">
        <f>IFERROR(__xludf.DUMMYFUNCTION("""COMPUTED_VALUE"""),"Romantasy")</f>
        <v>Romantasy</v>
      </c>
      <c r="D98" s="11">
        <f>IFERROR(__xludf.DUMMYFUNCTION("""COMPUTED_VALUE"""),1348.0)</f>
        <v>1348</v>
      </c>
      <c r="E98" s="8">
        <f>IFERROR(__xludf.DUMMYFUNCTION("""COMPUTED_VALUE"""),0.933940774487471)</f>
        <v>0.9339407745</v>
      </c>
      <c r="F98" s="8">
        <f>IFERROR(__xludf.DUMMYFUNCTION("""COMPUTED_VALUE"""),0.431297709923664)</f>
        <v>0.4312977099</v>
      </c>
      <c r="G98" s="8">
        <f>IFERROR(__xludf.DUMMYFUNCTION("""COMPUTED_VALUE"""),0.394797245600612)</f>
        <v>0.3947972456</v>
      </c>
      <c r="H98" s="8">
        <f>IFERROR(__xludf.DUMMYFUNCTION("""COMPUTED_VALUE"""),0.346360153256705)</f>
        <v>0.3463601533</v>
      </c>
      <c r="I98" s="8">
        <f>IFERROR(__xludf.DUMMYFUNCTION("""COMPUTED_VALUE"""),0.33487297921478)</f>
        <v>0.3348729792</v>
      </c>
      <c r="J98" s="8">
        <f>IFERROR(__xludf.DUMMYFUNCTION("""COMPUTED_VALUE"""),0.304179566563467)</f>
        <v>0.3041795666</v>
      </c>
      <c r="K98" s="8">
        <f>IFERROR(__xludf.DUMMYFUNCTION("""COMPUTED_VALUE"""),0.296037296037296)</f>
        <v>0.296037296</v>
      </c>
      <c r="L98" s="8">
        <f>IFERROR(__xludf.DUMMYFUNCTION("""COMPUTED_VALUE"""),0.280592361652377)</f>
        <v>0.2805923617</v>
      </c>
      <c r="M98" s="8">
        <f>IFERROR(__xludf.DUMMYFUNCTION("""COMPUTED_VALUE"""),0.2703125)</f>
        <v>0.2703125</v>
      </c>
      <c r="N98" s="8">
        <f>IFERROR(__xludf.DUMMYFUNCTION("""COMPUTED_VALUE"""),0.268081761006289)</f>
        <v>0.268081761</v>
      </c>
      <c r="O98" s="8">
        <f>IFERROR(__xludf.DUMMYFUNCTION("""COMPUTED_VALUE"""),0.229838709677419)</f>
        <v>0.2298387097</v>
      </c>
      <c r="P98" s="8">
        <f>IFERROR(__xludf.DUMMYFUNCTION("""COMPUTED_VALUE"""),0.209383145091225)</f>
        <v>0.2093831451</v>
      </c>
      <c r="Q98" s="8">
        <f>IFERROR(__xludf.DUMMYFUNCTION("""COMPUTED_VALUE"""),0.18573046432616)</f>
        <v>0.1857304643</v>
      </c>
      <c r="R98" s="8">
        <f>IFERROR(__xludf.DUMMYFUNCTION("""COMPUTED_VALUE"""),0.15505617977528)</f>
        <v>0.1550561798</v>
      </c>
      <c r="S98" s="8">
        <f>IFERROR(__xludf.DUMMYFUNCTION("""COMPUTED_VALUE"""),0.121134020618556)</f>
        <v>0.1211340206</v>
      </c>
      <c r="T98" s="8">
        <f>IFERROR(__xludf.DUMMYFUNCTION("""COMPUTED_VALUE"""),0.113207547169811)</f>
        <v>0.1132075472</v>
      </c>
      <c r="U98" s="8">
        <f>IFERROR(__xludf.DUMMYFUNCTION("""COMPUTED_VALUE"""),0.0)</f>
        <v>0</v>
      </c>
      <c r="V98" s="8">
        <f>IFERROR(__xludf.DUMMYFUNCTION("""COMPUTED_VALUE"""),0.0)</f>
        <v>0</v>
      </c>
      <c r="W98" s="8">
        <f>IFERROR(__xludf.DUMMYFUNCTION("""COMPUTED_VALUE"""),0.0)</f>
        <v>0</v>
      </c>
      <c r="X98" s="8">
        <f>IFERROR(__xludf.DUMMYFUNCTION("""COMPUTED_VALUE"""),0.0)</f>
        <v>0</v>
      </c>
      <c r="Y98" s="8">
        <f>IFERROR(__xludf.DUMMYFUNCTION("""COMPUTED_VALUE"""),0.0)</f>
        <v>0</v>
      </c>
      <c r="Z98" s="8">
        <f>IFERROR(__xludf.DUMMYFUNCTION("""COMPUTED_VALUE"""),0.0)</f>
        <v>0</v>
      </c>
      <c r="AA98" s="8">
        <f>IFERROR(__xludf.DUMMYFUNCTION("""COMPUTED_VALUE"""),0.0)</f>
        <v>0</v>
      </c>
      <c r="AB98" s="8">
        <f>IFERROR(__xludf.DUMMYFUNCTION("""COMPUTED_VALUE"""),0.0)</f>
        <v>0</v>
      </c>
      <c r="AC98" s="8">
        <f>IFERROR(__xludf.DUMMYFUNCTION("""COMPUTED_VALUE"""),0.0)</f>
        <v>0</v>
      </c>
    </row>
    <row r="99" ht="15.75" customHeight="1">
      <c r="A99" s="6" t="str">
        <f>IFERROR(__xludf.DUMMYFUNCTION("""COMPUTED_VALUE"""),"5269f35d5665dd7c25aa81eac9fa9e452b693897")</f>
        <v>5269f35d5665dd7c25aa81eac9fa9e452b693897</v>
      </c>
      <c r="B99" s="6" t="str">
        <f>IFERROR(__xludf.DUMMYFUNCTION("""COMPUTED_VALUE"""),"Her Royal Vampire")</f>
        <v>Her Royal Vampire</v>
      </c>
      <c r="C99" s="6" t="str">
        <f>IFERROR(__xludf.DUMMYFUNCTION("""COMPUTED_VALUE"""),"Romantasy")</f>
        <v>Romantasy</v>
      </c>
      <c r="D99" s="11">
        <f>IFERROR(__xludf.DUMMYFUNCTION("""COMPUTED_VALUE"""),453.0)</f>
        <v>453</v>
      </c>
      <c r="E99" s="8">
        <f>IFERROR(__xludf.DUMMYFUNCTION("""COMPUTED_VALUE"""),0.957964601769911)</f>
        <v>0.9579646018</v>
      </c>
      <c r="F99" s="8">
        <f>IFERROR(__xludf.DUMMYFUNCTION("""COMPUTED_VALUE"""),0.449115044247787)</f>
        <v>0.4491150442</v>
      </c>
      <c r="G99" s="8">
        <f>IFERROR(__xludf.DUMMYFUNCTION("""COMPUTED_VALUE"""),0.396895787139689)</f>
        <v>0.3968957871</v>
      </c>
      <c r="H99" s="8">
        <f>IFERROR(__xludf.DUMMYFUNCTION("""COMPUTED_VALUE"""),0.349665924276169)</f>
        <v>0.3496659243</v>
      </c>
      <c r="I99" s="8">
        <f>IFERROR(__xludf.DUMMYFUNCTION("""COMPUTED_VALUE"""),0.335570469798657)</f>
        <v>0.3355704698</v>
      </c>
      <c r="J99" s="8">
        <f>IFERROR(__xludf.DUMMYFUNCTION("""COMPUTED_VALUE"""),0.304932735426008)</f>
        <v>0.3049327354</v>
      </c>
      <c r="K99" s="8">
        <f>IFERROR(__xludf.DUMMYFUNCTION("""COMPUTED_VALUE"""),0.285393258426966)</f>
        <v>0.2853932584</v>
      </c>
      <c r="L99" s="8">
        <f>IFERROR(__xludf.DUMMYFUNCTION("""COMPUTED_VALUE"""),0.268018018018018)</f>
        <v>0.268018018</v>
      </c>
      <c r="M99" s="8">
        <f>IFERROR(__xludf.DUMMYFUNCTION("""COMPUTED_VALUE"""),0.257918552036199)</f>
        <v>0.257918552</v>
      </c>
      <c r="N99" s="8">
        <f>IFERROR(__xludf.DUMMYFUNCTION("""COMPUTED_VALUE"""),0.248291571753986)</f>
        <v>0.2482915718</v>
      </c>
      <c r="O99" s="8">
        <f>IFERROR(__xludf.DUMMYFUNCTION("""COMPUTED_VALUE"""),0.181818181818181)</f>
        <v>0.1818181818</v>
      </c>
      <c r="P99" s="8">
        <f>IFERROR(__xludf.DUMMYFUNCTION("""COMPUTED_VALUE"""),0.1438127090301)</f>
        <v>0.143812709</v>
      </c>
      <c r="Q99" s="8">
        <f>IFERROR(__xludf.DUMMYFUNCTION("""COMPUTED_VALUE"""),0.111587982832618)</f>
        <v>0.1115879828</v>
      </c>
      <c r="R99" s="8">
        <f>IFERROR(__xludf.DUMMYFUNCTION("""COMPUTED_VALUE"""),0.0991735537190082)</f>
        <v>0.09917355372</v>
      </c>
      <c r="S99" s="8">
        <f>IFERROR(__xludf.DUMMYFUNCTION("""COMPUTED_VALUE"""),0.0344827586206896)</f>
        <v>0.03448275862</v>
      </c>
      <c r="T99" s="8">
        <f>IFERROR(__xludf.DUMMYFUNCTION("""COMPUTED_VALUE"""),0.0625)</f>
        <v>0.0625</v>
      </c>
      <c r="U99" s="8">
        <f>IFERROR(__xludf.DUMMYFUNCTION("""COMPUTED_VALUE"""),0.0)</f>
        <v>0</v>
      </c>
      <c r="V99" s="8">
        <f>IFERROR(__xludf.DUMMYFUNCTION("""COMPUTED_VALUE"""),0.0)</f>
        <v>0</v>
      </c>
      <c r="W99" s="8">
        <f>IFERROR(__xludf.DUMMYFUNCTION("""COMPUTED_VALUE"""),0.0)</f>
        <v>0</v>
      </c>
      <c r="X99" s="8">
        <f>IFERROR(__xludf.DUMMYFUNCTION("""COMPUTED_VALUE"""),0.0)</f>
        <v>0</v>
      </c>
      <c r="Y99" s="8">
        <f>IFERROR(__xludf.DUMMYFUNCTION("""COMPUTED_VALUE"""),0.0)</f>
        <v>0</v>
      </c>
      <c r="Z99" s="8">
        <f>IFERROR(__xludf.DUMMYFUNCTION("""COMPUTED_VALUE"""),0.0)</f>
        <v>0</v>
      </c>
      <c r="AA99" s="8">
        <f>IFERROR(__xludf.DUMMYFUNCTION("""COMPUTED_VALUE"""),0.0)</f>
        <v>0</v>
      </c>
      <c r="AB99" s="8">
        <f>IFERROR(__xludf.DUMMYFUNCTION("""COMPUTED_VALUE"""),0.0)</f>
        <v>0</v>
      </c>
      <c r="AC99" s="8">
        <f>IFERROR(__xludf.DUMMYFUNCTION("""COMPUTED_VALUE"""),0.0)</f>
        <v>0</v>
      </c>
    </row>
    <row r="100" ht="15.75" customHeight="1">
      <c r="A100" s="6" t="str">
        <f>IFERROR(__xludf.DUMMYFUNCTION("""COMPUTED_VALUE"""),"5276da779c8fe48836102d34eea2143d4421865c")</f>
        <v>5276da779c8fe48836102d34eea2143d4421865c</v>
      </c>
      <c r="B100" s="6" t="str">
        <f>IFERROR(__xludf.DUMMYFUNCTION("""COMPUTED_VALUE"""),"The Single Father's Surrender")</f>
        <v>The Single Father's Surrender</v>
      </c>
      <c r="C100" s="6" t="str">
        <f>IFERROR(__xludf.DUMMYFUNCTION("""COMPUTED_VALUE"""),"Romance")</f>
        <v>Romance</v>
      </c>
      <c r="D100" s="11">
        <f>IFERROR(__xludf.DUMMYFUNCTION("""COMPUTED_VALUE"""),296.0)</f>
        <v>296</v>
      </c>
      <c r="E100" s="8">
        <f>IFERROR(__xludf.DUMMYFUNCTION("""COMPUTED_VALUE"""),0.962585034013605)</f>
        <v>0.962585034</v>
      </c>
      <c r="F100" s="8">
        <f>IFERROR(__xludf.DUMMYFUNCTION("""COMPUTED_VALUE"""),0.444827586206896)</f>
        <v>0.4448275862</v>
      </c>
      <c r="G100" s="8">
        <f>IFERROR(__xludf.DUMMYFUNCTION("""COMPUTED_VALUE"""),0.348432055749128)</f>
        <v>0.3484320557</v>
      </c>
      <c r="H100" s="8">
        <f>IFERROR(__xludf.DUMMYFUNCTION("""COMPUTED_VALUE"""),0.312280701754386)</f>
        <v>0.3122807018</v>
      </c>
      <c r="I100" s="8">
        <f>IFERROR(__xludf.DUMMYFUNCTION("""COMPUTED_VALUE"""),0.306338028169014)</f>
        <v>0.3063380282</v>
      </c>
      <c r="J100" s="8">
        <f>IFERROR(__xludf.DUMMYFUNCTION("""COMPUTED_VALUE"""),0.286219081272084)</f>
        <v>0.2862190813</v>
      </c>
      <c r="K100" s="8">
        <f>IFERROR(__xludf.DUMMYFUNCTION("""COMPUTED_VALUE"""),0.279569892473118)</f>
        <v>0.2795698925</v>
      </c>
      <c r="L100" s="8">
        <f>IFERROR(__xludf.DUMMYFUNCTION("""COMPUTED_VALUE"""),0.269372693726937)</f>
        <v>0.2693726937</v>
      </c>
      <c r="M100" s="8">
        <f>IFERROR(__xludf.DUMMYFUNCTION("""COMPUTED_VALUE"""),0.228464419475655)</f>
        <v>0.2284644195</v>
      </c>
      <c r="N100" s="8">
        <f>IFERROR(__xludf.DUMMYFUNCTION("""COMPUTED_VALUE"""),0.237547892720306)</f>
        <v>0.2375478927</v>
      </c>
      <c r="O100" s="8">
        <f>IFERROR(__xludf.DUMMYFUNCTION("""COMPUTED_VALUE"""),0.170403587443946)</f>
        <v>0.1704035874</v>
      </c>
      <c r="P100" s="8">
        <f>IFERROR(__xludf.DUMMYFUNCTION("""COMPUTED_VALUE"""),0.0849673202614379)</f>
        <v>0.08496732026</v>
      </c>
      <c r="Q100" s="8">
        <f>IFERROR(__xludf.DUMMYFUNCTION("""COMPUTED_VALUE"""),0.0212765957446808)</f>
        <v>0.02127659574</v>
      </c>
      <c r="R100" s="8">
        <f>IFERROR(__xludf.DUMMYFUNCTION("""COMPUTED_VALUE"""),0.015625)</f>
        <v>0.015625</v>
      </c>
      <c r="S100" s="8">
        <f>IFERROR(__xludf.DUMMYFUNCTION("""COMPUTED_VALUE"""),0.0)</f>
        <v>0</v>
      </c>
      <c r="T100" s="8">
        <f>IFERROR(__xludf.DUMMYFUNCTION("""COMPUTED_VALUE"""),0.0)</f>
        <v>0</v>
      </c>
      <c r="U100" s="8">
        <f>IFERROR(__xludf.DUMMYFUNCTION("""COMPUTED_VALUE"""),0.0)</f>
        <v>0</v>
      </c>
      <c r="V100" s="8">
        <f>IFERROR(__xludf.DUMMYFUNCTION("""COMPUTED_VALUE"""),0.0)</f>
        <v>0</v>
      </c>
      <c r="W100" s="8">
        <f>IFERROR(__xludf.DUMMYFUNCTION("""COMPUTED_VALUE"""),0.0)</f>
        <v>0</v>
      </c>
      <c r="X100" s="8">
        <f>IFERROR(__xludf.DUMMYFUNCTION("""COMPUTED_VALUE"""),0.0)</f>
        <v>0</v>
      </c>
      <c r="Y100" s="8">
        <f>IFERROR(__xludf.DUMMYFUNCTION("""COMPUTED_VALUE"""),0.0)</f>
        <v>0</v>
      </c>
      <c r="Z100" s="8">
        <f>IFERROR(__xludf.DUMMYFUNCTION("""COMPUTED_VALUE"""),0.0)</f>
        <v>0</v>
      </c>
      <c r="AA100" s="8">
        <f>IFERROR(__xludf.DUMMYFUNCTION("""COMPUTED_VALUE"""),0.0)</f>
        <v>0</v>
      </c>
      <c r="AB100" s="8">
        <f>IFERROR(__xludf.DUMMYFUNCTION("""COMPUTED_VALUE"""),0.0)</f>
        <v>0</v>
      </c>
      <c r="AC100" s="8">
        <f>IFERROR(__xludf.DUMMYFUNCTION("""COMPUTED_VALUE"""),0.0)</f>
        <v>0</v>
      </c>
    </row>
    <row r="101" ht="15.75" customHeight="1">
      <c r="A101" s="6" t="str">
        <f>IFERROR(__xludf.DUMMYFUNCTION("""COMPUTED_VALUE"""),"53bd90147df4228136243c0a218345e3a338b8c1")</f>
        <v>53bd90147df4228136243c0a218345e3a338b8c1</v>
      </c>
      <c r="B101" s="6" t="str">
        <f>IFERROR(__xludf.DUMMYFUNCTION("""COMPUTED_VALUE"""),"His Abandoned Wife")</f>
        <v>His Abandoned Wife</v>
      </c>
      <c r="C101" s="6" t="str">
        <f>IFERROR(__xludf.DUMMYFUNCTION("""COMPUTED_VALUE"""),"Romance")</f>
        <v>Romance</v>
      </c>
      <c r="D101" s="11">
        <f>IFERROR(__xludf.DUMMYFUNCTION("""COMPUTED_VALUE"""),39.0)</f>
        <v>39</v>
      </c>
      <c r="E101" s="8">
        <f>IFERROR(__xludf.DUMMYFUNCTION("""COMPUTED_VALUE"""),0.948717948717948)</f>
        <v>0.9487179487</v>
      </c>
      <c r="F101" s="8">
        <f>IFERROR(__xludf.DUMMYFUNCTION("""COMPUTED_VALUE"""),0.459459459459459)</f>
        <v>0.4594594595</v>
      </c>
      <c r="G101" s="8">
        <f>IFERROR(__xludf.DUMMYFUNCTION("""COMPUTED_VALUE"""),0.405405405405405)</f>
        <v>0.4054054054</v>
      </c>
      <c r="H101" s="8">
        <f>IFERROR(__xludf.DUMMYFUNCTION("""COMPUTED_VALUE"""),0.441176470588235)</f>
        <v>0.4411764706</v>
      </c>
      <c r="I101" s="8">
        <f>IFERROR(__xludf.DUMMYFUNCTION("""COMPUTED_VALUE"""),0.352941176470588)</f>
        <v>0.3529411765</v>
      </c>
      <c r="J101" s="8">
        <f>IFERROR(__xludf.DUMMYFUNCTION("""COMPUTED_VALUE"""),0.272727272727272)</f>
        <v>0.2727272727</v>
      </c>
      <c r="K101" s="8">
        <f>IFERROR(__xludf.DUMMYFUNCTION("""COMPUTED_VALUE"""),0.32258064516129)</f>
        <v>0.3225806452</v>
      </c>
      <c r="L101" s="8">
        <f>IFERROR(__xludf.DUMMYFUNCTION("""COMPUTED_VALUE"""),0.32258064516129)</f>
        <v>0.3225806452</v>
      </c>
      <c r="M101" s="8">
        <f>IFERROR(__xludf.DUMMYFUNCTION("""COMPUTED_VALUE"""),0.354838709677419)</f>
        <v>0.3548387097</v>
      </c>
      <c r="N101" s="8">
        <f>IFERROR(__xludf.DUMMYFUNCTION("""COMPUTED_VALUE"""),0.366666666666666)</f>
        <v>0.3666666667</v>
      </c>
      <c r="O101" s="8">
        <f>IFERROR(__xludf.DUMMYFUNCTION("""COMPUTED_VALUE"""),0.310344827586206)</f>
        <v>0.3103448276</v>
      </c>
      <c r="P101" s="8">
        <f>IFERROR(__xludf.DUMMYFUNCTION("""COMPUTED_VALUE"""),0.285714285714285)</f>
        <v>0.2857142857</v>
      </c>
      <c r="Q101" s="8">
        <f>IFERROR(__xludf.DUMMYFUNCTION("""COMPUTED_VALUE"""),0.0)</f>
        <v>0</v>
      </c>
      <c r="R101" s="8">
        <f>IFERROR(__xludf.DUMMYFUNCTION("""COMPUTED_VALUE"""),0.0)</f>
        <v>0</v>
      </c>
      <c r="S101" s="8">
        <f>IFERROR(__xludf.DUMMYFUNCTION("""COMPUTED_VALUE"""),0.0)</f>
        <v>0</v>
      </c>
      <c r="T101" s="8">
        <f>IFERROR(__xludf.DUMMYFUNCTION("""COMPUTED_VALUE"""),0.0)</f>
        <v>0</v>
      </c>
      <c r="U101" s="8">
        <f>IFERROR(__xludf.DUMMYFUNCTION("""COMPUTED_VALUE"""),0.0)</f>
        <v>0</v>
      </c>
      <c r="V101" s="8">
        <f>IFERROR(__xludf.DUMMYFUNCTION("""COMPUTED_VALUE"""),0.0)</f>
        <v>0</v>
      </c>
      <c r="W101" s="8">
        <f>IFERROR(__xludf.DUMMYFUNCTION("""COMPUTED_VALUE"""),0.0)</f>
        <v>0</v>
      </c>
      <c r="X101" s="8">
        <f>IFERROR(__xludf.DUMMYFUNCTION("""COMPUTED_VALUE"""),0.0)</f>
        <v>0</v>
      </c>
      <c r="Y101" s="8">
        <f>IFERROR(__xludf.DUMMYFUNCTION("""COMPUTED_VALUE"""),0.0)</f>
        <v>0</v>
      </c>
      <c r="Z101" s="8">
        <f>IFERROR(__xludf.DUMMYFUNCTION("""COMPUTED_VALUE"""),0.0)</f>
        <v>0</v>
      </c>
      <c r="AA101" s="8">
        <f>IFERROR(__xludf.DUMMYFUNCTION("""COMPUTED_VALUE"""),0.0)</f>
        <v>0</v>
      </c>
      <c r="AB101" s="8">
        <f>IFERROR(__xludf.DUMMYFUNCTION("""COMPUTED_VALUE"""),0.0)</f>
        <v>0</v>
      </c>
      <c r="AC101" s="8">
        <f>IFERROR(__xludf.DUMMYFUNCTION("""COMPUTED_VALUE"""),0.0)</f>
        <v>0</v>
      </c>
    </row>
    <row r="102" ht="15.75" customHeight="1">
      <c r="A102" s="6" t="str">
        <f>IFERROR(__xludf.DUMMYFUNCTION("""COMPUTED_VALUE"""),"54a2cb963cd2e93491b9f03d9cf379ed72d3271f")</f>
        <v>54a2cb963cd2e93491b9f03d9cf379ed72d3271f</v>
      </c>
      <c r="B102" s="6" t="str">
        <f>IFERROR(__xludf.DUMMYFUNCTION("""COMPUTED_VALUE"""),"The One He Can't Break")</f>
        <v>The One He Can't Break</v>
      </c>
      <c r="C102" s="6" t="str">
        <f>IFERROR(__xludf.DUMMYFUNCTION("""COMPUTED_VALUE"""),"Romance")</f>
        <v>Romance</v>
      </c>
      <c r="D102" s="11">
        <f>IFERROR(__xludf.DUMMYFUNCTION("""COMPUTED_VALUE"""),358.0)</f>
        <v>358</v>
      </c>
      <c r="E102" s="8">
        <f>IFERROR(__xludf.DUMMYFUNCTION("""COMPUTED_VALUE"""),0.958100558659217)</f>
        <v>0.9581005587</v>
      </c>
      <c r="F102" s="8">
        <f>IFERROR(__xludf.DUMMYFUNCTION("""COMPUTED_VALUE"""),0.443820224719101)</f>
        <v>0.4438202247</v>
      </c>
      <c r="G102" s="8">
        <f>IFERROR(__xludf.DUMMYFUNCTION("""COMPUTED_VALUE"""),0.362359550561797)</f>
        <v>0.3623595506</v>
      </c>
      <c r="H102" s="8">
        <f>IFERROR(__xludf.DUMMYFUNCTION("""COMPUTED_VALUE"""),0.337078651685393)</f>
        <v>0.3370786517</v>
      </c>
      <c r="I102" s="8">
        <f>IFERROR(__xludf.DUMMYFUNCTION("""COMPUTED_VALUE"""),0.314606741573033)</f>
        <v>0.3146067416</v>
      </c>
      <c r="J102" s="8">
        <f>IFERROR(__xludf.DUMMYFUNCTION("""COMPUTED_VALUE"""),0.289772727272727)</f>
        <v>0.2897727273</v>
      </c>
      <c r="K102" s="8">
        <f>IFERROR(__xludf.DUMMYFUNCTION("""COMPUTED_VALUE"""),0.281609195402298)</f>
        <v>0.2816091954</v>
      </c>
      <c r="L102" s="8">
        <f>IFERROR(__xludf.DUMMYFUNCTION("""COMPUTED_VALUE"""),0.246334310850439)</f>
        <v>0.2463343109</v>
      </c>
      <c r="M102" s="8">
        <f>IFERROR(__xludf.DUMMYFUNCTION("""COMPUTED_VALUE"""),0.248502994011976)</f>
        <v>0.248502994</v>
      </c>
      <c r="N102" s="8">
        <f>IFERROR(__xludf.DUMMYFUNCTION("""COMPUTED_VALUE"""),0.229357798165137)</f>
        <v>0.2293577982</v>
      </c>
      <c r="O102" s="8">
        <f>IFERROR(__xludf.DUMMYFUNCTION("""COMPUTED_VALUE"""),0.175438596491228)</f>
        <v>0.1754385965</v>
      </c>
      <c r="P102" s="8">
        <f>IFERROR(__xludf.DUMMYFUNCTION("""COMPUTED_VALUE"""),0.0981818181818181)</f>
        <v>0.09818181818</v>
      </c>
      <c r="Q102" s="8">
        <f>IFERROR(__xludf.DUMMYFUNCTION("""COMPUTED_VALUE"""),0.0821917808219178)</f>
        <v>0.08219178082</v>
      </c>
      <c r="R102" s="8">
        <f>IFERROR(__xludf.DUMMYFUNCTION("""COMPUTED_VALUE"""),0.104)</f>
        <v>0.104</v>
      </c>
      <c r="S102" s="8">
        <f>IFERROR(__xludf.DUMMYFUNCTION("""COMPUTED_VALUE"""),0.0)</f>
        <v>0</v>
      </c>
      <c r="T102" s="8">
        <f>IFERROR(__xludf.DUMMYFUNCTION("""COMPUTED_VALUE"""),0.0)</f>
        <v>0</v>
      </c>
      <c r="U102" s="8">
        <f>IFERROR(__xludf.DUMMYFUNCTION("""COMPUTED_VALUE"""),0.0)</f>
        <v>0</v>
      </c>
      <c r="V102" s="8">
        <f>IFERROR(__xludf.DUMMYFUNCTION("""COMPUTED_VALUE"""),0.0)</f>
        <v>0</v>
      </c>
      <c r="W102" s="8">
        <f>IFERROR(__xludf.DUMMYFUNCTION("""COMPUTED_VALUE"""),0.0)</f>
        <v>0</v>
      </c>
      <c r="X102" s="8">
        <f>IFERROR(__xludf.DUMMYFUNCTION("""COMPUTED_VALUE"""),0.0)</f>
        <v>0</v>
      </c>
      <c r="Y102" s="8">
        <f>IFERROR(__xludf.DUMMYFUNCTION("""COMPUTED_VALUE"""),0.0)</f>
        <v>0</v>
      </c>
      <c r="Z102" s="8">
        <f>IFERROR(__xludf.DUMMYFUNCTION("""COMPUTED_VALUE"""),0.0)</f>
        <v>0</v>
      </c>
      <c r="AA102" s="8">
        <f>IFERROR(__xludf.DUMMYFUNCTION("""COMPUTED_VALUE"""),0.0)</f>
        <v>0</v>
      </c>
      <c r="AB102" s="8">
        <f>IFERROR(__xludf.DUMMYFUNCTION("""COMPUTED_VALUE"""),0.0)</f>
        <v>0</v>
      </c>
      <c r="AC102" s="8">
        <f>IFERROR(__xludf.DUMMYFUNCTION("""COMPUTED_VALUE"""),0.0)</f>
        <v>0</v>
      </c>
    </row>
    <row r="103" ht="15.75" customHeight="1">
      <c r="A103" s="6" t="str">
        <f>IFERROR(__xludf.DUMMYFUNCTION("""COMPUTED_VALUE"""),"55254a77c40862bb825ededf69a85438157d664f")</f>
        <v>55254a77c40862bb825ededf69a85438157d664f</v>
      </c>
      <c r="B103" s="6" t="str">
        <f>IFERROR(__xludf.DUMMYFUNCTION("""COMPUTED_VALUE"""),"The Billionaire With Mask")</f>
        <v>The Billionaire With Mask</v>
      </c>
      <c r="C103" s="6" t="str">
        <f>IFERROR(__xludf.DUMMYFUNCTION("""COMPUTED_VALUE"""),"Drama")</f>
        <v>Drama</v>
      </c>
      <c r="D103" s="11">
        <f>IFERROR(__xludf.DUMMYFUNCTION("""COMPUTED_VALUE"""),926.0)</f>
        <v>926</v>
      </c>
      <c r="E103" s="8">
        <f>IFERROR(__xludf.DUMMYFUNCTION("""COMPUTED_VALUE"""),0.958695652173913)</f>
        <v>0.9586956522</v>
      </c>
      <c r="F103" s="8">
        <f>IFERROR(__xludf.DUMMYFUNCTION("""COMPUTED_VALUE"""),0.468988030467899)</f>
        <v>0.4689880305</v>
      </c>
      <c r="G103" s="8">
        <f>IFERROR(__xludf.DUMMYFUNCTION("""COMPUTED_VALUE"""),0.410228509249183)</f>
        <v>0.4102285092</v>
      </c>
      <c r="H103" s="8">
        <f>IFERROR(__xludf.DUMMYFUNCTION("""COMPUTED_VALUE"""),0.36670293797606)</f>
        <v>0.366702938</v>
      </c>
      <c r="I103" s="8">
        <f>IFERROR(__xludf.DUMMYFUNCTION("""COMPUTED_VALUE"""),0.339499455930359)</f>
        <v>0.3394994559</v>
      </c>
      <c r="J103" s="8">
        <f>IFERROR(__xludf.DUMMYFUNCTION("""COMPUTED_VALUE"""),0.322440087145969)</f>
        <v>0.3224400871</v>
      </c>
      <c r="K103" s="8">
        <f>IFERROR(__xludf.DUMMYFUNCTION("""COMPUTED_VALUE"""),0.30392156862745)</f>
        <v>0.3039215686</v>
      </c>
      <c r="L103" s="8">
        <f>IFERROR(__xludf.DUMMYFUNCTION("""COMPUTED_VALUE"""),0.297385620915032)</f>
        <v>0.2973856209</v>
      </c>
      <c r="M103" s="8">
        <f>IFERROR(__xludf.DUMMYFUNCTION("""COMPUTED_VALUE"""),0.288671023965141)</f>
        <v>0.288671024</v>
      </c>
      <c r="N103" s="8">
        <f>IFERROR(__xludf.DUMMYFUNCTION("""COMPUTED_VALUE"""),0.281352235550708)</f>
        <v>0.2813522356</v>
      </c>
      <c r="O103" s="8">
        <f>IFERROR(__xludf.DUMMYFUNCTION("""COMPUTED_VALUE"""),0.256325632563256)</f>
        <v>0.2563256326</v>
      </c>
      <c r="P103" s="8">
        <f>IFERROR(__xludf.DUMMYFUNCTION("""COMPUTED_VALUE"""),0.233333333333333)</f>
        <v>0.2333333333</v>
      </c>
      <c r="Q103" s="8">
        <f>IFERROR(__xludf.DUMMYFUNCTION("""COMPUTED_VALUE"""),0.121301775147928)</f>
        <v>0.1213017751</v>
      </c>
      <c r="R103" s="8">
        <f>IFERROR(__xludf.DUMMYFUNCTION("""COMPUTED_VALUE"""),0.0675182481751824)</f>
        <v>0.06751824818</v>
      </c>
      <c r="S103" s="8">
        <f>IFERROR(__xludf.DUMMYFUNCTION("""COMPUTED_VALUE"""),0.0550847457627118)</f>
        <v>0.05508474576</v>
      </c>
      <c r="T103" s="8">
        <f>IFERROR(__xludf.DUMMYFUNCTION("""COMPUTED_VALUE"""),0.0)</f>
        <v>0</v>
      </c>
      <c r="U103" s="8">
        <f>IFERROR(__xludf.DUMMYFUNCTION("""COMPUTED_VALUE"""),0.0)</f>
        <v>0</v>
      </c>
      <c r="V103" s="8">
        <f>IFERROR(__xludf.DUMMYFUNCTION("""COMPUTED_VALUE"""),0.0)</f>
        <v>0</v>
      </c>
      <c r="W103" s="8">
        <f>IFERROR(__xludf.DUMMYFUNCTION("""COMPUTED_VALUE"""),0.0)</f>
        <v>0</v>
      </c>
      <c r="X103" s="8">
        <f>IFERROR(__xludf.DUMMYFUNCTION("""COMPUTED_VALUE"""),0.0)</f>
        <v>0</v>
      </c>
      <c r="Y103" s="8">
        <f>IFERROR(__xludf.DUMMYFUNCTION("""COMPUTED_VALUE"""),0.0)</f>
        <v>0</v>
      </c>
      <c r="Z103" s="8">
        <f>IFERROR(__xludf.DUMMYFUNCTION("""COMPUTED_VALUE"""),0.0)</f>
        <v>0</v>
      </c>
      <c r="AA103" s="8">
        <f>IFERROR(__xludf.DUMMYFUNCTION("""COMPUTED_VALUE"""),0.0)</f>
        <v>0</v>
      </c>
      <c r="AB103" s="8">
        <f>IFERROR(__xludf.DUMMYFUNCTION("""COMPUTED_VALUE"""),0.0)</f>
        <v>0</v>
      </c>
      <c r="AC103" s="8">
        <f>IFERROR(__xludf.DUMMYFUNCTION("""COMPUTED_VALUE"""),0.0)</f>
        <v>0</v>
      </c>
    </row>
    <row r="104" ht="15.75" customHeight="1">
      <c r="A104" s="6" t="str">
        <f>IFERROR(__xludf.DUMMYFUNCTION("""COMPUTED_VALUE"""),"559db21e99cf5bc0720a814784386a0617e020b9")</f>
        <v>559db21e99cf5bc0720a814784386a0617e020b9</v>
      </c>
      <c r="B104" s="6" t="str">
        <f>IFERROR(__xludf.DUMMYFUNCTION("""COMPUTED_VALUE"""),"The Reborn Sovereign")</f>
        <v>The Reborn Sovereign</v>
      </c>
      <c r="C104" s="6" t="str">
        <f>IFERROR(__xludf.DUMMYFUNCTION("""COMPUTED_VALUE"""),"Fantasy")</f>
        <v>Fantasy</v>
      </c>
      <c r="D104" s="11">
        <f>IFERROR(__xludf.DUMMYFUNCTION("""COMPUTED_VALUE"""),5760.0)</f>
        <v>5760</v>
      </c>
      <c r="E104" s="8">
        <f>IFERROR(__xludf.DUMMYFUNCTION("""COMPUTED_VALUE"""),0.949893009985734)</f>
        <v>0.94989301</v>
      </c>
      <c r="F104" s="8">
        <f>IFERROR(__xludf.DUMMYFUNCTION("""COMPUTED_VALUE"""),0.544103817942448)</f>
        <v>0.5441038179</v>
      </c>
      <c r="G104" s="8">
        <f>IFERROR(__xludf.DUMMYFUNCTION("""COMPUTED_VALUE"""),0.513057137247202)</f>
        <v>0.5130571372</v>
      </c>
      <c r="H104" s="8">
        <f>IFERROR(__xludf.DUMMYFUNCTION("""COMPUTED_VALUE"""),0.496723996723996)</f>
        <v>0.4967239967</v>
      </c>
      <c r="I104" s="8">
        <f>IFERROR(__xludf.DUMMYFUNCTION("""COMPUTED_VALUE"""),0.48076109936575)</f>
        <v>0.4807610994</v>
      </c>
      <c r="J104" s="8">
        <f>IFERROR(__xludf.DUMMYFUNCTION("""COMPUTED_VALUE"""),0.460030830213609)</f>
        <v>0.4600308302</v>
      </c>
      <c r="K104" s="8">
        <f>IFERROR(__xludf.DUMMYFUNCTION("""COMPUTED_VALUE"""),0.44807868252516)</f>
        <v>0.4480786825</v>
      </c>
      <c r="L104" s="8">
        <f>IFERROR(__xludf.DUMMYFUNCTION("""COMPUTED_VALUE"""),0.437059652418976)</f>
        <v>0.4370596524</v>
      </c>
      <c r="M104" s="8">
        <f>IFERROR(__xludf.DUMMYFUNCTION("""COMPUTED_VALUE"""),0.431796577946768)</f>
        <v>0.4317965779</v>
      </c>
      <c r="N104" s="8">
        <f>IFERROR(__xludf.DUMMYFUNCTION("""COMPUTED_VALUE"""),0.42332035053554)</f>
        <v>0.4233203505</v>
      </c>
      <c r="O104" s="8">
        <f>IFERROR(__xludf.DUMMYFUNCTION("""COMPUTED_VALUE"""),0.38063063063063)</f>
        <v>0.3806306306</v>
      </c>
      <c r="P104" s="8">
        <f>IFERROR(__xludf.DUMMYFUNCTION("""COMPUTED_VALUE"""),0.309677419354838)</f>
        <v>0.3096774194</v>
      </c>
      <c r="Q104" s="8">
        <f>IFERROR(__xludf.DUMMYFUNCTION("""COMPUTED_VALUE"""),0.258145363408521)</f>
        <v>0.2581453634</v>
      </c>
      <c r="R104" s="8">
        <f>IFERROR(__xludf.DUMMYFUNCTION("""COMPUTED_VALUE"""),0.21793349168646)</f>
        <v>0.2179334917</v>
      </c>
      <c r="S104" s="8">
        <f>IFERROR(__xludf.DUMMYFUNCTION("""COMPUTED_VALUE"""),0.179518072289156)</f>
        <v>0.1795180723</v>
      </c>
      <c r="T104" s="8">
        <f>IFERROR(__xludf.DUMMYFUNCTION("""COMPUTED_VALUE"""),0.0)</f>
        <v>0</v>
      </c>
      <c r="U104" s="8">
        <f>IFERROR(__xludf.DUMMYFUNCTION("""COMPUTED_VALUE"""),0.0)</f>
        <v>0</v>
      </c>
      <c r="V104" s="8">
        <f>IFERROR(__xludf.DUMMYFUNCTION("""COMPUTED_VALUE"""),0.0)</f>
        <v>0</v>
      </c>
      <c r="W104" s="8">
        <f>IFERROR(__xludf.DUMMYFUNCTION("""COMPUTED_VALUE"""),0.0)</f>
        <v>0</v>
      </c>
      <c r="X104" s="8">
        <f>IFERROR(__xludf.DUMMYFUNCTION("""COMPUTED_VALUE"""),0.0)</f>
        <v>0</v>
      </c>
      <c r="Y104" s="8">
        <f>IFERROR(__xludf.DUMMYFUNCTION("""COMPUTED_VALUE"""),0.0)</f>
        <v>0</v>
      </c>
      <c r="Z104" s="8">
        <f>IFERROR(__xludf.DUMMYFUNCTION("""COMPUTED_VALUE"""),0.0)</f>
        <v>0</v>
      </c>
      <c r="AA104" s="8">
        <f>IFERROR(__xludf.DUMMYFUNCTION("""COMPUTED_VALUE"""),0.0)</f>
        <v>0</v>
      </c>
      <c r="AB104" s="8">
        <f>IFERROR(__xludf.DUMMYFUNCTION("""COMPUTED_VALUE"""),0.0)</f>
        <v>0</v>
      </c>
      <c r="AC104" s="8">
        <f>IFERROR(__xludf.DUMMYFUNCTION("""COMPUTED_VALUE"""),0.0)</f>
        <v>0</v>
      </c>
    </row>
    <row r="105" ht="15.75" customHeight="1">
      <c r="A105" s="6" t="str">
        <f>IFERROR(__xludf.DUMMYFUNCTION("""COMPUTED_VALUE"""),"562f725dcc83392df0b3d429b6d1ff538f81e71b")</f>
        <v>562f725dcc83392df0b3d429b6d1ff538f81e71b</v>
      </c>
      <c r="B105" s="6" t="str">
        <f>IFERROR(__xludf.DUMMYFUNCTION("""COMPUTED_VALUE"""),"Their Contracted Hearts")</f>
        <v>Their Contracted Hearts</v>
      </c>
      <c r="C105" s="6" t="str">
        <f>IFERROR(__xludf.DUMMYFUNCTION("""COMPUTED_VALUE"""),"Romance")</f>
        <v>Romance</v>
      </c>
      <c r="D105" s="11">
        <f>IFERROR(__xludf.DUMMYFUNCTION("""COMPUTED_VALUE"""),370.0)</f>
        <v>370</v>
      </c>
      <c r="E105" s="8">
        <f>IFERROR(__xludf.DUMMYFUNCTION("""COMPUTED_VALUE"""),0.978378378378378)</f>
        <v>0.9783783784</v>
      </c>
      <c r="F105" s="8">
        <f>IFERROR(__xludf.DUMMYFUNCTION("""COMPUTED_VALUE"""),0.321621621621621)</f>
        <v>0.3216216216</v>
      </c>
      <c r="G105" s="8">
        <f>IFERROR(__xludf.DUMMYFUNCTION("""COMPUTED_VALUE"""),0.302702702702702)</f>
        <v>0.3027027027</v>
      </c>
      <c r="H105" s="8">
        <f>IFERROR(__xludf.DUMMYFUNCTION("""COMPUTED_VALUE"""),0.289189189189189)</f>
        <v>0.2891891892</v>
      </c>
      <c r="I105" s="8">
        <f>IFERROR(__xludf.DUMMYFUNCTION("""COMPUTED_VALUE"""),0.278378378378378)</f>
        <v>0.2783783784</v>
      </c>
      <c r="J105" s="8">
        <f>IFERROR(__xludf.DUMMYFUNCTION("""COMPUTED_VALUE"""),0.256756756756756)</f>
        <v>0.2567567568</v>
      </c>
      <c r="K105" s="8">
        <f>IFERROR(__xludf.DUMMYFUNCTION("""COMPUTED_VALUE"""),0.235135135135135)</f>
        <v>0.2351351351</v>
      </c>
      <c r="L105" s="8">
        <f>IFERROR(__xludf.DUMMYFUNCTION("""COMPUTED_VALUE"""),0.24054054054054)</f>
        <v>0.2405405405</v>
      </c>
      <c r="M105" s="8">
        <f>IFERROR(__xludf.DUMMYFUNCTION("""COMPUTED_VALUE"""),0.221621621621621)</f>
        <v>0.2216216216</v>
      </c>
      <c r="N105" s="8">
        <f>IFERROR(__xludf.DUMMYFUNCTION("""COMPUTED_VALUE"""),0.21081081081081)</f>
        <v>0.2108108108</v>
      </c>
      <c r="O105" s="8">
        <f>IFERROR(__xludf.DUMMYFUNCTION("""COMPUTED_VALUE"""),0.12215909090909)</f>
        <v>0.1221590909</v>
      </c>
      <c r="P105" s="8">
        <f>IFERROR(__xludf.DUMMYFUNCTION("""COMPUTED_VALUE"""),0.0764705882352941)</f>
        <v>0.07647058824</v>
      </c>
      <c r="Q105" s="8">
        <f>IFERROR(__xludf.DUMMYFUNCTION("""COMPUTED_VALUE"""),0.0298507462686567)</f>
        <v>0.02985074627</v>
      </c>
      <c r="R105" s="8">
        <f>IFERROR(__xludf.DUMMYFUNCTION("""COMPUTED_VALUE"""),0.0158730158730158)</f>
        <v>0.01587301587</v>
      </c>
      <c r="S105" s="8">
        <f>IFERROR(__xludf.DUMMYFUNCTION("""COMPUTED_VALUE"""),0.00460829493087557)</f>
        <v>0.004608294931</v>
      </c>
      <c r="T105" s="8">
        <f>IFERROR(__xludf.DUMMYFUNCTION("""COMPUTED_VALUE"""),0.0)</f>
        <v>0</v>
      </c>
      <c r="U105" s="8">
        <f>IFERROR(__xludf.DUMMYFUNCTION("""COMPUTED_VALUE"""),0.0)</f>
        <v>0</v>
      </c>
      <c r="V105" s="8">
        <f>IFERROR(__xludf.DUMMYFUNCTION("""COMPUTED_VALUE"""),0.0)</f>
        <v>0</v>
      </c>
      <c r="W105" s="8">
        <f>IFERROR(__xludf.DUMMYFUNCTION("""COMPUTED_VALUE"""),0.0)</f>
        <v>0</v>
      </c>
      <c r="X105" s="8">
        <f>IFERROR(__xludf.DUMMYFUNCTION("""COMPUTED_VALUE"""),0.0)</f>
        <v>0</v>
      </c>
      <c r="Y105" s="8">
        <f>IFERROR(__xludf.DUMMYFUNCTION("""COMPUTED_VALUE"""),0.0)</f>
        <v>0</v>
      </c>
      <c r="Z105" s="8">
        <f>IFERROR(__xludf.DUMMYFUNCTION("""COMPUTED_VALUE"""),0.0)</f>
        <v>0</v>
      </c>
      <c r="AA105" s="8">
        <f>IFERROR(__xludf.DUMMYFUNCTION("""COMPUTED_VALUE"""),0.0)</f>
        <v>0</v>
      </c>
      <c r="AB105" s="8">
        <f>IFERROR(__xludf.DUMMYFUNCTION("""COMPUTED_VALUE"""),0.0)</f>
        <v>0</v>
      </c>
      <c r="AC105" s="8">
        <f>IFERROR(__xludf.DUMMYFUNCTION("""COMPUTED_VALUE"""),0.0)</f>
        <v>0</v>
      </c>
    </row>
    <row r="106" ht="15.75" customHeight="1">
      <c r="A106" s="6" t="str">
        <f>IFERROR(__xludf.DUMMYFUNCTION("""COMPUTED_VALUE"""),"56fd2f13dbccca0c55f9b02f7334d302737ec3df")</f>
        <v>56fd2f13dbccca0c55f9b02f7334d302737ec3df</v>
      </c>
      <c r="B106" s="6" t="str">
        <f>IFERROR(__xludf.DUMMYFUNCTION("""COMPUTED_VALUE"""),"Heaven-Shaking Doctor")</f>
        <v>Heaven-Shaking Doctor</v>
      </c>
      <c r="C106" s="6" t="str">
        <f>IFERROR(__xludf.DUMMYFUNCTION("""COMPUTED_VALUE"""),"Drama")</f>
        <v>Drama</v>
      </c>
      <c r="D106" s="11">
        <f>IFERROR(__xludf.DUMMYFUNCTION("""COMPUTED_VALUE"""),1731.0)</f>
        <v>1731</v>
      </c>
      <c r="E106" s="8">
        <f>IFERROR(__xludf.DUMMYFUNCTION("""COMPUTED_VALUE"""),0.969942196531791)</f>
        <v>0.9699421965</v>
      </c>
      <c r="F106" s="8">
        <f>IFERROR(__xludf.DUMMYFUNCTION("""COMPUTED_VALUE"""),0.454335260115606)</f>
        <v>0.4543352601</v>
      </c>
      <c r="G106" s="8">
        <f>IFERROR(__xludf.DUMMYFUNCTION("""COMPUTED_VALUE"""),0.364583333333333)</f>
        <v>0.3645833333</v>
      </c>
      <c r="H106" s="8">
        <f>IFERROR(__xludf.DUMMYFUNCTION("""COMPUTED_VALUE"""),0.314814814814814)</f>
        <v>0.3148148148</v>
      </c>
      <c r="I106" s="8">
        <f>IFERROR(__xludf.DUMMYFUNCTION("""COMPUTED_VALUE"""),0.267401392111368)</f>
        <v>0.2674013921</v>
      </c>
      <c r="J106" s="8">
        <f>IFERROR(__xludf.DUMMYFUNCTION("""COMPUTED_VALUE"""),0.237652527600232)</f>
        <v>0.2376525276</v>
      </c>
      <c r="K106" s="8">
        <f>IFERROR(__xludf.DUMMYFUNCTION("""COMPUTED_VALUE"""),0.218150087260034)</f>
        <v>0.2181500873</v>
      </c>
      <c r="L106" s="8">
        <f>IFERROR(__xludf.DUMMYFUNCTION("""COMPUTED_VALUE"""),0.192890442890442)</f>
        <v>0.1928904429</v>
      </c>
      <c r="M106" s="8">
        <f>IFERROR(__xludf.DUMMYFUNCTION("""COMPUTED_VALUE"""),0.173862310385064)</f>
        <v>0.1738623104</v>
      </c>
      <c r="N106" s="8">
        <f>IFERROR(__xludf.DUMMYFUNCTION("""COMPUTED_VALUE"""),0.166471962616822)</f>
        <v>0.1664719626</v>
      </c>
      <c r="O106" s="8">
        <f>IFERROR(__xludf.DUMMYFUNCTION("""COMPUTED_VALUE"""),0.127608825283243)</f>
        <v>0.1276088253</v>
      </c>
      <c r="P106" s="8">
        <f>IFERROR(__xludf.DUMMYFUNCTION("""COMPUTED_VALUE"""),0.09484404837683)</f>
        <v>0.09484404838</v>
      </c>
      <c r="Q106" s="8">
        <f>IFERROR(__xludf.DUMMYFUNCTION("""COMPUTED_VALUE"""),0.0)</f>
        <v>0</v>
      </c>
      <c r="R106" s="8">
        <f>IFERROR(__xludf.DUMMYFUNCTION("""COMPUTED_VALUE"""),0.0)</f>
        <v>0</v>
      </c>
      <c r="S106" s="8">
        <f>IFERROR(__xludf.DUMMYFUNCTION("""COMPUTED_VALUE"""),0.0)</f>
        <v>0</v>
      </c>
      <c r="T106" s="8">
        <f>IFERROR(__xludf.DUMMYFUNCTION("""COMPUTED_VALUE"""),0.0)</f>
        <v>0</v>
      </c>
      <c r="U106" s="8">
        <f>IFERROR(__xludf.DUMMYFUNCTION("""COMPUTED_VALUE"""),0.0)</f>
        <v>0</v>
      </c>
      <c r="V106" s="8">
        <f>IFERROR(__xludf.DUMMYFUNCTION("""COMPUTED_VALUE"""),0.0)</f>
        <v>0</v>
      </c>
      <c r="W106" s="8">
        <f>IFERROR(__xludf.DUMMYFUNCTION("""COMPUTED_VALUE"""),0.0)</f>
        <v>0</v>
      </c>
      <c r="X106" s="8">
        <f>IFERROR(__xludf.DUMMYFUNCTION("""COMPUTED_VALUE"""),0.0)</f>
        <v>0</v>
      </c>
      <c r="Y106" s="8">
        <f>IFERROR(__xludf.DUMMYFUNCTION("""COMPUTED_VALUE"""),0.0)</f>
        <v>0</v>
      </c>
      <c r="Z106" s="8">
        <f>IFERROR(__xludf.DUMMYFUNCTION("""COMPUTED_VALUE"""),0.0)</f>
        <v>0</v>
      </c>
      <c r="AA106" s="8">
        <f>IFERROR(__xludf.DUMMYFUNCTION("""COMPUTED_VALUE"""),0.0)</f>
        <v>0</v>
      </c>
      <c r="AB106" s="8">
        <f>IFERROR(__xludf.DUMMYFUNCTION("""COMPUTED_VALUE"""),0.0)</f>
        <v>0</v>
      </c>
      <c r="AC106" s="8">
        <f>IFERROR(__xludf.DUMMYFUNCTION("""COMPUTED_VALUE"""),0.0)</f>
        <v>0</v>
      </c>
    </row>
    <row r="107" ht="15.75" customHeight="1">
      <c r="A107" s="6" t="str">
        <f>IFERROR(__xludf.DUMMYFUNCTION("""COMPUTED_VALUE"""),"5710ee62e2cd01947d8f11e6bcaaa653fd1281b2")</f>
        <v>5710ee62e2cd01947d8f11e6bcaaa653fd1281b2</v>
      </c>
      <c r="B107" s="6" t="str">
        <f>IFERROR(__xludf.DUMMYFUNCTION("""COMPUTED_VALUE"""),"The Greatest Son-in-Law")</f>
        <v>The Greatest Son-in-Law</v>
      </c>
      <c r="C107" s="6" t="str">
        <f>IFERROR(__xludf.DUMMYFUNCTION("""COMPUTED_VALUE"""),"Drama")</f>
        <v>Drama</v>
      </c>
      <c r="D107" s="11">
        <f>IFERROR(__xludf.DUMMYFUNCTION("""COMPUTED_VALUE"""),1196.0)</f>
        <v>1196</v>
      </c>
      <c r="E107" s="8">
        <f>IFERROR(__xludf.DUMMYFUNCTION("""COMPUTED_VALUE"""),0.968094038623005)</f>
        <v>0.9680940386</v>
      </c>
      <c r="F107" s="8">
        <f>IFERROR(__xludf.DUMMYFUNCTION("""COMPUTED_VALUE"""),0.524451939291737)</f>
        <v>0.5244519393</v>
      </c>
      <c r="G107" s="8">
        <f>IFERROR(__xludf.DUMMYFUNCTION("""COMPUTED_VALUE"""),0.423728813559322)</f>
        <v>0.4237288136</v>
      </c>
      <c r="H107" s="8">
        <f>IFERROR(__xludf.DUMMYFUNCTION("""COMPUTED_VALUE"""),0.372616984402079)</f>
        <v>0.3726169844</v>
      </c>
      <c r="I107" s="8">
        <f>IFERROR(__xludf.DUMMYFUNCTION("""COMPUTED_VALUE"""),0.330316742081447)</f>
        <v>0.3303167421</v>
      </c>
      <c r="J107" s="8">
        <f>IFERROR(__xludf.DUMMYFUNCTION("""COMPUTED_VALUE"""),0.304347826086956)</f>
        <v>0.3043478261</v>
      </c>
      <c r="K107" s="8">
        <f>IFERROR(__xludf.DUMMYFUNCTION("""COMPUTED_VALUE"""),0.279457768508863)</f>
        <v>0.2794577685</v>
      </c>
      <c r="L107" s="8">
        <f>IFERROR(__xludf.DUMMYFUNCTION("""COMPUTED_VALUE"""),0.269487750556792)</f>
        <v>0.2694877506</v>
      </c>
      <c r="M107" s="8">
        <f>IFERROR(__xludf.DUMMYFUNCTION("""COMPUTED_VALUE"""),0.25521472392638)</f>
        <v>0.2552147239</v>
      </c>
      <c r="N107" s="8">
        <f>IFERROR(__xludf.DUMMYFUNCTION("""COMPUTED_VALUE"""),0.244413407821229)</f>
        <v>0.2444134078</v>
      </c>
      <c r="O107" s="8">
        <f>IFERROR(__xludf.DUMMYFUNCTION("""COMPUTED_VALUE"""),0.208251473477406)</f>
        <v>0.2082514735</v>
      </c>
      <c r="P107" s="8">
        <f>IFERROR(__xludf.DUMMYFUNCTION("""COMPUTED_VALUE"""),0.170258620689655)</f>
        <v>0.1702586207</v>
      </c>
      <c r="Q107" s="8">
        <f>IFERROR(__xludf.DUMMYFUNCTION("""COMPUTED_VALUE"""),0.4)</f>
        <v>0.4</v>
      </c>
      <c r="R107" s="8">
        <f>IFERROR(__xludf.DUMMYFUNCTION("""COMPUTED_VALUE"""),0.0)</f>
        <v>0</v>
      </c>
      <c r="S107" s="8">
        <f>IFERROR(__xludf.DUMMYFUNCTION("""COMPUTED_VALUE"""),0.0)</f>
        <v>0</v>
      </c>
      <c r="T107" s="8">
        <f>IFERROR(__xludf.DUMMYFUNCTION("""COMPUTED_VALUE"""),0.0)</f>
        <v>0</v>
      </c>
      <c r="U107" s="8">
        <f>IFERROR(__xludf.DUMMYFUNCTION("""COMPUTED_VALUE"""),0.0)</f>
        <v>0</v>
      </c>
      <c r="V107" s="8">
        <f>IFERROR(__xludf.DUMMYFUNCTION("""COMPUTED_VALUE"""),0.0)</f>
        <v>0</v>
      </c>
      <c r="W107" s="8">
        <f>IFERROR(__xludf.DUMMYFUNCTION("""COMPUTED_VALUE"""),0.0)</f>
        <v>0</v>
      </c>
      <c r="X107" s="8">
        <f>IFERROR(__xludf.DUMMYFUNCTION("""COMPUTED_VALUE"""),0.0)</f>
        <v>0</v>
      </c>
      <c r="Y107" s="8">
        <f>IFERROR(__xludf.DUMMYFUNCTION("""COMPUTED_VALUE"""),0.0)</f>
        <v>0</v>
      </c>
      <c r="Z107" s="8">
        <f>IFERROR(__xludf.DUMMYFUNCTION("""COMPUTED_VALUE"""),0.0)</f>
        <v>0</v>
      </c>
      <c r="AA107" s="8">
        <f>IFERROR(__xludf.DUMMYFUNCTION("""COMPUTED_VALUE"""),0.0)</f>
        <v>0</v>
      </c>
      <c r="AB107" s="8">
        <f>IFERROR(__xludf.DUMMYFUNCTION("""COMPUTED_VALUE"""),0.0)</f>
        <v>0</v>
      </c>
      <c r="AC107" s="8">
        <f>IFERROR(__xludf.DUMMYFUNCTION("""COMPUTED_VALUE"""),0.0)</f>
        <v>0</v>
      </c>
    </row>
    <row r="108" ht="15.75" customHeight="1">
      <c r="A108" s="6" t="str">
        <f>IFERROR(__xludf.DUMMYFUNCTION("""COMPUTED_VALUE"""),"57c4ad36d88c94c3d6132c931c371b08f21ab0e1")</f>
        <v>57c4ad36d88c94c3d6132c931c371b08f21ab0e1</v>
      </c>
      <c r="B108" s="6" t="str">
        <f>IFERROR(__xludf.DUMMYFUNCTION("""COMPUTED_VALUE"""),"Warlord of the Frozen Daw")</f>
        <v>Warlord of the Frozen Daw</v>
      </c>
      <c r="C108" s="6" t="str">
        <f>IFERROR(__xludf.DUMMYFUNCTION("""COMPUTED_VALUE"""),"Drama")</f>
        <v>Drama</v>
      </c>
      <c r="D108" s="11">
        <f>IFERROR(__xludf.DUMMYFUNCTION("""COMPUTED_VALUE"""),166.0)</f>
        <v>166</v>
      </c>
      <c r="E108" s="8">
        <f>IFERROR(__xludf.DUMMYFUNCTION("""COMPUTED_VALUE"""),0.969696969696969)</f>
        <v>0.9696969697</v>
      </c>
      <c r="F108" s="8">
        <f>IFERROR(__xludf.DUMMYFUNCTION("""COMPUTED_VALUE"""),0.545454545454545)</f>
        <v>0.5454545455</v>
      </c>
      <c r="G108" s="8">
        <f>IFERROR(__xludf.DUMMYFUNCTION("""COMPUTED_VALUE"""),0.46060606060606)</f>
        <v>0.4606060606</v>
      </c>
      <c r="H108" s="8">
        <f>IFERROR(__xludf.DUMMYFUNCTION("""COMPUTED_VALUE"""),0.418181818181818)</f>
        <v>0.4181818182</v>
      </c>
      <c r="I108" s="8">
        <f>IFERROR(__xludf.DUMMYFUNCTION("""COMPUTED_VALUE"""),0.381818181818181)</f>
        <v>0.3818181818</v>
      </c>
      <c r="J108" s="8">
        <f>IFERROR(__xludf.DUMMYFUNCTION("""COMPUTED_VALUE"""),0.365853658536585)</f>
        <v>0.3658536585</v>
      </c>
      <c r="K108" s="8">
        <f>IFERROR(__xludf.DUMMYFUNCTION("""COMPUTED_VALUE"""),0.341614906832298)</f>
        <v>0.3416149068</v>
      </c>
      <c r="L108" s="8">
        <f>IFERROR(__xludf.DUMMYFUNCTION("""COMPUTED_VALUE"""),0.325)</f>
        <v>0.325</v>
      </c>
      <c r="M108" s="8">
        <f>IFERROR(__xludf.DUMMYFUNCTION("""COMPUTED_VALUE"""),0.30625)</f>
        <v>0.30625</v>
      </c>
      <c r="N108" s="8">
        <f>IFERROR(__xludf.DUMMYFUNCTION("""COMPUTED_VALUE"""),0.275)</f>
        <v>0.275</v>
      </c>
      <c r="O108" s="8">
        <f>IFERROR(__xludf.DUMMYFUNCTION("""COMPUTED_VALUE"""),0.276315789473684)</f>
        <v>0.2763157895</v>
      </c>
      <c r="P108" s="8">
        <f>IFERROR(__xludf.DUMMYFUNCTION("""COMPUTED_VALUE"""),0.162162162162162)</f>
        <v>0.1621621622</v>
      </c>
      <c r="Q108" s="8">
        <f>IFERROR(__xludf.DUMMYFUNCTION("""COMPUTED_VALUE"""),0.0909090909090909)</f>
        <v>0.09090909091</v>
      </c>
      <c r="R108" s="8">
        <f>IFERROR(__xludf.DUMMYFUNCTION("""COMPUTED_VALUE"""),0.0434782608695652)</f>
        <v>0.04347826087</v>
      </c>
      <c r="S108" s="8">
        <f>IFERROR(__xludf.DUMMYFUNCTION("""COMPUTED_VALUE"""),0.0)</f>
        <v>0</v>
      </c>
      <c r="T108" s="8">
        <f>IFERROR(__xludf.DUMMYFUNCTION("""COMPUTED_VALUE"""),0.0)</f>
        <v>0</v>
      </c>
      <c r="U108" s="8">
        <f>IFERROR(__xludf.DUMMYFUNCTION("""COMPUTED_VALUE"""),0.0)</f>
        <v>0</v>
      </c>
      <c r="V108" s="8">
        <f>IFERROR(__xludf.DUMMYFUNCTION("""COMPUTED_VALUE"""),0.0)</f>
        <v>0</v>
      </c>
      <c r="W108" s="8">
        <f>IFERROR(__xludf.DUMMYFUNCTION("""COMPUTED_VALUE"""),0.0)</f>
        <v>0</v>
      </c>
      <c r="X108" s="8">
        <f>IFERROR(__xludf.DUMMYFUNCTION("""COMPUTED_VALUE"""),0.0)</f>
        <v>0</v>
      </c>
      <c r="Y108" s="8">
        <f>IFERROR(__xludf.DUMMYFUNCTION("""COMPUTED_VALUE"""),0.0)</f>
        <v>0</v>
      </c>
      <c r="Z108" s="8">
        <f>IFERROR(__xludf.DUMMYFUNCTION("""COMPUTED_VALUE"""),0.0)</f>
        <v>0</v>
      </c>
      <c r="AA108" s="8">
        <f>IFERROR(__xludf.DUMMYFUNCTION("""COMPUTED_VALUE"""),0.0)</f>
        <v>0</v>
      </c>
      <c r="AB108" s="8">
        <f>IFERROR(__xludf.DUMMYFUNCTION("""COMPUTED_VALUE"""),0.0)</f>
        <v>0</v>
      </c>
      <c r="AC108" s="8">
        <f>IFERROR(__xludf.DUMMYFUNCTION("""COMPUTED_VALUE"""),0.0)</f>
        <v>0</v>
      </c>
    </row>
    <row r="109" ht="15.75" customHeight="1">
      <c r="A109" s="6" t="str">
        <f>IFERROR(__xludf.DUMMYFUNCTION("""COMPUTED_VALUE"""),"57e670da35fed12abf270953b1cf3cf942fc89e1")</f>
        <v>57e670da35fed12abf270953b1cf3cf942fc89e1</v>
      </c>
      <c r="B109" s="6" t="str">
        <f>IFERROR(__xludf.DUMMYFUNCTION("""COMPUTED_VALUE"""),"You Are Mine Alone, Love")</f>
        <v>You Are Mine Alone, Love</v>
      </c>
      <c r="C109" s="6" t="str">
        <f>IFERROR(__xludf.DUMMYFUNCTION("""COMPUTED_VALUE"""),"Romance")</f>
        <v>Romance</v>
      </c>
      <c r="D109" s="11">
        <f>IFERROR(__xludf.DUMMYFUNCTION("""COMPUTED_VALUE"""),216.0)</f>
        <v>216</v>
      </c>
      <c r="E109" s="8">
        <f>IFERROR(__xludf.DUMMYFUNCTION("""COMPUTED_VALUE"""),0.972222222222222)</f>
        <v>0.9722222222</v>
      </c>
      <c r="F109" s="8">
        <f>IFERROR(__xludf.DUMMYFUNCTION("""COMPUTED_VALUE"""),0.314814814814814)</f>
        <v>0.3148148148</v>
      </c>
      <c r="G109" s="8">
        <f>IFERROR(__xludf.DUMMYFUNCTION("""COMPUTED_VALUE"""),0.274418604651162)</f>
        <v>0.2744186047</v>
      </c>
      <c r="H109" s="8">
        <f>IFERROR(__xludf.DUMMYFUNCTION("""COMPUTED_VALUE"""),0.198113207547169)</f>
        <v>0.1981132075</v>
      </c>
      <c r="I109" s="8">
        <f>IFERROR(__xludf.DUMMYFUNCTION("""COMPUTED_VALUE"""),0.18095238095238)</f>
        <v>0.180952381</v>
      </c>
      <c r="J109" s="8">
        <f>IFERROR(__xludf.DUMMYFUNCTION("""COMPUTED_VALUE"""),0.159420289855072)</f>
        <v>0.1594202899</v>
      </c>
      <c r="K109" s="8">
        <f>IFERROR(__xludf.DUMMYFUNCTION("""COMPUTED_VALUE"""),0.136585365853658)</f>
        <v>0.1365853659</v>
      </c>
      <c r="L109" s="8">
        <f>IFERROR(__xludf.DUMMYFUNCTION("""COMPUTED_VALUE"""),0.128712871287128)</f>
        <v>0.1287128713</v>
      </c>
      <c r="M109" s="8">
        <f>IFERROR(__xludf.DUMMYFUNCTION("""COMPUTED_VALUE"""),0.124378109452736)</f>
        <v>0.1243781095</v>
      </c>
      <c r="N109" s="8">
        <f>IFERROR(__xludf.DUMMYFUNCTION("""COMPUTED_VALUE"""),0.121212121212121)</f>
        <v>0.1212121212</v>
      </c>
      <c r="O109" s="8">
        <f>IFERROR(__xludf.DUMMYFUNCTION("""COMPUTED_VALUE"""),0.0802139037433155)</f>
        <v>0.08021390374</v>
      </c>
      <c r="P109" s="8">
        <f>IFERROR(__xludf.DUMMYFUNCTION("""COMPUTED_VALUE"""),0.0357142857142857)</f>
        <v>0.03571428571</v>
      </c>
      <c r="Q109" s="8">
        <f>IFERROR(__xludf.DUMMYFUNCTION("""COMPUTED_VALUE"""),0.0)</f>
        <v>0</v>
      </c>
      <c r="R109" s="8">
        <f>IFERROR(__xludf.DUMMYFUNCTION("""COMPUTED_VALUE"""),0.0)</f>
        <v>0</v>
      </c>
      <c r="S109" s="8">
        <f>IFERROR(__xludf.DUMMYFUNCTION("""COMPUTED_VALUE"""),0.0)</f>
        <v>0</v>
      </c>
      <c r="T109" s="8">
        <f>IFERROR(__xludf.DUMMYFUNCTION("""COMPUTED_VALUE"""),0.0)</f>
        <v>0</v>
      </c>
      <c r="U109" s="8">
        <f>IFERROR(__xludf.DUMMYFUNCTION("""COMPUTED_VALUE"""),0.0)</f>
        <v>0</v>
      </c>
      <c r="V109" s="8">
        <f>IFERROR(__xludf.DUMMYFUNCTION("""COMPUTED_VALUE"""),0.0)</f>
        <v>0</v>
      </c>
      <c r="W109" s="8">
        <f>IFERROR(__xludf.DUMMYFUNCTION("""COMPUTED_VALUE"""),0.0)</f>
        <v>0</v>
      </c>
      <c r="X109" s="8">
        <f>IFERROR(__xludf.DUMMYFUNCTION("""COMPUTED_VALUE"""),0.0)</f>
        <v>0</v>
      </c>
      <c r="Y109" s="8">
        <f>IFERROR(__xludf.DUMMYFUNCTION("""COMPUTED_VALUE"""),0.0)</f>
        <v>0</v>
      </c>
      <c r="Z109" s="8">
        <f>IFERROR(__xludf.DUMMYFUNCTION("""COMPUTED_VALUE"""),0.0)</f>
        <v>0</v>
      </c>
      <c r="AA109" s="8">
        <f>IFERROR(__xludf.DUMMYFUNCTION("""COMPUTED_VALUE"""),0.0)</f>
        <v>0</v>
      </c>
      <c r="AB109" s="8">
        <f>IFERROR(__xludf.DUMMYFUNCTION("""COMPUTED_VALUE"""),0.0)</f>
        <v>0</v>
      </c>
      <c r="AC109" s="8">
        <f>IFERROR(__xludf.DUMMYFUNCTION("""COMPUTED_VALUE"""),0.0)</f>
        <v>0</v>
      </c>
    </row>
    <row r="110" ht="15.75" customHeight="1">
      <c r="A110" s="6" t="str">
        <f>IFERROR(__xludf.DUMMYFUNCTION("""COMPUTED_VALUE"""),"57ebfa5b58a3257a521a5b9c12c5af19771e4403")</f>
        <v>57ebfa5b58a3257a521a5b9c12c5af19771e4403</v>
      </c>
      <c r="B110" s="6" t="str">
        <f>IFERROR(__xludf.DUMMYFUNCTION("""COMPUTED_VALUE"""),"Unmasking the Bride")</f>
        <v>Unmasking the Bride</v>
      </c>
      <c r="C110" s="6" t="str">
        <f>IFERROR(__xludf.DUMMYFUNCTION("""COMPUTED_VALUE"""),"Romance")</f>
        <v>Romance</v>
      </c>
      <c r="D110" s="11">
        <f>IFERROR(__xludf.DUMMYFUNCTION("""COMPUTED_VALUE"""),303.0)</f>
        <v>303</v>
      </c>
      <c r="E110" s="8">
        <f>IFERROR(__xludf.DUMMYFUNCTION("""COMPUTED_VALUE"""),0.656765676567656)</f>
        <v>0.6567656766</v>
      </c>
      <c r="F110" s="8">
        <f>IFERROR(__xludf.DUMMYFUNCTION("""COMPUTED_VALUE"""),0.33003300330033)</f>
        <v>0.3300330033</v>
      </c>
      <c r="G110" s="8">
        <f>IFERROR(__xludf.DUMMYFUNCTION("""COMPUTED_VALUE"""),0.28052805280528)</f>
        <v>0.2805280528</v>
      </c>
      <c r="H110" s="8">
        <f>IFERROR(__xludf.DUMMYFUNCTION("""COMPUTED_VALUE"""),0.264026402640264)</f>
        <v>0.2640264026</v>
      </c>
      <c r="I110" s="8">
        <f>IFERROR(__xludf.DUMMYFUNCTION("""COMPUTED_VALUE"""),0.277227722772277)</f>
        <v>0.2772277228</v>
      </c>
      <c r="J110" s="8">
        <f>IFERROR(__xludf.DUMMYFUNCTION("""COMPUTED_VALUE"""),0.247524752475247)</f>
        <v>0.2475247525</v>
      </c>
      <c r="K110" s="8">
        <f>IFERROR(__xludf.DUMMYFUNCTION("""COMPUTED_VALUE"""),0.24092409240924)</f>
        <v>0.2409240924</v>
      </c>
      <c r="L110" s="8">
        <f>IFERROR(__xludf.DUMMYFUNCTION("""COMPUTED_VALUE"""),0.231023102310231)</f>
        <v>0.2310231023</v>
      </c>
      <c r="M110" s="8">
        <f>IFERROR(__xludf.DUMMYFUNCTION("""COMPUTED_VALUE"""),0.211221122112211)</f>
        <v>0.2112211221</v>
      </c>
      <c r="N110" s="8">
        <f>IFERROR(__xludf.DUMMYFUNCTION("""COMPUTED_VALUE"""),0.198019801980198)</f>
        <v>0.198019802</v>
      </c>
      <c r="O110" s="8">
        <f>IFERROR(__xludf.DUMMYFUNCTION("""COMPUTED_VALUE"""),0.22)</f>
        <v>0.22</v>
      </c>
      <c r="P110" s="8">
        <f>IFERROR(__xludf.DUMMYFUNCTION("""COMPUTED_VALUE"""),0.134751773049645)</f>
        <v>0.134751773</v>
      </c>
      <c r="Q110" s="8">
        <f>IFERROR(__xludf.DUMMYFUNCTION("""COMPUTED_VALUE"""),0.0234741784037558)</f>
        <v>0.0234741784</v>
      </c>
      <c r="R110" s="8">
        <f>IFERROR(__xludf.DUMMYFUNCTION("""COMPUTED_VALUE"""),0.0)</f>
        <v>0</v>
      </c>
      <c r="S110" s="8">
        <f>IFERROR(__xludf.DUMMYFUNCTION("""COMPUTED_VALUE"""),0.0)</f>
        <v>0</v>
      </c>
      <c r="T110" s="8">
        <f>IFERROR(__xludf.DUMMYFUNCTION("""COMPUTED_VALUE"""),0.0)</f>
        <v>0</v>
      </c>
      <c r="U110" s="8">
        <f>IFERROR(__xludf.DUMMYFUNCTION("""COMPUTED_VALUE"""),0.0)</f>
        <v>0</v>
      </c>
      <c r="V110" s="8">
        <f>IFERROR(__xludf.DUMMYFUNCTION("""COMPUTED_VALUE"""),0.0)</f>
        <v>0</v>
      </c>
      <c r="W110" s="8">
        <f>IFERROR(__xludf.DUMMYFUNCTION("""COMPUTED_VALUE"""),0.0)</f>
        <v>0</v>
      </c>
      <c r="X110" s="8">
        <f>IFERROR(__xludf.DUMMYFUNCTION("""COMPUTED_VALUE"""),0.0)</f>
        <v>0</v>
      </c>
      <c r="Y110" s="8">
        <f>IFERROR(__xludf.DUMMYFUNCTION("""COMPUTED_VALUE"""),0.0)</f>
        <v>0</v>
      </c>
      <c r="Z110" s="8">
        <f>IFERROR(__xludf.DUMMYFUNCTION("""COMPUTED_VALUE"""),0.0)</f>
        <v>0</v>
      </c>
      <c r="AA110" s="8">
        <f>IFERROR(__xludf.DUMMYFUNCTION("""COMPUTED_VALUE"""),0.0)</f>
        <v>0</v>
      </c>
      <c r="AB110" s="8">
        <f>IFERROR(__xludf.DUMMYFUNCTION("""COMPUTED_VALUE"""),0.0)</f>
        <v>0</v>
      </c>
      <c r="AC110" s="8">
        <f>IFERROR(__xludf.DUMMYFUNCTION("""COMPUTED_VALUE"""),0.0)</f>
        <v>0</v>
      </c>
    </row>
    <row r="111" ht="15.75" customHeight="1">
      <c r="A111" s="6" t="str">
        <f>IFERROR(__xludf.DUMMYFUNCTION("""COMPUTED_VALUE"""),"5843f25ac24c8ba34301e2cfe9e73ddc0bfd8fc7")</f>
        <v>5843f25ac24c8ba34301e2cfe9e73ddc0bfd8fc7</v>
      </c>
      <c r="B111" s="6" t="str">
        <f>IFERROR(__xludf.DUMMYFUNCTION("""COMPUTED_VALUE"""),"The Fire Reborn Xavier")</f>
        <v>The Fire Reborn Xavier</v>
      </c>
      <c r="C111" s="6" t="str">
        <f>IFERROR(__xludf.DUMMYFUNCTION("""COMPUTED_VALUE"""),"System and Superpower")</f>
        <v>System and Superpower</v>
      </c>
      <c r="D111" s="11">
        <f>IFERROR(__xludf.DUMMYFUNCTION("""COMPUTED_VALUE"""),1296.0)</f>
        <v>1296</v>
      </c>
      <c r="E111" s="8">
        <f>IFERROR(__xludf.DUMMYFUNCTION("""COMPUTED_VALUE"""),0.979166666666666)</f>
        <v>0.9791666667</v>
      </c>
      <c r="F111" s="8">
        <f>IFERROR(__xludf.DUMMYFUNCTION("""COMPUTED_VALUE"""),0.474497681607418)</f>
        <v>0.4744976816</v>
      </c>
      <c r="G111" s="8">
        <f>IFERROR(__xludf.DUMMYFUNCTION("""COMPUTED_VALUE"""),0.397207137315748)</f>
        <v>0.3972071373</v>
      </c>
      <c r="H111" s="8">
        <f>IFERROR(__xludf.DUMMYFUNCTION("""COMPUTED_VALUE"""),0.349181605611847)</f>
        <v>0.3491816056</v>
      </c>
      <c r="I111" s="8">
        <f>IFERROR(__xludf.DUMMYFUNCTION("""COMPUTED_VALUE"""),0.323667711598746)</f>
        <v>0.3236677116</v>
      </c>
      <c r="J111" s="8">
        <f>IFERROR(__xludf.DUMMYFUNCTION("""COMPUTED_VALUE"""),0.296)</f>
        <v>0.296</v>
      </c>
      <c r="K111" s="8">
        <f>IFERROR(__xludf.DUMMYFUNCTION("""COMPUTED_VALUE"""),0.270935960591133)</f>
        <v>0.2709359606</v>
      </c>
      <c r="L111" s="8">
        <f>IFERROR(__xludf.DUMMYFUNCTION("""COMPUTED_VALUE"""),0.261925411968777)</f>
        <v>0.261925412</v>
      </c>
      <c r="M111" s="8">
        <f>IFERROR(__xludf.DUMMYFUNCTION("""COMPUTED_VALUE"""),0.243542435424354)</f>
        <v>0.2435424354</v>
      </c>
      <c r="N111" s="8">
        <f>IFERROR(__xludf.DUMMYFUNCTION("""COMPUTED_VALUE"""),0.224308300395256)</f>
        <v>0.2243083004</v>
      </c>
      <c r="O111" s="8">
        <f>IFERROR(__xludf.DUMMYFUNCTION("""COMPUTED_VALUE"""),0.154434250764526)</f>
        <v>0.1544342508</v>
      </c>
      <c r="P111" s="8">
        <f>IFERROR(__xludf.DUMMYFUNCTION("""COMPUTED_VALUE"""),0.134751773049645)</f>
        <v>0.134751773</v>
      </c>
      <c r="Q111" s="8">
        <f>IFERROR(__xludf.DUMMYFUNCTION("""COMPUTED_VALUE"""),0.0787401574803149)</f>
        <v>0.07874015748</v>
      </c>
      <c r="R111" s="8">
        <f>IFERROR(__xludf.DUMMYFUNCTION("""COMPUTED_VALUE"""),0.0604651162790697)</f>
        <v>0.06046511628</v>
      </c>
      <c r="S111" s="8">
        <f>IFERROR(__xludf.DUMMYFUNCTION("""COMPUTED_VALUE"""),0.04375)</f>
        <v>0.04375</v>
      </c>
      <c r="T111" s="8">
        <f>IFERROR(__xludf.DUMMYFUNCTION("""COMPUTED_VALUE"""),0.0101010101010101)</f>
        <v>0.0101010101</v>
      </c>
      <c r="U111" s="8">
        <f>IFERROR(__xludf.DUMMYFUNCTION("""COMPUTED_VALUE"""),0.0)</f>
        <v>0</v>
      </c>
      <c r="V111" s="8">
        <f>IFERROR(__xludf.DUMMYFUNCTION("""COMPUTED_VALUE"""),0.0)</f>
        <v>0</v>
      </c>
      <c r="W111" s="8">
        <f>IFERROR(__xludf.DUMMYFUNCTION("""COMPUTED_VALUE"""),0.0)</f>
        <v>0</v>
      </c>
      <c r="X111" s="8">
        <f>IFERROR(__xludf.DUMMYFUNCTION("""COMPUTED_VALUE"""),0.0)</f>
        <v>0</v>
      </c>
      <c r="Y111" s="8">
        <f>IFERROR(__xludf.DUMMYFUNCTION("""COMPUTED_VALUE"""),0.0)</f>
        <v>0</v>
      </c>
      <c r="Z111" s="8">
        <f>IFERROR(__xludf.DUMMYFUNCTION("""COMPUTED_VALUE"""),0.0)</f>
        <v>0</v>
      </c>
      <c r="AA111" s="8">
        <f>IFERROR(__xludf.DUMMYFUNCTION("""COMPUTED_VALUE"""),0.0)</f>
        <v>0</v>
      </c>
      <c r="AB111" s="8">
        <f>IFERROR(__xludf.DUMMYFUNCTION("""COMPUTED_VALUE"""),0.0)</f>
        <v>0</v>
      </c>
      <c r="AC111" s="8">
        <f>IFERROR(__xludf.DUMMYFUNCTION("""COMPUTED_VALUE"""),0.0)</f>
        <v>0</v>
      </c>
    </row>
    <row r="112" ht="15.75" customHeight="1">
      <c r="A112" s="6" t="str">
        <f>IFERROR(__xludf.DUMMYFUNCTION("""COMPUTED_VALUE"""),"596d213162507bbf543b3c2a618f8bb54acd4623")</f>
        <v>596d213162507bbf543b3c2a618f8bb54acd4623</v>
      </c>
      <c r="B112" s="6" t="str">
        <f>IFERROR(__xludf.DUMMYFUNCTION("""COMPUTED_VALUE"""),"Echoes of Regrets")</f>
        <v>Echoes of Regrets</v>
      </c>
      <c r="C112" s="6" t="str">
        <f>IFERROR(__xludf.DUMMYFUNCTION("""COMPUTED_VALUE"""),"Romance")</f>
        <v>Romance</v>
      </c>
      <c r="D112" s="11">
        <f>IFERROR(__xludf.DUMMYFUNCTION("""COMPUTED_VALUE"""),176.0)</f>
        <v>176</v>
      </c>
      <c r="E112" s="8">
        <f>IFERROR(__xludf.DUMMYFUNCTION("""COMPUTED_VALUE"""),0.977272727272727)</f>
        <v>0.9772727273</v>
      </c>
      <c r="F112" s="8">
        <f>IFERROR(__xludf.DUMMYFUNCTION("""COMPUTED_VALUE"""),0.325714285714285)</f>
        <v>0.3257142857</v>
      </c>
      <c r="G112" s="8">
        <f>IFERROR(__xludf.DUMMYFUNCTION("""COMPUTED_VALUE"""),0.190751445086705)</f>
        <v>0.1907514451</v>
      </c>
      <c r="H112" s="8">
        <f>IFERROR(__xludf.DUMMYFUNCTION("""COMPUTED_VALUE"""),0.142011834319526)</f>
        <v>0.1420118343</v>
      </c>
      <c r="I112" s="8">
        <f>IFERROR(__xludf.DUMMYFUNCTION("""COMPUTED_VALUE"""),0.0969696969696969)</f>
        <v>0.09696969697</v>
      </c>
      <c r="J112" s="8">
        <f>IFERROR(__xludf.DUMMYFUNCTION("""COMPUTED_VALUE"""),0.074074074074074)</f>
        <v>0.07407407407</v>
      </c>
      <c r="K112" s="8">
        <f>IFERROR(__xludf.DUMMYFUNCTION("""COMPUTED_VALUE"""),0.062111801242236)</f>
        <v>0.06211180124</v>
      </c>
      <c r="L112" s="8">
        <f>IFERROR(__xludf.DUMMYFUNCTION("""COMPUTED_VALUE"""),0.0580645161290322)</f>
        <v>0.05806451613</v>
      </c>
      <c r="M112" s="8">
        <f>IFERROR(__xludf.DUMMYFUNCTION("""COMPUTED_VALUE"""),0.0463576158940397)</f>
        <v>0.04635761589</v>
      </c>
      <c r="N112" s="8">
        <f>IFERROR(__xludf.DUMMYFUNCTION("""COMPUTED_VALUE"""),0.0268456375838926)</f>
        <v>0.02684563758</v>
      </c>
      <c r="O112" s="8">
        <f>IFERROR(__xludf.DUMMYFUNCTION("""COMPUTED_VALUE"""),0.0205479452054794)</f>
        <v>0.02054794521</v>
      </c>
      <c r="P112" s="8">
        <f>IFERROR(__xludf.DUMMYFUNCTION("""COMPUTED_VALUE"""),0.00684931506849315)</f>
        <v>0.006849315068</v>
      </c>
      <c r="Q112" s="8">
        <f>IFERROR(__xludf.DUMMYFUNCTION("""COMPUTED_VALUE"""),0.0)</f>
        <v>0</v>
      </c>
      <c r="R112" s="8">
        <f>IFERROR(__xludf.DUMMYFUNCTION("""COMPUTED_VALUE"""),0.0)</f>
        <v>0</v>
      </c>
      <c r="S112" s="8">
        <f>IFERROR(__xludf.DUMMYFUNCTION("""COMPUTED_VALUE"""),0.0)</f>
        <v>0</v>
      </c>
      <c r="T112" s="8">
        <f>IFERROR(__xludf.DUMMYFUNCTION("""COMPUTED_VALUE"""),0.0)</f>
        <v>0</v>
      </c>
      <c r="U112" s="8">
        <f>IFERROR(__xludf.DUMMYFUNCTION("""COMPUTED_VALUE"""),0.0)</f>
        <v>0</v>
      </c>
      <c r="V112" s="8">
        <f>IFERROR(__xludf.DUMMYFUNCTION("""COMPUTED_VALUE"""),0.0)</f>
        <v>0</v>
      </c>
      <c r="W112" s="8">
        <f>IFERROR(__xludf.DUMMYFUNCTION("""COMPUTED_VALUE"""),0.0)</f>
        <v>0</v>
      </c>
      <c r="X112" s="8">
        <f>IFERROR(__xludf.DUMMYFUNCTION("""COMPUTED_VALUE"""),0.0)</f>
        <v>0</v>
      </c>
      <c r="Y112" s="8">
        <f>IFERROR(__xludf.DUMMYFUNCTION("""COMPUTED_VALUE"""),0.0)</f>
        <v>0</v>
      </c>
      <c r="Z112" s="8">
        <f>IFERROR(__xludf.DUMMYFUNCTION("""COMPUTED_VALUE"""),0.0)</f>
        <v>0</v>
      </c>
      <c r="AA112" s="8">
        <f>IFERROR(__xludf.DUMMYFUNCTION("""COMPUTED_VALUE"""),0.0)</f>
        <v>0</v>
      </c>
      <c r="AB112" s="8">
        <f>IFERROR(__xludf.DUMMYFUNCTION("""COMPUTED_VALUE"""),0.0)</f>
        <v>0</v>
      </c>
      <c r="AC112" s="8">
        <f>IFERROR(__xludf.DUMMYFUNCTION("""COMPUTED_VALUE"""),0.0)</f>
        <v>0</v>
      </c>
    </row>
    <row r="113" ht="15.75" customHeight="1">
      <c r="A113" s="6" t="str">
        <f>IFERROR(__xludf.DUMMYFUNCTION("""COMPUTED_VALUE"""),"5c0a4a3bda3c16a4ed94c8945bade52e165a2848")</f>
        <v>5c0a4a3bda3c16a4ed94c8945bade52e165a2848</v>
      </c>
      <c r="B113" s="6" t="str">
        <f>IFERROR(__xludf.DUMMYFUNCTION("""COMPUTED_VALUE"""),"Bound to Reclusive Alpha")</f>
        <v>Bound to Reclusive Alpha</v>
      </c>
      <c r="C113" s="6" t="str">
        <f>IFERROR(__xludf.DUMMYFUNCTION("""COMPUTED_VALUE"""),"Fantasy")</f>
        <v>Fantasy</v>
      </c>
      <c r="D113" s="11">
        <f>IFERROR(__xludf.DUMMYFUNCTION("""COMPUTED_VALUE"""),526.0)</f>
        <v>526</v>
      </c>
      <c r="E113" s="8">
        <f>IFERROR(__xludf.DUMMYFUNCTION("""COMPUTED_VALUE"""),0.980988593155893)</f>
        <v>0.9809885932</v>
      </c>
      <c r="F113" s="8">
        <f>IFERROR(__xludf.DUMMYFUNCTION("""COMPUTED_VALUE"""),0.271863117870722)</f>
        <v>0.2718631179</v>
      </c>
      <c r="G113" s="8">
        <f>IFERROR(__xludf.DUMMYFUNCTION("""COMPUTED_VALUE"""),0.205714285714285)</f>
        <v>0.2057142857</v>
      </c>
      <c r="H113" s="8">
        <f>IFERROR(__xludf.DUMMYFUNCTION("""COMPUTED_VALUE"""),0.187022900763358)</f>
        <v>0.1870229008</v>
      </c>
      <c r="I113" s="8">
        <f>IFERROR(__xludf.DUMMYFUNCTION("""COMPUTED_VALUE"""),0.170498084291187)</f>
        <v>0.1704980843</v>
      </c>
      <c r="J113" s="8">
        <f>IFERROR(__xludf.DUMMYFUNCTION("""COMPUTED_VALUE"""),0.153550863723608)</f>
        <v>0.1535508637</v>
      </c>
      <c r="K113" s="8">
        <f>IFERROR(__xludf.DUMMYFUNCTION("""COMPUTED_VALUE"""),0.138461538461538)</f>
        <v>0.1384615385</v>
      </c>
      <c r="L113" s="8">
        <f>IFERROR(__xludf.DUMMYFUNCTION("""COMPUTED_VALUE"""),0.125482625482625)</f>
        <v>0.1254826255</v>
      </c>
      <c r="M113" s="8">
        <f>IFERROR(__xludf.DUMMYFUNCTION("""COMPUTED_VALUE"""),0.108737864077669)</f>
        <v>0.1087378641</v>
      </c>
      <c r="N113" s="8">
        <f>IFERROR(__xludf.DUMMYFUNCTION("""COMPUTED_VALUE"""),0.104854368932038)</f>
        <v>0.1048543689</v>
      </c>
      <c r="O113" s="8">
        <f>IFERROR(__xludf.DUMMYFUNCTION("""COMPUTED_VALUE"""),0.0674846625766871)</f>
        <v>0.06748466258</v>
      </c>
      <c r="P113" s="8">
        <f>IFERROR(__xludf.DUMMYFUNCTION("""COMPUTED_VALUE"""),0.0603448275862069)</f>
        <v>0.06034482759</v>
      </c>
      <c r="Q113" s="8">
        <f>IFERROR(__xludf.DUMMYFUNCTION("""COMPUTED_VALUE"""),0.00217391304347826)</f>
        <v>0.002173913043</v>
      </c>
      <c r="R113" s="8">
        <f>IFERROR(__xludf.DUMMYFUNCTION("""COMPUTED_VALUE"""),0.0)</f>
        <v>0</v>
      </c>
      <c r="S113" s="8">
        <f>IFERROR(__xludf.DUMMYFUNCTION("""COMPUTED_VALUE"""),0.0)</f>
        <v>0</v>
      </c>
      <c r="T113" s="8">
        <f>IFERROR(__xludf.DUMMYFUNCTION("""COMPUTED_VALUE"""),0.0)</f>
        <v>0</v>
      </c>
      <c r="U113" s="8">
        <f>IFERROR(__xludf.DUMMYFUNCTION("""COMPUTED_VALUE"""),0.0)</f>
        <v>0</v>
      </c>
      <c r="V113" s="8">
        <f>IFERROR(__xludf.DUMMYFUNCTION("""COMPUTED_VALUE"""),0.0)</f>
        <v>0</v>
      </c>
      <c r="W113" s="8">
        <f>IFERROR(__xludf.DUMMYFUNCTION("""COMPUTED_VALUE"""),0.0)</f>
        <v>0</v>
      </c>
      <c r="X113" s="8">
        <f>IFERROR(__xludf.DUMMYFUNCTION("""COMPUTED_VALUE"""),0.0)</f>
        <v>0</v>
      </c>
      <c r="Y113" s="8">
        <f>IFERROR(__xludf.DUMMYFUNCTION("""COMPUTED_VALUE"""),0.0)</f>
        <v>0</v>
      </c>
      <c r="Z113" s="8">
        <f>IFERROR(__xludf.DUMMYFUNCTION("""COMPUTED_VALUE"""),0.0)</f>
        <v>0</v>
      </c>
      <c r="AA113" s="8">
        <f>IFERROR(__xludf.DUMMYFUNCTION("""COMPUTED_VALUE"""),0.0)</f>
        <v>0</v>
      </c>
      <c r="AB113" s="8">
        <f>IFERROR(__xludf.DUMMYFUNCTION("""COMPUTED_VALUE"""),0.0)</f>
        <v>0</v>
      </c>
      <c r="AC113" s="8">
        <f>IFERROR(__xludf.DUMMYFUNCTION("""COMPUTED_VALUE"""),0.0)</f>
        <v>0</v>
      </c>
    </row>
    <row r="114" ht="15.75" customHeight="1">
      <c r="A114" s="6" t="str">
        <f>IFERROR(__xludf.DUMMYFUNCTION("""COMPUTED_VALUE"""),"5cf4b46f18d6bb7294440595874ef70922a2b9a3")</f>
        <v>5cf4b46f18d6bb7294440595874ef70922a2b9a3</v>
      </c>
      <c r="B114" s="6" t="str">
        <f>IFERROR(__xludf.DUMMYFUNCTION("""COMPUTED_VALUE"""),"Alabama Royal")</f>
        <v>Alabama Royal</v>
      </c>
      <c r="C114" s="6" t="str">
        <f>IFERROR(__xludf.DUMMYFUNCTION("""COMPUTED_VALUE"""),"Romance")</f>
        <v>Romance</v>
      </c>
      <c r="D114" s="11">
        <f>IFERROR(__xludf.DUMMYFUNCTION("""COMPUTED_VALUE"""),325.0)</f>
        <v>325</v>
      </c>
      <c r="E114" s="8">
        <f>IFERROR(__xludf.DUMMYFUNCTION("""COMPUTED_VALUE"""),0.984615384615384)</f>
        <v>0.9846153846</v>
      </c>
      <c r="F114" s="8">
        <f>IFERROR(__xludf.DUMMYFUNCTION("""COMPUTED_VALUE"""),0.356923076923076)</f>
        <v>0.3569230769</v>
      </c>
      <c r="G114" s="8">
        <f>IFERROR(__xludf.DUMMYFUNCTION("""COMPUTED_VALUE"""),0.31076923076923)</f>
        <v>0.3107692308</v>
      </c>
      <c r="H114" s="8">
        <f>IFERROR(__xludf.DUMMYFUNCTION("""COMPUTED_VALUE"""),0.290123456790123)</f>
        <v>0.2901234568</v>
      </c>
      <c r="I114" s="8">
        <f>IFERROR(__xludf.DUMMYFUNCTION("""COMPUTED_VALUE"""),0.271604938271604)</f>
        <v>0.2716049383</v>
      </c>
      <c r="J114" s="8">
        <f>IFERROR(__xludf.DUMMYFUNCTION("""COMPUTED_VALUE"""),0.234567901234567)</f>
        <v>0.2345679012</v>
      </c>
      <c r="K114" s="8">
        <f>IFERROR(__xludf.DUMMYFUNCTION("""COMPUTED_VALUE"""),0.219135802469135)</f>
        <v>0.2191358025</v>
      </c>
      <c r="L114" s="8">
        <f>IFERROR(__xludf.DUMMYFUNCTION("""COMPUTED_VALUE"""),0.210526315789473)</f>
        <v>0.2105263158</v>
      </c>
      <c r="M114" s="8">
        <f>IFERROR(__xludf.DUMMYFUNCTION("""COMPUTED_VALUE"""),0.201863354037267)</f>
        <v>0.201863354</v>
      </c>
      <c r="N114" s="8">
        <f>IFERROR(__xludf.DUMMYFUNCTION("""COMPUTED_VALUE"""),0.193146417445482)</f>
        <v>0.1931464174</v>
      </c>
      <c r="O114" s="8">
        <f>IFERROR(__xludf.DUMMYFUNCTION("""COMPUTED_VALUE"""),0.169491525423728)</f>
        <v>0.1694915254</v>
      </c>
      <c r="P114" s="8">
        <f>IFERROR(__xludf.DUMMYFUNCTION("""COMPUTED_VALUE"""),0.141732283464566)</f>
        <v>0.1417322835</v>
      </c>
      <c r="Q114" s="8">
        <f>IFERROR(__xludf.DUMMYFUNCTION("""COMPUTED_VALUE"""),0.106060606060606)</f>
        <v>0.1060606061</v>
      </c>
      <c r="R114" s="8">
        <f>IFERROR(__xludf.DUMMYFUNCTION("""COMPUTED_VALUE"""),0.0)</f>
        <v>0</v>
      </c>
      <c r="S114" s="8">
        <f>IFERROR(__xludf.DUMMYFUNCTION("""COMPUTED_VALUE"""),0.0)</f>
        <v>0</v>
      </c>
      <c r="T114" s="8">
        <f>IFERROR(__xludf.DUMMYFUNCTION("""COMPUTED_VALUE"""),0.0)</f>
        <v>0</v>
      </c>
      <c r="U114" s="8">
        <f>IFERROR(__xludf.DUMMYFUNCTION("""COMPUTED_VALUE"""),0.0)</f>
        <v>0</v>
      </c>
      <c r="V114" s="8">
        <f>IFERROR(__xludf.DUMMYFUNCTION("""COMPUTED_VALUE"""),0.0)</f>
        <v>0</v>
      </c>
      <c r="W114" s="8">
        <f>IFERROR(__xludf.DUMMYFUNCTION("""COMPUTED_VALUE"""),0.0)</f>
        <v>0</v>
      </c>
      <c r="X114" s="8">
        <f>IFERROR(__xludf.DUMMYFUNCTION("""COMPUTED_VALUE"""),0.0)</f>
        <v>0</v>
      </c>
      <c r="Y114" s="8">
        <f>IFERROR(__xludf.DUMMYFUNCTION("""COMPUTED_VALUE"""),0.0)</f>
        <v>0</v>
      </c>
      <c r="Z114" s="8">
        <f>IFERROR(__xludf.DUMMYFUNCTION("""COMPUTED_VALUE"""),0.0)</f>
        <v>0</v>
      </c>
      <c r="AA114" s="8">
        <f>IFERROR(__xludf.DUMMYFUNCTION("""COMPUTED_VALUE"""),0.0)</f>
        <v>0</v>
      </c>
      <c r="AB114" s="8">
        <f>IFERROR(__xludf.DUMMYFUNCTION("""COMPUTED_VALUE"""),0.0)</f>
        <v>0</v>
      </c>
      <c r="AC114" s="8">
        <f>IFERROR(__xludf.DUMMYFUNCTION("""COMPUTED_VALUE"""),0.0)</f>
        <v>0</v>
      </c>
    </row>
    <row r="115" ht="15.75" customHeight="1">
      <c r="A115" s="6" t="str">
        <f>IFERROR(__xludf.DUMMYFUNCTION("""COMPUTED_VALUE"""),"5d4e7e8696e74e383e0ea0e4f4f535ba9758496a")</f>
        <v>5d4e7e8696e74e383e0ea0e4f4f535ba9758496a</v>
      </c>
      <c r="B115" s="6" t="str">
        <f>IFERROR(__xludf.DUMMYFUNCTION("""COMPUTED_VALUE"""),"Who Fathered My Twins")</f>
        <v>Who Fathered My Twins</v>
      </c>
      <c r="C115" s="6" t="str">
        <f>IFERROR(__xludf.DUMMYFUNCTION("""COMPUTED_VALUE"""),"Romance")</f>
        <v>Romance</v>
      </c>
      <c r="D115" s="11">
        <f>IFERROR(__xludf.DUMMYFUNCTION("""COMPUTED_VALUE"""),280.0)</f>
        <v>280</v>
      </c>
      <c r="E115" s="8">
        <f>IFERROR(__xludf.DUMMYFUNCTION("""COMPUTED_VALUE"""),0.982142857142857)</f>
        <v>0.9821428571</v>
      </c>
      <c r="F115" s="8">
        <f>IFERROR(__xludf.DUMMYFUNCTION("""COMPUTED_VALUE"""),0.257142857142857)</f>
        <v>0.2571428571</v>
      </c>
      <c r="G115" s="8">
        <f>IFERROR(__xludf.DUMMYFUNCTION("""COMPUTED_VALUE"""),0.218637992831541)</f>
        <v>0.2186379928</v>
      </c>
      <c r="H115" s="8">
        <f>IFERROR(__xludf.DUMMYFUNCTION("""COMPUTED_VALUE"""),0.197841726618705)</f>
        <v>0.1978417266</v>
      </c>
      <c r="I115" s="8">
        <f>IFERROR(__xludf.DUMMYFUNCTION("""COMPUTED_VALUE"""),0.158273381294964)</f>
        <v>0.1582733813</v>
      </c>
      <c r="J115" s="8">
        <f>IFERROR(__xludf.DUMMYFUNCTION("""COMPUTED_VALUE"""),0.16546762589928)</f>
        <v>0.1654676259</v>
      </c>
      <c r="K115" s="8">
        <f>IFERROR(__xludf.DUMMYFUNCTION("""COMPUTED_VALUE"""),0.161870503597122)</f>
        <v>0.1618705036</v>
      </c>
      <c r="L115" s="8">
        <f>IFERROR(__xludf.DUMMYFUNCTION("""COMPUTED_VALUE"""),0.151079136690647)</f>
        <v>0.1510791367</v>
      </c>
      <c r="M115" s="8">
        <f>IFERROR(__xludf.DUMMYFUNCTION("""COMPUTED_VALUE"""),0.154676258992805)</f>
        <v>0.154676259</v>
      </c>
      <c r="N115" s="8">
        <f>IFERROR(__xludf.DUMMYFUNCTION("""COMPUTED_VALUE"""),0.154676258992805)</f>
        <v>0.154676259</v>
      </c>
      <c r="O115" s="8">
        <f>IFERROR(__xludf.DUMMYFUNCTION("""COMPUTED_VALUE"""),0.107011070110701)</f>
        <v>0.1070110701</v>
      </c>
      <c r="P115" s="8">
        <f>IFERROR(__xludf.DUMMYFUNCTION("""COMPUTED_VALUE"""),0.0566037735849056)</f>
        <v>0.05660377358</v>
      </c>
      <c r="Q115" s="8">
        <f>IFERROR(__xludf.DUMMYFUNCTION("""COMPUTED_VALUE"""),0.0233463035019455)</f>
        <v>0.0233463035</v>
      </c>
      <c r="R115" s="8">
        <f>IFERROR(__xludf.DUMMYFUNCTION("""COMPUTED_VALUE"""),0.0112359550561797)</f>
        <v>0.01123595506</v>
      </c>
      <c r="S115" s="8">
        <f>IFERROR(__xludf.DUMMYFUNCTION("""COMPUTED_VALUE"""),0.0)</f>
        <v>0</v>
      </c>
      <c r="T115" s="8">
        <f>IFERROR(__xludf.DUMMYFUNCTION("""COMPUTED_VALUE"""),0.0)</f>
        <v>0</v>
      </c>
      <c r="U115" s="8">
        <f>IFERROR(__xludf.DUMMYFUNCTION("""COMPUTED_VALUE"""),0.0)</f>
        <v>0</v>
      </c>
      <c r="V115" s="8">
        <f>IFERROR(__xludf.DUMMYFUNCTION("""COMPUTED_VALUE"""),0.0)</f>
        <v>0</v>
      </c>
      <c r="W115" s="8">
        <f>IFERROR(__xludf.DUMMYFUNCTION("""COMPUTED_VALUE"""),0.0)</f>
        <v>0</v>
      </c>
      <c r="X115" s="8">
        <f>IFERROR(__xludf.DUMMYFUNCTION("""COMPUTED_VALUE"""),0.0)</f>
        <v>0</v>
      </c>
      <c r="Y115" s="8">
        <f>IFERROR(__xludf.DUMMYFUNCTION("""COMPUTED_VALUE"""),0.0)</f>
        <v>0</v>
      </c>
      <c r="Z115" s="8">
        <f>IFERROR(__xludf.DUMMYFUNCTION("""COMPUTED_VALUE"""),0.0)</f>
        <v>0</v>
      </c>
      <c r="AA115" s="8">
        <f>IFERROR(__xludf.DUMMYFUNCTION("""COMPUTED_VALUE"""),0.0)</f>
        <v>0</v>
      </c>
      <c r="AB115" s="8">
        <f>IFERROR(__xludf.DUMMYFUNCTION("""COMPUTED_VALUE"""),0.0)</f>
        <v>0</v>
      </c>
      <c r="AC115" s="8">
        <f>IFERROR(__xludf.DUMMYFUNCTION("""COMPUTED_VALUE"""),0.0)</f>
        <v>0</v>
      </c>
    </row>
    <row r="116" ht="15.75" customHeight="1">
      <c r="A116" s="6" t="str">
        <f>IFERROR(__xludf.DUMMYFUNCTION("""COMPUTED_VALUE"""),"5e570d3fccfb5029774b4d9f9669429f580d0791")</f>
        <v>5e570d3fccfb5029774b4d9f9669429f580d0791</v>
      </c>
      <c r="B116" s="6" t="str">
        <f>IFERROR(__xludf.DUMMYFUNCTION("""COMPUTED_VALUE"""),"Princess Ebony &amp; the Silver Dragon")</f>
        <v>Princess Ebony &amp; the Silver Dragon</v>
      </c>
      <c r="C116" s="6" t="str">
        <f>IFERROR(__xludf.DUMMYFUNCTION("""COMPUTED_VALUE"""),"Fantasy")</f>
        <v>Fantasy</v>
      </c>
      <c r="D116" s="11">
        <f>IFERROR(__xludf.DUMMYFUNCTION("""COMPUTED_VALUE"""),1980.0)</f>
        <v>1980</v>
      </c>
      <c r="E116" s="8">
        <f>IFERROR(__xludf.DUMMYFUNCTION("""COMPUTED_VALUE"""),0.85699848408287)</f>
        <v>0.8569984841</v>
      </c>
      <c r="F116" s="8">
        <f>IFERROR(__xludf.DUMMYFUNCTION("""COMPUTED_VALUE"""),0.433046993431025)</f>
        <v>0.4330469934</v>
      </c>
      <c r="G116" s="8">
        <f>IFERROR(__xludf.DUMMYFUNCTION("""COMPUTED_VALUE"""),0.390601313794845)</f>
        <v>0.3906013138</v>
      </c>
      <c r="H116" s="8">
        <f>IFERROR(__xludf.DUMMYFUNCTION("""COMPUTED_VALUE"""),0.361798888327438)</f>
        <v>0.3617988883</v>
      </c>
      <c r="I116" s="8">
        <f>IFERROR(__xludf.DUMMYFUNCTION("""COMPUTED_VALUE"""),0.342597271349166)</f>
        <v>0.3425972713</v>
      </c>
      <c r="J116" s="8">
        <f>IFERROR(__xludf.DUMMYFUNCTION("""COMPUTED_VALUE"""),0.335522991409802)</f>
        <v>0.3355229914</v>
      </c>
      <c r="K116" s="8">
        <f>IFERROR(__xludf.DUMMYFUNCTION("""COMPUTED_VALUE"""),0.318847902981303)</f>
        <v>0.318847903</v>
      </c>
      <c r="L116" s="8">
        <f>IFERROR(__xludf.DUMMYFUNCTION("""COMPUTED_VALUE"""),0.314964610717896)</f>
        <v>0.3149646107</v>
      </c>
      <c r="M116" s="8">
        <f>IFERROR(__xludf.DUMMYFUNCTION("""COMPUTED_VALUE"""),0.307886754297269)</f>
        <v>0.3078867543</v>
      </c>
      <c r="N116" s="8">
        <f>IFERROR(__xludf.DUMMYFUNCTION("""COMPUTED_VALUE"""),0.299443601416287)</f>
        <v>0.2994436014</v>
      </c>
      <c r="O116" s="8">
        <f>IFERROR(__xludf.DUMMYFUNCTION("""COMPUTED_VALUE"""),0.271623672230652)</f>
        <v>0.2716236722</v>
      </c>
      <c r="P116" s="8">
        <f>IFERROR(__xludf.DUMMYFUNCTION("""COMPUTED_VALUE"""),0.234311740890688)</f>
        <v>0.2343117409</v>
      </c>
      <c r="Q116" s="8">
        <f>IFERROR(__xludf.DUMMYFUNCTION("""COMPUTED_VALUE"""),0.18886075949367)</f>
        <v>0.1888607595</v>
      </c>
      <c r="R116" s="8">
        <f>IFERROR(__xludf.DUMMYFUNCTION("""COMPUTED_VALUE"""),0.166751140395337)</f>
        <v>0.1667511404</v>
      </c>
      <c r="S116" s="8">
        <f>IFERROR(__xludf.DUMMYFUNCTION("""COMPUTED_VALUE"""),0.149011657374556)</f>
        <v>0.1490116574</v>
      </c>
      <c r="T116" s="8">
        <f>IFERROR(__xludf.DUMMYFUNCTION("""COMPUTED_VALUE"""),0.125190065889508)</f>
        <v>0.1251900659</v>
      </c>
      <c r="U116" s="8">
        <f>IFERROR(__xludf.DUMMYFUNCTION("""COMPUTED_VALUE"""),0.112676056338028)</f>
        <v>0.1126760563</v>
      </c>
      <c r="V116" s="8">
        <f>IFERROR(__xludf.DUMMYFUNCTION("""COMPUTED_VALUE"""),0.0947955390334572)</f>
        <v>0.09479553903</v>
      </c>
      <c r="W116" s="8">
        <f>IFERROR(__xludf.DUMMYFUNCTION("""COMPUTED_VALUE"""),0.0802919708029197)</f>
        <v>0.0802919708</v>
      </c>
      <c r="X116" s="8">
        <f>IFERROR(__xludf.DUMMYFUNCTION("""COMPUTED_VALUE"""),0.0125786163522012)</f>
        <v>0.01257861635</v>
      </c>
      <c r="Y116" s="8">
        <f>IFERROR(__xludf.DUMMYFUNCTION("""COMPUTED_VALUE"""),0.0909090909090909)</f>
        <v>0.09090909091</v>
      </c>
      <c r="Z116" s="8">
        <f>IFERROR(__xludf.DUMMYFUNCTION("""COMPUTED_VALUE"""),0.0)</f>
        <v>0</v>
      </c>
      <c r="AA116" s="8">
        <f>IFERROR(__xludf.DUMMYFUNCTION("""COMPUTED_VALUE"""),0.0)</f>
        <v>0</v>
      </c>
      <c r="AB116" s="8">
        <f>IFERROR(__xludf.DUMMYFUNCTION("""COMPUTED_VALUE"""),0.0)</f>
        <v>0</v>
      </c>
      <c r="AC116" s="8">
        <f>IFERROR(__xludf.DUMMYFUNCTION("""COMPUTED_VALUE"""),0.0)</f>
        <v>0</v>
      </c>
    </row>
    <row r="117" ht="15.75" customHeight="1">
      <c r="A117" s="6" t="str">
        <f>IFERROR(__xludf.DUMMYFUNCTION("""COMPUTED_VALUE"""),"600fd3dce36442cc62b42d3dc874d91d13e1d8e4")</f>
        <v>600fd3dce36442cc62b42d3dc874d91d13e1d8e4</v>
      </c>
      <c r="B117" s="6" t="str">
        <f>IFERROR(__xludf.DUMMYFUNCTION("""COMPUTED_VALUE"""),"Solo Leveling Respawn")</f>
        <v>Solo Leveling Respawn</v>
      </c>
      <c r="C117" s="6" t="str">
        <f>IFERROR(__xludf.DUMMYFUNCTION("""COMPUTED_VALUE"""),"System and Superpower")</f>
        <v>System and Superpower</v>
      </c>
      <c r="D117" s="11">
        <f>IFERROR(__xludf.DUMMYFUNCTION("""COMPUTED_VALUE"""),277.0)</f>
        <v>277</v>
      </c>
      <c r="E117" s="8">
        <f>IFERROR(__xludf.DUMMYFUNCTION("""COMPUTED_VALUE"""),0.963898916967509)</f>
        <v>0.963898917</v>
      </c>
      <c r="F117" s="8">
        <f>IFERROR(__xludf.DUMMYFUNCTION("""COMPUTED_VALUE"""),0.42391304347826)</f>
        <v>0.4239130435</v>
      </c>
      <c r="G117" s="8">
        <f>IFERROR(__xludf.DUMMYFUNCTION("""COMPUTED_VALUE"""),0.324817518248175)</f>
        <v>0.3248175182</v>
      </c>
      <c r="H117" s="8">
        <f>IFERROR(__xludf.DUMMYFUNCTION("""COMPUTED_VALUE"""),0.286764705882352)</f>
        <v>0.2867647059</v>
      </c>
      <c r="I117" s="8">
        <f>IFERROR(__xludf.DUMMYFUNCTION("""COMPUTED_VALUE"""),0.262962962962962)</f>
        <v>0.262962963</v>
      </c>
      <c r="J117" s="8">
        <f>IFERROR(__xludf.DUMMYFUNCTION("""COMPUTED_VALUE"""),0.232209737827715)</f>
        <v>0.2322097378</v>
      </c>
      <c r="K117" s="8">
        <f>IFERROR(__xludf.DUMMYFUNCTION("""COMPUTED_VALUE"""),0.200757575757575)</f>
        <v>0.2007575758</v>
      </c>
      <c r="L117" s="8">
        <f>IFERROR(__xludf.DUMMYFUNCTION("""COMPUTED_VALUE"""),0.203846153846153)</f>
        <v>0.2038461538</v>
      </c>
      <c r="M117" s="8">
        <f>IFERROR(__xludf.DUMMYFUNCTION("""COMPUTED_VALUE"""),0.19921875)</f>
        <v>0.19921875</v>
      </c>
      <c r="N117" s="8">
        <f>IFERROR(__xludf.DUMMYFUNCTION("""COMPUTED_VALUE"""),0.19047619047619)</f>
        <v>0.1904761905</v>
      </c>
      <c r="O117" s="8">
        <f>IFERROR(__xludf.DUMMYFUNCTION("""COMPUTED_VALUE"""),0.141361256544502)</f>
        <v>0.1413612565</v>
      </c>
      <c r="P117" s="8">
        <f>IFERROR(__xludf.DUMMYFUNCTION("""COMPUTED_VALUE"""),0.121546961325966)</f>
        <v>0.1215469613</v>
      </c>
      <c r="Q117" s="8">
        <f>IFERROR(__xludf.DUMMYFUNCTION("""COMPUTED_VALUE"""),0.0794701986754966)</f>
        <v>0.07947019868</v>
      </c>
      <c r="R117" s="8">
        <f>IFERROR(__xludf.DUMMYFUNCTION("""COMPUTED_VALUE"""),0.044776119402985)</f>
        <v>0.0447761194</v>
      </c>
      <c r="S117" s="8">
        <f>IFERROR(__xludf.DUMMYFUNCTION("""COMPUTED_VALUE"""),0.0619469026548672)</f>
        <v>0.06194690265</v>
      </c>
      <c r="T117" s="8">
        <f>IFERROR(__xludf.DUMMYFUNCTION("""COMPUTED_VALUE"""),0.0421052631578947)</f>
        <v>0.04210526316</v>
      </c>
      <c r="U117" s="8">
        <f>IFERROR(__xludf.DUMMYFUNCTION("""COMPUTED_VALUE"""),0.0526315789473684)</f>
        <v>0.05263157895</v>
      </c>
      <c r="V117" s="8">
        <f>IFERROR(__xludf.DUMMYFUNCTION("""COMPUTED_VALUE"""),0.0333333333333333)</f>
        <v>0.03333333333</v>
      </c>
      <c r="W117" s="8">
        <f>IFERROR(__xludf.DUMMYFUNCTION("""COMPUTED_VALUE"""),0.0)</f>
        <v>0</v>
      </c>
      <c r="X117" s="8">
        <f>IFERROR(__xludf.DUMMYFUNCTION("""COMPUTED_VALUE"""),0.0)</f>
        <v>0</v>
      </c>
      <c r="Y117" s="8">
        <f>IFERROR(__xludf.DUMMYFUNCTION("""COMPUTED_VALUE"""),0.0)</f>
        <v>0</v>
      </c>
      <c r="Z117" s="8">
        <f>IFERROR(__xludf.DUMMYFUNCTION("""COMPUTED_VALUE"""),0.0)</f>
        <v>0</v>
      </c>
      <c r="AA117" s="8">
        <f>IFERROR(__xludf.DUMMYFUNCTION("""COMPUTED_VALUE"""),0.0)</f>
        <v>0</v>
      </c>
      <c r="AB117" s="8">
        <f>IFERROR(__xludf.DUMMYFUNCTION("""COMPUTED_VALUE"""),0.0)</f>
        <v>0</v>
      </c>
      <c r="AC117" s="8">
        <f>IFERROR(__xludf.DUMMYFUNCTION("""COMPUTED_VALUE"""),0.0)</f>
        <v>0</v>
      </c>
    </row>
    <row r="118" ht="15.75" customHeight="1">
      <c r="A118" s="6" t="str">
        <f>IFERROR(__xludf.DUMMYFUNCTION("""COMPUTED_VALUE"""),"607c0f609185406d26ef53f75ec53702dfb292d7")</f>
        <v>607c0f609185406d26ef53f75ec53702dfb292d7</v>
      </c>
      <c r="B118" s="6" t="str">
        <f>IFERROR(__xludf.DUMMYFUNCTION("""COMPUTED_VALUE"""),"The Chaosborn Child")</f>
        <v>The Chaosborn Child</v>
      </c>
      <c r="C118" s="6" t="str">
        <f>IFERROR(__xludf.DUMMYFUNCTION("""COMPUTED_VALUE"""),"Fantasy")</f>
        <v>Fantasy</v>
      </c>
      <c r="D118" s="11">
        <f>IFERROR(__xludf.DUMMYFUNCTION("""COMPUTED_VALUE"""),534.0)</f>
        <v>534</v>
      </c>
      <c r="E118" s="8">
        <f>IFERROR(__xludf.DUMMYFUNCTION("""COMPUTED_VALUE"""),0.966228893058161)</f>
        <v>0.9662288931</v>
      </c>
      <c r="F118" s="8">
        <f>IFERROR(__xludf.DUMMYFUNCTION("""COMPUTED_VALUE"""),0.519699812382739)</f>
        <v>0.5196998124</v>
      </c>
      <c r="G118" s="8">
        <f>IFERROR(__xludf.DUMMYFUNCTION("""COMPUTED_VALUE"""),0.454033771106941)</f>
        <v>0.4540337711</v>
      </c>
      <c r="H118" s="8">
        <f>IFERROR(__xludf.DUMMYFUNCTION("""COMPUTED_VALUE"""),0.416510318949343)</f>
        <v>0.4165103189</v>
      </c>
      <c r="I118" s="8">
        <f>IFERROR(__xludf.DUMMYFUNCTION("""COMPUTED_VALUE"""),0.393996247654784)</f>
        <v>0.3939962477</v>
      </c>
      <c r="J118" s="8">
        <f>IFERROR(__xludf.DUMMYFUNCTION("""COMPUTED_VALUE"""),0.383018867924528)</f>
        <v>0.3830188679</v>
      </c>
      <c r="K118" s="8">
        <f>IFERROR(__xludf.DUMMYFUNCTION("""COMPUTED_VALUE"""),0.362264150943396)</f>
        <v>0.3622641509</v>
      </c>
      <c r="L118" s="8">
        <f>IFERROR(__xludf.DUMMYFUNCTION("""COMPUTED_VALUE"""),0.335849056603773)</f>
        <v>0.3358490566</v>
      </c>
      <c r="M118" s="8">
        <f>IFERROR(__xludf.DUMMYFUNCTION("""COMPUTED_VALUE"""),0.313575525812619)</f>
        <v>0.3135755258</v>
      </c>
      <c r="N118" s="8">
        <f>IFERROR(__xludf.DUMMYFUNCTION("""COMPUTED_VALUE"""),0.302103250478011)</f>
        <v>0.3021032505</v>
      </c>
      <c r="O118" s="8">
        <f>IFERROR(__xludf.DUMMYFUNCTION("""COMPUTED_VALUE"""),0.28361858190709)</f>
        <v>0.2836185819</v>
      </c>
      <c r="P118" s="8">
        <f>IFERROR(__xludf.DUMMYFUNCTION("""COMPUTED_VALUE"""),0.242105263157894)</f>
        <v>0.2421052632</v>
      </c>
      <c r="Q118" s="8">
        <f>IFERROR(__xludf.DUMMYFUNCTION("""COMPUTED_VALUE"""),0.128712871287128)</f>
        <v>0.1287128713</v>
      </c>
      <c r="R118" s="8">
        <f>IFERROR(__xludf.DUMMYFUNCTION("""COMPUTED_VALUE"""),0.0888888888888888)</f>
        <v>0.08888888889</v>
      </c>
      <c r="S118" s="8">
        <f>IFERROR(__xludf.DUMMYFUNCTION("""COMPUTED_VALUE"""),0.0)</f>
        <v>0</v>
      </c>
      <c r="T118" s="8">
        <f>IFERROR(__xludf.DUMMYFUNCTION("""COMPUTED_VALUE"""),0.0)</f>
        <v>0</v>
      </c>
      <c r="U118" s="8">
        <f>IFERROR(__xludf.DUMMYFUNCTION("""COMPUTED_VALUE"""),0.0)</f>
        <v>0</v>
      </c>
      <c r="V118" s="8">
        <f>IFERROR(__xludf.DUMMYFUNCTION("""COMPUTED_VALUE"""),0.0)</f>
        <v>0</v>
      </c>
      <c r="W118" s="8">
        <f>IFERROR(__xludf.DUMMYFUNCTION("""COMPUTED_VALUE"""),0.0)</f>
        <v>0</v>
      </c>
      <c r="X118" s="8">
        <f>IFERROR(__xludf.DUMMYFUNCTION("""COMPUTED_VALUE"""),0.0)</f>
        <v>0</v>
      </c>
      <c r="Y118" s="8">
        <f>IFERROR(__xludf.DUMMYFUNCTION("""COMPUTED_VALUE"""),0.0)</f>
        <v>0</v>
      </c>
      <c r="Z118" s="8">
        <f>IFERROR(__xludf.DUMMYFUNCTION("""COMPUTED_VALUE"""),0.0)</f>
        <v>0</v>
      </c>
      <c r="AA118" s="8">
        <f>IFERROR(__xludf.DUMMYFUNCTION("""COMPUTED_VALUE"""),0.0)</f>
        <v>0</v>
      </c>
      <c r="AB118" s="8">
        <f>IFERROR(__xludf.DUMMYFUNCTION("""COMPUTED_VALUE"""),0.0)</f>
        <v>0</v>
      </c>
      <c r="AC118" s="8">
        <f>IFERROR(__xludf.DUMMYFUNCTION("""COMPUTED_VALUE"""),0.0)</f>
        <v>0</v>
      </c>
    </row>
    <row r="119" ht="15.75" customHeight="1">
      <c r="A119" s="6" t="str">
        <f>IFERROR(__xludf.DUMMYFUNCTION("""COMPUTED_VALUE"""),"616431aa030a50bfb34a59a1919f5a8db0c29017")</f>
        <v>616431aa030a50bfb34a59a1919f5a8db0c29017</v>
      </c>
      <c r="B119" s="6" t="str">
        <f>IFERROR(__xludf.DUMMYFUNCTION("""COMPUTED_VALUE"""),"She Came Back Fabulous")</f>
        <v>She Came Back Fabulous</v>
      </c>
      <c r="C119" s="6" t="str">
        <f>IFERROR(__xludf.DUMMYFUNCTION("""COMPUTED_VALUE"""),"Romance")</f>
        <v>Romance</v>
      </c>
      <c r="D119" s="11">
        <f>IFERROR(__xludf.DUMMYFUNCTION("""COMPUTED_VALUE"""),170.0)</f>
        <v>170</v>
      </c>
      <c r="E119" s="8">
        <f>IFERROR(__xludf.DUMMYFUNCTION("""COMPUTED_VALUE"""),0.964071856287425)</f>
        <v>0.9640718563</v>
      </c>
      <c r="F119" s="8">
        <f>IFERROR(__xludf.DUMMYFUNCTION("""COMPUTED_VALUE"""),0.463414634146341)</f>
        <v>0.4634146341</v>
      </c>
      <c r="G119" s="8">
        <f>IFERROR(__xludf.DUMMYFUNCTION("""COMPUTED_VALUE"""),0.41358024691358)</f>
        <v>0.4135802469</v>
      </c>
      <c r="H119" s="8">
        <f>IFERROR(__xludf.DUMMYFUNCTION("""COMPUTED_VALUE"""),0.35)</f>
        <v>0.35</v>
      </c>
      <c r="I119" s="8">
        <f>IFERROR(__xludf.DUMMYFUNCTION("""COMPUTED_VALUE"""),0.320754716981132)</f>
        <v>0.320754717</v>
      </c>
      <c r="J119" s="8">
        <f>IFERROR(__xludf.DUMMYFUNCTION("""COMPUTED_VALUE"""),0.311688311688311)</f>
        <v>0.3116883117</v>
      </c>
      <c r="K119" s="8">
        <f>IFERROR(__xludf.DUMMYFUNCTION("""COMPUTED_VALUE"""),0.277777777777777)</f>
        <v>0.2777777778</v>
      </c>
      <c r="L119" s="8">
        <f>IFERROR(__xludf.DUMMYFUNCTION("""COMPUTED_VALUE"""),0.239130434782608)</f>
        <v>0.2391304348</v>
      </c>
      <c r="M119" s="8">
        <f>IFERROR(__xludf.DUMMYFUNCTION("""COMPUTED_VALUE"""),0.197080291970802)</f>
        <v>0.197080292</v>
      </c>
      <c r="N119" s="8">
        <f>IFERROR(__xludf.DUMMYFUNCTION("""COMPUTED_VALUE"""),0.17)</f>
        <v>0.17</v>
      </c>
      <c r="O119" s="8">
        <f>IFERROR(__xludf.DUMMYFUNCTION("""COMPUTED_VALUE"""),0.13953488372093)</f>
        <v>0.1395348837</v>
      </c>
      <c r="P119" s="8">
        <f>IFERROR(__xludf.DUMMYFUNCTION("""COMPUTED_VALUE"""),0.134328358208955)</f>
        <v>0.1343283582</v>
      </c>
      <c r="Q119" s="8">
        <f>IFERROR(__xludf.DUMMYFUNCTION("""COMPUTED_VALUE"""),0.0)</f>
        <v>0</v>
      </c>
      <c r="R119" s="8">
        <f>IFERROR(__xludf.DUMMYFUNCTION("""COMPUTED_VALUE"""),0.0)</f>
        <v>0</v>
      </c>
      <c r="S119" s="8">
        <f>IFERROR(__xludf.DUMMYFUNCTION("""COMPUTED_VALUE"""),0.0)</f>
        <v>0</v>
      </c>
      <c r="T119" s="8">
        <f>IFERROR(__xludf.DUMMYFUNCTION("""COMPUTED_VALUE"""),0.0)</f>
        <v>0</v>
      </c>
      <c r="U119" s="8">
        <f>IFERROR(__xludf.DUMMYFUNCTION("""COMPUTED_VALUE"""),0.0)</f>
        <v>0</v>
      </c>
      <c r="V119" s="8">
        <f>IFERROR(__xludf.DUMMYFUNCTION("""COMPUTED_VALUE"""),0.0)</f>
        <v>0</v>
      </c>
      <c r="W119" s="8">
        <f>IFERROR(__xludf.DUMMYFUNCTION("""COMPUTED_VALUE"""),0.0)</f>
        <v>0</v>
      </c>
      <c r="X119" s="8">
        <f>IFERROR(__xludf.DUMMYFUNCTION("""COMPUTED_VALUE"""),0.0)</f>
        <v>0</v>
      </c>
      <c r="Y119" s="8">
        <f>IFERROR(__xludf.DUMMYFUNCTION("""COMPUTED_VALUE"""),0.0)</f>
        <v>0</v>
      </c>
      <c r="Z119" s="8">
        <f>IFERROR(__xludf.DUMMYFUNCTION("""COMPUTED_VALUE"""),0.0)</f>
        <v>0</v>
      </c>
      <c r="AA119" s="8">
        <f>IFERROR(__xludf.DUMMYFUNCTION("""COMPUTED_VALUE"""),0.0)</f>
        <v>0</v>
      </c>
      <c r="AB119" s="8">
        <f>IFERROR(__xludf.DUMMYFUNCTION("""COMPUTED_VALUE"""),0.0)</f>
        <v>0</v>
      </c>
      <c r="AC119" s="8">
        <f>IFERROR(__xludf.DUMMYFUNCTION("""COMPUTED_VALUE"""),0.0)</f>
        <v>0</v>
      </c>
    </row>
    <row r="120" ht="15.75" customHeight="1">
      <c r="A120" s="6" t="str">
        <f>IFERROR(__xludf.DUMMYFUNCTION("""COMPUTED_VALUE"""),"6214ecac2801afde28aa63c555faf06203321c85")</f>
        <v>6214ecac2801afde28aa63c555faf06203321c85</v>
      </c>
      <c r="B120" s="6" t="str">
        <f>IFERROR(__xludf.DUMMYFUNCTION("""COMPUTED_VALUE"""),"Love Behind the Screen")</f>
        <v>Love Behind the Screen</v>
      </c>
      <c r="C120" s="6" t="str">
        <f>IFERROR(__xludf.DUMMYFUNCTION("""COMPUTED_VALUE"""),"Romance")</f>
        <v>Romance</v>
      </c>
      <c r="D120" s="11">
        <f>IFERROR(__xludf.DUMMYFUNCTION("""COMPUTED_VALUE"""),349.0)</f>
        <v>349</v>
      </c>
      <c r="E120" s="8">
        <f>IFERROR(__xludf.DUMMYFUNCTION("""COMPUTED_VALUE"""),0.971264367816091)</f>
        <v>0.9712643678</v>
      </c>
      <c r="F120" s="8">
        <f>IFERROR(__xludf.DUMMYFUNCTION("""COMPUTED_VALUE"""),0.279538904899135)</f>
        <v>0.2795389049</v>
      </c>
      <c r="G120" s="8">
        <f>IFERROR(__xludf.DUMMYFUNCTION("""COMPUTED_VALUE"""),0.216138328530259)</f>
        <v>0.2161383285</v>
      </c>
      <c r="H120" s="8">
        <f>IFERROR(__xludf.DUMMYFUNCTION("""COMPUTED_VALUE"""),0.204610951008645)</f>
        <v>0.204610951</v>
      </c>
      <c r="I120" s="8">
        <f>IFERROR(__xludf.DUMMYFUNCTION("""COMPUTED_VALUE"""),0.176300578034682)</f>
        <v>0.176300578</v>
      </c>
      <c r="J120" s="8">
        <f>IFERROR(__xludf.DUMMYFUNCTION("""COMPUTED_VALUE"""),0.173410404624277)</f>
        <v>0.1734104046</v>
      </c>
      <c r="K120" s="8">
        <f>IFERROR(__xludf.DUMMYFUNCTION("""COMPUTED_VALUE"""),0.161849710982658)</f>
        <v>0.161849711</v>
      </c>
      <c r="L120" s="8">
        <f>IFERROR(__xludf.DUMMYFUNCTION("""COMPUTED_VALUE"""),0.144508670520231)</f>
        <v>0.1445086705</v>
      </c>
      <c r="M120" s="8">
        <f>IFERROR(__xludf.DUMMYFUNCTION("""COMPUTED_VALUE"""),0.144508670520231)</f>
        <v>0.1445086705</v>
      </c>
      <c r="N120" s="8">
        <f>IFERROR(__xludf.DUMMYFUNCTION("""COMPUTED_VALUE"""),0.136627906976744)</f>
        <v>0.136627907</v>
      </c>
      <c r="O120" s="8">
        <f>IFERROR(__xludf.DUMMYFUNCTION("""COMPUTED_VALUE"""),0.116207951070336)</f>
        <v>0.1162079511</v>
      </c>
      <c r="P120" s="8">
        <f>IFERROR(__xludf.DUMMYFUNCTION("""COMPUTED_VALUE"""),0.0638977635782747)</f>
        <v>0.06389776358</v>
      </c>
      <c r="Q120" s="8">
        <f>IFERROR(__xludf.DUMMYFUNCTION("""COMPUTED_VALUE"""),0.0449826989619377)</f>
        <v>0.04498269896</v>
      </c>
      <c r="R120" s="8">
        <f>IFERROR(__xludf.DUMMYFUNCTION("""COMPUTED_VALUE"""),0.0309278350515463)</f>
        <v>0.03092783505</v>
      </c>
      <c r="S120" s="8">
        <f>IFERROR(__xludf.DUMMYFUNCTION("""COMPUTED_VALUE"""),0.0388349514563106)</f>
        <v>0.03883495146</v>
      </c>
      <c r="T120" s="8">
        <f>IFERROR(__xludf.DUMMYFUNCTION("""COMPUTED_VALUE"""),0.0)</f>
        <v>0</v>
      </c>
      <c r="U120" s="8">
        <f>IFERROR(__xludf.DUMMYFUNCTION("""COMPUTED_VALUE"""),0.0)</f>
        <v>0</v>
      </c>
      <c r="V120" s="8">
        <f>IFERROR(__xludf.DUMMYFUNCTION("""COMPUTED_VALUE"""),0.0)</f>
        <v>0</v>
      </c>
      <c r="W120" s="8">
        <f>IFERROR(__xludf.DUMMYFUNCTION("""COMPUTED_VALUE"""),0.0)</f>
        <v>0</v>
      </c>
      <c r="X120" s="8">
        <f>IFERROR(__xludf.DUMMYFUNCTION("""COMPUTED_VALUE"""),0.0)</f>
        <v>0</v>
      </c>
      <c r="Y120" s="8">
        <f>IFERROR(__xludf.DUMMYFUNCTION("""COMPUTED_VALUE"""),0.0)</f>
        <v>0</v>
      </c>
      <c r="Z120" s="8">
        <f>IFERROR(__xludf.DUMMYFUNCTION("""COMPUTED_VALUE"""),0.0)</f>
        <v>0</v>
      </c>
      <c r="AA120" s="8">
        <f>IFERROR(__xludf.DUMMYFUNCTION("""COMPUTED_VALUE"""),0.0)</f>
        <v>0</v>
      </c>
      <c r="AB120" s="8">
        <f>IFERROR(__xludf.DUMMYFUNCTION("""COMPUTED_VALUE"""),0.0)</f>
        <v>0</v>
      </c>
      <c r="AC120" s="8">
        <f>IFERROR(__xludf.DUMMYFUNCTION("""COMPUTED_VALUE"""),0.0)</f>
        <v>0</v>
      </c>
    </row>
    <row r="121" ht="15.75" customHeight="1">
      <c r="A121" s="6" t="str">
        <f>IFERROR(__xludf.DUMMYFUNCTION("""COMPUTED_VALUE"""),"622c96a576425047d6bff8447205921132d7f61c")</f>
        <v>622c96a576425047d6bff8447205921132d7f61c</v>
      </c>
      <c r="B121" s="6" t="str">
        <f>IFERROR(__xludf.DUMMYFUNCTION("""COMPUTED_VALUE"""),"The Exit Nobody Expected")</f>
        <v>The Exit Nobody Expected</v>
      </c>
      <c r="C121" s="6" t="str">
        <f>IFERROR(__xludf.DUMMYFUNCTION("""COMPUTED_VALUE"""),"Suspense or Thriller")</f>
        <v>Suspense or Thriller</v>
      </c>
      <c r="D121" s="11">
        <f>IFERROR(__xludf.DUMMYFUNCTION("""COMPUTED_VALUE"""),26.0)</f>
        <v>26</v>
      </c>
      <c r="E121" s="8">
        <f>IFERROR(__xludf.DUMMYFUNCTION("""COMPUTED_VALUE"""),1.0)</f>
        <v>1</v>
      </c>
      <c r="F121" s="8">
        <f>IFERROR(__xludf.DUMMYFUNCTION("""COMPUTED_VALUE"""),0.217391304347826)</f>
        <v>0.2173913043</v>
      </c>
      <c r="G121" s="8">
        <f>IFERROR(__xludf.DUMMYFUNCTION("""COMPUTED_VALUE"""),0.217391304347826)</f>
        <v>0.2173913043</v>
      </c>
      <c r="H121" s="8">
        <f>IFERROR(__xludf.DUMMYFUNCTION("""COMPUTED_VALUE"""),0.17391304347826)</f>
        <v>0.1739130435</v>
      </c>
      <c r="I121" s="8">
        <f>IFERROR(__xludf.DUMMYFUNCTION("""COMPUTED_VALUE"""),0.142857142857142)</f>
        <v>0.1428571429</v>
      </c>
      <c r="J121" s="8">
        <f>IFERROR(__xludf.DUMMYFUNCTION("""COMPUTED_VALUE"""),0.142857142857142)</f>
        <v>0.1428571429</v>
      </c>
      <c r="K121" s="8">
        <f>IFERROR(__xludf.DUMMYFUNCTION("""COMPUTED_VALUE"""),0.15)</f>
        <v>0.15</v>
      </c>
      <c r="L121" s="8">
        <f>IFERROR(__xludf.DUMMYFUNCTION("""COMPUTED_VALUE"""),0.105263157894736)</f>
        <v>0.1052631579</v>
      </c>
      <c r="M121" s="8">
        <f>IFERROR(__xludf.DUMMYFUNCTION("""COMPUTED_VALUE"""),0.105263157894736)</f>
        <v>0.1052631579</v>
      </c>
      <c r="N121" s="8">
        <f>IFERROR(__xludf.DUMMYFUNCTION("""COMPUTED_VALUE"""),0.125)</f>
        <v>0.125</v>
      </c>
      <c r="O121" s="8">
        <f>IFERROR(__xludf.DUMMYFUNCTION("""COMPUTED_VALUE"""),0.142857142857142)</f>
        <v>0.1428571429</v>
      </c>
      <c r="P121" s="8">
        <f>IFERROR(__xludf.DUMMYFUNCTION("""COMPUTED_VALUE"""),0.222222222222222)</f>
        <v>0.2222222222</v>
      </c>
      <c r="Q121" s="8">
        <f>IFERROR(__xludf.DUMMYFUNCTION("""COMPUTED_VALUE"""),0.0)</f>
        <v>0</v>
      </c>
      <c r="R121" s="8">
        <f>IFERROR(__xludf.DUMMYFUNCTION("""COMPUTED_VALUE"""),0.0)</f>
        <v>0</v>
      </c>
      <c r="S121" s="8">
        <f>IFERROR(__xludf.DUMMYFUNCTION("""COMPUTED_VALUE"""),0.0)</f>
        <v>0</v>
      </c>
      <c r="T121" s="8">
        <f>IFERROR(__xludf.DUMMYFUNCTION("""COMPUTED_VALUE"""),0.0)</f>
        <v>0</v>
      </c>
      <c r="U121" s="8">
        <f>IFERROR(__xludf.DUMMYFUNCTION("""COMPUTED_VALUE"""),0.0)</f>
        <v>0</v>
      </c>
      <c r="V121" s="8">
        <f>IFERROR(__xludf.DUMMYFUNCTION("""COMPUTED_VALUE"""),0.0)</f>
        <v>0</v>
      </c>
      <c r="W121" s="8">
        <f>IFERROR(__xludf.DUMMYFUNCTION("""COMPUTED_VALUE"""),0.0)</f>
        <v>0</v>
      </c>
      <c r="X121" s="8">
        <f>IFERROR(__xludf.DUMMYFUNCTION("""COMPUTED_VALUE"""),0.0)</f>
        <v>0</v>
      </c>
      <c r="Y121" s="8">
        <f>IFERROR(__xludf.DUMMYFUNCTION("""COMPUTED_VALUE"""),0.0)</f>
        <v>0</v>
      </c>
      <c r="Z121" s="8">
        <f>IFERROR(__xludf.DUMMYFUNCTION("""COMPUTED_VALUE"""),0.0)</f>
        <v>0</v>
      </c>
      <c r="AA121" s="8">
        <f>IFERROR(__xludf.DUMMYFUNCTION("""COMPUTED_VALUE"""),0.0)</f>
        <v>0</v>
      </c>
      <c r="AB121" s="8">
        <f>IFERROR(__xludf.DUMMYFUNCTION("""COMPUTED_VALUE"""),0.0)</f>
        <v>0</v>
      </c>
      <c r="AC121" s="8">
        <f>IFERROR(__xludf.DUMMYFUNCTION("""COMPUTED_VALUE"""),0.0)</f>
        <v>0</v>
      </c>
    </row>
    <row r="122" ht="15.75" customHeight="1">
      <c r="A122" s="6" t="str">
        <f>IFERROR(__xludf.DUMMYFUNCTION("""COMPUTED_VALUE"""),"6346e154f10078de4f17cbc6268066519b02789f")</f>
        <v>6346e154f10078de4f17cbc6268066519b02789f</v>
      </c>
      <c r="B122" s="6" t="str">
        <f>IFERROR(__xludf.DUMMYFUNCTION("""COMPUTED_VALUE"""),"Doctor Young")</f>
        <v>Doctor Young</v>
      </c>
      <c r="C122" s="6" t="str">
        <f>IFERROR(__xludf.DUMMYFUNCTION("""COMPUTED_VALUE"""),"Suspense or Thriller")</f>
        <v>Suspense or Thriller</v>
      </c>
      <c r="D122" s="11">
        <f>IFERROR(__xludf.DUMMYFUNCTION("""COMPUTED_VALUE"""),876.0)</f>
        <v>876</v>
      </c>
      <c r="E122" s="8">
        <f>IFERROR(__xludf.DUMMYFUNCTION("""COMPUTED_VALUE"""),0.95752009184845)</f>
        <v>0.9575200918</v>
      </c>
      <c r="F122" s="8">
        <f>IFERROR(__xludf.DUMMYFUNCTION("""COMPUTED_VALUE"""),0.349078341013824)</f>
        <v>0.349078341</v>
      </c>
      <c r="G122" s="8">
        <f>IFERROR(__xludf.DUMMYFUNCTION("""COMPUTED_VALUE"""),0.302540415704388)</f>
        <v>0.3025404157</v>
      </c>
      <c r="H122" s="8">
        <f>IFERROR(__xludf.DUMMYFUNCTION("""COMPUTED_VALUE"""),0.277712952158693)</f>
        <v>0.2777129522</v>
      </c>
      <c r="I122" s="8">
        <f>IFERROR(__xludf.DUMMYFUNCTION("""COMPUTED_VALUE"""),0.248831775700934)</f>
        <v>0.2488317757</v>
      </c>
      <c r="J122" s="8">
        <f>IFERROR(__xludf.DUMMYFUNCTION("""COMPUTED_VALUE"""),0.235087719298245)</f>
        <v>0.2350877193</v>
      </c>
      <c r="K122" s="8">
        <f>IFERROR(__xludf.DUMMYFUNCTION("""COMPUTED_VALUE"""),0.207502930832356)</f>
        <v>0.2075029308</v>
      </c>
      <c r="L122" s="8">
        <f>IFERROR(__xludf.DUMMYFUNCTION("""COMPUTED_VALUE"""),0.182783018867924)</f>
        <v>0.1827830189</v>
      </c>
      <c r="M122" s="8">
        <f>IFERROR(__xludf.DUMMYFUNCTION("""COMPUTED_VALUE"""),0.162514827995255)</f>
        <v>0.162514828</v>
      </c>
      <c r="N122" s="8">
        <f>IFERROR(__xludf.DUMMYFUNCTION("""COMPUTED_VALUE"""),0.162064825930372)</f>
        <v>0.1620648259</v>
      </c>
      <c r="O122" s="8">
        <f>IFERROR(__xludf.DUMMYFUNCTION("""COMPUTED_VALUE"""),0.13)</f>
        <v>0.13</v>
      </c>
      <c r="P122" s="8">
        <f>IFERROR(__xludf.DUMMYFUNCTION("""COMPUTED_VALUE"""),0.106060606060606)</f>
        <v>0.1060606061</v>
      </c>
      <c r="Q122" s="8">
        <f>IFERROR(__xludf.DUMMYFUNCTION("""COMPUTED_VALUE"""),0.0703324808184143)</f>
        <v>0.07033248082</v>
      </c>
      <c r="R122" s="8">
        <f>IFERROR(__xludf.DUMMYFUNCTION("""COMPUTED_VALUE"""),0.0435339308578745)</f>
        <v>0.04353393086</v>
      </c>
      <c r="S122" s="8">
        <f>IFERROR(__xludf.DUMMYFUNCTION("""COMPUTED_VALUE"""),0.0)</f>
        <v>0</v>
      </c>
      <c r="T122" s="8">
        <f>IFERROR(__xludf.DUMMYFUNCTION("""COMPUTED_VALUE"""),0.0)</f>
        <v>0</v>
      </c>
      <c r="U122" s="8">
        <f>IFERROR(__xludf.DUMMYFUNCTION("""COMPUTED_VALUE"""),0.0)</f>
        <v>0</v>
      </c>
      <c r="V122" s="8">
        <f>IFERROR(__xludf.DUMMYFUNCTION("""COMPUTED_VALUE"""),0.0)</f>
        <v>0</v>
      </c>
      <c r="W122" s="8">
        <f>IFERROR(__xludf.DUMMYFUNCTION("""COMPUTED_VALUE"""),0.0)</f>
        <v>0</v>
      </c>
      <c r="X122" s="8">
        <f>IFERROR(__xludf.DUMMYFUNCTION("""COMPUTED_VALUE"""),0.0)</f>
        <v>0</v>
      </c>
      <c r="Y122" s="8">
        <f>IFERROR(__xludf.DUMMYFUNCTION("""COMPUTED_VALUE"""),0.0)</f>
        <v>0</v>
      </c>
      <c r="Z122" s="8">
        <f>IFERROR(__xludf.DUMMYFUNCTION("""COMPUTED_VALUE"""),0.0)</f>
        <v>0</v>
      </c>
      <c r="AA122" s="8">
        <f>IFERROR(__xludf.DUMMYFUNCTION("""COMPUTED_VALUE"""),0.0)</f>
        <v>0</v>
      </c>
      <c r="AB122" s="8">
        <f>IFERROR(__xludf.DUMMYFUNCTION("""COMPUTED_VALUE"""),0.0)</f>
        <v>0</v>
      </c>
      <c r="AC122" s="8">
        <f>IFERROR(__xludf.DUMMYFUNCTION("""COMPUTED_VALUE"""),0.0)</f>
        <v>0</v>
      </c>
    </row>
    <row r="123" ht="15.75" customHeight="1">
      <c r="A123" s="6" t="str">
        <f>IFERROR(__xludf.DUMMYFUNCTION("""COMPUTED_VALUE"""),"646112abf2d6a5c232155a853f029ad1737b504e")</f>
        <v>646112abf2d6a5c232155a853f029ad1737b504e</v>
      </c>
      <c r="B123" s="6" t="str">
        <f>IFERROR(__xludf.DUMMYFUNCTION("""COMPUTED_VALUE"""),"Gatebreak")</f>
        <v>Gatebreak</v>
      </c>
      <c r="C123" s="6" t="str">
        <f>IFERROR(__xludf.DUMMYFUNCTION("""COMPUTED_VALUE"""),"Fantasy")</f>
        <v>Fantasy</v>
      </c>
      <c r="D123" s="11">
        <f>IFERROR(__xludf.DUMMYFUNCTION("""COMPUTED_VALUE"""),1275.0)</f>
        <v>1275</v>
      </c>
      <c r="E123" s="8">
        <f>IFERROR(__xludf.DUMMYFUNCTION("""COMPUTED_VALUE"""),0.937057435090479)</f>
        <v>0.9370574351</v>
      </c>
      <c r="F123" s="8">
        <f>IFERROR(__xludf.DUMMYFUNCTION("""COMPUTED_VALUE"""),0.612954186413902)</f>
        <v>0.6129541864</v>
      </c>
      <c r="G123" s="8">
        <f>IFERROR(__xludf.DUMMYFUNCTION("""COMPUTED_VALUE"""),0.567803330689928)</f>
        <v>0.5678033307</v>
      </c>
      <c r="H123" s="8">
        <f>IFERROR(__xludf.DUMMYFUNCTION("""COMPUTED_VALUE"""),0.533546325878594)</f>
        <v>0.5335463259</v>
      </c>
      <c r="I123" s="8">
        <f>IFERROR(__xludf.DUMMYFUNCTION("""COMPUTED_VALUE"""),0.519647153167602)</f>
        <v>0.5196471532</v>
      </c>
      <c r="J123" s="8">
        <f>IFERROR(__xludf.DUMMYFUNCTION("""COMPUTED_VALUE"""),0.509266720386784)</f>
        <v>0.5092667204</v>
      </c>
      <c r="K123" s="8">
        <f>IFERROR(__xludf.DUMMYFUNCTION("""COMPUTED_VALUE"""),0.496356275303643)</f>
        <v>0.4963562753</v>
      </c>
      <c r="L123" s="8">
        <f>IFERROR(__xludf.DUMMYFUNCTION("""COMPUTED_VALUE"""),0.486530612244897)</f>
        <v>0.4865306122</v>
      </c>
      <c r="M123" s="8">
        <f>IFERROR(__xludf.DUMMYFUNCTION("""COMPUTED_VALUE"""),0.477941176470588)</f>
        <v>0.4779411765</v>
      </c>
      <c r="N123" s="8">
        <f>IFERROR(__xludf.DUMMYFUNCTION("""COMPUTED_VALUE"""),0.472906403940886)</f>
        <v>0.4729064039</v>
      </c>
      <c r="O123" s="8">
        <f>IFERROR(__xludf.DUMMYFUNCTION("""COMPUTED_VALUE"""),0.415529010238907)</f>
        <v>0.4155290102</v>
      </c>
      <c r="P123" s="8">
        <f>IFERROR(__xludf.DUMMYFUNCTION("""COMPUTED_VALUE"""),0.301573426573426)</f>
        <v>0.3015734266</v>
      </c>
      <c r="Q123" s="8">
        <f>IFERROR(__xludf.DUMMYFUNCTION("""COMPUTED_VALUE"""),0.225285171102661)</f>
        <v>0.2252851711</v>
      </c>
      <c r="R123" s="8">
        <f>IFERROR(__xludf.DUMMYFUNCTION("""COMPUTED_VALUE"""),0.164212910532276)</f>
        <v>0.1642129105</v>
      </c>
      <c r="S123" s="8">
        <f>IFERROR(__xludf.DUMMYFUNCTION("""COMPUTED_VALUE"""),0.123552123552123)</f>
        <v>0.1235521236</v>
      </c>
      <c r="T123" s="8">
        <f>IFERROR(__xludf.DUMMYFUNCTION("""COMPUTED_VALUE"""),0.105263157894736)</f>
        <v>0.1052631579</v>
      </c>
      <c r="U123" s="8">
        <f>IFERROR(__xludf.DUMMYFUNCTION("""COMPUTED_VALUE"""),0.0769230769230769)</f>
        <v>0.07692307692</v>
      </c>
      <c r="V123" s="8">
        <f>IFERROR(__xludf.DUMMYFUNCTION("""COMPUTED_VALUE"""),0.0)</f>
        <v>0</v>
      </c>
      <c r="W123" s="8">
        <f>IFERROR(__xludf.DUMMYFUNCTION("""COMPUTED_VALUE"""),0.0)</f>
        <v>0</v>
      </c>
      <c r="X123" s="8">
        <f>IFERROR(__xludf.DUMMYFUNCTION("""COMPUTED_VALUE"""),0.0)</f>
        <v>0</v>
      </c>
      <c r="Y123" s="8">
        <f>IFERROR(__xludf.DUMMYFUNCTION("""COMPUTED_VALUE"""),0.0)</f>
        <v>0</v>
      </c>
      <c r="Z123" s="8">
        <f>IFERROR(__xludf.DUMMYFUNCTION("""COMPUTED_VALUE"""),0.0)</f>
        <v>0</v>
      </c>
      <c r="AA123" s="8">
        <f>IFERROR(__xludf.DUMMYFUNCTION("""COMPUTED_VALUE"""),0.0)</f>
        <v>0</v>
      </c>
      <c r="AB123" s="8">
        <f>IFERROR(__xludf.DUMMYFUNCTION("""COMPUTED_VALUE"""),0.0)</f>
        <v>0</v>
      </c>
      <c r="AC123" s="8">
        <f>IFERROR(__xludf.DUMMYFUNCTION("""COMPUTED_VALUE"""),0.0)</f>
        <v>0</v>
      </c>
    </row>
    <row r="124" ht="15.75" customHeight="1">
      <c r="A124" s="6" t="str">
        <f>IFERROR(__xludf.DUMMYFUNCTION("""COMPUTED_VALUE"""),"6537ebcf99ebb2572c378cc92edd07b6d165b13b")</f>
        <v>6537ebcf99ebb2572c378cc92edd07b6d165b13b</v>
      </c>
      <c r="B124" s="6" t="str">
        <f>IFERROR(__xludf.DUMMYFUNCTION("""COMPUTED_VALUE"""),"The Legendary Beast Archi")</f>
        <v>The Legendary Beast Archi</v>
      </c>
      <c r="C124" s="6" t="str">
        <f>IFERROR(__xludf.DUMMYFUNCTION("""COMPUTED_VALUE"""),"Fantasy")</f>
        <v>Fantasy</v>
      </c>
      <c r="D124" s="11">
        <f>IFERROR(__xludf.DUMMYFUNCTION("""COMPUTED_VALUE"""),770.0)</f>
        <v>770</v>
      </c>
      <c r="E124" s="8">
        <f>IFERROR(__xludf.DUMMYFUNCTION("""COMPUTED_VALUE"""),0.983094928478543)</f>
        <v>0.9830949285</v>
      </c>
      <c r="F124" s="8">
        <f>IFERROR(__xludf.DUMMYFUNCTION("""COMPUTED_VALUE"""),0.568807339449541)</f>
        <v>0.5688073394</v>
      </c>
      <c r="G124" s="8">
        <f>IFERROR(__xludf.DUMMYFUNCTION("""COMPUTED_VALUE"""),0.509829619921363)</f>
        <v>0.5098296199</v>
      </c>
      <c r="H124" s="8">
        <f>IFERROR(__xludf.DUMMYFUNCTION("""COMPUTED_VALUE"""),0.471052631578947)</f>
        <v>0.4710526316</v>
      </c>
      <c r="I124" s="8">
        <f>IFERROR(__xludf.DUMMYFUNCTION("""COMPUTED_VALUE"""),0.444444444444444)</f>
        <v>0.4444444444</v>
      </c>
      <c r="J124" s="8">
        <f>IFERROR(__xludf.DUMMYFUNCTION("""COMPUTED_VALUE"""),0.409348441926345)</f>
        <v>0.4093484419</v>
      </c>
      <c r="K124" s="8">
        <f>IFERROR(__xludf.DUMMYFUNCTION("""COMPUTED_VALUE"""),0.403426791277258)</f>
        <v>0.4034267913</v>
      </c>
      <c r="L124" s="8">
        <f>IFERROR(__xludf.DUMMYFUNCTION("""COMPUTED_VALUE"""),0.393474088291746)</f>
        <v>0.3934740883</v>
      </c>
      <c r="M124" s="8">
        <f>IFERROR(__xludf.DUMMYFUNCTION("""COMPUTED_VALUE"""),0.366141732283464)</f>
        <v>0.3661417323</v>
      </c>
      <c r="N124" s="8">
        <f>IFERROR(__xludf.DUMMYFUNCTION("""COMPUTED_VALUE"""),0.319402985074626)</f>
        <v>0.3194029851</v>
      </c>
      <c r="O124" s="8">
        <f>IFERROR(__xludf.DUMMYFUNCTION("""COMPUTED_VALUE"""),0.23076923076923)</f>
        <v>0.2307692308</v>
      </c>
      <c r="P124" s="8">
        <f>IFERROR(__xludf.DUMMYFUNCTION("""COMPUTED_VALUE"""),0.0625)</f>
        <v>0.0625</v>
      </c>
      <c r="Q124" s="8">
        <f>IFERROR(__xludf.DUMMYFUNCTION("""COMPUTED_VALUE"""),0.0)</f>
        <v>0</v>
      </c>
      <c r="R124" s="8">
        <f>IFERROR(__xludf.DUMMYFUNCTION("""COMPUTED_VALUE"""),0.0)</f>
        <v>0</v>
      </c>
      <c r="S124" s="8">
        <f>IFERROR(__xludf.DUMMYFUNCTION("""COMPUTED_VALUE"""),0.0)</f>
        <v>0</v>
      </c>
      <c r="T124" s="8">
        <f>IFERROR(__xludf.DUMMYFUNCTION("""COMPUTED_VALUE"""),0.0)</f>
        <v>0</v>
      </c>
      <c r="U124" s="8">
        <f>IFERROR(__xludf.DUMMYFUNCTION("""COMPUTED_VALUE"""),0.0)</f>
        <v>0</v>
      </c>
      <c r="V124" s="8">
        <f>IFERROR(__xludf.DUMMYFUNCTION("""COMPUTED_VALUE"""),0.0)</f>
        <v>0</v>
      </c>
      <c r="W124" s="8">
        <f>IFERROR(__xludf.DUMMYFUNCTION("""COMPUTED_VALUE"""),0.0)</f>
        <v>0</v>
      </c>
      <c r="X124" s="8">
        <f>IFERROR(__xludf.DUMMYFUNCTION("""COMPUTED_VALUE"""),0.0)</f>
        <v>0</v>
      </c>
      <c r="Y124" s="8">
        <f>IFERROR(__xludf.DUMMYFUNCTION("""COMPUTED_VALUE"""),0.0)</f>
        <v>0</v>
      </c>
      <c r="Z124" s="8">
        <f>IFERROR(__xludf.DUMMYFUNCTION("""COMPUTED_VALUE"""),0.0)</f>
        <v>0</v>
      </c>
      <c r="AA124" s="8">
        <f>IFERROR(__xludf.DUMMYFUNCTION("""COMPUTED_VALUE"""),0.0)</f>
        <v>0</v>
      </c>
      <c r="AB124" s="8">
        <f>IFERROR(__xludf.DUMMYFUNCTION("""COMPUTED_VALUE"""),0.0)</f>
        <v>0</v>
      </c>
      <c r="AC124" s="8">
        <f>IFERROR(__xludf.DUMMYFUNCTION("""COMPUTED_VALUE"""),0.0)</f>
        <v>0</v>
      </c>
    </row>
    <row r="125" ht="15.75" customHeight="1">
      <c r="A125" s="6" t="str">
        <f>IFERROR(__xludf.DUMMYFUNCTION("""COMPUTED_VALUE"""),"66e5597d741c6d87c2bc8e35ec83065242c0e34d")</f>
        <v>66e5597d741c6d87c2bc8e35ec83065242c0e34d</v>
      </c>
      <c r="B125" s="6" t="str">
        <f>IFERROR(__xludf.DUMMYFUNCTION("""COMPUTED_VALUE"""),"Sky Lord")</f>
        <v>Sky Lord</v>
      </c>
      <c r="C125" s="6" t="str">
        <f>IFERROR(__xludf.DUMMYFUNCTION("""COMPUTED_VALUE"""),"Fantasy")</f>
        <v>Fantasy</v>
      </c>
      <c r="D125" s="11">
        <f>IFERROR(__xludf.DUMMYFUNCTION("""COMPUTED_VALUE"""),1331.0)</f>
        <v>1331</v>
      </c>
      <c r="E125" s="8">
        <f>IFERROR(__xludf.DUMMYFUNCTION("""COMPUTED_VALUE"""),0.962292609351432)</f>
        <v>0.9622926094</v>
      </c>
      <c r="F125" s="8">
        <f>IFERROR(__xludf.DUMMYFUNCTION("""COMPUTED_VALUE"""),0.63089802130898)</f>
        <v>0.6308980213</v>
      </c>
      <c r="G125" s="8">
        <f>IFERROR(__xludf.DUMMYFUNCTION("""COMPUTED_VALUE"""),0.573946360153256)</f>
        <v>0.5739463602</v>
      </c>
      <c r="H125" s="8">
        <f>IFERROR(__xludf.DUMMYFUNCTION("""COMPUTED_VALUE"""),0.557707203718048)</f>
        <v>0.5577072037</v>
      </c>
      <c r="I125" s="8">
        <f>IFERROR(__xludf.DUMMYFUNCTION("""COMPUTED_VALUE"""),0.5113369820172)</f>
        <v>0.511336982</v>
      </c>
      <c r="J125" s="8">
        <f>IFERROR(__xludf.DUMMYFUNCTION("""COMPUTED_VALUE"""),0.489715189873417)</f>
        <v>0.4897151899</v>
      </c>
      <c r="K125" s="8">
        <f>IFERROR(__xludf.DUMMYFUNCTION("""COMPUTED_VALUE"""),0.448863636363636)</f>
        <v>0.4488636364</v>
      </c>
      <c r="L125" s="8">
        <f>IFERROR(__xludf.DUMMYFUNCTION("""COMPUTED_VALUE"""),0.429305912596401)</f>
        <v>0.4293059126</v>
      </c>
      <c r="M125" s="8">
        <f>IFERROR(__xludf.DUMMYFUNCTION("""COMPUTED_VALUE"""),0.420769919427036)</f>
        <v>0.4207699194</v>
      </c>
      <c r="N125" s="8">
        <f>IFERROR(__xludf.DUMMYFUNCTION("""COMPUTED_VALUE"""),0.395238095238095)</f>
        <v>0.3952380952</v>
      </c>
      <c r="O125" s="8">
        <f>IFERROR(__xludf.DUMMYFUNCTION("""COMPUTED_VALUE"""),0.329896907216494)</f>
        <v>0.3298969072</v>
      </c>
      <c r="P125" s="8">
        <f>IFERROR(__xludf.DUMMYFUNCTION("""COMPUTED_VALUE"""),0.319148936170212)</f>
        <v>0.3191489362</v>
      </c>
      <c r="Q125" s="8">
        <f>IFERROR(__xludf.DUMMYFUNCTION("""COMPUTED_VALUE"""),0.0)</f>
        <v>0</v>
      </c>
      <c r="R125" s="8">
        <f>IFERROR(__xludf.DUMMYFUNCTION("""COMPUTED_VALUE"""),0.0)</f>
        <v>0</v>
      </c>
      <c r="S125" s="8">
        <f>IFERROR(__xludf.DUMMYFUNCTION("""COMPUTED_VALUE"""),0.0)</f>
        <v>0</v>
      </c>
      <c r="T125" s="8">
        <f>IFERROR(__xludf.DUMMYFUNCTION("""COMPUTED_VALUE"""),0.0)</f>
        <v>0</v>
      </c>
      <c r="U125" s="8">
        <f>IFERROR(__xludf.DUMMYFUNCTION("""COMPUTED_VALUE"""),0.0)</f>
        <v>0</v>
      </c>
      <c r="V125" s="8">
        <f>IFERROR(__xludf.DUMMYFUNCTION("""COMPUTED_VALUE"""),0.0)</f>
        <v>0</v>
      </c>
      <c r="W125" s="8">
        <f>IFERROR(__xludf.DUMMYFUNCTION("""COMPUTED_VALUE"""),0.0)</f>
        <v>0</v>
      </c>
      <c r="X125" s="8">
        <f>IFERROR(__xludf.DUMMYFUNCTION("""COMPUTED_VALUE"""),0.0)</f>
        <v>0</v>
      </c>
      <c r="Y125" s="8">
        <f>IFERROR(__xludf.DUMMYFUNCTION("""COMPUTED_VALUE"""),0.0)</f>
        <v>0</v>
      </c>
      <c r="Z125" s="8">
        <f>IFERROR(__xludf.DUMMYFUNCTION("""COMPUTED_VALUE"""),0.0)</f>
        <v>0</v>
      </c>
      <c r="AA125" s="8">
        <f>IFERROR(__xludf.DUMMYFUNCTION("""COMPUTED_VALUE"""),0.0)</f>
        <v>0</v>
      </c>
      <c r="AB125" s="8">
        <f>IFERROR(__xludf.DUMMYFUNCTION("""COMPUTED_VALUE"""),0.0)</f>
        <v>0</v>
      </c>
      <c r="AC125" s="8">
        <f>IFERROR(__xludf.DUMMYFUNCTION("""COMPUTED_VALUE"""),0.0)</f>
        <v>0</v>
      </c>
    </row>
    <row r="126" ht="15.75" customHeight="1">
      <c r="A126" s="6" t="str">
        <f>IFERROR(__xludf.DUMMYFUNCTION("""COMPUTED_VALUE"""),"69e29d606b65c300fffe9a9af149d4b81b170a78")</f>
        <v>69e29d606b65c300fffe9a9af149d4b81b170a78</v>
      </c>
      <c r="B126" s="6" t="str">
        <f>IFERROR(__xludf.DUMMYFUNCTION("""COMPUTED_VALUE"""),"Unexpectedly Entwined")</f>
        <v>Unexpectedly Entwined</v>
      </c>
      <c r="C126" s="6" t="str">
        <f>IFERROR(__xludf.DUMMYFUNCTION("""COMPUTED_VALUE"""),"Romance")</f>
        <v>Romance</v>
      </c>
      <c r="D126" s="11">
        <f>IFERROR(__xludf.DUMMYFUNCTION("""COMPUTED_VALUE"""),104.0)</f>
        <v>104</v>
      </c>
      <c r="E126" s="8">
        <f>IFERROR(__xludf.DUMMYFUNCTION("""COMPUTED_VALUE"""),0.951923076923076)</f>
        <v>0.9519230769</v>
      </c>
      <c r="F126" s="8">
        <f>IFERROR(__xludf.DUMMYFUNCTION("""COMPUTED_VALUE"""),0.403846153846153)</f>
        <v>0.4038461538</v>
      </c>
      <c r="G126" s="8">
        <f>IFERROR(__xludf.DUMMYFUNCTION("""COMPUTED_VALUE"""),0.365384615384615)</f>
        <v>0.3653846154</v>
      </c>
      <c r="H126" s="8">
        <f>IFERROR(__xludf.DUMMYFUNCTION("""COMPUTED_VALUE"""),0.298076923076923)</f>
        <v>0.2980769231</v>
      </c>
      <c r="I126" s="8">
        <f>IFERROR(__xludf.DUMMYFUNCTION("""COMPUTED_VALUE"""),0.278846153846153)</f>
        <v>0.2788461538</v>
      </c>
      <c r="J126" s="8">
        <f>IFERROR(__xludf.DUMMYFUNCTION("""COMPUTED_VALUE"""),0.213592233009708)</f>
        <v>0.213592233</v>
      </c>
      <c r="K126" s="8">
        <f>IFERROR(__xludf.DUMMYFUNCTION("""COMPUTED_VALUE"""),0.223300970873786)</f>
        <v>0.2233009709</v>
      </c>
      <c r="L126" s="8">
        <f>IFERROR(__xludf.DUMMYFUNCTION("""COMPUTED_VALUE"""),0.237623762376237)</f>
        <v>0.2376237624</v>
      </c>
      <c r="M126" s="8">
        <f>IFERROR(__xludf.DUMMYFUNCTION("""COMPUTED_VALUE"""),0.207920792079207)</f>
        <v>0.2079207921</v>
      </c>
      <c r="N126" s="8">
        <f>IFERROR(__xludf.DUMMYFUNCTION("""COMPUTED_VALUE"""),0.217821782178217)</f>
        <v>0.2178217822</v>
      </c>
      <c r="O126" s="8">
        <f>IFERROR(__xludf.DUMMYFUNCTION("""COMPUTED_VALUE"""),0.163265306122448)</f>
        <v>0.1632653061</v>
      </c>
      <c r="P126" s="8">
        <f>IFERROR(__xludf.DUMMYFUNCTION("""COMPUTED_VALUE"""),0.09375)</f>
        <v>0.09375</v>
      </c>
      <c r="Q126" s="8">
        <f>IFERROR(__xludf.DUMMYFUNCTION("""COMPUTED_VALUE"""),0.081967213114754)</f>
        <v>0.08196721311</v>
      </c>
      <c r="R126" s="8">
        <f>IFERROR(__xludf.DUMMYFUNCTION("""COMPUTED_VALUE"""),0.107142857142857)</f>
        <v>0.1071428571</v>
      </c>
      <c r="S126" s="8">
        <f>IFERROR(__xludf.DUMMYFUNCTION("""COMPUTED_VALUE"""),0.0909090909090909)</f>
        <v>0.09090909091</v>
      </c>
      <c r="T126" s="8">
        <f>IFERROR(__xludf.DUMMYFUNCTION("""COMPUTED_VALUE"""),0.0714285714285714)</f>
        <v>0.07142857143</v>
      </c>
      <c r="U126" s="8">
        <f>IFERROR(__xludf.DUMMYFUNCTION("""COMPUTED_VALUE"""),0.0)</f>
        <v>0</v>
      </c>
      <c r="V126" s="8">
        <f>IFERROR(__xludf.DUMMYFUNCTION("""COMPUTED_VALUE"""),0.0)</f>
        <v>0</v>
      </c>
      <c r="W126" s="8">
        <f>IFERROR(__xludf.DUMMYFUNCTION("""COMPUTED_VALUE"""),0.0)</f>
        <v>0</v>
      </c>
      <c r="X126" s="8">
        <f>IFERROR(__xludf.DUMMYFUNCTION("""COMPUTED_VALUE"""),0.0)</f>
        <v>0</v>
      </c>
      <c r="Y126" s="8">
        <f>IFERROR(__xludf.DUMMYFUNCTION("""COMPUTED_VALUE"""),0.0)</f>
        <v>0</v>
      </c>
      <c r="Z126" s="8">
        <f>IFERROR(__xludf.DUMMYFUNCTION("""COMPUTED_VALUE"""),0.0)</f>
        <v>0</v>
      </c>
      <c r="AA126" s="8">
        <f>IFERROR(__xludf.DUMMYFUNCTION("""COMPUTED_VALUE"""),0.0)</f>
        <v>0</v>
      </c>
      <c r="AB126" s="8">
        <f>IFERROR(__xludf.DUMMYFUNCTION("""COMPUTED_VALUE"""),0.0)</f>
        <v>0</v>
      </c>
      <c r="AC126" s="8">
        <f>IFERROR(__xludf.DUMMYFUNCTION("""COMPUTED_VALUE"""),0.0)</f>
        <v>0</v>
      </c>
    </row>
    <row r="127" ht="15.75" customHeight="1">
      <c r="A127" s="6" t="str">
        <f>IFERROR(__xludf.DUMMYFUNCTION("""COMPUTED_VALUE"""),"69e2eb3772b49e749fed57ae96a86147dde154cb")</f>
        <v>69e2eb3772b49e749fed57ae96a86147dde154cb</v>
      </c>
      <c r="B127" s="6" t="str">
        <f>IFERROR(__xludf.DUMMYFUNCTION("""COMPUTED_VALUE"""),"The Alpha She Chose")</f>
        <v>The Alpha She Chose</v>
      </c>
      <c r="C127" s="6" t="str">
        <f>IFERROR(__xludf.DUMMYFUNCTION("""COMPUTED_VALUE"""),"Romantasy")</f>
        <v>Romantasy</v>
      </c>
      <c r="D127" s="11">
        <f>IFERROR(__xludf.DUMMYFUNCTION("""COMPUTED_VALUE"""),230.0)</f>
        <v>230</v>
      </c>
      <c r="E127" s="8">
        <f>IFERROR(__xludf.DUMMYFUNCTION("""COMPUTED_VALUE"""),0.969026548672566)</f>
        <v>0.9690265487</v>
      </c>
      <c r="F127" s="8">
        <f>IFERROR(__xludf.DUMMYFUNCTION("""COMPUTED_VALUE"""),0.419642857142857)</f>
        <v>0.4196428571</v>
      </c>
      <c r="G127" s="8">
        <f>IFERROR(__xludf.DUMMYFUNCTION("""COMPUTED_VALUE"""),0.37219730941704)</f>
        <v>0.3721973094</v>
      </c>
      <c r="H127" s="8">
        <f>IFERROR(__xludf.DUMMYFUNCTION("""COMPUTED_VALUE"""),0.286995515695067)</f>
        <v>0.2869955157</v>
      </c>
      <c r="I127" s="8">
        <f>IFERROR(__xludf.DUMMYFUNCTION("""COMPUTED_VALUE"""),0.288288288288288)</f>
        <v>0.2882882883</v>
      </c>
      <c r="J127" s="8">
        <f>IFERROR(__xludf.DUMMYFUNCTION("""COMPUTED_VALUE"""),0.261261261261261)</f>
        <v>0.2612612613</v>
      </c>
      <c r="K127" s="8">
        <f>IFERROR(__xludf.DUMMYFUNCTION("""COMPUTED_VALUE"""),0.266968325791855)</f>
        <v>0.2669683258</v>
      </c>
      <c r="L127" s="8">
        <f>IFERROR(__xludf.DUMMYFUNCTION("""COMPUTED_VALUE"""),0.24090909090909)</f>
        <v>0.2409090909</v>
      </c>
      <c r="M127" s="8">
        <f>IFERROR(__xludf.DUMMYFUNCTION("""COMPUTED_VALUE"""),0.23394495412844)</f>
        <v>0.2339449541</v>
      </c>
      <c r="N127" s="8">
        <f>IFERROR(__xludf.DUMMYFUNCTION("""COMPUTED_VALUE"""),0.210280373831775)</f>
        <v>0.2102803738</v>
      </c>
      <c r="O127" s="8">
        <f>IFERROR(__xludf.DUMMYFUNCTION("""COMPUTED_VALUE"""),0.194444444444444)</f>
        <v>0.1944444444</v>
      </c>
      <c r="P127" s="8">
        <f>IFERROR(__xludf.DUMMYFUNCTION("""COMPUTED_VALUE"""),0.162790697674418)</f>
        <v>0.1627906977</v>
      </c>
      <c r="Q127" s="8">
        <f>IFERROR(__xludf.DUMMYFUNCTION("""COMPUTED_VALUE"""),0.130718954248366)</f>
        <v>0.1307189542</v>
      </c>
      <c r="R127" s="8">
        <f>IFERROR(__xludf.DUMMYFUNCTION("""COMPUTED_VALUE"""),0.0875)</f>
        <v>0.0875</v>
      </c>
      <c r="S127" s="8">
        <f>IFERROR(__xludf.DUMMYFUNCTION("""COMPUTED_VALUE"""),0.0)</f>
        <v>0</v>
      </c>
      <c r="T127" s="8">
        <f>IFERROR(__xludf.DUMMYFUNCTION("""COMPUTED_VALUE"""),0.0)</f>
        <v>0</v>
      </c>
      <c r="U127" s="8">
        <f>IFERROR(__xludf.DUMMYFUNCTION("""COMPUTED_VALUE"""),0.0)</f>
        <v>0</v>
      </c>
      <c r="V127" s="8">
        <f>IFERROR(__xludf.DUMMYFUNCTION("""COMPUTED_VALUE"""),0.0)</f>
        <v>0</v>
      </c>
      <c r="W127" s="8">
        <f>IFERROR(__xludf.DUMMYFUNCTION("""COMPUTED_VALUE"""),0.0)</f>
        <v>0</v>
      </c>
      <c r="X127" s="8">
        <f>IFERROR(__xludf.DUMMYFUNCTION("""COMPUTED_VALUE"""),0.0)</f>
        <v>0</v>
      </c>
      <c r="Y127" s="8">
        <f>IFERROR(__xludf.DUMMYFUNCTION("""COMPUTED_VALUE"""),0.0)</f>
        <v>0</v>
      </c>
      <c r="Z127" s="8">
        <f>IFERROR(__xludf.DUMMYFUNCTION("""COMPUTED_VALUE"""),0.0)</f>
        <v>0</v>
      </c>
      <c r="AA127" s="8">
        <f>IFERROR(__xludf.DUMMYFUNCTION("""COMPUTED_VALUE"""),0.0)</f>
        <v>0</v>
      </c>
      <c r="AB127" s="8">
        <f>IFERROR(__xludf.DUMMYFUNCTION("""COMPUTED_VALUE"""),0.0)</f>
        <v>0</v>
      </c>
      <c r="AC127" s="8">
        <f>IFERROR(__xludf.DUMMYFUNCTION("""COMPUTED_VALUE"""),0.0)</f>
        <v>0</v>
      </c>
    </row>
    <row r="128" ht="15.75" customHeight="1">
      <c r="A128" s="6" t="str">
        <f>IFERROR(__xludf.DUMMYFUNCTION("""COMPUTED_VALUE"""),"6c13ac0e01a86e60a2d75bbcee5bb8f9be472700")</f>
        <v>6c13ac0e01a86e60a2d75bbcee5bb8f9be472700</v>
      </c>
      <c r="B128" s="6" t="str">
        <f>IFERROR(__xludf.DUMMYFUNCTION("""COMPUTED_VALUE"""),"Fated to You")</f>
        <v>Fated to You</v>
      </c>
      <c r="C128" s="6" t="str">
        <f>IFERROR(__xludf.DUMMYFUNCTION("""COMPUTED_VALUE"""),"Romance")</f>
        <v>Romance</v>
      </c>
      <c r="D128" s="11">
        <f>IFERROR(__xludf.DUMMYFUNCTION("""COMPUTED_VALUE"""),78.0)</f>
        <v>78</v>
      </c>
      <c r="E128" s="8">
        <f>IFERROR(__xludf.DUMMYFUNCTION("""COMPUTED_VALUE"""),0.5)</f>
        <v>0.5</v>
      </c>
      <c r="F128" s="8">
        <f>IFERROR(__xludf.DUMMYFUNCTION("""COMPUTED_VALUE"""),0.294871794871794)</f>
        <v>0.2948717949</v>
      </c>
      <c r="G128" s="8">
        <f>IFERROR(__xludf.DUMMYFUNCTION("""COMPUTED_VALUE"""),0.294871794871794)</f>
        <v>0.2948717949</v>
      </c>
      <c r="H128" s="8">
        <f>IFERROR(__xludf.DUMMYFUNCTION("""COMPUTED_VALUE"""),0.294871794871794)</f>
        <v>0.2948717949</v>
      </c>
      <c r="I128" s="8">
        <f>IFERROR(__xludf.DUMMYFUNCTION("""COMPUTED_VALUE"""),0.23076923076923)</f>
        <v>0.2307692308</v>
      </c>
      <c r="J128" s="8">
        <f>IFERROR(__xludf.DUMMYFUNCTION("""COMPUTED_VALUE"""),0.194805194805194)</f>
        <v>0.1948051948</v>
      </c>
      <c r="K128" s="8">
        <f>IFERROR(__xludf.DUMMYFUNCTION("""COMPUTED_VALUE"""),0.233766233766233)</f>
        <v>0.2337662338</v>
      </c>
      <c r="L128" s="8">
        <f>IFERROR(__xludf.DUMMYFUNCTION("""COMPUTED_VALUE"""),0.207792207792207)</f>
        <v>0.2077922078</v>
      </c>
      <c r="M128" s="8">
        <f>IFERROR(__xludf.DUMMYFUNCTION("""COMPUTED_VALUE"""),0.116883116883116)</f>
        <v>0.1168831169</v>
      </c>
      <c r="N128" s="8">
        <f>IFERROR(__xludf.DUMMYFUNCTION("""COMPUTED_VALUE"""),0.210526315789473)</f>
        <v>0.2105263158</v>
      </c>
      <c r="O128" s="8">
        <f>IFERROR(__xludf.DUMMYFUNCTION("""COMPUTED_VALUE"""),0.0921052631578947)</f>
        <v>0.09210526316</v>
      </c>
      <c r="P128" s="8">
        <f>IFERROR(__xludf.DUMMYFUNCTION("""COMPUTED_VALUE"""),0.131578947368421)</f>
        <v>0.1315789474</v>
      </c>
      <c r="Q128" s="8">
        <f>IFERROR(__xludf.DUMMYFUNCTION("""COMPUTED_VALUE"""),0.0921052631578947)</f>
        <v>0.09210526316</v>
      </c>
      <c r="R128" s="8">
        <f>IFERROR(__xludf.DUMMYFUNCTION("""COMPUTED_VALUE"""),0.0131578947368421)</f>
        <v>0.01315789474</v>
      </c>
      <c r="S128" s="8">
        <f>IFERROR(__xludf.DUMMYFUNCTION("""COMPUTED_VALUE"""),0.0178571428571428)</f>
        <v>0.01785714286</v>
      </c>
      <c r="T128" s="8">
        <f>IFERROR(__xludf.DUMMYFUNCTION("""COMPUTED_VALUE"""),0.027027027027027)</f>
        <v>0.02702702703</v>
      </c>
      <c r="U128" s="8">
        <f>IFERROR(__xludf.DUMMYFUNCTION("""COMPUTED_VALUE"""),0.0277777777777777)</f>
        <v>0.02777777778</v>
      </c>
      <c r="V128" s="8">
        <f>IFERROR(__xludf.DUMMYFUNCTION("""COMPUTED_VALUE"""),0.0277777777777777)</f>
        <v>0.02777777778</v>
      </c>
      <c r="W128" s="8">
        <f>IFERROR(__xludf.DUMMYFUNCTION("""COMPUTED_VALUE"""),0.0303030303030303)</f>
        <v>0.0303030303</v>
      </c>
      <c r="X128" s="8">
        <f>IFERROR(__xludf.DUMMYFUNCTION("""COMPUTED_VALUE"""),0.0)</f>
        <v>0</v>
      </c>
      <c r="Y128" s="8">
        <f>IFERROR(__xludf.DUMMYFUNCTION("""COMPUTED_VALUE"""),0.0)</f>
        <v>0</v>
      </c>
      <c r="Z128" s="8">
        <f>IFERROR(__xludf.DUMMYFUNCTION("""COMPUTED_VALUE"""),0.0)</f>
        <v>0</v>
      </c>
      <c r="AA128" s="8">
        <f>IFERROR(__xludf.DUMMYFUNCTION("""COMPUTED_VALUE"""),0.0)</f>
        <v>0</v>
      </c>
      <c r="AB128" s="8">
        <f>IFERROR(__xludf.DUMMYFUNCTION("""COMPUTED_VALUE"""),0.0)</f>
        <v>0</v>
      </c>
      <c r="AC128" s="8">
        <f>IFERROR(__xludf.DUMMYFUNCTION("""COMPUTED_VALUE"""),0.0)</f>
        <v>0</v>
      </c>
    </row>
    <row r="129" ht="15.75" customHeight="1">
      <c r="A129" s="6" t="str">
        <f>IFERROR(__xludf.DUMMYFUNCTION("""COMPUTED_VALUE"""),"6e9cd8b5ce597e73f12a6a180c18888a89f8aac3")</f>
        <v>6e9cd8b5ce597e73f12a6a180c18888a89f8aac3</v>
      </c>
      <c r="B129" s="6" t="str">
        <f>IFERROR(__xludf.DUMMYFUNCTION("""COMPUTED_VALUE"""),"Sovereign Retribution")</f>
        <v>Sovereign Retribution</v>
      </c>
      <c r="C129" s="6" t="str">
        <f>IFERROR(__xludf.DUMMYFUNCTION("""COMPUTED_VALUE"""),"Drama")</f>
        <v>Drama</v>
      </c>
      <c r="D129" s="11">
        <f>IFERROR(__xludf.DUMMYFUNCTION("""COMPUTED_VALUE"""),2431.0)</f>
        <v>2431</v>
      </c>
      <c r="E129" s="8">
        <f>IFERROR(__xludf.DUMMYFUNCTION("""COMPUTED_VALUE"""),0.926748971193415)</f>
        <v>0.9267489712</v>
      </c>
      <c r="F129" s="8">
        <f>IFERROR(__xludf.DUMMYFUNCTION("""COMPUTED_VALUE"""),0.668451400329489)</f>
        <v>0.6684514003</v>
      </c>
      <c r="G129" s="8">
        <f>IFERROR(__xludf.DUMMYFUNCTION("""COMPUTED_VALUE"""),0.633553173948887)</f>
        <v>0.6335531739</v>
      </c>
      <c r="H129" s="8">
        <f>IFERROR(__xludf.DUMMYFUNCTION("""COMPUTED_VALUE"""),0.611294311624072)</f>
        <v>0.6112943116</v>
      </c>
      <c r="I129" s="8">
        <f>IFERROR(__xludf.DUMMYFUNCTION("""COMPUTED_VALUE"""),0.585737840065952)</f>
        <v>0.5857378401</v>
      </c>
      <c r="J129" s="8">
        <f>IFERROR(__xludf.DUMMYFUNCTION("""COMPUTED_VALUE"""),0.573256293850598)</f>
        <v>0.5732562939</v>
      </c>
      <c r="K129" s="8">
        <f>IFERROR(__xludf.DUMMYFUNCTION("""COMPUTED_VALUE"""),0.558033870301528)</f>
        <v>0.5580338703</v>
      </c>
      <c r="L129" s="8">
        <f>IFERROR(__xludf.DUMMYFUNCTION("""COMPUTED_VALUE"""),0.541787941787941)</f>
        <v>0.5417879418</v>
      </c>
      <c r="M129" s="8">
        <f>IFERROR(__xludf.DUMMYFUNCTION("""COMPUTED_VALUE"""),0.529338327091136)</f>
        <v>0.5293383271</v>
      </c>
      <c r="N129" s="8">
        <f>IFERROR(__xludf.DUMMYFUNCTION("""COMPUTED_VALUE"""),0.524146544546211)</f>
        <v>0.5241465445</v>
      </c>
      <c r="O129" s="8">
        <f>IFERROR(__xludf.DUMMYFUNCTION("""COMPUTED_VALUE"""),0.475976650202065)</f>
        <v>0.4759766502</v>
      </c>
      <c r="P129" s="8">
        <f>IFERROR(__xludf.DUMMYFUNCTION("""COMPUTED_VALUE"""),0.366110080395794)</f>
        <v>0.3661100804</v>
      </c>
      <c r="Q129" s="8">
        <f>IFERROR(__xludf.DUMMYFUNCTION("""COMPUTED_VALUE"""),0.258883248730964)</f>
        <v>0.2588832487</v>
      </c>
      <c r="R129" s="8">
        <f>IFERROR(__xludf.DUMMYFUNCTION("""COMPUTED_VALUE"""),0.31858407079646)</f>
        <v>0.3185840708</v>
      </c>
      <c r="S129" s="8">
        <f>IFERROR(__xludf.DUMMYFUNCTION("""COMPUTED_VALUE"""),0.296296296296296)</f>
        <v>0.2962962963</v>
      </c>
      <c r="T129" s="8">
        <f>IFERROR(__xludf.DUMMYFUNCTION("""COMPUTED_VALUE"""),0.0)</f>
        <v>0</v>
      </c>
      <c r="U129" s="8">
        <f>IFERROR(__xludf.DUMMYFUNCTION("""COMPUTED_VALUE"""),0.0)</f>
        <v>0</v>
      </c>
      <c r="V129" s="8">
        <f>IFERROR(__xludf.DUMMYFUNCTION("""COMPUTED_VALUE"""),0.0)</f>
        <v>0</v>
      </c>
      <c r="W129" s="8">
        <f>IFERROR(__xludf.DUMMYFUNCTION("""COMPUTED_VALUE"""),0.0)</f>
        <v>0</v>
      </c>
      <c r="X129" s="8">
        <f>IFERROR(__xludf.DUMMYFUNCTION("""COMPUTED_VALUE"""),0.0)</f>
        <v>0</v>
      </c>
      <c r="Y129" s="8">
        <f>IFERROR(__xludf.DUMMYFUNCTION("""COMPUTED_VALUE"""),0.0)</f>
        <v>0</v>
      </c>
      <c r="Z129" s="8">
        <f>IFERROR(__xludf.DUMMYFUNCTION("""COMPUTED_VALUE"""),0.0)</f>
        <v>0</v>
      </c>
      <c r="AA129" s="8">
        <f>IFERROR(__xludf.DUMMYFUNCTION("""COMPUTED_VALUE"""),0.0)</f>
        <v>0</v>
      </c>
      <c r="AB129" s="8">
        <f>IFERROR(__xludf.DUMMYFUNCTION("""COMPUTED_VALUE"""),0.0)</f>
        <v>0</v>
      </c>
      <c r="AC129" s="8">
        <f>IFERROR(__xludf.DUMMYFUNCTION("""COMPUTED_VALUE"""),0.0)</f>
        <v>0</v>
      </c>
    </row>
    <row r="130" ht="15.75" customHeight="1">
      <c r="A130" s="6" t="str">
        <f>IFERROR(__xludf.DUMMYFUNCTION("""COMPUTED_VALUE"""),"6f82cdfa2792a89aec9172918610c124246ad8bd")</f>
        <v>6f82cdfa2792a89aec9172918610c124246ad8bd</v>
      </c>
      <c r="B130" s="6" t="str">
        <f>IFERROR(__xludf.DUMMYFUNCTION("""COMPUTED_VALUE"""),"Hector's Rise to Power")</f>
        <v>Hector's Rise to Power</v>
      </c>
      <c r="C130" s="6" t="str">
        <f>IFERROR(__xludf.DUMMYFUNCTION("""COMPUTED_VALUE"""),"Drama")</f>
        <v>Drama</v>
      </c>
      <c r="D130" s="11">
        <f>IFERROR(__xludf.DUMMYFUNCTION("""COMPUTED_VALUE"""),575.0)</f>
        <v>575</v>
      </c>
      <c r="E130" s="8">
        <f>IFERROR(__xludf.DUMMYFUNCTION("""COMPUTED_VALUE"""),0.965095986038394)</f>
        <v>0.965095986</v>
      </c>
      <c r="F130" s="8">
        <f>IFERROR(__xludf.DUMMYFUNCTION("""COMPUTED_VALUE"""),0.603508771929824)</f>
        <v>0.6035087719</v>
      </c>
      <c r="G130" s="8">
        <f>IFERROR(__xludf.DUMMYFUNCTION("""COMPUTED_VALUE"""),0.485964912280701)</f>
        <v>0.4859649123</v>
      </c>
      <c r="H130" s="8">
        <f>IFERROR(__xludf.DUMMYFUNCTION("""COMPUTED_VALUE"""),0.437275985663082)</f>
        <v>0.4372759857</v>
      </c>
      <c r="I130" s="8">
        <f>IFERROR(__xludf.DUMMYFUNCTION("""COMPUTED_VALUE"""),0.381720430107526)</f>
        <v>0.3817204301</v>
      </c>
      <c r="J130" s="8">
        <f>IFERROR(__xludf.DUMMYFUNCTION("""COMPUTED_VALUE"""),0.365765765765765)</f>
        <v>0.3657657658</v>
      </c>
      <c r="K130" s="8">
        <f>IFERROR(__xludf.DUMMYFUNCTION("""COMPUTED_VALUE"""),0.321880650994575)</f>
        <v>0.321880651</v>
      </c>
      <c r="L130" s="8">
        <f>IFERROR(__xludf.DUMMYFUNCTION("""COMPUTED_VALUE"""),0.296564195298372)</f>
        <v>0.2965641953</v>
      </c>
      <c r="M130" s="8">
        <f>IFERROR(__xludf.DUMMYFUNCTION("""COMPUTED_VALUE"""),0.268115942028985)</f>
        <v>0.268115942</v>
      </c>
      <c r="N130" s="8">
        <f>IFERROR(__xludf.DUMMYFUNCTION("""COMPUTED_VALUE"""),0.242753623188405)</f>
        <v>0.2427536232</v>
      </c>
      <c r="O130" s="8">
        <f>IFERROR(__xludf.DUMMYFUNCTION("""COMPUTED_VALUE"""),0.196226415094339)</f>
        <v>0.1962264151</v>
      </c>
      <c r="P130" s="8">
        <f>IFERROR(__xludf.DUMMYFUNCTION("""COMPUTED_VALUE"""),0.0764331210191082)</f>
        <v>0.07643312102</v>
      </c>
      <c r="Q130" s="8">
        <f>IFERROR(__xludf.DUMMYFUNCTION("""COMPUTED_VALUE"""),0.0769230769230769)</f>
        <v>0.07692307692</v>
      </c>
      <c r="R130" s="8">
        <f>IFERROR(__xludf.DUMMYFUNCTION("""COMPUTED_VALUE"""),0.0)</f>
        <v>0</v>
      </c>
      <c r="S130" s="8">
        <f>IFERROR(__xludf.DUMMYFUNCTION("""COMPUTED_VALUE"""),0.0)</f>
        <v>0</v>
      </c>
      <c r="T130" s="8">
        <f>IFERROR(__xludf.DUMMYFUNCTION("""COMPUTED_VALUE"""),0.0)</f>
        <v>0</v>
      </c>
      <c r="U130" s="8">
        <f>IFERROR(__xludf.DUMMYFUNCTION("""COMPUTED_VALUE"""),0.0)</f>
        <v>0</v>
      </c>
      <c r="V130" s="8">
        <f>IFERROR(__xludf.DUMMYFUNCTION("""COMPUTED_VALUE"""),0.0)</f>
        <v>0</v>
      </c>
      <c r="W130" s="8">
        <f>IFERROR(__xludf.DUMMYFUNCTION("""COMPUTED_VALUE"""),0.0)</f>
        <v>0</v>
      </c>
      <c r="X130" s="8">
        <f>IFERROR(__xludf.DUMMYFUNCTION("""COMPUTED_VALUE"""),0.0)</f>
        <v>0</v>
      </c>
      <c r="Y130" s="8">
        <f>IFERROR(__xludf.DUMMYFUNCTION("""COMPUTED_VALUE"""),0.0)</f>
        <v>0</v>
      </c>
      <c r="Z130" s="8">
        <f>IFERROR(__xludf.DUMMYFUNCTION("""COMPUTED_VALUE"""),0.0)</f>
        <v>0</v>
      </c>
      <c r="AA130" s="8">
        <f>IFERROR(__xludf.DUMMYFUNCTION("""COMPUTED_VALUE"""),0.0)</f>
        <v>0</v>
      </c>
      <c r="AB130" s="8">
        <f>IFERROR(__xludf.DUMMYFUNCTION("""COMPUTED_VALUE"""),0.0)</f>
        <v>0</v>
      </c>
      <c r="AC130" s="8">
        <f>IFERROR(__xludf.DUMMYFUNCTION("""COMPUTED_VALUE"""),0.0)</f>
        <v>0</v>
      </c>
    </row>
    <row r="131" ht="15.75" customHeight="1">
      <c r="A131" s="6" t="str">
        <f>IFERROR(__xludf.DUMMYFUNCTION("""COMPUTED_VALUE"""),"6f907f1e2ab28d03dcc8246bf380f11b97d00c06")</f>
        <v>6f907f1e2ab28d03dcc8246bf380f11b97d00c06</v>
      </c>
      <c r="B131" s="6" t="str">
        <f>IFERROR(__xludf.DUMMYFUNCTION("""COMPUTED_VALUE"""),"CEO Inherited Bride ")</f>
        <v>CEO Inherited Bride </v>
      </c>
      <c r="C131" s="6" t="str">
        <f>IFERROR(__xludf.DUMMYFUNCTION("""COMPUTED_VALUE"""),"Romance")</f>
        <v>Romance</v>
      </c>
      <c r="D131" s="11">
        <f>IFERROR(__xludf.DUMMYFUNCTION("""COMPUTED_VALUE"""),307.0)</f>
        <v>307</v>
      </c>
      <c r="E131" s="8">
        <f>IFERROR(__xludf.DUMMYFUNCTION("""COMPUTED_VALUE"""),0.964169381107491)</f>
        <v>0.9641693811</v>
      </c>
      <c r="F131" s="8">
        <f>IFERROR(__xludf.DUMMYFUNCTION("""COMPUTED_VALUE"""),0.355048859934853)</f>
        <v>0.3550488599</v>
      </c>
      <c r="G131" s="8">
        <f>IFERROR(__xludf.DUMMYFUNCTION("""COMPUTED_VALUE"""),0.286644951140065)</f>
        <v>0.2866449511</v>
      </c>
      <c r="H131" s="8">
        <f>IFERROR(__xludf.DUMMYFUNCTION("""COMPUTED_VALUE"""),0.280130293159609)</f>
        <v>0.2801302932</v>
      </c>
      <c r="I131" s="8">
        <f>IFERROR(__xludf.DUMMYFUNCTION("""COMPUTED_VALUE"""),0.254071661237785)</f>
        <v>0.2540716612</v>
      </c>
      <c r="J131" s="8">
        <f>IFERROR(__xludf.DUMMYFUNCTION("""COMPUTED_VALUE"""),0.234527687296416)</f>
        <v>0.2345276873</v>
      </c>
      <c r="K131" s="8">
        <f>IFERROR(__xludf.DUMMYFUNCTION("""COMPUTED_VALUE"""),0.218241042345276)</f>
        <v>0.2182410423</v>
      </c>
      <c r="L131" s="8">
        <f>IFERROR(__xludf.DUMMYFUNCTION("""COMPUTED_VALUE"""),0.192182410423452)</f>
        <v>0.1921824104</v>
      </c>
      <c r="M131" s="8">
        <f>IFERROR(__xludf.DUMMYFUNCTION("""COMPUTED_VALUE"""),0.175895765472312)</f>
        <v>0.1758957655</v>
      </c>
      <c r="N131" s="8">
        <f>IFERROR(__xludf.DUMMYFUNCTION("""COMPUTED_VALUE"""),0.179738562091503)</f>
        <v>0.1797385621</v>
      </c>
      <c r="O131" s="8">
        <f>IFERROR(__xludf.DUMMYFUNCTION("""COMPUTED_VALUE"""),0.133986928104575)</f>
        <v>0.1339869281</v>
      </c>
      <c r="P131" s="8">
        <f>IFERROR(__xludf.DUMMYFUNCTION("""COMPUTED_VALUE"""),0.114754098360655)</f>
        <v>0.1147540984</v>
      </c>
      <c r="Q131" s="8">
        <f>IFERROR(__xludf.DUMMYFUNCTION("""COMPUTED_VALUE"""),0.076)</f>
        <v>0.076</v>
      </c>
      <c r="R131" s="8">
        <f>IFERROR(__xludf.DUMMYFUNCTION("""COMPUTED_VALUE"""),0.0323886639676113)</f>
        <v>0.03238866397</v>
      </c>
      <c r="S131" s="8">
        <f>IFERROR(__xludf.DUMMYFUNCTION("""COMPUTED_VALUE"""),0.00952380952380952)</f>
        <v>0.009523809524</v>
      </c>
      <c r="T131" s="8">
        <f>IFERROR(__xludf.DUMMYFUNCTION("""COMPUTED_VALUE"""),0.0121951219512195)</f>
        <v>0.01219512195</v>
      </c>
      <c r="U131" s="8">
        <f>IFERROR(__xludf.DUMMYFUNCTION("""COMPUTED_VALUE"""),0.0)</f>
        <v>0</v>
      </c>
      <c r="V131" s="8">
        <f>IFERROR(__xludf.DUMMYFUNCTION("""COMPUTED_VALUE"""),0.0)</f>
        <v>0</v>
      </c>
      <c r="W131" s="8">
        <f>IFERROR(__xludf.DUMMYFUNCTION("""COMPUTED_VALUE"""),0.0)</f>
        <v>0</v>
      </c>
      <c r="X131" s="8">
        <f>IFERROR(__xludf.DUMMYFUNCTION("""COMPUTED_VALUE"""),0.0)</f>
        <v>0</v>
      </c>
      <c r="Y131" s="8">
        <f>IFERROR(__xludf.DUMMYFUNCTION("""COMPUTED_VALUE"""),0.0)</f>
        <v>0</v>
      </c>
      <c r="Z131" s="8">
        <f>IFERROR(__xludf.DUMMYFUNCTION("""COMPUTED_VALUE"""),0.0)</f>
        <v>0</v>
      </c>
      <c r="AA131" s="8">
        <f>IFERROR(__xludf.DUMMYFUNCTION("""COMPUTED_VALUE"""),0.0)</f>
        <v>0</v>
      </c>
      <c r="AB131" s="8">
        <f>IFERROR(__xludf.DUMMYFUNCTION("""COMPUTED_VALUE"""),0.0)</f>
        <v>0</v>
      </c>
      <c r="AC131" s="8">
        <f>IFERROR(__xludf.DUMMYFUNCTION("""COMPUTED_VALUE"""),0.0)</f>
        <v>0</v>
      </c>
    </row>
    <row r="132" ht="15.75" customHeight="1">
      <c r="A132" s="6" t="str">
        <f>IFERROR(__xludf.DUMMYFUNCTION("""COMPUTED_VALUE"""),"71bfacd374965f4c980894477e36ea695b41c609")</f>
        <v>71bfacd374965f4c980894477e36ea695b41c609</v>
      </c>
      <c r="B132" s="6" t="str">
        <f>IFERROR(__xludf.DUMMYFUNCTION("""COMPUTED_VALUE"""),"Bride Who Didn't Want Him")</f>
        <v>Bride Who Didn't Want Him</v>
      </c>
      <c r="C132" s="6" t="str">
        <f>IFERROR(__xludf.DUMMYFUNCTION("""COMPUTED_VALUE"""),"Romance")</f>
        <v>Romance</v>
      </c>
      <c r="D132" s="11">
        <f>IFERROR(__xludf.DUMMYFUNCTION("""COMPUTED_VALUE"""),151.0)</f>
        <v>151</v>
      </c>
      <c r="E132" s="8">
        <f>IFERROR(__xludf.DUMMYFUNCTION("""COMPUTED_VALUE"""),0.966666666666666)</f>
        <v>0.9666666667</v>
      </c>
      <c r="F132" s="8">
        <f>IFERROR(__xludf.DUMMYFUNCTION("""COMPUTED_VALUE"""),0.58)</f>
        <v>0.58</v>
      </c>
      <c r="G132" s="8">
        <f>IFERROR(__xludf.DUMMYFUNCTION("""COMPUTED_VALUE"""),0.52)</f>
        <v>0.52</v>
      </c>
      <c r="H132" s="8">
        <f>IFERROR(__xludf.DUMMYFUNCTION("""COMPUTED_VALUE"""),0.46)</f>
        <v>0.46</v>
      </c>
      <c r="I132" s="8">
        <f>IFERROR(__xludf.DUMMYFUNCTION("""COMPUTED_VALUE"""),0.413333333333333)</f>
        <v>0.4133333333</v>
      </c>
      <c r="J132" s="8">
        <f>IFERROR(__xludf.DUMMYFUNCTION("""COMPUTED_VALUE"""),0.416107382550335)</f>
        <v>0.4161073826</v>
      </c>
      <c r="K132" s="8">
        <f>IFERROR(__xludf.DUMMYFUNCTION("""COMPUTED_VALUE"""),0.389261744966442)</f>
        <v>0.389261745</v>
      </c>
      <c r="L132" s="8">
        <f>IFERROR(__xludf.DUMMYFUNCTION("""COMPUTED_VALUE"""),0.382550335570469)</f>
        <v>0.3825503356</v>
      </c>
      <c r="M132" s="8">
        <f>IFERROR(__xludf.DUMMYFUNCTION("""COMPUTED_VALUE"""),0.348993288590604)</f>
        <v>0.3489932886</v>
      </c>
      <c r="N132" s="8">
        <f>IFERROR(__xludf.DUMMYFUNCTION("""COMPUTED_VALUE"""),0.348993288590604)</f>
        <v>0.3489932886</v>
      </c>
      <c r="O132" s="8">
        <f>IFERROR(__xludf.DUMMYFUNCTION("""COMPUTED_VALUE"""),0.317241379310344)</f>
        <v>0.3172413793</v>
      </c>
      <c r="P132" s="8">
        <f>IFERROR(__xludf.DUMMYFUNCTION("""COMPUTED_VALUE"""),0.216783216783216)</f>
        <v>0.2167832168</v>
      </c>
      <c r="Q132" s="8">
        <f>IFERROR(__xludf.DUMMYFUNCTION("""COMPUTED_VALUE"""),0.0945945945945946)</f>
        <v>0.09459459459</v>
      </c>
      <c r="R132" s="8">
        <f>IFERROR(__xludf.DUMMYFUNCTION("""COMPUTED_VALUE"""),0.0)</f>
        <v>0</v>
      </c>
      <c r="S132" s="8">
        <f>IFERROR(__xludf.DUMMYFUNCTION("""COMPUTED_VALUE"""),0.0)</f>
        <v>0</v>
      </c>
      <c r="T132" s="8">
        <f>IFERROR(__xludf.DUMMYFUNCTION("""COMPUTED_VALUE"""),0.0)</f>
        <v>0</v>
      </c>
      <c r="U132" s="8">
        <f>IFERROR(__xludf.DUMMYFUNCTION("""COMPUTED_VALUE"""),0.0)</f>
        <v>0</v>
      </c>
      <c r="V132" s="8">
        <f>IFERROR(__xludf.DUMMYFUNCTION("""COMPUTED_VALUE"""),0.0)</f>
        <v>0</v>
      </c>
      <c r="W132" s="8">
        <f>IFERROR(__xludf.DUMMYFUNCTION("""COMPUTED_VALUE"""),0.0)</f>
        <v>0</v>
      </c>
      <c r="X132" s="8">
        <f>IFERROR(__xludf.DUMMYFUNCTION("""COMPUTED_VALUE"""),0.0)</f>
        <v>0</v>
      </c>
      <c r="Y132" s="8">
        <f>IFERROR(__xludf.DUMMYFUNCTION("""COMPUTED_VALUE"""),0.0)</f>
        <v>0</v>
      </c>
      <c r="Z132" s="8">
        <f>IFERROR(__xludf.DUMMYFUNCTION("""COMPUTED_VALUE"""),0.0)</f>
        <v>0</v>
      </c>
      <c r="AA132" s="8">
        <f>IFERROR(__xludf.DUMMYFUNCTION("""COMPUTED_VALUE"""),0.0)</f>
        <v>0</v>
      </c>
      <c r="AB132" s="8">
        <f>IFERROR(__xludf.DUMMYFUNCTION("""COMPUTED_VALUE"""),0.0)</f>
        <v>0</v>
      </c>
      <c r="AC132" s="8">
        <f>IFERROR(__xludf.DUMMYFUNCTION("""COMPUTED_VALUE"""),0.0)</f>
        <v>0</v>
      </c>
    </row>
    <row r="133" ht="15.75" customHeight="1">
      <c r="A133" s="6" t="str">
        <f>IFERROR(__xludf.DUMMYFUNCTION("""COMPUTED_VALUE"""),"730a3d0d6b094f151aed0a3dff6794a1d2fedee3")</f>
        <v>730a3d0d6b094f151aed0a3dff6794a1d2fedee3</v>
      </c>
      <c r="B133" s="6" t="str">
        <f>IFERROR(__xludf.DUMMYFUNCTION("""COMPUTED_VALUE"""),"Her Beauty Is Reborn")</f>
        <v>Her Beauty Is Reborn</v>
      </c>
      <c r="C133" s="6" t="str">
        <f>IFERROR(__xludf.DUMMYFUNCTION("""COMPUTED_VALUE"""),"Romance")</f>
        <v>Romance</v>
      </c>
      <c r="D133" s="11">
        <f>IFERROR(__xludf.DUMMYFUNCTION("""COMPUTED_VALUE"""),2353.0)</f>
        <v>2353</v>
      </c>
      <c r="E133" s="8">
        <f>IFERROR(__xludf.DUMMYFUNCTION("""COMPUTED_VALUE"""),0.912452188695282)</f>
        <v>0.9124521887</v>
      </c>
      <c r="F133" s="8">
        <f>IFERROR(__xludf.DUMMYFUNCTION("""COMPUTED_VALUE"""),0.448788780280492)</f>
        <v>0.4487887803</v>
      </c>
      <c r="G133" s="8">
        <f>IFERROR(__xludf.DUMMYFUNCTION("""COMPUTED_VALUE"""),0.399915002124946)</f>
        <v>0.3999150021</v>
      </c>
      <c r="H133" s="8">
        <f>IFERROR(__xludf.DUMMYFUNCTION("""COMPUTED_VALUE"""),0.3646408839779)</f>
        <v>0.364640884</v>
      </c>
      <c r="I133" s="8">
        <f>IFERROR(__xludf.DUMMYFUNCTION("""COMPUTED_VALUE"""),0.351466213344666)</f>
        <v>0.3514662133</v>
      </c>
      <c r="J133" s="8">
        <f>IFERROR(__xludf.DUMMYFUNCTION("""COMPUTED_VALUE"""),0.337159863945578)</f>
        <v>0.3371598639</v>
      </c>
      <c r="K133" s="8">
        <f>IFERROR(__xludf.DUMMYFUNCTION("""COMPUTED_VALUE"""),0.323692045937898)</f>
        <v>0.3236920459</v>
      </c>
      <c r="L133" s="8">
        <f>IFERROR(__xludf.DUMMYFUNCTION("""COMPUTED_VALUE"""),0.311433447098976)</f>
        <v>0.3114334471</v>
      </c>
      <c r="M133" s="8">
        <f>IFERROR(__xludf.DUMMYFUNCTION("""COMPUTED_VALUE"""),0.300767918088737)</f>
        <v>0.3007679181</v>
      </c>
      <c r="N133" s="8">
        <f>IFERROR(__xludf.DUMMYFUNCTION("""COMPUTED_VALUE"""),0.293515358361774)</f>
        <v>0.2935153584</v>
      </c>
      <c r="O133" s="8">
        <f>IFERROR(__xludf.DUMMYFUNCTION("""COMPUTED_VALUE"""),0.266353142368533)</f>
        <v>0.2663531424</v>
      </c>
      <c r="P133" s="8">
        <f>IFERROR(__xludf.DUMMYFUNCTION("""COMPUTED_VALUE"""),0.217167381974248)</f>
        <v>0.217167382</v>
      </c>
      <c r="Q133" s="8">
        <f>IFERROR(__xludf.DUMMYFUNCTION("""COMPUTED_VALUE"""),0.175173010380622)</f>
        <v>0.1751730104</v>
      </c>
      <c r="R133" s="8">
        <f>IFERROR(__xludf.DUMMYFUNCTION("""COMPUTED_VALUE"""),0.146175637393767)</f>
        <v>0.1461756374</v>
      </c>
      <c r="S133" s="8">
        <f>IFERROR(__xludf.DUMMYFUNCTION("""COMPUTED_VALUE"""),0.123026315789473)</f>
        <v>0.1230263158</v>
      </c>
      <c r="T133" s="8">
        <f>IFERROR(__xludf.DUMMYFUNCTION("""COMPUTED_VALUE"""),0.110355253212396)</f>
        <v>0.1103552532</v>
      </c>
      <c r="U133" s="8">
        <f>IFERROR(__xludf.DUMMYFUNCTION("""COMPUTED_VALUE"""),0.0899887514060742)</f>
        <v>0.08998875141</v>
      </c>
      <c r="V133" s="8">
        <f>IFERROR(__xludf.DUMMYFUNCTION("""COMPUTED_VALUE"""),0.0691003911342894)</f>
        <v>0.06910039113</v>
      </c>
      <c r="W133" s="8">
        <f>IFERROR(__xludf.DUMMYFUNCTION("""COMPUTED_VALUE"""),0.059171597633136)</f>
        <v>0.05917159763</v>
      </c>
      <c r="X133" s="8">
        <f>IFERROR(__xludf.DUMMYFUNCTION("""COMPUTED_VALUE"""),0.0611888111888111)</f>
        <v>0.06118881119</v>
      </c>
      <c r="Y133" s="8">
        <f>IFERROR(__xludf.DUMMYFUNCTION("""COMPUTED_VALUE"""),0.0161290322580645)</f>
        <v>0.01612903226</v>
      </c>
      <c r="Z133" s="8">
        <f>IFERROR(__xludf.DUMMYFUNCTION("""COMPUTED_VALUE"""),0.0)</f>
        <v>0</v>
      </c>
      <c r="AA133" s="8">
        <f>IFERROR(__xludf.DUMMYFUNCTION("""COMPUTED_VALUE"""),0.0)</f>
        <v>0</v>
      </c>
      <c r="AB133" s="8">
        <f>IFERROR(__xludf.DUMMYFUNCTION("""COMPUTED_VALUE"""),0.0)</f>
        <v>0</v>
      </c>
      <c r="AC133" s="8">
        <f>IFERROR(__xludf.DUMMYFUNCTION("""COMPUTED_VALUE"""),0.0)</f>
        <v>0</v>
      </c>
    </row>
    <row r="134" ht="15.75" customHeight="1">
      <c r="A134" s="6" t="str">
        <f>IFERROR(__xludf.DUMMYFUNCTION("""COMPUTED_VALUE"""),"7315dca13e406894d8407cd6d050c5d3b69eec10")</f>
        <v>7315dca13e406894d8407cd6d050c5d3b69eec10</v>
      </c>
      <c r="B134" s="6" t="str">
        <f>IFERROR(__xludf.DUMMYFUNCTION("""COMPUTED_VALUE"""),"The Uncle Who Chose Me")</f>
        <v>The Uncle Who Chose Me</v>
      </c>
      <c r="C134" s="6" t="str">
        <f>IFERROR(__xludf.DUMMYFUNCTION("""COMPUTED_VALUE"""),"Romance")</f>
        <v>Romance</v>
      </c>
      <c r="D134" s="11">
        <f>IFERROR(__xludf.DUMMYFUNCTION("""COMPUTED_VALUE"""),603.0)</f>
        <v>603</v>
      </c>
      <c r="E134" s="8">
        <f>IFERROR(__xludf.DUMMYFUNCTION("""COMPUTED_VALUE"""),0.968386023294509)</f>
        <v>0.9683860233</v>
      </c>
      <c r="F134" s="8">
        <f>IFERROR(__xludf.DUMMYFUNCTION("""COMPUTED_VALUE"""),0.27287853577371)</f>
        <v>0.2728785358</v>
      </c>
      <c r="G134" s="8">
        <f>IFERROR(__xludf.DUMMYFUNCTION("""COMPUTED_VALUE"""),0.169717138103161)</f>
        <v>0.1697171381</v>
      </c>
      <c r="H134" s="8">
        <f>IFERROR(__xludf.DUMMYFUNCTION("""COMPUTED_VALUE"""),0.163333333333333)</f>
        <v>0.1633333333</v>
      </c>
      <c r="I134" s="8">
        <f>IFERROR(__xludf.DUMMYFUNCTION("""COMPUTED_VALUE"""),0.140233722871452)</f>
        <v>0.1402337229</v>
      </c>
      <c r="J134" s="8">
        <f>IFERROR(__xludf.DUMMYFUNCTION("""COMPUTED_VALUE"""),0.128547579298831)</f>
        <v>0.1285475793</v>
      </c>
      <c r="K134" s="8">
        <f>IFERROR(__xludf.DUMMYFUNCTION("""COMPUTED_VALUE"""),0.121869782971619)</f>
        <v>0.121869783</v>
      </c>
      <c r="L134" s="8">
        <f>IFERROR(__xludf.DUMMYFUNCTION("""COMPUTED_VALUE"""),0.110183639398998)</f>
        <v>0.1101836394</v>
      </c>
      <c r="M134" s="8">
        <f>IFERROR(__xludf.DUMMYFUNCTION("""COMPUTED_VALUE"""),0.105175292153589)</f>
        <v>0.1051752922</v>
      </c>
      <c r="N134" s="8">
        <f>IFERROR(__xludf.DUMMYFUNCTION("""COMPUTED_VALUE"""),0.10016694490818)</f>
        <v>0.1001669449</v>
      </c>
      <c r="O134" s="8">
        <f>IFERROR(__xludf.DUMMYFUNCTION("""COMPUTED_VALUE"""),0.0779661016949152)</f>
        <v>0.07796610169</v>
      </c>
      <c r="P134" s="8">
        <f>IFERROR(__xludf.DUMMYFUNCTION("""COMPUTED_VALUE"""),0.0679012345679012)</f>
        <v>0.06790123457</v>
      </c>
      <c r="Q134" s="8">
        <f>IFERROR(__xludf.DUMMYFUNCTION("""COMPUTED_VALUE"""),0.0289855072463768)</f>
        <v>0.02898550725</v>
      </c>
      <c r="R134" s="8">
        <f>IFERROR(__xludf.DUMMYFUNCTION("""COMPUTED_VALUE"""),0.0)</f>
        <v>0</v>
      </c>
      <c r="S134" s="8">
        <f>IFERROR(__xludf.DUMMYFUNCTION("""COMPUTED_VALUE"""),0.0)</f>
        <v>0</v>
      </c>
      <c r="T134" s="8">
        <f>IFERROR(__xludf.DUMMYFUNCTION("""COMPUTED_VALUE"""),0.0)</f>
        <v>0</v>
      </c>
      <c r="U134" s="8">
        <f>IFERROR(__xludf.DUMMYFUNCTION("""COMPUTED_VALUE"""),0.0)</f>
        <v>0</v>
      </c>
      <c r="V134" s="8">
        <f>IFERROR(__xludf.DUMMYFUNCTION("""COMPUTED_VALUE"""),0.0)</f>
        <v>0</v>
      </c>
      <c r="W134" s="8">
        <f>IFERROR(__xludf.DUMMYFUNCTION("""COMPUTED_VALUE"""),0.0)</f>
        <v>0</v>
      </c>
      <c r="X134" s="8">
        <f>IFERROR(__xludf.DUMMYFUNCTION("""COMPUTED_VALUE"""),0.0)</f>
        <v>0</v>
      </c>
      <c r="Y134" s="8">
        <f>IFERROR(__xludf.DUMMYFUNCTION("""COMPUTED_VALUE"""),0.0)</f>
        <v>0</v>
      </c>
      <c r="Z134" s="8">
        <f>IFERROR(__xludf.DUMMYFUNCTION("""COMPUTED_VALUE"""),0.0)</f>
        <v>0</v>
      </c>
      <c r="AA134" s="8">
        <f>IFERROR(__xludf.DUMMYFUNCTION("""COMPUTED_VALUE"""),0.0)</f>
        <v>0</v>
      </c>
      <c r="AB134" s="8">
        <f>IFERROR(__xludf.DUMMYFUNCTION("""COMPUTED_VALUE"""),0.0)</f>
        <v>0</v>
      </c>
      <c r="AC134" s="8">
        <f>IFERROR(__xludf.DUMMYFUNCTION("""COMPUTED_VALUE"""),0.0)</f>
        <v>0</v>
      </c>
    </row>
    <row r="135" ht="15.75" customHeight="1">
      <c r="A135" s="6" t="str">
        <f>IFERROR(__xludf.DUMMYFUNCTION("""COMPUTED_VALUE"""),"749524eadbd429949b1a44242bd8fb3559f3626c")</f>
        <v>749524eadbd429949b1a44242bd8fb3559f3626c</v>
      </c>
      <c r="B135" s="6" t="str">
        <f>IFERROR(__xludf.DUMMYFUNCTION("""COMPUTED_VALUE"""),"Monarch of His Shadows")</f>
        <v>Monarch of His Shadows</v>
      </c>
      <c r="C135" s="6" t="str">
        <f>IFERROR(__xludf.DUMMYFUNCTION("""COMPUTED_VALUE"""),"Fantasy")</f>
        <v>Fantasy</v>
      </c>
      <c r="D135" s="11">
        <f>IFERROR(__xludf.DUMMYFUNCTION("""COMPUTED_VALUE"""),834.0)</f>
        <v>834</v>
      </c>
      <c r="E135" s="8">
        <f>IFERROR(__xludf.DUMMYFUNCTION("""COMPUTED_VALUE"""),0.973589435774309)</f>
        <v>0.9735894358</v>
      </c>
      <c r="F135" s="8">
        <f>IFERROR(__xludf.DUMMYFUNCTION("""COMPUTED_VALUE"""),0.622596153846153)</f>
        <v>0.6225961538</v>
      </c>
      <c r="G135" s="8">
        <f>IFERROR(__xludf.DUMMYFUNCTION("""COMPUTED_VALUE"""),0.575210589651022)</f>
        <v>0.5752105897</v>
      </c>
      <c r="H135" s="8">
        <f>IFERROR(__xludf.DUMMYFUNCTION("""COMPUTED_VALUE"""),0.524669073405535)</f>
        <v>0.5246690734</v>
      </c>
      <c r="I135" s="8">
        <f>IFERROR(__xludf.DUMMYFUNCTION("""COMPUTED_VALUE"""),0.48854041013269)</f>
        <v>0.4885404101</v>
      </c>
      <c r="J135" s="8">
        <f>IFERROR(__xludf.DUMMYFUNCTION("""COMPUTED_VALUE"""),0.465538089480048)</f>
        <v>0.4655380895</v>
      </c>
      <c r="K135" s="8">
        <f>IFERROR(__xludf.DUMMYFUNCTION("""COMPUTED_VALUE"""),0.432889963724304)</f>
        <v>0.4328899637</v>
      </c>
      <c r="L135" s="8">
        <f>IFERROR(__xludf.DUMMYFUNCTION("""COMPUTED_VALUE"""),0.404358353510895)</f>
        <v>0.4043583535</v>
      </c>
      <c r="M135" s="8">
        <f>IFERROR(__xludf.DUMMYFUNCTION("""COMPUTED_VALUE"""),0.378181818181818)</f>
        <v>0.3781818182</v>
      </c>
      <c r="N135" s="8">
        <f>IFERROR(__xludf.DUMMYFUNCTION("""COMPUTED_VALUE"""),0.366060606060606)</f>
        <v>0.3660606061</v>
      </c>
      <c r="O135" s="8">
        <f>IFERROR(__xludf.DUMMYFUNCTION("""COMPUTED_VALUE"""),0.261992619926199)</f>
        <v>0.2619926199</v>
      </c>
      <c r="P135" s="8">
        <f>IFERROR(__xludf.DUMMYFUNCTION("""COMPUTED_VALUE"""),0.128911138923654)</f>
        <v>0.1289111389</v>
      </c>
      <c r="Q135" s="8">
        <f>IFERROR(__xludf.DUMMYFUNCTION("""COMPUTED_VALUE"""),0.0)</f>
        <v>0</v>
      </c>
      <c r="R135" s="8">
        <f>IFERROR(__xludf.DUMMYFUNCTION("""COMPUTED_VALUE"""),0.0)</f>
        <v>0</v>
      </c>
      <c r="S135" s="8">
        <f>IFERROR(__xludf.DUMMYFUNCTION("""COMPUTED_VALUE"""),0.0)</f>
        <v>0</v>
      </c>
      <c r="T135" s="8">
        <f>IFERROR(__xludf.DUMMYFUNCTION("""COMPUTED_VALUE"""),0.0)</f>
        <v>0</v>
      </c>
      <c r="U135" s="8">
        <f>IFERROR(__xludf.DUMMYFUNCTION("""COMPUTED_VALUE"""),0.0)</f>
        <v>0</v>
      </c>
      <c r="V135" s="8">
        <f>IFERROR(__xludf.DUMMYFUNCTION("""COMPUTED_VALUE"""),0.0)</f>
        <v>0</v>
      </c>
      <c r="W135" s="8">
        <f>IFERROR(__xludf.DUMMYFUNCTION("""COMPUTED_VALUE"""),0.0)</f>
        <v>0</v>
      </c>
      <c r="X135" s="8">
        <f>IFERROR(__xludf.DUMMYFUNCTION("""COMPUTED_VALUE"""),0.0)</f>
        <v>0</v>
      </c>
      <c r="Y135" s="8">
        <f>IFERROR(__xludf.DUMMYFUNCTION("""COMPUTED_VALUE"""),0.0)</f>
        <v>0</v>
      </c>
      <c r="Z135" s="8">
        <f>IFERROR(__xludf.DUMMYFUNCTION("""COMPUTED_VALUE"""),0.0)</f>
        <v>0</v>
      </c>
      <c r="AA135" s="8">
        <f>IFERROR(__xludf.DUMMYFUNCTION("""COMPUTED_VALUE"""),0.0)</f>
        <v>0</v>
      </c>
      <c r="AB135" s="8">
        <f>IFERROR(__xludf.DUMMYFUNCTION("""COMPUTED_VALUE"""),0.0)</f>
        <v>0</v>
      </c>
      <c r="AC135" s="8">
        <f>IFERROR(__xludf.DUMMYFUNCTION("""COMPUTED_VALUE"""),0.0)</f>
        <v>0</v>
      </c>
    </row>
    <row r="136" ht="15.75" customHeight="1">
      <c r="A136" s="6" t="str">
        <f>IFERROR(__xludf.DUMMYFUNCTION("""COMPUTED_VALUE"""),"75537e31c1c79bdbb6ca1cd286c8e6bcb2697a51")</f>
        <v>75537e31c1c79bdbb6ca1cd286c8e6bcb2697a51</v>
      </c>
      <c r="B136" s="6" t="str">
        <f>IFERROR(__xludf.DUMMYFUNCTION("""COMPUTED_VALUE"""),"The Story of the CEO and the Heiress")</f>
        <v>The Story of the CEO and the Heiress</v>
      </c>
      <c r="C136" s="6" t="str">
        <f>IFERROR(__xludf.DUMMYFUNCTION("""COMPUTED_VALUE"""),"Romance")</f>
        <v>Romance</v>
      </c>
      <c r="D136" s="11">
        <f>IFERROR(__xludf.DUMMYFUNCTION("""COMPUTED_VALUE"""),7522.0)</f>
        <v>7522</v>
      </c>
      <c r="E136" s="8">
        <f>IFERROR(__xludf.DUMMYFUNCTION("""COMPUTED_VALUE"""),0.928361792956243)</f>
        <v>0.928361793</v>
      </c>
      <c r="F136" s="8">
        <f>IFERROR(__xludf.DUMMYFUNCTION("""COMPUTED_VALUE"""),0.296704774714189)</f>
        <v>0.2967047747</v>
      </c>
      <c r="G136" s="8">
        <f>IFERROR(__xludf.DUMMYFUNCTION("""COMPUTED_VALUE"""),0.238719265063496)</f>
        <v>0.2387192651</v>
      </c>
      <c r="H136" s="8">
        <f>IFERROR(__xludf.DUMMYFUNCTION("""COMPUTED_VALUE"""),0.216472500677323)</f>
        <v>0.2164725007</v>
      </c>
      <c r="I136" s="8">
        <f>IFERROR(__xludf.DUMMYFUNCTION("""COMPUTED_VALUE"""),0.197742418060655)</f>
        <v>0.1977424181</v>
      </c>
      <c r="J136" s="8">
        <f>IFERROR(__xludf.DUMMYFUNCTION("""COMPUTED_VALUE"""),0.188552649596056)</f>
        <v>0.1885526496</v>
      </c>
      <c r="K136" s="8">
        <f>IFERROR(__xludf.DUMMYFUNCTION("""COMPUTED_VALUE"""),0.180057684384013)</f>
        <v>0.1800576844</v>
      </c>
      <c r="L136" s="8">
        <f>IFERROR(__xludf.DUMMYFUNCTION("""COMPUTED_VALUE"""),0.174989682212133)</f>
        <v>0.1749896822</v>
      </c>
      <c r="M136" s="8">
        <f>IFERROR(__xludf.DUMMYFUNCTION("""COMPUTED_VALUE"""),0.166988151005786)</f>
        <v>0.166988151</v>
      </c>
      <c r="N136" s="8">
        <f>IFERROR(__xludf.DUMMYFUNCTION("""COMPUTED_VALUE"""),0.162505173127327)</f>
        <v>0.1625051731</v>
      </c>
      <c r="O136" s="8">
        <f>IFERROR(__xludf.DUMMYFUNCTION("""COMPUTED_VALUE"""),0.161427961883089)</f>
        <v>0.1614279619</v>
      </c>
      <c r="P136" s="8">
        <f>IFERROR(__xludf.DUMMYFUNCTION("""COMPUTED_VALUE"""),0.133400780459604)</f>
        <v>0.1334007805</v>
      </c>
      <c r="Q136" s="8">
        <f>IFERROR(__xludf.DUMMYFUNCTION("""COMPUTED_VALUE"""),0.105199698568198)</f>
        <v>0.1051996986</v>
      </c>
      <c r="R136" s="8">
        <f>IFERROR(__xludf.DUMMYFUNCTION("""COMPUTED_VALUE"""),0.0869432580841976)</f>
        <v>0.08694325808</v>
      </c>
      <c r="S136" s="8">
        <f>IFERROR(__xludf.DUMMYFUNCTION("""COMPUTED_VALUE"""),0.076627173411294)</f>
        <v>0.07662717341</v>
      </c>
      <c r="T136" s="8">
        <f>IFERROR(__xludf.DUMMYFUNCTION("""COMPUTED_VALUE"""),0.0653930933137399)</f>
        <v>0.06539309331</v>
      </c>
      <c r="U136" s="8">
        <f>IFERROR(__xludf.DUMMYFUNCTION("""COMPUTED_VALUE"""),0.0558375634517766)</f>
        <v>0.05583756345</v>
      </c>
      <c r="V136" s="8">
        <f>IFERROR(__xludf.DUMMYFUNCTION("""COMPUTED_VALUE"""),0.0401544401544401)</f>
        <v>0.04015444015</v>
      </c>
      <c r="W136" s="8">
        <f>IFERROR(__xludf.DUMMYFUNCTION("""COMPUTED_VALUE"""),0.0345140781108083)</f>
        <v>0.03451407811</v>
      </c>
      <c r="X136" s="8">
        <f>IFERROR(__xludf.DUMMYFUNCTION("""COMPUTED_VALUE"""),0.0)</f>
        <v>0</v>
      </c>
      <c r="Y136" s="8">
        <f>IFERROR(__xludf.DUMMYFUNCTION("""COMPUTED_VALUE"""),0.0)</f>
        <v>0</v>
      </c>
      <c r="Z136" s="8">
        <f>IFERROR(__xludf.DUMMYFUNCTION("""COMPUTED_VALUE"""),0.0)</f>
        <v>0</v>
      </c>
      <c r="AA136" s="8">
        <f>IFERROR(__xludf.DUMMYFUNCTION("""COMPUTED_VALUE"""),0.0)</f>
        <v>0</v>
      </c>
      <c r="AB136" s="8">
        <f>IFERROR(__xludf.DUMMYFUNCTION("""COMPUTED_VALUE"""),0.0)</f>
        <v>0</v>
      </c>
      <c r="AC136" s="8">
        <f>IFERROR(__xludf.DUMMYFUNCTION("""COMPUTED_VALUE"""),0.0)</f>
        <v>0</v>
      </c>
    </row>
    <row r="137" ht="15.75" customHeight="1">
      <c r="A137" s="6" t="str">
        <f>IFERROR(__xludf.DUMMYFUNCTION("""COMPUTED_VALUE"""),"767e135d338072c6a947db01691ead3f3174c6e1")</f>
        <v>767e135d338072c6a947db01691ead3f3174c6e1</v>
      </c>
      <c r="B137" s="6" t="str">
        <f>IFERROR(__xludf.DUMMYFUNCTION("""COMPUTED_VALUE"""),"The Hidden Heir Returns")</f>
        <v>The Hidden Heir Returns</v>
      </c>
      <c r="C137" s="6" t="str">
        <f>IFERROR(__xludf.DUMMYFUNCTION("""COMPUTED_VALUE"""),"Drama")</f>
        <v>Drama</v>
      </c>
      <c r="D137" s="11">
        <f>IFERROR(__xludf.DUMMYFUNCTION("""COMPUTED_VALUE"""),16377.0)</f>
        <v>16377</v>
      </c>
      <c r="E137" s="8">
        <f>IFERROR(__xludf.DUMMYFUNCTION("""COMPUTED_VALUE"""),0.853991273889264)</f>
        <v>0.8539912739</v>
      </c>
      <c r="F137" s="8">
        <f>IFERROR(__xludf.DUMMYFUNCTION("""COMPUTED_VALUE"""),0.370726562015263)</f>
        <v>0.370726562</v>
      </c>
      <c r="G137" s="8">
        <f>IFERROR(__xludf.DUMMYFUNCTION("""COMPUTED_VALUE"""),0.333520704515645)</f>
        <v>0.3335207045</v>
      </c>
      <c r="H137" s="8">
        <f>IFERROR(__xludf.DUMMYFUNCTION("""COMPUTED_VALUE"""),0.296655539459595)</f>
        <v>0.2966555395</v>
      </c>
      <c r="I137" s="8">
        <f>IFERROR(__xludf.DUMMYFUNCTION("""COMPUTED_VALUE"""),0.27579175428535)</f>
        <v>0.2757917543</v>
      </c>
      <c r="J137" s="8">
        <f>IFERROR(__xludf.DUMMYFUNCTION("""COMPUTED_VALUE"""),0.251784221693563)</f>
        <v>0.2517842217</v>
      </c>
      <c r="K137" s="8">
        <f>IFERROR(__xludf.DUMMYFUNCTION("""COMPUTED_VALUE"""),0.243002792389116)</f>
        <v>0.2430027924</v>
      </c>
      <c r="L137" s="8">
        <f>IFERROR(__xludf.DUMMYFUNCTION("""COMPUTED_VALUE"""),0.229419880428355)</f>
        <v>0.2294198804</v>
      </c>
      <c r="M137" s="8">
        <f>IFERROR(__xludf.DUMMYFUNCTION("""COMPUTED_VALUE"""),0.220147029604609)</f>
        <v>0.2201470296</v>
      </c>
      <c r="N137" s="8">
        <f>IFERROR(__xludf.DUMMYFUNCTION("""COMPUTED_VALUE"""),0.207596288632267)</f>
        <v>0.2075962886</v>
      </c>
      <c r="O137" s="8">
        <f>IFERROR(__xludf.DUMMYFUNCTION("""COMPUTED_VALUE"""),0.181760607979734)</f>
        <v>0.181760608</v>
      </c>
      <c r="P137" s="8">
        <f>IFERROR(__xludf.DUMMYFUNCTION("""COMPUTED_VALUE"""),0.158397511848341)</f>
        <v>0.1583975118</v>
      </c>
      <c r="Q137" s="8">
        <f>IFERROR(__xludf.DUMMYFUNCTION("""COMPUTED_VALUE"""),0.121114251110213)</f>
        <v>0.1211142511</v>
      </c>
      <c r="R137" s="8">
        <f>IFERROR(__xludf.DUMMYFUNCTION("""COMPUTED_VALUE"""),0.0912170966901225)</f>
        <v>0.09121709669</v>
      </c>
      <c r="S137" s="8">
        <f>IFERROR(__xludf.DUMMYFUNCTION("""COMPUTED_VALUE"""),0.0724065055591289)</f>
        <v>0.07240650556</v>
      </c>
      <c r="T137" s="8">
        <f>IFERROR(__xludf.DUMMYFUNCTION("""COMPUTED_VALUE"""),0.0599961846623426)</f>
        <v>0.05999618466</v>
      </c>
      <c r="U137" s="8">
        <f>IFERROR(__xludf.DUMMYFUNCTION("""COMPUTED_VALUE"""),0.0524262131065532)</f>
        <v>0.05242621311</v>
      </c>
      <c r="V137" s="8">
        <f>IFERROR(__xludf.DUMMYFUNCTION("""COMPUTED_VALUE"""),0.0458337733657197)</f>
        <v>0.04583377337</v>
      </c>
      <c r="W137" s="8">
        <f>IFERROR(__xludf.DUMMYFUNCTION("""COMPUTED_VALUE"""),0.0412314458493677)</f>
        <v>0.04123144585</v>
      </c>
      <c r="X137" s="8">
        <f>IFERROR(__xludf.DUMMYFUNCTION("""COMPUTED_VALUE"""),0.0415864022662889)</f>
        <v>0.04158640227</v>
      </c>
      <c r="Y137" s="8">
        <f>IFERROR(__xludf.DUMMYFUNCTION("""COMPUTED_VALUE"""),0.0361127774445111)</f>
        <v>0.03611277744</v>
      </c>
      <c r="Z137" s="8">
        <f>IFERROR(__xludf.DUMMYFUNCTION("""COMPUTED_VALUE"""),0.0320800718593609)</f>
        <v>0.03208007186</v>
      </c>
      <c r="AA137" s="8">
        <f>IFERROR(__xludf.DUMMYFUNCTION("""COMPUTED_VALUE"""),0.0222666666666666)</f>
        <v>0.02226666667</v>
      </c>
      <c r="AB137" s="8">
        <f>IFERROR(__xludf.DUMMYFUNCTION("""COMPUTED_VALUE"""),0.0141333333333333)</f>
        <v>0.01413333333</v>
      </c>
      <c r="AC137" s="8">
        <f>IFERROR(__xludf.DUMMYFUNCTION("""COMPUTED_VALUE"""),1.72830971310058E-4)</f>
        <v>0.0001728309713</v>
      </c>
    </row>
    <row r="138" ht="15.75" customHeight="1">
      <c r="A138" s="6" t="str">
        <f>IFERROR(__xludf.DUMMYFUNCTION("""COMPUTED_VALUE"""),"778663539ccabc8ee781b66d2bf6ff6a7f527163")</f>
        <v>778663539ccabc8ee781b66d2bf6ff6a7f527163</v>
      </c>
      <c r="B138" s="6" t="str">
        <f>IFERROR(__xludf.DUMMYFUNCTION("""COMPUTED_VALUE"""),"The Lazuras Engine System")</f>
        <v>The Lazuras Engine System</v>
      </c>
      <c r="C138" s="6" t="str">
        <f>IFERROR(__xludf.DUMMYFUNCTION("""COMPUTED_VALUE"""),"System and Superpower")</f>
        <v>System and Superpower</v>
      </c>
      <c r="D138" s="11">
        <f>IFERROR(__xludf.DUMMYFUNCTION("""COMPUTED_VALUE"""),734.0)</f>
        <v>734</v>
      </c>
      <c r="E138" s="8">
        <f>IFERROR(__xludf.DUMMYFUNCTION("""COMPUTED_VALUE"""),0.956403269754768)</f>
        <v>0.9564032698</v>
      </c>
      <c r="F138" s="8">
        <f>IFERROR(__xludf.DUMMYFUNCTION("""COMPUTED_VALUE"""),0.494550408719346)</f>
        <v>0.4945504087</v>
      </c>
      <c r="G138" s="8">
        <f>IFERROR(__xludf.DUMMYFUNCTION("""COMPUTED_VALUE"""),0.374659400544959)</f>
        <v>0.3746594005</v>
      </c>
      <c r="H138" s="8">
        <f>IFERROR(__xludf.DUMMYFUNCTION("""COMPUTED_VALUE"""),0.331062670299727)</f>
        <v>0.3310626703</v>
      </c>
      <c r="I138" s="8">
        <f>IFERROR(__xludf.DUMMYFUNCTION("""COMPUTED_VALUE"""),0.294277929155313)</f>
        <v>0.2942779292</v>
      </c>
      <c r="J138" s="8">
        <f>IFERROR(__xludf.DUMMYFUNCTION("""COMPUTED_VALUE"""),0.261580381471389)</f>
        <v>0.2615803815</v>
      </c>
      <c r="K138" s="8">
        <f>IFERROR(__xludf.DUMMYFUNCTION("""COMPUTED_VALUE"""),0.241144414168937)</f>
        <v>0.2411444142</v>
      </c>
      <c r="L138" s="8">
        <f>IFERROR(__xludf.DUMMYFUNCTION("""COMPUTED_VALUE"""),0.231607629427792)</f>
        <v>0.2316076294</v>
      </c>
      <c r="M138" s="8">
        <f>IFERROR(__xludf.DUMMYFUNCTION("""COMPUTED_VALUE"""),0.204918032786885)</f>
        <v>0.2049180328</v>
      </c>
      <c r="N138" s="8">
        <f>IFERROR(__xludf.DUMMYFUNCTION("""COMPUTED_VALUE"""),0.184426229508196)</f>
        <v>0.1844262295</v>
      </c>
      <c r="O138" s="8">
        <f>IFERROR(__xludf.DUMMYFUNCTION("""COMPUTED_VALUE"""),0.12718600953895)</f>
        <v>0.1271860095</v>
      </c>
      <c r="P138" s="8">
        <f>IFERROR(__xludf.DUMMYFUNCTION("""COMPUTED_VALUE"""),0.103852596314907)</f>
        <v>0.1038525963</v>
      </c>
      <c r="Q138" s="8">
        <f>IFERROR(__xludf.DUMMYFUNCTION("""COMPUTED_VALUE"""),0.0772727272727272)</f>
        <v>0.07727272727</v>
      </c>
      <c r="R138" s="8">
        <f>IFERROR(__xludf.DUMMYFUNCTION("""COMPUTED_VALUE"""),0.0227272727272727)</f>
        <v>0.02272727273</v>
      </c>
      <c r="S138" s="8">
        <f>IFERROR(__xludf.DUMMYFUNCTION("""COMPUTED_VALUE"""),0.0)</f>
        <v>0</v>
      </c>
      <c r="T138" s="8">
        <f>IFERROR(__xludf.DUMMYFUNCTION("""COMPUTED_VALUE"""),0.0)</f>
        <v>0</v>
      </c>
      <c r="U138" s="8">
        <f>IFERROR(__xludf.DUMMYFUNCTION("""COMPUTED_VALUE"""),0.0)</f>
        <v>0</v>
      </c>
      <c r="V138" s="8">
        <f>IFERROR(__xludf.DUMMYFUNCTION("""COMPUTED_VALUE"""),0.0)</f>
        <v>0</v>
      </c>
      <c r="W138" s="8">
        <f>IFERROR(__xludf.DUMMYFUNCTION("""COMPUTED_VALUE"""),0.0)</f>
        <v>0</v>
      </c>
      <c r="X138" s="8">
        <f>IFERROR(__xludf.DUMMYFUNCTION("""COMPUTED_VALUE"""),0.0)</f>
        <v>0</v>
      </c>
      <c r="Y138" s="8">
        <f>IFERROR(__xludf.DUMMYFUNCTION("""COMPUTED_VALUE"""),0.0)</f>
        <v>0</v>
      </c>
      <c r="Z138" s="8">
        <f>IFERROR(__xludf.DUMMYFUNCTION("""COMPUTED_VALUE"""),0.0)</f>
        <v>0</v>
      </c>
      <c r="AA138" s="8">
        <f>IFERROR(__xludf.DUMMYFUNCTION("""COMPUTED_VALUE"""),0.0)</f>
        <v>0</v>
      </c>
      <c r="AB138" s="8">
        <f>IFERROR(__xludf.DUMMYFUNCTION("""COMPUTED_VALUE"""),0.0)</f>
        <v>0</v>
      </c>
      <c r="AC138" s="8">
        <f>IFERROR(__xludf.DUMMYFUNCTION("""COMPUTED_VALUE"""),0.0)</f>
        <v>0</v>
      </c>
    </row>
    <row r="139" ht="15.75" customHeight="1">
      <c r="A139" s="6" t="str">
        <f>IFERROR(__xludf.DUMMYFUNCTION("""COMPUTED_VALUE"""),"7b3a625b0f5bbaa9080a6795b2d70e994716f8a5")</f>
        <v>7b3a625b0f5bbaa9080a6795b2d70e994716f8a5</v>
      </c>
      <c r="B139" s="6" t="str">
        <f>IFERROR(__xludf.DUMMYFUNCTION("""COMPUTED_VALUE"""),"Unexpectedly Yours")</f>
        <v>Unexpectedly Yours</v>
      </c>
      <c r="C139" s="6" t="str">
        <f>IFERROR(__xludf.DUMMYFUNCTION("""COMPUTED_VALUE"""),"Romance")</f>
        <v>Romance</v>
      </c>
      <c r="D139" s="11">
        <f>IFERROR(__xludf.DUMMYFUNCTION("""COMPUTED_VALUE"""),81.0)</f>
        <v>81</v>
      </c>
      <c r="E139" s="8">
        <f>IFERROR(__xludf.DUMMYFUNCTION("""COMPUTED_VALUE"""),0.950617283950617)</f>
        <v>0.950617284</v>
      </c>
      <c r="F139" s="8">
        <f>IFERROR(__xludf.DUMMYFUNCTION("""COMPUTED_VALUE"""),0.366197183098591)</f>
        <v>0.3661971831</v>
      </c>
      <c r="G139" s="8">
        <f>IFERROR(__xludf.DUMMYFUNCTION("""COMPUTED_VALUE"""),0.283582089552238)</f>
        <v>0.2835820896</v>
      </c>
      <c r="H139" s="8">
        <f>IFERROR(__xludf.DUMMYFUNCTION("""COMPUTED_VALUE"""),0.258064516129032)</f>
        <v>0.2580645161</v>
      </c>
      <c r="I139" s="8">
        <f>IFERROR(__xludf.DUMMYFUNCTION("""COMPUTED_VALUE"""),0.229508196721311)</f>
        <v>0.2295081967</v>
      </c>
      <c r="J139" s="8">
        <f>IFERROR(__xludf.DUMMYFUNCTION("""COMPUTED_VALUE"""),0.228070175438596)</f>
        <v>0.2280701754</v>
      </c>
      <c r="K139" s="8">
        <f>IFERROR(__xludf.DUMMYFUNCTION("""COMPUTED_VALUE"""),0.25)</f>
        <v>0.25</v>
      </c>
      <c r="L139" s="8">
        <f>IFERROR(__xludf.DUMMYFUNCTION("""COMPUTED_VALUE"""),0.214285714285714)</f>
        <v>0.2142857143</v>
      </c>
      <c r="M139" s="8">
        <f>IFERROR(__xludf.DUMMYFUNCTION("""COMPUTED_VALUE"""),0.222222222222222)</f>
        <v>0.2222222222</v>
      </c>
      <c r="N139" s="8">
        <f>IFERROR(__xludf.DUMMYFUNCTION("""COMPUTED_VALUE"""),0.226415094339622)</f>
        <v>0.2264150943</v>
      </c>
      <c r="O139" s="8">
        <f>IFERROR(__xludf.DUMMYFUNCTION("""COMPUTED_VALUE"""),0.0)</f>
        <v>0</v>
      </c>
      <c r="P139" s="8">
        <f>IFERROR(__xludf.DUMMYFUNCTION("""COMPUTED_VALUE"""),0.0)</f>
        <v>0</v>
      </c>
      <c r="Q139" s="8">
        <f>IFERROR(__xludf.DUMMYFUNCTION("""COMPUTED_VALUE"""),0.0)</f>
        <v>0</v>
      </c>
      <c r="R139" s="8">
        <f>IFERROR(__xludf.DUMMYFUNCTION("""COMPUTED_VALUE"""),0.0)</f>
        <v>0</v>
      </c>
      <c r="S139" s="8">
        <f>IFERROR(__xludf.DUMMYFUNCTION("""COMPUTED_VALUE"""),0.0)</f>
        <v>0</v>
      </c>
      <c r="T139" s="8">
        <f>IFERROR(__xludf.DUMMYFUNCTION("""COMPUTED_VALUE"""),0.0)</f>
        <v>0</v>
      </c>
      <c r="U139" s="8">
        <f>IFERROR(__xludf.DUMMYFUNCTION("""COMPUTED_VALUE"""),0.0)</f>
        <v>0</v>
      </c>
      <c r="V139" s="8">
        <f>IFERROR(__xludf.DUMMYFUNCTION("""COMPUTED_VALUE"""),0.0)</f>
        <v>0</v>
      </c>
      <c r="W139" s="8">
        <f>IFERROR(__xludf.DUMMYFUNCTION("""COMPUTED_VALUE"""),0.0)</f>
        <v>0</v>
      </c>
      <c r="X139" s="8">
        <f>IFERROR(__xludf.DUMMYFUNCTION("""COMPUTED_VALUE"""),0.0)</f>
        <v>0</v>
      </c>
      <c r="Y139" s="8">
        <f>IFERROR(__xludf.DUMMYFUNCTION("""COMPUTED_VALUE"""),0.0)</f>
        <v>0</v>
      </c>
      <c r="Z139" s="8">
        <f>IFERROR(__xludf.DUMMYFUNCTION("""COMPUTED_VALUE"""),0.0)</f>
        <v>0</v>
      </c>
      <c r="AA139" s="8">
        <f>IFERROR(__xludf.DUMMYFUNCTION("""COMPUTED_VALUE"""),0.0)</f>
        <v>0</v>
      </c>
      <c r="AB139" s="8">
        <f>IFERROR(__xludf.DUMMYFUNCTION("""COMPUTED_VALUE"""),0.0)</f>
        <v>0</v>
      </c>
      <c r="AC139" s="8">
        <f>IFERROR(__xludf.DUMMYFUNCTION("""COMPUTED_VALUE"""),0.0)</f>
        <v>0</v>
      </c>
    </row>
    <row r="140" ht="15.75" customHeight="1">
      <c r="A140" s="6" t="str">
        <f>IFERROR(__xludf.DUMMYFUNCTION("""COMPUTED_VALUE"""),"7c9e3c835e58a5ec8e21381910eaaf785ea5ddfc")</f>
        <v>7c9e3c835e58a5ec8e21381910eaaf785ea5ddfc</v>
      </c>
      <c r="B140" s="6" t="str">
        <f>IFERROR(__xludf.DUMMYFUNCTION("""COMPUTED_VALUE"""),"I Do ... Or Do I? ")</f>
        <v>I Do ... Or Do I? </v>
      </c>
      <c r="C140" s="6" t="str">
        <f>IFERROR(__xludf.DUMMYFUNCTION("""COMPUTED_VALUE"""),"Romance")</f>
        <v>Romance</v>
      </c>
      <c r="D140" s="11">
        <f>IFERROR(__xludf.DUMMYFUNCTION("""COMPUTED_VALUE"""),259.0)</f>
        <v>259</v>
      </c>
      <c r="E140" s="8">
        <f>IFERROR(__xludf.DUMMYFUNCTION("""COMPUTED_VALUE"""),0.961389961389961)</f>
        <v>0.9613899614</v>
      </c>
      <c r="F140" s="8">
        <f>IFERROR(__xludf.DUMMYFUNCTION("""COMPUTED_VALUE"""),0.413127413127413)</f>
        <v>0.4131274131</v>
      </c>
      <c r="G140" s="8">
        <f>IFERROR(__xludf.DUMMYFUNCTION("""COMPUTED_VALUE"""),0.361867704280155)</f>
        <v>0.3618677043</v>
      </c>
      <c r="H140" s="8">
        <f>IFERROR(__xludf.DUMMYFUNCTION("""COMPUTED_VALUE"""),0.341176470588235)</f>
        <v>0.3411764706</v>
      </c>
      <c r="I140" s="8">
        <f>IFERROR(__xludf.DUMMYFUNCTION("""COMPUTED_VALUE"""),0.306772908366533)</f>
        <v>0.3067729084</v>
      </c>
      <c r="J140" s="8">
        <f>IFERROR(__xludf.DUMMYFUNCTION("""COMPUTED_VALUE"""),0.286290322580645)</f>
        <v>0.2862903226</v>
      </c>
      <c r="K140" s="8">
        <f>IFERROR(__xludf.DUMMYFUNCTION("""COMPUTED_VALUE"""),0.265306122448979)</f>
        <v>0.2653061224</v>
      </c>
      <c r="L140" s="8">
        <f>IFERROR(__xludf.DUMMYFUNCTION("""COMPUTED_VALUE"""),0.238683127572016)</f>
        <v>0.2386831276</v>
      </c>
      <c r="M140" s="8">
        <f>IFERROR(__xludf.DUMMYFUNCTION("""COMPUTED_VALUE"""),0.214876033057851)</f>
        <v>0.2148760331</v>
      </c>
      <c r="N140" s="8">
        <f>IFERROR(__xludf.DUMMYFUNCTION("""COMPUTED_VALUE"""),0.1875)</f>
        <v>0.1875</v>
      </c>
      <c r="O140" s="8">
        <f>IFERROR(__xludf.DUMMYFUNCTION("""COMPUTED_VALUE"""),0.172413793103448)</f>
        <v>0.1724137931</v>
      </c>
      <c r="P140" s="8">
        <f>IFERROR(__xludf.DUMMYFUNCTION("""COMPUTED_VALUE"""),0.0683229813664596)</f>
        <v>0.06832298137</v>
      </c>
      <c r="Q140" s="8">
        <f>IFERROR(__xludf.DUMMYFUNCTION("""COMPUTED_VALUE"""),0.111111111111111)</f>
        <v>0.1111111111</v>
      </c>
      <c r="R140" s="8">
        <f>IFERROR(__xludf.DUMMYFUNCTION("""COMPUTED_VALUE"""),0.0)</f>
        <v>0</v>
      </c>
      <c r="S140" s="8">
        <f>IFERROR(__xludf.DUMMYFUNCTION("""COMPUTED_VALUE"""),0.0)</f>
        <v>0</v>
      </c>
      <c r="T140" s="8">
        <f>IFERROR(__xludf.DUMMYFUNCTION("""COMPUTED_VALUE"""),0.0)</f>
        <v>0</v>
      </c>
      <c r="U140" s="8">
        <f>IFERROR(__xludf.DUMMYFUNCTION("""COMPUTED_VALUE"""),0.0)</f>
        <v>0</v>
      </c>
      <c r="V140" s="8">
        <f>IFERROR(__xludf.DUMMYFUNCTION("""COMPUTED_VALUE"""),0.0)</f>
        <v>0</v>
      </c>
      <c r="W140" s="8">
        <f>IFERROR(__xludf.DUMMYFUNCTION("""COMPUTED_VALUE"""),0.0)</f>
        <v>0</v>
      </c>
      <c r="X140" s="8">
        <f>IFERROR(__xludf.DUMMYFUNCTION("""COMPUTED_VALUE"""),0.0)</f>
        <v>0</v>
      </c>
      <c r="Y140" s="8">
        <f>IFERROR(__xludf.DUMMYFUNCTION("""COMPUTED_VALUE"""),0.0)</f>
        <v>0</v>
      </c>
      <c r="Z140" s="8">
        <f>IFERROR(__xludf.DUMMYFUNCTION("""COMPUTED_VALUE"""),0.0)</f>
        <v>0</v>
      </c>
      <c r="AA140" s="8">
        <f>IFERROR(__xludf.DUMMYFUNCTION("""COMPUTED_VALUE"""),0.0)</f>
        <v>0</v>
      </c>
      <c r="AB140" s="8">
        <f>IFERROR(__xludf.DUMMYFUNCTION("""COMPUTED_VALUE"""),0.0)</f>
        <v>0</v>
      </c>
      <c r="AC140" s="8">
        <f>IFERROR(__xludf.DUMMYFUNCTION("""COMPUTED_VALUE"""),0.0)</f>
        <v>0</v>
      </c>
    </row>
    <row r="141" ht="15.75" customHeight="1">
      <c r="A141" s="6" t="str">
        <f>IFERROR(__xludf.DUMMYFUNCTION("""COMPUTED_VALUE"""),"7d18c26c9a61af0d543d74280e7328e01a907988")</f>
        <v>7d18c26c9a61af0d543d74280e7328e01a907988</v>
      </c>
      <c r="B141" s="6" t="str">
        <f>IFERROR(__xludf.DUMMYFUNCTION("""COMPUTED_VALUE"""),"Empire of Love and War")</f>
        <v>Empire of Love and War</v>
      </c>
      <c r="C141" s="6" t="str">
        <f>IFERROR(__xludf.DUMMYFUNCTION("""COMPUTED_VALUE"""),"Romance")</f>
        <v>Romance</v>
      </c>
      <c r="D141" s="11">
        <f>IFERROR(__xludf.DUMMYFUNCTION("""COMPUTED_VALUE"""),2252.0)</f>
        <v>2252</v>
      </c>
      <c r="E141" s="8">
        <f>IFERROR(__xludf.DUMMYFUNCTION("""COMPUTED_VALUE"""),0.97640249332146)</f>
        <v>0.9764024933</v>
      </c>
      <c r="F141" s="8">
        <f>IFERROR(__xludf.DUMMYFUNCTION("""COMPUTED_VALUE"""),0.322177599286033)</f>
        <v>0.3221775993</v>
      </c>
      <c r="G141" s="8">
        <f>IFERROR(__xludf.DUMMYFUNCTION("""COMPUTED_VALUE"""),0.261723983921393)</f>
        <v>0.2617239839</v>
      </c>
      <c r="H141" s="8">
        <f>IFERROR(__xludf.DUMMYFUNCTION("""COMPUTED_VALUE"""),0.229735781459919)</f>
        <v>0.2297357815</v>
      </c>
      <c r="I141" s="8">
        <f>IFERROR(__xludf.DUMMYFUNCTION("""COMPUTED_VALUE"""),0.208352043107319)</f>
        <v>0.2083520431</v>
      </c>
      <c r="J141" s="8">
        <f>IFERROR(__xludf.DUMMYFUNCTION("""COMPUTED_VALUE"""),0.190798376184032)</f>
        <v>0.1907983762</v>
      </c>
      <c r="K141" s="8">
        <f>IFERROR(__xludf.DUMMYFUNCTION("""COMPUTED_VALUE"""),0.176790571169537)</f>
        <v>0.1767905712</v>
      </c>
      <c r="L141" s="8">
        <f>IFERROR(__xludf.DUMMYFUNCTION("""COMPUTED_VALUE"""),0.160746812386156)</f>
        <v>0.1607468124</v>
      </c>
      <c r="M141" s="8">
        <f>IFERROR(__xludf.DUMMYFUNCTION("""COMPUTED_VALUE"""),0.149199084668192)</f>
        <v>0.1491990847</v>
      </c>
      <c r="N141" s="8">
        <f>IFERROR(__xludf.DUMMYFUNCTION("""COMPUTED_VALUE"""),0.135334872979214)</f>
        <v>0.135334873</v>
      </c>
      <c r="O141" s="8">
        <f>IFERROR(__xludf.DUMMYFUNCTION("""COMPUTED_VALUE"""),0.0944227005870841)</f>
        <v>0.09442270059</v>
      </c>
      <c r="P141" s="8">
        <f>IFERROR(__xludf.DUMMYFUNCTION("""COMPUTED_VALUE"""),0.0541331382589612)</f>
        <v>0.05413313826</v>
      </c>
      <c r="Q141" s="8">
        <f>IFERROR(__xludf.DUMMYFUNCTION("""COMPUTED_VALUE"""),0.0295081967213114)</f>
        <v>0.02950819672</v>
      </c>
      <c r="R141" s="8">
        <f>IFERROR(__xludf.DUMMYFUNCTION("""COMPUTED_VALUE"""),0.0)</f>
        <v>0</v>
      </c>
      <c r="S141" s="8">
        <f>IFERROR(__xludf.DUMMYFUNCTION("""COMPUTED_VALUE"""),0.0)</f>
        <v>0</v>
      </c>
      <c r="T141" s="8">
        <f>IFERROR(__xludf.DUMMYFUNCTION("""COMPUTED_VALUE"""),0.0)</f>
        <v>0</v>
      </c>
      <c r="U141" s="8">
        <f>IFERROR(__xludf.DUMMYFUNCTION("""COMPUTED_VALUE"""),0.0)</f>
        <v>0</v>
      </c>
      <c r="V141" s="8">
        <f>IFERROR(__xludf.DUMMYFUNCTION("""COMPUTED_VALUE"""),0.0)</f>
        <v>0</v>
      </c>
      <c r="W141" s="8">
        <f>IFERROR(__xludf.DUMMYFUNCTION("""COMPUTED_VALUE"""),0.0)</f>
        <v>0</v>
      </c>
      <c r="X141" s="8">
        <f>IFERROR(__xludf.DUMMYFUNCTION("""COMPUTED_VALUE"""),0.0)</f>
        <v>0</v>
      </c>
      <c r="Y141" s="8">
        <f>IFERROR(__xludf.DUMMYFUNCTION("""COMPUTED_VALUE"""),0.0)</f>
        <v>0</v>
      </c>
      <c r="Z141" s="8">
        <f>IFERROR(__xludf.DUMMYFUNCTION("""COMPUTED_VALUE"""),0.0)</f>
        <v>0</v>
      </c>
      <c r="AA141" s="8">
        <f>IFERROR(__xludf.DUMMYFUNCTION("""COMPUTED_VALUE"""),0.0)</f>
        <v>0</v>
      </c>
      <c r="AB141" s="8">
        <f>IFERROR(__xludf.DUMMYFUNCTION("""COMPUTED_VALUE"""),0.0)</f>
        <v>0</v>
      </c>
      <c r="AC141" s="8">
        <f>IFERROR(__xludf.DUMMYFUNCTION("""COMPUTED_VALUE"""),0.0)</f>
        <v>0</v>
      </c>
    </row>
    <row r="142" ht="15.75" customHeight="1">
      <c r="A142" s="6" t="str">
        <f>IFERROR(__xludf.DUMMYFUNCTION("""COMPUTED_VALUE"""),"7dcd0d4c632448440b17285c811990532a31efec")</f>
        <v>7dcd0d4c632448440b17285c811990532a31efec</v>
      </c>
      <c r="B142" s="6" t="str">
        <f>IFERROR(__xludf.DUMMYFUNCTION("""COMPUTED_VALUE"""),"The Scentless Luna")</f>
        <v>The Scentless Luna</v>
      </c>
      <c r="C142" s="6" t="str">
        <f>IFERROR(__xludf.DUMMYFUNCTION("""COMPUTED_VALUE"""),"Romantasy")</f>
        <v>Romantasy</v>
      </c>
      <c r="D142" s="11">
        <f>IFERROR(__xludf.DUMMYFUNCTION("""COMPUTED_VALUE"""),389.0)</f>
        <v>389</v>
      </c>
      <c r="E142" s="8">
        <f>IFERROR(__xludf.DUMMYFUNCTION("""COMPUTED_VALUE"""),0.992207792207792)</f>
        <v>0.9922077922</v>
      </c>
      <c r="F142" s="8">
        <f>IFERROR(__xludf.DUMMYFUNCTION("""COMPUTED_VALUE"""),0.31129476584022)</f>
        <v>0.3112947658</v>
      </c>
      <c r="G142" s="8">
        <f>IFERROR(__xludf.DUMMYFUNCTION("""COMPUTED_VALUE"""),0.269121813031161)</f>
        <v>0.269121813</v>
      </c>
      <c r="H142" s="8">
        <f>IFERROR(__xludf.DUMMYFUNCTION("""COMPUTED_VALUE"""),0.208571428571428)</f>
        <v>0.2085714286</v>
      </c>
      <c r="I142" s="8">
        <f>IFERROR(__xludf.DUMMYFUNCTION("""COMPUTED_VALUE"""),0.2)</f>
        <v>0.2</v>
      </c>
      <c r="J142" s="8">
        <f>IFERROR(__xludf.DUMMYFUNCTION("""COMPUTED_VALUE"""),0.18)</f>
        <v>0.18</v>
      </c>
      <c r="K142" s="8">
        <f>IFERROR(__xludf.DUMMYFUNCTION("""COMPUTED_VALUE"""),0.168571428571428)</f>
        <v>0.1685714286</v>
      </c>
      <c r="L142" s="8">
        <f>IFERROR(__xludf.DUMMYFUNCTION("""COMPUTED_VALUE"""),0.148997134670487)</f>
        <v>0.1489971347</v>
      </c>
      <c r="M142" s="8">
        <f>IFERROR(__xludf.DUMMYFUNCTION("""COMPUTED_VALUE"""),0.134670487106017)</f>
        <v>0.1346704871</v>
      </c>
      <c r="N142" s="8">
        <f>IFERROR(__xludf.DUMMYFUNCTION("""COMPUTED_VALUE"""),0.123209169054441)</f>
        <v>0.1232091691</v>
      </c>
      <c r="O142" s="8">
        <f>IFERROR(__xludf.DUMMYFUNCTION("""COMPUTED_VALUE"""),0.0809248554913294)</f>
        <v>0.08092485549</v>
      </c>
      <c r="P142" s="8">
        <f>IFERROR(__xludf.DUMMYFUNCTION("""COMPUTED_VALUE"""),0.0406976744186046)</f>
        <v>0.04069767442</v>
      </c>
      <c r="Q142" s="8">
        <f>IFERROR(__xludf.DUMMYFUNCTION("""COMPUTED_VALUE"""),0.0526315789473684)</f>
        <v>0.05263157895</v>
      </c>
      <c r="R142" s="8">
        <f>IFERROR(__xludf.DUMMYFUNCTION("""COMPUTED_VALUE"""),0.0)</f>
        <v>0</v>
      </c>
      <c r="S142" s="8">
        <f>IFERROR(__xludf.DUMMYFUNCTION("""COMPUTED_VALUE"""),0.0)</f>
        <v>0</v>
      </c>
      <c r="T142" s="8">
        <f>IFERROR(__xludf.DUMMYFUNCTION("""COMPUTED_VALUE"""),0.0)</f>
        <v>0</v>
      </c>
      <c r="U142" s="8">
        <f>IFERROR(__xludf.DUMMYFUNCTION("""COMPUTED_VALUE"""),0.0)</f>
        <v>0</v>
      </c>
      <c r="V142" s="8">
        <f>IFERROR(__xludf.DUMMYFUNCTION("""COMPUTED_VALUE"""),0.0)</f>
        <v>0</v>
      </c>
      <c r="W142" s="8">
        <f>IFERROR(__xludf.DUMMYFUNCTION("""COMPUTED_VALUE"""),0.0)</f>
        <v>0</v>
      </c>
      <c r="X142" s="8">
        <f>IFERROR(__xludf.DUMMYFUNCTION("""COMPUTED_VALUE"""),0.0)</f>
        <v>0</v>
      </c>
      <c r="Y142" s="8">
        <f>IFERROR(__xludf.DUMMYFUNCTION("""COMPUTED_VALUE"""),0.0)</f>
        <v>0</v>
      </c>
      <c r="Z142" s="8">
        <f>IFERROR(__xludf.DUMMYFUNCTION("""COMPUTED_VALUE"""),0.0)</f>
        <v>0</v>
      </c>
      <c r="AA142" s="8">
        <f>IFERROR(__xludf.DUMMYFUNCTION("""COMPUTED_VALUE"""),0.0)</f>
        <v>0</v>
      </c>
      <c r="AB142" s="8">
        <f>IFERROR(__xludf.DUMMYFUNCTION("""COMPUTED_VALUE"""),0.0)</f>
        <v>0</v>
      </c>
      <c r="AC142" s="8">
        <f>IFERROR(__xludf.DUMMYFUNCTION("""COMPUTED_VALUE"""),0.0)</f>
        <v>0</v>
      </c>
    </row>
    <row r="143" ht="15.75" customHeight="1">
      <c r="A143" s="6" t="str">
        <f>IFERROR(__xludf.DUMMYFUNCTION("""COMPUTED_VALUE"""),"7fb3b080b1ad8976195f7a18e1df497bc23037fa")</f>
        <v>7fb3b080b1ad8976195f7a18e1df497bc23037fa</v>
      </c>
      <c r="B143" s="6" t="str">
        <f>IFERROR(__xludf.DUMMYFUNCTION("""COMPUTED_VALUE"""),"The Ghostwalker")</f>
        <v>The Ghostwalker</v>
      </c>
      <c r="C143" s="6" t="str">
        <f>IFERROR(__xludf.DUMMYFUNCTION("""COMPUTED_VALUE"""),"Suspense or Thriller")</f>
        <v>Suspense or Thriller</v>
      </c>
      <c r="D143" s="11">
        <f>IFERROR(__xludf.DUMMYFUNCTION("""COMPUTED_VALUE"""),1040.0)</f>
        <v>1040</v>
      </c>
      <c r="E143" s="8">
        <f>IFERROR(__xludf.DUMMYFUNCTION("""COMPUTED_VALUE"""),0.983590733590733)</f>
        <v>0.9835907336</v>
      </c>
      <c r="F143" s="8">
        <f>IFERROR(__xludf.DUMMYFUNCTION("""COMPUTED_VALUE"""),0.451456310679611)</f>
        <v>0.4514563107</v>
      </c>
      <c r="G143" s="8">
        <f>IFERROR(__xludf.DUMMYFUNCTION("""COMPUTED_VALUE"""),0.350535540408958)</f>
        <v>0.3505355404</v>
      </c>
      <c r="H143" s="8">
        <f>IFERROR(__xludf.DUMMYFUNCTION("""COMPUTED_VALUE"""),0.308521057786483)</f>
        <v>0.3085210578</v>
      </c>
      <c r="I143" s="8">
        <f>IFERROR(__xludf.DUMMYFUNCTION("""COMPUTED_VALUE"""),0.280475718533201)</f>
        <v>0.2804757185</v>
      </c>
      <c r="J143" s="8">
        <f>IFERROR(__xludf.DUMMYFUNCTION("""COMPUTED_VALUE"""),0.247011952191235)</f>
        <v>0.2470119522</v>
      </c>
      <c r="K143" s="8">
        <f>IFERROR(__xludf.DUMMYFUNCTION("""COMPUTED_VALUE"""),0.217782217782217)</f>
        <v>0.2177822178</v>
      </c>
      <c r="L143" s="8">
        <f>IFERROR(__xludf.DUMMYFUNCTION("""COMPUTED_VALUE"""),0.198588709677419)</f>
        <v>0.1985887097</v>
      </c>
      <c r="M143" s="8">
        <f>IFERROR(__xludf.DUMMYFUNCTION("""COMPUTED_VALUE"""),0.181357649442755)</f>
        <v>0.1813576494</v>
      </c>
      <c r="N143" s="8">
        <f>IFERROR(__xludf.DUMMYFUNCTION("""COMPUTED_VALUE"""),0.167179487179487)</f>
        <v>0.1671794872</v>
      </c>
      <c r="O143" s="8">
        <f>IFERROR(__xludf.DUMMYFUNCTION("""COMPUTED_VALUE"""),0.122784810126582)</f>
        <v>0.1227848101</v>
      </c>
      <c r="P143" s="8">
        <f>IFERROR(__xludf.DUMMYFUNCTION("""COMPUTED_VALUE"""),0.133333333333333)</f>
        <v>0.1333333333</v>
      </c>
      <c r="Q143" s="8">
        <f>IFERROR(__xludf.DUMMYFUNCTION("""COMPUTED_VALUE"""),0.0)</f>
        <v>0</v>
      </c>
      <c r="R143" s="8">
        <f>IFERROR(__xludf.DUMMYFUNCTION("""COMPUTED_VALUE"""),0.0)</f>
        <v>0</v>
      </c>
      <c r="S143" s="8">
        <f>IFERROR(__xludf.DUMMYFUNCTION("""COMPUTED_VALUE"""),0.0)</f>
        <v>0</v>
      </c>
      <c r="T143" s="8">
        <f>IFERROR(__xludf.DUMMYFUNCTION("""COMPUTED_VALUE"""),0.0)</f>
        <v>0</v>
      </c>
      <c r="U143" s="8">
        <f>IFERROR(__xludf.DUMMYFUNCTION("""COMPUTED_VALUE"""),0.0)</f>
        <v>0</v>
      </c>
      <c r="V143" s="8">
        <f>IFERROR(__xludf.DUMMYFUNCTION("""COMPUTED_VALUE"""),0.0)</f>
        <v>0</v>
      </c>
      <c r="W143" s="8">
        <f>IFERROR(__xludf.DUMMYFUNCTION("""COMPUTED_VALUE"""),0.0)</f>
        <v>0</v>
      </c>
      <c r="X143" s="8">
        <f>IFERROR(__xludf.DUMMYFUNCTION("""COMPUTED_VALUE"""),0.0)</f>
        <v>0</v>
      </c>
      <c r="Y143" s="8">
        <f>IFERROR(__xludf.DUMMYFUNCTION("""COMPUTED_VALUE"""),0.0)</f>
        <v>0</v>
      </c>
      <c r="Z143" s="8">
        <f>IFERROR(__xludf.DUMMYFUNCTION("""COMPUTED_VALUE"""),0.0)</f>
        <v>0</v>
      </c>
      <c r="AA143" s="8">
        <f>IFERROR(__xludf.DUMMYFUNCTION("""COMPUTED_VALUE"""),0.0)</f>
        <v>0</v>
      </c>
      <c r="AB143" s="8">
        <f>IFERROR(__xludf.DUMMYFUNCTION("""COMPUTED_VALUE"""),0.0)</f>
        <v>0</v>
      </c>
      <c r="AC143" s="8">
        <f>IFERROR(__xludf.DUMMYFUNCTION("""COMPUTED_VALUE"""),0.0)</f>
        <v>0</v>
      </c>
    </row>
    <row r="144" ht="15.75" customHeight="1">
      <c r="A144" s="6" t="str">
        <f>IFERROR(__xludf.DUMMYFUNCTION("""COMPUTED_VALUE"""),"7fd747e6520471a8653824ad1a2ba2ad33b91835")</f>
        <v>7fd747e6520471a8653824ad1a2ba2ad33b91835</v>
      </c>
      <c r="B144" s="6" t="str">
        <f>IFERROR(__xludf.DUMMYFUNCTION("""COMPUTED_VALUE"""),"Evolution Online")</f>
        <v>Evolution Online</v>
      </c>
      <c r="C144" s="6" t="str">
        <f>IFERROR(__xludf.DUMMYFUNCTION("""COMPUTED_VALUE"""),"Fantasy")</f>
        <v>Fantasy</v>
      </c>
      <c r="D144" s="11">
        <f>IFERROR(__xludf.DUMMYFUNCTION("""COMPUTED_VALUE"""),512.0)</f>
        <v>512</v>
      </c>
      <c r="E144" s="8">
        <f>IFERROR(__xludf.DUMMYFUNCTION("""COMPUTED_VALUE"""),0.96875)</f>
        <v>0.96875</v>
      </c>
      <c r="F144" s="8">
        <f>IFERROR(__xludf.DUMMYFUNCTION("""COMPUTED_VALUE"""),0.573673870333988)</f>
        <v>0.5736738703</v>
      </c>
      <c r="G144" s="8">
        <f>IFERROR(__xludf.DUMMYFUNCTION("""COMPUTED_VALUE"""),0.410609037328094)</f>
        <v>0.4106090373</v>
      </c>
      <c r="H144" s="8">
        <f>IFERROR(__xludf.DUMMYFUNCTION("""COMPUTED_VALUE"""),0.390962671905697)</f>
        <v>0.3909626719</v>
      </c>
      <c r="I144" s="8">
        <f>IFERROR(__xludf.DUMMYFUNCTION("""COMPUTED_VALUE"""),0.353057199211045)</f>
        <v>0.3530571992</v>
      </c>
      <c r="J144" s="8">
        <f>IFERROR(__xludf.DUMMYFUNCTION("""COMPUTED_VALUE"""),0.32938856015779)</f>
        <v>0.3293885602</v>
      </c>
      <c r="K144" s="8">
        <f>IFERROR(__xludf.DUMMYFUNCTION("""COMPUTED_VALUE"""),0.301775147928994)</f>
        <v>0.3017751479</v>
      </c>
      <c r="L144" s="8">
        <f>IFERROR(__xludf.DUMMYFUNCTION("""COMPUTED_VALUE"""),0.282051282051282)</f>
        <v>0.2820512821</v>
      </c>
      <c r="M144" s="8">
        <f>IFERROR(__xludf.DUMMYFUNCTION("""COMPUTED_VALUE"""),0.263366336633663)</f>
        <v>0.2633663366</v>
      </c>
      <c r="N144" s="8">
        <f>IFERROR(__xludf.DUMMYFUNCTION("""COMPUTED_VALUE"""),0.241584158415841)</f>
        <v>0.2415841584</v>
      </c>
      <c r="O144" s="8">
        <f>IFERROR(__xludf.DUMMYFUNCTION("""COMPUTED_VALUE"""),0.184035476718403)</f>
        <v>0.1840354767</v>
      </c>
      <c r="P144" s="8">
        <f>IFERROR(__xludf.DUMMYFUNCTION("""COMPUTED_VALUE"""),0.152808988764044)</f>
        <v>0.1528089888</v>
      </c>
      <c r="Q144" s="8">
        <f>IFERROR(__xludf.DUMMYFUNCTION("""COMPUTED_VALUE"""),0.102272727272727)</f>
        <v>0.1022727273</v>
      </c>
      <c r="R144" s="8">
        <f>IFERROR(__xludf.DUMMYFUNCTION("""COMPUTED_VALUE"""),0.0)</f>
        <v>0</v>
      </c>
      <c r="S144" s="8">
        <f>IFERROR(__xludf.DUMMYFUNCTION("""COMPUTED_VALUE"""),0.0)</f>
        <v>0</v>
      </c>
      <c r="T144" s="8">
        <f>IFERROR(__xludf.DUMMYFUNCTION("""COMPUTED_VALUE"""),0.0)</f>
        <v>0</v>
      </c>
      <c r="U144" s="8">
        <f>IFERROR(__xludf.DUMMYFUNCTION("""COMPUTED_VALUE"""),0.0)</f>
        <v>0</v>
      </c>
      <c r="V144" s="8">
        <f>IFERROR(__xludf.DUMMYFUNCTION("""COMPUTED_VALUE"""),0.0)</f>
        <v>0</v>
      </c>
      <c r="W144" s="8">
        <f>IFERROR(__xludf.DUMMYFUNCTION("""COMPUTED_VALUE"""),0.0)</f>
        <v>0</v>
      </c>
      <c r="X144" s="8">
        <f>IFERROR(__xludf.DUMMYFUNCTION("""COMPUTED_VALUE"""),0.0)</f>
        <v>0</v>
      </c>
      <c r="Y144" s="8">
        <f>IFERROR(__xludf.DUMMYFUNCTION("""COMPUTED_VALUE"""),0.0)</f>
        <v>0</v>
      </c>
      <c r="Z144" s="8">
        <f>IFERROR(__xludf.DUMMYFUNCTION("""COMPUTED_VALUE"""),0.0)</f>
        <v>0</v>
      </c>
      <c r="AA144" s="8">
        <f>IFERROR(__xludf.DUMMYFUNCTION("""COMPUTED_VALUE"""),0.0)</f>
        <v>0</v>
      </c>
      <c r="AB144" s="8">
        <f>IFERROR(__xludf.DUMMYFUNCTION("""COMPUTED_VALUE"""),0.0)</f>
        <v>0</v>
      </c>
      <c r="AC144" s="8">
        <f>IFERROR(__xludf.DUMMYFUNCTION("""COMPUTED_VALUE"""),0.0)</f>
        <v>0</v>
      </c>
    </row>
    <row r="145" ht="15.75" customHeight="1">
      <c r="A145" s="6" t="str">
        <f>IFERROR(__xludf.DUMMYFUNCTION("""COMPUTED_VALUE"""),"80e6be6f7d165552c60a2fc7cbf39746d2ab2466")</f>
        <v>80e6be6f7d165552c60a2fc7cbf39746d2ab2466</v>
      </c>
      <c r="B145" s="6" t="str">
        <f>IFERROR(__xludf.DUMMYFUNCTION("""COMPUTED_VALUE"""),"Marked by Him: True Mate")</f>
        <v>Marked by Him: True Mate</v>
      </c>
      <c r="C145" s="6" t="str">
        <f>IFERROR(__xludf.DUMMYFUNCTION("""COMPUTED_VALUE"""),"Romantasy")</f>
        <v>Romantasy</v>
      </c>
      <c r="D145" s="11">
        <f>IFERROR(__xludf.DUMMYFUNCTION("""COMPUTED_VALUE"""),331.0)</f>
        <v>331</v>
      </c>
      <c r="E145" s="8">
        <f>IFERROR(__xludf.DUMMYFUNCTION("""COMPUTED_VALUE"""),0.957703927492447)</f>
        <v>0.9577039275</v>
      </c>
      <c r="F145" s="8">
        <f>IFERROR(__xludf.DUMMYFUNCTION("""COMPUTED_VALUE"""),0.366666666666666)</f>
        <v>0.3666666667</v>
      </c>
      <c r="G145" s="8">
        <f>IFERROR(__xludf.DUMMYFUNCTION("""COMPUTED_VALUE"""),0.318181818181818)</f>
        <v>0.3181818182</v>
      </c>
      <c r="H145" s="8">
        <f>IFERROR(__xludf.DUMMYFUNCTION("""COMPUTED_VALUE"""),0.3)</f>
        <v>0.3</v>
      </c>
      <c r="I145" s="8">
        <f>IFERROR(__xludf.DUMMYFUNCTION("""COMPUTED_VALUE"""),0.296969696969697)</f>
        <v>0.296969697</v>
      </c>
      <c r="J145" s="8">
        <f>IFERROR(__xludf.DUMMYFUNCTION("""COMPUTED_VALUE"""),0.276595744680851)</f>
        <v>0.2765957447</v>
      </c>
      <c r="K145" s="8">
        <f>IFERROR(__xludf.DUMMYFUNCTION("""COMPUTED_VALUE"""),0.269113149847094)</f>
        <v>0.2691131498</v>
      </c>
      <c r="L145" s="8">
        <f>IFERROR(__xludf.DUMMYFUNCTION("""COMPUTED_VALUE"""),0.258566978193146)</f>
        <v>0.2585669782</v>
      </c>
      <c r="M145" s="8">
        <f>IFERROR(__xludf.DUMMYFUNCTION("""COMPUTED_VALUE"""),0.261006289308176)</f>
        <v>0.2610062893</v>
      </c>
      <c r="N145" s="8">
        <f>IFERROR(__xludf.DUMMYFUNCTION("""COMPUTED_VALUE"""),0.257142857142857)</f>
        <v>0.2571428571</v>
      </c>
      <c r="O145" s="8">
        <f>IFERROR(__xludf.DUMMYFUNCTION("""COMPUTED_VALUE"""),0.217543859649122)</f>
        <v>0.2175438596</v>
      </c>
      <c r="P145" s="8">
        <f>IFERROR(__xludf.DUMMYFUNCTION("""COMPUTED_VALUE"""),0.183098591549295)</f>
        <v>0.1830985915</v>
      </c>
      <c r="Q145" s="8">
        <f>IFERROR(__xludf.DUMMYFUNCTION("""COMPUTED_VALUE"""),0.218390804597701)</f>
        <v>0.2183908046</v>
      </c>
      <c r="R145" s="8">
        <f>IFERROR(__xludf.DUMMYFUNCTION("""COMPUTED_VALUE"""),0.0769230769230769)</f>
        <v>0.07692307692</v>
      </c>
      <c r="S145" s="8">
        <f>IFERROR(__xludf.DUMMYFUNCTION("""COMPUTED_VALUE"""),0.0)</f>
        <v>0</v>
      </c>
      <c r="T145" s="8">
        <f>IFERROR(__xludf.DUMMYFUNCTION("""COMPUTED_VALUE"""),0.0)</f>
        <v>0</v>
      </c>
      <c r="U145" s="8">
        <f>IFERROR(__xludf.DUMMYFUNCTION("""COMPUTED_VALUE"""),0.0)</f>
        <v>0</v>
      </c>
      <c r="V145" s="8">
        <f>IFERROR(__xludf.DUMMYFUNCTION("""COMPUTED_VALUE"""),0.0)</f>
        <v>0</v>
      </c>
      <c r="W145" s="8">
        <f>IFERROR(__xludf.DUMMYFUNCTION("""COMPUTED_VALUE"""),0.0)</f>
        <v>0</v>
      </c>
      <c r="X145" s="8">
        <f>IFERROR(__xludf.DUMMYFUNCTION("""COMPUTED_VALUE"""),0.0)</f>
        <v>0</v>
      </c>
      <c r="Y145" s="8">
        <f>IFERROR(__xludf.DUMMYFUNCTION("""COMPUTED_VALUE"""),0.0)</f>
        <v>0</v>
      </c>
      <c r="Z145" s="8">
        <f>IFERROR(__xludf.DUMMYFUNCTION("""COMPUTED_VALUE"""),0.0)</f>
        <v>0</v>
      </c>
      <c r="AA145" s="8">
        <f>IFERROR(__xludf.DUMMYFUNCTION("""COMPUTED_VALUE"""),0.0)</f>
        <v>0</v>
      </c>
      <c r="AB145" s="8">
        <f>IFERROR(__xludf.DUMMYFUNCTION("""COMPUTED_VALUE"""),0.0)</f>
        <v>0</v>
      </c>
      <c r="AC145" s="8">
        <f>IFERROR(__xludf.DUMMYFUNCTION("""COMPUTED_VALUE"""),0.0)</f>
        <v>0</v>
      </c>
    </row>
    <row r="146" ht="15.75" customHeight="1">
      <c r="A146" s="6" t="str">
        <f>IFERROR(__xludf.DUMMYFUNCTION("""COMPUTED_VALUE"""),"820e3a2951adfcd3997c3ea5696cb62bc975f0a0")</f>
        <v>820e3a2951adfcd3997c3ea5696cb62bc975f0a0</v>
      </c>
      <c r="B146" s="6" t="str">
        <f>IFERROR(__xludf.DUMMYFUNCTION("""COMPUTED_VALUE"""),"The Return of Master ")</f>
        <v>The Return of Master </v>
      </c>
      <c r="C146" s="6" t="str">
        <f>IFERROR(__xludf.DUMMYFUNCTION("""COMPUTED_VALUE"""),"Fantasy")</f>
        <v>Fantasy</v>
      </c>
      <c r="D146" s="11">
        <f>IFERROR(__xludf.DUMMYFUNCTION("""COMPUTED_VALUE"""),212.0)</f>
        <v>212</v>
      </c>
      <c r="E146" s="8">
        <f>IFERROR(__xludf.DUMMYFUNCTION("""COMPUTED_VALUE"""),0.976303317535545)</f>
        <v>0.9763033175</v>
      </c>
      <c r="F146" s="8">
        <f>IFERROR(__xludf.DUMMYFUNCTION("""COMPUTED_VALUE"""),0.677725118483412)</f>
        <v>0.6777251185</v>
      </c>
      <c r="G146" s="8">
        <f>IFERROR(__xludf.DUMMYFUNCTION("""COMPUTED_VALUE"""),0.606635071090047)</f>
        <v>0.6066350711</v>
      </c>
      <c r="H146" s="8">
        <f>IFERROR(__xludf.DUMMYFUNCTION("""COMPUTED_VALUE"""),0.521531100478468)</f>
        <v>0.5215311005</v>
      </c>
      <c r="I146" s="8">
        <f>IFERROR(__xludf.DUMMYFUNCTION("""COMPUTED_VALUE"""),0.478468899521531)</f>
        <v>0.4784688995</v>
      </c>
      <c r="J146" s="8">
        <f>IFERROR(__xludf.DUMMYFUNCTION("""COMPUTED_VALUE"""),0.425837320574162)</f>
        <v>0.4258373206</v>
      </c>
      <c r="K146" s="8">
        <f>IFERROR(__xludf.DUMMYFUNCTION("""COMPUTED_VALUE"""),0.368421052631578)</f>
        <v>0.3684210526</v>
      </c>
      <c r="L146" s="8">
        <f>IFERROR(__xludf.DUMMYFUNCTION("""COMPUTED_VALUE"""),0.336538461538461)</f>
        <v>0.3365384615</v>
      </c>
      <c r="M146" s="8">
        <f>IFERROR(__xludf.DUMMYFUNCTION("""COMPUTED_VALUE"""),0.317307692307692)</f>
        <v>0.3173076923</v>
      </c>
      <c r="N146" s="8">
        <f>IFERROR(__xludf.DUMMYFUNCTION("""COMPUTED_VALUE"""),0.307692307692307)</f>
        <v>0.3076923077</v>
      </c>
      <c r="O146" s="8">
        <f>IFERROR(__xludf.DUMMYFUNCTION("""COMPUTED_VALUE"""),0.212871287128712)</f>
        <v>0.2128712871</v>
      </c>
      <c r="P146" s="8">
        <f>IFERROR(__xludf.DUMMYFUNCTION("""COMPUTED_VALUE"""),0.14572864321608)</f>
        <v>0.1457286432</v>
      </c>
      <c r="Q146" s="8">
        <f>IFERROR(__xludf.DUMMYFUNCTION("""COMPUTED_VALUE"""),0.024390243902439)</f>
        <v>0.0243902439</v>
      </c>
      <c r="R146" s="8">
        <f>IFERROR(__xludf.DUMMYFUNCTION("""COMPUTED_VALUE"""),0.0)</f>
        <v>0</v>
      </c>
      <c r="S146" s="8">
        <f>IFERROR(__xludf.DUMMYFUNCTION("""COMPUTED_VALUE"""),0.0)</f>
        <v>0</v>
      </c>
      <c r="T146" s="8">
        <f>IFERROR(__xludf.DUMMYFUNCTION("""COMPUTED_VALUE"""),0.0)</f>
        <v>0</v>
      </c>
      <c r="U146" s="8">
        <f>IFERROR(__xludf.DUMMYFUNCTION("""COMPUTED_VALUE"""),0.0)</f>
        <v>0</v>
      </c>
      <c r="V146" s="8">
        <f>IFERROR(__xludf.DUMMYFUNCTION("""COMPUTED_VALUE"""),0.0)</f>
        <v>0</v>
      </c>
      <c r="W146" s="8">
        <f>IFERROR(__xludf.DUMMYFUNCTION("""COMPUTED_VALUE"""),0.0)</f>
        <v>0</v>
      </c>
      <c r="X146" s="8">
        <f>IFERROR(__xludf.DUMMYFUNCTION("""COMPUTED_VALUE"""),0.0)</f>
        <v>0</v>
      </c>
      <c r="Y146" s="8">
        <f>IFERROR(__xludf.DUMMYFUNCTION("""COMPUTED_VALUE"""),0.0)</f>
        <v>0</v>
      </c>
      <c r="Z146" s="8">
        <f>IFERROR(__xludf.DUMMYFUNCTION("""COMPUTED_VALUE"""),0.0)</f>
        <v>0</v>
      </c>
      <c r="AA146" s="8">
        <f>IFERROR(__xludf.DUMMYFUNCTION("""COMPUTED_VALUE"""),0.0)</f>
        <v>0</v>
      </c>
      <c r="AB146" s="8">
        <f>IFERROR(__xludf.DUMMYFUNCTION("""COMPUTED_VALUE"""),0.0)</f>
        <v>0</v>
      </c>
      <c r="AC146" s="8">
        <f>IFERROR(__xludf.DUMMYFUNCTION("""COMPUTED_VALUE"""),0.0)</f>
        <v>0</v>
      </c>
    </row>
    <row r="147" ht="15.75" customHeight="1">
      <c r="A147" s="6" t="str">
        <f>IFERROR(__xludf.DUMMYFUNCTION("""COMPUTED_VALUE"""),"82ff8ba01d1e1fbcea7c734b687b1a9ff858733d")</f>
        <v>82ff8ba01d1e1fbcea7c734b687b1a9ff858733d</v>
      </c>
      <c r="B147" s="6" t="str">
        <f>IFERROR(__xludf.DUMMYFUNCTION("""COMPUTED_VALUE"""),"Twin Realms Traveler")</f>
        <v>Twin Realms Traveler</v>
      </c>
      <c r="C147" s="6" t="str">
        <f>IFERROR(__xludf.DUMMYFUNCTION("""COMPUTED_VALUE"""),"System and Superpower")</f>
        <v>System and Superpower</v>
      </c>
      <c r="D147" s="11">
        <f>IFERROR(__xludf.DUMMYFUNCTION("""COMPUTED_VALUE"""),230.0)</f>
        <v>230</v>
      </c>
      <c r="E147" s="8">
        <f>IFERROR(__xludf.DUMMYFUNCTION("""COMPUTED_VALUE"""),0.969565217391304)</f>
        <v>0.9695652174</v>
      </c>
      <c r="F147" s="8">
        <f>IFERROR(__xludf.DUMMYFUNCTION("""COMPUTED_VALUE"""),0.260869565217391)</f>
        <v>0.2608695652</v>
      </c>
      <c r="G147" s="8">
        <f>IFERROR(__xludf.DUMMYFUNCTION("""COMPUTED_VALUE"""),0.200873362445414)</f>
        <v>0.2008733624</v>
      </c>
      <c r="H147" s="8">
        <f>IFERROR(__xludf.DUMMYFUNCTION("""COMPUTED_VALUE"""),0.184210526315789)</f>
        <v>0.1842105263</v>
      </c>
      <c r="I147" s="8">
        <f>IFERROR(__xludf.DUMMYFUNCTION("""COMPUTED_VALUE"""),0.166666666666666)</f>
        <v>0.1666666667</v>
      </c>
      <c r="J147" s="8">
        <f>IFERROR(__xludf.DUMMYFUNCTION("""COMPUTED_VALUE"""),0.145374449339207)</f>
        <v>0.1453744493</v>
      </c>
      <c r="K147" s="8">
        <f>IFERROR(__xludf.DUMMYFUNCTION("""COMPUTED_VALUE"""),0.136563876651982)</f>
        <v>0.1365638767</v>
      </c>
      <c r="L147" s="8">
        <f>IFERROR(__xludf.DUMMYFUNCTION("""COMPUTED_VALUE"""),0.13215859030837)</f>
        <v>0.1321585903</v>
      </c>
      <c r="M147" s="8">
        <f>IFERROR(__xludf.DUMMYFUNCTION("""COMPUTED_VALUE"""),0.123893805309734)</f>
        <v>0.1238938053</v>
      </c>
      <c r="N147" s="8">
        <f>IFERROR(__xludf.DUMMYFUNCTION("""COMPUTED_VALUE"""),0.11504424778761)</f>
        <v>0.1150442478</v>
      </c>
      <c r="O147" s="8">
        <f>IFERROR(__xludf.DUMMYFUNCTION("""COMPUTED_VALUE"""),0.09375)</f>
        <v>0.09375</v>
      </c>
      <c r="P147" s="8">
        <f>IFERROR(__xludf.DUMMYFUNCTION("""COMPUTED_VALUE"""),0.0945945945945946)</f>
        <v>0.09459459459</v>
      </c>
      <c r="Q147" s="8">
        <f>IFERROR(__xludf.DUMMYFUNCTION("""COMPUTED_VALUE"""),0.0723981900452488)</f>
        <v>0.07239819005</v>
      </c>
      <c r="R147" s="8">
        <f>IFERROR(__xludf.DUMMYFUNCTION("""COMPUTED_VALUE"""),0.0700934579439252)</f>
        <v>0.07009345794</v>
      </c>
      <c r="S147" s="8">
        <f>IFERROR(__xludf.DUMMYFUNCTION("""COMPUTED_VALUE"""),0.0638297872340425)</f>
        <v>0.06382978723</v>
      </c>
      <c r="T147" s="8">
        <f>IFERROR(__xludf.DUMMYFUNCTION("""COMPUTED_VALUE"""),0.0649350649350649)</f>
        <v>0.06493506494</v>
      </c>
      <c r="U147" s="8">
        <f>IFERROR(__xludf.DUMMYFUNCTION("""COMPUTED_VALUE"""),0.19047619047619)</f>
        <v>0.1904761905</v>
      </c>
      <c r="V147" s="8">
        <f>IFERROR(__xludf.DUMMYFUNCTION("""COMPUTED_VALUE"""),0.0)</f>
        <v>0</v>
      </c>
      <c r="W147" s="8">
        <f>IFERROR(__xludf.DUMMYFUNCTION("""COMPUTED_VALUE"""),0.0)</f>
        <v>0</v>
      </c>
      <c r="X147" s="8">
        <f>IFERROR(__xludf.DUMMYFUNCTION("""COMPUTED_VALUE"""),0.0)</f>
        <v>0</v>
      </c>
      <c r="Y147" s="8">
        <f>IFERROR(__xludf.DUMMYFUNCTION("""COMPUTED_VALUE"""),0.0)</f>
        <v>0</v>
      </c>
      <c r="Z147" s="8">
        <f>IFERROR(__xludf.DUMMYFUNCTION("""COMPUTED_VALUE"""),0.0)</f>
        <v>0</v>
      </c>
      <c r="AA147" s="8">
        <f>IFERROR(__xludf.DUMMYFUNCTION("""COMPUTED_VALUE"""),0.0)</f>
        <v>0</v>
      </c>
      <c r="AB147" s="8">
        <f>IFERROR(__xludf.DUMMYFUNCTION("""COMPUTED_VALUE"""),0.0)</f>
        <v>0</v>
      </c>
      <c r="AC147" s="8">
        <f>IFERROR(__xludf.DUMMYFUNCTION("""COMPUTED_VALUE"""),0.0)</f>
        <v>0</v>
      </c>
    </row>
    <row r="148" ht="15.75" customHeight="1">
      <c r="A148" s="6" t="str">
        <f>IFERROR(__xludf.DUMMYFUNCTION("""COMPUTED_VALUE"""),"84289ce4a2b527c3aa47651760eaff877da6adad")</f>
        <v>84289ce4a2b527c3aa47651760eaff877da6adad</v>
      </c>
      <c r="B148" s="6" t="str">
        <f>IFERROR(__xludf.DUMMYFUNCTION("""COMPUTED_VALUE"""),"Contracted by Love")</f>
        <v>Contracted by Love</v>
      </c>
      <c r="C148" s="6" t="str">
        <f>IFERROR(__xludf.DUMMYFUNCTION("""COMPUTED_VALUE"""),"Romance")</f>
        <v>Romance</v>
      </c>
      <c r="D148" s="11">
        <f>IFERROR(__xludf.DUMMYFUNCTION("""COMPUTED_VALUE"""),304.0)</f>
        <v>304</v>
      </c>
      <c r="E148" s="8">
        <f>IFERROR(__xludf.DUMMYFUNCTION("""COMPUTED_VALUE"""),0.963815789473684)</f>
        <v>0.9638157895</v>
      </c>
      <c r="F148" s="8">
        <f>IFERROR(__xludf.DUMMYFUNCTION("""COMPUTED_VALUE"""),0.305921052631578)</f>
        <v>0.3059210526</v>
      </c>
      <c r="G148" s="8">
        <f>IFERROR(__xludf.DUMMYFUNCTION("""COMPUTED_VALUE"""),0.266447368421052)</f>
        <v>0.2664473684</v>
      </c>
      <c r="H148" s="8">
        <f>IFERROR(__xludf.DUMMYFUNCTION("""COMPUTED_VALUE"""),0.233552631578947)</f>
        <v>0.2335526316</v>
      </c>
      <c r="I148" s="8">
        <f>IFERROR(__xludf.DUMMYFUNCTION("""COMPUTED_VALUE"""),0.200657894736842)</f>
        <v>0.2006578947</v>
      </c>
      <c r="J148" s="8">
        <f>IFERROR(__xludf.DUMMYFUNCTION("""COMPUTED_VALUE"""),0.194078947368421)</f>
        <v>0.1940789474</v>
      </c>
      <c r="K148" s="8">
        <f>IFERROR(__xludf.DUMMYFUNCTION("""COMPUTED_VALUE"""),0.171052631578947)</f>
        <v>0.1710526316</v>
      </c>
      <c r="L148" s="8">
        <f>IFERROR(__xludf.DUMMYFUNCTION("""COMPUTED_VALUE"""),0.151315789473684)</f>
        <v>0.1513157895</v>
      </c>
      <c r="M148" s="8">
        <f>IFERROR(__xludf.DUMMYFUNCTION("""COMPUTED_VALUE"""),0.131756756756756)</f>
        <v>0.1317567568</v>
      </c>
      <c r="N148" s="8">
        <f>IFERROR(__xludf.DUMMYFUNCTION("""COMPUTED_VALUE"""),0.116438356164383)</f>
        <v>0.1164383562</v>
      </c>
      <c r="O148" s="8">
        <f>IFERROR(__xludf.DUMMYFUNCTION("""COMPUTED_VALUE"""),0.0919540229885057)</f>
        <v>0.09195402299</v>
      </c>
      <c r="P148" s="8">
        <f>IFERROR(__xludf.DUMMYFUNCTION("""COMPUTED_VALUE"""),0.0526315789473684)</f>
        <v>0.05263157895</v>
      </c>
      <c r="Q148" s="8">
        <f>IFERROR(__xludf.DUMMYFUNCTION("""COMPUTED_VALUE"""),0.0266666666666666)</f>
        <v>0.02666666667</v>
      </c>
      <c r="R148" s="8">
        <f>IFERROR(__xludf.DUMMYFUNCTION("""COMPUTED_VALUE"""),1.0)</f>
        <v>1</v>
      </c>
      <c r="S148" s="8">
        <f>IFERROR(__xludf.DUMMYFUNCTION("""COMPUTED_VALUE"""),0.0)</f>
        <v>0</v>
      </c>
      <c r="T148" s="8">
        <f>IFERROR(__xludf.DUMMYFUNCTION("""COMPUTED_VALUE"""),0.0)</f>
        <v>0</v>
      </c>
      <c r="U148" s="8">
        <f>IFERROR(__xludf.DUMMYFUNCTION("""COMPUTED_VALUE"""),0.0)</f>
        <v>0</v>
      </c>
      <c r="V148" s="8">
        <f>IFERROR(__xludf.DUMMYFUNCTION("""COMPUTED_VALUE"""),0.0)</f>
        <v>0</v>
      </c>
      <c r="W148" s="8">
        <f>IFERROR(__xludf.DUMMYFUNCTION("""COMPUTED_VALUE"""),0.0)</f>
        <v>0</v>
      </c>
      <c r="X148" s="8">
        <f>IFERROR(__xludf.DUMMYFUNCTION("""COMPUTED_VALUE"""),0.0)</f>
        <v>0</v>
      </c>
      <c r="Y148" s="8">
        <f>IFERROR(__xludf.DUMMYFUNCTION("""COMPUTED_VALUE"""),0.0)</f>
        <v>0</v>
      </c>
      <c r="Z148" s="8">
        <f>IFERROR(__xludf.DUMMYFUNCTION("""COMPUTED_VALUE"""),0.0)</f>
        <v>0</v>
      </c>
      <c r="AA148" s="8">
        <f>IFERROR(__xludf.DUMMYFUNCTION("""COMPUTED_VALUE"""),0.0)</f>
        <v>0</v>
      </c>
      <c r="AB148" s="8">
        <f>IFERROR(__xludf.DUMMYFUNCTION("""COMPUTED_VALUE"""),0.0)</f>
        <v>0</v>
      </c>
      <c r="AC148" s="8">
        <f>IFERROR(__xludf.DUMMYFUNCTION("""COMPUTED_VALUE"""),0.0)</f>
        <v>0</v>
      </c>
    </row>
    <row r="149" ht="15.75" customHeight="1">
      <c r="A149" s="6" t="str">
        <f>IFERROR(__xludf.DUMMYFUNCTION("""COMPUTED_VALUE"""),"87b65acb9b6fcd4bc45f30d46f017fa847a0ce3c")</f>
        <v>87b65acb9b6fcd4bc45f30d46f017fa847a0ce3c</v>
      </c>
      <c r="B149" s="6" t="str">
        <f>IFERROR(__xludf.DUMMYFUNCTION("""COMPUTED_VALUE"""),"The Wife's Sweet Revenge")</f>
        <v>The Wife's Sweet Revenge</v>
      </c>
      <c r="C149" s="6" t="str">
        <f>IFERROR(__xludf.DUMMYFUNCTION("""COMPUTED_VALUE"""),"Romance")</f>
        <v>Romance</v>
      </c>
      <c r="D149" s="11">
        <f>IFERROR(__xludf.DUMMYFUNCTION("""COMPUTED_VALUE"""),19.0)</f>
        <v>19</v>
      </c>
      <c r="E149" s="8">
        <f>IFERROR(__xludf.DUMMYFUNCTION("""COMPUTED_VALUE"""),1.0)</f>
        <v>1</v>
      </c>
      <c r="F149" s="8">
        <f>IFERROR(__xludf.DUMMYFUNCTION("""COMPUTED_VALUE"""),0.8)</f>
        <v>0.8</v>
      </c>
      <c r="G149" s="8">
        <f>IFERROR(__xludf.DUMMYFUNCTION("""COMPUTED_VALUE"""),0.625)</f>
        <v>0.625</v>
      </c>
      <c r="H149" s="8">
        <f>IFERROR(__xludf.DUMMYFUNCTION("""COMPUTED_VALUE"""),0.375)</f>
        <v>0.375</v>
      </c>
      <c r="I149" s="8">
        <f>IFERROR(__xludf.DUMMYFUNCTION("""COMPUTED_VALUE"""),0.375)</f>
        <v>0.375</v>
      </c>
      <c r="J149" s="8">
        <f>IFERROR(__xludf.DUMMYFUNCTION("""COMPUTED_VALUE"""),0.375)</f>
        <v>0.375</v>
      </c>
      <c r="K149" s="8">
        <f>IFERROR(__xludf.DUMMYFUNCTION("""COMPUTED_VALUE"""),0.285714285714285)</f>
        <v>0.2857142857</v>
      </c>
      <c r="L149" s="8">
        <f>IFERROR(__xludf.DUMMYFUNCTION("""COMPUTED_VALUE"""),0.333333333333333)</f>
        <v>0.3333333333</v>
      </c>
      <c r="M149" s="8">
        <f>IFERROR(__xludf.DUMMYFUNCTION("""COMPUTED_VALUE"""),0.5)</f>
        <v>0.5</v>
      </c>
      <c r="N149" s="8">
        <f>IFERROR(__xludf.DUMMYFUNCTION("""COMPUTED_VALUE"""),0.0)</f>
        <v>0</v>
      </c>
      <c r="O149" s="8">
        <f>IFERROR(__xludf.DUMMYFUNCTION("""COMPUTED_VALUE"""),0.0)</f>
        <v>0</v>
      </c>
      <c r="P149" s="8">
        <f>IFERROR(__xludf.DUMMYFUNCTION("""COMPUTED_VALUE"""),0.0)</f>
        <v>0</v>
      </c>
      <c r="Q149" s="8">
        <f>IFERROR(__xludf.DUMMYFUNCTION("""COMPUTED_VALUE"""),0.0)</f>
        <v>0</v>
      </c>
      <c r="R149" s="8">
        <f>IFERROR(__xludf.DUMMYFUNCTION("""COMPUTED_VALUE"""),0.0)</f>
        <v>0</v>
      </c>
      <c r="S149" s="8">
        <f>IFERROR(__xludf.DUMMYFUNCTION("""COMPUTED_VALUE"""),0.0)</f>
        <v>0</v>
      </c>
      <c r="T149" s="8">
        <f>IFERROR(__xludf.DUMMYFUNCTION("""COMPUTED_VALUE"""),0.0)</f>
        <v>0</v>
      </c>
      <c r="U149" s="8">
        <f>IFERROR(__xludf.DUMMYFUNCTION("""COMPUTED_VALUE"""),0.0)</f>
        <v>0</v>
      </c>
      <c r="V149" s="8">
        <f>IFERROR(__xludf.DUMMYFUNCTION("""COMPUTED_VALUE"""),0.0)</f>
        <v>0</v>
      </c>
      <c r="W149" s="8">
        <f>IFERROR(__xludf.DUMMYFUNCTION("""COMPUTED_VALUE"""),0.0)</f>
        <v>0</v>
      </c>
      <c r="X149" s="8">
        <f>IFERROR(__xludf.DUMMYFUNCTION("""COMPUTED_VALUE"""),0.0)</f>
        <v>0</v>
      </c>
      <c r="Y149" s="8">
        <f>IFERROR(__xludf.DUMMYFUNCTION("""COMPUTED_VALUE"""),0.0)</f>
        <v>0</v>
      </c>
      <c r="Z149" s="8">
        <f>IFERROR(__xludf.DUMMYFUNCTION("""COMPUTED_VALUE"""),0.0)</f>
        <v>0</v>
      </c>
      <c r="AA149" s="8">
        <f>IFERROR(__xludf.DUMMYFUNCTION("""COMPUTED_VALUE"""),0.0)</f>
        <v>0</v>
      </c>
      <c r="AB149" s="8">
        <f>IFERROR(__xludf.DUMMYFUNCTION("""COMPUTED_VALUE"""),0.0)</f>
        <v>0</v>
      </c>
      <c r="AC149" s="8">
        <f>IFERROR(__xludf.DUMMYFUNCTION("""COMPUTED_VALUE"""),0.0)</f>
        <v>0</v>
      </c>
    </row>
    <row r="150" ht="15.75" customHeight="1">
      <c r="A150" s="6" t="str">
        <f>IFERROR(__xludf.DUMMYFUNCTION("""COMPUTED_VALUE"""),"8824fc43e4267c5a0e2b7acff644eae4b8b2222d")</f>
        <v>8824fc43e4267c5a0e2b7acff644eae4b8b2222d</v>
      </c>
      <c r="B150" s="6" t="str">
        <f>IFERROR(__xludf.DUMMYFUNCTION("""COMPUTED_VALUE"""),"Was It Only Lust?")</f>
        <v>Was It Only Lust?</v>
      </c>
      <c r="C150" s="6" t="str">
        <f>IFERROR(__xludf.DUMMYFUNCTION("""COMPUTED_VALUE"""),"Romance")</f>
        <v>Romance</v>
      </c>
      <c r="D150" s="11">
        <f>IFERROR(__xludf.DUMMYFUNCTION("""COMPUTED_VALUE"""),468.0)</f>
        <v>468</v>
      </c>
      <c r="E150" s="8">
        <f>IFERROR(__xludf.DUMMYFUNCTION("""COMPUTED_VALUE"""),0.957081545064377)</f>
        <v>0.9570815451</v>
      </c>
      <c r="F150" s="8">
        <f>IFERROR(__xludf.DUMMYFUNCTION("""COMPUTED_VALUE"""),0.292473118279569)</f>
        <v>0.2924731183</v>
      </c>
      <c r="G150" s="8">
        <f>IFERROR(__xludf.DUMMYFUNCTION("""COMPUTED_VALUE"""),0.233261339092872)</f>
        <v>0.2332613391</v>
      </c>
      <c r="H150" s="8">
        <f>IFERROR(__xludf.DUMMYFUNCTION("""COMPUTED_VALUE"""),0.207792207792207)</f>
        <v>0.2077922078</v>
      </c>
      <c r="I150" s="8">
        <f>IFERROR(__xludf.DUMMYFUNCTION("""COMPUTED_VALUE"""),0.19650655021834)</f>
        <v>0.1965065502</v>
      </c>
      <c r="J150" s="8">
        <f>IFERROR(__xludf.DUMMYFUNCTION("""COMPUTED_VALUE"""),0.187772925764192)</f>
        <v>0.1877729258</v>
      </c>
      <c r="K150" s="8">
        <f>IFERROR(__xludf.DUMMYFUNCTION("""COMPUTED_VALUE"""),0.174672489082969)</f>
        <v>0.1746724891</v>
      </c>
      <c r="L150" s="8">
        <f>IFERROR(__xludf.DUMMYFUNCTION("""COMPUTED_VALUE"""),0.157427937915742)</f>
        <v>0.1574279379</v>
      </c>
      <c r="M150" s="8">
        <f>IFERROR(__xludf.DUMMYFUNCTION("""COMPUTED_VALUE"""),0.135555555555555)</f>
        <v>0.1355555556</v>
      </c>
      <c r="N150" s="8">
        <f>IFERROR(__xludf.DUMMYFUNCTION("""COMPUTED_VALUE"""),0.122222222222222)</f>
        <v>0.1222222222</v>
      </c>
      <c r="O150" s="8">
        <f>IFERROR(__xludf.DUMMYFUNCTION("""COMPUTED_VALUE"""),0.0764044943820224)</f>
        <v>0.07640449438</v>
      </c>
      <c r="P150" s="8">
        <f>IFERROR(__xludf.DUMMYFUNCTION("""COMPUTED_VALUE"""),0.0304182509505703)</f>
        <v>0.03041825095</v>
      </c>
      <c r="Q150" s="8">
        <f>IFERROR(__xludf.DUMMYFUNCTION("""COMPUTED_VALUE"""),0.0205479452054794)</f>
        <v>0.02054794521</v>
      </c>
      <c r="R150" s="8">
        <f>IFERROR(__xludf.DUMMYFUNCTION("""COMPUTED_VALUE"""),0.0)</f>
        <v>0</v>
      </c>
      <c r="S150" s="8">
        <f>IFERROR(__xludf.DUMMYFUNCTION("""COMPUTED_VALUE"""),0.0)</f>
        <v>0</v>
      </c>
      <c r="T150" s="8">
        <f>IFERROR(__xludf.DUMMYFUNCTION("""COMPUTED_VALUE"""),0.0)</f>
        <v>0</v>
      </c>
      <c r="U150" s="8">
        <f>IFERROR(__xludf.DUMMYFUNCTION("""COMPUTED_VALUE"""),0.0)</f>
        <v>0</v>
      </c>
      <c r="V150" s="8">
        <f>IFERROR(__xludf.DUMMYFUNCTION("""COMPUTED_VALUE"""),0.0)</f>
        <v>0</v>
      </c>
      <c r="W150" s="8">
        <f>IFERROR(__xludf.DUMMYFUNCTION("""COMPUTED_VALUE"""),0.0)</f>
        <v>0</v>
      </c>
      <c r="X150" s="8">
        <f>IFERROR(__xludf.DUMMYFUNCTION("""COMPUTED_VALUE"""),0.0)</f>
        <v>0</v>
      </c>
      <c r="Y150" s="8">
        <f>IFERROR(__xludf.DUMMYFUNCTION("""COMPUTED_VALUE"""),0.0)</f>
        <v>0</v>
      </c>
      <c r="Z150" s="8">
        <f>IFERROR(__xludf.DUMMYFUNCTION("""COMPUTED_VALUE"""),0.0)</f>
        <v>0</v>
      </c>
      <c r="AA150" s="8">
        <f>IFERROR(__xludf.DUMMYFUNCTION("""COMPUTED_VALUE"""),0.0)</f>
        <v>0</v>
      </c>
      <c r="AB150" s="8">
        <f>IFERROR(__xludf.DUMMYFUNCTION("""COMPUTED_VALUE"""),0.0)</f>
        <v>0</v>
      </c>
      <c r="AC150" s="8">
        <f>IFERROR(__xludf.DUMMYFUNCTION("""COMPUTED_VALUE"""),0.0)</f>
        <v>0</v>
      </c>
    </row>
    <row r="151" ht="15.75" customHeight="1">
      <c r="A151" s="6" t="str">
        <f>IFERROR(__xludf.DUMMYFUNCTION("""COMPUTED_VALUE"""),"8aab13cef66595bf85428c05007cefe16b733ba5")</f>
        <v>8aab13cef66595bf85428c05007cefe16b733ba5</v>
      </c>
      <c r="B151" s="6" t="str">
        <f>IFERROR(__xludf.DUMMYFUNCTION("""COMPUTED_VALUE"""),"Reborn Heartbeat")</f>
        <v>Reborn Heartbeat</v>
      </c>
      <c r="C151" s="6" t="str">
        <f>IFERROR(__xludf.DUMMYFUNCTION("""COMPUTED_VALUE"""),"Romance")</f>
        <v>Romance</v>
      </c>
      <c r="D151" s="11">
        <f>IFERROR(__xludf.DUMMYFUNCTION("""COMPUTED_VALUE"""),1133.0)</f>
        <v>1133</v>
      </c>
      <c r="E151" s="8">
        <f>IFERROR(__xludf.DUMMYFUNCTION("""COMPUTED_VALUE"""),0.930212014134275)</f>
        <v>0.9302120141</v>
      </c>
      <c r="F151" s="8">
        <f>IFERROR(__xludf.DUMMYFUNCTION("""COMPUTED_VALUE"""),0.459363957597173)</f>
        <v>0.4593639576</v>
      </c>
      <c r="G151" s="8">
        <f>IFERROR(__xludf.DUMMYFUNCTION("""COMPUTED_VALUE"""),0.405309734513274)</f>
        <v>0.4053097345</v>
      </c>
      <c r="H151" s="8">
        <f>IFERROR(__xludf.DUMMYFUNCTION("""COMPUTED_VALUE"""),0.379096545615589)</f>
        <v>0.3790965456</v>
      </c>
      <c r="I151" s="8">
        <f>IFERROR(__xludf.DUMMYFUNCTION("""COMPUTED_VALUE"""),0.361381753764393)</f>
        <v>0.3613817538</v>
      </c>
      <c r="J151" s="8">
        <f>IFERROR(__xludf.DUMMYFUNCTION("""COMPUTED_VALUE"""),0.341918294849023)</f>
        <v>0.3419182948</v>
      </c>
      <c r="K151" s="8">
        <f>IFERROR(__xludf.DUMMYFUNCTION("""COMPUTED_VALUE"""),0.342222222222222)</f>
        <v>0.3422222222</v>
      </c>
      <c r="L151" s="8">
        <f>IFERROR(__xludf.DUMMYFUNCTION("""COMPUTED_VALUE"""),0.334817453250222)</f>
        <v>0.3348174533</v>
      </c>
      <c r="M151" s="8">
        <f>IFERROR(__xludf.DUMMYFUNCTION("""COMPUTED_VALUE"""),0.324710080285459)</f>
        <v>0.3247100803</v>
      </c>
      <c r="N151" s="8">
        <f>IFERROR(__xludf.DUMMYFUNCTION("""COMPUTED_VALUE"""),0.324710080285459)</f>
        <v>0.3247100803</v>
      </c>
      <c r="O151" s="8">
        <f>IFERROR(__xludf.DUMMYFUNCTION("""COMPUTED_VALUE"""),0.315695067264573)</f>
        <v>0.3156950673</v>
      </c>
      <c r="P151" s="8">
        <f>IFERROR(__xludf.DUMMYFUNCTION("""COMPUTED_VALUE"""),0.187780772686433)</f>
        <v>0.1877807727</v>
      </c>
      <c r="Q151" s="8">
        <f>IFERROR(__xludf.DUMMYFUNCTION("""COMPUTED_VALUE"""),0.147244805781391)</f>
        <v>0.1472448058</v>
      </c>
      <c r="R151" s="8">
        <f>IFERROR(__xludf.DUMMYFUNCTION("""COMPUTED_VALUE"""),0.0)</f>
        <v>0</v>
      </c>
      <c r="S151" s="8">
        <f>IFERROR(__xludf.DUMMYFUNCTION("""COMPUTED_VALUE"""),0.0)</f>
        <v>0</v>
      </c>
      <c r="T151" s="8">
        <f>IFERROR(__xludf.DUMMYFUNCTION("""COMPUTED_VALUE"""),0.0)</f>
        <v>0</v>
      </c>
      <c r="U151" s="8">
        <f>IFERROR(__xludf.DUMMYFUNCTION("""COMPUTED_VALUE"""),0.0)</f>
        <v>0</v>
      </c>
      <c r="V151" s="8">
        <f>IFERROR(__xludf.DUMMYFUNCTION("""COMPUTED_VALUE"""),0.0)</f>
        <v>0</v>
      </c>
      <c r="W151" s="8">
        <f>IFERROR(__xludf.DUMMYFUNCTION("""COMPUTED_VALUE"""),0.0)</f>
        <v>0</v>
      </c>
      <c r="X151" s="8">
        <f>IFERROR(__xludf.DUMMYFUNCTION("""COMPUTED_VALUE"""),0.0)</f>
        <v>0</v>
      </c>
      <c r="Y151" s="8">
        <f>IFERROR(__xludf.DUMMYFUNCTION("""COMPUTED_VALUE"""),0.0)</f>
        <v>0</v>
      </c>
      <c r="Z151" s="8">
        <f>IFERROR(__xludf.DUMMYFUNCTION("""COMPUTED_VALUE"""),0.0)</f>
        <v>0</v>
      </c>
      <c r="AA151" s="8">
        <f>IFERROR(__xludf.DUMMYFUNCTION("""COMPUTED_VALUE"""),0.0)</f>
        <v>0</v>
      </c>
      <c r="AB151" s="8">
        <f>IFERROR(__xludf.DUMMYFUNCTION("""COMPUTED_VALUE"""),0.0)</f>
        <v>0</v>
      </c>
      <c r="AC151" s="8">
        <f>IFERROR(__xludf.DUMMYFUNCTION("""COMPUTED_VALUE"""),0.0)</f>
        <v>0</v>
      </c>
    </row>
    <row r="152" ht="15.75" customHeight="1">
      <c r="A152" s="6" t="str">
        <f>IFERROR(__xludf.DUMMYFUNCTION("""COMPUTED_VALUE"""),"8b0fd7aa03d26e2de1586a0fe7c91505431575cc")</f>
        <v>8b0fd7aa03d26e2de1586a0fe7c91505431575cc</v>
      </c>
      <c r="B152" s="6" t="str">
        <f>IFERROR(__xludf.DUMMYFUNCTION("""COMPUTED_VALUE"""),"The Midnight Luna")</f>
        <v>The Midnight Luna</v>
      </c>
      <c r="C152" s="6" t="str">
        <f>IFERROR(__xludf.DUMMYFUNCTION("""COMPUTED_VALUE"""),"Romantasy")</f>
        <v>Romantasy</v>
      </c>
      <c r="D152" s="11">
        <f>IFERROR(__xludf.DUMMYFUNCTION("""COMPUTED_VALUE"""),193.0)</f>
        <v>193</v>
      </c>
      <c r="E152" s="8">
        <f>IFERROR(__xludf.DUMMYFUNCTION("""COMPUTED_VALUE"""),0.947643979057591)</f>
        <v>0.9476439791</v>
      </c>
      <c r="F152" s="8">
        <f>IFERROR(__xludf.DUMMYFUNCTION("""COMPUTED_VALUE"""),0.507936507936507)</f>
        <v>0.5079365079</v>
      </c>
      <c r="G152" s="8">
        <f>IFERROR(__xludf.DUMMYFUNCTION("""COMPUTED_VALUE"""),0.451612903225806)</f>
        <v>0.4516129032</v>
      </c>
      <c r="H152" s="8">
        <f>IFERROR(__xludf.DUMMYFUNCTION("""COMPUTED_VALUE"""),0.427027027027027)</f>
        <v>0.427027027</v>
      </c>
      <c r="I152" s="8">
        <f>IFERROR(__xludf.DUMMYFUNCTION("""COMPUTED_VALUE"""),0.398907103825136)</f>
        <v>0.3989071038</v>
      </c>
      <c r="J152" s="8">
        <f>IFERROR(__xludf.DUMMYFUNCTION("""COMPUTED_VALUE"""),0.377049180327868)</f>
        <v>0.3770491803</v>
      </c>
      <c r="K152" s="8">
        <f>IFERROR(__xludf.DUMMYFUNCTION("""COMPUTED_VALUE"""),0.362637362637362)</f>
        <v>0.3626373626</v>
      </c>
      <c r="L152" s="8">
        <f>IFERROR(__xludf.DUMMYFUNCTION("""COMPUTED_VALUE"""),0.342541436464088)</f>
        <v>0.3425414365</v>
      </c>
      <c r="M152" s="8">
        <f>IFERROR(__xludf.DUMMYFUNCTION("""COMPUTED_VALUE"""),0.325966850828729)</f>
        <v>0.3259668508</v>
      </c>
      <c r="N152" s="8">
        <f>IFERROR(__xludf.DUMMYFUNCTION("""COMPUTED_VALUE"""),0.307262569832402)</f>
        <v>0.3072625698</v>
      </c>
      <c r="O152" s="8">
        <f>IFERROR(__xludf.DUMMYFUNCTION("""COMPUTED_VALUE"""),0.276190476190476)</f>
        <v>0.2761904762</v>
      </c>
      <c r="P152" s="8">
        <f>IFERROR(__xludf.DUMMYFUNCTION("""COMPUTED_VALUE"""),0.0)</f>
        <v>0</v>
      </c>
      <c r="Q152" s="8">
        <f>IFERROR(__xludf.DUMMYFUNCTION("""COMPUTED_VALUE"""),0.0)</f>
        <v>0</v>
      </c>
      <c r="R152" s="8">
        <f>IFERROR(__xludf.DUMMYFUNCTION("""COMPUTED_VALUE"""),0.0)</f>
        <v>0</v>
      </c>
      <c r="S152" s="8">
        <f>IFERROR(__xludf.DUMMYFUNCTION("""COMPUTED_VALUE"""),0.0)</f>
        <v>0</v>
      </c>
      <c r="T152" s="8">
        <f>IFERROR(__xludf.DUMMYFUNCTION("""COMPUTED_VALUE"""),0.0)</f>
        <v>0</v>
      </c>
      <c r="U152" s="8">
        <f>IFERROR(__xludf.DUMMYFUNCTION("""COMPUTED_VALUE"""),0.0)</f>
        <v>0</v>
      </c>
      <c r="V152" s="8">
        <f>IFERROR(__xludf.DUMMYFUNCTION("""COMPUTED_VALUE"""),0.0)</f>
        <v>0</v>
      </c>
      <c r="W152" s="8">
        <f>IFERROR(__xludf.DUMMYFUNCTION("""COMPUTED_VALUE"""),0.0)</f>
        <v>0</v>
      </c>
      <c r="X152" s="8">
        <f>IFERROR(__xludf.DUMMYFUNCTION("""COMPUTED_VALUE"""),0.0)</f>
        <v>0</v>
      </c>
      <c r="Y152" s="8">
        <f>IFERROR(__xludf.DUMMYFUNCTION("""COMPUTED_VALUE"""),0.0)</f>
        <v>0</v>
      </c>
      <c r="Z152" s="8">
        <f>IFERROR(__xludf.DUMMYFUNCTION("""COMPUTED_VALUE"""),0.0)</f>
        <v>0</v>
      </c>
      <c r="AA152" s="8">
        <f>IFERROR(__xludf.DUMMYFUNCTION("""COMPUTED_VALUE"""),0.0)</f>
        <v>0</v>
      </c>
      <c r="AB152" s="8">
        <f>IFERROR(__xludf.DUMMYFUNCTION("""COMPUTED_VALUE"""),0.0)</f>
        <v>0</v>
      </c>
      <c r="AC152" s="8">
        <f>IFERROR(__xludf.DUMMYFUNCTION("""COMPUTED_VALUE"""),0.0)</f>
        <v>0</v>
      </c>
    </row>
    <row r="153" ht="15.75" customHeight="1">
      <c r="A153" s="6" t="str">
        <f>IFERROR(__xludf.DUMMYFUNCTION("""COMPUTED_VALUE"""),"8bba1c491698de2d4d33abe2f115e5d666e141b2")</f>
        <v>8bba1c491698de2d4d33abe2f115e5d666e141b2</v>
      </c>
      <c r="B153" s="6" t="str">
        <f>IFERROR(__xludf.DUMMYFUNCTION("""COMPUTED_VALUE"""),"Until He Remembers Me")</f>
        <v>Until He Remembers Me</v>
      </c>
      <c r="C153" s="6" t="str">
        <f>IFERROR(__xludf.DUMMYFUNCTION("""COMPUTED_VALUE"""),"Romance")</f>
        <v>Romance</v>
      </c>
      <c r="D153" s="11">
        <f>IFERROR(__xludf.DUMMYFUNCTION("""COMPUTED_VALUE"""),395.0)</f>
        <v>395</v>
      </c>
      <c r="E153" s="8">
        <f>IFERROR(__xludf.DUMMYFUNCTION("""COMPUTED_VALUE"""),0.98984771573604)</f>
        <v>0.9898477157</v>
      </c>
      <c r="F153" s="8">
        <f>IFERROR(__xludf.DUMMYFUNCTION("""COMPUTED_VALUE"""),0.341836734693877)</f>
        <v>0.3418367347</v>
      </c>
      <c r="G153" s="8">
        <f>IFERROR(__xludf.DUMMYFUNCTION("""COMPUTED_VALUE"""),0.294117647058823)</f>
        <v>0.2941176471</v>
      </c>
      <c r="H153" s="8">
        <f>IFERROR(__xludf.DUMMYFUNCTION("""COMPUTED_VALUE"""),0.273657289002557)</f>
        <v>0.273657289</v>
      </c>
      <c r="I153" s="8">
        <f>IFERROR(__xludf.DUMMYFUNCTION("""COMPUTED_VALUE"""),0.248717948717948)</f>
        <v>0.2487179487</v>
      </c>
      <c r="J153" s="8">
        <f>IFERROR(__xludf.DUMMYFUNCTION("""COMPUTED_VALUE"""),0.224226804123711)</f>
        <v>0.2242268041</v>
      </c>
      <c r="K153" s="8">
        <f>IFERROR(__xludf.DUMMYFUNCTION("""COMPUTED_VALUE"""),0.213917525773195)</f>
        <v>0.2139175258</v>
      </c>
      <c r="L153" s="8">
        <f>IFERROR(__xludf.DUMMYFUNCTION("""COMPUTED_VALUE"""),0.186046511627906)</f>
        <v>0.1860465116</v>
      </c>
      <c r="M153" s="8">
        <f>IFERROR(__xludf.DUMMYFUNCTION("""COMPUTED_VALUE"""),0.173575129533678)</f>
        <v>0.1735751295</v>
      </c>
      <c r="N153" s="8">
        <f>IFERROR(__xludf.DUMMYFUNCTION("""COMPUTED_VALUE"""),0.168021680216802)</f>
        <v>0.1680216802</v>
      </c>
      <c r="O153" s="8">
        <f>IFERROR(__xludf.DUMMYFUNCTION("""COMPUTED_VALUE"""),0.128205128205128)</f>
        <v>0.1282051282</v>
      </c>
      <c r="P153" s="8">
        <f>IFERROR(__xludf.DUMMYFUNCTION("""COMPUTED_VALUE"""),0.0914285714285714)</f>
        <v>0.09142857143</v>
      </c>
      <c r="Q153" s="8">
        <f>IFERROR(__xludf.DUMMYFUNCTION("""COMPUTED_VALUE"""),0.0)</f>
        <v>0</v>
      </c>
      <c r="R153" s="8">
        <f>IFERROR(__xludf.DUMMYFUNCTION("""COMPUTED_VALUE"""),0.0)</f>
        <v>0</v>
      </c>
      <c r="S153" s="8">
        <f>IFERROR(__xludf.DUMMYFUNCTION("""COMPUTED_VALUE"""),0.0)</f>
        <v>0</v>
      </c>
      <c r="T153" s="8">
        <f>IFERROR(__xludf.DUMMYFUNCTION("""COMPUTED_VALUE"""),0.0)</f>
        <v>0</v>
      </c>
      <c r="U153" s="8">
        <f>IFERROR(__xludf.DUMMYFUNCTION("""COMPUTED_VALUE"""),0.0)</f>
        <v>0</v>
      </c>
      <c r="V153" s="8">
        <f>IFERROR(__xludf.DUMMYFUNCTION("""COMPUTED_VALUE"""),0.0)</f>
        <v>0</v>
      </c>
      <c r="W153" s="8">
        <f>IFERROR(__xludf.DUMMYFUNCTION("""COMPUTED_VALUE"""),0.0)</f>
        <v>0</v>
      </c>
      <c r="X153" s="8">
        <f>IFERROR(__xludf.DUMMYFUNCTION("""COMPUTED_VALUE"""),0.0)</f>
        <v>0</v>
      </c>
      <c r="Y153" s="8">
        <f>IFERROR(__xludf.DUMMYFUNCTION("""COMPUTED_VALUE"""),0.0)</f>
        <v>0</v>
      </c>
      <c r="Z153" s="8">
        <f>IFERROR(__xludf.DUMMYFUNCTION("""COMPUTED_VALUE"""),0.0)</f>
        <v>0</v>
      </c>
      <c r="AA153" s="8">
        <f>IFERROR(__xludf.DUMMYFUNCTION("""COMPUTED_VALUE"""),0.0)</f>
        <v>0</v>
      </c>
      <c r="AB153" s="8">
        <f>IFERROR(__xludf.DUMMYFUNCTION("""COMPUTED_VALUE"""),0.0)</f>
        <v>0</v>
      </c>
      <c r="AC153" s="8">
        <f>IFERROR(__xludf.DUMMYFUNCTION("""COMPUTED_VALUE"""),0.0)</f>
        <v>0</v>
      </c>
    </row>
    <row r="154" ht="15.75" customHeight="1">
      <c r="A154" s="6" t="str">
        <f>IFERROR(__xludf.DUMMYFUNCTION("""COMPUTED_VALUE"""),"8bcd1b852cfa9d73ac3583317066946ad2b0abf7")</f>
        <v>8bcd1b852cfa9d73ac3583317066946ad2b0abf7</v>
      </c>
      <c r="B154" s="6" t="str">
        <f>IFERROR(__xludf.DUMMYFUNCTION("""COMPUTED_VALUE"""),"Heir to Draconic Dominion")</f>
        <v>Heir to Draconic Dominion</v>
      </c>
      <c r="C154" s="6" t="str">
        <f>IFERROR(__xludf.DUMMYFUNCTION("""COMPUTED_VALUE"""),"Fantasy")</f>
        <v>Fantasy</v>
      </c>
      <c r="D154" s="11">
        <f>IFERROR(__xludf.DUMMYFUNCTION("""COMPUTED_VALUE"""),2302.0)</f>
        <v>2302</v>
      </c>
      <c r="E154" s="8">
        <f>IFERROR(__xludf.DUMMYFUNCTION("""COMPUTED_VALUE"""),0.961270670147954)</f>
        <v>0.9612706701</v>
      </c>
      <c r="F154" s="8">
        <f>IFERROR(__xludf.DUMMYFUNCTION("""COMPUTED_VALUE"""),0.551950898728627)</f>
        <v>0.5519508987</v>
      </c>
      <c r="G154" s="8">
        <f>IFERROR(__xludf.DUMMYFUNCTION("""COMPUTED_VALUE"""),0.507692307692307)</f>
        <v>0.5076923077</v>
      </c>
      <c r="H154" s="8">
        <f>IFERROR(__xludf.DUMMYFUNCTION("""COMPUTED_VALUE"""),0.484126984126984)</f>
        <v>0.4841269841</v>
      </c>
      <c r="I154" s="8">
        <f>IFERROR(__xludf.DUMMYFUNCTION("""COMPUTED_VALUE"""),0.46699158174568)</f>
        <v>0.4669915817</v>
      </c>
      <c r="J154" s="8">
        <f>IFERROR(__xludf.DUMMYFUNCTION("""COMPUTED_VALUE"""),0.46)</f>
        <v>0.46</v>
      </c>
      <c r="K154" s="8">
        <f>IFERROR(__xludf.DUMMYFUNCTION("""COMPUTED_VALUE"""),0.448414470745868)</f>
        <v>0.4484144707</v>
      </c>
      <c r="L154" s="8">
        <f>IFERROR(__xludf.DUMMYFUNCTION("""COMPUTED_VALUE"""),0.435135135135135)</f>
        <v>0.4351351351</v>
      </c>
      <c r="M154" s="8">
        <f>IFERROR(__xludf.DUMMYFUNCTION("""COMPUTED_VALUE"""),0.42090909090909)</f>
        <v>0.4209090909</v>
      </c>
      <c r="N154" s="8">
        <f>IFERROR(__xludf.DUMMYFUNCTION("""COMPUTED_VALUE"""),0.412973960712654)</f>
        <v>0.4129739607</v>
      </c>
      <c r="O154" s="8">
        <f>IFERROR(__xludf.DUMMYFUNCTION("""COMPUTED_VALUE"""),0.385565991102323)</f>
        <v>0.3855659911</v>
      </c>
      <c r="P154" s="8">
        <f>IFERROR(__xludf.DUMMYFUNCTION("""COMPUTED_VALUE"""),0.316858868753432)</f>
        <v>0.3168588688</v>
      </c>
      <c r="Q154" s="8">
        <f>IFERROR(__xludf.DUMMYFUNCTION("""COMPUTED_VALUE"""),0.204280155642023)</f>
        <v>0.2042801556</v>
      </c>
      <c r="R154" s="8">
        <f>IFERROR(__xludf.DUMMYFUNCTION("""COMPUTED_VALUE"""),0.125)</f>
        <v>0.125</v>
      </c>
      <c r="S154" s="8">
        <f>IFERROR(__xludf.DUMMYFUNCTION("""COMPUTED_VALUE"""),0.0)</f>
        <v>0</v>
      </c>
      <c r="T154" s="8">
        <f>IFERROR(__xludf.DUMMYFUNCTION("""COMPUTED_VALUE"""),0.0)</f>
        <v>0</v>
      </c>
      <c r="U154" s="8">
        <f>IFERROR(__xludf.DUMMYFUNCTION("""COMPUTED_VALUE"""),0.0)</f>
        <v>0</v>
      </c>
      <c r="V154" s="8">
        <f>IFERROR(__xludf.DUMMYFUNCTION("""COMPUTED_VALUE"""),0.0)</f>
        <v>0</v>
      </c>
      <c r="W154" s="8">
        <f>IFERROR(__xludf.DUMMYFUNCTION("""COMPUTED_VALUE"""),0.0)</f>
        <v>0</v>
      </c>
      <c r="X154" s="8">
        <f>IFERROR(__xludf.DUMMYFUNCTION("""COMPUTED_VALUE"""),0.0)</f>
        <v>0</v>
      </c>
      <c r="Y154" s="8">
        <f>IFERROR(__xludf.DUMMYFUNCTION("""COMPUTED_VALUE"""),0.0)</f>
        <v>0</v>
      </c>
      <c r="Z154" s="8">
        <f>IFERROR(__xludf.DUMMYFUNCTION("""COMPUTED_VALUE"""),0.0)</f>
        <v>0</v>
      </c>
      <c r="AA154" s="8">
        <f>IFERROR(__xludf.DUMMYFUNCTION("""COMPUTED_VALUE"""),0.0)</f>
        <v>0</v>
      </c>
      <c r="AB154" s="8">
        <f>IFERROR(__xludf.DUMMYFUNCTION("""COMPUTED_VALUE"""),0.0)</f>
        <v>0</v>
      </c>
      <c r="AC154" s="8">
        <f>IFERROR(__xludf.DUMMYFUNCTION("""COMPUTED_VALUE"""),0.0)</f>
        <v>0</v>
      </c>
    </row>
    <row r="155" ht="15.75" customHeight="1">
      <c r="A155" s="6" t="str">
        <f>IFERROR(__xludf.DUMMYFUNCTION("""COMPUTED_VALUE"""),"8e36a60de34dcee5a96156507eb902741b36cc77")</f>
        <v>8e36a60de34dcee5a96156507eb902741b36cc77</v>
      </c>
      <c r="B155" s="6" t="str">
        <f>IFERROR(__xludf.DUMMYFUNCTION("""COMPUTED_VALUE"""),"It's Crystal")</f>
        <v>It's Crystal</v>
      </c>
      <c r="C155" s="6" t="str">
        <f>IFERROR(__xludf.DUMMYFUNCTION("""COMPUTED_VALUE"""),"Romance")</f>
        <v>Romance</v>
      </c>
      <c r="D155" s="11">
        <f>IFERROR(__xludf.DUMMYFUNCTION("""COMPUTED_VALUE"""),384.0)</f>
        <v>384</v>
      </c>
      <c r="E155" s="8">
        <f>IFERROR(__xludf.DUMMYFUNCTION("""COMPUTED_VALUE"""),0.96875)</f>
        <v>0.96875</v>
      </c>
      <c r="F155" s="8">
        <f>IFERROR(__xludf.DUMMYFUNCTION("""COMPUTED_VALUE"""),0.330729166666666)</f>
        <v>0.3307291667</v>
      </c>
      <c r="G155" s="8">
        <f>IFERROR(__xludf.DUMMYFUNCTION("""COMPUTED_VALUE"""),0.2734375)</f>
        <v>0.2734375</v>
      </c>
      <c r="H155" s="8">
        <f>IFERROR(__xludf.DUMMYFUNCTION("""COMPUTED_VALUE"""),0.244791666666666)</f>
        <v>0.2447916667</v>
      </c>
      <c r="I155" s="8">
        <f>IFERROR(__xludf.DUMMYFUNCTION("""COMPUTED_VALUE"""),0.247395833333333)</f>
        <v>0.2473958333</v>
      </c>
      <c r="J155" s="8">
        <f>IFERROR(__xludf.DUMMYFUNCTION("""COMPUTED_VALUE"""),0.240208877284595)</f>
        <v>0.2402088773</v>
      </c>
      <c r="K155" s="8">
        <f>IFERROR(__xludf.DUMMYFUNCTION("""COMPUTED_VALUE"""),0.22976501305483)</f>
        <v>0.2297650131</v>
      </c>
      <c r="L155" s="8">
        <f>IFERROR(__xludf.DUMMYFUNCTION("""COMPUTED_VALUE"""),0.217277486910994)</f>
        <v>0.2172774869</v>
      </c>
      <c r="M155" s="8">
        <f>IFERROR(__xludf.DUMMYFUNCTION("""COMPUTED_VALUE"""),0.201570680628272)</f>
        <v>0.2015706806</v>
      </c>
      <c r="N155" s="8">
        <f>IFERROR(__xludf.DUMMYFUNCTION("""COMPUTED_VALUE"""),0.196850393700787)</f>
        <v>0.1968503937</v>
      </c>
      <c r="O155" s="8">
        <f>IFERROR(__xludf.DUMMYFUNCTION("""COMPUTED_VALUE"""),0.186390532544378)</f>
        <v>0.1863905325</v>
      </c>
      <c r="P155" s="8">
        <f>IFERROR(__xludf.DUMMYFUNCTION("""COMPUTED_VALUE"""),0.171428571428571)</f>
        <v>0.1714285714</v>
      </c>
      <c r="Q155" s="8">
        <f>IFERROR(__xludf.DUMMYFUNCTION("""COMPUTED_VALUE"""),0.0736196319018405)</f>
        <v>0.0736196319</v>
      </c>
      <c r="R155" s="8">
        <f>IFERROR(__xludf.DUMMYFUNCTION("""COMPUTED_VALUE"""),0.0909090909090909)</f>
        <v>0.09090909091</v>
      </c>
      <c r="S155" s="8">
        <f>IFERROR(__xludf.DUMMYFUNCTION("""COMPUTED_VALUE"""),0.0)</f>
        <v>0</v>
      </c>
      <c r="T155" s="8">
        <f>IFERROR(__xludf.DUMMYFUNCTION("""COMPUTED_VALUE"""),0.0)</f>
        <v>0</v>
      </c>
      <c r="U155" s="8">
        <f>IFERROR(__xludf.DUMMYFUNCTION("""COMPUTED_VALUE"""),0.0)</f>
        <v>0</v>
      </c>
      <c r="V155" s="8">
        <f>IFERROR(__xludf.DUMMYFUNCTION("""COMPUTED_VALUE"""),0.0)</f>
        <v>0</v>
      </c>
      <c r="W155" s="8">
        <f>IFERROR(__xludf.DUMMYFUNCTION("""COMPUTED_VALUE"""),0.0)</f>
        <v>0</v>
      </c>
      <c r="X155" s="8">
        <f>IFERROR(__xludf.DUMMYFUNCTION("""COMPUTED_VALUE"""),0.0)</f>
        <v>0</v>
      </c>
      <c r="Y155" s="8">
        <f>IFERROR(__xludf.DUMMYFUNCTION("""COMPUTED_VALUE"""),0.0)</f>
        <v>0</v>
      </c>
      <c r="Z155" s="8">
        <f>IFERROR(__xludf.DUMMYFUNCTION("""COMPUTED_VALUE"""),0.0)</f>
        <v>0</v>
      </c>
      <c r="AA155" s="8">
        <f>IFERROR(__xludf.DUMMYFUNCTION("""COMPUTED_VALUE"""),0.0)</f>
        <v>0</v>
      </c>
      <c r="AB155" s="8">
        <f>IFERROR(__xludf.DUMMYFUNCTION("""COMPUTED_VALUE"""),0.0)</f>
        <v>0</v>
      </c>
      <c r="AC155" s="8">
        <f>IFERROR(__xludf.DUMMYFUNCTION("""COMPUTED_VALUE"""),0.0)</f>
        <v>0</v>
      </c>
    </row>
    <row r="156" ht="15.75" customHeight="1">
      <c r="A156" s="6" t="str">
        <f>IFERROR(__xludf.DUMMYFUNCTION("""COMPUTED_VALUE"""),"8e3c4698dede52f8548d10d283645c3e3f83c04a")</f>
        <v>8e3c4698dede52f8548d10d283645c3e3f83c04a</v>
      </c>
      <c r="B156" s="6" t="str">
        <f>IFERROR(__xludf.DUMMYFUNCTION("""COMPUTED_VALUE"""),"The Celestial God’s Heir")</f>
        <v>The Celestial God’s Heir</v>
      </c>
      <c r="C156" s="6" t="str">
        <f>IFERROR(__xludf.DUMMYFUNCTION("""COMPUTED_VALUE"""),"Fantasy")</f>
        <v>Fantasy</v>
      </c>
      <c r="D156" s="11">
        <f>IFERROR(__xludf.DUMMYFUNCTION("""COMPUTED_VALUE"""),182.0)</f>
        <v>182</v>
      </c>
      <c r="E156" s="8">
        <f>IFERROR(__xludf.DUMMYFUNCTION("""COMPUTED_VALUE"""),0.95505617977528)</f>
        <v>0.9550561798</v>
      </c>
      <c r="F156" s="8">
        <f>IFERROR(__xludf.DUMMYFUNCTION("""COMPUTED_VALUE"""),0.545977011494252)</f>
        <v>0.5459770115</v>
      </c>
      <c r="G156" s="8">
        <f>IFERROR(__xludf.DUMMYFUNCTION("""COMPUTED_VALUE"""),0.468208092485549)</f>
        <v>0.4682080925</v>
      </c>
      <c r="H156" s="8">
        <f>IFERROR(__xludf.DUMMYFUNCTION("""COMPUTED_VALUE"""),0.439024390243902)</f>
        <v>0.4390243902</v>
      </c>
      <c r="I156" s="8">
        <f>IFERROR(__xludf.DUMMYFUNCTION("""COMPUTED_VALUE"""),0.424050632911392)</f>
        <v>0.4240506329</v>
      </c>
      <c r="J156" s="8">
        <f>IFERROR(__xludf.DUMMYFUNCTION("""COMPUTED_VALUE"""),0.342105263157894)</f>
        <v>0.3421052632</v>
      </c>
      <c r="K156" s="8">
        <f>IFERROR(__xludf.DUMMYFUNCTION("""COMPUTED_VALUE"""),0.342657342657342)</f>
        <v>0.3426573427</v>
      </c>
      <c r="L156" s="8">
        <f>IFERROR(__xludf.DUMMYFUNCTION("""COMPUTED_VALUE"""),0.328358208955223)</f>
        <v>0.328358209</v>
      </c>
      <c r="M156" s="8">
        <f>IFERROR(__xludf.DUMMYFUNCTION("""COMPUTED_VALUE"""),0.338582677165354)</f>
        <v>0.3385826772</v>
      </c>
      <c r="N156" s="8">
        <f>IFERROR(__xludf.DUMMYFUNCTION("""COMPUTED_VALUE"""),0.316666666666666)</f>
        <v>0.3166666667</v>
      </c>
      <c r="O156" s="8">
        <f>IFERROR(__xludf.DUMMYFUNCTION("""COMPUTED_VALUE"""),0.0)</f>
        <v>0</v>
      </c>
      <c r="P156" s="8">
        <f>IFERROR(__xludf.DUMMYFUNCTION("""COMPUTED_VALUE"""),0.0)</f>
        <v>0</v>
      </c>
      <c r="Q156" s="8">
        <f>IFERROR(__xludf.DUMMYFUNCTION("""COMPUTED_VALUE"""),0.0)</f>
        <v>0</v>
      </c>
      <c r="R156" s="8">
        <f>IFERROR(__xludf.DUMMYFUNCTION("""COMPUTED_VALUE"""),0.0)</f>
        <v>0</v>
      </c>
      <c r="S156" s="8">
        <f>IFERROR(__xludf.DUMMYFUNCTION("""COMPUTED_VALUE"""),0.0)</f>
        <v>0</v>
      </c>
      <c r="T156" s="8">
        <f>IFERROR(__xludf.DUMMYFUNCTION("""COMPUTED_VALUE"""),0.0)</f>
        <v>0</v>
      </c>
      <c r="U156" s="8">
        <f>IFERROR(__xludf.DUMMYFUNCTION("""COMPUTED_VALUE"""),0.0)</f>
        <v>0</v>
      </c>
      <c r="V156" s="8">
        <f>IFERROR(__xludf.DUMMYFUNCTION("""COMPUTED_VALUE"""),0.0)</f>
        <v>0</v>
      </c>
      <c r="W156" s="8">
        <f>IFERROR(__xludf.DUMMYFUNCTION("""COMPUTED_VALUE"""),0.0)</f>
        <v>0</v>
      </c>
      <c r="X156" s="8">
        <f>IFERROR(__xludf.DUMMYFUNCTION("""COMPUTED_VALUE"""),0.0)</f>
        <v>0</v>
      </c>
      <c r="Y156" s="8">
        <f>IFERROR(__xludf.DUMMYFUNCTION("""COMPUTED_VALUE"""),0.0)</f>
        <v>0</v>
      </c>
      <c r="Z156" s="8">
        <f>IFERROR(__xludf.DUMMYFUNCTION("""COMPUTED_VALUE"""),0.0)</f>
        <v>0</v>
      </c>
      <c r="AA156" s="8">
        <f>IFERROR(__xludf.DUMMYFUNCTION("""COMPUTED_VALUE"""),0.0)</f>
        <v>0</v>
      </c>
      <c r="AB156" s="8">
        <f>IFERROR(__xludf.DUMMYFUNCTION("""COMPUTED_VALUE"""),0.0)</f>
        <v>0</v>
      </c>
      <c r="AC156" s="8">
        <f>IFERROR(__xludf.DUMMYFUNCTION("""COMPUTED_VALUE"""),0.0)</f>
        <v>0</v>
      </c>
    </row>
    <row r="157" ht="15.75" customHeight="1">
      <c r="A157" s="6" t="str">
        <f>IFERROR(__xludf.DUMMYFUNCTION("""COMPUTED_VALUE"""),"8f0fa62650413483426bef0ac7d66ca7627ab11f")</f>
        <v>8f0fa62650413483426bef0ac7d66ca7627ab11f</v>
      </c>
      <c r="B157" s="6" t="str">
        <f>IFERROR(__xludf.DUMMYFUNCTION("""COMPUTED_VALUE"""),"The Mind Reader: A Son-in-Law’s Revenge")</f>
        <v>The Mind Reader: A Son-in-Law’s Revenge</v>
      </c>
      <c r="C157" s="6" t="str">
        <f>IFERROR(__xludf.DUMMYFUNCTION("""COMPUTED_VALUE"""),"Drama")</f>
        <v>Drama</v>
      </c>
      <c r="D157" s="11">
        <f>IFERROR(__xludf.DUMMYFUNCTION("""COMPUTED_VALUE"""),1247.0)</f>
        <v>1247</v>
      </c>
      <c r="E157" s="8">
        <f>IFERROR(__xludf.DUMMYFUNCTION("""COMPUTED_VALUE"""),0.930915371329879)</f>
        <v>0.9309153713</v>
      </c>
      <c r="F157" s="8">
        <f>IFERROR(__xludf.DUMMYFUNCTION("""COMPUTED_VALUE"""),0.587548638132295)</f>
        <v>0.5875486381</v>
      </c>
      <c r="G157" s="8">
        <f>IFERROR(__xludf.DUMMYFUNCTION("""COMPUTED_VALUE"""),0.467955239064089)</f>
        <v>0.4679552391</v>
      </c>
      <c r="H157" s="8">
        <f>IFERROR(__xludf.DUMMYFUNCTION("""COMPUTED_VALUE"""),0.427205100956429)</f>
        <v>0.427205101</v>
      </c>
      <c r="I157" s="8">
        <f>IFERROR(__xludf.DUMMYFUNCTION("""COMPUTED_VALUE"""),0.375132837407013)</f>
        <v>0.3751328374</v>
      </c>
      <c r="J157" s="8">
        <f>IFERROR(__xludf.DUMMYFUNCTION("""COMPUTED_VALUE"""),0.33972310969116)</f>
        <v>0.3397231097</v>
      </c>
      <c r="K157" s="8">
        <f>IFERROR(__xludf.DUMMYFUNCTION("""COMPUTED_VALUE"""),0.31416400425985)</f>
        <v>0.3141640043</v>
      </c>
      <c r="L157" s="8">
        <f>IFERROR(__xludf.DUMMYFUNCTION("""COMPUTED_VALUE"""),0.29073482428115)</f>
        <v>0.2907348243</v>
      </c>
      <c r="M157" s="8">
        <f>IFERROR(__xludf.DUMMYFUNCTION("""COMPUTED_VALUE"""),0.280085197018104)</f>
        <v>0.280085197</v>
      </c>
      <c r="N157" s="8">
        <f>IFERROR(__xludf.DUMMYFUNCTION("""COMPUTED_VALUE"""),0.264674493062966)</f>
        <v>0.2646744931</v>
      </c>
      <c r="O157" s="8">
        <f>IFERROR(__xludf.DUMMYFUNCTION("""COMPUTED_VALUE"""),0.220793140407288)</f>
        <v>0.2207931404</v>
      </c>
      <c r="P157" s="8">
        <f>IFERROR(__xludf.DUMMYFUNCTION("""COMPUTED_VALUE"""),0.156081808396124)</f>
        <v>0.1560818084</v>
      </c>
      <c r="Q157" s="8">
        <f>IFERROR(__xludf.DUMMYFUNCTION("""COMPUTED_VALUE"""),0.0650759219088937)</f>
        <v>0.06507592191</v>
      </c>
      <c r="R157" s="8">
        <f>IFERROR(__xludf.DUMMYFUNCTION("""COMPUTED_VALUE"""),0.0326797385620915)</f>
        <v>0.03267973856</v>
      </c>
      <c r="S157" s="8">
        <f>IFERROR(__xludf.DUMMYFUNCTION("""COMPUTED_VALUE"""),0.0)</f>
        <v>0</v>
      </c>
      <c r="T157" s="8">
        <f>IFERROR(__xludf.DUMMYFUNCTION("""COMPUTED_VALUE"""),0.0)</f>
        <v>0</v>
      </c>
      <c r="U157" s="8">
        <f>IFERROR(__xludf.DUMMYFUNCTION("""COMPUTED_VALUE"""),0.0)</f>
        <v>0</v>
      </c>
      <c r="V157" s="8">
        <f>IFERROR(__xludf.DUMMYFUNCTION("""COMPUTED_VALUE"""),0.0)</f>
        <v>0</v>
      </c>
      <c r="W157" s="8">
        <f>IFERROR(__xludf.DUMMYFUNCTION("""COMPUTED_VALUE"""),0.0)</f>
        <v>0</v>
      </c>
      <c r="X157" s="8">
        <f>IFERROR(__xludf.DUMMYFUNCTION("""COMPUTED_VALUE"""),0.0)</f>
        <v>0</v>
      </c>
      <c r="Y157" s="8">
        <f>IFERROR(__xludf.DUMMYFUNCTION("""COMPUTED_VALUE"""),0.0)</f>
        <v>0</v>
      </c>
      <c r="Z157" s="8">
        <f>IFERROR(__xludf.DUMMYFUNCTION("""COMPUTED_VALUE"""),0.0)</f>
        <v>0</v>
      </c>
      <c r="AA157" s="8">
        <f>IFERROR(__xludf.DUMMYFUNCTION("""COMPUTED_VALUE"""),0.0)</f>
        <v>0</v>
      </c>
      <c r="AB157" s="8">
        <f>IFERROR(__xludf.DUMMYFUNCTION("""COMPUTED_VALUE"""),0.0)</f>
        <v>0</v>
      </c>
      <c r="AC157" s="8">
        <f>IFERROR(__xludf.DUMMYFUNCTION("""COMPUTED_VALUE"""),0.0)</f>
        <v>0</v>
      </c>
    </row>
    <row r="158" ht="15.75" customHeight="1">
      <c r="A158" s="6" t="str">
        <f>IFERROR(__xludf.DUMMYFUNCTION("""COMPUTED_VALUE"""),"8f9097f70a41e0a3a637a3eb2b6551e036eb16b7")</f>
        <v>8f9097f70a41e0a3a637a3eb2b6551e036eb16b7</v>
      </c>
      <c r="B158" s="6" t="str">
        <f>IFERROR(__xludf.DUMMYFUNCTION("""COMPUTED_VALUE"""),"The Devine Root")</f>
        <v>The Devine Root</v>
      </c>
      <c r="C158" s="6" t="str">
        <f>IFERROR(__xludf.DUMMYFUNCTION("""COMPUTED_VALUE"""),"Fantasy")</f>
        <v>Fantasy</v>
      </c>
      <c r="D158" s="11">
        <f>IFERROR(__xludf.DUMMYFUNCTION("""COMPUTED_VALUE"""),297.0)</f>
        <v>297</v>
      </c>
      <c r="E158" s="8">
        <f>IFERROR(__xludf.DUMMYFUNCTION("""COMPUTED_VALUE"""),0.958549222797927)</f>
        <v>0.9585492228</v>
      </c>
      <c r="F158" s="8">
        <f>IFERROR(__xludf.DUMMYFUNCTION("""COMPUTED_VALUE"""),0.372093023255813)</f>
        <v>0.3720930233</v>
      </c>
      <c r="G158" s="8">
        <f>IFERROR(__xludf.DUMMYFUNCTION("""COMPUTED_VALUE"""),0.389830508474576)</f>
        <v>0.3898305085</v>
      </c>
      <c r="H158" s="8">
        <f>IFERROR(__xludf.DUMMYFUNCTION("""COMPUTED_VALUE"""),0.36697247706422)</f>
        <v>0.3669724771</v>
      </c>
      <c r="I158" s="8">
        <f>IFERROR(__xludf.DUMMYFUNCTION("""COMPUTED_VALUE"""),0.300970873786407)</f>
        <v>0.3009708738</v>
      </c>
      <c r="J158" s="8">
        <f>IFERROR(__xludf.DUMMYFUNCTION("""COMPUTED_VALUE"""),0.31)</f>
        <v>0.31</v>
      </c>
      <c r="K158" s="8">
        <f>IFERROR(__xludf.DUMMYFUNCTION("""COMPUTED_VALUE"""),0.3125)</f>
        <v>0.3125</v>
      </c>
      <c r="L158" s="8">
        <f>IFERROR(__xludf.DUMMYFUNCTION("""COMPUTED_VALUE"""),0.345679012345679)</f>
        <v>0.3456790123</v>
      </c>
      <c r="M158" s="8">
        <f>IFERROR(__xludf.DUMMYFUNCTION("""COMPUTED_VALUE"""),0.363636363636363)</f>
        <v>0.3636363636</v>
      </c>
      <c r="N158" s="8">
        <f>IFERROR(__xludf.DUMMYFUNCTION("""COMPUTED_VALUE"""),0.368421052631578)</f>
        <v>0.3684210526</v>
      </c>
      <c r="O158" s="8">
        <f>IFERROR(__xludf.DUMMYFUNCTION("""COMPUTED_VALUE"""),0.283018867924528)</f>
        <v>0.2830188679</v>
      </c>
      <c r="P158" s="8">
        <f>IFERROR(__xludf.DUMMYFUNCTION("""COMPUTED_VALUE"""),0.5)</f>
        <v>0.5</v>
      </c>
      <c r="Q158" s="8">
        <f>IFERROR(__xludf.DUMMYFUNCTION("""COMPUTED_VALUE"""),0.0)</f>
        <v>0</v>
      </c>
      <c r="R158" s="8">
        <f>IFERROR(__xludf.DUMMYFUNCTION("""COMPUTED_VALUE"""),0.0)</f>
        <v>0</v>
      </c>
      <c r="S158" s="8">
        <f>IFERROR(__xludf.DUMMYFUNCTION("""COMPUTED_VALUE"""),0.0)</f>
        <v>0</v>
      </c>
      <c r="T158" s="8">
        <f>IFERROR(__xludf.DUMMYFUNCTION("""COMPUTED_VALUE"""),0.0)</f>
        <v>0</v>
      </c>
      <c r="U158" s="8">
        <f>IFERROR(__xludf.DUMMYFUNCTION("""COMPUTED_VALUE"""),0.0)</f>
        <v>0</v>
      </c>
      <c r="V158" s="8">
        <f>IFERROR(__xludf.DUMMYFUNCTION("""COMPUTED_VALUE"""),0.0)</f>
        <v>0</v>
      </c>
      <c r="W158" s="8">
        <f>IFERROR(__xludf.DUMMYFUNCTION("""COMPUTED_VALUE"""),0.0)</f>
        <v>0</v>
      </c>
      <c r="X158" s="8">
        <f>IFERROR(__xludf.DUMMYFUNCTION("""COMPUTED_VALUE"""),0.0)</f>
        <v>0</v>
      </c>
      <c r="Y158" s="8">
        <f>IFERROR(__xludf.DUMMYFUNCTION("""COMPUTED_VALUE"""),0.0)</f>
        <v>0</v>
      </c>
      <c r="Z158" s="8">
        <f>IFERROR(__xludf.DUMMYFUNCTION("""COMPUTED_VALUE"""),0.0)</f>
        <v>0</v>
      </c>
      <c r="AA158" s="8">
        <f>IFERROR(__xludf.DUMMYFUNCTION("""COMPUTED_VALUE"""),0.0)</f>
        <v>0</v>
      </c>
      <c r="AB158" s="8">
        <f>IFERROR(__xludf.DUMMYFUNCTION("""COMPUTED_VALUE"""),0.0)</f>
        <v>0</v>
      </c>
      <c r="AC158" s="8">
        <f>IFERROR(__xludf.DUMMYFUNCTION("""COMPUTED_VALUE"""),0.0)</f>
        <v>0</v>
      </c>
    </row>
    <row r="159" ht="15.75" customHeight="1">
      <c r="A159" s="6" t="str">
        <f>IFERROR(__xludf.DUMMYFUNCTION("""COMPUTED_VALUE"""),"8fc0fc1659f3b419e6fa13d9cb59b0e57bfec096")</f>
        <v>8fc0fc1659f3b419e6fa13d9cb59b0e57bfec096</v>
      </c>
      <c r="B159" s="6" t="str">
        <f>IFERROR(__xludf.DUMMYFUNCTION("""COMPUTED_VALUE"""),"The Exiled Heir")</f>
        <v>The Exiled Heir</v>
      </c>
      <c r="C159" s="6" t="str">
        <f>IFERROR(__xludf.DUMMYFUNCTION("""COMPUTED_VALUE"""),"Drama")</f>
        <v>Drama</v>
      </c>
      <c r="D159" s="11">
        <f>IFERROR(__xludf.DUMMYFUNCTION("""COMPUTED_VALUE"""),14405.0)</f>
        <v>14405</v>
      </c>
      <c r="E159" s="8">
        <f>IFERROR(__xludf.DUMMYFUNCTION("""COMPUTED_VALUE"""),0.933672402981955)</f>
        <v>0.933672403</v>
      </c>
      <c r="F159" s="8">
        <f>IFERROR(__xludf.DUMMYFUNCTION("""COMPUTED_VALUE"""),0.563723083397629)</f>
        <v>0.5637230834</v>
      </c>
      <c r="G159" s="8">
        <f>IFERROR(__xludf.DUMMYFUNCTION("""COMPUTED_VALUE"""),0.50405643738977)</f>
        <v>0.5040564374</v>
      </c>
      <c r="H159" s="8">
        <f>IFERROR(__xludf.DUMMYFUNCTION("""COMPUTED_VALUE"""),0.470642462062118)</f>
        <v>0.4706424621</v>
      </c>
      <c r="I159" s="8">
        <f>IFERROR(__xludf.DUMMYFUNCTION("""COMPUTED_VALUE"""),0.435379009787811)</f>
        <v>0.4353790098</v>
      </c>
      <c r="J159" s="8">
        <f>IFERROR(__xludf.DUMMYFUNCTION("""COMPUTED_VALUE"""),0.410834890070412)</f>
        <v>0.4108348901</v>
      </c>
      <c r="K159" s="8">
        <f>IFERROR(__xludf.DUMMYFUNCTION("""COMPUTED_VALUE"""),0.385814272314019)</f>
        <v>0.3858142723</v>
      </c>
      <c r="L159" s="8">
        <f>IFERROR(__xludf.DUMMYFUNCTION("""COMPUTED_VALUE"""),0.371940559440559)</f>
        <v>0.3719405594</v>
      </c>
      <c r="M159" s="8">
        <f>IFERROR(__xludf.DUMMYFUNCTION("""COMPUTED_VALUE"""),0.357315554253058)</f>
        <v>0.3573155543</v>
      </c>
      <c r="N159" s="8">
        <f>IFERROR(__xludf.DUMMYFUNCTION("""COMPUTED_VALUE"""),0.344644828855355)</f>
        <v>0.3446448289</v>
      </c>
      <c r="O159" s="8">
        <f>IFERROR(__xludf.DUMMYFUNCTION("""COMPUTED_VALUE"""),0.32029695392622)</f>
        <v>0.3202969539</v>
      </c>
      <c r="P159" s="8">
        <f>IFERROR(__xludf.DUMMYFUNCTION("""COMPUTED_VALUE"""),0.260938743038981)</f>
        <v>0.260938743</v>
      </c>
      <c r="Q159" s="8">
        <f>IFERROR(__xludf.DUMMYFUNCTION("""COMPUTED_VALUE"""),0.185957261229829)</f>
        <v>0.1859572612</v>
      </c>
      <c r="R159" s="8">
        <f>IFERROR(__xludf.DUMMYFUNCTION("""COMPUTED_VALUE"""),0.135545818961499)</f>
        <v>0.135545819</v>
      </c>
      <c r="S159" s="8">
        <f>IFERROR(__xludf.DUMMYFUNCTION("""COMPUTED_VALUE"""),0.113854149748254)</f>
        <v>0.1138541497</v>
      </c>
      <c r="T159" s="8">
        <f>IFERROR(__xludf.DUMMYFUNCTION("""COMPUTED_VALUE"""),0.068130515083111)</f>
        <v>0.06813051508</v>
      </c>
      <c r="U159" s="8">
        <f>IFERROR(__xludf.DUMMYFUNCTION("""COMPUTED_VALUE"""),0.0)</f>
        <v>0</v>
      </c>
      <c r="V159" s="8">
        <f>IFERROR(__xludf.DUMMYFUNCTION("""COMPUTED_VALUE"""),0.0)</f>
        <v>0</v>
      </c>
      <c r="W159" s="8">
        <f>IFERROR(__xludf.DUMMYFUNCTION("""COMPUTED_VALUE"""),0.0)</f>
        <v>0</v>
      </c>
      <c r="X159" s="8">
        <f>IFERROR(__xludf.DUMMYFUNCTION("""COMPUTED_VALUE"""),0.0)</f>
        <v>0</v>
      </c>
      <c r="Y159" s="8">
        <f>IFERROR(__xludf.DUMMYFUNCTION("""COMPUTED_VALUE"""),0.0)</f>
        <v>0</v>
      </c>
      <c r="Z159" s="8">
        <f>IFERROR(__xludf.DUMMYFUNCTION("""COMPUTED_VALUE"""),0.0)</f>
        <v>0</v>
      </c>
      <c r="AA159" s="8">
        <f>IFERROR(__xludf.DUMMYFUNCTION("""COMPUTED_VALUE"""),0.0)</f>
        <v>0</v>
      </c>
      <c r="AB159" s="8">
        <f>IFERROR(__xludf.DUMMYFUNCTION("""COMPUTED_VALUE"""),0.0)</f>
        <v>0</v>
      </c>
      <c r="AC159" s="8">
        <f>IFERROR(__xludf.DUMMYFUNCTION("""COMPUTED_VALUE"""),0.0)</f>
        <v>0</v>
      </c>
    </row>
    <row r="160" ht="15.75" customHeight="1">
      <c r="A160" s="6" t="str">
        <f>IFERROR(__xludf.DUMMYFUNCTION("""COMPUTED_VALUE"""),"9187815245dbab381e06e99b89e34db3f811e066")</f>
        <v>9187815245dbab381e06e99b89e34db3f811e066</v>
      </c>
      <c r="B160" s="6" t="str">
        <f>IFERROR(__xludf.DUMMYFUNCTION("""COMPUTED_VALUE"""),"Billionaire's Pursuit")</f>
        <v>Billionaire's Pursuit</v>
      </c>
      <c r="C160" s="6" t="str">
        <f>IFERROR(__xludf.DUMMYFUNCTION("""COMPUTED_VALUE"""),"Romance")</f>
        <v>Romance</v>
      </c>
      <c r="D160" s="11">
        <f>IFERROR(__xludf.DUMMYFUNCTION("""COMPUTED_VALUE"""),195.0)</f>
        <v>195</v>
      </c>
      <c r="E160" s="8">
        <f>IFERROR(__xludf.DUMMYFUNCTION("""COMPUTED_VALUE"""),0.947916666666666)</f>
        <v>0.9479166667</v>
      </c>
      <c r="F160" s="8">
        <f>IFERROR(__xludf.DUMMYFUNCTION("""COMPUTED_VALUE"""),0.442105263157894)</f>
        <v>0.4421052632</v>
      </c>
      <c r="G160" s="8">
        <f>IFERROR(__xludf.DUMMYFUNCTION("""COMPUTED_VALUE"""),0.354838709677419)</f>
        <v>0.3548387097</v>
      </c>
      <c r="H160" s="8">
        <f>IFERROR(__xludf.DUMMYFUNCTION("""COMPUTED_VALUE"""),0.26775956284153)</f>
        <v>0.2677595628</v>
      </c>
      <c r="I160" s="8">
        <f>IFERROR(__xludf.DUMMYFUNCTION("""COMPUTED_VALUE"""),0.154696132596685)</f>
        <v>0.1546961326</v>
      </c>
      <c r="J160" s="8">
        <f>IFERROR(__xludf.DUMMYFUNCTION("""COMPUTED_VALUE"""),0.144444444444444)</f>
        <v>0.1444444444</v>
      </c>
      <c r="K160" s="8">
        <f>IFERROR(__xludf.DUMMYFUNCTION("""COMPUTED_VALUE"""),0.127777777777777)</f>
        <v>0.1277777778</v>
      </c>
      <c r="L160" s="8">
        <f>IFERROR(__xludf.DUMMYFUNCTION("""COMPUTED_VALUE"""),0.116666666666666)</f>
        <v>0.1166666667</v>
      </c>
      <c r="M160" s="8">
        <f>IFERROR(__xludf.DUMMYFUNCTION("""COMPUTED_VALUE"""),0.105555555555555)</f>
        <v>0.1055555556</v>
      </c>
      <c r="N160" s="8">
        <f>IFERROR(__xludf.DUMMYFUNCTION("""COMPUTED_VALUE"""),0.100558659217877)</f>
        <v>0.1005586592</v>
      </c>
      <c r="O160" s="8">
        <f>IFERROR(__xludf.DUMMYFUNCTION("""COMPUTED_VALUE"""),0.111111111111111)</f>
        <v>0.1111111111</v>
      </c>
      <c r="P160" s="8">
        <f>IFERROR(__xludf.DUMMYFUNCTION("""COMPUTED_VALUE"""),0.0602409638554216)</f>
        <v>0.06024096386</v>
      </c>
      <c r="Q160" s="8">
        <f>IFERROR(__xludf.DUMMYFUNCTION("""COMPUTED_VALUE"""),0.0465116279069767)</f>
        <v>0.04651162791</v>
      </c>
      <c r="R160" s="8">
        <f>IFERROR(__xludf.DUMMYFUNCTION("""COMPUTED_VALUE"""),0.0)</f>
        <v>0</v>
      </c>
      <c r="S160" s="8">
        <f>IFERROR(__xludf.DUMMYFUNCTION("""COMPUTED_VALUE"""),0.0)</f>
        <v>0</v>
      </c>
      <c r="T160" s="8">
        <f>IFERROR(__xludf.DUMMYFUNCTION("""COMPUTED_VALUE"""),0.0)</f>
        <v>0</v>
      </c>
      <c r="U160" s="8">
        <f>IFERROR(__xludf.DUMMYFUNCTION("""COMPUTED_VALUE"""),0.0)</f>
        <v>0</v>
      </c>
      <c r="V160" s="8">
        <f>IFERROR(__xludf.DUMMYFUNCTION("""COMPUTED_VALUE"""),0.0)</f>
        <v>0</v>
      </c>
      <c r="W160" s="8">
        <f>IFERROR(__xludf.DUMMYFUNCTION("""COMPUTED_VALUE"""),0.0)</f>
        <v>0</v>
      </c>
      <c r="X160" s="8">
        <f>IFERROR(__xludf.DUMMYFUNCTION("""COMPUTED_VALUE"""),0.0)</f>
        <v>0</v>
      </c>
      <c r="Y160" s="8">
        <f>IFERROR(__xludf.DUMMYFUNCTION("""COMPUTED_VALUE"""),0.0)</f>
        <v>0</v>
      </c>
      <c r="Z160" s="8">
        <f>IFERROR(__xludf.DUMMYFUNCTION("""COMPUTED_VALUE"""),0.0)</f>
        <v>0</v>
      </c>
      <c r="AA160" s="8">
        <f>IFERROR(__xludf.DUMMYFUNCTION("""COMPUTED_VALUE"""),0.0)</f>
        <v>0</v>
      </c>
      <c r="AB160" s="8">
        <f>IFERROR(__xludf.DUMMYFUNCTION("""COMPUTED_VALUE"""),0.0)</f>
        <v>0</v>
      </c>
      <c r="AC160" s="8">
        <f>IFERROR(__xludf.DUMMYFUNCTION("""COMPUTED_VALUE"""),0.0)</f>
        <v>0</v>
      </c>
    </row>
    <row r="161" ht="15.75" customHeight="1">
      <c r="A161" s="6" t="str">
        <f>IFERROR(__xludf.DUMMYFUNCTION("""COMPUTED_VALUE"""),"91df72ab8ef7c2a2797ba2a98264b6e4037cebc4")</f>
        <v>91df72ab8ef7c2a2797ba2a98264b6e4037cebc4</v>
      </c>
      <c r="B161" s="6" t="str">
        <f>IFERROR(__xludf.DUMMYFUNCTION("""COMPUTED_VALUE"""),"The Upgrade Gamer")</f>
        <v>The Upgrade Gamer</v>
      </c>
      <c r="C161" s="6" t="str">
        <f>IFERROR(__xludf.DUMMYFUNCTION("""COMPUTED_VALUE"""),"System and Superpower")</f>
        <v>System and Superpower</v>
      </c>
      <c r="D161" s="11">
        <f>IFERROR(__xludf.DUMMYFUNCTION("""COMPUTED_VALUE"""),1239.0)</f>
        <v>1239</v>
      </c>
      <c r="E161" s="8">
        <f>IFERROR(__xludf.DUMMYFUNCTION("""COMPUTED_VALUE"""),0.981406628940986)</f>
        <v>0.9814066289</v>
      </c>
      <c r="F161" s="8">
        <f>IFERROR(__xludf.DUMMYFUNCTION("""COMPUTED_VALUE"""),0.666395443449959)</f>
        <v>0.6663954434</v>
      </c>
      <c r="G161" s="8">
        <f>IFERROR(__xludf.DUMMYFUNCTION("""COMPUTED_VALUE"""),0.560098119378577)</f>
        <v>0.5600981194</v>
      </c>
      <c r="H161" s="8">
        <f>IFERROR(__xludf.DUMMYFUNCTION("""COMPUTED_VALUE"""),0.508656224237427)</f>
        <v>0.5086562242</v>
      </c>
      <c r="I161" s="8">
        <f>IFERROR(__xludf.DUMMYFUNCTION("""COMPUTED_VALUE"""),0.466059602649006)</f>
        <v>0.4660596026</v>
      </c>
      <c r="J161" s="8">
        <f>IFERROR(__xludf.DUMMYFUNCTION("""COMPUTED_VALUE"""),0.434056761268781)</f>
        <v>0.4340567613</v>
      </c>
      <c r="K161" s="8">
        <f>IFERROR(__xludf.DUMMYFUNCTION("""COMPUTED_VALUE"""),0.400345125107851)</f>
        <v>0.4003451251</v>
      </c>
      <c r="L161" s="8">
        <f>IFERROR(__xludf.DUMMYFUNCTION("""COMPUTED_VALUE"""),0.369708372530573)</f>
        <v>0.3697083725</v>
      </c>
      <c r="M161" s="8">
        <f>IFERROR(__xludf.DUMMYFUNCTION("""COMPUTED_VALUE"""),0.333333333333333)</f>
        <v>0.3333333333</v>
      </c>
      <c r="N161" s="8">
        <f>IFERROR(__xludf.DUMMYFUNCTION("""COMPUTED_VALUE"""),0.322285714285714)</f>
        <v>0.3222857143</v>
      </c>
      <c r="O161" s="8">
        <f>IFERROR(__xludf.DUMMYFUNCTION("""COMPUTED_VALUE"""),0.258169934640522)</f>
        <v>0.2581699346</v>
      </c>
      <c r="P161" s="8">
        <f>IFERROR(__xludf.DUMMYFUNCTION("""COMPUTED_VALUE"""),0.204946996466431)</f>
        <v>0.2049469965</v>
      </c>
      <c r="Q161" s="8">
        <f>IFERROR(__xludf.DUMMYFUNCTION("""COMPUTED_VALUE"""),0.0)</f>
        <v>0</v>
      </c>
      <c r="R161" s="8">
        <f>IFERROR(__xludf.DUMMYFUNCTION("""COMPUTED_VALUE"""),0.0)</f>
        <v>0</v>
      </c>
      <c r="S161" s="8">
        <f>IFERROR(__xludf.DUMMYFUNCTION("""COMPUTED_VALUE"""),0.0)</f>
        <v>0</v>
      </c>
      <c r="T161" s="8">
        <f>IFERROR(__xludf.DUMMYFUNCTION("""COMPUTED_VALUE"""),0.0)</f>
        <v>0</v>
      </c>
      <c r="U161" s="8">
        <f>IFERROR(__xludf.DUMMYFUNCTION("""COMPUTED_VALUE"""),0.0)</f>
        <v>0</v>
      </c>
      <c r="V161" s="8">
        <f>IFERROR(__xludf.DUMMYFUNCTION("""COMPUTED_VALUE"""),0.0)</f>
        <v>0</v>
      </c>
      <c r="W161" s="8">
        <f>IFERROR(__xludf.DUMMYFUNCTION("""COMPUTED_VALUE"""),0.0)</f>
        <v>0</v>
      </c>
      <c r="X161" s="8">
        <f>IFERROR(__xludf.DUMMYFUNCTION("""COMPUTED_VALUE"""),0.0)</f>
        <v>0</v>
      </c>
      <c r="Y161" s="8">
        <f>IFERROR(__xludf.DUMMYFUNCTION("""COMPUTED_VALUE"""),0.0)</f>
        <v>0</v>
      </c>
      <c r="Z161" s="8">
        <f>IFERROR(__xludf.DUMMYFUNCTION("""COMPUTED_VALUE"""),0.0)</f>
        <v>0</v>
      </c>
      <c r="AA161" s="8">
        <f>IFERROR(__xludf.DUMMYFUNCTION("""COMPUTED_VALUE"""),0.0)</f>
        <v>0</v>
      </c>
      <c r="AB161" s="8">
        <f>IFERROR(__xludf.DUMMYFUNCTION("""COMPUTED_VALUE"""),0.0)</f>
        <v>0</v>
      </c>
      <c r="AC161" s="8">
        <f>IFERROR(__xludf.DUMMYFUNCTION("""COMPUTED_VALUE"""),0.0)</f>
        <v>0</v>
      </c>
    </row>
    <row r="162" ht="15.75" customHeight="1">
      <c r="A162" s="6" t="str">
        <f>IFERROR(__xludf.DUMMYFUNCTION("""COMPUTED_VALUE"""),"9236a79ea4f06488372a41ebcc7a4f0fbfc7b1c3")</f>
        <v>9236a79ea4f06488372a41ebcc7a4f0fbfc7b1c3</v>
      </c>
      <c r="B162" s="6" t="str">
        <f>IFERROR(__xludf.DUMMYFUNCTION("""COMPUTED_VALUE"""),"King of Mercenaries")</f>
        <v>King of Mercenaries</v>
      </c>
      <c r="C162" s="6" t="str">
        <f>IFERROR(__xludf.DUMMYFUNCTION("""COMPUTED_VALUE"""),"Suspense or Thriller")</f>
        <v>Suspense or Thriller</v>
      </c>
      <c r="D162" s="11">
        <f>IFERROR(__xludf.DUMMYFUNCTION("""COMPUTED_VALUE"""),142.0)</f>
        <v>142</v>
      </c>
      <c r="E162" s="8">
        <f>IFERROR(__xludf.DUMMYFUNCTION("""COMPUTED_VALUE"""),0.970802919708029)</f>
        <v>0.9708029197</v>
      </c>
      <c r="F162" s="8">
        <f>IFERROR(__xludf.DUMMYFUNCTION("""COMPUTED_VALUE"""),0.380597014925373)</f>
        <v>0.3805970149</v>
      </c>
      <c r="G162" s="8">
        <f>IFERROR(__xludf.DUMMYFUNCTION("""COMPUTED_VALUE"""),0.359375)</f>
        <v>0.359375</v>
      </c>
      <c r="H162" s="8">
        <f>IFERROR(__xludf.DUMMYFUNCTION("""COMPUTED_VALUE"""),0.313559322033898)</f>
        <v>0.313559322</v>
      </c>
      <c r="I162" s="8">
        <f>IFERROR(__xludf.DUMMYFUNCTION("""COMPUTED_VALUE"""),0.275229357798165)</f>
        <v>0.2752293578</v>
      </c>
      <c r="J162" s="8">
        <f>IFERROR(__xludf.DUMMYFUNCTION("""COMPUTED_VALUE"""),0.217821782178217)</f>
        <v>0.2178217822</v>
      </c>
      <c r="K162" s="8">
        <f>IFERROR(__xludf.DUMMYFUNCTION("""COMPUTED_VALUE"""),0.221052631578947)</f>
        <v>0.2210526316</v>
      </c>
      <c r="L162" s="8">
        <f>IFERROR(__xludf.DUMMYFUNCTION("""COMPUTED_VALUE"""),0.202380952380952)</f>
        <v>0.2023809524</v>
      </c>
      <c r="M162" s="8">
        <f>IFERROR(__xludf.DUMMYFUNCTION("""COMPUTED_VALUE"""),0.2125)</f>
        <v>0.2125</v>
      </c>
      <c r="N162" s="8">
        <f>IFERROR(__xludf.DUMMYFUNCTION("""COMPUTED_VALUE"""),0.211267605633802)</f>
        <v>0.2112676056</v>
      </c>
      <c r="O162" s="8">
        <f>IFERROR(__xludf.DUMMYFUNCTION("""COMPUTED_VALUE"""),0.224137931034482)</f>
        <v>0.224137931</v>
      </c>
      <c r="P162" s="8">
        <f>IFERROR(__xludf.DUMMYFUNCTION("""COMPUTED_VALUE"""),0.206896551724137)</f>
        <v>0.2068965517</v>
      </c>
      <c r="Q162" s="8">
        <f>IFERROR(__xludf.DUMMYFUNCTION("""COMPUTED_VALUE"""),0.157894736842105)</f>
        <v>0.1578947368</v>
      </c>
      <c r="R162" s="8">
        <f>IFERROR(__xludf.DUMMYFUNCTION("""COMPUTED_VALUE"""),0.117647058823529)</f>
        <v>0.1176470588</v>
      </c>
      <c r="S162" s="8">
        <f>IFERROR(__xludf.DUMMYFUNCTION("""COMPUTED_VALUE"""),0.0)</f>
        <v>0</v>
      </c>
      <c r="T162" s="8">
        <f>IFERROR(__xludf.DUMMYFUNCTION("""COMPUTED_VALUE"""),0.0)</f>
        <v>0</v>
      </c>
      <c r="U162" s="8">
        <f>IFERROR(__xludf.DUMMYFUNCTION("""COMPUTED_VALUE"""),0.0)</f>
        <v>0</v>
      </c>
      <c r="V162" s="8">
        <f>IFERROR(__xludf.DUMMYFUNCTION("""COMPUTED_VALUE"""),0.0)</f>
        <v>0</v>
      </c>
      <c r="W162" s="8">
        <f>IFERROR(__xludf.DUMMYFUNCTION("""COMPUTED_VALUE"""),0.0)</f>
        <v>0</v>
      </c>
      <c r="X162" s="8">
        <f>IFERROR(__xludf.DUMMYFUNCTION("""COMPUTED_VALUE"""),0.0)</f>
        <v>0</v>
      </c>
      <c r="Y162" s="8">
        <f>IFERROR(__xludf.DUMMYFUNCTION("""COMPUTED_VALUE"""),0.0)</f>
        <v>0</v>
      </c>
      <c r="Z162" s="8">
        <f>IFERROR(__xludf.DUMMYFUNCTION("""COMPUTED_VALUE"""),0.0)</f>
        <v>0</v>
      </c>
      <c r="AA162" s="8">
        <f>IFERROR(__xludf.DUMMYFUNCTION("""COMPUTED_VALUE"""),0.0)</f>
        <v>0</v>
      </c>
      <c r="AB162" s="8">
        <f>IFERROR(__xludf.DUMMYFUNCTION("""COMPUTED_VALUE"""),0.0)</f>
        <v>0</v>
      </c>
      <c r="AC162" s="8">
        <f>IFERROR(__xludf.DUMMYFUNCTION("""COMPUTED_VALUE"""),0.0)</f>
        <v>0</v>
      </c>
    </row>
    <row r="163" ht="15.75" customHeight="1">
      <c r="A163" s="6" t="str">
        <f>IFERROR(__xludf.DUMMYFUNCTION("""COMPUTED_VALUE"""),"94d808231f41a64988f80a2739e6a748f1278c28")</f>
        <v>94d808231f41a64988f80a2739e6a748f1278c28</v>
      </c>
      <c r="B163" s="6" t="str">
        <f>IFERROR(__xludf.DUMMYFUNCTION("""COMPUTED_VALUE"""),"My Amazing Husband's Life")</f>
        <v>My Amazing Husband's Life</v>
      </c>
      <c r="C163" s="6" t="str">
        <f>IFERROR(__xludf.DUMMYFUNCTION("""COMPUTED_VALUE"""),"Drama")</f>
        <v>Drama</v>
      </c>
      <c r="D163" s="11">
        <f>IFERROR(__xludf.DUMMYFUNCTION("""COMPUTED_VALUE"""),1050.0)</f>
        <v>1050</v>
      </c>
      <c r="E163" s="8">
        <f>IFERROR(__xludf.DUMMYFUNCTION("""COMPUTED_VALUE"""),0.967)</f>
        <v>0.967</v>
      </c>
      <c r="F163" s="8">
        <f>IFERROR(__xludf.DUMMYFUNCTION("""COMPUTED_VALUE"""),0.524555903866248)</f>
        <v>0.5245559039</v>
      </c>
      <c r="G163" s="8">
        <f>IFERROR(__xludf.DUMMYFUNCTION("""COMPUTED_VALUE"""),0.47077922077922)</f>
        <v>0.4707792208</v>
      </c>
      <c r="H163" s="8">
        <f>IFERROR(__xludf.DUMMYFUNCTION("""COMPUTED_VALUE"""),0.432714617169373)</f>
        <v>0.4327146172</v>
      </c>
      <c r="I163" s="8">
        <f>IFERROR(__xludf.DUMMYFUNCTION("""COMPUTED_VALUE"""),0.384522370012091)</f>
        <v>0.38452237</v>
      </c>
      <c r="J163" s="8">
        <f>IFERROR(__xludf.DUMMYFUNCTION("""COMPUTED_VALUE"""),0.368686868686868)</f>
        <v>0.3686868687</v>
      </c>
      <c r="K163" s="8">
        <f>IFERROR(__xludf.DUMMYFUNCTION("""COMPUTED_VALUE"""),0.348445595854922)</f>
        <v>0.3484455959</v>
      </c>
      <c r="L163" s="8">
        <f>IFERROR(__xludf.DUMMYFUNCTION("""COMPUTED_VALUE"""),0.322448979591836)</f>
        <v>0.3224489796</v>
      </c>
      <c r="M163" s="8">
        <f>IFERROR(__xludf.DUMMYFUNCTION("""COMPUTED_VALUE"""),0.302259887005649)</f>
        <v>0.302259887</v>
      </c>
      <c r="N163" s="8">
        <f>IFERROR(__xludf.DUMMYFUNCTION("""COMPUTED_VALUE"""),0.285094066570188)</f>
        <v>0.2850940666</v>
      </c>
      <c r="O163" s="8">
        <f>IFERROR(__xludf.DUMMYFUNCTION("""COMPUTED_VALUE"""),0.254545454545454)</f>
        <v>0.2545454545</v>
      </c>
      <c r="P163" s="8">
        <f>IFERROR(__xludf.DUMMYFUNCTION("""COMPUTED_VALUE"""),0.192691029900332)</f>
        <v>0.1926910299</v>
      </c>
      <c r="Q163" s="8">
        <f>IFERROR(__xludf.DUMMYFUNCTION("""COMPUTED_VALUE"""),0.130434782608695)</f>
        <v>0.1304347826</v>
      </c>
      <c r="R163" s="8">
        <f>IFERROR(__xludf.DUMMYFUNCTION("""COMPUTED_VALUE"""),0.0)</f>
        <v>0</v>
      </c>
      <c r="S163" s="8">
        <f>IFERROR(__xludf.DUMMYFUNCTION("""COMPUTED_VALUE"""),0.0)</f>
        <v>0</v>
      </c>
      <c r="T163" s="8">
        <f>IFERROR(__xludf.DUMMYFUNCTION("""COMPUTED_VALUE"""),0.0)</f>
        <v>0</v>
      </c>
      <c r="U163" s="8">
        <f>IFERROR(__xludf.DUMMYFUNCTION("""COMPUTED_VALUE"""),0.0)</f>
        <v>0</v>
      </c>
      <c r="V163" s="8">
        <f>IFERROR(__xludf.DUMMYFUNCTION("""COMPUTED_VALUE"""),0.0)</f>
        <v>0</v>
      </c>
      <c r="W163" s="8">
        <f>IFERROR(__xludf.DUMMYFUNCTION("""COMPUTED_VALUE"""),0.0)</f>
        <v>0</v>
      </c>
      <c r="X163" s="8">
        <f>IFERROR(__xludf.DUMMYFUNCTION("""COMPUTED_VALUE"""),0.0)</f>
        <v>0</v>
      </c>
      <c r="Y163" s="8">
        <f>IFERROR(__xludf.DUMMYFUNCTION("""COMPUTED_VALUE"""),0.0)</f>
        <v>0</v>
      </c>
      <c r="Z163" s="8">
        <f>IFERROR(__xludf.DUMMYFUNCTION("""COMPUTED_VALUE"""),0.0)</f>
        <v>0</v>
      </c>
      <c r="AA163" s="8">
        <f>IFERROR(__xludf.DUMMYFUNCTION("""COMPUTED_VALUE"""),0.0)</f>
        <v>0</v>
      </c>
      <c r="AB163" s="8">
        <f>IFERROR(__xludf.DUMMYFUNCTION("""COMPUTED_VALUE"""),0.0)</f>
        <v>0</v>
      </c>
      <c r="AC163" s="8">
        <f>IFERROR(__xludf.DUMMYFUNCTION("""COMPUTED_VALUE"""),0.0)</f>
        <v>0</v>
      </c>
    </row>
    <row r="164" ht="15.75" customHeight="1">
      <c r="A164" s="6" t="str">
        <f>IFERROR(__xludf.DUMMYFUNCTION("""COMPUTED_VALUE"""),"95cfee76565a1eb0481e08f4f0da75fa4a0cdb74")</f>
        <v>95cfee76565a1eb0481e08f4f0da75fa4a0cdb74</v>
      </c>
      <c r="B164" s="6" t="str">
        <f>IFERROR(__xludf.DUMMYFUNCTION("""COMPUTED_VALUE"""),"Revenge Called Athena")</f>
        <v>Revenge Called Athena</v>
      </c>
      <c r="C164" s="6" t="str">
        <f>IFERROR(__xludf.DUMMYFUNCTION("""COMPUTED_VALUE"""),"Drama")</f>
        <v>Drama</v>
      </c>
      <c r="D164" s="11">
        <f>IFERROR(__xludf.DUMMYFUNCTION("""COMPUTED_VALUE"""),521.0)</f>
        <v>521</v>
      </c>
      <c r="E164" s="8">
        <f>IFERROR(__xludf.DUMMYFUNCTION("""COMPUTED_VALUE"""),0.940499040307101)</f>
        <v>0.9404990403</v>
      </c>
      <c r="F164" s="8">
        <f>IFERROR(__xludf.DUMMYFUNCTION("""COMPUTED_VALUE"""),0.416506717850287)</f>
        <v>0.4165067179</v>
      </c>
      <c r="G164" s="8">
        <f>IFERROR(__xludf.DUMMYFUNCTION("""COMPUTED_VALUE"""),0.378119001919385)</f>
        <v>0.3781190019</v>
      </c>
      <c r="H164" s="8">
        <f>IFERROR(__xludf.DUMMYFUNCTION("""COMPUTED_VALUE"""),0.353166986564299)</f>
        <v>0.3531669866</v>
      </c>
      <c r="I164" s="8">
        <f>IFERROR(__xludf.DUMMYFUNCTION("""COMPUTED_VALUE"""),0.337811900191938)</f>
        <v>0.3378119002</v>
      </c>
      <c r="J164" s="8">
        <f>IFERROR(__xludf.DUMMYFUNCTION("""COMPUTED_VALUE"""),0.328185328185328)</f>
        <v>0.3281853282</v>
      </c>
      <c r="K164" s="8">
        <f>IFERROR(__xludf.DUMMYFUNCTION("""COMPUTED_VALUE"""),0.309338521400778)</f>
        <v>0.3093385214</v>
      </c>
      <c r="L164" s="8">
        <f>IFERROR(__xludf.DUMMYFUNCTION("""COMPUTED_VALUE"""),0.289940828402366)</f>
        <v>0.2899408284</v>
      </c>
      <c r="M164" s="8">
        <f>IFERROR(__xludf.DUMMYFUNCTION("""COMPUTED_VALUE"""),0.283433133732534)</f>
        <v>0.2834331337</v>
      </c>
      <c r="N164" s="8">
        <f>IFERROR(__xludf.DUMMYFUNCTION("""COMPUTED_VALUE"""),0.27070707070707)</f>
        <v>0.2707070707</v>
      </c>
      <c r="O164" s="8">
        <f>IFERROR(__xludf.DUMMYFUNCTION("""COMPUTED_VALUE"""),0.237875288683602)</f>
        <v>0.2378752887</v>
      </c>
      <c r="P164" s="8">
        <f>IFERROR(__xludf.DUMMYFUNCTION("""COMPUTED_VALUE"""),0.183745583038869)</f>
        <v>0.183745583</v>
      </c>
      <c r="Q164" s="8">
        <f>IFERROR(__xludf.DUMMYFUNCTION("""COMPUTED_VALUE"""),0.143939393939393)</f>
        <v>0.1439393939</v>
      </c>
      <c r="R164" s="8">
        <f>IFERROR(__xludf.DUMMYFUNCTION("""COMPUTED_VALUE"""),0.19047619047619)</f>
        <v>0.1904761905</v>
      </c>
      <c r="S164" s="8">
        <f>IFERROR(__xludf.DUMMYFUNCTION("""COMPUTED_VALUE"""),0.0)</f>
        <v>0</v>
      </c>
      <c r="T164" s="8">
        <f>IFERROR(__xludf.DUMMYFUNCTION("""COMPUTED_VALUE"""),0.0)</f>
        <v>0</v>
      </c>
      <c r="U164" s="8">
        <f>IFERROR(__xludf.DUMMYFUNCTION("""COMPUTED_VALUE"""),0.0)</f>
        <v>0</v>
      </c>
      <c r="V164" s="8">
        <f>IFERROR(__xludf.DUMMYFUNCTION("""COMPUTED_VALUE"""),0.0)</f>
        <v>0</v>
      </c>
      <c r="W164" s="8">
        <f>IFERROR(__xludf.DUMMYFUNCTION("""COMPUTED_VALUE"""),0.0)</f>
        <v>0</v>
      </c>
      <c r="X164" s="8">
        <f>IFERROR(__xludf.DUMMYFUNCTION("""COMPUTED_VALUE"""),0.0)</f>
        <v>0</v>
      </c>
      <c r="Y164" s="8">
        <f>IFERROR(__xludf.DUMMYFUNCTION("""COMPUTED_VALUE"""),0.0)</f>
        <v>0</v>
      </c>
      <c r="Z164" s="8">
        <f>IFERROR(__xludf.DUMMYFUNCTION("""COMPUTED_VALUE"""),0.0)</f>
        <v>0</v>
      </c>
      <c r="AA164" s="8">
        <f>IFERROR(__xludf.DUMMYFUNCTION("""COMPUTED_VALUE"""),0.0)</f>
        <v>0</v>
      </c>
      <c r="AB164" s="8">
        <f>IFERROR(__xludf.DUMMYFUNCTION("""COMPUTED_VALUE"""),0.0)</f>
        <v>0</v>
      </c>
      <c r="AC164" s="8">
        <f>IFERROR(__xludf.DUMMYFUNCTION("""COMPUTED_VALUE"""),0.0)</f>
        <v>0</v>
      </c>
    </row>
    <row r="165" ht="15.75" customHeight="1">
      <c r="A165" s="6" t="str">
        <f>IFERROR(__xludf.DUMMYFUNCTION("""COMPUTED_VALUE"""),"964c4dbd3e851f0d215e0fc68b9c364303676665")</f>
        <v>964c4dbd3e851f0d215e0fc68b9c364303676665</v>
      </c>
      <c r="B165" s="6" t="str">
        <f>IFERROR(__xludf.DUMMYFUNCTION("""COMPUTED_VALUE"""),"The Governor's Wife")</f>
        <v>The Governor's Wife</v>
      </c>
      <c r="C165" s="6" t="str">
        <f>IFERROR(__xludf.DUMMYFUNCTION("""COMPUTED_VALUE"""),"Romance")</f>
        <v>Romance</v>
      </c>
      <c r="D165" s="11">
        <f>IFERROR(__xludf.DUMMYFUNCTION("""COMPUTED_VALUE"""),849.0)</f>
        <v>849</v>
      </c>
      <c r="E165" s="8">
        <f>IFERROR(__xludf.DUMMYFUNCTION("""COMPUTED_VALUE"""),0.977594339622641)</f>
        <v>0.9775943396</v>
      </c>
      <c r="F165" s="8">
        <f>IFERROR(__xludf.DUMMYFUNCTION("""COMPUTED_VALUE"""),0.285714285714285)</f>
        <v>0.2857142857</v>
      </c>
      <c r="G165" s="8">
        <f>IFERROR(__xludf.DUMMYFUNCTION("""COMPUTED_VALUE"""),0.239470517448856)</f>
        <v>0.2394705174</v>
      </c>
      <c r="H165" s="8">
        <f>IFERROR(__xludf.DUMMYFUNCTION("""COMPUTED_VALUE"""),0.217761557177615)</f>
        <v>0.2177615572</v>
      </c>
      <c r="I165" s="8">
        <f>IFERROR(__xludf.DUMMYFUNCTION("""COMPUTED_VALUE"""),0.211562115621156)</f>
        <v>0.2115621156</v>
      </c>
      <c r="J165" s="8">
        <f>IFERROR(__xludf.DUMMYFUNCTION("""COMPUTED_VALUE"""),0.1875)</f>
        <v>0.1875</v>
      </c>
      <c r="K165" s="8">
        <f>IFERROR(__xludf.DUMMYFUNCTION("""COMPUTED_VALUE"""),0.167506297229219)</f>
        <v>0.1675062972</v>
      </c>
      <c r="L165" s="8">
        <f>IFERROR(__xludf.DUMMYFUNCTION("""COMPUTED_VALUE"""),0.144686299615877)</f>
        <v>0.1446862996</v>
      </c>
      <c r="M165" s="8">
        <f>IFERROR(__xludf.DUMMYFUNCTION("""COMPUTED_VALUE"""),0.12774193548387)</f>
        <v>0.1277419355</v>
      </c>
      <c r="N165" s="8">
        <f>IFERROR(__xludf.DUMMYFUNCTION("""COMPUTED_VALUE"""),0.113428943937418)</f>
        <v>0.1134289439</v>
      </c>
      <c r="O165" s="8">
        <f>IFERROR(__xludf.DUMMYFUNCTION("""COMPUTED_VALUE"""),0.0756172839506172)</f>
        <v>0.07561728395</v>
      </c>
      <c r="P165" s="8">
        <f>IFERROR(__xludf.DUMMYFUNCTION("""COMPUTED_VALUE"""),0.0311418685121107)</f>
        <v>0.03114186851</v>
      </c>
      <c r="Q165" s="8">
        <f>IFERROR(__xludf.DUMMYFUNCTION("""COMPUTED_VALUE"""),0.0)</f>
        <v>0</v>
      </c>
      <c r="R165" s="8">
        <f>IFERROR(__xludf.DUMMYFUNCTION("""COMPUTED_VALUE"""),0.0)</f>
        <v>0</v>
      </c>
      <c r="S165" s="8">
        <f>IFERROR(__xludf.DUMMYFUNCTION("""COMPUTED_VALUE"""),0.0)</f>
        <v>0</v>
      </c>
      <c r="T165" s="8">
        <f>IFERROR(__xludf.DUMMYFUNCTION("""COMPUTED_VALUE"""),0.0)</f>
        <v>0</v>
      </c>
      <c r="U165" s="8">
        <f>IFERROR(__xludf.DUMMYFUNCTION("""COMPUTED_VALUE"""),0.0)</f>
        <v>0</v>
      </c>
      <c r="V165" s="8">
        <f>IFERROR(__xludf.DUMMYFUNCTION("""COMPUTED_VALUE"""),0.0)</f>
        <v>0</v>
      </c>
      <c r="W165" s="8">
        <f>IFERROR(__xludf.DUMMYFUNCTION("""COMPUTED_VALUE"""),0.0)</f>
        <v>0</v>
      </c>
      <c r="X165" s="8">
        <f>IFERROR(__xludf.DUMMYFUNCTION("""COMPUTED_VALUE"""),0.0)</f>
        <v>0</v>
      </c>
      <c r="Y165" s="8">
        <f>IFERROR(__xludf.DUMMYFUNCTION("""COMPUTED_VALUE"""),0.0)</f>
        <v>0</v>
      </c>
      <c r="Z165" s="8">
        <f>IFERROR(__xludf.DUMMYFUNCTION("""COMPUTED_VALUE"""),0.0)</f>
        <v>0</v>
      </c>
      <c r="AA165" s="8">
        <f>IFERROR(__xludf.DUMMYFUNCTION("""COMPUTED_VALUE"""),0.0)</f>
        <v>0</v>
      </c>
      <c r="AB165" s="8">
        <f>IFERROR(__xludf.DUMMYFUNCTION("""COMPUTED_VALUE"""),0.0)</f>
        <v>0</v>
      </c>
      <c r="AC165" s="8">
        <f>IFERROR(__xludf.DUMMYFUNCTION("""COMPUTED_VALUE"""),0.0)</f>
        <v>0</v>
      </c>
    </row>
    <row r="166" ht="15.75" customHeight="1">
      <c r="A166" s="6" t="str">
        <f>IFERROR(__xludf.DUMMYFUNCTION("""COMPUTED_VALUE"""),"96f6721dc499b730f42b02d86e640d682f4f665d")</f>
        <v>96f6721dc499b730f42b02d86e640d682f4f665d</v>
      </c>
      <c r="B166" s="6" t="str">
        <f>IFERROR(__xludf.DUMMYFUNCTION("""COMPUTED_VALUE"""),"Last Witch of Swendel")</f>
        <v>Last Witch of Swendel</v>
      </c>
      <c r="C166" s="6" t="str">
        <f>IFERROR(__xludf.DUMMYFUNCTION("""COMPUTED_VALUE"""),"Romantasy")</f>
        <v>Romantasy</v>
      </c>
      <c r="D166" s="11">
        <f>IFERROR(__xludf.DUMMYFUNCTION("""COMPUTED_VALUE"""),1742.0)</f>
        <v>1742</v>
      </c>
      <c r="E166" s="8">
        <f>IFERROR(__xludf.DUMMYFUNCTION("""COMPUTED_VALUE"""),0.935669155657668)</f>
        <v>0.9356691557</v>
      </c>
      <c r="F166" s="8">
        <f>IFERROR(__xludf.DUMMYFUNCTION("""COMPUTED_VALUE"""),0.492528735632183)</f>
        <v>0.4925287356</v>
      </c>
      <c r="G166" s="8">
        <f>IFERROR(__xludf.DUMMYFUNCTION("""COMPUTED_VALUE"""),0.440483036227717)</f>
        <v>0.4404830362</v>
      </c>
      <c r="H166" s="8">
        <f>IFERROR(__xludf.DUMMYFUNCTION("""COMPUTED_VALUE"""),0.413018433179723)</f>
        <v>0.4130184332</v>
      </c>
      <c r="I166" s="8">
        <f>IFERROR(__xludf.DUMMYFUNCTION("""COMPUTED_VALUE"""),0.39469128678592)</f>
        <v>0.3946912868</v>
      </c>
      <c r="J166" s="8">
        <f>IFERROR(__xludf.DUMMYFUNCTION("""COMPUTED_VALUE"""),0.377957299480669)</f>
        <v>0.3779572995</v>
      </c>
      <c r="K166" s="8">
        <f>IFERROR(__xludf.DUMMYFUNCTION("""COMPUTED_VALUE"""),0.366993652625504)</f>
        <v>0.3669936526</v>
      </c>
      <c r="L166" s="8">
        <f>IFERROR(__xludf.DUMMYFUNCTION("""COMPUTED_VALUE"""),0.352397458116695)</f>
        <v>0.3523974581</v>
      </c>
      <c r="M166" s="8">
        <f>IFERROR(__xludf.DUMMYFUNCTION("""COMPUTED_VALUE"""),0.349132947976878)</f>
        <v>0.349132948</v>
      </c>
      <c r="N166" s="8">
        <f>IFERROR(__xludf.DUMMYFUNCTION("""COMPUTED_VALUE"""),0.34105385060799)</f>
        <v>0.3410538506</v>
      </c>
      <c r="O166" s="8">
        <f>IFERROR(__xludf.DUMMYFUNCTION("""COMPUTED_VALUE"""),0.307558139534883)</f>
        <v>0.3075581395</v>
      </c>
      <c r="P166" s="8">
        <f>IFERROR(__xludf.DUMMYFUNCTION("""COMPUTED_VALUE"""),0.227967097532314)</f>
        <v>0.2279670975</v>
      </c>
      <c r="Q166" s="8">
        <f>IFERROR(__xludf.DUMMYFUNCTION("""COMPUTED_VALUE"""),0.201701093560145)</f>
        <v>0.2017010936</v>
      </c>
      <c r="R166" s="8">
        <f>IFERROR(__xludf.DUMMYFUNCTION("""COMPUTED_VALUE"""),0.174757281553398)</f>
        <v>0.1747572816</v>
      </c>
      <c r="S166" s="8">
        <f>IFERROR(__xludf.DUMMYFUNCTION("""COMPUTED_VALUE"""),0.12)</f>
        <v>0.12</v>
      </c>
      <c r="T166" s="8">
        <f>IFERROR(__xludf.DUMMYFUNCTION("""COMPUTED_VALUE"""),0.108910891089108)</f>
        <v>0.1089108911</v>
      </c>
      <c r="U166" s="8">
        <f>IFERROR(__xludf.DUMMYFUNCTION("""COMPUTED_VALUE"""),0.088235294117647)</f>
        <v>0.08823529412</v>
      </c>
      <c r="V166" s="8">
        <f>IFERROR(__xludf.DUMMYFUNCTION("""COMPUTED_VALUE"""),0.11578947368421)</f>
        <v>0.1157894737</v>
      </c>
      <c r="W166" s="8">
        <f>IFERROR(__xludf.DUMMYFUNCTION("""COMPUTED_VALUE"""),0.09375)</f>
        <v>0.09375</v>
      </c>
      <c r="X166" s="8">
        <f>IFERROR(__xludf.DUMMYFUNCTION("""COMPUTED_VALUE"""),0.0)</f>
        <v>0</v>
      </c>
      <c r="Y166" s="8">
        <f>IFERROR(__xludf.DUMMYFUNCTION("""COMPUTED_VALUE"""),0.0)</f>
        <v>0</v>
      </c>
      <c r="Z166" s="8">
        <f>IFERROR(__xludf.DUMMYFUNCTION("""COMPUTED_VALUE"""),0.0)</f>
        <v>0</v>
      </c>
      <c r="AA166" s="8">
        <f>IFERROR(__xludf.DUMMYFUNCTION("""COMPUTED_VALUE"""),0.0)</f>
        <v>0</v>
      </c>
      <c r="AB166" s="8">
        <f>IFERROR(__xludf.DUMMYFUNCTION("""COMPUTED_VALUE"""),0.0)</f>
        <v>0</v>
      </c>
      <c r="AC166" s="8">
        <f>IFERROR(__xludf.DUMMYFUNCTION("""COMPUTED_VALUE"""),0.0)</f>
        <v>0</v>
      </c>
    </row>
    <row r="167" ht="15.75" customHeight="1">
      <c r="A167" s="6" t="str">
        <f>IFERROR(__xludf.DUMMYFUNCTION("""COMPUTED_VALUE"""),"97bf3d3427830d8b1bc0c5929b0c0832cbf02a25")</f>
        <v>97bf3d3427830d8b1bc0c5929b0c0832cbf02a25</v>
      </c>
      <c r="B167" s="6" t="str">
        <f>IFERROR(__xludf.DUMMYFUNCTION("""COMPUTED_VALUE"""),"The Miraculous Physician")</f>
        <v>The Miraculous Physician</v>
      </c>
      <c r="C167" s="6" t="str">
        <f>IFERROR(__xludf.DUMMYFUNCTION("""COMPUTED_VALUE"""),"System and Superpower")</f>
        <v>System and Superpower</v>
      </c>
      <c r="D167" s="11">
        <f>IFERROR(__xludf.DUMMYFUNCTION("""COMPUTED_VALUE"""),293.0)</f>
        <v>293</v>
      </c>
      <c r="E167" s="8">
        <f>IFERROR(__xludf.DUMMYFUNCTION("""COMPUTED_VALUE"""),0.972027972027972)</f>
        <v>0.972027972</v>
      </c>
      <c r="F167" s="8">
        <f>IFERROR(__xludf.DUMMYFUNCTION("""COMPUTED_VALUE"""),0.503649635036496)</f>
        <v>0.503649635</v>
      </c>
      <c r="G167" s="8">
        <f>IFERROR(__xludf.DUMMYFUNCTION("""COMPUTED_VALUE"""),0.455223880597014)</f>
        <v>0.4552238806</v>
      </c>
      <c r="H167" s="8">
        <f>IFERROR(__xludf.DUMMYFUNCTION("""COMPUTED_VALUE"""),0.392996108949416)</f>
        <v>0.3929961089</v>
      </c>
      <c r="I167" s="8">
        <f>IFERROR(__xludf.DUMMYFUNCTION("""COMPUTED_VALUE"""),0.353413654618473)</f>
        <v>0.3534136546</v>
      </c>
      <c r="J167" s="8">
        <f>IFERROR(__xludf.DUMMYFUNCTION("""COMPUTED_VALUE"""),0.338912133891213)</f>
        <v>0.3389121339</v>
      </c>
      <c r="K167" s="8">
        <f>IFERROR(__xludf.DUMMYFUNCTION("""COMPUTED_VALUE"""),0.321428571428571)</f>
        <v>0.3214285714</v>
      </c>
      <c r="L167" s="8">
        <f>IFERROR(__xludf.DUMMYFUNCTION("""COMPUTED_VALUE"""),0.287128712871287)</f>
        <v>0.2871287129</v>
      </c>
      <c r="M167" s="8">
        <f>IFERROR(__xludf.DUMMYFUNCTION("""COMPUTED_VALUE"""),0.276243093922651)</f>
        <v>0.2762430939</v>
      </c>
      <c r="N167" s="8">
        <f>IFERROR(__xludf.DUMMYFUNCTION("""COMPUTED_VALUE"""),0.265734265734265)</f>
        <v>0.2657342657</v>
      </c>
      <c r="O167" s="8">
        <f>IFERROR(__xludf.DUMMYFUNCTION("""COMPUTED_VALUE"""),0.375)</f>
        <v>0.375</v>
      </c>
      <c r="P167" s="8">
        <f>IFERROR(__xludf.DUMMYFUNCTION("""COMPUTED_VALUE"""),0.666666666666666)</f>
        <v>0.6666666667</v>
      </c>
      <c r="Q167" s="8">
        <f>IFERROR(__xludf.DUMMYFUNCTION("""COMPUTED_VALUE"""),0.0)</f>
        <v>0</v>
      </c>
      <c r="R167" s="8">
        <f>IFERROR(__xludf.DUMMYFUNCTION("""COMPUTED_VALUE"""),0.0)</f>
        <v>0</v>
      </c>
      <c r="S167" s="8">
        <f>IFERROR(__xludf.DUMMYFUNCTION("""COMPUTED_VALUE"""),0.0)</f>
        <v>0</v>
      </c>
      <c r="T167" s="8">
        <f>IFERROR(__xludf.DUMMYFUNCTION("""COMPUTED_VALUE"""),0.0)</f>
        <v>0</v>
      </c>
      <c r="U167" s="8">
        <f>IFERROR(__xludf.DUMMYFUNCTION("""COMPUTED_VALUE"""),0.0)</f>
        <v>0</v>
      </c>
      <c r="V167" s="8">
        <f>IFERROR(__xludf.DUMMYFUNCTION("""COMPUTED_VALUE"""),0.0)</f>
        <v>0</v>
      </c>
      <c r="W167" s="8">
        <f>IFERROR(__xludf.DUMMYFUNCTION("""COMPUTED_VALUE"""),0.0)</f>
        <v>0</v>
      </c>
      <c r="X167" s="8">
        <f>IFERROR(__xludf.DUMMYFUNCTION("""COMPUTED_VALUE"""),0.0)</f>
        <v>0</v>
      </c>
      <c r="Y167" s="8">
        <f>IFERROR(__xludf.DUMMYFUNCTION("""COMPUTED_VALUE"""),0.0)</f>
        <v>0</v>
      </c>
      <c r="Z167" s="8">
        <f>IFERROR(__xludf.DUMMYFUNCTION("""COMPUTED_VALUE"""),0.0)</f>
        <v>0</v>
      </c>
      <c r="AA167" s="8">
        <f>IFERROR(__xludf.DUMMYFUNCTION("""COMPUTED_VALUE"""),0.0)</f>
        <v>0</v>
      </c>
      <c r="AB167" s="8">
        <f>IFERROR(__xludf.DUMMYFUNCTION("""COMPUTED_VALUE"""),0.0)</f>
        <v>0</v>
      </c>
      <c r="AC167" s="8">
        <f>IFERROR(__xludf.DUMMYFUNCTION("""COMPUTED_VALUE"""),0.0)</f>
        <v>0</v>
      </c>
    </row>
    <row r="168" ht="15.75" customHeight="1">
      <c r="A168" s="6" t="str">
        <f>IFERROR(__xludf.DUMMYFUNCTION("""COMPUTED_VALUE"""),"97d2593a35303e42da5da630e9d8848fa086fc93")</f>
        <v>97d2593a35303e42da5da630e9d8848fa086fc93</v>
      </c>
      <c r="B168" s="6" t="str">
        <f>IFERROR(__xludf.DUMMYFUNCTION("""COMPUTED_VALUE"""),"Spying on My Rebel Alpha")</f>
        <v>Spying on My Rebel Alpha</v>
      </c>
      <c r="C168" s="6" t="str">
        <f>IFERROR(__xludf.DUMMYFUNCTION("""COMPUTED_VALUE"""),"Romantasy")</f>
        <v>Romantasy</v>
      </c>
      <c r="D168" s="11">
        <f>IFERROR(__xludf.DUMMYFUNCTION("""COMPUTED_VALUE"""),473.0)</f>
        <v>473</v>
      </c>
      <c r="E168" s="8">
        <f>IFERROR(__xludf.DUMMYFUNCTION("""COMPUTED_VALUE"""),0.959830866807611)</f>
        <v>0.9598308668</v>
      </c>
      <c r="F168" s="8">
        <f>IFERROR(__xludf.DUMMYFUNCTION("""COMPUTED_VALUE"""),0.426751592356687)</f>
        <v>0.4267515924</v>
      </c>
      <c r="G168" s="8">
        <f>IFERROR(__xludf.DUMMYFUNCTION("""COMPUTED_VALUE"""),0.363057324840764)</f>
        <v>0.3630573248</v>
      </c>
      <c r="H168" s="8">
        <f>IFERROR(__xludf.DUMMYFUNCTION("""COMPUTED_VALUE"""),0.333333333333333)</f>
        <v>0.3333333333</v>
      </c>
      <c r="I168" s="8">
        <f>IFERROR(__xludf.DUMMYFUNCTION("""COMPUTED_VALUE"""),0.297239915074309)</f>
        <v>0.2972399151</v>
      </c>
      <c r="J168" s="8">
        <f>IFERROR(__xludf.DUMMYFUNCTION("""COMPUTED_VALUE"""),0.274468085106383)</f>
        <v>0.2744680851</v>
      </c>
      <c r="K168" s="8">
        <f>IFERROR(__xludf.DUMMYFUNCTION("""COMPUTED_VALUE"""),0.26595744680851)</f>
        <v>0.2659574468</v>
      </c>
      <c r="L168" s="8">
        <f>IFERROR(__xludf.DUMMYFUNCTION("""COMPUTED_VALUE"""),0.248394004282655)</f>
        <v>0.2483940043</v>
      </c>
      <c r="M168" s="8">
        <f>IFERROR(__xludf.DUMMYFUNCTION("""COMPUTED_VALUE"""),0.241900647948164)</f>
        <v>0.2419006479</v>
      </c>
      <c r="N168" s="8">
        <f>IFERROR(__xludf.DUMMYFUNCTION("""COMPUTED_VALUE"""),0.226086956521739)</f>
        <v>0.2260869565</v>
      </c>
      <c r="O168" s="8">
        <f>IFERROR(__xludf.DUMMYFUNCTION("""COMPUTED_VALUE"""),0.210526315789473)</f>
        <v>0.2105263158</v>
      </c>
      <c r="P168" s="8">
        <f>IFERROR(__xludf.DUMMYFUNCTION("""COMPUTED_VALUE"""),0.125)</f>
        <v>0.125</v>
      </c>
      <c r="Q168" s="8">
        <f>IFERROR(__xludf.DUMMYFUNCTION("""COMPUTED_VALUE"""),0.119047619047619)</f>
        <v>0.119047619</v>
      </c>
      <c r="R168" s="8">
        <f>IFERROR(__xludf.DUMMYFUNCTION("""COMPUTED_VALUE"""),0.0)</f>
        <v>0</v>
      </c>
      <c r="S168" s="8">
        <f>IFERROR(__xludf.DUMMYFUNCTION("""COMPUTED_VALUE"""),0.0)</f>
        <v>0</v>
      </c>
      <c r="T168" s="8">
        <f>IFERROR(__xludf.DUMMYFUNCTION("""COMPUTED_VALUE"""),0.0)</f>
        <v>0</v>
      </c>
      <c r="U168" s="8">
        <f>IFERROR(__xludf.DUMMYFUNCTION("""COMPUTED_VALUE"""),0.0)</f>
        <v>0</v>
      </c>
      <c r="V168" s="8">
        <f>IFERROR(__xludf.DUMMYFUNCTION("""COMPUTED_VALUE"""),0.0)</f>
        <v>0</v>
      </c>
      <c r="W168" s="8">
        <f>IFERROR(__xludf.DUMMYFUNCTION("""COMPUTED_VALUE"""),0.0)</f>
        <v>0</v>
      </c>
      <c r="X168" s="8">
        <f>IFERROR(__xludf.DUMMYFUNCTION("""COMPUTED_VALUE"""),0.0)</f>
        <v>0</v>
      </c>
      <c r="Y168" s="8">
        <f>IFERROR(__xludf.DUMMYFUNCTION("""COMPUTED_VALUE"""),0.0)</f>
        <v>0</v>
      </c>
      <c r="Z168" s="8">
        <f>IFERROR(__xludf.DUMMYFUNCTION("""COMPUTED_VALUE"""),0.0)</f>
        <v>0</v>
      </c>
      <c r="AA168" s="8">
        <f>IFERROR(__xludf.DUMMYFUNCTION("""COMPUTED_VALUE"""),0.0)</f>
        <v>0</v>
      </c>
      <c r="AB168" s="8">
        <f>IFERROR(__xludf.DUMMYFUNCTION("""COMPUTED_VALUE"""),0.0)</f>
        <v>0</v>
      </c>
      <c r="AC168" s="8">
        <f>IFERROR(__xludf.DUMMYFUNCTION("""COMPUTED_VALUE"""),0.0)</f>
        <v>0</v>
      </c>
    </row>
    <row r="169" ht="15.75" customHeight="1">
      <c r="A169" s="6" t="str">
        <f>IFERROR(__xludf.DUMMYFUNCTION("""COMPUTED_VALUE"""),"9897c34ca7143cb319fd56943504e8f8be1550c2")</f>
        <v>9897c34ca7143cb319fd56943504e8f8be1550c2</v>
      </c>
      <c r="B169" s="6" t="str">
        <f>IFERROR(__xludf.DUMMYFUNCTION("""COMPUTED_VALUE"""),"Priced Royal Kiss")</f>
        <v>Priced Royal Kiss</v>
      </c>
      <c r="C169" s="6" t="str">
        <f>IFERROR(__xludf.DUMMYFUNCTION("""COMPUTED_VALUE"""),"Drama")</f>
        <v>Drama</v>
      </c>
      <c r="D169" s="11">
        <f>IFERROR(__xludf.DUMMYFUNCTION("""COMPUTED_VALUE"""),126.0)</f>
        <v>126</v>
      </c>
      <c r="E169" s="8">
        <f>IFERROR(__xludf.DUMMYFUNCTION("""COMPUTED_VALUE"""),0.936507936507936)</f>
        <v>0.9365079365</v>
      </c>
      <c r="F169" s="8">
        <f>IFERROR(__xludf.DUMMYFUNCTION("""COMPUTED_VALUE"""),0.376)</f>
        <v>0.376</v>
      </c>
      <c r="G169" s="8">
        <f>IFERROR(__xludf.DUMMYFUNCTION("""COMPUTED_VALUE"""),0.379032258064516)</f>
        <v>0.3790322581</v>
      </c>
      <c r="H169" s="8">
        <f>IFERROR(__xludf.DUMMYFUNCTION("""COMPUTED_VALUE"""),0.346774193548387)</f>
        <v>0.3467741935</v>
      </c>
      <c r="I169" s="8">
        <f>IFERROR(__xludf.DUMMYFUNCTION("""COMPUTED_VALUE"""),0.314049586776859)</f>
        <v>0.3140495868</v>
      </c>
      <c r="J169" s="8">
        <f>IFERROR(__xludf.DUMMYFUNCTION("""COMPUTED_VALUE"""),0.289256198347107)</f>
        <v>0.2892561983</v>
      </c>
      <c r="K169" s="8">
        <f>IFERROR(__xludf.DUMMYFUNCTION("""COMPUTED_VALUE"""),0.272727272727272)</f>
        <v>0.2727272727</v>
      </c>
      <c r="L169" s="8">
        <f>IFERROR(__xludf.DUMMYFUNCTION("""COMPUTED_VALUE"""),0.272727272727272)</f>
        <v>0.2727272727</v>
      </c>
      <c r="M169" s="8">
        <f>IFERROR(__xludf.DUMMYFUNCTION("""COMPUTED_VALUE"""),0.275)</f>
        <v>0.275</v>
      </c>
      <c r="N169" s="8">
        <f>IFERROR(__xludf.DUMMYFUNCTION("""COMPUTED_VALUE"""),0.285714285714285)</f>
        <v>0.2857142857</v>
      </c>
      <c r="O169" s="8">
        <f>IFERROR(__xludf.DUMMYFUNCTION("""COMPUTED_VALUE"""),0.208791208791208)</f>
        <v>0.2087912088</v>
      </c>
      <c r="P169" s="8">
        <f>IFERROR(__xludf.DUMMYFUNCTION("""COMPUTED_VALUE"""),0.141025641025641)</f>
        <v>0.141025641</v>
      </c>
      <c r="Q169" s="8">
        <f>IFERROR(__xludf.DUMMYFUNCTION("""COMPUTED_VALUE"""),0.081967213114754)</f>
        <v>0.08196721311</v>
      </c>
      <c r="R169" s="8">
        <f>IFERROR(__xludf.DUMMYFUNCTION("""COMPUTED_VALUE"""),0.0727272727272727)</f>
        <v>0.07272727273</v>
      </c>
      <c r="S169" s="8">
        <f>IFERROR(__xludf.DUMMYFUNCTION("""COMPUTED_VALUE"""),0.073170731707317)</f>
        <v>0.07317073171</v>
      </c>
      <c r="T169" s="8">
        <f>IFERROR(__xludf.DUMMYFUNCTION("""COMPUTED_VALUE"""),0.0434782608695652)</f>
        <v>0.04347826087</v>
      </c>
      <c r="U169" s="8">
        <f>IFERROR(__xludf.DUMMYFUNCTION("""COMPUTED_VALUE"""),0.0)</f>
        <v>0</v>
      </c>
      <c r="V169" s="8">
        <f>IFERROR(__xludf.DUMMYFUNCTION("""COMPUTED_VALUE"""),0.0)</f>
        <v>0</v>
      </c>
      <c r="W169" s="8">
        <f>IFERROR(__xludf.DUMMYFUNCTION("""COMPUTED_VALUE"""),0.0)</f>
        <v>0</v>
      </c>
      <c r="X169" s="8">
        <f>IFERROR(__xludf.DUMMYFUNCTION("""COMPUTED_VALUE"""),0.0)</f>
        <v>0</v>
      </c>
      <c r="Y169" s="8">
        <f>IFERROR(__xludf.DUMMYFUNCTION("""COMPUTED_VALUE"""),0.0)</f>
        <v>0</v>
      </c>
      <c r="Z169" s="8">
        <f>IFERROR(__xludf.DUMMYFUNCTION("""COMPUTED_VALUE"""),0.0)</f>
        <v>0</v>
      </c>
      <c r="AA169" s="8">
        <f>IFERROR(__xludf.DUMMYFUNCTION("""COMPUTED_VALUE"""),0.0)</f>
        <v>0</v>
      </c>
      <c r="AB169" s="8">
        <f>IFERROR(__xludf.DUMMYFUNCTION("""COMPUTED_VALUE"""),0.0)</f>
        <v>0</v>
      </c>
      <c r="AC169" s="8">
        <f>IFERROR(__xludf.DUMMYFUNCTION("""COMPUTED_VALUE"""),0.0)</f>
        <v>0</v>
      </c>
    </row>
    <row r="170" ht="15.75" customHeight="1">
      <c r="A170" s="6" t="str">
        <f>IFERROR(__xludf.DUMMYFUNCTION("""COMPUTED_VALUE"""),"9b25cb8fec3919f6398cf69f6cec44382a44749e")</f>
        <v>9b25cb8fec3919f6398cf69f6cec44382a44749e</v>
      </c>
      <c r="B170" s="6" t="str">
        <f>IFERROR(__xludf.DUMMYFUNCTION("""COMPUTED_VALUE"""),"The Immortal's Mark")</f>
        <v>The Immortal's Mark</v>
      </c>
      <c r="C170" s="6" t="str">
        <f>IFERROR(__xludf.DUMMYFUNCTION("""COMPUTED_VALUE"""),"Romantasy")</f>
        <v>Romantasy</v>
      </c>
      <c r="D170" s="11">
        <f>IFERROR(__xludf.DUMMYFUNCTION("""COMPUTED_VALUE"""),1184.0)</f>
        <v>1184</v>
      </c>
      <c r="E170" s="8">
        <f>IFERROR(__xludf.DUMMYFUNCTION("""COMPUTED_VALUE"""),0.971088435374149)</f>
        <v>0.9710884354</v>
      </c>
      <c r="F170" s="8">
        <f>IFERROR(__xludf.DUMMYFUNCTION("""COMPUTED_VALUE"""),0.190800681431005)</f>
        <v>0.1908006814</v>
      </c>
      <c r="G170" s="8">
        <f>IFERROR(__xludf.DUMMYFUNCTION("""COMPUTED_VALUE"""),0.140772532188841)</f>
        <v>0.1407725322</v>
      </c>
      <c r="H170" s="8">
        <f>IFERROR(__xludf.DUMMYFUNCTION("""COMPUTED_VALUE"""),0.0941278065630397)</f>
        <v>0.09412780656</v>
      </c>
      <c r="I170" s="8">
        <f>IFERROR(__xludf.DUMMYFUNCTION("""COMPUTED_VALUE"""),0.072790294627383)</f>
        <v>0.07279029463</v>
      </c>
      <c r="J170" s="8">
        <f>IFERROR(__xludf.DUMMYFUNCTION("""COMPUTED_VALUE"""),0.0620567375886524)</f>
        <v>0.06205673759</v>
      </c>
      <c r="K170" s="8">
        <f>IFERROR(__xludf.DUMMYFUNCTION("""COMPUTED_VALUE"""),0.0570652173913043)</f>
        <v>0.05706521739</v>
      </c>
      <c r="L170" s="8">
        <f>IFERROR(__xludf.DUMMYFUNCTION("""COMPUTED_VALUE"""),0.0555555555555555)</f>
        <v>0.05555555556</v>
      </c>
      <c r="M170" s="8">
        <f>IFERROR(__xludf.DUMMYFUNCTION("""COMPUTED_VALUE"""),0.0502793296089385)</f>
        <v>0.05027932961</v>
      </c>
      <c r="N170" s="8">
        <f>IFERROR(__xludf.DUMMYFUNCTION("""COMPUTED_VALUE"""),0.0410447761194029)</f>
        <v>0.04104477612</v>
      </c>
      <c r="O170" s="8">
        <f>IFERROR(__xludf.DUMMYFUNCTION("""COMPUTED_VALUE"""),0.0364741641337386)</f>
        <v>0.03647416413</v>
      </c>
      <c r="P170" s="8">
        <f>IFERROR(__xludf.DUMMYFUNCTION("""COMPUTED_VALUE"""),0.0235571260306242)</f>
        <v>0.02355712603</v>
      </c>
      <c r="Q170" s="8">
        <f>IFERROR(__xludf.DUMMYFUNCTION("""COMPUTED_VALUE"""),0.015267175572519)</f>
        <v>0.01526717557</v>
      </c>
      <c r="R170" s="8">
        <f>IFERROR(__xludf.DUMMYFUNCTION("""COMPUTED_VALUE"""),0.0135593220338983)</f>
        <v>0.01355932203</v>
      </c>
      <c r="S170" s="8">
        <f>IFERROR(__xludf.DUMMYFUNCTION("""COMPUTED_VALUE"""),0.00924214417744916)</f>
        <v>0.009242144177</v>
      </c>
      <c r="T170" s="8">
        <f>IFERROR(__xludf.DUMMYFUNCTION("""COMPUTED_VALUE"""),0.04)</f>
        <v>0.04</v>
      </c>
      <c r="U170" s="8">
        <f>IFERROR(__xludf.DUMMYFUNCTION("""COMPUTED_VALUE"""),0.2)</f>
        <v>0.2</v>
      </c>
      <c r="V170" s="8">
        <f>IFERROR(__xludf.DUMMYFUNCTION("""COMPUTED_VALUE"""),0.0)</f>
        <v>0</v>
      </c>
      <c r="W170" s="8">
        <f>IFERROR(__xludf.DUMMYFUNCTION("""COMPUTED_VALUE"""),0.0)</f>
        <v>0</v>
      </c>
      <c r="X170" s="8">
        <f>IFERROR(__xludf.DUMMYFUNCTION("""COMPUTED_VALUE"""),0.0)</f>
        <v>0</v>
      </c>
      <c r="Y170" s="8">
        <f>IFERROR(__xludf.DUMMYFUNCTION("""COMPUTED_VALUE"""),0.0)</f>
        <v>0</v>
      </c>
      <c r="Z170" s="8">
        <f>IFERROR(__xludf.DUMMYFUNCTION("""COMPUTED_VALUE"""),0.0)</f>
        <v>0</v>
      </c>
      <c r="AA170" s="8">
        <f>IFERROR(__xludf.DUMMYFUNCTION("""COMPUTED_VALUE"""),0.0)</f>
        <v>0</v>
      </c>
      <c r="AB170" s="8">
        <f>IFERROR(__xludf.DUMMYFUNCTION("""COMPUTED_VALUE"""),0.0)</f>
        <v>0</v>
      </c>
      <c r="AC170" s="8">
        <f>IFERROR(__xludf.DUMMYFUNCTION("""COMPUTED_VALUE"""),0.0)</f>
        <v>0</v>
      </c>
    </row>
    <row r="171" ht="15.75" customHeight="1">
      <c r="A171" s="6" t="str">
        <f>IFERROR(__xludf.DUMMYFUNCTION("""COMPUTED_VALUE"""),"9c5a320e8591b0aad996347bc17f53479097ac00")</f>
        <v>9c5a320e8591b0aad996347bc17f53479097ac00</v>
      </c>
      <c r="B171" s="6" t="str">
        <f>IFERROR(__xludf.DUMMYFUNCTION("""COMPUTED_VALUE"""),"Dad's a Billionaire")</f>
        <v>Dad's a Billionaire</v>
      </c>
      <c r="C171" s="6" t="str">
        <f>IFERROR(__xludf.DUMMYFUNCTION("""COMPUTED_VALUE"""),"Romance")</f>
        <v>Romance</v>
      </c>
      <c r="D171" s="11">
        <f>IFERROR(__xludf.DUMMYFUNCTION("""COMPUTED_VALUE"""),89.0)</f>
        <v>89</v>
      </c>
      <c r="E171" s="8">
        <f>IFERROR(__xludf.DUMMYFUNCTION("""COMPUTED_VALUE"""),0.975903614457831)</f>
        <v>0.9759036145</v>
      </c>
      <c r="F171" s="8">
        <f>IFERROR(__xludf.DUMMYFUNCTION("""COMPUTED_VALUE"""),0.265822784810126)</f>
        <v>0.2658227848</v>
      </c>
      <c r="G171" s="8">
        <f>IFERROR(__xludf.DUMMYFUNCTION("""COMPUTED_VALUE"""),0.184210526315789)</f>
        <v>0.1842105263</v>
      </c>
      <c r="H171" s="8">
        <f>IFERROR(__xludf.DUMMYFUNCTION("""COMPUTED_VALUE"""),0.191780821917808)</f>
        <v>0.1917808219</v>
      </c>
      <c r="I171" s="8">
        <f>IFERROR(__xludf.DUMMYFUNCTION("""COMPUTED_VALUE"""),0.169014084507042)</f>
        <v>0.1690140845</v>
      </c>
      <c r="J171" s="8">
        <f>IFERROR(__xludf.DUMMYFUNCTION("""COMPUTED_VALUE"""),0.117647058823529)</f>
        <v>0.1176470588</v>
      </c>
      <c r="K171" s="8">
        <f>IFERROR(__xludf.DUMMYFUNCTION("""COMPUTED_VALUE"""),0.13235294117647)</f>
        <v>0.1323529412</v>
      </c>
      <c r="L171" s="8">
        <f>IFERROR(__xludf.DUMMYFUNCTION("""COMPUTED_VALUE"""),0.126984126984126)</f>
        <v>0.126984127</v>
      </c>
      <c r="M171" s="8">
        <f>IFERROR(__xludf.DUMMYFUNCTION("""COMPUTED_VALUE"""),0.116666666666666)</f>
        <v>0.1166666667</v>
      </c>
      <c r="N171" s="8">
        <f>IFERROR(__xludf.DUMMYFUNCTION("""COMPUTED_VALUE"""),0.1)</f>
        <v>0.1</v>
      </c>
      <c r="O171" s="8">
        <f>IFERROR(__xludf.DUMMYFUNCTION("""COMPUTED_VALUE"""),0.140350877192982)</f>
        <v>0.1403508772</v>
      </c>
      <c r="P171" s="8">
        <f>IFERROR(__xludf.DUMMYFUNCTION("""COMPUTED_VALUE"""),0.0980392156862745)</f>
        <v>0.09803921569</v>
      </c>
      <c r="Q171" s="8">
        <f>IFERROR(__xludf.DUMMYFUNCTION("""COMPUTED_VALUE"""),0.0)</f>
        <v>0</v>
      </c>
      <c r="R171" s="8">
        <f>IFERROR(__xludf.DUMMYFUNCTION("""COMPUTED_VALUE"""),0.0)</f>
        <v>0</v>
      </c>
      <c r="S171" s="8">
        <f>IFERROR(__xludf.DUMMYFUNCTION("""COMPUTED_VALUE"""),0.0)</f>
        <v>0</v>
      </c>
      <c r="T171" s="8">
        <f>IFERROR(__xludf.DUMMYFUNCTION("""COMPUTED_VALUE"""),0.0)</f>
        <v>0</v>
      </c>
      <c r="U171" s="8">
        <f>IFERROR(__xludf.DUMMYFUNCTION("""COMPUTED_VALUE"""),0.0)</f>
        <v>0</v>
      </c>
      <c r="V171" s="8">
        <f>IFERROR(__xludf.DUMMYFUNCTION("""COMPUTED_VALUE"""),0.0)</f>
        <v>0</v>
      </c>
      <c r="W171" s="8">
        <f>IFERROR(__xludf.DUMMYFUNCTION("""COMPUTED_VALUE"""),0.0)</f>
        <v>0</v>
      </c>
      <c r="X171" s="8">
        <f>IFERROR(__xludf.DUMMYFUNCTION("""COMPUTED_VALUE"""),0.0)</f>
        <v>0</v>
      </c>
      <c r="Y171" s="8">
        <f>IFERROR(__xludf.DUMMYFUNCTION("""COMPUTED_VALUE"""),0.0)</f>
        <v>0</v>
      </c>
      <c r="Z171" s="8">
        <f>IFERROR(__xludf.DUMMYFUNCTION("""COMPUTED_VALUE"""),0.0)</f>
        <v>0</v>
      </c>
      <c r="AA171" s="8">
        <f>IFERROR(__xludf.DUMMYFUNCTION("""COMPUTED_VALUE"""),0.0)</f>
        <v>0</v>
      </c>
      <c r="AB171" s="8">
        <f>IFERROR(__xludf.DUMMYFUNCTION("""COMPUTED_VALUE"""),0.0)</f>
        <v>0</v>
      </c>
      <c r="AC171" s="8">
        <f>IFERROR(__xludf.DUMMYFUNCTION("""COMPUTED_VALUE"""),0.0)</f>
        <v>0</v>
      </c>
    </row>
    <row r="172" ht="15.75" customHeight="1">
      <c r="A172" s="6" t="str">
        <f>IFERROR(__xludf.DUMMYFUNCTION("""COMPUTED_VALUE"""),"9d3f3024e967ac2c104ada98aa10c481cd0f9e38")</f>
        <v>9d3f3024e967ac2c104ada98aa10c481cd0f9e38</v>
      </c>
      <c r="B172" s="6" t="str">
        <f>IFERROR(__xludf.DUMMYFUNCTION("""COMPUTED_VALUE"""),"The Wrong Mrs. Carter")</f>
        <v>The Wrong Mrs. Carter</v>
      </c>
      <c r="C172" s="6" t="str">
        <f>IFERROR(__xludf.DUMMYFUNCTION("""COMPUTED_VALUE"""),"Romance")</f>
        <v>Romance</v>
      </c>
      <c r="D172" s="11">
        <f>IFERROR(__xludf.DUMMYFUNCTION("""COMPUTED_VALUE"""),158.0)</f>
        <v>158</v>
      </c>
      <c r="E172" s="8">
        <f>IFERROR(__xludf.DUMMYFUNCTION("""COMPUTED_VALUE"""),0.942307692307692)</f>
        <v>0.9423076923</v>
      </c>
      <c r="F172" s="8">
        <f>IFERROR(__xludf.DUMMYFUNCTION("""COMPUTED_VALUE"""),0.489795918367346)</f>
        <v>0.4897959184</v>
      </c>
      <c r="G172" s="8">
        <f>IFERROR(__xludf.DUMMYFUNCTION("""COMPUTED_VALUE"""),0.441379310344827)</f>
        <v>0.4413793103</v>
      </c>
      <c r="H172" s="8">
        <f>IFERROR(__xludf.DUMMYFUNCTION("""COMPUTED_VALUE"""),0.384615384615384)</f>
        <v>0.3846153846</v>
      </c>
      <c r="I172" s="8">
        <f>IFERROR(__xludf.DUMMYFUNCTION("""COMPUTED_VALUE"""),0.377622377622377)</f>
        <v>0.3776223776</v>
      </c>
      <c r="J172" s="8">
        <f>IFERROR(__xludf.DUMMYFUNCTION("""COMPUTED_VALUE"""),0.356643356643356)</f>
        <v>0.3566433566</v>
      </c>
      <c r="K172" s="8">
        <f>IFERROR(__xludf.DUMMYFUNCTION("""COMPUTED_VALUE"""),0.328671328671328)</f>
        <v>0.3286713287</v>
      </c>
      <c r="L172" s="8">
        <f>IFERROR(__xludf.DUMMYFUNCTION("""COMPUTED_VALUE"""),0.293706293706293)</f>
        <v>0.2937062937</v>
      </c>
      <c r="M172" s="8">
        <f>IFERROR(__xludf.DUMMYFUNCTION("""COMPUTED_VALUE"""),0.265734265734265)</f>
        <v>0.2657342657</v>
      </c>
      <c r="N172" s="8">
        <f>IFERROR(__xludf.DUMMYFUNCTION("""COMPUTED_VALUE"""),0.279720279720279)</f>
        <v>0.2797202797</v>
      </c>
      <c r="O172" s="8">
        <f>IFERROR(__xludf.DUMMYFUNCTION("""COMPUTED_VALUE"""),0.222222222222222)</f>
        <v>0.2222222222</v>
      </c>
      <c r="P172" s="8">
        <f>IFERROR(__xludf.DUMMYFUNCTION("""COMPUTED_VALUE"""),0.099236641221374)</f>
        <v>0.09923664122</v>
      </c>
      <c r="Q172" s="8">
        <f>IFERROR(__xludf.DUMMYFUNCTION("""COMPUTED_VALUE"""),0.0412371134020618)</f>
        <v>0.0412371134</v>
      </c>
      <c r="R172" s="8">
        <f>IFERROR(__xludf.DUMMYFUNCTION("""COMPUTED_VALUE"""),0.0)</f>
        <v>0</v>
      </c>
      <c r="S172" s="8">
        <f>IFERROR(__xludf.DUMMYFUNCTION("""COMPUTED_VALUE"""),0.0)</f>
        <v>0</v>
      </c>
      <c r="T172" s="8">
        <f>IFERROR(__xludf.DUMMYFUNCTION("""COMPUTED_VALUE"""),0.0)</f>
        <v>0</v>
      </c>
      <c r="U172" s="8">
        <f>IFERROR(__xludf.DUMMYFUNCTION("""COMPUTED_VALUE"""),0.0)</f>
        <v>0</v>
      </c>
      <c r="V172" s="8">
        <f>IFERROR(__xludf.DUMMYFUNCTION("""COMPUTED_VALUE"""),0.0)</f>
        <v>0</v>
      </c>
      <c r="W172" s="8">
        <f>IFERROR(__xludf.DUMMYFUNCTION("""COMPUTED_VALUE"""),0.0)</f>
        <v>0</v>
      </c>
      <c r="X172" s="8">
        <f>IFERROR(__xludf.DUMMYFUNCTION("""COMPUTED_VALUE"""),0.0)</f>
        <v>0</v>
      </c>
      <c r="Y172" s="8">
        <f>IFERROR(__xludf.DUMMYFUNCTION("""COMPUTED_VALUE"""),0.0)</f>
        <v>0</v>
      </c>
      <c r="Z172" s="8">
        <f>IFERROR(__xludf.DUMMYFUNCTION("""COMPUTED_VALUE"""),0.0)</f>
        <v>0</v>
      </c>
      <c r="AA172" s="8">
        <f>IFERROR(__xludf.DUMMYFUNCTION("""COMPUTED_VALUE"""),0.0)</f>
        <v>0</v>
      </c>
      <c r="AB172" s="8">
        <f>IFERROR(__xludf.DUMMYFUNCTION("""COMPUTED_VALUE"""),0.0)</f>
        <v>0</v>
      </c>
      <c r="AC172" s="8">
        <f>IFERROR(__xludf.DUMMYFUNCTION("""COMPUTED_VALUE"""),0.0)</f>
        <v>0</v>
      </c>
    </row>
    <row r="173" ht="15.75" customHeight="1">
      <c r="A173" s="6" t="str">
        <f>IFERROR(__xludf.DUMMYFUNCTION("""COMPUTED_VALUE"""),"9eb4932b6e7663416bee5ea2d2dd1b2ced5727be")</f>
        <v>9eb4932b6e7663416bee5ea2d2dd1b2ced5727be</v>
      </c>
      <c r="B173" s="6" t="str">
        <f>IFERROR(__xludf.DUMMYFUNCTION("""COMPUTED_VALUE"""),"Rise of the God Mage")</f>
        <v>Rise of the God Mage</v>
      </c>
      <c r="C173" s="6" t="str">
        <f>IFERROR(__xludf.DUMMYFUNCTION("""COMPUTED_VALUE"""),"Fantasy")</f>
        <v>Fantasy</v>
      </c>
      <c r="D173" s="11">
        <f>IFERROR(__xludf.DUMMYFUNCTION("""COMPUTED_VALUE"""),1283.0)</f>
        <v>1283</v>
      </c>
      <c r="E173" s="8">
        <f>IFERROR(__xludf.DUMMYFUNCTION("""COMPUTED_VALUE"""),0.978125)</f>
        <v>0.978125</v>
      </c>
      <c r="F173" s="8">
        <f>IFERROR(__xludf.DUMMYFUNCTION("""COMPUTED_VALUE"""),0.637509850275807)</f>
        <v>0.6375098503</v>
      </c>
      <c r="G173" s="8">
        <f>IFERROR(__xludf.DUMMYFUNCTION("""COMPUTED_VALUE"""),0.569279493269992)</f>
        <v>0.5692794933</v>
      </c>
      <c r="H173" s="8">
        <f>IFERROR(__xludf.DUMMYFUNCTION("""COMPUTED_VALUE"""),0.54828411811652)</f>
        <v>0.5482841181</v>
      </c>
      <c r="I173" s="8">
        <f>IFERROR(__xludf.DUMMYFUNCTION("""COMPUTED_VALUE"""),0.513866231647634)</f>
        <v>0.5138662316</v>
      </c>
      <c r="J173" s="8">
        <f>IFERROR(__xludf.DUMMYFUNCTION("""COMPUTED_VALUE"""),0.489112227805695)</f>
        <v>0.4891122278</v>
      </c>
      <c r="K173" s="8">
        <f>IFERROR(__xludf.DUMMYFUNCTION("""COMPUTED_VALUE"""),0.475380483437779)</f>
        <v>0.4753804834</v>
      </c>
      <c r="L173" s="8">
        <f>IFERROR(__xludf.DUMMYFUNCTION("""COMPUTED_VALUE"""),0.444444444444444)</f>
        <v>0.4444444444</v>
      </c>
      <c r="M173" s="8">
        <f>IFERROR(__xludf.DUMMYFUNCTION("""COMPUTED_VALUE"""),0.426894343649946)</f>
        <v>0.4268943436</v>
      </c>
      <c r="N173" s="8">
        <f>IFERROR(__xludf.DUMMYFUNCTION("""COMPUTED_VALUE"""),0.379457917261055)</f>
        <v>0.3794579173</v>
      </c>
      <c r="O173" s="8">
        <f>IFERROR(__xludf.DUMMYFUNCTION("""COMPUTED_VALUE"""),0.352112676056338)</f>
        <v>0.3521126761</v>
      </c>
      <c r="P173" s="8">
        <f>IFERROR(__xludf.DUMMYFUNCTION("""COMPUTED_VALUE"""),0.264705882352941)</f>
        <v>0.2647058824</v>
      </c>
      <c r="Q173" s="8">
        <f>IFERROR(__xludf.DUMMYFUNCTION("""COMPUTED_VALUE"""),0.0)</f>
        <v>0</v>
      </c>
      <c r="R173" s="8">
        <f>IFERROR(__xludf.DUMMYFUNCTION("""COMPUTED_VALUE"""),0.0)</f>
        <v>0</v>
      </c>
      <c r="S173" s="8">
        <f>IFERROR(__xludf.DUMMYFUNCTION("""COMPUTED_VALUE"""),0.0)</f>
        <v>0</v>
      </c>
      <c r="T173" s="8">
        <f>IFERROR(__xludf.DUMMYFUNCTION("""COMPUTED_VALUE"""),0.0)</f>
        <v>0</v>
      </c>
      <c r="U173" s="8">
        <f>IFERROR(__xludf.DUMMYFUNCTION("""COMPUTED_VALUE"""),0.0)</f>
        <v>0</v>
      </c>
      <c r="V173" s="8">
        <f>IFERROR(__xludf.DUMMYFUNCTION("""COMPUTED_VALUE"""),0.0)</f>
        <v>0</v>
      </c>
      <c r="W173" s="8">
        <f>IFERROR(__xludf.DUMMYFUNCTION("""COMPUTED_VALUE"""),0.0)</f>
        <v>0</v>
      </c>
      <c r="X173" s="8">
        <f>IFERROR(__xludf.DUMMYFUNCTION("""COMPUTED_VALUE"""),0.0)</f>
        <v>0</v>
      </c>
      <c r="Y173" s="8">
        <f>IFERROR(__xludf.DUMMYFUNCTION("""COMPUTED_VALUE"""),0.0)</f>
        <v>0</v>
      </c>
      <c r="Z173" s="8">
        <f>IFERROR(__xludf.DUMMYFUNCTION("""COMPUTED_VALUE"""),0.0)</f>
        <v>0</v>
      </c>
      <c r="AA173" s="8">
        <f>IFERROR(__xludf.DUMMYFUNCTION("""COMPUTED_VALUE"""),0.0)</f>
        <v>0</v>
      </c>
      <c r="AB173" s="8">
        <f>IFERROR(__xludf.DUMMYFUNCTION("""COMPUTED_VALUE"""),0.0)</f>
        <v>0</v>
      </c>
      <c r="AC173" s="8">
        <f>IFERROR(__xludf.DUMMYFUNCTION("""COMPUTED_VALUE"""),0.0)</f>
        <v>0</v>
      </c>
    </row>
    <row r="174" ht="15.75" customHeight="1">
      <c r="A174" s="6" t="str">
        <f>IFERROR(__xludf.DUMMYFUNCTION("""COMPUTED_VALUE"""),"9f288c1b7bcd6e6181338579ca44a178a5b21573")</f>
        <v>9f288c1b7bcd6e6181338579ca44a178a5b21573</v>
      </c>
      <c r="B174" s="6" t="str">
        <f>IFERROR(__xludf.DUMMYFUNCTION("""COMPUTED_VALUE"""),"Vows of Blood &amp; Diamonds")</f>
        <v>Vows of Blood &amp; Diamonds</v>
      </c>
      <c r="C174" s="6" t="str">
        <f>IFERROR(__xludf.DUMMYFUNCTION("""COMPUTED_VALUE"""),"Romance")</f>
        <v>Romance</v>
      </c>
      <c r="D174" s="11">
        <f>IFERROR(__xludf.DUMMYFUNCTION("""COMPUTED_VALUE"""),88.0)</f>
        <v>88</v>
      </c>
      <c r="E174" s="8">
        <f>IFERROR(__xludf.DUMMYFUNCTION("""COMPUTED_VALUE"""),0.988636363636363)</f>
        <v>0.9886363636</v>
      </c>
      <c r="F174" s="8">
        <f>IFERROR(__xludf.DUMMYFUNCTION("""COMPUTED_VALUE"""),0.329545454545454)</f>
        <v>0.3295454545</v>
      </c>
      <c r="G174" s="8">
        <f>IFERROR(__xludf.DUMMYFUNCTION("""COMPUTED_VALUE"""),0.241379310344827)</f>
        <v>0.2413793103</v>
      </c>
      <c r="H174" s="8">
        <f>IFERROR(__xludf.DUMMYFUNCTION("""COMPUTED_VALUE"""),0.2)</f>
        <v>0.2</v>
      </c>
      <c r="I174" s="8">
        <f>IFERROR(__xludf.DUMMYFUNCTION("""COMPUTED_VALUE"""),0.178571428571428)</f>
        <v>0.1785714286</v>
      </c>
      <c r="J174" s="8">
        <f>IFERROR(__xludf.DUMMYFUNCTION("""COMPUTED_VALUE"""),0.1625)</f>
        <v>0.1625</v>
      </c>
      <c r="K174" s="8">
        <f>IFERROR(__xludf.DUMMYFUNCTION("""COMPUTED_VALUE"""),0.142857142857142)</f>
        <v>0.1428571429</v>
      </c>
      <c r="L174" s="8">
        <f>IFERROR(__xludf.DUMMYFUNCTION("""COMPUTED_VALUE"""),0.121621621621621)</f>
        <v>0.1216216216</v>
      </c>
      <c r="M174" s="8">
        <f>IFERROR(__xludf.DUMMYFUNCTION("""COMPUTED_VALUE"""),0.0945945945945946)</f>
        <v>0.09459459459</v>
      </c>
      <c r="N174" s="8">
        <f>IFERROR(__xludf.DUMMYFUNCTION("""COMPUTED_VALUE"""),0.0694444444444444)</f>
        <v>0.06944444444</v>
      </c>
      <c r="O174" s="8">
        <f>IFERROR(__xludf.DUMMYFUNCTION("""COMPUTED_VALUE"""),0.0161290322580645)</f>
        <v>0.01612903226</v>
      </c>
      <c r="P174" s="8">
        <f>IFERROR(__xludf.DUMMYFUNCTION("""COMPUTED_VALUE"""),0.0277777777777777)</f>
        <v>0.02777777778</v>
      </c>
      <c r="Q174" s="8">
        <f>IFERROR(__xludf.DUMMYFUNCTION("""COMPUTED_VALUE"""),0.0)</f>
        <v>0</v>
      </c>
      <c r="R174" s="8">
        <f>IFERROR(__xludf.DUMMYFUNCTION("""COMPUTED_VALUE"""),0.0)</f>
        <v>0</v>
      </c>
      <c r="S174" s="8">
        <f>IFERROR(__xludf.DUMMYFUNCTION("""COMPUTED_VALUE"""),0.0)</f>
        <v>0</v>
      </c>
      <c r="T174" s="8">
        <f>IFERROR(__xludf.DUMMYFUNCTION("""COMPUTED_VALUE"""),0.0)</f>
        <v>0</v>
      </c>
      <c r="U174" s="8">
        <f>IFERROR(__xludf.DUMMYFUNCTION("""COMPUTED_VALUE"""),0.0)</f>
        <v>0</v>
      </c>
      <c r="V174" s="8">
        <f>IFERROR(__xludf.DUMMYFUNCTION("""COMPUTED_VALUE"""),0.0)</f>
        <v>0</v>
      </c>
      <c r="W174" s="8">
        <f>IFERROR(__xludf.DUMMYFUNCTION("""COMPUTED_VALUE"""),0.0)</f>
        <v>0</v>
      </c>
      <c r="X174" s="8">
        <f>IFERROR(__xludf.DUMMYFUNCTION("""COMPUTED_VALUE"""),0.0)</f>
        <v>0</v>
      </c>
      <c r="Y174" s="8">
        <f>IFERROR(__xludf.DUMMYFUNCTION("""COMPUTED_VALUE"""),0.0)</f>
        <v>0</v>
      </c>
      <c r="Z174" s="8">
        <f>IFERROR(__xludf.DUMMYFUNCTION("""COMPUTED_VALUE"""),0.0)</f>
        <v>0</v>
      </c>
      <c r="AA174" s="8">
        <f>IFERROR(__xludf.DUMMYFUNCTION("""COMPUTED_VALUE"""),0.0)</f>
        <v>0</v>
      </c>
      <c r="AB174" s="8">
        <f>IFERROR(__xludf.DUMMYFUNCTION("""COMPUTED_VALUE"""),0.0)</f>
        <v>0</v>
      </c>
      <c r="AC174" s="8">
        <f>IFERROR(__xludf.DUMMYFUNCTION("""COMPUTED_VALUE"""),0.0)</f>
        <v>0</v>
      </c>
    </row>
    <row r="175" ht="15.75" customHeight="1">
      <c r="A175" s="6" t="str">
        <f>IFERROR(__xludf.DUMMYFUNCTION("""COMPUTED_VALUE"""),"a028c06a528d6bc1425340cbedd71880abd4ad2b")</f>
        <v>a028c06a528d6bc1425340cbedd71880abd4ad2b</v>
      </c>
      <c r="B175" s="6" t="str">
        <f>IFERROR(__xludf.DUMMYFUNCTION("""COMPUTED_VALUE"""),"Rejected Luna's Secret")</f>
        <v>Rejected Luna's Secret</v>
      </c>
      <c r="C175" s="6" t="str">
        <f>IFERROR(__xludf.DUMMYFUNCTION("""COMPUTED_VALUE"""),"Romantasy")</f>
        <v>Romantasy</v>
      </c>
      <c r="D175" s="11">
        <f>IFERROR(__xludf.DUMMYFUNCTION("""COMPUTED_VALUE"""),65.0)</f>
        <v>65</v>
      </c>
      <c r="E175" s="8">
        <f>IFERROR(__xludf.DUMMYFUNCTION("""COMPUTED_VALUE"""),0.980392156862745)</f>
        <v>0.9803921569</v>
      </c>
      <c r="F175" s="8">
        <f>IFERROR(__xludf.DUMMYFUNCTION("""COMPUTED_VALUE"""),0.567567567567567)</f>
        <v>0.5675675676</v>
      </c>
      <c r="G175" s="8">
        <f>IFERROR(__xludf.DUMMYFUNCTION("""COMPUTED_VALUE"""),0.5)</f>
        <v>0.5</v>
      </c>
      <c r="H175" s="8">
        <f>IFERROR(__xludf.DUMMYFUNCTION("""COMPUTED_VALUE"""),0.448275862068965)</f>
        <v>0.4482758621</v>
      </c>
      <c r="I175" s="8">
        <f>IFERROR(__xludf.DUMMYFUNCTION("""COMPUTED_VALUE"""),0.448275862068965)</f>
        <v>0.4482758621</v>
      </c>
      <c r="J175" s="8">
        <f>IFERROR(__xludf.DUMMYFUNCTION("""COMPUTED_VALUE"""),0.379310344827586)</f>
        <v>0.3793103448</v>
      </c>
      <c r="K175" s="8">
        <f>IFERROR(__xludf.DUMMYFUNCTION("""COMPUTED_VALUE"""),0.344827586206896)</f>
        <v>0.3448275862</v>
      </c>
      <c r="L175" s="8">
        <f>IFERROR(__xludf.DUMMYFUNCTION("""COMPUTED_VALUE"""),0.310344827586206)</f>
        <v>0.3103448276</v>
      </c>
      <c r="M175" s="8">
        <f>IFERROR(__xludf.DUMMYFUNCTION("""COMPUTED_VALUE"""),0.275862068965517)</f>
        <v>0.275862069</v>
      </c>
      <c r="N175" s="8">
        <f>IFERROR(__xludf.DUMMYFUNCTION("""COMPUTED_VALUE"""),0.206896551724137)</f>
        <v>0.2068965517</v>
      </c>
      <c r="O175" s="8">
        <f>IFERROR(__xludf.DUMMYFUNCTION("""COMPUTED_VALUE"""),0.333333333333333)</f>
        <v>0.3333333333</v>
      </c>
      <c r="P175" s="8">
        <f>IFERROR(__xludf.DUMMYFUNCTION("""COMPUTED_VALUE"""),0.0)</f>
        <v>0</v>
      </c>
      <c r="Q175" s="8">
        <f>IFERROR(__xludf.DUMMYFUNCTION("""COMPUTED_VALUE"""),0.0)</f>
        <v>0</v>
      </c>
      <c r="R175" s="8">
        <f>IFERROR(__xludf.DUMMYFUNCTION("""COMPUTED_VALUE"""),0.0)</f>
        <v>0</v>
      </c>
      <c r="S175" s="8">
        <f>IFERROR(__xludf.DUMMYFUNCTION("""COMPUTED_VALUE"""),0.0)</f>
        <v>0</v>
      </c>
      <c r="T175" s="8">
        <f>IFERROR(__xludf.DUMMYFUNCTION("""COMPUTED_VALUE"""),0.0)</f>
        <v>0</v>
      </c>
      <c r="U175" s="8">
        <f>IFERROR(__xludf.DUMMYFUNCTION("""COMPUTED_VALUE"""),0.0)</f>
        <v>0</v>
      </c>
      <c r="V175" s="8">
        <f>IFERROR(__xludf.DUMMYFUNCTION("""COMPUTED_VALUE"""),0.0)</f>
        <v>0</v>
      </c>
      <c r="W175" s="8">
        <f>IFERROR(__xludf.DUMMYFUNCTION("""COMPUTED_VALUE"""),0.0)</f>
        <v>0</v>
      </c>
      <c r="X175" s="8">
        <f>IFERROR(__xludf.DUMMYFUNCTION("""COMPUTED_VALUE"""),0.0)</f>
        <v>0</v>
      </c>
      <c r="Y175" s="8">
        <f>IFERROR(__xludf.DUMMYFUNCTION("""COMPUTED_VALUE"""),0.0)</f>
        <v>0</v>
      </c>
      <c r="Z175" s="8">
        <f>IFERROR(__xludf.DUMMYFUNCTION("""COMPUTED_VALUE"""),0.0)</f>
        <v>0</v>
      </c>
      <c r="AA175" s="8">
        <f>IFERROR(__xludf.DUMMYFUNCTION("""COMPUTED_VALUE"""),0.0)</f>
        <v>0</v>
      </c>
      <c r="AB175" s="8">
        <f>IFERROR(__xludf.DUMMYFUNCTION("""COMPUTED_VALUE"""),0.0)</f>
        <v>0</v>
      </c>
      <c r="AC175" s="8">
        <f>IFERROR(__xludf.DUMMYFUNCTION("""COMPUTED_VALUE"""),0.0)</f>
        <v>0</v>
      </c>
    </row>
    <row r="176" ht="15.75" customHeight="1">
      <c r="A176" s="6" t="str">
        <f>IFERROR(__xludf.DUMMYFUNCTION("""COMPUTED_VALUE"""),"a09fd281233c0dee7a45d32647f68bb0142a3b96")</f>
        <v>a09fd281233c0dee7a45d32647f68bb0142a3b96</v>
      </c>
      <c r="B176" s="6" t="str">
        <f>IFERROR(__xludf.DUMMYFUNCTION("""COMPUTED_VALUE"""),"The Comatose Billionaire")</f>
        <v>The Comatose Billionaire</v>
      </c>
      <c r="C176" s="6" t="str">
        <f>IFERROR(__xludf.DUMMYFUNCTION("""COMPUTED_VALUE"""),"Romance")</f>
        <v>Romance</v>
      </c>
      <c r="D176" s="11">
        <f>IFERROR(__xludf.DUMMYFUNCTION("""COMPUTED_VALUE"""),534.0)</f>
        <v>534</v>
      </c>
      <c r="E176" s="8">
        <f>IFERROR(__xludf.DUMMYFUNCTION("""COMPUTED_VALUE"""),0.95318352059925)</f>
        <v>0.9531835206</v>
      </c>
      <c r="F176" s="8">
        <f>IFERROR(__xludf.DUMMYFUNCTION("""COMPUTED_VALUE"""),0.415730337078651)</f>
        <v>0.4157303371</v>
      </c>
      <c r="G176" s="8">
        <f>IFERROR(__xludf.DUMMYFUNCTION("""COMPUTED_VALUE"""),0.331460674157303)</f>
        <v>0.3314606742</v>
      </c>
      <c r="H176" s="8">
        <f>IFERROR(__xludf.DUMMYFUNCTION("""COMPUTED_VALUE"""),0.308988764044943)</f>
        <v>0.308988764</v>
      </c>
      <c r="I176" s="8">
        <f>IFERROR(__xludf.DUMMYFUNCTION("""COMPUTED_VALUE"""),0.297752808988764)</f>
        <v>0.297752809</v>
      </c>
      <c r="J176" s="8">
        <f>IFERROR(__xludf.DUMMYFUNCTION("""COMPUTED_VALUE"""),0.290262172284644)</f>
        <v>0.2902621723</v>
      </c>
      <c r="K176" s="8">
        <f>IFERROR(__xludf.DUMMYFUNCTION("""COMPUTED_VALUE"""),0.262664165103189)</f>
        <v>0.2626641651</v>
      </c>
      <c r="L176" s="8">
        <f>IFERROR(__xludf.DUMMYFUNCTION("""COMPUTED_VALUE"""),0.23076923076923)</f>
        <v>0.2307692308</v>
      </c>
      <c r="M176" s="8">
        <f>IFERROR(__xludf.DUMMYFUNCTION("""COMPUTED_VALUE"""),0.212007504690431)</f>
        <v>0.2120075047</v>
      </c>
      <c r="N176" s="8">
        <f>IFERROR(__xludf.DUMMYFUNCTION("""COMPUTED_VALUE"""),0.193245778611632)</f>
        <v>0.1932457786</v>
      </c>
      <c r="O176" s="8">
        <f>IFERROR(__xludf.DUMMYFUNCTION("""COMPUTED_VALUE"""),0.154296875)</f>
        <v>0.154296875</v>
      </c>
      <c r="P176" s="8">
        <f>IFERROR(__xludf.DUMMYFUNCTION("""COMPUTED_VALUE"""),0.0873180873180873)</f>
        <v>0.08731808732</v>
      </c>
      <c r="Q176" s="8">
        <f>IFERROR(__xludf.DUMMYFUNCTION("""COMPUTED_VALUE"""),0.0592105263157894)</f>
        <v>0.05921052632</v>
      </c>
      <c r="R176" s="8">
        <f>IFERROR(__xludf.DUMMYFUNCTION("""COMPUTED_VALUE"""),0.0359712230215827)</f>
        <v>0.03597122302</v>
      </c>
      <c r="S176" s="8">
        <f>IFERROR(__xludf.DUMMYFUNCTION("""COMPUTED_VALUE"""),0.0)</f>
        <v>0</v>
      </c>
      <c r="T176" s="8">
        <f>IFERROR(__xludf.DUMMYFUNCTION("""COMPUTED_VALUE"""),0.0)</f>
        <v>0</v>
      </c>
      <c r="U176" s="8">
        <f>IFERROR(__xludf.DUMMYFUNCTION("""COMPUTED_VALUE"""),0.0)</f>
        <v>0</v>
      </c>
      <c r="V176" s="8">
        <f>IFERROR(__xludf.DUMMYFUNCTION("""COMPUTED_VALUE"""),0.0)</f>
        <v>0</v>
      </c>
      <c r="W176" s="8">
        <f>IFERROR(__xludf.DUMMYFUNCTION("""COMPUTED_VALUE"""),0.0)</f>
        <v>0</v>
      </c>
      <c r="X176" s="8">
        <f>IFERROR(__xludf.DUMMYFUNCTION("""COMPUTED_VALUE"""),0.0)</f>
        <v>0</v>
      </c>
      <c r="Y176" s="8">
        <f>IFERROR(__xludf.DUMMYFUNCTION("""COMPUTED_VALUE"""),0.0)</f>
        <v>0</v>
      </c>
      <c r="Z176" s="8">
        <f>IFERROR(__xludf.DUMMYFUNCTION("""COMPUTED_VALUE"""),0.0)</f>
        <v>0</v>
      </c>
      <c r="AA176" s="8">
        <f>IFERROR(__xludf.DUMMYFUNCTION("""COMPUTED_VALUE"""),0.0)</f>
        <v>0</v>
      </c>
      <c r="AB176" s="8">
        <f>IFERROR(__xludf.DUMMYFUNCTION("""COMPUTED_VALUE"""),0.0)</f>
        <v>0</v>
      </c>
      <c r="AC176" s="8">
        <f>IFERROR(__xludf.DUMMYFUNCTION("""COMPUTED_VALUE"""),0.0)</f>
        <v>0</v>
      </c>
    </row>
    <row r="177" ht="15.75" customHeight="1">
      <c r="A177" s="6" t="str">
        <f>IFERROR(__xludf.DUMMYFUNCTION("""COMPUTED_VALUE"""),"a0f8c5bd5bdb02bdaa499febc39e36611127769b")</f>
        <v>a0f8c5bd5bdb02bdaa499febc39e36611127769b</v>
      </c>
      <c r="B177" s="6" t="str">
        <f>IFERROR(__xludf.DUMMYFUNCTION("""COMPUTED_VALUE"""),"The Wedding He Stole")</f>
        <v>The Wedding He Stole</v>
      </c>
      <c r="C177" s="6" t="str">
        <f>IFERROR(__xludf.DUMMYFUNCTION("""COMPUTED_VALUE"""),"Romance")</f>
        <v>Romance</v>
      </c>
      <c r="D177" s="11">
        <f>IFERROR(__xludf.DUMMYFUNCTION("""COMPUTED_VALUE"""),184.0)</f>
        <v>184</v>
      </c>
      <c r="E177" s="8">
        <f>IFERROR(__xludf.DUMMYFUNCTION("""COMPUTED_VALUE"""),0.978260869565217)</f>
        <v>0.9782608696</v>
      </c>
      <c r="F177" s="8">
        <f>IFERROR(__xludf.DUMMYFUNCTION("""COMPUTED_VALUE"""),0.516304347826086)</f>
        <v>0.5163043478</v>
      </c>
      <c r="G177" s="8">
        <f>IFERROR(__xludf.DUMMYFUNCTION("""COMPUTED_VALUE"""),0.456521739130434)</f>
        <v>0.4565217391</v>
      </c>
      <c r="H177" s="8">
        <f>IFERROR(__xludf.DUMMYFUNCTION("""COMPUTED_VALUE"""),0.42391304347826)</f>
        <v>0.4239130435</v>
      </c>
      <c r="I177" s="8">
        <f>IFERROR(__xludf.DUMMYFUNCTION("""COMPUTED_VALUE"""),0.407608695652173)</f>
        <v>0.4076086957</v>
      </c>
      <c r="J177" s="8">
        <f>IFERROR(__xludf.DUMMYFUNCTION("""COMPUTED_VALUE"""),0.380434782608695)</f>
        <v>0.3804347826</v>
      </c>
      <c r="K177" s="8">
        <f>IFERROR(__xludf.DUMMYFUNCTION("""COMPUTED_VALUE"""),0.326086956521739)</f>
        <v>0.3260869565</v>
      </c>
      <c r="L177" s="8">
        <f>IFERROR(__xludf.DUMMYFUNCTION("""COMPUTED_VALUE"""),0.30939226519337)</f>
        <v>0.3093922652</v>
      </c>
      <c r="M177" s="8">
        <f>IFERROR(__xludf.DUMMYFUNCTION("""COMPUTED_VALUE"""),0.272727272727272)</f>
        <v>0.2727272727</v>
      </c>
      <c r="N177" s="8">
        <f>IFERROR(__xludf.DUMMYFUNCTION("""COMPUTED_VALUE"""),0.244318181818181)</f>
        <v>0.2443181818</v>
      </c>
      <c r="O177" s="8">
        <f>IFERROR(__xludf.DUMMYFUNCTION("""COMPUTED_VALUE"""),0.124223602484472)</f>
        <v>0.1242236025</v>
      </c>
      <c r="P177" s="8">
        <f>IFERROR(__xludf.DUMMYFUNCTION("""COMPUTED_VALUE"""),0.081081081081081)</f>
        <v>0.08108108108</v>
      </c>
      <c r="Q177" s="8">
        <f>IFERROR(__xludf.DUMMYFUNCTION("""COMPUTED_VALUE"""),0.0)</f>
        <v>0</v>
      </c>
      <c r="R177" s="8">
        <f>IFERROR(__xludf.DUMMYFUNCTION("""COMPUTED_VALUE"""),0.0)</f>
        <v>0</v>
      </c>
      <c r="S177" s="8">
        <f>IFERROR(__xludf.DUMMYFUNCTION("""COMPUTED_VALUE"""),0.0)</f>
        <v>0</v>
      </c>
      <c r="T177" s="8">
        <f>IFERROR(__xludf.DUMMYFUNCTION("""COMPUTED_VALUE"""),0.0)</f>
        <v>0</v>
      </c>
      <c r="U177" s="8">
        <f>IFERROR(__xludf.DUMMYFUNCTION("""COMPUTED_VALUE"""),0.0)</f>
        <v>0</v>
      </c>
      <c r="V177" s="8">
        <f>IFERROR(__xludf.DUMMYFUNCTION("""COMPUTED_VALUE"""),0.0)</f>
        <v>0</v>
      </c>
      <c r="W177" s="8">
        <f>IFERROR(__xludf.DUMMYFUNCTION("""COMPUTED_VALUE"""),0.0)</f>
        <v>0</v>
      </c>
      <c r="X177" s="8">
        <f>IFERROR(__xludf.DUMMYFUNCTION("""COMPUTED_VALUE"""),0.0)</f>
        <v>0</v>
      </c>
      <c r="Y177" s="8">
        <f>IFERROR(__xludf.DUMMYFUNCTION("""COMPUTED_VALUE"""),0.0)</f>
        <v>0</v>
      </c>
      <c r="Z177" s="8">
        <f>IFERROR(__xludf.DUMMYFUNCTION("""COMPUTED_VALUE"""),0.0)</f>
        <v>0</v>
      </c>
      <c r="AA177" s="8">
        <f>IFERROR(__xludf.DUMMYFUNCTION("""COMPUTED_VALUE"""),0.0)</f>
        <v>0</v>
      </c>
      <c r="AB177" s="8">
        <f>IFERROR(__xludf.DUMMYFUNCTION("""COMPUTED_VALUE"""),0.0)</f>
        <v>0</v>
      </c>
      <c r="AC177" s="8">
        <f>IFERROR(__xludf.DUMMYFUNCTION("""COMPUTED_VALUE"""),0.0)</f>
        <v>0</v>
      </c>
    </row>
    <row r="178" ht="15.75" customHeight="1">
      <c r="A178" s="6" t="str">
        <f>IFERROR(__xludf.DUMMYFUNCTION("""COMPUTED_VALUE"""),"a20d15b2c087672afecf4c46baa7e9368a4cbb9f")</f>
        <v>a20d15b2c087672afecf4c46baa7e9368a4cbb9f</v>
      </c>
      <c r="B178" s="6" t="str">
        <f>IFERROR(__xludf.DUMMYFUNCTION("""COMPUTED_VALUE"""),"Secrets and Bloodline")</f>
        <v>Secrets and Bloodline</v>
      </c>
      <c r="C178" s="6" t="str">
        <f>IFERROR(__xludf.DUMMYFUNCTION("""COMPUTED_VALUE"""),"Romance")</f>
        <v>Romance</v>
      </c>
      <c r="D178" s="11">
        <f>IFERROR(__xludf.DUMMYFUNCTION("""COMPUTED_VALUE"""),40.0)</f>
        <v>40</v>
      </c>
      <c r="E178" s="8">
        <f>IFERROR(__xludf.DUMMYFUNCTION("""COMPUTED_VALUE"""),0.925)</f>
        <v>0.925</v>
      </c>
      <c r="F178" s="8">
        <f>IFERROR(__xludf.DUMMYFUNCTION("""COMPUTED_VALUE"""),0.405405405405405)</f>
        <v>0.4054054054</v>
      </c>
      <c r="G178" s="8">
        <f>IFERROR(__xludf.DUMMYFUNCTION("""COMPUTED_VALUE"""),0.305555555555555)</f>
        <v>0.3055555556</v>
      </c>
      <c r="H178" s="8">
        <f>IFERROR(__xludf.DUMMYFUNCTION("""COMPUTED_VALUE"""),0.264705882352941)</f>
        <v>0.2647058824</v>
      </c>
      <c r="I178" s="8">
        <f>IFERROR(__xludf.DUMMYFUNCTION("""COMPUTED_VALUE"""),0.21875)</f>
        <v>0.21875</v>
      </c>
      <c r="J178" s="8">
        <f>IFERROR(__xludf.DUMMYFUNCTION("""COMPUTED_VALUE"""),0.21875)</f>
        <v>0.21875</v>
      </c>
      <c r="K178" s="8">
        <f>IFERROR(__xludf.DUMMYFUNCTION("""COMPUTED_VALUE"""),0.241379310344827)</f>
        <v>0.2413793103</v>
      </c>
      <c r="L178" s="8">
        <f>IFERROR(__xludf.DUMMYFUNCTION("""COMPUTED_VALUE"""),0.24)</f>
        <v>0.24</v>
      </c>
      <c r="M178" s="8">
        <f>IFERROR(__xludf.DUMMYFUNCTION("""COMPUTED_VALUE"""),0.260869565217391)</f>
        <v>0.2608695652</v>
      </c>
      <c r="N178" s="8">
        <f>IFERROR(__xludf.DUMMYFUNCTION("""COMPUTED_VALUE"""),0.285714285714285)</f>
        <v>0.2857142857</v>
      </c>
      <c r="O178" s="8">
        <f>IFERROR(__xludf.DUMMYFUNCTION("""COMPUTED_VALUE"""),0.142857142857142)</f>
        <v>0.1428571429</v>
      </c>
      <c r="P178" s="8">
        <f>IFERROR(__xludf.DUMMYFUNCTION("""COMPUTED_VALUE"""),0.153846153846153)</f>
        <v>0.1538461538</v>
      </c>
      <c r="Q178" s="8">
        <f>IFERROR(__xludf.DUMMYFUNCTION("""COMPUTED_VALUE"""),0.25)</f>
        <v>0.25</v>
      </c>
      <c r="R178" s="8">
        <f>IFERROR(__xludf.DUMMYFUNCTION("""COMPUTED_VALUE"""),0.0)</f>
        <v>0</v>
      </c>
      <c r="S178" s="8">
        <f>IFERROR(__xludf.DUMMYFUNCTION("""COMPUTED_VALUE"""),0.0)</f>
        <v>0</v>
      </c>
      <c r="T178" s="8">
        <f>IFERROR(__xludf.DUMMYFUNCTION("""COMPUTED_VALUE"""),0.0)</f>
        <v>0</v>
      </c>
      <c r="U178" s="8">
        <f>IFERROR(__xludf.DUMMYFUNCTION("""COMPUTED_VALUE"""),0.0)</f>
        <v>0</v>
      </c>
      <c r="V178" s="8">
        <f>IFERROR(__xludf.DUMMYFUNCTION("""COMPUTED_VALUE"""),0.0)</f>
        <v>0</v>
      </c>
      <c r="W178" s="8">
        <f>IFERROR(__xludf.DUMMYFUNCTION("""COMPUTED_VALUE"""),0.0)</f>
        <v>0</v>
      </c>
      <c r="X178" s="8">
        <f>IFERROR(__xludf.DUMMYFUNCTION("""COMPUTED_VALUE"""),0.0)</f>
        <v>0</v>
      </c>
      <c r="Y178" s="8">
        <f>IFERROR(__xludf.DUMMYFUNCTION("""COMPUTED_VALUE"""),0.0)</f>
        <v>0</v>
      </c>
      <c r="Z178" s="8">
        <f>IFERROR(__xludf.DUMMYFUNCTION("""COMPUTED_VALUE"""),0.0)</f>
        <v>0</v>
      </c>
      <c r="AA178" s="8">
        <f>IFERROR(__xludf.DUMMYFUNCTION("""COMPUTED_VALUE"""),0.0)</f>
        <v>0</v>
      </c>
      <c r="AB178" s="8">
        <f>IFERROR(__xludf.DUMMYFUNCTION("""COMPUTED_VALUE"""),0.0)</f>
        <v>0</v>
      </c>
      <c r="AC178" s="8">
        <f>IFERROR(__xludf.DUMMYFUNCTION("""COMPUTED_VALUE"""),0.0)</f>
        <v>0</v>
      </c>
    </row>
    <row r="179" ht="15.75" customHeight="1">
      <c r="A179" s="6" t="str">
        <f>IFERROR(__xludf.DUMMYFUNCTION("""COMPUTED_VALUE"""),"a3d40a3745a853e245e802a317e3934318836a28")</f>
        <v>a3d40a3745a853e245e802a317e3934318836a28</v>
      </c>
      <c r="B179" s="6" t="str">
        <f>IFERROR(__xludf.DUMMYFUNCTION("""COMPUTED_VALUE"""),"The Amazing Idiot Man")</f>
        <v>The Amazing Idiot Man</v>
      </c>
      <c r="C179" s="6" t="str">
        <f>IFERROR(__xludf.DUMMYFUNCTION("""COMPUTED_VALUE"""),"Drama")</f>
        <v>Drama</v>
      </c>
      <c r="D179" s="11">
        <f>IFERROR(__xludf.DUMMYFUNCTION("""COMPUTED_VALUE"""),1299.0)</f>
        <v>1299</v>
      </c>
      <c r="E179" s="8">
        <f>IFERROR(__xludf.DUMMYFUNCTION("""COMPUTED_VALUE"""),0.968437259430331)</f>
        <v>0.9684372594</v>
      </c>
      <c r="F179" s="8">
        <f>IFERROR(__xludf.DUMMYFUNCTION("""COMPUTED_VALUE"""),0.466101694915254)</f>
        <v>0.4661016949</v>
      </c>
      <c r="G179" s="8">
        <f>IFERROR(__xludf.DUMMYFUNCTION("""COMPUTED_VALUE"""),0.408320493066255)</f>
        <v>0.4083204931</v>
      </c>
      <c r="H179" s="8">
        <f>IFERROR(__xludf.DUMMYFUNCTION("""COMPUTED_VALUE"""),0.370084811102544)</f>
        <v>0.3700848111</v>
      </c>
      <c r="I179" s="8">
        <f>IFERROR(__xludf.DUMMYFUNCTION("""COMPUTED_VALUE"""),0.34645061728395)</f>
        <v>0.3464506173</v>
      </c>
      <c r="J179" s="8">
        <f>IFERROR(__xludf.DUMMYFUNCTION("""COMPUTED_VALUE"""),0.322007722007722)</f>
        <v>0.322007722</v>
      </c>
      <c r="K179" s="8">
        <f>IFERROR(__xludf.DUMMYFUNCTION("""COMPUTED_VALUE"""),0.301391035548686)</f>
        <v>0.3013910355</v>
      </c>
      <c r="L179" s="8">
        <f>IFERROR(__xludf.DUMMYFUNCTION("""COMPUTED_VALUE"""),0.284389489953632)</f>
        <v>0.28438949</v>
      </c>
      <c r="M179" s="8">
        <f>IFERROR(__xludf.DUMMYFUNCTION("""COMPUTED_VALUE"""),0.279752704791344)</f>
        <v>0.2797527048</v>
      </c>
      <c r="N179" s="8">
        <f>IFERROR(__xludf.DUMMYFUNCTION("""COMPUTED_VALUE"""),0.262422360248447)</f>
        <v>0.2624223602</v>
      </c>
      <c r="O179" s="8">
        <f>IFERROR(__xludf.DUMMYFUNCTION("""COMPUTED_VALUE"""),0.225098039215686)</f>
        <v>0.2250980392</v>
      </c>
      <c r="P179" s="8">
        <f>IFERROR(__xludf.DUMMYFUNCTION("""COMPUTED_VALUE"""),0.167992926613616)</f>
        <v>0.1679929266</v>
      </c>
      <c r="Q179" s="8">
        <f>IFERROR(__xludf.DUMMYFUNCTION("""COMPUTED_VALUE"""),0.0)</f>
        <v>0</v>
      </c>
      <c r="R179" s="8">
        <f>IFERROR(__xludf.DUMMYFUNCTION("""COMPUTED_VALUE"""),0.0)</f>
        <v>0</v>
      </c>
      <c r="S179" s="8">
        <f>IFERROR(__xludf.DUMMYFUNCTION("""COMPUTED_VALUE"""),0.0)</f>
        <v>0</v>
      </c>
      <c r="T179" s="8">
        <f>IFERROR(__xludf.DUMMYFUNCTION("""COMPUTED_VALUE"""),0.0)</f>
        <v>0</v>
      </c>
      <c r="U179" s="8">
        <f>IFERROR(__xludf.DUMMYFUNCTION("""COMPUTED_VALUE"""),0.0)</f>
        <v>0</v>
      </c>
      <c r="V179" s="8">
        <f>IFERROR(__xludf.DUMMYFUNCTION("""COMPUTED_VALUE"""),0.0)</f>
        <v>0</v>
      </c>
      <c r="W179" s="8">
        <f>IFERROR(__xludf.DUMMYFUNCTION("""COMPUTED_VALUE"""),0.0)</f>
        <v>0</v>
      </c>
      <c r="X179" s="8">
        <f>IFERROR(__xludf.DUMMYFUNCTION("""COMPUTED_VALUE"""),0.0)</f>
        <v>0</v>
      </c>
      <c r="Y179" s="8">
        <f>IFERROR(__xludf.DUMMYFUNCTION("""COMPUTED_VALUE"""),0.0)</f>
        <v>0</v>
      </c>
      <c r="Z179" s="8">
        <f>IFERROR(__xludf.DUMMYFUNCTION("""COMPUTED_VALUE"""),0.0)</f>
        <v>0</v>
      </c>
      <c r="AA179" s="8">
        <f>IFERROR(__xludf.DUMMYFUNCTION("""COMPUTED_VALUE"""),0.0)</f>
        <v>0</v>
      </c>
      <c r="AB179" s="8">
        <f>IFERROR(__xludf.DUMMYFUNCTION("""COMPUTED_VALUE"""),0.0)</f>
        <v>0</v>
      </c>
      <c r="AC179" s="8">
        <f>IFERROR(__xludf.DUMMYFUNCTION("""COMPUTED_VALUE"""),0.0)</f>
        <v>0</v>
      </c>
    </row>
    <row r="180" ht="15.75" customHeight="1">
      <c r="A180" s="6" t="str">
        <f>IFERROR(__xludf.DUMMYFUNCTION("""COMPUTED_VALUE"""),"a48f5e77f994307c8a39968302f28c62b0c654af")</f>
        <v>a48f5e77f994307c8a39968302f28c62b0c654af</v>
      </c>
      <c r="B180" s="6" t="str">
        <f>IFERROR(__xludf.DUMMYFUNCTION("""COMPUTED_VALUE"""),"Battle Master")</f>
        <v>Battle Master</v>
      </c>
      <c r="C180" s="6" t="str">
        <f>IFERROR(__xludf.DUMMYFUNCTION("""COMPUTED_VALUE"""),"Fantasy")</f>
        <v>Fantasy</v>
      </c>
      <c r="D180" s="11">
        <f>IFERROR(__xludf.DUMMYFUNCTION("""COMPUTED_VALUE"""),753.0)</f>
        <v>753</v>
      </c>
      <c r="E180" s="8">
        <f>IFERROR(__xludf.DUMMYFUNCTION("""COMPUTED_VALUE"""),0.983988355167394)</f>
        <v>0.9839883552</v>
      </c>
      <c r="F180" s="8">
        <f>IFERROR(__xludf.DUMMYFUNCTION("""COMPUTED_VALUE"""),0.617597292724196)</f>
        <v>0.6175972927</v>
      </c>
      <c r="G180" s="8">
        <f>IFERROR(__xludf.DUMMYFUNCTION("""COMPUTED_VALUE"""),0.587583148558758)</f>
        <v>0.5875831486</v>
      </c>
      <c r="H180" s="8">
        <f>IFERROR(__xludf.DUMMYFUNCTION("""COMPUTED_VALUE"""),0.507853403141361)</f>
        <v>0.5078534031</v>
      </c>
      <c r="I180" s="8">
        <f>IFERROR(__xludf.DUMMYFUNCTION("""COMPUTED_VALUE"""),0.467625899280575)</f>
        <v>0.4676258993</v>
      </c>
      <c r="J180" s="8">
        <f>IFERROR(__xludf.DUMMYFUNCTION("""COMPUTED_VALUE"""),0.448275862068965)</f>
        <v>0.4482758621</v>
      </c>
      <c r="K180" s="8">
        <f>IFERROR(__xludf.DUMMYFUNCTION("""COMPUTED_VALUE"""),0.393442622950819)</f>
        <v>0.393442623</v>
      </c>
      <c r="L180" s="8">
        <f>IFERROR(__xludf.DUMMYFUNCTION("""COMPUTED_VALUE"""),0.368421052631578)</f>
        <v>0.3684210526</v>
      </c>
      <c r="M180" s="8">
        <f>IFERROR(__xludf.DUMMYFUNCTION("""COMPUTED_VALUE"""),0.424242424242424)</f>
        <v>0.4242424242</v>
      </c>
      <c r="N180" s="8">
        <f>IFERROR(__xludf.DUMMYFUNCTION("""COMPUTED_VALUE"""),0.363636363636363)</f>
        <v>0.3636363636</v>
      </c>
      <c r="O180" s="8">
        <f>IFERROR(__xludf.DUMMYFUNCTION("""COMPUTED_VALUE"""),0.5)</f>
        <v>0.5</v>
      </c>
      <c r="P180" s="8">
        <f>IFERROR(__xludf.DUMMYFUNCTION("""COMPUTED_VALUE"""),0.0)</f>
        <v>0</v>
      </c>
      <c r="Q180" s="8">
        <f>IFERROR(__xludf.DUMMYFUNCTION("""COMPUTED_VALUE"""),0.0)</f>
        <v>0</v>
      </c>
      <c r="R180" s="8">
        <f>IFERROR(__xludf.DUMMYFUNCTION("""COMPUTED_VALUE"""),0.0)</f>
        <v>0</v>
      </c>
      <c r="S180" s="8">
        <f>IFERROR(__xludf.DUMMYFUNCTION("""COMPUTED_VALUE"""),0.0)</f>
        <v>0</v>
      </c>
      <c r="T180" s="8">
        <f>IFERROR(__xludf.DUMMYFUNCTION("""COMPUTED_VALUE"""),0.0)</f>
        <v>0</v>
      </c>
      <c r="U180" s="8">
        <f>IFERROR(__xludf.DUMMYFUNCTION("""COMPUTED_VALUE"""),0.0)</f>
        <v>0</v>
      </c>
      <c r="V180" s="8">
        <f>IFERROR(__xludf.DUMMYFUNCTION("""COMPUTED_VALUE"""),0.0)</f>
        <v>0</v>
      </c>
      <c r="W180" s="8">
        <f>IFERROR(__xludf.DUMMYFUNCTION("""COMPUTED_VALUE"""),0.0)</f>
        <v>0</v>
      </c>
      <c r="X180" s="8">
        <f>IFERROR(__xludf.DUMMYFUNCTION("""COMPUTED_VALUE"""),0.0)</f>
        <v>0</v>
      </c>
      <c r="Y180" s="8">
        <f>IFERROR(__xludf.DUMMYFUNCTION("""COMPUTED_VALUE"""),0.0)</f>
        <v>0</v>
      </c>
      <c r="Z180" s="8">
        <f>IFERROR(__xludf.DUMMYFUNCTION("""COMPUTED_VALUE"""),0.0)</f>
        <v>0</v>
      </c>
      <c r="AA180" s="8">
        <f>IFERROR(__xludf.DUMMYFUNCTION("""COMPUTED_VALUE"""),0.0)</f>
        <v>0</v>
      </c>
      <c r="AB180" s="8">
        <f>IFERROR(__xludf.DUMMYFUNCTION("""COMPUTED_VALUE"""),0.0)</f>
        <v>0</v>
      </c>
      <c r="AC180" s="8">
        <f>IFERROR(__xludf.DUMMYFUNCTION("""COMPUTED_VALUE"""),0.0)</f>
        <v>0</v>
      </c>
    </row>
    <row r="181" ht="15.75" customHeight="1">
      <c r="A181" s="6" t="str">
        <f>IFERROR(__xludf.DUMMYFUNCTION("""COMPUTED_VALUE"""),"a4dd4053a025d38e2c0410dbcf348862c41c4c5b")</f>
        <v>a4dd4053a025d38e2c0410dbcf348862c41c4c5b</v>
      </c>
      <c r="B181" s="6" t="str">
        <f>IFERROR(__xludf.DUMMYFUNCTION("""COMPUTED_VALUE"""),"Twin Betrayal, Enemy Love")</f>
        <v>Twin Betrayal, Enemy Love</v>
      </c>
      <c r="C181" s="6" t="str">
        <f>IFERROR(__xludf.DUMMYFUNCTION("""COMPUTED_VALUE"""),"Romance")</f>
        <v>Romance</v>
      </c>
      <c r="D181" s="11">
        <f>IFERROR(__xludf.DUMMYFUNCTION("""COMPUTED_VALUE"""),588.0)</f>
        <v>588</v>
      </c>
      <c r="E181" s="8">
        <f>IFERROR(__xludf.DUMMYFUNCTION("""COMPUTED_VALUE"""),0.950680272108843)</f>
        <v>0.9506802721</v>
      </c>
      <c r="F181" s="8">
        <f>IFERROR(__xludf.DUMMYFUNCTION("""COMPUTED_VALUE"""),0.340136054421768)</f>
        <v>0.3401360544</v>
      </c>
      <c r="G181" s="8">
        <f>IFERROR(__xludf.DUMMYFUNCTION("""COMPUTED_VALUE"""),0.270408163265306)</f>
        <v>0.2704081633</v>
      </c>
      <c r="H181" s="8">
        <f>IFERROR(__xludf.DUMMYFUNCTION("""COMPUTED_VALUE"""),0.239795918367346)</f>
        <v>0.2397959184</v>
      </c>
      <c r="I181" s="8">
        <f>IFERROR(__xludf.DUMMYFUNCTION("""COMPUTED_VALUE"""),0.235093696763202)</f>
        <v>0.2350936968</v>
      </c>
      <c r="J181" s="8">
        <f>IFERROR(__xludf.DUMMYFUNCTION("""COMPUTED_VALUE"""),0.217838765008576)</f>
        <v>0.217838765</v>
      </c>
      <c r="K181" s="8">
        <f>IFERROR(__xludf.DUMMYFUNCTION("""COMPUTED_VALUE"""),0.20926243567753)</f>
        <v>0.2092624357</v>
      </c>
      <c r="L181" s="8">
        <f>IFERROR(__xludf.DUMMYFUNCTION("""COMPUTED_VALUE"""),0.184165232358003)</f>
        <v>0.1841652324</v>
      </c>
      <c r="M181" s="8">
        <f>IFERROR(__xludf.DUMMYFUNCTION("""COMPUTED_VALUE"""),0.166953528399311)</f>
        <v>0.1669535284</v>
      </c>
      <c r="N181" s="8">
        <f>IFERROR(__xludf.DUMMYFUNCTION("""COMPUTED_VALUE"""),0.146299483648881)</f>
        <v>0.1462994836</v>
      </c>
      <c r="O181" s="8">
        <f>IFERROR(__xludf.DUMMYFUNCTION("""COMPUTED_VALUE"""),0.136767317939609)</f>
        <v>0.1367673179</v>
      </c>
      <c r="P181" s="8">
        <f>IFERROR(__xludf.DUMMYFUNCTION("""COMPUTED_VALUE"""),0.107142857142857)</f>
        <v>0.1071428571</v>
      </c>
      <c r="Q181" s="8">
        <f>IFERROR(__xludf.DUMMYFUNCTION("""COMPUTED_VALUE"""),0.0870588235294117)</f>
        <v>0.08705882353</v>
      </c>
      <c r="R181" s="8">
        <f>IFERROR(__xludf.DUMMYFUNCTION("""COMPUTED_VALUE"""),0.0627615062761506)</f>
        <v>0.06276150628</v>
      </c>
      <c r="S181" s="8">
        <f>IFERROR(__xludf.DUMMYFUNCTION("""COMPUTED_VALUE"""),0.0149253731343283)</f>
        <v>0.01492537313</v>
      </c>
      <c r="T181" s="8">
        <f>IFERROR(__xludf.DUMMYFUNCTION("""COMPUTED_VALUE"""),0.0)</f>
        <v>0</v>
      </c>
      <c r="U181" s="8">
        <f>IFERROR(__xludf.DUMMYFUNCTION("""COMPUTED_VALUE"""),0.0)</f>
        <v>0</v>
      </c>
      <c r="V181" s="8">
        <f>IFERROR(__xludf.DUMMYFUNCTION("""COMPUTED_VALUE"""),0.0)</f>
        <v>0</v>
      </c>
      <c r="W181" s="8">
        <f>IFERROR(__xludf.DUMMYFUNCTION("""COMPUTED_VALUE"""),0.0)</f>
        <v>0</v>
      </c>
      <c r="X181" s="8">
        <f>IFERROR(__xludf.DUMMYFUNCTION("""COMPUTED_VALUE"""),0.0)</f>
        <v>0</v>
      </c>
      <c r="Y181" s="8">
        <f>IFERROR(__xludf.DUMMYFUNCTION("""COMPUTED_VALUE"""),0.0)</f>
        <v>0</v>
      </c>
      <c r="Z181" s="8">
        <f>IFERROR(__xludf.DUMMYFUNCTION("""COMPUTED_VALUE"""),0.0)</f>
        <v>0</v>
      </c>
      <c r="AA181" s="8">
        <f>IFERROR(__xludf.DUMMYFUNCTION("""COMPUTED_VALUE"""),0.0)</f>
        <v>0</v>
      </c>
      <c r="AB181" s="8">
        <f>IFERROR(__xludf.DUMMYFUNCTION("""COMPUTED_VALUE"""),0.0)</f>
        <v>0</v>
      </c>
      <c r="AC181" s="8">
        <f>IFERROR(__xludf.DUMMYFUNCTION("""COMPUTED_VALUE"""),0.0)</f>
        <v>0</v>
      </c>
    </row>
    <row r="182" ht="15.75" customHeight="1">
      <c r="A182" s="6" t="str">
        <f>IFERROR(__xludf.DUMMYFUNCTION("""COMPUTED_VALUE"""),"a58a0944241952550b248f5ed8bc3d2647482fe5")</f>
        <v>a58a0944241952550b248f5ed8bc3d2647482fe5</v>
      </c>
      <c r="B182" s="6" t="str">
        <f>IFERROR(__xludf.DUMMYFUNCTION("""COMPUTED_VALUE"""),"Miraculous Eyes")</f>
        <v>Miraculous Eyes</v>
      </c>
      <c r="C182" s="6" t="str">
        <f>IFERROR(__xludf.DUMMYFUNCTION("""COMPUTED_VALUE"""),"Drama")</f>
        <v>Drama</v>
      </c>
      <c r="D182" s="11">
        <f>IFERROR(__xludf.DUMMYFUNCTION("""COMPUTED_VALUE"""),1520.0)</f>
        <v>1520</v>
      </c>
      <c r="E182" s="8">
        <f>IFERROR(__xludf.DUMMYFUNCTION("""COMPUTED_VALUE"""),0.969736842105263)</f>
        <v>0.9697368421</v>
      </c>
      <c r="F182" s="8">
        <f>IFERROR(__xludf.DUMMYFUNCTION("""COMPUTED_VALUE"""),0.506254114549045)</f>
        <v>0.5062541145</v>
      </c>
      <c r="G182" s="8">
        <f>IFERROR(__xludf.DUMMYFUNCTION("""COMPUTED_VALUE"""),0.447957839262187)</f>
        <v>0.4479578393</v>
      </c>
      <c r="H182" s="8">
        <f>IFERROR(__xludf.DUMMYFUNCTION("""COMPUTED_VALUE"""),0.411338167435728)</f>
        <v>0.4113381674</v>
      </c>
      <c r="I182" s="8">
        <f>IFERROR(__xludf.DUMMYFUNCTION("""COMPUTED_VALUE"""),0.378467635402906)</f>
        <v>0.3784676354</v>
      </c>
      <c r="J182" s="8">
        <f>IFERROR(__xludf.DUMMYFUNCTION("""COMPUTED_VALUE"""),0.343253968253968)</f>
        <v>0.3432539683</v>
      </c>
      <c r="K182" s="8">
        <f>IFERROR(__xludf.DUMMYFUNCTION("""COMPUTED_VALUE"""),0.310596026490066)</f>
        <v>0.3105960265</v>
      </c>
      <c r="L182" s="8">
        <f>IFERROR(__xludf.DUMMYFUNCTION("""COMPUTED_VALUE"""),0.29462508294625)</f>
        <v>0.2946250829</v>
      </c>
      <c r="M182" s="8">
        <f>IFERROR(__xludf.DUMMYFUNCTION("""COMPUTED_VALUE"""),0.278884462151394)</f>
        <v>0.2788844622</v>
      </c>
      <c r="N182" s="8">
        <f>IFERROR(__xludf.DUMMYFUNCTION("""COMPUTED_VALUE"""),0.265604249667994)</f>
        <v>0.2656042497</v>
      </c>
      <c r="O182" s="8">
        <f>IFERROR(__xludf.DUMMYFUNCTION("""COMPUTED_VALUE"""),0.215856095936042)</f>
        <v>0.2158560959</v>
      </c>
      <c r="P182" s="8">
        <f>IFERROR(__xludf.DUMMYFUNCTION("""COMPUTED_VALUE"""),0.13)</f>
        <v>0.13</v>
      </c>
      <c r="Q182" s="8">
        <f>IFERROR(__xludf.DUMMYFUNCTION("""COMPUTED_VALUE"""),0.010752688172043)</f>
        <v>0.01075268817</v>
      </c>
      <c r="R182" s="8">
        <f>IFERROR(__xludf.DUMMYFUNCTION("""COMPUTED_VALUE"""),0.0)</f>
        <v>0</v>
      </c>
      <c r="S182" s="8">
        <f>IFERROR(__xludf.DUMMYFUNCTION("""COMPUTED_VALUE"""),0.0)</f>
        <v>0</v>
      </c>
      <c r="T182" s="8">
        <f>IFERROR(__xludf.DUMMYFUNCTION("""COMPUTED_VALUE"""),0.0)</f>
        <v>0</v>
      </c>
      <c r="U182" s="8">
        <f>IFERROR(__xludf.DUMMYFUNCTION("""COMPUTED_VALUE"""),0.0)</f>
        <v>0</v>
      </c>
      <c r="V182" s="8">
        <f>IFERROR(__xludf.DUMMYFUNCTION("""COMPUTED_VALUE"""),0.0)</f>
        <v>0</v>
      </c>
      <c r="W182" s="8">
        <f>IFERROR(__xludf.DUMMYFUNCTION("""COMPUTED_VALUE"""),0.0)</f>
        <v>0</v>
      </c>
      <c r="X182" s="8">
        <f>IFERROR(__xludf.DUMMYFUNCTION("""COMPUTED_VALUE"""),0.0)</f>
        <v>0</v>
      </c>
      <c r="Y182" s="8">
        <f>IFERROR(__xludf.DUMMYFUNCTION("""COMPUTED_VALUE"""),0.0)</f>
        <v>0</v>
      </c>
      <c r="Z182" s="8">
        <f>IFERROR(__xludf.DUMMYFUNCTION("""COMPUTED_VALUE"""),0.0)</f>
        <v>0</v>
      </c>
      <c r="AA182" s="8">
        <f>IFERROR(__xludf.DUMMYFUNCTION("""COMPUTED_VALUE"""),0.0)</f>
        <v>0</v>
      </c>
      <c r="AB182" s="8">
        <f>IFERROR(__xludf.DUMMYFUNCTION("""COMPUTED_VALUE"""),0.0)</f>
        <v>0</v>
      </c>
      <c r="AC182" s="8">
        <f>IFERROR(__xludf.DUMMYFUNCTION("""COMPUTED_VALUE"""),0.0)</f>
        <v>0</v>
      </c>
    </row>
    <row r="183" ht="15.75" customHeight="1">
      <c r="A183" s="6" t="str">
        <f>IFERROR(__xludf.DUMMYFUNCTION("""COMPUTED_VALUE"""),"a6268ee1800866a09bab6b47c61f885556992b45")</f>
        <v>a6268ee1800866a09bab6b47c61f885556992b45</v>
      </c>
      <c r="B183" s="6" t="str">
        <f>IFERROR(__xludf.DUMMYFUNCTION("""COMPUTED_VALUE"""),"The System Creation: Intergalactic Entry")</f>
        <v>The System Creation: Intergalactic Entry</v>
      </c>
      <c r="C183" s="6" t="str">
        <f>IFERROR(__xludf.DUMMYFUNCTION("""COMPUTED_VALUE"""),"System and Superpower")</f>
        <v>System and Superpower</v>
      </c>
      <c r="D183" s="11">
        <f>IFERROR(__xludf.DUMMYFUNCTION("""COMPUTED_VALUE"""),28418.0)</f>
        <v>28418</v>
      </c>
      <c r="E183" s="8">
        <f>IFERROR(__xludf.DUMMYFUNCTION("""COMPUTED_VALUE"""),0.907187422891184)</f>
        <v>0.9071874229</v>
      </c>
      <c r="F183" s="8">
        <f>IFERROR(__xludf.DUMMYFUNCTION("""COMPUTED_VALUE"""),0.427031040090504)</f>
        <v>0.4270310401</v>
      </c>
      <c r="G183" s="8">
        <f>IFERROR(__xludf.DUMMYFUNCTION("""COMPUTED_VALUE"""),0.3645896064331)</f>
        <v>0.3645896064</v>
      </c>
      <c r="H183" s="8">
        <f>IFERROR(__xludf.DUMMYFUNCTION("""COMPUTED_VALUE"""),0.32450354609929)</f>
        <v>0.3245035461</v>
      </c>
      <c r="I183" s="8">
        <f>IFERROR(__xludf.DUMMYFUNCTION("""COMPUTED_VALUE"""),0.305984727401882)</f>
        <v>0.3059847274</v>
      </c>
      <c r="J183" s="8">
        <f>IFERROR(__xludf.DUMMYFUNCTION("""COMPUTED_VALUE"""),0.287330155794266)</f>
        <v>0.2873301558</v>
      </c>
      <c r="K183" s="8">
        <f>IFERROR(__xludf.DUMMYFUNCTION("""COMPUTED_VALUE"""),0.275978768123686)</f>
        <v>0.2759787681</v>
      </c>
      <c r="L183" s="8">
        <f>IFERROR(__xludf.DUMMYFUNCTION("""COMPUTED_VALUE"""),0.266278529842483)</f>
        <v>0.2662785298</v>
      </c>
      <c r="M183" s="8">
        <f>IFERROR(__xludf.DUMMYFUNCTION("""COMPUTED_VALUE"""),0.252718557733581)</f>
        <v>0.2527185577</v>
      </c>
      <c r="N183" s="8">
        <f>IFERROR(__xludf.DUMMYFUNCTION("""COMPUTED_VALUE"""),0.242417724241772)</f>
        <v>0.2424177242</v>
      </c>
      <c r="O183" s="8">
        <f>IFERROR(__xludf.DUMMYFUNCTION("""COMPUTED_VALUE"""),0.2218231943991)</f>
        <v>0.2218231944</v>
      </c>
      <c r="P183" s="8">
        <f>IFERROR(__xludf.DUMMYFUNCTION("""COMPUTED_VALUE"""),0.182155587403079)</f>
        <v>0.1821555874</v>
      </c>
      <c r="Q183" s="8">
        <f>IFERROR(__xludf.DUMMYFUNCTION("""COMPUTED_VALUE"""),0.139301995366564)</f>
        <v>0.1393019954</v>
      </c>
      <c r="R183" s="8">
        <f>IFERROR(__xludf.DUMMYFUNCTION("""COMPUTED_VALUE"""),0.120177817962628)</f>
        <v>0.120177818</v>
      </c>
      <c r="S183" s="8">
        <f>IFERROR(__xludf.DUMMYFUNCTION("""COMPUTED_VALUE"""),0.107217355027117)</f>
        <v>0.107217355</v>
      </c>
      <c r="T183" s="8">
        <f>IFERROR(__xludf.DUMMYFUNCTION("""COMPUTED_VALUE"""),0.0970799571930897)</f>
        <v>0.09707995719</v>
      </c>
      <c r="U183" s="8">
        <f>IFERROR(__xludf.DUMMYFUNCTION("""COMPUTED_VALUE"""),0.0907233976953019)</f>
        <v>0.0907233977</v>
      </c>
      <c r="V183" s="8">
        <f>IFERROR(__xludf.DUMMYFUNCTION("""COMPUTED_VALUE"""),0.083433629692899)</f>
        <v>0.08343362969</v>
      </c>
      <c r="W183" s="8">
        <f>IFERROR(__xludf.DUMMYFUNCTION("""COMPUTED_VALUE"""),0.0759260709530895)</f>
        <v>0.07592607095</v>
      </c>
      <c r="X183" s="8">
        <f>IFERROR(__xludf.DUMMYFUNCTION("""COMPUTED_VALUE"""),0.069181893523817)</f>
        <v>0.06918189352</v>
      </c>
      <c r="Y183" s="8">
        <f>IFERROR(__xludf.DUMMYFUNCTION("""COMPUTED_VALUE"""),0.0575219326677903)</f>
        <v>0.05752193267</v>
      </c>
      <c r="Z183" s="8">
        <f>IFERROR(__xludf.DUMMYFUNCTION("""COMPUTED_VALUE"""),0.0511581163859111)</f>
        <v>0.05115811639</v>
      </c>
      <c r="AA183" s="8">
        <f>IFERROR(__xludf.DUMMYFUNCTION("""COMPUTED_VALUE"""),0.0481124677943318)</f>
        <v>0.04811246779</v>
      </c>
      <c r="AB183" s="8">
        <f>IFERROR(__xludf.DUMMYFUNCTION("""COMPUTED_VALUE"""),0.0385593787655643)</f>
        <v>0.03855937877</v>
      </c>
      <c r="AC183" s="8">
        <f>IFERROR(__xludf.DUMMYFUNCTION("""COMPUTED_VALUE"""),0.0325319368404348)</f>
        <v>0.03253193684</v>
      </c>
    </row>
    <row r="184" ht="15.75" customHeight="1">
      <c r="A184" s="6" t="str">
        <f>IFERROR(__xludf.DUMMYFUNCTION("""COMPUTED_VALUE"""),"a6f94887cb30090252bc97e34a7a53c7a6555b8d")</f>
        <v>a6f94887cb30090252bc97e34a7a53c7a6555b8d</v>
      </c>
      <c r="B184" s="6" t="str">
        <f>IFERROR(__xludf.DUMMYFUNCTION("""COMPUTED_VALUE"""),"A Surrogate Bride for a Paralyzed Ceo")</f>
        <v>A Surrogate Bride for a Paralyzed Ceo</v>
      </c>
      <c r="C184" s="6" t="str">
        <f>IFERROR(__xludf.DUMMYFUNCTION("""COMPUTED_VALUE"""),"Drama")</f>
        <v>Drama</v>
      </c>
      <c r="D184" s="11">
        <f>IFERROR(__xludf.DUMMYFUNCTION("""COMPUTED_VALUE"""),4652.0)</f>
        <v>4652</v>
      </c>
      <c r="E184" s="8">
        <f>IFERROR(__xludf.DUMMYFUNCTION("""COMPUTED_VALUE"""),0.828135082813508)</f>
        <v>0.8281350828</v>
      </c>
      <c r="F184" s="8">
        <f>IFERROR(__xludf.DUMMYFUNCTION("""COMPUTED_VALUE"""),0.408905140890514)</f>
        <v>0.4089051409</v>
      </c>
      <c r="G184" s="8">
        <f>IFERROR(__xludf.DUMMYFUNCTION("""COMPUTED_VALUE"""),0.358604350635365)</f>
        <v>0.3586043506</v>
      </c>
      <c r="H184" s="8">
        <f>IFERROR(__xludf.DUMMYFUNCTION("""COMPUTED_VALUE"""),0.327801724137931)</f>
        <v>0.3278017241</v>
      </c>
      <c r="I184" s="8">
        <f>IFERROR(__xludf.DUMMYFUNCTION("""COMPUTED_VALUE"""),0.312419146183699)</f>
        <v>0.3124191462</v>
      </c>
      <c r="J184" s="8">
        <f>IFERROR(__xludf.DUMMYFUNCTION("""COMPUTED_VALUE"""),0.294523501509271)</f>
        <v>0.2945235015</v>
      </c>
      <c r="K184" s="8">
        <f>IFERROR(__xludf.DUMMYFUNCTION("""COMPUTED_VALUE"""),0.279275393573431)</f>
        <v>0.2792753936</v>
      </c>
      <c r="L184" s="8">
        <f>IFERROR(__xludf.DUMMYFUNCTION("""COMPUTED_VALUE"""),0.264724919093851)</f>
        <v>0.2647249191</v>
      </c>
      <c r="M184" s="8">
        <f>IFERROR(__xludf.DUMMYFUNCTION("""COMPUTED_VALUE"""),0.252697453603798)</f>
        <v>0.2526974536</v>
      </c>
      <c r="N184" s="8">
        <f>IFERROR(__xludf.DUMMYFUNCTION("""COMPUTED_VALUE"""),0.242823224692423)</f>
        <v>0.2428232247</v>
      </c>
      <c r="O184" s="8">
        <f>IFERROR(__xludf.DUMMYFUNCTION("""COMPUTED_VALUE"""),0.210549070471249)</f>
        <v>0.2105490705</v>
      </c>
      <c r="P184" s="8">
        <f>IFERROR(__xludf.DUMMYFUNCTION("""COMPUTED_VALUE"""),0.184084995663486)</f>
        <v>0.1840849957</v>
      </c>
      <c r="Q184" s="8">
        <f>IFERROR(__xludf.DUMMYFUNCTION("""COMPUTED_VALUE"""),0.142607937200174)</f>
        <v>0.1426079372</v>
      </c>
      <c r="R184" s="8">
        <f>IFERROR(__xludf.DUMMYFUNCTION("""COMPUTED_VALUE"""),0.121092896174863)</f>
        <v>0.1210928962</v>
      </c>
      <c r="S184" s="8">
        <f>IFERROR(__xludf.DUMMYFUNCTION("""COMPUTED_VALUE"""),0.104490690032858)</f>
        <v>0.10449069</v>
      </c>
      <c r="T184" s="8">
        <f>IFERROR(__xludf.DUMMYFUNCTION("""COMPUTED_VALUE"""),0.0919109543751377)</f>
        <v>0.09191095438</v>
      </c>
      <c r="U184" s="8">
        <f>IFERROR(__xludf.DUMMYFUNCTION("""COMPUTED_VALUE"""),0.0856194690265486)</f>
        <v>0.08561946903</v>
      </c>
      <c r="V184" s="8">
        <f>IFERROR(__xludf.DUMMYFUNCTION("""COMPUTED_VALUE"""),0.0742306788818416)</f>
        <v>0.07423067888</v>
      </c>
      <c r="W184" s="8">
        <f>IFERROR(__xludf.DUMMYFUNCTION("""COMPUTED_VALUE"""),0.0702397743300423)</f>
        <v>0.07023977433</v>
      </c>
      <c r="X184" s="8">
        <f>IFERROR(__xludf.DUMMYFUNCTION("""COMPUTED_VALUE"""),0.0722588752748979)</f>
        <v>0.07225887527</v>
      </c>
      <c r="Y184" s="8">
        <f>IFERROR(__xludf.DUMMYFUNCTION("""COMPUTED_VALUE"""),0.0538057742782152)</f>
        <v>0.05380577428</v>
      </c>
      <c r="Z184" s="8">
        <f>IFERROR(__xludf.DUMMYFUNCTION("""COMPUTED_VALUE"""),0.0481778875849289)</f>
        <v>0.04817788758</v>
      </c>
      <c r="AA184" s="8">
        <f>IFERROR(__xludf.DUMMYFUNCTION("""COMPUTED_VALUE"""),0.0397815912636505)</f>
        <v>0.03978159126</v>
      </c>
      <c r="AB184" s="8">
        <f>IFERROR(__xludf.DUMMYFUNCTION("""COMPUTED_VALUE"""),0.0229479258605472)</f>
        <v>0.02294792586</v>
      </c>
      <c r="AC184" s="8">
        <f>IFERROR(__xludf.DUMMYFUNCTION("""COMPUTED_VALUE"""),0.0120772946859903)</f>
        <v>0.01207729469</v>
      </c>
    </row>
    <row r="185" ht="15.75" customHeight="1">
      <c r="A185" s="6" t="str">
        <f>IFERROR(__xludf.DUMMYFUNCTION("""COMPUTED_VALUE"""),"a830c3a71510f0594792edb43a5e99b9da02d7e7")</f>
        <v>a830c3a71510f0594792edb43a5e99b9da02d7e7</v>
      </c>
      <c r="B185" s="6" t="str">
        <f>IFERROR(__xludf.DUMMYFUNCTION("""COMPUTED_VALUE"""),"Married to a Dying Prince")</f>
        <v>Married to a Dying Prince</v>
      </c>
      <c r="C185" s="6" t="str">
        <f>IFERROR(__xludf.DUMMYFUNCTION("""COMPUTED_VALUE"""),"Romantasy")</f>
        <v>Romantasy</v>
      </c>
      <c r="D185" s="11">
        <f>IFERROR(__xludf.DUMMYFUNCTION("""COMPUTED_VALUE"""),194.0)</f>
        <v>194</v>
      </c>
      <c r="E185" s="8">
        <f>IFERROR(__xludf.DUMMYFUNCTION("""COMPUTED_VALUE"""),0.963917525773195)</f>
        <v>0.9639175258</v>
      </c>
      <c r="F185" s="8">
        <f>IFERROR(__xludf.DUMMYFUNCTION("""COMPUTED_VALUE"""),0.448453608247422)</f>
        <v>0.4484536082</v>
      </c>
      <c r="G185" s="8">
        <f>IFERROR(__xludf.DUMMYFUNCTION("""COMPUTED_VALUE"""),0.417525773195876)</f>
        <v>0.4175257732</v>
      </c>
      <c r="H185" s="8">
        <f>IFERROR(__xludf.DUMMYFUNCTION("""COMPUTED_VALUE"""),0.371134020618556)</f>
        <v>0.3711340206</v>
      </c>
      <c r="I185" s="8">
        <f>IFERROR(__xludf.DUMMYFUNCTION("""COMPUTED_VALUE"""),0.360824742268041)</f>
        <v>0.3608247423</v>
      </c>
      <c r="J185" s="8">
        <f>IFERROR(__xludf.DUMMYFUNCTION("""COMPUTED_VALUE"""),0.354166666666666)</f>
        <v>0.3541666667</v>
      </c>
      <c r="K185" s="8">
        <f>IFERROR(__xludf.DUMMYFUNCTION("""COMPUTED_VALUE"""),0.338541666666666)</f>
        <v>0.3385416667</v>
      </c>
      <c r="L185" s="8">
        <f>IFERROR(__xludf.DUMMYFUNCTION("""COMPUTED_VALUE"""),0.338541666666666)</f>
        <v>0.3385416667</v>
      </c>
      <c r="M185" s="8">
        <f>IFERROR(__xludf.DUMMYFUNCTION("""COMPUTED_VALUE"""),0.338541666666666)</f>
        <v>0.3385416667</v>
      </c>
      <c r="N185" s="8">
        <f>IFERROR(__xludf.DUMMYFUNCTION("""COMPUTED_VALUE"""),0.335078534031413)</f>
        <v>0.335078534</v>
      </c>
      <c r="O185" s="8">
        <f>IFERROR(__xludf.DUMMYFUNCTION("""COMPUTED_VALUE"""),0.29891304347826)</f>
        <v>0.2989130435</v>
      </c>
      <c r="P185" s="8">
        <f>IFERROR(__xludf.DUMMYFUNCTION("""COMPUTED_VALUE"""),0.238888888888888)</f>
        <v>0.2388888889</v>
      </c>
      <c r="Q185" s="8">
        <f>IFERROR(__xludf.DUMMYFUNCTION("""COMPUTED_VALUE"""),0.211764705882352)</f>
        <v>0.2117647059</v>
      </c>
      <c r="R185" s="8">
        <f>IFERROR(__xludf.DUMMYFUNCTION("""COMPUTED_VALUE"""),0.0)</f>
        <v>0</v>
      </c>
      <c r="S185" s="8">
        <f>IFERROR(__xludf.DUMMYFUNCTION("""COMPUTED_VALUE"""),0.0)</f>
        <v>0</v>
      </c>
      <c r="T185" s="8">
        <f>IFERROR(__xludf.DUMMYFUNCTION("""COMPUTED_VALUE"""),0.0)</f>
        <v>0</v>
      </c>
      <c r="U185" s="8">
        <f>IFERROR(__xludf.DUMMYFUNCTION("""COMPUTED_VALUE"""),0.0)</f>
        <v>0</v>
      </c>
      <c r="V185" s="8">
        <f>IFERROR(__xludf.DUMMYFUNCTION("""COMPUTED_VALUE"""),0.0)</f>
        <v>0</v>
      </c>
      <c r="W185" s="8">
        <f>IFERROR(__xludf.DUMMYFUNCTION("""COMPUTED_VALUE"""),0.0)</f>
        <v>0</v>
      </c>
      <c r="X185" s="8">
        <f>IFERROR(__xludf.DUMMYFUNCTION("""COMPUTED_VALUE"""),0.0)</f>
        <v>0</v>
      </c>
      <c r="Y185" s="8">
        <f>IFERROR(__xludf.DUMMYFUNCTION("""COMPUTED_VALUE"""),0.0)</f>
        <v>0</v>
      </c>
      <c r="Z185" s="8">
        <f>IFERROR(__xludf.DUMMYFUNCTION("""COMPUTED_VALUE"""),0.0)</f>
        <v>0</v>
      </c>
      <c r="AA185" s="8">
        <f>IFERROR(__xludf.DUMMYFUNCTION("""COMPUTED_VALUE"""),0.0)</f>
        <v>0</v>
      </c>
      <c r="AB185" s="8">
        <f>IFERROR(__xludf.DUMMYFUNCTION("""COMPUTED_VALUE"""),0.0)</f>
        <v>0</v>
      </c>
      <c r="AC185" s="8">
        <f>IFERROR(__xludf.DUMMYFUNCTION("""COMPUTED_VALUE"""),0.0)</f>
        <v>0</v>
      </c>
    </row>
    <row r="186" ht="15.75" customHeight="1">
      <c r="A186" s="6" t="str">
        <f>IFERROR(__xludf.DUMMYFUNCTION("""COMPUTED_VALUE"""),"a877c7bd8a3facfb24f79b876674d1437dd52fb5")</f>
        <v>a877c7bd8a3facfb24f79b876674d1437dd52fb5</v>
      </c>
      <c r="B186" s="6" t="str">
        <f>IFERROR(__xludf.DUMMYFUNCTION("""COMPUTED_VALUE"""),"Dragon System Awakening")</f>
        <v>Dragon System Awakening</v>
      </c>
      <c r="C186" s="6" t="str">
        <f>IFERROR(__xludf.DUMMYFUNCTION("""COMPUTED_VALUE"""),"System and Superpower")</f>
        <v>System and Superpower</v>
      </c>
      <c r="D186" s="11">
        <f>IFERROR(__xludf.DUMMYFUNCTION("""COMPUTED_VALUE"""),52173.0)</f>
        <v>52173</v>
      </c>
      <c r="E186" s="8">
        <f>IFERROR(__xludf.DUMMYFUNCTION("""COMPUTED_VALUE"""),0.907907369714658)</f>
        <v>0.9079073697</v>
      </c>
      <c r="F186" s="8">
        <f>IFERROR(__xludf.DUMMYFUNCTION("""COMPUTED_VALUE"""),0.569633407100933)</f>
        <v>0.5696334071</v>
      </c>
      <c r="G186" s="8">
        <f>IFERROR(__xludf.DUMMYFUNCTION("""COMPUTED_VALUE"""),0.516790037782404)</f>
        <v>0.5167900378</v>
      </c>
      <c r="H186" s="8">
        <f>IFERROR(__xludf.DUMMYFUNCTION("""COMPUTED_VALUE"""),0.486961724796849)</f>
        <v>0.4869617248</v>
      </c>
      <c r="I186" s="8">
        <f>IFERROR(__xludf.DUMMYFUNCTION("""COMPUTED_VALUE"""),0.458695357702653)</f>
        <v>0.4586953577</v>
      </c>
      <c r="J186" s="8">
        <f>IFERROR(__xludf.DUMMYFUNCTION("""COMPUTED_VALUE"""),0.441190153130451)</f>
        <v>0.4411901531</v>
      </c>
      <c r="K186" s="8">
        <f>IFERROR(__xludf.DUMMYFUNCTION("""COMPUTED_VALUE"""),0.42555546923555)</f>
        <v>0.4255554692</v>
      </c>
      <c r="L186" s="8">
        <f>IFERROR(__xludf.DUMMYFUNCTION("""COMPUTED_VALUE"""),0.411333839830128)</f>
        <v>0.4113338398</v>
      </c>
      <c r="M186" s="8">
        <f>IFERROR(__xludf.DUMMYFUNCTION("""COMPUTED_VALUE"""),0.397217778124634)</f>
        <v>0.3972177781</v>
      </c>
      <c r="N186" s="8">
        <f>IFERROR(__xludf.DUMMYFUNCTION("""COMPUTED_VALUE"""),0.385622703463372)</f>
        <v>0.3856227035</v>
      </c>
      <c r="O186" s="8">
        <f>IFERROR(__xludf.DUMMYFUNCTION("""COMPUTED_VALUE"""),0.347575925340082)</f>
        <v>0.3475759253</v>
      </c>
      <c r="P186" s="8">
        <f>IFERROR(__xludf.DUMMYFUNCTION("""COMPUTED_VALUE"""),0.289387714199819)</f>
        <v>0.2893877142</v>
      </c>
      <c r="Q186" s="8">
        <f>IFERROR(__xludf.DUMMYFUNCTION("""COMPUTED_VALUE"""),0.21951878324468)</f>
        <v>0.2195187832</v>
      </c>
      <c r="R186" s="8">
        <f>IFERROR(__xludf.DUMMYFUNCTION("""COMPUTED_VALUE"""),0.193891499359248)</f>
        <v>0.1938914994</v>
      </c>
      <c r="S186" s="8">
        <f>IFERROR(__xludf.DUMMYFUNCTION("""COMPUTED_VALUE"""),0.174646316816502)</f>
        <v>0.1746463168</v>
      </c>
      <c r="T186" s="8">
        <f>IFERROR(__xludf.DUMMYFUNCTION("""COMPUTED_VALUE"""),0.162126989891653)</f>
        <v>0.1621269899</v>
      </c>
      <c r="U186" s="8">
        <f>IFERROR(__xludf.DUMMYFUNCTION("""COMPUTED_VALUE"""),0.148614702622829)</f>
        <v>0.1486147026</v>
      </c>
      <c r="V186" s="8">
        <f>IFERROR(__xludf.DUMMYFUNCTION("""COMPUTED_VALUE"""),0.133062305865156)</f>
        <v>0.1330623059</v>
      </c>
      <c r="W186" s="8">
        <f>IFERROR(__xludf.DUMMYFUNCTION("""COMPUTED_VALUE"""),0.116444788156659)</f>
        <v>0.1164447882</v>
      </c>
      <c r="X186" s="8">
        <f>IFERROR(__xludf.DUMMYFUNCTION("""COMPUTED_VALUE"""),0.10560496964563)</f>
        <v>0.1056049696</v>
      </c>
      <c r="Y186" s="8">
        <f>IFERROR(__xludf.DUMMYFUNCTION("""COMPUTED_VALUE"""),0.0709677419354838)</f>
        <v>0.07096774194</v>
      </c>
      <c r="Z186" s="8">
        <f>IFERROR(__xludf.DUMMYFUNCTION("""COMPUTED_VALUE"""),0.0)</f>
        <v>0</v>
      </c>
      <c r="AA186" s="8">
        <f>IFERROR(__xludf.DUMMYFUNCTION("""COMPUTED_VALUE"""),0.0)</f>
        <v>0</v>
      </c>
      <c r="AB186" s="8">
        <f>IFERROR(__xludf.DUMMYFUNCTION("""COMPUTED_VALUE"""),0.0)</f>
        <v>0</v>
      </c>
      <c r="AC186" s="8">
        <f>IFERROR(__xludf.DUMMYFUNCTION("""COMPUTED_VALUE"""),0.0)</f>
        <v>0</v>
      </c>
    </row>
    <row r="187" ht="15.75" customHeight="1">
      <c r="A187" s="6" t="str">
        <f>IFERROR(__xludf.DUMMYFUNCTION("""COMPUTED_VALUE"""),"a901618b218023453e7ca53e9fa1d9940b094e69")</f>
        <v>a901618b218023453e7ca53e9fa1d9940b094e69</v>
      </c>
      <c r="B187" s="6" t="str">
        <f>IFERROR(__xludf.DUMMYFUNCTION("""COMPUTED_VALUE"""),"The Devil's New Assistant")</f>
        <v>The Devil's New Assistant</v>
      </c>
      <c r="C187" s="6" t="str">
        <f>IFERROR(__xludf.DUMMYFUNCTION("""COMPUTED_VALUE"""),"Romance")</f>
        <v>Romance</v>
      </c>
      <c r="D187" s="11">
        <f>IFERROR(__xludf.DUMMYFUNCTION("""COMPUTED_VALUE"""),122.0)</f>
        <v>122</v>
      </c>
      <c r="E187" s="8">
        <f>IFERROR(__xludf.DUMMYFUNCTION("""COMPUTED_VALUE"""),0.939130434782608)</f>
        <v>0.9391304348</v>
      </c>
      <c r="F187" s="8">
        <f>IFERROR(__xludf.DUMMYFUNCTION("""COMPUTED_VALUE"""),0.368932038834951)</f>
        <v>0.3689320388</v>
      </c>
      <c r="G187" s="8">
        <f>IFERROR(__xludf.DUMMYFUNCTION("""COMPUTED_VALUE"""),0.267326732673267)</f>
        <v>0.2673267327</v>
      </c>
      <c r="H187" s="8">
        <f>IFERROR(__xludf.DUMMYFUNCTION("""COMPUTED_VALUE"""),0.292929292929292)</f>
        <v>0.2929292929</v>
      </c>
      <c r="I187" s="8">
        <f>IFERROR(__xludf.DUMMYFUNCTION("""COMPUTED_VALUE"""),0.288659793814432)</f>
        <v>0.2886597938</v>
      </c>
      <c r="J187" s="8">
        <f>IFERROR(__xludf.DUMMYFUNCTION("""COMPUTED_VALUE"""),0.293478260869565)</f>
        <v>0.2934782609</v>
      </c>
      <c r="K187" s="8">
        <f>IFERROR(__xludf.DUMMYFUNCTION("""COMPUTED_VALUE"""),0.282608695652173)</f>
        <v>0.2826086957</v>
      </c>
      <c r="L187" s="8">
        <f>IFERROR(__xludf.DUMMYFUNCTION("""COMPUTED_VALUE"""),0.277777777777777)</f>
        <v>0.2777777778</v>
      </c>
      <c r="M187" s="8">
        <f>IFERROR(__xludf.DUMMYFUNCTION("""COMPUTED_VALUE"""),0.255555555555555)</f>
        <v>0.2555555556</v>
      </c>
      <c r="N187" s="8">
        <f>IFERROR(__xludf.DUMMYFUNCTION("""COMPUTED_VALUE"""),0.261363636363636)</f>
        <v>0.2613636364</v>
      </c>
      <c r="O187" s="8">
        <f>IFERROR(__xludf.DUMMYFUNCTION("""COMPUTED_VALUE"""),0.183333333333333)</f>
        <v>0.1833333333</v>
      </c>
      <c r="P187" s="8">
        <f>IFERROR(__xludf.DUMMYFUNCTION("""COMPUTED_VALUE"""),0.210526315789473)</f>
        <v>0.2105263158</v>
      </c>
      <c r="Q187" s="8">
        <f>IFERROR(__xludf.DUMMYFUNCTION("""COMPUTED_VALUE"""),0.0)</f>
        <v>0</v>
      </c>
      <c r="R187" s="8">
        <f>IFERROR(__xludf.DUMMYFUNCTION("""COMPUTED_VALUE"""),0.0)</f>
        <v>0</v>
      </c>
      <c r="S187" s="8">
        <f>IFERROR(__xludf.DUMMYFUNCTION("""COMPUTED_VALUE"""),0.0)</f>
        <v>0</v>
      </c>
      <c r="T187" s="8">
        <f>IFERROR(__xludf.DUMMYFUNCTION("""COMPUTED_VALUE"""),0.0)</f>
        <v>0</v>
      </c>
      <c r="U187" s="8">
        <f>IFERROR(__xludf.DUMMYFUNCTION("""COMPUTED_VALUE"""),0.0)</f>
        <v>0</v>
      </c>
      <c r="V187" s="8">
        <f>IFERROR(__xludf.DUMMYFUNCTION("""COMPUTED_VALUE"""),0.0)</f>
        <v>0</v>
      </c>
      <c r="W187" s="8">
        <f>IFERROR(__xludf.DUMMYFUNCTION("""COMPUTED_VALUE"""),0.0)</f>
        <v>0</v>
      </c>
      <c r="X187" s="8">
        <f>IFERROR(__xludf.DUMMYFUNCTION("""COMPUTED_VALUE"""),0.0)</f>
        <v>0</v>
      </c>
      <c r="Y187" s="8">
        <f>IFERROR(__xludf.DUMMYFUNCTION("""COMPUTED_VALUE"""),0.0)</f>
        <v>0</v>
      </c>
      <c r="Z187" s="8">
        <f>IFERROR(__xludf.DUMMYFUNCTION("""COMPUTED_VALUE"""),0.0)</f>
        <v>0</v>
      </c>
      <c r="AA187" s="8">
        <f>IFERROR(__xludf.DUMMYFUNCTION("""COMPUTED_VALUE"""),0.0)</f>
        <v>0</v>
      </c>
      <c r="AB187" s="8">
        <f>IFERROR(__xludf.DUMMYFUNCTION("""COMPUTED_VALUE"""),0.0)</f>
        <v>0</v>
      </c>
      <c r="AC187" s="8">
        <f>IFERROR(__xludf.DUMMYFUNCTION("""COMPUTED_VALUE"""),0.0)</f>
        <v>0</v>
      </c>
    </row>
    <row r="188" ht="15.75" customHeight="1">
      <c r="A188" s="6" t="str">
        <f>IFERROR(__xludf.DUMMYFUNCTION("""COMPUTED_VALUE"""),"a92aaf29dca1833b578f42a2abbcdab8db2ff12e")</f>
        <v>a92aaf29dca1833b578f42a2abbcdab8db2ff12e</v>
      </c>
      <c r="B188" s="6" t="str">
        <f>IFERROR(__xludf.DUMMYFUNCTION("""COMPUTED_VALUE"""),"Bought for the Ice Ceo")</f>
        <v>Bought for the Ice Ceo</v>
      </c>
      <c r="C188" s="6" t="str">
        <f>IFERROR(__xludf.DUMMYFUNCTION("""COMPUTED_VALUE"""),"Romance")</f>
        <v>Romance</v>
      </c>
      <c r="D188" s="11">
        <f>IFERROR(__xludf.DUMMYFUNCTION("""COMPUTED_VALUE"""),159.0)</f>
        <v>159</v>
      </c>
      <c r="E188" s="8">
        <f>IFERROR(__xludf.DUMMYFUNCTION("""COMPUTED_VALUE"""),0.949685534591195)</f>
        <v>0.9496855346</v>
      </c>
      <c r="F188" s="8">
        <f>IFERROR(__xludf.DUMMYFUNCTION("""COMPUTED_VALUE"""),0.60377358490566)</f>
        <v>0.6037735849</v>
      </c>
      <c r="G188" s="8">
        <f>IFERROR(__xludf.DUMMYFUNCTION("""COMPUTED_VALUE"""),0.566037735849056)</f>
        <v>0.5660377358</v>
      </c>
      <c r="H188" s="8">
        <f>IFERROR(__xludf.DUMMYFUNCTION("""COMPUTED_VALUE"""),0.50314465408805)</f>
        <v>0.5031446541</v>
      </c>
      <c r="I188" s="8">
        <f>IFERROR(__xludf.DUMMYFUNCTION("""COMPUTED_VALUE"""),0.465408805031446)</f>
        <v>0.465408805</v>
      </c>
      <c r="J188" s="8">
        <f>IFERROR(__xludf.DUMMYFUNCTION("""COMPUTED_VALUE"""),0.427672955974842)</f>
        <v>0.427672956</v>
      </c>
      <c r="K188" s="8">
        <f>IFERROR(__xludf.DUMMYFUNCTION("""COMPUTED_VALUE"""),0.40251572327044)</f>
        <v>0.4025157233</v>
      </c>
      <c r="L188" s="8">
        <f>IFERROR(__xludf.DUMMYFUNCTION("""COMPUTED_VALUE"""),0.392405063291139)</f>
        <v>0.3924050633</v>
      </c>
      <c r="M188" s="8">
        <f>IFERROR(__xludf.DUMMYFUNCTION("""COMPUTED_VALUE"""),0.378205128205128)</f>
        <v>0.3782051282</v>
      </c>
      <c r="N188" s="8">
        <f>IFERROR(__xludf.DUMMYFUNCTION("""COMPUTED_VALUE"""),0.348387096774193)</f>
        <v>0.3483870968</v>
      </c>
      <c r="O188" s="8">
        <f>IFERROR(__xludf.DUMMYFUNCTION("""COMPUTED_VALUE"""),0.3)</f>
        <v>0.3</v>
      </c>
      <c r="P188" s="8">
        <f>IFERROR(__xludf.DUMMYFUNCTION("""COMPUTED_VALUE"""),0.113475177304964)</f>
        <v>0.1134751773</v>
      </c>
      <c r="Q188" s="8">
        <f>IFERROR(__xludf.DUMMYFUNCTION("""COMPUTED_VALUE"""),0.0617283950617283)</f>
        <v>0.06172839506</v>
      </c>
      <c r="R188" s="8">
        <f>IFERROR(__xludf.DUMMYFUNCTION("""COMPUTED_VALUE"""),0.0)</f>
        <v>0</v>
      </c>
      <c r="S188" s="8">
        <f>IFERROR(__xludf.DUMMYFUNCTION("""COMPUTED_VALUE"""),0.0)</f>
        <v>0</v>
      </c>
      <c r="T188" s="8">
        <f>IFERROR(__xludf.DUMMYFUNCTION("""COMPUTED_VALUE"""),0.0)</f>
        <v>0</v>
      </c>
      <c r="U188" s="8">
        <f>IFERROR(__xludf.DUMMYFUNCTION("""COMPUTED_VALUE"""),0.0)</f>
        <v>0</v>
      </c>
      <c r="V188" s="8">
        <f>IFERROR(__xludf.DUMMYFUNCTION("""COMPUTED_VALUE"""),0.0)</f>
        <v>0</v>
      </c>
      <c r="W188" s="8">
        <f>IFERROR(__xludf.DUMMYFUNCTION("""COMPUTED_VALUE"""),0.0)</f>
        <v>0</v>
      </c>
      <c r="X188" s="8">
        <f>IFERROR(__xludf.DUMMYFUNCTION("""COMPUTED_VALUE"""),0.0)</f>
        <v>0</v>
      </c>
      <c r="Y188" s="8">
        <f>IFERROR(__xludf.DUMMYFUNCTION("""COMPUTED_VALUE"""),0.0)</f>
        <v>0</v>
      </c>
      <c r="Z188" s="8">
        <f>IFERROR(__xludf.DUMMYFUNCTION("""COMPUTED_VALUE"""),0.0)</f>
        <v>0</v>
      </c>
      <c r="AA188" s="8">
        <f>IFERROR(__xludf.DUMMYFUNCTION("""COMPUTED_VALUE"""),0.0)</f>
        <v>0</v>
      </c>
      <c r="AB188" s="8">
        <f>IFERROR(__xludf.DUMMYFUNCTION("""COMPUTED_VALUE"""),0.0)</f>
        <v>0</v>
      </c>
      <c r="AC188" s="8">
        <f>IFERROR(__xludf.DUMMYFUNCTION("""COMPUTED_VALUE"""),0.0)</f>
        <v>0</v>
      </c>
    </row>
    <row r="189" ht="15.75" customHeight="1">
      <c r="A189" s="6" t="str">
        <f>IFERROR(__xludf.DUMMYFUNCTION("""COMPUTED_VALUE"""),"a978831eb87b7d63024465fa4df9a779feeaaf5a")</f>
        <v>a978831eb87b7d63024465fa4df9a779feeaaf5a</v>
      </c>
      <c r="B189" s="6" t="str">
        <f>IFERROR(__xludf.DUMMYFUNCTION("""COMPUTED_VALUE"""),"Extreme Medical Sage")</f>
        <v>Extreme Medical Sage</v>
      </c>
      <c r="C189" s="6" t="str">
        <f>IFERROR(__xludf.DUMMYFUNCTION("""COMPUTED_VALUE"""),"Fantasy")</f>
        <v>Fantasy</v>
      </c>
      <c r="D189" s="11">
        <f>IFERROR(__xludf.DUMMYFUNCTION("""COMPUTED_VALUE"""),990.0)</f>
        <v>990</v>
      </c>
      <c r="E189" s="8">
        <f>IFERROR(__xludf.DUMMYFUNCTION("""COMPUTED_VALUE"""),0.929663608562691)</f>
        <v>0.9296636086</v>
      </c>
      <c r="F189" s="8">
        <f>IFERROR(__xludf.DUMMYFUNCTION("""COMPUTED_VALUE"""),0.598111227701993)</f>
        <v>0.5981112277</v>
      </c>
      <c r="G189" s="8">
        <f>IFERROR(__xludf.DUMMYFUNCTION("""COMPUTED_VALUE"""),0.526315789473684)</f>
        <v>0.5263157895</v>
      </c>
      <c r="H189" s="8">
        <f>IFERROR(__xludf.DUMMYFUNCTION("""COMPUTED_VALUE"""),0.502392344497607)</f>
        <v>0.5023923445</v>
      </c>
      <c r="I189" s="8">
        <f>IFERROR(__xludf.DUMMYFUNCTION("""COMPUTED_VALUE"""),0.469135802469135)</f>
        <v>0.4691358025</v>
      </c>
      <c r="J189" s="8">
        <f>IFERROR(__xludf.DUMMYFUNCTION("""COMPUTED_VALUE"""),0.44968152866242)</f>
        <v>0.4496815287</v>
      </c>
      <c r="K189" s="8">
        <f>IFERROR(__xludf.DUMMYFUNCTION("""COMPUTED_VALUE"""),0.410761154855643)</f>
        <v>0.4107611549</v>
      </c>
      <c r="L189" s="8">
        <f>IFERROR(__xludf.DUMMYFUNCTION("""COMPUTED_VALUE"""),0.386486486486486)</f>
        <v>0.3864864865</v>
      </c>
      <c r="M189" s="8">
        <f>IFERROR(__xludf.DUMMYFUNCTION("""COMPUTED_VALUE"""),0.368567454798331)</f>
        <v>0.3685674548</v>
      </c>
      <c r="N189" s="8">
        <f>IFERROR(__xludf.DUMMYFUNCTION("""COMPUTED_VALUE"""),0.37155297532656)</f>
        <v>0.3715529753</v>
      </c>
      <c r="O189" s="8">
        <f>IFERROR(__xludf.DUMMYFUNCTION("""COMPUTED_VALUE"""),0.304821150855365)</f>
        <v>0.3048211509</v>
      </c>
      <c r="P189" s="8">
        <f>IFERROR(__xludf.DUMMYFUNCTION("""COMPUTED_VALUE"""),0.214539007092198)</f>
        <v>0.2145390071</v>
      </c>
      <c r="Q189" s="8">
        <f>IFERROR(__xludf.DUMMYFUNCTION("""COMPUTED_VALUE"""),0.0916030534351145)</f>
        <v>0.09160305344</v>
      </c>
      <c r="R189" s="8">
        <f>IFERROR(__xludf.DUMMYFUNCTION("""COMPUTED_VALUE"""),0.0620155038759689)</f>
        <v>0.06201550388</v>
      </c>
      <c r="S189" s="8">
        <f>IFERROR(__xludf.DUMMYFUNCTION("""COMPUTED_VALUE"""),0.0491803278688524)</f>
        <v>0.04918032787</v>
      </c>
      <c r="T189" s="8">
        <f>IFERROR(__xludf.DUMMYFUNCTION("""COMPUTED_VALUE"""),0.043103448275862)</f>
        <v>0.04310344828</v>
      </c>
      <c r="U189" s="8">
        <f>IFERROR(__xludf.DUMMYFUNCTION("""COMPUTED_VALUE"""),0.0363636363636363)</f>
        <v>0.03636363636</v>
      </c>
      <c r="V189" s="8">
        <f>IFERROR(__xludf.DUMMYFUNCTION("""COMPUTED_VALUE"""),0.0384615384615384)</f>
        <v>0.03846153846</v>
      </c>
      <c r="W189" s="8">
        <f>IFERROR(__xludf.DUMMYFUNCTION("""COMPUTED_VALUE"""),0.032258064516129)</f>
        <v>0.03225806452</v>
      </c>
      <c r="X189" s="8">
        <f>IFERROR(__xludf.DUMMYFUNCTION("""COMPUTED_VALUE"""),0.048780487804878)</f>
        <v>0.0487804878</v>
      </c>
      <c r="Y189" s="8">
        <f>IFERROR(__xludf.DUMMYFUNCTION("""COMPUTED_VALUE"""),0.0151515151515151)</f>
        <v>0.01515151515</v>
      </c>
      <c r="Z189" s="8">
        <f>IFERROR(__xludf.DUMMYFUNCTION("""COMPUTED_VALUE"""),0.0)</f>
        <v>0</v>
      </c>
      <c r="AA189" s="8">
        <f>IFERROR(__xludf.DUMMYFUNCTION("""COMPUTED_VALUE"""),0.0)</f>
        <v>0</v>
      </c>
      <c r="AB189" s="8">
        <f>IFERROR(__xludf.DUMMYFUNCTION("""COMPUTED_VALUE"""),0.0)</f>
        <v>0</v>
      </c>
      <c r="AC189" s="8">
        <f>IFERROR(__xludf.DUMMYFUNCTION("""COMPUTED_VALUE"""),0.0)</f>
        <v>0</v>
      </c>
    </row>
    <row r="190" ht="15.75" customHeight="1">
      <c r="A190" s="6" t="str">
        <f>IFERROR(__xludf.DUMMYFUNCTION("""COMPUTED_VALUE"""),"a9dd2d51d9347ce1a50ee64d1a38a6c33539ebc1")</f>
        <v>a9dd2d51d9347ce1a50ee64d1a38a6c33539ebc1</v>
      </c>
      <c r="B190" s="6" t="str">
        <f>IFERROR(__xludf.DUMMYFUNCTION("""COMPUTED_VALUE"""),"Billionaires Love Me")</f>
        <v>Billionaires Love Me</v>
      </c>
      <c r="C190" s="6" t="str">
        <f>IFERROR(__xludf.DUMMYFUNCTION("""COMPUTED_VALUE"""),"Romance")</f>
        <v>Romance</v>
      </c>
      <c r="D190" s="11">
        <f>IFERROR(__xludf.DUMMYFUNCTION("""COMPUTED_VALUE"""),211.0)</f>
        <v>211</v>
      </c>
      <c r="E190" s="8">
        <f>IFERROR(__xludf.DUMMYFUNCTION("""COMPUTED_VALUE"""),0.924170616113744)</f>
        <v>0.9241706161</v>
      </c>
      <c r="F190" s="8">
        <f>IFERROR(__xludf.DUMMYFUNCTION("""COMPUTED_VALUE"""),0.514563106796116)</f>
        <v>0.5145631068</v>
      </c>
      <c r="G190" s="8">
        <f>IFERROR(__xludf.DUMMYFUNCTION("""COMPUTED_VALUE"""),0.38)</f>
        <v>0.38</v>
      </c>
      <c r="H190" s="8">
        <f>IFERROR(__xludf.DUMMYFUNCTION("""COMPUTED_VALUE"""),0.317204301075268)</f>
        <v>0.3172043011</v>
      </c>
      <c r="I190" s="8">
        <f>IFERROR(__xludf.DUMMYFUNCTION("""COMPUTED_VALUE"""),0.281767955801105)</f>
        <v>0.2817679558</v>
      </c>
      <c r="J190" s="8">
        <f>IFERROR(__xludf.DUMMYFUNCTION("""COMPUTED_VALUE"""),0.276243093922651)</f>
        <v>0.2762430939</v>
      </c>
      <c r="K190" s="8">
        <f>IFERROR(__xludf.DUMMYFUNCTION("""COMPUTED_VALUE"""),0.254143646408839)</f>
        <v>0.2541436464</v>
      </c>
      <c r="L190" s="8">
        <f>IFERROR(__xludf.DUMMYFUNCTION("""COMPUTED_VALUE"""),0.215469613259668)</f>
        <v>0.2154696133</v>
      </c>
      <c r="M190" s="8">
        <f>IFERROR(__xludf.DUMMYFUNCTION("""COMPUTED_VALUE"""),0.241176470588235)</f>
        <v>0.2411764706</v>
      </c>
      <c r="N190" s="8">
        <f>IFERROR(__xludf.DUMMYFUNCTION("""COMPUTED_VALUE"""),0.223529411764705)</f>
        <v>0.2235294118</v>
      </c>
      <c r="O190" s="8">
        <f>IFERROR(__xludf.DUMMYFUNCTION("""COMPUTED_VALUE"""),0.252941176470588)</f>
        <v>0.2529411765</v>
      </c>
      <c r="P190" s="8">
        <f>IFERROR(__xludf.DUMMYFUNCTION("""COMPUTED_VALUE"""),0.186746987951807)</f>
        <v>0.186746988</v>
      </c>
      <c r="Q190" s="8">
        <f>IFERROR(__xludf.DUMMYFUNCTION("""COMPUTED_VALUE"""),0.144827586206896)</f>
        <v>0.1448275862</v>
      </c>
      <c r="R190" s="8">
        <f>IFERROR(__xludf.DUMMYFUNCTION("""COMPUTED_VALUE"""),0.148148148148148)</f>
        <v>0.1481481481</v>
      </c>
      <c r="S190" s="8">
        <f>IFERROR(__xludf.DUMMYFUNCTION("""COMPUTED_VALUE"""),0.0)</f>
        <v>0</v>
      </c>
      <c r="T190" s="8">
        <f>IFERROR(__xludf.DUMMYFUNCTION("""COMPUTED_VALUE"""),0.0)</f>
        <v>0</v>
      </c>
      <c r="U190" s="8">
        <f>IFERROR(__xludf.DUMMYFUNCTION("""COMPUTED_VALUE"""),0.0)</f>
        <v>0</v>
      </c>
      <c r="V190" s="8">
        <f>IFERROR(__xludf.DUMMYFUNCTION("""COMPUTED_VALUE"""),0.0)</f>
        <v>0</v>
      </c>
      <c r="W190" s="8">
        <f>IFERROR(__xludf.DUMMYFUNCTION("""COMPUTED_VALUE"""),0.0)</f>
        <v>0</v>
      </c>
      <c r="X190" s="8">
        <f>IFERROR(__xludf.DUMMYFUNCTION("""COMPUTED_VALUE"""),0.0)</f>
        <v>0</v>
      </c>
      <c r="Y190" s="8">
        <f>IFERROR(__xludf.DUMMYFUNCTION("""COMPUTED_VALUE"""),0.0)</f>
        <v>0</v>
      </c>
      <c r="Z190" s="8">
        <f>IFERROR(__xludf.DUMMYFUNCTION("""COMPUTED_VALUE"""),0.0)</f>
        <v>0</v>
      </c>
      <c r="AA190" s="8">
        <f>IFERROR(__xludf.DUMMYFUNCTION("""COMPUTED_VALUE"""),0.0)</f>
        <v>0</v>
      </c>
      <c r="AB190" s="8">
        <f>IFERROR(__xludf.DUMMYFUNCTION("""COMPUTED_VALUE"""),0.0)</f>
        <v>0</v>
      </c>
      <c r="AC190" s="8">
        <f>IFERROR(__xludf.DUMMYFUNCTION("""COMPUTED_VALUE"""),0.0)</f>
        <v>0</v>
      </c>
    </row>
    <row r="191" ht="15.75" customHeight="1">
      <c r="A191" s="6" t="str">
        <f>IFERROR(__xludf.DUMMYFUNCTION("""COMPUTED_VALUE"""),"aaa698f296d8b031a8ae9b94897fb07edda92f97")</f>
        <v>aaa698f296d8b031a8ae9b94897fb07edda92f97</v>
      </c>
      <c r="B191" s="6" t="str">
        <f>IFERROR(__xludf.DUMMYFUNCTION("""COMPUTED_VALUE"""),"A Heart Divided")</f>
        <v>A Heart Divided</v>
      </c>
      <c r="C191" s="6" t="str">
        <f>IFERROR(__xludf.DUMMYFUNCTION("""COMPUTED_VALUE"""),"Romance")</f>
        <v>Romance</v>
      </c>
      <c r="D191" s="11">
        <f>IFERROR(__xludf.DUMMYFUNCTION("""COMPUTED_VALUE"""),78.0)</f>
        <v>78</v>
      </c>
      <c r="E191" s="8">
        <f>IFERROR(__xludf.DUMMYFUNCTION("""COMPUTED_VALUE"""),0.884615384615384)</f>
        <v>0.8846153846</v>
      </c>
      <c r="F191" s="8">
        <f>IFERROR(__xludf.DUMMYFUNCTION("""COMPUTED_VALUE"""),0.474358974358974)</f>
        <v>0.4743589744</v>
      </c>
      <c r="G191" s="8">
        <f>IFERROR(__xludf.DUMMYFUNCTION("""COMPUTED_VALUE"""),0.448717948717948)</f>
        <v>0.4487179487</v>
      </c>
      <c r="H191" s="8">
        <f>IFERROR(__xludf.DUMMYFUNCTION("""COMPUTED_VALUE"""),0.371794871794871)</f>
        <v>0.3717948718</v>
      </c>
      <c r="I191" s="8">
        <f>IFERROR(__xludf.DUMMYFUNCTION("""COMPUTED_VALUE"""),0.371794871794871)</f>
        <v>0.3717948718</v>
      </c>
      <c r="J191" s="8">
        <f>IFERROR(__xludf.DUMMYFUNCTION("""COMPUTED_VALUE"""),0.371794871794871)</f>
        <v>0.3717948718</v>
      </c>
      <c r="K191" s="8">
        <f>IFERROR(__xludf.DUMMYFUNCTION("""COMPUTED_VALUE"""),0.333333333333333)</f>
        <v>0.3333333333</v>
      </c>
      <c r="L191" s="8">
        <f>IFERROR(__xludf.DUMMYFUNCTION("""COMPUTED_VALUE"""),0.32051282051282)</f>
        <v>0.3205128205</v>
      </c>
      <c r="M191" s="8">
        <f>IFERROR(__xludf.DUMMYFUNCTION("""COMPUTED_VALUE"""),0.32051282051282)</f>
        <v>0.3205128205</v>
      </c>
      <c r="N191" s="8">
        <f>IFERROR(__xludf.DUMMYFUNCTION("""COMPUTED_VALUE"""),0.269230769230769)</f>
        <v>0.2692307692</v>
      </c>
      <c r="O191" s="8">
        <f>IFERROR(__xludf.DUMMYFUNCTION("""COMPUTED_VALUE"""),0.256410256410256)</f>
        <v>0.2564102564</v>
      </c>
      <c r="P191" s="8">
        <f>IFERROR(__xludf.DUMMYFUNCTION("""COMPUTED_VALUE"""),0.142857142857142)</f>
        <v>0.1428571429</v>
      </c>
      <c r="Q191" s="8">
        <f>IFERROR(__xludf.DUMMYFUNCTION("""COMPUTED_VALUE"""),0.0666666666666666)</f>
        <v>0.06666666667</v>
      </c>
      <c r="R191" s="8">
        <f>IFERROR(__xludf.DUMMYFUNCTION("""COMPUTED_VALUE"""),0.0533333333333333)</f>
        <v>0.05333333333</v>
      </c>
      <c r="S191" s="8">
        <f>IFERROR(__xludf.DUMMYFUNCTION("""COMPUTED_VALUE"""),0.0)</f>
        <v>0</v>
      </c>
      <c r="T191" s="8">
        <f>IFERROR(__xludf.DUMMYFUNCTION("""COMPUTED_VALUE"""),0.0)</f>
        <v>0</v>
      </c>
      <c r="U191" s="8">
        <f>IFERROR(__xludf.DUMMYFUNCTION("""COMPUTED_VALUE"""),0.0)</f>
        <v>0</v>
      </c>
      <c r="V191" s="8">
        <f>IFERROR(__xludf.DUMMYFUNCTION("""COMPUTED_VALUE"""),0.0)</f>
        <v>0</v>
      </c>
      <c r="W191" s="8">
        <f>IFERROR(__xludf.DUMMYFUNCTION("""COMPUTED_VALUE"""),0.0)</f>
        <v>0</v>
      </c>
      <c r="X191" s="8">
        <f>IFERROR(__xludf.DUMMYFUNCTION("""COMPUTED_VALUE"""),0.0)</f>
        <v>0</v>
      </c>
      <c r="Y191" s="8">
        <f>IFERROR(__xludf.DUMMYFUNCTION("""COMPUTED_VALUE"""),0.0)</f>
        <v>0</v>
      </c>
      <c r="Z191" s="8">
        <f>IFERROR(__xludf.DUMMYFUNCTION("""COMPUTED_VALUE"""),0.0)</f>
        <v>0</v>
      </c>
      <c r="AA191" s="8">
        <f>IFERROR(__xludf.DUMMYFUNCTION("""COMPUTED_VALUE"""),0.0)</f>
        <v>0</v>
      </c>
      <c r="AB191" s="8">
        <f>IFERROR(__xludf.DUMMYFUNCTION("""COMPUTED_VALUE"""),0.0)</f>
        <v>0</v>
      </c>
      <c r="AC191" s="8">
        <f>IFERROR(__xludf.DUMMYFUNCTION("""COMPUTED_VALUE"""),0.0)</f>
        <v>0</v>
      </c>
    </row>
    <row r="192" ht="15.75" customHeight="1">
      <c r="A192" s="6" t="str">
        <f>IFERROR(__xludf.DUMMYFUNCTION("""COMPUTED_VALUE"""),"aab4996493c32f1ec5e010a7e9b25c3e280e1445")</f>
        <v>aab4996493c32f1ec5e010a7e9b25c3e280e1445</v>
      </c>
      <c r="B192" s="6" t="str">
        <f>IFERROR(__xludf.DUMMYFUNCTION("""COMPUTED_VALUE"""),"Love Forever")</f>
        <v>Love Forever</v>
      </c>
      <c r="C192" s="6" t="str">
        <f>IFERROR(__xludf.DUMMYFUNCTION("""COMPUTED_VALUE"""),"Romance")</f>
        <v>Romance</v>
      </c>
      <c r="D192" s="11">
        <f>IFERROR(__xludf.DUMMYFUNCTION("""COMPUTED_VALUE"""),54.0)</f>
        <v>54</v>
      </c>
      <c r="E192" s="8">
        <f>IFERROR(__xludf.DUMMYFUNCTION("""COMPUTED_VALUE"""),0.962962962962962)</f>
        <v>0.962962963</v>
      </c>
      <c r="F192" s="8">
        <f>IFERROR(__xludf.DUMMYFUNCTION("""COMPUTED_VALUE"""),0.296296296296296)</f>
        <v>0.2962962963</v>
      </c>
      <c r="G192" s="8">
        <f>IFERROR(__xludf.DUMMYFUNCTION("""COMPUTED_VALUE"""),0.259259259259259)</f>
        <v>0.2592592593</v>
      </c>
      <c r="H192" s="8">
        <f>IFERROR(__xludf.DUMMYFUNCTION("""COMPUTED_VALUE"""),0.277777777777777)</f>
        <v>0.2777777778</v>
      </c>
      <c r="I192" s="8">
        <f>IFERROR(__xludf.DUMMYFUNCTION("""COMPUTED_VALUE"""),0.222222222222222)</f>
        <v>0.2222222222</v>
      </c>
      <c r="J192" s="8">
        <f>IFERROR(__xludf.DUMMYFUNCTION("""COMPUTED_VALUE"""),0.185185185185185)</f>
        <v>0.1851851852</v>
      </c>
      <c r="K192" s="8">
        <f>IFERROR(__xludf.DUMMYFUNCTION("""COMPUTED_VALUE"""),0.188679245283018)</f>
        <v>0.1886792453</v>
      </c>
      <c r="L192" s="8">
        <f>IFERROR(__xludf.DUMMYFUNCTION("""COMPUTED_VALUE"""),0.132075471698113)</f>
        <v>0.1320754717</v>
      </c>
      <c r="M192" s="8">
        <f>IFERROR(__xludf.DUMMYFUNCTION("""COMPUTED_VALUE"""),0.169811320754716)</f>
        <v>0.1698113208</v>
      </c>
      <c r="N192" s="8">
        <f>IFERROR(__xludf.DUMMYFUNCTION("""COMPUTED_VALUE"""),0.150943396226415)</f>
        <v>0.1509433962</v>
      </c>
      <c r="O192" s="8">
        <f>IFERROR(__xludf.DUMMYFUNCTION("""COMPUTED_VALUE"""),0.115384615384615)</f>
        <v>0.1153846154</v>
      </c>
      <c r="P192" s="8">
        <f>IFERROR(__xludf.DUMMYFUNCTION("""COMPUTED_VALUE"""),0.0192307692307692)</f>
        <v>0.01923076923</v>
      </c>
      <c r="Q192" s="8">
        <f>IFERROR(__xludf.DUMMYFUNCTION("""COMPUTED_VALUE"""),0.0)</f>
        <v>0</v>
      </c>
      <c r="R192" s="8">
        <f>IFERROR(__xludf.DUMMYFUNCTION("""COMPUTED_VALUE"""),0.0)</f>
        <v>0</v>
      </c>
      <c r="S192" s="8">
        <f>IFERROR(__xludf.DUMMYFUNCTION("""COMPUTED_VALUE"""),0.0)</f>
        <v>0</v>
      </c>
      <c r="T192" s="8">
        <f>IFERROR(__xludf.DUMMYFUNCTION("""COMPUTED_VALUE"""),0.0)</f>
        <v>0</v>
      </c>
      <c r="U192" s="8">
        <f>IFERROR(__xludf.DUMMYFUNCTION("""COMPUTED_VALUE"""),0.0)</f>
        <v>0</v>
      </c>
      <c r="V192" s="8">
        <f>IFERROR(__xludf.DUMMYFUNCTION("""COMPUTED_VALUE"""),0.0)</f>
        <v>0</v>
      </c>
      <c r="W192" s="8">
        <f>IFERROR(__xludf.DUMMYFUNCTION("""COMPUTED_VALUE"""),0.0)</f>
        <v>0</v>
      </c>
      <c r="X192" s="8">
        <f>IFERROR(__xludf.DUMMYFUNCTION("""COMPUTED_VALUE"""),0.0)</f>
        <v>0</v>
      </c>
      <c r="Y192" s="8">
        <f>IFERROR(__xludf.DUMMYFUNCTION("""COMPUTED_VALUE"""),0.0)</f>
        <v>0</v>
      </c>
      <c r="Z192" s="8">
        <f>IFERROR(__xludf.DUMMYFUNCTION("""COMPUTED_VALUE"""),0.0)</f>
        <v>0</v>
      </c>
      <c r="AA192" s="8">
        <f>IFERROR(__xludf.DUMMYFUNCTION("""COMPUTED_VALUE"""),0.0)</f>
        <v>0</v>
      </c>
      <c r="AB192" s="8">
        <f>IFERROR(__xludf.DUMMYFUNCTION("""COMPUTED_VALUE"""),0.0)</f>
        <v>0</v>
      </c>
      <c r="AC192" s="8">
        <f>IFERROR(__xludf.DUMMYFUNCTION("""COMPUTED_VALUE"""),0.0)</f>
        <v>0</v>
      </c>
    </row>
    <row r="193" ht="15.75" customHeight="1">
      <c r="A193" s="6" t="str">
        <f>IFERROR(__xludf.DUMMYFUNCTION("""COMPUTED_VALUE"""),"ab0abb1b032efe35c0bd9be9cb6f80f8738dc1c9")</f>
        <v>ab0abb1b032efe35c0bd9be9cb6f80f8738dc1c9</v>
      </c>
      <c r="B193" s="6" t="str">
        <f>IFERROR(__xludf.DUMMYFUNCTION("""COMPUTED_VALUE"""),"Kaizen Aritoku Rise")</f>
        <v>Kaizen Aritoku Rise</v>
      </c>
      <c r="C193" s="6" t="str">
        <f>IFERROR(__xludf.DUMMYFUNCTION("""COMPUTED_VALUE"""),"System and Superpower")</f>
        <v>System and Superpower</v>
      </c>
      <c r="D193" s="11">
        <f>IFERROR(__xludf.DUMMYFUNCTION("""COMPUTED_VALUE"""),102.0)</f>
        <v>102</v>
      </c>
      <c r="E193" s="8">
        <f>IFERROR(__xludf.DUMMYFUNCTION("""COMPUTED_VALUE"""),0.990196078431372)</f>
        <v>0.9901960784</v>
      </c>
      <c r="F193" s="8">
        <f>IFERROR(__xludf.DUMMYFUNCTION("""COMPUTED_VALUE"""),0.558823529411764)</f>
        <v>0.5588235294</v>
      </c>
      <c r="G193" s="8">
        <f>IFERROR(__xludf.DUMMYFUNCTION("""COMPUTED_VALUE"""),0.490196078431372)</f>
        <v>0.4901960784</v>
      </c>
      <c r="H193" s="8">
        <f>IFERROR(__xludf.DUMMYFUNCTION("""COMPUTED_VALUE"""),0.38235294117647)</f>
        <v>0.3823529412</v>
      </c>
      <c r="I193" s="8">
        <f>IFERROR(__xludf.DUMMYFUNCTION("""COMPUTED_VALUE"""),0.30392156862745)</f>
        <v>0.3039215686</v>
      </c>
      <c r="J193" s="8">
        <f>IFERROR(__xludf.DUMMYFUNCTION("""COMPUTED_VALUE"""),0.274509803921568)</f>
        <v>0.2745098039</v>
      </c>
      <c r="K193" s="8">
        <f>IFERROR(__xludf.DUMMYFUNCTION("""COMPUTED_VALUE"""),0.254901960784313)</f>
        <v>0.2549019608</v>
      </c>
      <c r="L193" s="8">
        <f>IFERROR(__xludf.DUMMYFUNCTION("""COMPUTED_VALUE"""),0.227722772277227)</f>
        <v>0.2277227723</v>
      </c>
      <c r="M193" s="8">
        <f>IFERROR(__xludf.DUMMYFUNCTION("""COMPUTED_VALUE"""),0.217821782178217)</f>
        <v>0.2178217822</v>
      </c>
      <c r="N193" s="8">
        <f>IFERROR(__xludf.DUMMYFUNCTION("""COMPUTED_VALUE"""),0.217821782178217)</f>
        <v>0.2178217822</v>
      </c>
      <c r="O193" s="8">
        <f>IFERROR(__xludf.DUMMYFUNCTION("""COMPUTED_VALUE"""),0.16)</f>
        <v>0.16</v>
      </c>
      <c r="P193" s="8">
        <f>IFERROR(__xludf.DUMMYFUNCTION("""COMPUTED_VALUE"""),0.11)</f>
        <v>0.11</v>
      </c>
      <c r="Q193" s="8">
        <f>IFERROR(__xludf.DUMMYFUNCTION("""COMPUTED_VALUE"""),0.0808080808080808)</f>
        <v>0.08080808081</v>
      </c>
      <c r="R193" s="8">
        <f>IFERROR(__xludf.DUMMYFUNCTION("""COMPUTED_VALUE"""),0.0196078431372549)</f>
        <v>0.01960784314</v>
      </c>
      <c r="S193" s="8">
        <f>IFERROR(__xludf.DUMMYFUNCTION("""COMPUTED_VALUE"""),0.0392156862745098)</f>
        <v>0.03921568627</v>
      </c>
      <c r="T193" s="8">
        <f>IFERROR(__xludf.DUMMYFUNCTION("""COMPUTED_VALUE"""),0.0)</f>
        <v>0</v>
      </c>
      <c r="U193" s="8">
        <f>IFERROR(__xludf.DUMMYFUNCTION("""COMPUTED_VALUE"""),0.0)</f>
        <v>0</v>
      </c>
      <c r="V193" s="8">
        <f>IFERROR(__xludf.DUMMYFUNCTION("""COMPUTED_VALUE"""),0.0)</f>
        <v>0</v>
      </c>
      <c r="W193" s="8">
        <f>IFERROR(__xludf.DUMMYFUNCTION("""COMPUTED_VALUE"""),0.0)</f>
        <v>0</v>
      </c>
      <c r="X193" s="8">
        <f>IFERROR(__xludf.DUMMYFUNCTION("""COMPUTED_VALUE"""),0.0)</f>
        <v>0</v>
      </c>
      <c r="Y193" s="8">
        <f>IFERROR(__xludf.DUMMYFUNCTION("""COMPUTED_VALUE"""),0.0)</f>
        <v>0</v>
      </c>
      <c r="Z193" s="8">
        <f>IFERROR(__xludf.DUMMYFUNCTION("""COMPUTED_VALUE"""),0.0)</f>
        <v>0</v>
      </c>
      <c r="AA193" s="8">
        <f>IFERROR(__xludf.DUMMYFUNCTION("""COMPUTED_VALUE"""),0.0)</f>
        <v>0</v>
      </c>
      <c r="AB193" s="8">
        <f>IFERROR(__xludf.DUMMYFUNCTION("""COMPUTED_VALUE"""),0.0)</f>
        <v>0</v>
      </c>
      <c r="AC193" s="8">
        <f>IFERROR(__xludf.DUMMYFUNCTION("""COMPUTED_VALUE"""),0.0)</f>
        <v>0</v>
      </c>
    </row>
    <row r="194" ht="15.75" customHeight="1">
      <c r="A194" s="6" t="str">
        <f>IFERROR(__xludf.DUMMYFUNCTION("""COMPUTED_VALUE"""),"abe99e0d615e9d7ebbf5d941810842cf64a74c6c")</f>
        <v>abe99e0d615e9d7ebbf5d941810842cf64a74c6c</v>
      </c>
      <c r="B194" s="6" t="str">
        <f>IFERROR(__xludf.DUMMYFUNCTION("""COMPUTED_VALUE"""),"Forgetting You, Lily")</f>
        <v>Forgetting You, Lily</v>
      </c>
      <c r="C194" s="6" t="str">
        <f>IFERROR(__xludf.DUMMYFUNCTION("""COMPUTED_VALUE"""),"Romance")</f>
        <v>Romance</v>
      </c>
      <c r="D194" s="11">
        <f>IFERROR(__xludf.DUMMYFUNCTION("""COMPUTED_VALUE"""),203.0)</f>
        <v>203</v>
      </c>
      <c r="E194" s="8">
        <f>IFERROR(__xludf.DUMMYFUNCTION("""COMPUTED_VALUE"""),0.975247524752475)</f>
        <v>0.9752475248</v>
      </c>
      <c r="F194" s="8">
        <f>IFERROR(__xludf.DUMMYFUNCTION("""COMPUTED_VALUE"""),0.3248730964467)</f>
        <v>0.3248730964</v>
      </c>
      <c r="G194" s="8">
        <f>IFERROR(__xludf.DUMMYFUNCTION("""COMPUTED_VALUE"""),0.255102040816326)</f>
        <v>0.2551020408</v>
      </c>
      <c r="H194" s="8">
        <f>IFERROR(__xludf.DUMMYFUNCTION("""COMPUTED_VALUE"""),0.206185567010309)</f>
        <v>0.206185567</v>
      </c>
      <c r="I194" s="8">
        <f>IFERROR(__xludf.DUMMYFUNCTION("""COMPUTED_VALUE"""),0.181347150259067)</f>
        <v>0.1813471503</v>
      </c>
      <c r="J194" s="8">
        <f>IFERROR(__xludf.DUMMYFUNCTION("""COMPUTED_VALUE"""),0.162303664921465)</f>
        <v>0.1623036649</v>
      </c>
      <c r="K194" s="8">
        <f>IFERROR(__xludf.DUMMYFUNCTION("""COMPUTED_VALUE"""),0.137566137566137)</f>
        <v>0.1375661376</v>
      </c>
      <c r="L194" s="8">
        <f>IFERROR(__xludf.DUMMYFUNCTION("""COMPUTED_VALUE"""),0.117647058823529)</f>
        <v>0.1176470588</v>
      </c>
      <c r="M194" s="8">
        <f>IFERROR(__xludf.DUMMYFUNCTION("""COMPUTED_VALUE"""),0.10752688172043)</f>
        <v>0.1075268817</v>
      </c>
      <c r="N194" s="8">
        <f>IFERROR(__xludf.DUMMYFUNCTION("""COMPUTED_VALUE"""),0.102702702702702)</f>
        <v>0.1027027027</v>
      </c>
      <c r="O194" s="8">
        <f>IFERROR(__xludf.DUMMYFUNCTION("""COMPUTED_VALUE"""),0.0804597701149425)</f>
        <v>0.08045977011</v>
      </c>
      <c r="P194" s="8">
        <f>IFERROR(__xludf.DUMMYFUNCTION("""COMPUTED_VALUE"""),0.0708661417322834)</f>
        <v>0.07086614173</v>
      </c>
      <c r="Q194" s="8">
        <f>IFERROR(__xludf.DUMMYFUNCTION("""COMPUTED_VALUE"""),0.0)</f>
        <v>0</v>
      </c>
      <c r="R194" s="8">
        <f>IFERROR(__xludf.DUMMYFUNCTION("""COMPUTED_VALUE"""),0.0)</f>
        <v>0</v>
      </c>
      <c r="S194" s="8">
        <f>IFERROR(__xludf.DUMMYFUNCTION("""COMPUTED_VALUE"""),0.0)</f>
        <v>0</v>
      </c>
      <c r="T194" s="8">
        <f>IFERROR(__xludf.DUMMYFUNCTION("""COMPUTED_VALUE"""),0.0)</f>
        <v>0</v>
      </c>
      <c r="U194" s="8">
        <f>IFERROR(__xludf.DUMMYFUNCTION("""COMPUTED_VALUE"""),0.0)</f>
        <v>0</v>
      </c>
      <c r="V194" s="8">
        <f>IFERROR(__xludf.DUMMYFUNCTION("""COMPUTED_VALUE"""),0.0)</f>
        <v>0</v>
      </c>
      <c r="W194" s="8">
        <f>IFERROR(__xludf.DUMMYFUNCTION("""COMPUTED_VALUE"""),0.0)</f>
        <v>0</v>
      </c>
      <c r="X194" s="8">
        <f>IFERROR(__xludf.DUMMYFUNCTION("""COMPUTED_VALUE"""),0.0)</f>
        <v>0</v>
      </c>
      <c r="Y194" s="8">
        <f>IFERROR(__xludf.DUMMYFUNCTION("""COMPUTED_VALUE"""),0.0)</f>
        <v>0</v>
      </c>
      <c r="Z194" s="8">
        <f>IFERROR(__xludf.DUMMYFUNCTION("""COMPUTED_VALUE"""),0.0)</f>
        <v>0</v>
      </c>
      <c r="AA194" s="8">
        <f>IFERROR(__xludf.DUMMYFUNCTION("""COMPUTED_VALUE"""),0.0)</f>
        <v>0</v>
      </c>
      <c r="AB194" s="8">
        <f>IFERROR(__xludf.DUMMYFUNCTION("""COMPUTED_VALUE"""),0.0)</f>
        <v>0</v>
      </c>
      <c r="AC194" s="8">
        <f>IFERROR(__xludf.DUMMYFUNCTION("""COMPUTED_VALUE"""),0.0)</f>
        <v>0</v>
      </c>
    </row>
    <row r="195" ht="15.75" customHeight="1">
      <c r="A195" s="6" t="str">
        <f>IFERROR(__xludf.DUMMYFUNCTION("""COMPUTED_VALUE"""),"ac20da1af1ee60dd2020e8ff294c8c9dcf5be7ba")</f>
        <v>ac20da1af1ee60dd2020e8ff294c8c9dcf5be7ba</v>
      </c>
      <c r="B195" s="6" t="str">
        <f>IFERROR(__xludf.DUMMYFUNCTION("""COMPUTED_VALUE"""),"General Drake")</f>
        <v>General Drake</v>
      </c>
      <c r="C195" s="6" t="str">
        <f>IFERROR(__xludf.DUMMYFUNCTION("""COMPUTED_VALUE"""),"Suspense or Thriller")</f>
        <v>Suspense or Thriller</v>
      </c>
      <c r="D195" s="11">
        <f>IFERROR(__xludf.DUMMYFUNCTION("""COMPUTED_VALUE"""),405.0)</f>
        <v>405</v>
      </c>
      <c r="E195" s="8">
        <f>IFERROR(__xludf.DUMMYFUNCTION("""COMPUTED_VALUE"""),0.945679012345679)</f>
        <v>0.9456790123</v>
      </c>
      <c r="F195" s="8">
        <f>IFERROR(__xludf.DUMMYFUNCTION("""COMPUTED_VALUE"""),0.579207920792079)</f>
        <v>0.5792079208</v>
      </c>
      <c r="G195" s="8">
        <f>IFERROR(__xludf.DUMMYFUNCTION("""COMPUTED_VALUE"""),0.5)</f>
        <v>0.5</v>
      </c>
      <c r="H195" s="8">
        <f>IFERROR(__xludf.DUMMYFUNCTION("""COMPUTED_VALUE"""),0.45049504950495)</f>
        <v>0.4504950495</v>
      </c>
      <c r="I195" s="8">
        <f>IFERROR(__xludf.DUMMYFUNCTION("""COMPUTED_VALUE"""),0.408415841584158)</f>
        <v>0.4084158416</v>
      </c>
      <c r="J195" s="8">
        <f>IFERROR(__xludf.DUMMYFUNCTION("""COMPUTED_VALUE"""),0.386138613861386)</f>
        <v>0.3861386139</v>
      </c>
      <c r="K195" s="8">
        <f>IFERROR(__xludf.DUMMYFUNCTION("""COMPUTED_VALUE"""),0.349009900990099)</f>
        <v>0.349009901</v>
      </c>
      <c r="L195" s="8">
        <f>IFERROR(__xludf.DUMMYFUNCTION("""COMPUTED_VALUE"""),0.3)</f>
        <v>0.3</v>
      </c>
      <c r="M195" s="8">
        <f>IFERROR(__xludf.DUMMYFUNCTION("""COMPUTED_VALUE"""),0.290237467018469)</f>
        <v>0.290237467</v>
      </c>
      <c r="N195" s="8">
        <f>IFERROR(__xludf.DUMMYFUNCTION("""COMPUTED_VALUE"""),0.277777777777777)</f>
        <v>0.2777777778</v>
      </c>
      <c r="O195" s="8">
        <f>IFERROR(__xludf.DUMMYFUNCTION("""COMPUTED_VALUE"""),0.23076923076923)</f>
        <v>0.2307692308</v>
      </c>
      <c r="P195" s="8">
        <f>IFERROR(__xludf.DUMMYFUNCTION("""COMPUTED_VALUE"""),0.143292682926829)</f>
        <v>0.1432926829</v>
      </c>
      <c r="Q195" s="8">
        <f>IFERROR(__xludf.DUMMYFUNCTION("""COMPUTED_VALUE"""),0.0718232044198895)</f>
        <v>0.07182320442</v>
      </c>
      <c r="R195" s="8">
        <f>IFERROR(__xludf.DUMMYFUNCTION("""COMPUTED_VALUE"""),0.0)</f>
        <v>0</v>
      </c>
      <c r="S195" s="8">
        <f>IFERROR(__xludf.DUMMYFUNCTION("""COMPUTED_VALUE"""),0.0)</f>
        <v>0</v>
      </c>
      <c r="T195" s="8">
        <f>IFERROR(__xludf.DUMMYFUNCTION("""COMPUTED_VALUE"""),0.0)</f>
        <v>0</v>
      </c>
      <c r="U195" s="8">
        <f>IFERROR(__xludf.DUMMYFUNCTION("""COMPUTED_VALUE"""),0.0)</f>
        <v>0</v>
      </c>
      <c r="V195" s="8">
        <f>IFERROR(__xludf.DUMMYFUNCTION("""COMPUTED_VALUE"""),0.0)</f>
        <v>0</v>
      </c>
      <c r="W195" s="8">
        <f>IFERROR(__xludf.DUMMYFUNCTION("""COMPUTED_VALUE"""),0.0)</f>
        <v>0</v>
      </c>
      <c r="X195" s="8">
        <f>IFERROR(__xludf.DUMMYFUNCTION("""COMPUTED_VALUE"""),0.0)</f>
        <v>0</v>
      </c>
      <c r="Y195" s="8">
        <f>IFERROR(__xludf.DUMMYFUNCTION("""COMPUTED_VALUE"""),0.0)</f>
        <v>0</v>
      </c>
      <c r="Z195" s="8">
        <f>IFERROR(__xludf.DUMMYFUNCTION("""COMPUTED_VALUE"""),0.0)</f>
        <v>0</v>
      </c>
      <c r="AA195" s="8">
        <f>IFERROR(__xludf.DUMMYFUNCTION("""COMPUTED_VALUE"""),0.0)</f>
        <v>0</v>
      </c>
      <c r="AB195" s="8">
        <f>IFERROR(__xludf.DUMMYFUNCTION("""COMPUTED_VALUE"""),0.0)</f>
        <v>0</v>
      </c>
      <c r="AC195" s="8">
        <f>IFERROR(__xludf.DUMMYFUNCTION("""COMPUTED_VALUE"""),0.0)</f>
        <v>0</v>
      </c>
    </row>
    <row r="196" ht="15.75" customHeight="1">
      <c r="A196" s="6" t="str">
        <f>IFERROR(__xludf.DUMMYFUNCTION("""COMPUTED_VALUE"""),"ad2e8d85f798bb8f66e9add56b1e29d7018e06fb")</f>
        <v>ad2e8d85f798bb8f66e9add56b1e29d7018e06fb</v>
      </c>
      <c r="B196" s="6" t="str">
        <f>IFERROR(__xludf.DUMMYFUNCTION("""COMPUTED_VALUE"""),"Embezzling Simp Funds")</f>
        <v>Embezzling Simp Funds</v>
      </c>
      <c r="C196" s="6" t="str">
        <f>IFERROR(__xludf.DUMMYFUNCTION("""COMPUTED_VALUE"""),"System and Superpower")</f>
        <v>System and Superpower</v>
      </c>
      <c r="D196" s="11">
        <f>IFERROR(__xludf.DUMMYFUNCTION("""COMPUTED_VALUE"""),1081.0)</f>
        <v>1081</v>
      </c>
      <c r="E196" s="8">
        <f>IFERROR(__xludf.DUMMYFUNCTION("""COMPUTED_VALUE"""),0.963922294172062)</f>
        <v>0.9639222942</v>
      </c>
      <c r="F196" s="8">
        <f>IFERROR(__xludf.DUMMYFUNCTION("""COMPUTED_VALUE"""),0.484708063021316)</f>
        <v>0.484708063</v>
      </c>
      <c r="G196" s="8">
        <f>IFERROR(__xludf.DUMMYFUNCTION("""COMPUTED_VALUE"""),0.419144981412639)</f>
        <v>0.4191449814</v>
      </c>
      <c r="H196" s="8">
        <f>IFERROR(__xludf.DUMMYFUNCTION("""COMPUTED_VALUE"""),0.384758364312267)</f>
        <v>0.3847583643</v>
      </c>
      <c r="I196" s="8">
        <f>IFERROR(__xludf.DUMMYFUNCTION("""COMPUTED_VALUE"""),0.350697674418604)</f>
        <v>0.3506976744</v>
      </c>
      <c r="J196" s="8">
        <f>IFERROR(__xludf.DUMMYFUNCTION("""COMPUTED_VALUE"""),0.324022346368715)</f>
        <v>0.3240223464</v>
      </c>
      <c r="K196" s="8">
        <f>IFERROR(__xludf.DUMMYFUNCTION("""COMPUTED_VALUE"""),0.30532212885154)</f>
        <v>0.3053221289</v>
      </c>
      <c r="L196" s="8">
        <f>IFERROR(__xludf.DUMMYFUNCTION("""COMPUTED_VALUE"""),0.283707865168539)</f>
        <v>0.2837078652</v>
      </c>
      <c r="M196" s="8">
        <f>IFERROR(__xludf.DUMMYFUNCTION("""COMPUTED_VALUE"""),0.276575729068673)</f>
        <v>0.2765757291</v>
      </c>
      <c r="N196" s="8">
        <f>IFERROR(__xludf.DUMMYFUNCTION("""COMPUTED_VALUE"""),0.268684957426679)</f>
        <v>0.2686849574</v>
      </c>
      <c r="O196" s="8">
        <f>IFERROR(__xludf.DUMMYFUNCTION("""COMPUTED_VALUE"""),0.222108495394063)</f>
        <v>0.2221084954</v>
      </c>
      <c r="P196" s="8">
        <f>IFERROR(__xludf.DUMMYFUNCTION("""COMPUTED_VALUE"""),0.19375)</f>
        <v>0.19375</v>
      </c>
      <c r="Q196" s="8">
        <f>IFERROR(__xludf.DUMMYFUNCTION("""COMPUTED_VALUE"""),0.153846153846153)</f>
        <v>0.1538461538</v>
      </c>
      <c r="R196" s="8">
        <f>IFERROR(__xludf.DUMMYFUNCTION("""COMPUTED_VALUE"""),0.132258064516129)</f>
        <v>0.1322580645</v>
      </c>
      <c r="S196" s="8">
        <f>IFERROR(__xludf.DUMMYFUNCTION("""COMPUTED_VALUE"""),0.12251655629139)</f>
        <v>0.1225165563</v>
      </c>
      <c r="T196" s="8">
        <f>IFERROR(__xludf.DUMMYFUNCTION("""COMPUTED_VALUE"""),0.094017094017094)</f>
        <v>0.09401709402</v>
      </c>
      <c r="U196" s="8">
        <f>IFERROR(__xludf.DUMMYFUNCTION("""COMPUTED_VALUE"""),0.0735294117647058)</f>
        <v>0.07352941176</v>
      </c>
      <c r="V196" s="8">
        <f>IFERROR(__xludf.DUMMYFUNCTION("""COMPUTED_VALUE"""),0.056910569105691)</f>
        <v>0.05691056911</v>
      </c>
      <c r="W196" s="8">
        <f>IFERROR(__xludf.DUMMYFUNCTION("""COMPUTED_VALUE"""),0.0697674418604651)</f>
        <v>0.06976744186</v>
      </c>
      <c r="X196" s="8">
        <f>IFERROR(__xludf.DUMMYFUNCTION("""COMPUTED_VALUE"""),0.054054054054054)</f>
        <v>0.05405405405</v>
      </c>
      <c r="Y196" s="8">
        <f>IFERROR(__xludf.DUMMYFUNCTION("""COMPUTED_VALUE"""),0.0)</f>
        <v>0</v>
      </c>
      <c r="Z196" s="8">
        <f>IFERROR(__xludf.DUMMYFUNCTION("""COMPUTED_VALUE"""),0.0)</f>
        <v>0</v>
      </c>
      <c r="AA196" s="8">
        <f>IFERROR(__xludf.DUMMYFUNCTION("""COMPUTED_VALUE"""),0.0)</f>
        <v>0</v>
      </c>
      <c r="AB196" s="8">
        <f>IFERROR(__xludf.DUMMYFUNCTION("""COMPUTED_VALUE"""),0.0)</f>
        <v>0</v>
      </c>
      <c r="AC196" s="8">
        <f>IFERROR(__xludf.DUMMYFUNCTION("""COMPUTED_VALUE"""),0.0)</f>
        <v>0</v>
      </c>
    </row>
    <row r="197" ht="15.75" customHeight="1">
      <c r="A197" s="6" t="str">
        <f>IFERROR(__xludf.DUMMYFUNCTION("""COMPUTED_VALUE"""),"ad877b024bb7b2c30b52737ab2d9d8d49cc89f77")</f>
        <v>ad877b024bb7b2c30b52737ab2d9d8d49cc89f77</v>
      </c>
      <c r="B197" s="6" t="str">
        <f>IFERROR(__xludf.DUMMYFUNCTION("""COMPUTED_VALUE"""),"The Master at Heart Work ")</f>
        <v>The Master at Heart Work </v>
      </c>
      <c r="C197" s="6" t="str">
        <f>IFERROR(__xludf.DUMMYFUNCTION("""COMPUTED_VALUE"""),"System and Superpower")</f>
        <v>System and Superpower</v>
      </c>
      <c r="D197" s="11">
        <f>IFERROR(__xludf.DUMMYFUNCTION("""COMPUTED_VALUE"""),1053.0)</f>
        <v>1053</v>
      </c>
      <c r="E197" s="8">
        <f>IFERROR(__xludf.DUMMYFUNCTION("""COMPUTED_VALUE"""),0.923076923076923)</f>
        <v>0.9230769231</v>
      </c>
      <c r="F197" s="8">
        <f>IFERROR(__xludf.DUMMYFUNCTION("""COMPUTED_VALUE"""),0.631528964862298)</f>
        <v>0.6315289649</v>
      </c>
      <c r="G197" s="8">
        <f>IFERROR(__xludf.DUMMYFUNCTION("""COMPUTED_VALUE"""),0.572243346007604)</f>
        <v>0.572243346</v>
      </c>
      <c r="H197" s="8">
        <f>IFERROR(__xludf.DUMMYFUNCTION("""COMPUTED_VALUE"""),0.513796384395813)</f>
        <v>0.5137963844</v>
      </c>
      <c r="I197" s="8">
        <f>IFERROR(__xludf.DUMMYFUNCTION("""COMPUTED_VALUE"""),0.495238095238095)</f>
        <v>0.4952380952</v>
      </c>
      <c r="J197" s="8">
        <f>IFERROR(__xludf.DUMMYFUNCTION("""COMPUTED_VALUE"""),0.44327931363203)</f>
        <v>0.4432793136</v>
      </c>
      <c r="K197" s="8">
        <f>IFERROR(__xludf.DUMMYFUNCTION("""COMPUTED_VALUE"""),0.409351145038167)</f>
        <v>0.409351145</v>
      </c>
      <c r="L197" s="8">
        <f>IFERROR(__xludf.DUMMYFUNCTION("""COMPUTED_VALUE"""),0.396172248803827)</f>
        <v>0.3961722488</v>
      </c>
      <c r="M197" s="8">
        <f>IFERROR(__xludf.DUMMYFUNCTION("""COMPUTED_VALUE"""),0.378947368421052)</f>
        <v>0.3789473684</v>
      </c>
      <c r="N197" s="8">
        <f>IFERROR(__xludf.DUMMYFUNCTION("""COMPUTED_VALUE"""),0.346743295019157)</f>
        <v>0.346743295</v>
      </c>
      <c r="O197" s="8">
        <f>IFERROR(__xludf.DUMMYFUNCTION("""COMPUTED_VALUE"""),0.29951690821256)</f>
        <v>0.2995169082</v>
      </c>
      <c r="P197" s="8">
        <f>IFERROR(__xludf.DUMMYFUNCTION("""COMPUTED_VALUE"""),0.205680705190989)</f>
        <v>0.2056807052</v>
      </c>
      <c r="Q197" s="8">
        <f>IFERROR(__xludf.DUMMYFUNCTION("""COMPUTED_VALUE"""),0.138925294888597)</f>
        <v>0.1389252949</v>
      </c>
      <c r="R197" s="8">
        <f>IFERROR(__xludf.DUMMYFUNCTION("""COMPUTED_VALUE"""),0.136490250696378)</f>
        <v>0.1364902507</v>
      </c>
      <c r="S197" s="8">
        <f>IFERROR(__xludf.DUMMYFUNCTION("""COMPUTED_VALUE"""),0.129496402877697)</f>
        <v>0.1294964029</v>
      </c>
      <c r="T197" s="8">
        <f>IFERROR(__xludf.DUMMYFUNCTION("""COMPUTED_VALUE"""),0.11340206185567)</f>
        <v>0.1134020619</v>
      </c>
      <c r="U197" s="8">
        <f>IFERROR(__xludf.DUMMYFUNCTION("""COMPUTED_VALUE"""),0.082010582010582)</f>
        <v>0.08201058201</v>
      </c>
      <c r="V197" s="8">
        <f>IFERROR(__xludf.DUMMYFUNCTION("""COMPUTED_VALUE"""),0.0771812080536912)</f>
        <v>0.07718120805</v>
      </c>
      <c r="W197" s="8">
        <f>IFERROR(__xludf.DUMMYFUNCTION("""COMPUTED_VALUE"""),0.0830039525691699)</f>
        <v>0.08300395257</v>
      </c>
      <c r="X197" s="8">
        <f>IFERROR(__xludf.DUMMYFUNCTION("""COMPUTED_VALUE"""),0.045045045045045)</f>
        <v>0.04504504505</v>
      </c>
      <c r="Y197" s="8">
        <f>IFERROR(__xludf.DUMMYFUNCTION("""COMPUTED_VALUE"""),0.0)</f>
        <v>0</v>
      </c>
      <c r="Z197" s="8">
        <f>IFERROR(__xludf.DUMMYFUNCTION("""COMPUTED_VALUE"""),0.0)</f>
        <v>0</v>
      </c>
      <c r="AA197" s="8">
        <f>IFERROR(__xludf.DUMMYFUNCTION("""COMPUTED_VALUE"""),0.0)</f>
        <v>0</v>
      </c>
      <c r="AB197" s="8">
        <f>IFERROR(__xludf.DUMMYFUNCTION("""COMPUTED_VALUE"""),0.0)</f>
        <v>0</v>
      </c>
      <c r="AC197" s="8">
        <f>IFERROR(__xludf.DUMMYFUNCTION("""COMPUTED_VALUE"""),0.0)</f>
        <v>0</v>
      </c>
    </row>
    <row r="198" ht="15.75" customHeight="1">
      <c r="A198" s="6" t="str">
        <f>IFERROR(__xludf.DUMMYFUNCTION("""COMPUTED_VALUE"""),"afc4914ba536580c6c21a79231a73b9e6dc67e1a")</f>
        <v>afc4914ba536580c6c21a79231a73b9e6dc67e1a</v>
      </c>
      <c r="B198" s="6" t="str">
        <f>IFERROR(__xludf.DUMMYFUNCTION("""COMPUTED_VALUE"""),"Her Cupid Curse")</f>
        <v>Her Cupid Curse</v>
      </c>
      <c r="C198" s="6" t="str">
        <f>IFERROR(__xludf.DUMMYFUNCTION("""COMPUTED_VALUE"""),"Romance")</f>
        <v>Romance</v>
      </c>
      <c r="D198" s="11">
        <f>IFERROR(__xludf.DUMMYFUNCTION("""COMPUTED_VALUE"""),198.0)</f>
        <v>198</v>
      </c>
      <c r="E198" s="8">
        <f>IFERROR(__xludf.DUMMYFUNCTION("""COMPUTED_VALUE"""),0.974747474747474)</f>
        <v>0.9747474747</v>
      </c>
      <c r="F198" s="8">
        <f>IFERROR(__xludf.DUMMYFUNCTION("""COMPUTED_VALUE"""),0.430851063829787)</f>
        <v>0.4308510638</v>
      </c>
      <c r="G198" s="8">
        <f>IFERROR(__xludf.DUMMYFUNCTION("""COMPUTED_VALUE"""),0.386363636363636)</f>
        <v>0.3863636364</v>
      </c>
      <c r="H198" s="8">
        <f>IFERROR(__xludf.DUMMYFUNCTION("""COMPUTED_VALUE"""),0.343195266272189)</f>
        <v>0.3431952663</v>
      </c>
      <c r="I198" s="8">
        <f>IFERROR(__xludf.DUMMYFUNCTION("""COMPUTED_VALUE"""),0.280254777070063)</f>
        <v>0.2802547771</v>
      </c>
      <c r="J198" s="8">
        <f>IFERROR(__xludf.DUMMYFUNCTION("""COMPUTED_VALUE"""),0.246666666666666)</f>
        <v>0.2466666667</v>
      </c>
      <c r="K198" s="8">
        <f>IFERROR(__xludf.DUMMYFUNCTION("""COMPUTED_VALUE"""),0.216783216783216)</f>
        <v>0.2167832168</v>
      </c>
      <c r="L198" s="8">
        <f>IFERROR(__xludf.DUMMYFUNCTION("""COMPUTED_VALUE"""),0.188976377952755)</f>
        <v>0.188976378</v>
      </c>
      <c r="M198" s="8">
        <f>IFERROR(__xludf.DUMMYFUNCTION("""COMPUTED_VALUE"""),0.158333333333333)</f>
        <v>0.1583333333</v>
      </c>
      <c r="N198" s="8">
        <f>IFERROR(__xludf.DUMMYFUNCTION("""COMPUTED_VALUE"""),0.14018691588785)</f>
        <v>0.1401869159</v>
      </c>
      <c r="O198" s="8">
        <f>IFERROR(__xludf.DUMMYFUNCTION("""COMPUTED_VALUE"""),0.131868131868131)</f>
        <v>0.1318681319</v>
      </c>
      <c r="P198" s="8">
        <f>IFERROR(__xludf.DUMMYFUNCTION("""COMPUTED_VALUE"""),0.25)</f>
        <v>0.25</v>
      </c>
      <c r="Q198" s="8">
        <f>IFERROR(__xludf.DUMMYFUNCTION("""COMPUTED_VALUE"""),0.0)</f>
        <v>0</v>
      </c>
      <c r="R198" s="8">
        <f>IFERROR(__xludf.DUMMYFUNCTION("""COMPUTED_VALUE"""),0.0)</f>
        <v>0</v>
      </c>
      <c r="S198" s="8">
        <f>IFERROR(__xludf.DUMMYFUNCTION("""COMPUTED_VALUE"""),0.0)</f>
        <v>0</v>
      </c>
      <c r="T198" s="8">
        <f>IFERROR(__xludf.DUMMYFUNCTION("""COMPUTED_VALUE"""),0.0)</f>
        <v>0</v>
      </c>
      <c r="U198" s="8">
        <f>IFERROR(__xludf.DUMMYFUNCTION("""COMPUTED_VALUE"""),0.0)</f>
        <v>0</v>
      </c>
      <c r="V198" s="8">
        <f>IFERROR(__xludf.DUMMYFUNCTION("""COMPUTED_VALUE"""),0.0)</f>
        <v>0</v>
      </c>
      <c r="W198" s="8">
        <f>IFERROR(__xludf.DUMMYFUNCTION("""COMPUTED_VALUE"""),0.0)</f>
        <v>0</v>
      </c>
      <c r="X198" s="8">
        <f>IFERROR(__xludf.DUMMYFUNCTION("""COMPUTED_VALUE"""),0.0)</f>
        <v>0</v>
      </c>
      <c r="Y198" s="8">
        <f>IFERROR(__xludf.DUMMYFUNCTION("""COMPUTED_VALUE"""),0.0)</f>
        <v>0</v>
      </c>
      <c r="Z198" s="8">
        <f>IFERROR(__xludf.DUMMYFUNCTION("""COMPUTED_VALUE"""),0.0)</f>
        <v>0</v>
      </c>
      <c r="AA198" s="8">
        <f>IFERROR(__xludf.DUMMYFUNCTION("""COMPUTED_VALUE"""),0.0)</f>
        <v>0</v>
      </c>
      <c r="AB198" s="8">
        <f>IFERROR(__xludf.DUMMYFUNCTION("""COMPUTED_VALUE"""),0.0)</f>
        <v>0</v>
      </c>
      <c r="AC198" s="8">
        <f>IFERROR(__xludf.DUMMYFUNCTION("""COMPUTED_VALUE"""),0.0)</f>
        <v>0</v>
      </c>
    </row>
    <row r="199" ht="15.75" customHeight="1">
      <c r="A199" s="6" t="str">
        <f>IFERROR(__xludf.DUMMYFUNCTION("""COMPUTED_VALUE"""),"b035f182bb6d36439bba21081e89b0cb80ad7d57")</f>
        <v>b035f182bb6d36439bba21081e89b0cb80ad7d57</v>
      </c>
      <c r="B199" s="6" t="str">
        <f>IFERROR(__xludf.DUMMYFUNCTION("""COMPUTED_VALUE"""),"Glory After Loss")</f>
        <v>Glory After Loss</v>
      </c>
      <c r="C199" s="6" t="str">
        <f>IFERROR(__xludf.DUMMYFUNCTION("""COMPUTED_VALUE"""),"System and Superpower")</f>
        <v>System and Superpower</v>
      </c>
      <c r="D199" s="11">
        <f>IFERROR(__xludf.DUMMYFUNCTION("""COMPUTED_VALUE"""),750.0)</f>
        <v>750</v>
      </c>
      <c r="E199" s="8">
        <f>IFERROR(__xludf.DUMMYFUNCTION("""COMPUTED_VALUE"""),0.953333333333333)</f>
        <v>0.9533333333</v>
      </c>
      <c r="F199" s="8">
        <f>IFERROR(__xludf.DUMMYFUNCTION("""COMPUTED_VALUE"""),0.476635514018691)</f>
        <v>0.476635514</v>
      </c>
      <c r="G199" s="8">
        <f>IFERROR(__xludf.DUMMYFUNCTION("""COMPUTED_VALUE"""),0.423230974632843)</f>
        <v>0.4232309746</v>
      </c>
      <c r="H199" s="8">
        <f>IFERROR(__xludf.DUMMYFUNCTION("""COMPUTED_VALUE"""),0.377005347593582)</f>
        <v>0.3770053476</v>
      </c>
      <c r="I199" s="8">
        <f>IFERROR(__xludf.DUMMYFUNCTION("""COMPUTED_VALUE"""),0.353887399463807)</f>
        <v>0.3538873995</v>
      </c>
      <c r="J199" s="8">
        <f>IFERROR(__xludf.DUMMYFUNCTION("""COMPUTED_VALUE"""),0.330201342281879)</f>
        <v>0.3302013423</v>
      </c>
      <c r="K199" s="8">
        <f>IFERROR(__xludf.DUMMYFUNCTION("""COMPUTED_VALUE"""),0.313172043010752)</f>
        <v>0.313172043</v>
      </c>
      <c r="L199" s="8">
        <f>IFERROR(__xludf.DUMMYFUNCTION("""COMPUTED_VALUE"""),0.303234501347708)</f>
        <v>0.3032345013</v>
      </c>
      <c r="M199" s="8">
        <f>IFERROR(__xludf.DUMMYFUNCTION("""COMPUTED_VALUE"""),0.302294197031039)</f>
        <v>0.302294197</v>
      </c>
      <c r="N199" s="8">
        <f>IFERROR(__xludf.DUMMYFUNCTION("""COMPUTED_VALUE"""),0.292286874154262)</f>
        <v>0.2922868742</v>
      </c>
      <c r="O199" s="8">
        <f>IFERROR(__xludf.DUMMYFUNCTION("""COMPUTED_VALUE"""),0.258855585831062)</f>
        <v>0.2588555858</v>
      </c>
      <c r="P199" s="8">
        <f>IFERROR(__xludf.DUMMYFUNCTION("""COMPUTED_VALUE"""),0.181311018131101)</f>
        <v>0.1813110181</v>
      </c>
      <c r="Q199" s="8">
        <f>IFERROR(__xludf.DUMMYFUNCTION("""COMPUTED_VALUE"""),0.11216429699842)</f>
        <v>0.112164297</v>
      </c>
      <c r="R199" s="8">
        <f>IFERROR(__xludf.DUMMYFUNCTION("""COMPUTED_VALUE"""),0.0)</f>
        <v>0</v>
      </c>
      <c r="S199" s="8">
        <f>IFERROR(__xludf.DUMMYFUNCTION("""COMPUTED_VALUE"""),0.0)</f>
        <v>0</v>
      </c>
      <c r="T199" s="8">
        <f>IFERROR(__xludf.DUMMYFUNCTION("""COMPUTED_VALUE"""),0.0)</f>
        <v>0</v>
      </c>
      <c r="U199" s="8">
        <f>IFERROR(__xludf.DUMMYFUNCTION("""COMPUTED_VALUE"""),0.0)</f>
        <v>0</v>
      </c>
      <c r="V199" s="8">
        <f>IFERROR(__xludf.DUMMYFUNCTION("""COMPUTED_VALUE"""),0.0)</f>
        <v>0</v>
      </c>
      <c r="W199" s="8">
        <f>IFERROR(__xludf.DUMMYFUNCTION("""COMPUTED_VALUE"""),0.0)</f>
        <v>0</v>
      </c>
      <c r="X199" s="8">
        <f>IFERROR(__xludf.DUMMYFUNCTION("""COMPUTED_VALUE"""),0.0)</f>
        <v>0</v>
      </c>
      <c r="Y199" s="8">
        <f>IFERROR(__xludf.DUMMYFUNCTION("""COMPUTED_VALUE"""),0.0)</f>
        <v>0</v>
      </c>
      <c r="Z199" s="8">
        <f>IFERROR(__xludf.DUMMYFUNCTION("""COMPUTED_VALUE"""),0.0)</f>
        <v>0</v>
      </c>
      <c r="AA199" s="8">
        <f>IFERROR(__xludf.DUMMYFUNCTION("""COMPUTED_VALUE"""),0.0)</f>
        <v>0</v>
      </c>
      <c r="AB199" s="8">
        <f>IFERROR(__xludf.DUMMYFUNCTION("""COMPUTED_VALUE"""),0.0)</f>
        <v>0</v>
      </c>
      <c r="AC199" s="8">
        <f>IFERROR(__xludf.DUMMYFUNCTION("""COMPUTED_VALUE"""),0.0)</f>
        <v>0</v>
      </c>
    </row>
    <row r="200" ht="15.75" customHeight="1">
      <c r="A200" s="6" t="str">
        <f>IFERROR(__xludf.DUMMYFUNCTION("""COMPUTED_VALUE"""),"b0cb1a15751b32389e6dc5643df14e64f65a78e6")</f>
        <v>b0cb1a15751b32389e6dc5643df14e64f65a78e6</v>
      </c>
      <c r="B200" s="6" t="str">
        <f>IFERROR(__xludf.DUMMYFUNCTION("""COMPUTED_VALUE"""),"Desire of the Billionaire")</f>
        <v>Desire of the Billionaire</v>
      </c>
      <c r="C200" s="6" t="str">
        <f>IFERROR(__xludf.DUMMYFUNCTION("""COMPUTED_VALUE"""),"Romance")</f>
        <v>Romance</v>
      </c>
      <c r="D200" s="11">
        <f>IFERROR(__xludf.DUMMYFUNCTION("""COMPUTED_VALUE"""),216.0)</f>
        <v>216</v>
      </c>
      <c r="E200" s="8">
        <f>IFERROR(__xludf.DUMMYFUNCTION("""COMPUTED_VALUE"""),0.976851851851851)</f>
        <v>0.9768518519</v>
      </c>
      <c r="F200" s="8">
        <f>IFERROR(__xludf.DUMMYFUNCTION("""COMPUTED_VALUE"""),0.273148148148148)</f>
        <v>0.2731481481</v>
      </c>
      <c r="G200" s="8">
        <f>IFERROR(__xludf.DUMMYFUNCTION("""COMPUTED_VALUE"""),0.223255813953488)</f>
        <v>0.223255814</v>
      </c>
      <c r="H200" s="8">
        <f>IFERROR(__xludf.DUMMYFUNCTION("""COMPUTED_VALUE"""),0.195348837209302)</f>
        <v>0.1953488372</v>
      </c>
      <c r="I200" s="8">
        <f>IFERROR(__xludf.DUMMYFUNCTION("""COMPUTED_VALUE"""),0.190697674418604)</f>
        <v>0.1906976744</v>
      </c>
      <c r="J200" s="8">
        <f>IFERROR(__xludf.DUMMYFUNCTION("""COMPUTED_VALUE"""),0.181395348837209)</f>
        <v>0.1813953488</v>
      </c>
      <c r="K200" s="8">
        <f>IFERROR(__xludf.DUMMYFUNCTION("""COMPUTED_VALUE"""),0.181395348837209)</f>
        <v>0.1813953488</v>
      </c>
      <c r="L200" s="8">
        <f>IFERROR(__xludf.DUMMYFUNCTION("""COMPUTED_VALUE"""),0.176744186046511)</f>
        <v>0.176744186</v>
      </c>
      <c r="M200" s="8">
        <f>IFERROR(__xludf.DUMMYFUNCTION("""COMPUTED_VALUE"""),0.167441860465116)</f>
        <v>0.1674418605</v>
      </c>
      <c r="N200" s="8">
        <f>IFERROR(__xludf.DUMMYFUNCTION("""COMPUTED_VALUE"""),0.134883720930232)</f>
        <v>0.1348837209</v>
      </c>
      <c r="O200" s="8">
        <f>IFERROR(__xludf.DUMMYFUNCTION("""COMPUTED_VALUE"""),0.0896226415094339)</f>
        <v>0.08962264151</v>
      </c>
      <c r="P200" s="8">
        <f>IFERROR(__xludf.DUMMYFUNCTION("""COMPUTED_VALUE"""),0.0607734806629834)</f>
        <v>0.06077348066</v>
      </c>
      <c r="Q200" s="8">
        <f>IFERROR(__xludf.DUMMYFUNCTION("""COMPUTED_VALUE"""),0.0666666666666666)</f>
        <v>0.06666666667</v>
      </c>
      <c r="R200" s="8">
        <f>IFERROR(__xludf.DUMMYFUNCTION("""COMPUTED_VALUE"""),0.0)</f>
        <v>0</v>
      </c>
      <c r="S200" s="8">
        <f>IFERROR(__xludf.DUMMYFUNCTION("""COMPUTED_VALUE"""),0.0)</f>
        <v>0</v>
      </c>
      <c r="T200" s="8">
        <f>IFERROR(__xludf.DUMMYFUNCTION("""COMPUTED_VALUE"""),0.0)</f>
        <v>0</v>
      </c>
      <c r="U200" s="8">
        <f>IFERROR(__xludf.DUMMYFUNCTION("""COMPUTED_VALUE"""),0.0)</f>
        <v>0</v>
      </c>
      <c r="V200" s="8">
        <f>IFERROR(__xludf.DUMMYFUNCTION("""COMPUTED_VALUE"""),0.0)</f>
        <v>0</v>
      </c>
      <c r="W200" s="8">
        <f>IFERROR(__xludf.DUMMYFUNCTION("""COMPUTED_VALUE"""),0.0)</f>
        <v>0</v>
      </c>
      <c r="X200" s="8">
        <f>IFERROR(__xludf.DUMMYFUNCTION("""COMPUTED_VALUE"""),0.0)</f>
        <v>0</v>
      </c>
      <c r="Y200" s="8">
        <f>IFERROR(__xludf.DUMMYFUNCTION("""COMPUTED_VALUE"""),0.0)</f>
        <v>0</v>
      </c>
      <c r="Z200" s="8">
        <f>IFERROR(__xludf.DUMMYFUNCTION("""COMPUTED_VALUE"""),0.0)</f>
        <v>0</v>
      </c>
      <c r="AA200" s="8">
        <f>IFERROR(__xludf.DUMMYFUNCTION("""COMPUTED_VALUE"""),0.0)</f>
        <v>0</v>
      </c>
      <c r="AB200" s="8">
        <f>IFERROR(__xludf.DUMMYFUNCTION("""COMPUTED_VALUE"""),0.0)</f>
        <v>0</v>
      </c>
      <c r="AC200" s="8">
        <f>IFERROR(__xludf.DUMMYFUNCTION("""COMPUTED_VALUE"""),0.0)</f>
        <v>0</v>
      </c>
    </row>
    <row r="201" ht="15.75" customHeight="1">
      <c r="A201" s="6" t="str">
        <f>IFERROR(__xludf.DUMMYFUNCTION("""COMPUTED_VALUE"""),"b164057dc6b8df1ba1289d383220147f237b7dfa")</f>
        <v>b164057dc6b8df1ba1289d383220147f237b7dfa</v>
      </c>
      <c r="B201" s="6" t="str">
        <f>IFERROR(__xludf.DUMMYFUNCTION("""COMPUTED_VALUE"""),"Rush Marriage")</f>
        <v>Rush Marriage</v>
      </c>
      <c r="C201" s="6" t="str">
        <f>IFERROR(__xludf.DUMMYFUNCTION("""COMPUTED_VALUE"""),"Romance")</f>
        <v>Romance</v>
      </c>
      <c r="D201" s="11">
        <f>IFERROR(__xludf.DUMMYFUNCTION("""COMPUTED_VALUE"""),386.0)</f>
        <v>386</v>
      </c>
      <c r="E201" s="8">
        <f>IFERROR(__xludf.DUMMYFUNCTION("""COMPUTED_VALUE"""),0.981865284974093)</f>
        <v>0.981865285</v>
      </c>
      <c r="F201" s="8">
        <f>IFERROR(__xludf.DUMMYFUNCTION("""COMPUTED_VALUE"""),0.3860103626943)</f>
        <v>0.3860103627</v>
      </c>
      <c r="G201" s="8">
        <f>IFERROR(__xludf.DUMMYFUNCTION("""COMPUTED_VALUE"""),0.313471502590673)</f>
        <v>0.3134715026</v>
      </c>
      <c r="H201" s="8">
        <f>IFERROR(__xludf.DUMMYFUNCTION("""COMPUTED_VALUE"""),0.279792746113989)</f>
        <v>0.2797927461</v>
      </c>
      <c r="I201" s="8">
        <f>IFERROR(__xludf.DUMMYFUNCTION("""COMPUTED_VALUE"""),0.253886010362694)</f>
        <v>0.2538860104</v>
      </c>
      <c r="J201" s="8">
        <f>IFERROR(__xludf.DUMMYFUNCTION("""COMPUTED_VALUE"""),0.230569948186528)</f>
        <v>0.2305699482</v>
      </c>
      <c r="K201" s="8">
        <f>IFERROR(__xludf.DUMMYFUNCTION("""COMPUTED_VALUE"""),0.212435233160621)</f>
        <v>0.2124352332</v>
      </c>
      <c r="L201" s="8">
        <f>IFERROR(__xludf.DUMMYFUNCTION("""COMPUTED_VALUE"""),0.191709844559585)</f>
        <v>0.1917098446</v>
      </c>
      <c r="M201" s="8">
        <f>IFERROR(__xludf.DUMMYFUNCTION("""COMPUTED_VALUE"""),0.16321243523316)</f>
        <v>0.1632124352</v>
      </c>
      <c r="N201" s="8">
        <f>IFERROR(__xludf.DUMMYFUNCTION("""COMPUTED_VALUE"""),0.160621761658031)</f>
        <v>0.1606217617</v>
      </c>
      <c r="O201" s="8">
        <f>IFERROR(__xludf.DUMMYFUNCTION("""COMPUTED_VALUE"""),0.149214659685863)</f>
        <v>0.1492146597</v>
      </c>
      <c r="P201" s="8">
        <f>IFERROR(__xludf.DUMMYFUNCTION("""COMPUTED_VALUE"""),0.118457300275482)</f>
        <v>0.1184573003</v>
      </c>
      <c r="Q201" s="8">
        <f>IFERROR(__xludf.DUMMYFUNCTION("""COMPUTED_VALUE"""),0.0590163934426229)</f>
        <v>0.05901639344</v>
      </c>
      <c r="R201" s="8">
        <f>IFERROR(__xludf.DUMMYFUNCTION("""COMPUTED_VALUE"""),0.0448275862068965)</f>
        <v>0.04482758621</v>
      </c>
      <c r="S201" s="8">
        <f>IFERROR(__xludf.DUMMYFUNCTION("""COMPUTED_VALUE"""),0.0415094339622641)</f>
        <v>0.04150943396</v>
      </c>
      <c r="T201" s="8">
        <f>IFERROR(__xludf.DUMMYFUNCTION("""COMPUTED_VALUE"""),0.0226244343891402)</f>
        <v>0.02262443439</v>
      </c>
      <c r="U201" s="8">
        <f>IFERROR(__xludf.DUMMYFUNCTION("""COMPUTED_VALUE"""),0.00952380952380952)</f>
        <v>0.009523809524</v>
      </c>
      <c r="V201" s="8">
        <f>IFERROR(__xludf.DUMMYFUNCTION("""COMPUTED_VALUE"""),0.0144927536231884)</f>
        <v>0.01449275362</v>
      </c>
      <c r="W201" s="8">
        <f>IFERROR(__xludf.DUMMYFUNCTION("""COMPUTED_VALUE"""),0.0102564102564102)</f>
        <v>0.01025641026</v>
      </c>
      <c r="X201" s="8">
        <f>IFERROR(__xludf.DUMMYFUNCTION("""COMPUTED_VALUE"""),0.00571428571428571)</f>
        <v>0.005714285714</v>
      </c>
      <c r="Y201" s="8">
        <f>IFERROR(__xludf.DUMMYFUNCTION("""COMPUTED_VALUE"""),0.0)</f>
        <v>0</v>
      </c>
      <c r="Z201" s="8">
        <f>IFERROR(__xludf.DUMMYFUNCTION("""COMPUTED_VALUE"""),0.0)</f>
        <v>0</v>
      </c>
      <c r="AA201" s="8">
        <f>IFERROR(__xludf.DUMMYFUNCTION("""COMPUTED_VALUE"""),0.0)</f>
        <v>0</v>
      </c>
      <c r="AB201" s="8">
        <f>IFERROR(__xludf.DUMMYFUNCTION("""COMPUTED_VALUE"""),0.0)</f>
        <v>0</v>
      </c>
      <c r="AC201" s="8">
        <f>IFERROR(__xludf.DUMMYFUNCTION("""COMPUTED_VALUE"""),0.0)</f>
        <v>0</v>
      </c>
    </row>
    <row r="202" ht="15.75" customHeight="1">
      <c r="A202" s="6" t="str">
        <f>IFERROR(__xludf.DUMMYFUNCTION("""COMPUTED_VALUE"""),"b26d8e5052a2beb1af4ffc462d31141bb635a5b5")</f>
        <v>b26d8e5052a2beb1af4ffc462d31141bb635a5b5</v>
      </c>
      <c r="B202" s="6" t="str">
        <f>IFERROR(__xludf.DUMMYFUNCTION("""COMPUTED_VALUE"""),"The Revenge Marriage")</f>
        <v>The Revenge Marriage</v>
      </c>
      <c r="C202" s="6" t="str">
        <f>IFERROR(__xludf.DUMMYFUNCTION("""COMPUTED_VALUE"""),"Romance")</f>
        <v>Romance</v>
      </c>
      <c r="D202" s="11">
        <f>IFERROR(__xludf.DUMMYFUNCTION("""COMPUTED_VALUE"""),529.0)</f>
        <v>529</v>
      </c>
      <c r="E202" s="8">
        <f>IFERROR(__xludf.DUMMYFUNCTION("""COMPUTED_VALUE"""),0.962049335863377)</f>
        <v>0.9620493359</v>
      </c>
      <c r="F202" s="8">
        <f>IFERROR(__xludf.DUMMYFUNCTION("""COMPUTED_VALUE"""),0.452471482889733)</f>
        <v>0.4524714829</v>
      </c>
      <c r="G202" s="8">
        <f>IFERROR(__xludf.DUMMYFUNCTION("""COMPUTED_VALUE"""),0.38403041825095)</f>
        <v>0.3840304183</v>
      </c>
      <c r="H202" s="8">
        <f>IFERROR(__xludf.DUMMYFUNCTION("""COMPUTED_VALUE"""),0.345419847328244)</f>
        <v>0.3454198473</v>
      </c>
      <c r="I202" s="8">
        <f>IFERROR(__xludf.DUMMYFUNCTION("""COMPUTED_VALUE"""),0.32375478927203)</f>
        <v>0.3237547893</v>
      </c>
      <c r="J202" s="8">
        <f>IFERROR(__xludf.DUMMYFUNCTION("""COMPUTED_VALUE"""),0.289017341040462)</f>
        <v>0.289017341</v>
      </c>
      <c r="K202" s="8">
        <f>IFERROR(__xludf.DUMMYFUNCTION("""COMPUTED_VALUE"""),0.269749518304431)</f>
        <v>0.2697495183</v>
      </c>
      <c r="L202" s="8">
        <f>IFERROR(__xludf.DUMMYFUNCTION("""COMPUTED_VALUE"""),0.244701348747591)</f>
        <v>0.2447013487</v>
      </c>
      <c r="M202" s="8">
        <f>IFERROR(__xludf.DUMMYFUNCTION("""COMPUTED_VALUE"""),0.237451737451737)</f>
        <v>0.2374517375</v>
      </c>
      <c r="N202" s="8">
        <f>IFERROR(__xludf.DUMMYFUNCTION("""COMPUTED_VALUE"""),0.226305609284332)</f>
        <v>0.2263056093</v>
      </c>
      <c r="O202" s="8">
        <f>IFERROR(__xludf.DUMMYFUNCTION("""COMPUTED_VALUE"""),0.195378151260504)</f>
        <v>0.1953781513</v>
      </c>
      <c r="P202" s="8">
        <f>IFERROR(__xludf.DUMMYFUNCTION("""COMPUTED_VALUE"""),0.186170212765957)</f>
        <v>0.1861702128</v>
      </c>
      <c r="Q202" s="8">
        <f>IFERROR(__xludf.DUMMYFUNCTION("""COMPUTED_VALUE"""),0.143497757847533)</f>
        <v>0.1434977578</v>
      </c>
      <c r="R202" s="8">
        <f>IFERROR(__xludf.DUMMYFUNCTION("""COMPUTED_VALUE"""),0.163934426229508)</f>
        <v>0.1639344262</v>
      </c>
      <c r="S202" s="8">
        <f>IFERROR(__xludf.DUMMYFUNCTION("""COMPUTED_VALUE"""),0.2)</f>
        <v>0.2</v>
      </c>
      <c r="T202" s="8">
        <f>IFERROR(__xludf.DUMMYFUNCTION("""COMPUTED_VALUE"""),0.0)</f>
        <v>0</v>
      </c>
      <c r="U202" s="8">
        <f>IFERROR(__xludf.DUMMYFUNCTION("""COMPUTED_VALUE"""),0.0)</f>
        <v>0</v>
      </c>
      <c r="V202" s="8">
        <f>IFERROR(__xludf.DUMMYFUNCTION("""COMPUTED_VALUE"""),0.0)</f>
        <v>0</v>
      </c>
      <c r="W202" s="8">
        <f>IFERROR(__xludf.DUMMYFUNCTION("""COMPUTED_VALUE"""),0.0)</f>
        <v>0</v>
      </c>
      <c r="X202" s="8">
        <f>IFERROR(__xludf.DUMMYFUNCTION("""COMPUTED_VALUE"""),0.0)</f>
        <v>0</v>
      </c>
      <c r="Y202" s="8">
        <f>IFERROR(__xludf.DUMMYFUNCTION("""COMPUTED_VALUE"""),0.0)</f>
        <v>0</v>
      </c>
      <c r="Z202" s="8">
        <f>IFERROR(__xludf.DUMMYFUNCTION("""COMPUTED_VALUE"""),0.0)</f>
        <v>0</v>
      </c>
      <c r="AA202" s="8">
        <f>IFERROR(__xludf.DUMMYFUNCTION("""COMPUTED_VALUE"""),0.0)</f>
        <v>0</v>
      </c>
      <c r="AB202" s="8">
        <f>IFERROR(__xludf.DUMMYFUNCTION("""COMPUTED_VALUE"""),0.0)</f>
        <v>0</v>
      </c>
      <c r="AC202" s="8">
        <f>IFERROR(__xludf.DUMMYFUNCTION("""COMPUTED_VALUE"""),0.0)</f>
        <v>0</v>
      </c>
    </row>
    <row r="203" ht="15.75" customHeight="1">
      <c r="A203" s="6" t="str">
        <f>IFERROR(__xludf.DUMMYFUNCTION("""COMPUTED_VALUE"""),"b2e0e008665e30068057a1556346d5473a8ed579")</f>
        <v>b2e0e008665e30068057a1556346d5473a8ed579</v>
      </c>
      <c r="B203" s="6" t="str">
        <f>IFERROR(__xludf.DUMMYFUNCTION("""COMPUTED_VALUE"""),"Legend of Cursed Blood ")</f>
        <v>Legend of Cursed Blood </v>
      </c>
      <c r="C203" s="6" t="str">
        <f>IFERROR(__xludf.DUMMYFUNCTION("""COMPUTED_VALUE"""),"Fantasy")</f>
        <v>Fantasy</v>
      </c>
      <c r="D203" s="11">
        <f>IFERROR(__xludf.DUMMYFUNCTION("""COMPUTED_VALUE"""),895.0)</f>
        <v>895</v>
      </c>
      <c r="E203" s="8">
        <f>IFERROR(__xludf.DUMMYFUNCTION("""COMPUTED_VALUE"""),0.949152542372881)</f>
        <v>0.9491525424</v>
      </c>
      <c r="F203" s="8">
        <f>IFERROR(__xludf.DUMMYFUNCTION("""COMPUTED_VALUE"""),0.457240592930444)</f>
        <v>0.4572405929</v>
      </c>
      <c r="G203" s="8">
        <f>IFERROR(__xludf.DUMMYFUNCTION("""COMPUTED_VALUE"""),0.38568129330254)</f>
        <v>0.3856812933</v>
      </c>
      <c r="H203" s="8">
        <f>IFERROR(__xludf.DUMMYFUNCTION("""COMPUTED_VALUE"""),0.333726415094339)</f>
        <v>0.3337264151</v>
      </c>
      <c r="I203" s="8">
        <f>IFERROR(__xludf.DUMMYFUNCTION("""COMPUTED_VALUE"""),0.266666666666666)</f>
        <v>0.2666666667</v>
      </c>
      <c r="J203" s="8">
        <f>IFERROR(__xludf.DUMMYFUNCTION("""COMPUTED_VALUE"""),0.225060827250608)</f>
        <v>0.2250608273</v>
      </c>
      <c r="K203" s="8">
        <f>IFERROR(__xludf.DUMMYFUNCTION("""COMPUTED_VALUE"""),0.217283950617283)</f>
        <v>0.2172839506</v>
      </c>
      <c r="L203" s="8">
        <f>IFERROR(__xludf.DUMMYFUNCTION("""COMPUTED_VALUE"""),0.221662468513853)</f>
        <v>0.2216624685</v>
      </c>
      <c r="M203" s="8">
        <f>IFERROR(__xludf.DUMMYFUNCTION("""COMPUTED_VALUE"""),0.184415584415584)</f>
        <v>0.1844155844</v>
      </c>
      <c r="N203" s="8">
        <f>IFERROR(__xludf.DUMMYFUNCTION("""COMPUTED_VALUE"""),0.163013698630136)</f>
        <v>0.1630136986</v>
      </c>
      <c r="O203" s="8">
        <f>IFERROR(__xludf.DUMMYFUNCTION("""COMPUTED_VALUE"""),0.104499274310595)</f>
        <v>0.1044992743</v>
      </c>
      <c r="P203" s="8">
        <f>IFERROR(__xludf.DUMMYFUNCTION("""COMPUTED_VALUE"""),0.0625931445603576)</f>
        <v>0.06259314456</v>
      </c>
      <c r="Q203" s="8">
        <f>IFERROR(__xludf.DUMMYFUNCTION("""COMPUTED_VALUE"""),0.0298273155416012)</f>
        <v>0.02982731554</v>
      </c>
      <c r="R203" s="8">
        <f>IFERROR(__xludf.DUMMYFUNCTION("""COMPUTED_VALUE"""),0.018363939899833)</f>
        <v>0.0183639399</v>
      </c>
      <c r="S203" s="8">
        <f>IFERROR(__xludf.DUMMYFUNCTION("""COMPUTED_VALUE"""),0.0183150183150183)</f>
        <v>0.01831501832</v>
      </c>
      <c r="T203" s="8">
        <f>IFERROR(__xludf.DUMMYFUNCTION("""COMPUTED_VALUE"""),0.0222672064777327)</f>
        <v>0.02226720648</v>
      </c>
      <c r="U203" s="8">
        <f>IFERROR(__xludf.DUMMYFUNCTION("""COMPUTED_VALUE"""),0.0112359550561797)</f>
        <v>0.01123595506</v>
      </c>
      <c r="V203" s="8">
        <f>IFERROR(__xludf.DUMMYFUNCTION("""COMPUTED_VALUE"""),0.00735294117647058)</f>
        <v>0.007352941176</v>
      </c>
      <c r="W203" s="8">
        <f>IFERROR(__xludf.DUMMYFUNCTION("""COMPUTED_VALUE"""),0.00297619047619047)</f>
        <v>0.002976190476</v>
      </c>
      <c r="X203" s="8">
        <f>IFERROR(__xludf.DUMMYFUNCTION("""COMPUTED_VALUE"""),0.0033003300330033)</f>
        <v>0.003300330033</v>
      </c>
      <c r="Y203" s="8">
        <f>IFERROR(__xludf.DUMMYFUNCTION("""COMPUTED_VALUE"""),0.0)</f>
        <v>0</v>
      </c>
      <c r="Z203" s="8">
        <f>IFERROR(__xludf.DUMMYFUNCTION("""COMPUTED_VALUE"""),0.0)</f>
        <v>0</v>
      </c>
      <c r="AA203" s="8">
        <f>IFERROR(__xludf.DUMMYFUNCTION("""COMPUTED_VALUE"""),0.0)</f>
        <v>0</v>
      </c>
      <c r="AB203" s="8">
        <f>IFERROR(__xludf.DUMMYFUNCTION("""COMPUTED_VALUE"""),0.0)</f>
        <v>0</v>
      </c>
      <c r="AC203" s="8">
        <f>IFERROR(__xludf.DUMMYFUNCTION("""COMPUTED_VALUE"""),0.0)</f>
        <v>0</v>
      </c>
    </row>
    <row r="204" ht="15.75" customHeight="1">
      <c r="A204" s="6" t="str">
        <f>IFERROR(__xludf.DUMMYFUNCTION("""COMPUTED_VALUE"""),"b4357a596922bd37b47ec2573cd92ac18997c713")</f>
        <v>b4357a596922bd37b47ec2573cd92ac18997c713</v>
      </c>
      <c r="B204" s="6" t="str">
        <f>IFERROR(__xludf.DUMMYFUNCTION("""COMPUTED_VALUE"""),"Immortal Ascension")</f>
        <v>Immortal Ascension</v>
      </c>
      <c r="C204" s="6" t="str">
        <f>IFERROR(__xludf.DUMMYFUNCTION("""COMPUTED_VALUE"""),"System and Superpower")</f>
        <v>System and Superpower</v>
      </c>
      <c r="D204" s="11">
        <f>IFERROR(__xludf.DUMMYFUNCTION("""COMPUTED_VALUE"""),1184.0)</f>
        <v>1184</v>
      </c>
      <c r="E204" s="8">
        <f>IFERROR(__xludf.DUMMYFUNCTION("""COMPUTED_VALUE"""),0.983093829247675)</f>
        <v>0.9830938292</v>
      </c>
      <c r="F204" s="8">
        <f>IFERROR(__xludf.DUMMYFUNCTION("""COMPUTED_VALUE"""),0.501692047377326)</f>
        <v>0.5016920474</v>
      </c>
      <c r="G204" s="8">
        <f>IFERROR(__xludf.DUMMYFUNCTION("""COMPUTED_VALUE"""),0.419491525423728)</f>
        <v>0.4194915254</v>
      </c>
      <c r="H204" s="8">
        <f>IFERROR(__xludf.DUMMYFUNCTION("""COMPUTED_VALUE"""),0.390677966101694)</f>
        <v>0.3906779661</v>
      </c>
      <c r="I204" s="8">
        <f>IFERROR(__xludf.DUMMYFUNCTION("""COMPUTED_VALUE"""),0.366723259762309)</f>
        <v>0.3667232598</v>
      </c>
      <c r="J204" s="8">
        <f>IFERROR(__xludf.DUMMYFUNCTION("""COMPUTED_VALUE"""),0.331350892098555)</f>
        <v>0.3313508921</v>
      </c>
      <c r="K204" s="8">
        <f>IFERROR(__xludf.DUMMYFUNCTION("""COMPUTED_VALUE"""),0.306711979609175)</f>
        <v>0.3067119796</v>
      </c>
      <c r="L204" s="8">
        <f>IFERROR(__xludf.DUMMYFUNCTION("""COMPUTED_VALUE"""),0.275510204081632)</f>
        <v>0.2755102041</v>
      </c>
      <c r="M204" s="8">
        <f>IFERROR(__xludf.DUMMYFUNCTION("""COMPUTED_VALUE"""),0.254684838160136)</f>
        <v>0.2546848382</v>
      </c>
      <c r="N204" s="8">
        <f>IFERROR(__xludf.DUMMYFUNCTION("""COMPUTED_VALUE"""),0.245508982035928)</f>
        <v>0.245508982</v>
      </c>
      <c r="O204" s="8">
        <f>IFERROR(__xludf.DUMMYFUNCTION("""COMPUTED_VALUE"""),0.178509532062391)</f>
        <v>0.1785095321</v>
      </c>
      <c r="P204" s="8">
        <f>IFERROR(__xludf.DUMMYFUNCTION("""COMPUTED_VALUE"""),0.102589641434262)</f>
        <v>0.1025896414</v>
      </c>
      <c r="Q204" s="8">
        <f>IFERROR(__xludf.DUMMYFUNCTION("""COMPUTED_VALUE"""),0.0579710144927536)</f>
        <v>0.05797101449</v>
      </c>
      <c r="R204" s="8">
        <f>IFERROR(__xludf.DUMMYFUNCTION("""COMPUTED_VALUE"""),0.0277777777777777)</f>
        <v>0.02777777778</v>
      </c>
      <c r="S204" s="8">
        <f>IFERROR(__xludf.DUMMYFUNCTION("""COMPUTED_VALUE"""),0.0)</f>
        <v>0</v>
      </c>
      <c r="T204" s="8">
        <f>IFERROR(__xludf.DUMMYFUNCTION("""COMPUTED_VALUE"""),0.0)</f>
        <v>0</v>
      </c>
      <c r="U204" s="8">
        <f>IFERROR(__xludf.DUMMYFUNCTION("""COMPUTED_VALUE"""),0.0)</f>
        <v>0</v>
      </c>
      <c r="V204" s="8">
        <f>IFERROR(__xludf.DUMMYFUNCTION("""COMPUTED_VALUE"""),0.0)</f>
        <v>0</v>
      </c>
      <c r="W204" s="8">
        <f>IFERROR(__xludf.DUMMYFUNCTION("""COMPUTED_VALUE"""),0.0)</f>
        <v>0</v>
      </c>
      <c r="X204" s="8">
        <f>IFERROR(__xludf.DUMMYFUNCTION("""COMPUTED_VALUE"""),0.0)</f>
        <v>0</v>
      </c>
      <c r="Y204" s="8">
        <f>IFERROR(__xludf.DUMMYFUNCTION("""COMPUTED_VALUE"""),0.0)</f>
        <v>0</v>
      </c>
      <c r="Z204" s="8">
        <f>IFERROR(__xludf.DUMMYFUNCTION("""COMPUTED_VALUE"""),0.0)</f>
        <v>0</v>
      </c>
      <c r="AA204" s="8">
        <f>IFERROR(__xludf.DUMMYFUNCTION("""COMPUTED_VALUE"""),0.0)</f>
        <v>0</v>
      </c>
      <c r="AB204" s="8">
        <f>IFERROR(__xludf.DUMMYFUNCTION("""COMPUTED_VALUE"""),0.0)</f>
        <v>0</v>
      </c>
      <c r="AC204" s="8">
        <f>IFERROR(__xludf.DUMMYFUNCTION("""COMPUTED_VALUE"""),0.0)</f>
        <v>0</v>
      </c>
    </row>
    <row r="205" ht="15.75" customHeight="1">
      <c r="A205" s="6" t="str">
        <f>IFERROR(__xludf.DUMMYFUNCTION("""COMPUTED_VALUE"""),"b4ba67822e15bf23c0044676b09f1aeb405d154f")</f>
        <v>b4ba67822e15bf23c0044676b09f1aeb405d154f</v>
      </c>
      <c r="B205" s="6" t="str">
        <f>IFERROR(__xludf.DUMMYFUNCTION("""COMPUTED_VALUE"""),"The Twin Affair")</f>
        <v>The Twin Affair</v>
      </c>
      <c r="C205" s="6" t="str">
        <f>IFERROR(__xludf.DUMMYFUNCTION("""COMPUTED_VALUE"""),"Romantasy")</f>
        <v>Romantasy</v>
      </c>
      <c r="D205" s="11">
        <f>IFERROR(__xludf.DUMMYFUNCTION("""COMPUTED_VALUE"""),835.0)</f>
        <v>835</v>
      </c>
      <c r="E205" s="8">
        <f>IFERROR(__xludf.DUMMYFUNCTION("""COMPUTED_VALUE"""),0.930538922155688)</f>
        <v>0.9305389222</v>
      </c>
      <c r="F205" s="8">
        <f>IFERROR(__xludf.DUMMYFUNCTION("""COMPUTED_VALUE"""),0.457485029940119)</f>
        <v>0.4574850299</v>
      </c>
      <c r="G205" s="8">
        <f>IFERROR(__xludf.DUMMYFUNCTION("""COMPUTED_VALUE"""),0.397604790419161)</f>
        <v>0.3976047904</v>
      </c>
      <c r="H205" s="8">
        <f>IFERROR(__xludf.DUMMYFUNCTION("""COMPUTED_VALUE"""),0.362874251497006)</f>
        <v>0.3628742515</v>
      </c>
      <c r="I205" s="8">
        <f>IFERROR(__xludf.DUMMYFUNCTION("""COMPUTED_VALUE"""),0.341317365269461)</f>
        <v>0.3413173653</v>
      </c>
      <c r="J205" s="8">
        <f>IFERROR(__xludf.DUMMYFUNCTION("""COMPUTED_VALUE"""),0.31377245508982)</f>
        <v>0.3137724551</v>
      </c>
      <c r="K205" s="8">
        <f>IFERROR(__xludf.DUMMYFUNCTION("""COMPUTED_VALUE"""),0.29940119760479)</f>
        <v>0.2994011976</v>
      </c>
      <c r="L205" s="8">
        <f>IFERROR(__xludf.DUMMYFUNCTION("""COMPUTED_VALUE"""),0.286227544910179)</f>
        <v>0.2862275449</v>
      </c>
      <c r="M205" s="8">
        <f>IFERROR(__xludf.DUMMYFUNCTION("""COMPUTED_VALUE"""),0.274251497005988)</f>
        <v>0.274251497</v>
      </c>
      <c r="N205" s="8">
        <f>IFERROR(__xludf.DUMMYFUNCTION("""COMPUTED_VALUE"""),0.262275449101796)</f>
        <v>0.2622754491</v>
      </c>
      <c r="O205" s="8">
        <f>IFERROR(__xludf.DUMMYFUNCTION("""COMPUTED_VALUE"""),0.24220623501199)</f>
        <v>0.242206235</v>
      </c>
      <c r="P205" s="8">
        <f>IFERROR(__xludf.DUMMYFUNCTION("""COMPUTED_VALUE"""),0.231692677070828)</f>
        <v>0.2316926771</v>
      </c>
      <c r="Q205" s="8">
        <f>IFERROR(__xludf.DUMMYFUNCTION("""COMPUTED_VALUE"""),0.167679222357229)</f>
        <v>0.1676792224</v>
      </c>
      <c r="R205" s="8">
        <f>IFERROR(__xludf.DUMMYFUNCTION("""COMPUTED_VALUE"""),0.0769230769230769)</f>
        <v>0.07692307692</v>
      </c>
      <c r="S205" s="8">
        <f>IFERROR(__xludf.DUMMYFUNCTION("""COMPUTED_VALUE"""),0.0)</f>
        <v>0</v>
      </c>
      <c r="T205" s="8">
        <f>IFERROR(__xludf.DUMMYFUNCTION("""COMPUTED_VALUE"""),0.0)</f>
        <v>0</v>
      </c>
      <c r="U205" s="8">
        <f>IFERROR(__xludf.DUMMYFUNCTION("""COMPUTED_VALUE"""),0.0)</f>
        <v>0</v>
      </c>
      <c r="V205" s="8">
        <f>IFERROR(__xludf.DUMMYFUNCTION("""COMPUTED_VALUE"""),0.0)</f>
        <v>0</v>
      </c>
      <c r="W205" s="8">
        <f>IFERROR(__xludf.DUMMYFUNCTION("""COMPUTED_VALUE"""),0.0)</f>
        <v>0</v>
      </c>
      <c r="X205" s="8">
        <f>IFERROR(__xludf.DUMMYFUNCTION("""COMPUTED_VALUE"""),0.0)</f>
        <v>0</v>
      </c>
      <c r="Y205" s="8">
        <f>IFERROR(__xludf.DUMMYFUNCTION("""COMPUTED_VALUE"""),0.0)</f>
        <v>0</v>
      </c>
      <c r="Z205" s="8">
        <f>IFERROR(__xludf.DUMMYFUNCTION("""COMPUTED_VALUE"""),0.0)</f>
        <v>0</v>
      </c>
      <c r="AA205" s="8">
        <f>IFERROR(__xludf.DUMMYFUNCTION("""COMPUTED_VALUE"""),0.0)</f>
        <v>0</v>
      </c>
      <c r="AB205" s="8">
        <f>IFERROR(__xludf.DUMMYFUNCTION("""COMPUTED_VALUE"""),0.0)</f>
        <v>0</v>
      </c>
      <c r="AC205" s="8">
        <f>IFERROR(__xludf.DUMMYFUNCTION("""COMPUTED_VALUE"""),0.0)</f>
        <v>0</v>
      </c>
    </row>
    <row r="206" ht="15.75" customHeight="1">
      <c r="A206" s="6" t="str">
        <f>IFERROR(__xludf.DUMMYFUNCTION("""COMPUTED_VALUE"""),"b6ceacf9ec08a19cb30826c8277260c2339da0b3")</f>
        <v>b6ceacf9ec08a19cb30826c8277260c2339da0b3</v>
      </c>
      <c r="B206" s="6" t="str">
        <f>IFERROR(__xludf.DUMMYFUNCTION("""COMPUTED_VALUE"""),"Ruthless Betrayal ")</f>
        <v>Ruthless Betrayal </v>
      </c>
      <c r="C206" s="6" t="str">
        <f>IFERROR(__xludf.DUMMYFUNCTION("""COMPUTED_VALUE"""),"Romance")</f>
        <v>Romance</v>
      </c>
      <c r="D206" s="11">
        <f>IFERROR(__xludf.DUMMYFUNCTION("""COMPUTED_VALUE"""),188.0)</f>
        <v>188</v>
      </c>
      <c r="E206" s="8">
        <f>IFERROR(__xludf.DUMMYFUNCTION("""COMPUTED_VALUE"""),0.962765957446808)</f>
        <v>0.9627659574</v>
      </c>
      <c r="F206" s="8">
        <f>IFERROR(__xludf.DUMMYFUNCTION("""COMPUTED_VALUE"""),0.405405405405405)</f>
        <v>0.4054054054</v>
      </c>
      <c r="G206" s="8">
        <f>IFERROR(__xludf.DUMMYFUNCTION("""COMPUTED_VALUE"""),0.293478260869565)</f>
        <v>0.2934782609</v>
      </c>
      <c r="H206" s="8">
        <f>IFERROR(__xludf.DUMMYFUNCTION("""COMPUTED_VALUE"""),0.252747252747252)</f>
        <v>0.2527472527</v>
      </c>
      <c r="I206" s="8">
        <f>IFERROR(__xludf.DUMMYFUNCTION("""COMPUTED_VALUE"""),0.247252747252747)</f>
        <v>0.2472527473</v>
      </c>
      <c r="J206" s="8">
        <f>IFERROR(__xludf.DUMMYFUNCTION("""COMPUTED_VALUE"""),0.25)</f>
        <v>0.25</v>
      </c>
      <c r="K206" s="8">
        <f>IFERROR(__xludf.DUMMYFUNCTION("""COMPUTED_VALUE"""),0.227777777777777)</f>
        <v>0.2277777778</v>
      </c>
      <c r="L206" s="8">
        <f>IFERROR(__xludf.DUMMYFUNCTION("""COMPUTED_VALUE"""),0.194285714285714)</f>
        <v>0.1942857143</v>
      </c>
      <c r="M206" s="8">
        <f>IFERROR(__xludf.DUMMYFUNCTION("""COMPUTED_VALUE"""),0.222857142857142)</f>
        <v>0.2228571429</v>
      </c>
      <c r="N206" s="8">
        <f>IFERROR(__xludf.DUMMYFUNCTION("""COMPUTED_VALUE"""),0.209302325581395)</f>
        <v>0.2093023256</v>
      </c>
      <c r="O206" s="8">
        <f>IFERROR(__xludf.DUMMYFUNCTION("""COMPUTED_VALUE"""),0.161676646706586)</f>
        <v>0.1616766467</v>
      </c>
      <c r="P206" s="8">
        <f>IFERROR(__xludf.DUMMYFUNCTION("""COMPUTED_VALUE"""),0.0580645161290322)</f>
        <v>0.05806451613</v>
      </c>
      <c r="Q206" s="8">
        <f>IFERROR(__xludf.DUMMYFUNCTION("""COMPUTED_VALUE"""),0.0336134453781512)</f>
        <v>0.03361344538</v>
      </c>
      <c r="R206" s="8">
        <f>IFERROR(__xludf.DUMMYFUNCTION("""COMPUTED_VALUE"""),0.0)</f>
        <v>0</v>
      </c>
      <c r="S206" s="8">
        <f>IFERROR(__xludf.DUMMYFUNCTION("""COMPUTED_VALUE"""),0.0)</f>
        <v>0</v>
      </c>
      <c r="T206" s="8">
        <f>IFERROR(__xludf.DUMMYFUNCTION("""COMPUTED_VALUE"""),0.0)</f>
        <v>0</v>
      </c>
      <c r="U206" s="8">
        <f>IFERROR(__xludf.DUMMYFUNCTION("""COMPUTED_VALUE"""),0.0)</f>
        <v>0</v>
      </c>
      <c r="V206" s="8">
        <f>IFERROR(__xludf.DUMMYFUNCTION("""COMPUTED_VALUE"""),0.0)</f>
        <v>0</v>
      </c>
      <c r="W206" s="8">
        <f>IFERROR(__xludf.DUMMYFUNCTION("""COMPUTED_VALUE"""),0.0)</f>
        <v>0</v>
      </c>
      <c r="X206" s="8">
        <f>IFERROR(__xludf.DUMMYFUNCTION("""COMPUTED_VALUE"""),0.0)</f>
        <v>0</v>
      </c>
      <c r="Y206" s="8">
        <f>IFERROR(__xludf.DUMMYFUNCTION("""COMPUTED_VALUE"""),0.0)</f>
        <v>0</v>
      </c>
      <c r="Z206" s="8">
        <f>IFERROR(__xludf.DUMMYFUNCTION("""COMPUTED_VALUE"""),0.0)</f>
        <v>0</v>
      </c>
      <c r="AA206" s="8">
        <f>IFERROR(__xludf.DUMMYFUNCTION("""COMPUTED_VALUE"""),0.0)</f>
        <v>0</v>
      </c>
      <c r="AB206" s="8">
        <f>IFERROR(__xludf.DUMMYFUNCTION("""COMPUTED_VALUE"""),0.0)</f>
        <v>0</v>
      </c>
      <c r="AC206" s="8">
        <f>IFERROR(__xludf.DUMMYFUNCTION("""COMPUTED_VALUE"""),0.0)</f>
        <v>0</v>
      </c>
    </row>
    <row r="207" ht="15.75" customHeight="1">
      <c r="A207" s="6" t="str">
        <f>IFERROR(__xludf.DUMMYFUNCTION("""COMPUTED_VALUE"""),"b6dcffd8fcb56899f1036740aa43dcb9b648ffe5")</f>
        <v>b6dcffd8fcb56899f1036740aa43dcb9b648ffe5</v>
      </c>
      <c r="B207" s="6" t="str">
        <f>IFERROR(__xludf.DUMMYFUNCTION("""COMPUTED_VALUE"""),"His Zealous Years Ahead")</f>
        <v>His Zealous Years Ahead</v>
      </c>
      <c r="C207" s="6" t="str">
        <f>IFERROR(__xludf.DUMMYFUNCTION("""COMPUTED_VALUE"""),"Fantasy")</f>
        <v>Fantasy</v>
      </c>
      <c r="D207" s="11">
        <f>IFERROR(__xludf.DUMMYFUNCTION("""COMPUTED_VALUE"""),472.0)</f>
        <v>472</v>
      </c>
      <c r="E207" s="8">
        <f>IFERROR(__xludf.DUMMYFUNCTION("""COMPUTED_VALUE"""),0.969762419006479)</f>
        <v>0.969762419</v>
      </c>
      <c r="F207" s="8">
        <f>IFERROR(__xludf.DUMMYFUNCTION("""COMPUTED_VALUE"""),0.493303571428571)</f>
        <v>0.4933035714</v>
      </c>
      <c r="G207" s="8">
        <f>IFERROR(__xludf.DUMMYFUNCTION("""COMPUTED_VALUE"""),0.44367816091954)</f>
        <v>0.4436781609</v>
      </c>
      <c r="H207" s="8">
        <f>IFERROR(__xludf.DUMMYFUNCTION("""COMPUTED_VALUE"""),0.402380952380952)</f>
        <v>0.4023809524</v>
      </c>
      <c r="I207" s="8">
        <f>IFERROR(__xludf.DUMMYFUNCTION("""COMPUTED_VALUE"""),0.361650485436893)</f>
        <v>0.3616504854</v>
      </c>
      <c r="J207" s="8">
        <f>IFERROR(__xludf.DUMMYFUNCTION("""COMPUTED_VALUE"""),0.339240506329113)</f>
        <v>0.3392405063</v>
      </c>
      <c r="K207" s="8">
        <f>IFERROR(__xludf.DUMMYFUNCTION("""COMPUTED_VALUE"""),0.310704960835509)</f>
        <v>0.3107049608</v>
      </c>
      <c r="L207" s="8">
        <f>IFERROR(__xludf.DUMMYFUNCTION("""COMPUTED_VALUE"""),0.302452316076294)</f>
        <v>0.3024523161</v>
      </c>
      <c r="M207" s="8">
        <f>IFERROR(__xludf.DUMMYFUNCTION("""COMPUTED_VALUE"""),0.282913165266106)</f>
        <v>0.2829131653</v>
      </c>
      <c r="N207" s="8">
        <f>IFERROR(__xludf.DUMMYFUNCTION("""COMPUTED_VALUE"""),0.29585798816568)</f>
        <v>0.2958579882</v>
      </c>
      <c r="O207" s="8">
        <f>IFERROR(__xludf.DUMMYFUNCTION("""COMPUTED_VALUE"""),0.262458471760797)</f>
        <v>0.2624584718</v>
      </c>
      <c r="P207" s="8">
        <f>IFERROR(__xludf.DUMMYFUNCTION("""COMPUTED_VALUE"""),0.179190751445086)</f>
        <v>0.1791907514</v>
      </c>
      <c r="Q207" s="8">
        <f>IFERROR(__xludf.DUMMYFUNCTION("""COMPUTED_VALUE"""),0.1)</f>
        <v>0.1</v>
      </c>
      <c r="R207" s="8">
        <f>IFERROR(__xludf.DUMMYFUNCTION("""COMPUTED_VALUE"""),0.0)</f>
        <v>0</v>
      </c>
      <c r="S207" s="8">
        <f>IFERROR(__xludf.DUMMYFUNCTION("""COMPUTED_VALUE"""),0.0)</f>
        <v>0</v>
      </c>
      <c r="T207" s="8">
        <f>IFERROR(__xludf.DUMMYFUNCTION("""COMPUTED_VALUE"""),0.0)</f>
        <v>0</v>
      </c>
      <c r="U207" s="8">
        <f>IFERROR(__xludf.DUMMYFUNCTION("""COMPUTED_VALUE"""),0.0)</f>
        <v>0</v>
      </c>
      <c r="V207" s="8">
        <f>IFERROR(__xludf.DUMMYFUNCTION("""COMPUTED_VALUE"""),0.0)</f>
        <v>0</v>
      </c>
      <c r="W207" s="8">
        <f>IFERROR(__xludf.DUMMYFUNCTION("""COMPUTED_VALUE"""),0.0)</f>
        <v>0</v>
      </c>
      <c r="X207" s="8">
        <f>IFERROR(__xludf.DUMMYFUNCTION("""COMPUTED_VALUE"""),0.0)</f>
        <v>0</v>
      </c>
      <c r="Y207" s="8">
        <f>IFERROR(__xludf.DUMMYFUNCTION("""COMPUTED_VALUE"""),0.0)</f>
        <v>0</v>
      </c>
      <c r="Z207" s="8">
        <f>IFERROR(__xludf.DUMMYFUNCTION("""COMPUTED_VALUE"""),0.0)</f>
        <v>0</v>
      </c>
      <c r="AA207" s="8">
        <f>IFERROR(__xludf.DUMMYFUNCTION("""COMPUTED_VALUE"""),0.0)</f>
        <v>0</v>
      </c>
      <c r="AB207" s="8">
        <f>IFERROR(__xludf.DUMMYFUNCTION("""COMPUTED_VALUE"""),0.0)</f>
        <v>0</v>
      </c>
      <c r="AC207" s="8">
        <f>IFERROR(__xludf.DUMMYFUNCTION("""COMPUTED_VALUE"""),0.0)</f>
        <v>0</v>
      </c>
    </row>
    <row r="208" ht="15.75" customHeight="1">
      <c r="A208" s="6" t="str">
        <f>IFERROR(__xludf.DUMMYFUNCTION("""COMPUTED_VALUE"""),"b7410aeb19f92f7df4ccab821b5a28bfd7d73027")</f>
        <v>b7410aeb19f92f7df4ccab821b5a28bfd7d73027</v>
      </c>
      <c r="B208" s="6" t="str">
        <f>IFERROR(__xludf.DUMMYFUNCTION("""COMPUTED_VALUE"""),"Alpha Regulus")</f>
        <v>Alpha Regulus</v>
      </c>
      <c r="C208" s="6" t="str">
        <f>IFERROR(__xludf.DUMMYFUNCTION("""COMPUTED_VALUE"""),"Romantasy")</f>
        <v>Romantasy</v>
      </c>
      <c r="D208" s="11">
        <f>IFERROR(__xludf.DUMMYFUNCTION("""COMPUTED_VALUE"""),972.0)</f>
        <v>972</v>
      </c>
      <c r="E208" s="8">
        <f>IFERROR(__xludf.DUMMYFUNCTION("""COMPUTED_VALUE"""),0.94129763130793)</f>
        <v>0.9412976313</v>
      </c>
      <c r="F208" s="8">
        <f>IFERROR(__xludf.DUMMYFUNCTION("""COMPUTED_VALUE"""),0.503611971104231)</f>
        <v>0.5036119711</v>
      </c>
      <c r="G208" s="8">
        <f>IFERROR(__xludf.DUMMYFUNCTION("""COMPUTED_VALUE"""),0.445134575569358)</f>
        <v>0.4451345756</v>
      </c>
      <c r="H208" s="8">
        <f>IFERROR(__xludf.DUMMYFUNCTION("""COMPUTED_VALUE"""),0.401036269430051)</f>
        <v>0.4010362694</v>
      </c>
      <c r="I208" s="8">
        <f>IFERROR(__xludf.DUMMYFUNCTION("""COMPUTED_VALUE"""),0.372020725388601)</f>
        <v>0.3720207254</v>
      </c>
      <c r="J208" s="8">
        <f>IFERROR(__xludf.DUMMYFUNCTION("""COMPUTED_VALUE"""),0.332987551867219)</f>
        <v>0.3329875519</v>
      </c>
      <c r="K208" s="8">
        <f>IFERROR(__xludf.DUMMYFUNCTION("""COMPUTED_VALUE"""),0.315352697095435)</f>
        <v>0.3153526971</v>
      </c>
      <c r="L208" s="8">
        <f>IFERROR(__xludf.DUMMYFUNCTION("""COMPUTED_VALUE"""),0.29491173416407)</f>
        <v>0.2949117342</v>
      </c>
      <c r="M208" s="8">
        <f>IFERROR(__xludf.DUMMYFUNCTION("""COMPUTED_VALUE"""),0.272632674297606)</f>
        <v>0.2726326743</v>
      </c>
      <c r="N208" s="8">
        <f>IFERROR(__xludf.DUMMYFUNCTION("""COMPUTED_VALUE"""),0.257559958289885)</f>
        <v>0.2575599583</v>
      </c>
      <c r="O208" s="8">
        <f>IFERROR(__xludf.DUMMYFUNCTION("""COMPUTED_VALUE"""),0.224400871459694)</f>
        <v>0.2244008715</v>
      </c>
      <c r="P208" s="8">
        <f>IFERROR(__xludf.DUMMYFUNCTION("""COMPUTED_VALUE"""),0.197127937336814)</f>
        <v>0.1971279373</v>
      </c>
      <c r="Q208" s="8">
        <f>IFERROR(__xludf.DUMMYFUNCTION("""COMPUTED_VALUE"""),0.162995594713656)</f>
        <v>0.1629955947</v>
      </c>
      <c r="R208" s="8">
        <f>IFERROR(__xludf.DUMMYFUNCTION("""COMPUTED_VALUE"""),0.131462333825701)</f>
        <v>0.1314623338</v>
      </c>
      <c r="S208" s="8">
        <f>IFERROR(__xludf.DUMMYFUNCTION("""COMPUTED_VALUE"""),0.11864406779661)</f>
        <v>0.1186440678</v>
      </c>
      <c r="T208" s="8">
        <f>IFERROR(__xludf.DUMMYFUNCTION("""COMPUTED_VALUE"""),0.102119460500963)</f>
        <v>0.1021194605</v>
      </c>
      <c r="U208" s="8">
        <f>IFERROR(__xludf.DUMMYFUNCTION("""COMPUTED_VALUE"""),0.0927419354838709)</f>
        <v>0.09274193548</v>
      </c>
      <c r="V208" s="8">
        <f>IFERROR(__xludf.DUMMYFUNCTION("""COMPUTED_VALUE"""),0.0775681341719077)</f>
        <v>0.07756813417</v>
      </c>
      <c r="W208" s="8">
        <f>IFERROR(__xludf.DUMMYFUNCTION("""COMPUTED_VALUE"""),0.0605263157894736)</f>
        <v>0.06052631579</v>
      </c>
      <c r="X208" s="8">
        <f>IFERROR(__xludf.DUMMYFUNCTION("""COMPUTED_VALUE"""),0.0517241379310344)</f>
        <v>0.05172413793</v>
      </c>
      <c r="Y208" s="8">
        <f>IFERROR(__xludf.DUMMYFUNCTION("""COMPUTED_VALUE"""),0.0)</f>
        <v>0</v>
      </c>
      <c r="Z208" s="8">
        <f>IFERROR(__xludf.DUMMYFUNCTION("""COMPUTED_VALUE"""),0.0)</f>
        <v>0</v>
      </c>
      <c r="AA208" s="8">
        <f>IFERROR(__xludf.DUMMYFUNCTION("""COMPUTED_VALUE"""),0.0)</f>
        <v>0</v>
      </c>
      <c r="AB208" s="8">
        <f>IFERROR(__xludf.DUMMYFUNCTION("""COMPUTED_VALUE"""),0.0)</f>
        <v>0</v>
      </c>
      <c r="AC208" s="8">
        <f>IFERROR(__xludf.DUMMYFUNCTION("""COMPUTED_VALUE"""),0.0)</f>
        <v>0</v>
      </c>
    </row>
    <row r="209" ht="15.75" customHeight="1">
      <c r="A209" s="6" t="str">
        <f>IFERROR(__xludf.DUMMYFUNCTION("""COMPUTED_VALUE"""),"b7e62e1ec65efcef334c2161afd00edf7b5a2b09")</f>
        <v>b7e62e1ec65efcef334c2161afd00edf7b5a2b09</v>
      </c>
      <c r="B209" s="6" t="str">
        <f>IFERROR(__xludf.DUMMYFUNCTION("""COMPUTED_VALUE"""),"Thrones and Passion")</f>
        <v>Thrones and Passion</v>
      </c>
      <c r="C209" s="6" t="str">
        <f>IFERROR(__xludf.DUMMYFUNCTION("""COMPUTED_VALUE"""),"Romance")</f>
        <v>Romance</v>
      </c>
      <c r="D209" s="11">
        <f>IFERROR(__xludf.DUMMYFUNCTION("""COMPUTED_VALUE"""),959.0)</f>
        <v>959</v>
      </c>
      <c r="E209" s="8">
        <f>IFERROR(__xludf.DUMMYFUNCTION("""COMPUTED_VALUE"""),0.986373165618448)</f>
        <v>0.9863731656</v>
      </c>
      <c r="F209" s="8">
        <f>IFERROR(__xludf.DUMMYFUNCTION("""COMPUTED_VALUE"""),0.15026455026455)</f>
        <v>0.1502645503</v>
      </c>
      <c r="G209" s="8">
        <f>IFERROR(__xludf.DUMMYFUNCTION("""COMPUTED_VALUE"""),0.102972399150743)</f>
        <v>0.1029723992</v>
      </c>
      <c r="H209" s="8">
        <f>IFERROR(__xludf.DUMMYFUNCTION("""COMPUTED_VALUE"""),0.0913921360255047)</f>
        <v>0.09139213603</v>
      </c>
      <c r="I209" s="8">
        <f>IFERROR(__xludf.DUMMYFUNCTION("""COMPUTED_VALUE"""),0.0820021299254526)</f>
        <v>0.08200212993</v>
      </c>
      <c r="J209" s="8">
        <f>IFERROR(__xludf.DUMMYFUNCTION("""COMPUTED_VALUE"""),0.0714285714285714)</f>
        <v>0.07142857143</v>
      </c>
      <c r="K209" s="8">
        <f>IFERROR(__xludf.DUMMYFUNCTION("""COMPUTED_VALUE"""),0.0674518201284796)</f>
        <v>0.06745182013</v>
      </c>
      <c r="L209" s="8">
        <f>IFERROR(__xludf.DUMMYFUNCTION("""COMPUTED_VALUE"""),0.0624327233584499)</f>
        <v>0.06243272336</v>
      </c>
      <c r="M209" s="8">
        <f>IFERROR(__xludf.DUMMYFUNCTION("""COMPUTED_VALUE"""),0.0599781897491821)</f>
        <v>0.05997818975</v>
      </c>
      <c r="N209" s="8">
        <f>IFERROR(__xludf.DUMMYFUNCTION("""COMPUTED_VALUE"""),0.0553097345132743)</f>
        <v>0.05530973451</v>
      </c>
      <c r="O209" s="8">
        <f>IFERROR(__xludf.DUMMYFUNCTION("""COMPUTED_VALUE"""),0.0463182897862232)</f>
        <v>0.04631828979</v>
      </c>
      <c r="P209" s="8">
        <f>IFERROR(__xludf.DUMMYFUNCTION("""COMPUTED_VALUE"""),0.0441640378548895)</f>
        <v>0.04416403785</v>
      </c>
      <c r="Q209" s="8">
        <f>IFERROR(__xludf.DUMMYFUNCTION("""COMPUTED_VALUE"""),0.0149253731343283)</f>
        <v>0.01492537313</v>
      </c>
      <c r="R209" s="8">
        <f>IFERROR(__xludf.DUMMYFUNCTION("""COMPUTED_VALUE"""),0.0)</f>
        <v>0</v>
      </c>
      <c r="S209" s="8">
        <f>IFERROR(__xludf.DUMMYFUNCTION("""COMPUTED_VALUE"""),0.0)</f>
        <v>0</v>
      </c>
      <c r="T209" s="8">
        <f>IFERROR(__xludf.DUMMYFUNCTION("""COMPUTED_VALUE"""),0.0)</f>
        <v>0</v>
      </c>
      <c r="U209" s="8">
        <f>IFERROR(__xludf.DUMMYFUNCTION("""COMPUTED_VALUE"""),0.0)</f>
        <v>0</v>
      </c>
      <c r="V209" s="8">
        <f>IFERROR(__xludf.DUMMYFUNCTION("""COMPUTED_VALUE"""),0.0)</f>
        <v>0</v>
      </c>
      <c r="W209" s="8">
        <f>IFERROR(__xludf.DUMMYFUNCTION("""COMPUTED_VALUE"""),0.0)</f>
        <v>0</v>
      </c>
      <c r="X209" s="8">
        <f>IFERROR(__xludf.DUMMYFUNCTION("""COMPUTED_VALUE"""),0.0)</f>
        <v>0</v>
      </c>
      <c r="Y209" s="8">
        <f>IFERROR(__xludf.DUMMYFUNCTION("""COMPUTED_VALUE"""),0.0)</f>
        <v>0</v>
      </c>
      <c r="Z209" s="8">
        <f>IFERROR(__xludf.DUMMYFUNCTION("""COMPUTED_VALUE"""),0.0)</f>
        <v>0</v>
      </c>
      <c r="AA209" s="8">
        <f>IFERROR(__xludf.DUMMYFUNCTION("""COMPUTED_VALUE"""),0.0)</f>
        <v>0</v>
      </c>
      <c r="AB209" s="8">
        <f>IFERROR(__xludf.DUMMYFUNCTION("""COMPUTED_VALUE"""),0.0)</f>
        <v>0</v>
      </c>
      <c r="AC209" s="8">
        <f>IFERROR(__xludf.DUMMYFUNCTION("""COMPUTED_VALUE"""),0.0)</f>
        <v>0</v>
      </c>
    </row>
    <row r="210" ht="15.75" customHeight="1">
      <c r="A210" s="6" t="str">
        <f>IFERROR(__xludf.DUMMYFUNCTION("""COMPUTED_VALUE"""),"ba0633322d2e3b1f5dc385fdef11110ad663eca3")</f>
        <v>ba0633322d2e3b1f5dc385fdef11110ad663eca3</v>
      </c>
      <c r="B210" s="6" t="str">
        <f>IFERROR(__xludf.DUMMYFUNCTION("""COMPUTED_VALUE"""),"Fated Billionaire Love")</f>
        <v>Fated Billionaire Love</v>
      </c>
      <c r="C210" s="6" t="str">
        <f>IFERROR(__xludf.DUMMYFUNCTION("""COMPUTED_VALUE"""),"Romance")</f>
        <v>Romance</v>
      </c>
      <c r="D210" s="11">
        <f>IFERROR(__xludf.DUMMYFUNCTION("""COMPUTED_VALUE"""),102.0)</f>
        <v>102</v>
      </c>
      <c r="E210" s="8">
        <f>IFERROR(__xludf.DUMMYFUNCTION("""COMPUTED_VALUE"""),0.950980392156862)</f>
        <v>0.9509803922</v>
      </c>
      <c r="F210" s="8">
        <f>IFERROR(__xludf.DUMMYFUNCTION("""COMPUTED_VALUE"""),0.568627450980392)</f>
        <v>0.568627451</v>
      </c>
      <c r="G210" s="8">
        <f>IFERROR(__xludf.DUMMYFUNCTION("""COMPUTED_VALUE"""),0.441176470588235)</f>
        <v>0.4411764706</v>
      </c>
      <c r="H210" s="8">
        <f>IFERROR(__xludf.DUMMYFUNCTION("""COMPUTED_VALUE"""),0.38235294117647)</f>
        <v>0.3823529412</v>
      </c>
      <c r="I210" s="8">
        <f>IFERROR(__xludf.DUMMYFUNCTION("""COMPUTED_VALUE"""),0.352941176470588)</f>
        <v>0.3529411765</v>
      </c>
      <c r="J210" s="8">
        <f>IFERROR(__xludf.DUMMYFUNCTION("""COMPUTED_VALUE"""),0.284313725490196)</f>
        <v>0.2843137255</v>
      </c>
      <c r="K210" s="8">
        <f>IFERROR(__xludf.DUMMYFUNCTION("""COMPUTED_VALUE"""),0.284313725490196)</f>
        <v>0.2843137255</v>
      </c>
      <c r="L210" s="8">
        <f>IFERROR(__xludf.DUMMYFUNCTION("""COMPUTED_VALUE"""),0.264705882352941)</f>
        <v>0.2647058824</v>
      </c>
      <c r="M210" s="8">
        <f>IFERROR(__xludf.DUMMYFUNCTION("""COMPUTED_VALUE"""),0.237623762376237)</f>
        <v>0.2376237624</v>
      </c>
      <c r="N210" s="8">
        <f>IFERROR(__xludf.DUMMYFUNCTION("""COMPUTED_VALUE"""),0.207920792079207)</f>
        <v>0.2079207921</v>
      </c>
      <c r="O210" s="8">
        <f>IFERROR(__xludf.DUMMYFUNCTION("""COMPUTED_VALUE"""),0.161616161616161)</f>
        <v>0.1616161616</v>
      </c>
      <c r="P210" s="8">
        <f>IFERROR(__xludf.DUMMYFUNCTION("""COMPUTED_VALUE"""),0.15)</f>
        <v>0.15</v>
      </c>
      <c r="Q210" s="8">
        <f>IFERROR(__xludf.DUMMYFUNCTION("""COMPUTED_VALUE"""),0.0833333333333333)</f>
        <v>0.08333333333</v>
      </c>
      <c r="R210" s="8">
        <f>IFERROR(__xludf.DUMMYFUNCTION("""COMPUTED_VALUE"""),0.0)</f>
        <v>0</v>
      </c>
      <c r="S210" s="8">
        <f>IFERROR(__xludf.DUMMYFUNCTION("""COMPUTED_VALUE"""),0.0)</f>
        <v>0</v>
      </c>
      <c r="T210" s="8">
        <f>IFERROR(__xludf.DUMMYFUNCTION("""COMPUTED_VALUE"""),0.0)</f>
        <v>0</v>
      </c>
      <c r="U210" s="8">
        <f>IFERROR(__xludf.DUMMYFUNCTION("""COMPUTED_VALUE"""),0.0)</f>
        <v>0</v>
      </c>
      <c r="V210" s="8">
        <f>IFERROR(__xludf.DUMMYFUNCTION("""COMPUTED_VALUE"""),0.0)</f>
        <v>0</v>
      </c>
      <c r="W210" s="8">
        <f>IFERROR(__xludf.DUMMYFUNCTION("""COMPUTED_VALUE"""),0.0)</f>
        <v>0</v>
      </c>
      <c r="X210" s="8">
        <f>IFERROR(__xludf.DUMMYFUNCTION("""COMPUTED_VALUE"""),0.0)</f>
        <v>0</v>
      </c>
      <c r="Y210" s="8">
        <f>IFERROR(__xludf.DUMMYFUNCTION("""COMPUTED_VALUE"""),0.0)</f>
        <v>0</v>
      </c>
      <c r="Z210" s="8">
        <f>IFERROR(__xludf.DUMMYFUNCTION("""COMPUTED_VALUE"""),0.0)</f>
        <v>0</v>
      </c>
      <c r="AA210" s="8">
        <f>IFERROR(__xludf.DUMMYFUNCTION("""COMPUTED_VALUE"""),0.0)</f>
        <v>0</v>
      </c>
      <c r="AB210" s="8">
        <f>IFERROR(__xludf.DUMMYFUNCTION("""COMPUTED_VALUE"""),0.0)</f>
        <v>0</v>
      </c>
      <c r="AC210" s="8">
        <f>IFERROR(__xludf.DUMMYFUNCTION("""COMPUTED_VALUE"""),0.0)</f>
        <v>0</v>
      </c>
    </row>
    <row r="211" ht="15.75" customHeight="1">
      <c r="A211" s="6" t="str">
        <f>IFERROR(__xludf.DUMMYFUNCTION("""COMPUTED_VALUE"""),"ba1065d04424754ef65327a97989402f6a123e5a")</f>
        <v>ba1065d04424754ef65327a97989402f6a123e5a</v>
      </c>
      <c r="B211" s="6" t="str">
        <f>IFERROR(__xludf.DUMMYFUNCTION("""COMPUTED_VALUE"""),"Yours by Accident")</f>
        <v>Yours by Accident</v>
      </c>
      <c r="C211" s="6" t="str">
        <f>IFERROR(__xludf.DUMMYFUNCTION("""COMPUTED_VALUE"""),"Romance")</f>
        <v>Romance</v>
      </c>
      <c r="D211" s="11">
        <f>IFERROR(__xludf.DUMMYFUNCTION("""COMPUTED_VALUE"""),122.0)</f>
        <v>122</v>
      </c>
      <c r="E211" s="8">
        <f>IFERROR(__xludf.DUMMYFUNCTION("""COMPUTED_VALUE"""),0.983471074380165)</f>
        <v>0.9834710744</v>
      </c>
      <c r="F211" s="8">
        <f>IFERROR(__xludf.DUMMYFUNCTION("""COMPUTED_VALUE"""),0.491666666666666)</f>
        <v>0.4916666667</v>
      </c>
      <c r="G211" s="8">
        <f>IFERROR(__xludf.DUMMYFUNCTION("""COMPUTED_VALUE"""),0.375)</f>
        <v>0.375</v>
      </c>
      <c r="H211" s="8">
        <f>IFERROR(__xludf.DUMMYFUNCTION("""COMPUTED_VALUE"""),0.341666666666666)</f>
        <v>0.3416666667</v>
      </c>
      <c r="I211" s="8">
        <f>IFERROR(__xludf.DUMMYFUNCTION("""COMPUTED_VALUE"""),0.3)</f>
        <v>0.3</v>
      </c>
      <c r="J211" s="8">
        <f>IFERROR(__xludf.DUMMYFUNCTION("""COMPUTED_VALUE"""),0.279661016949152)</f>
        <v>0.2796610169</v>
      </c>
      <c r="K211" s="8">
        <f>IFERROR(__xludf.DUMMYFUNCTION("""COMPUTED_VALUE"""),0.267241379310344)</f>
        <v>0.2672413793</v>
      </c>
      <c r="L211" s="8">
        <f>IFERROR(__xludf.DUMMYFUNCTION("""COMPUTED_VALUE"""),0.221238938053097)</f>
        <v>0.2212389381</v>
      </c>
      <c r="M211" s="8">
        <f>IFERROR(__xludf.DUMMYFUNCTION("""COMPUTED_VALUE"""),0.229357798165137)</f>
        <v>0.2293577982</v>
      </c>
      <c r="N211" s="8">
        <f>IFERROR(__xludf.DUMMYFUNCTION("""COMPUTED_VALUE"""),0.22429906542056)</f>
        <v>0.2242990654</v>
      </c>
      <c r="O211" s="8">
        <f>IFERROR(__xludf.DUMMYFUNCTION("""COMPUTED_VALUE"""),0.163461538461538)</f>
        <v>0.1634615385</v>
      </c>
      <c r="P211" s="8">
        <f>IFERROR(__xludf.DUMMYFUNCTION("""COMPUTED_VALUE"""),0.0980392156862745)</f>
        <v>0.09803921569</v>
      </c>
      <c r="Q211" s="8">
        <f>IFERROR(__xludf.DUMMYFUNCTION("""COMPUTED_VALUE"""),0.1)</f>
        <v>0.1</v>
      </c>
      <c r="R211" s="8">
        <f>IFERROR(__xludf.DUMMYFUNCTION("""COMPUTED_VALUE"""),0.027027027027027)</f>
        <v>0.02702702703</v>
      </c>
      <c r="S211" s="8">
        <f>IFERROR(__xludf.DUMMYFUNCTION("""COMPUTED_VALUE"""),0.0273972602739726)</f>
        <v>0.02739726027</v>
      </c>
      <c r="T211" s="8">
        <f>IFERROR(__xludf.DUMMYFUNCTION("""COMPUTED_VALUE"""),0.0)</f>
        <v>0</v>
      </c>
      <c r="U211" s="8">
        <f>IFERROR(__xludf.DUMMYFUNCTION("""COMPUTED_VALUE"""),0.0)</f>
        <v>0</v>
      </c>
      <c r="V211" s="8">
        <f>IFERROR(__xludf.DUMMYFUNCTION("""COMPUTED_VALUE"""),0.0)</f>
        <v>0</v>
      </c>
      <c r="W211" s="8">
        <f>IFERROR(__xludf.DUMMYFUNCTION("""COMPUTED_VALUE"""),0.0)</f>
        <v>0</v>
      </c>
      <c r="X211" s="8">
        <f>IFERROR(__xludf.DUMMYFUNCTION("""COMPUTED_VALUE"""),0.0)</f>
        <v>0</v>
      </c>
      <c r="Y211" s="8">
        <f>IFERROR(__xludf.DUMMYFUNCTION("""COMPUTED_VALUE"""),0.0)</f>
        <v>0</v>
      </c>
      <c r="Z211" s="8">
        <f>IFERROR(__xludf.DUMMYFUNCTION("""COMPUTED_VALUE"""),0.0)</f>
        <v>0</v>
      </c>
      <c r="AA211" s="8">
        <f>IFERROR(__xludf.DUMMYFUNCTION("""COMPUTED_VALUE"""),0.0)</f>
        <v>0</v>
      </c>
      <c r="AB211" s="8">
        <f>IFERROR(__xludf.DUMMYFUNCTION("""COMPUTED_VALUE"""),0.0)</f>
        <v>0</v>
      </c>
      <c r="AC211" s="8">
        <f>IFERROR(__xludf.DUMMYFUNCTION("""COMPUTED_VALUE"""),0.0)</f>
        <v>0</v>
      </c>
    </row>
    <row r="212" ht="15.75" customHeight="1">
      <c r="A212" s="6" t="str">
        <f>IFERROR(__xludf.DUMMYFUNCTION("""COMPUTED_VALUE"""),"bb2f281964ff5fb7528074b3b2b73409bbf91d2a")</f>
        <v>bb2f281964ff5fb7528074b3b2b73409bbf91d2a</v>
      </c>
      <c r="B212" s="6" t="str">
        <f>IFERROR(__xludf.DUMMYFUNCTION("""COMPUTED_VALUE"""),"My Money Minting System")</f>
        <v>My Money Minting System</v>
      </c>
      <c r="C212" s="6" t="str">
        <f>IFERROR(__xludf.DUMMYFUNCTION("""COMPUTED_VALUE"""),"System and Superpower")</f>
        <v>System and Superpower</v>
      </c>
      <c r="D212" s="11">
        <f>IFERROR(__xludf.DUMMYFUNCTION("""COMPUTED_VALUE"""),1838.0)</f>
        <v>1838</v>
      </c>
      <c r="E212" s="8">
        <f>IFERROR(__xludf.DUMMYFUNCTION("""COMPUTED_VALUE"""),0.971459934138309)</f>
        <v>0.9714599341</v>
      </c>
      <c r="F212" s="8">
        <f>IFERROR(__xludf.DUMMYFUNCTION("""COMPUTED_VALUE"""),0.691515151515151)</f>
        <v>0.6915151515</v>
      </c>
      <c r="G212" s="8">
        <f>IFERROR(__xludf.DUMMYFUNCTION("""COMPUTED_VALUE"""),0.57915309446254)</f>
        <v>0.5791530945</v>
      </c>
      <c r="H212" s="8">
        <f>IFERROR(__xludf.DUMMYFUNCTION("""COMPUTED_VALUE"""),0.520158102766798)</f>
        <v>0.5201581028</v>
      </c>
      <c r="I212" s="8">
        <f>IFERROR(__xludf.DUMMYFUNCTION("""COMPUTED_VALUE"""),0.448006932409012)</f>
        <v>0.4480069324</v>
      </c>
      <c r="J212" s="8">
        <f>IFERROR(__xludf.DUMMYFUNCTION("""COMPUTED_VALUE"""),0.376660341555977)</f>
        <v>0.3766603416</v>
      </c>
      <c r="K212" s="8">
        <f>IFERROR(__xludf.DUMMYFUNCTION("""COMPUTED_VALUE"""),0.3377990430622)</f>
        <v>0.3377990431</v>
      </c>
      <c r="L212" s="8">
        <f>IFERROR(__xludf.DUMMYFUNCTION("""COMPUTED_VALUE"""),0.306142034548944)</f>
        <v>0.3061420345</v>
      </c>
      <c r="M212" s="8">
        <f>IFERROR(__xludf.DUMMYFUNCTION("""COMPUTED_VALUE"""),0.281460134486071)</f>
        <v>0.2814601345</v>
      </c>
      <c r="N212" s="8">
        <f>IFERROR(__xludf.DUMMYFUNCTION("""COMPUTED_VALUE"""),0.278420038535645)</f>
        <v>0.2784200385</v>
      </c>
      <c r="O212" s="8">
        <f>IFERROR(__xludf.DUMMYFUNCTION("""COMPUTED_VALUE"""),0.192497532082922)</f>
        <v>0.1924975321</v>
      </c>
      <c r="P212" s="8">
        <f>IFERROR(__xludf.DUMMYFUNCTION("""COMPUTED_VALUE"""),0.109118086696562)</f>
        <v>0.1091180867</v>
      </c>
      <c r="Q212" s="8">
        <f>IFERROR(__xludf.DUMMYFUNCTION("""COMPUTED_VALUE"""),0.0571428571428571)</f>
        <v>0.05714285714</v>
      </c>
      <c r="R212" s="8">
        <f>IFERROR(__xludf.DUMMYFUNCTION("""COMPUTED_VALUE"""),0.0)</f>
        <v>0</v>
      </c>
      <c r="S212" s="8">
        <f>IFERROR(__xludf.DUMMYFUNCTION("""COMPUTED_VALUE"""),0.0)</f>
        <v>0</v>
      </c>
      <c r="T212" s="8">
        <f>IFERROR(__xludf.DUMMYFUNCTION("""COMPUTED_VALUE"""),0.0)</f>
        <v>0</v>
      </c>
      <c r="U212" s="8">
        <f>IFERROR(__xludf.DUMMYFUNCTION("""COMPUTED_VALUE"""),0.0)</f>
        <v>0</v>
      </c>
      <c r="V212" s="8">
        <f>IFERROR(__xludf.DUMMYFUNCTION("""COMPUTED_VALUE"""),0.0)</f>
        <v>0</v>
      </c>
      <c r="W212" s="8">
        <f>IFERROR(__xludf.DUMMYFUNCTION("""COMPUTED_VALUE"""),0.0)</f>
        <v>0</v>
      </c>
      <c r="X212" s="8">
        <f>IFERROR(__xludf.DUMMYFUNCTION("""COMPUTED_VALUE"""),0.0)</f>
        <v>0</v>
      </c>
      <c r="Y212" s="8">
        <f>IFERROR(__xludf.DUMMYFUNCTION("""COMPUTED_VALUE"""),0.0)</f>
        <v>0</v>
      </c>
      <c r="Z212" s="8">
        <f>IFERROR(__xludf.DUMMYFUNCTION("""COMPUTED_VALUE"""),0.0)</f>
        <v>0</v>
      </c>
      <c r="AA212" s="8">
        <f>IFERROR(__xludf.DUMMYFUNCTION("""COMPUTED_VALUE"""),0.0)</f>
        <v>0</v>
      </c>
      <c r="AB212" s="8">
        <f>IFERROR(__xludf.DUMMYFUNCTION("""COMPUTED_VALUE"""),0.0)</f>
        <v>0</v>
      </c>
      <c r="AC212" s="8">
        <f>IFERROR(__xludf.DUMMYFUNCTION("""COMPUTED_VALUE"""),0.0)</f>
        <v>0</v>
      </c>
    </row>
    <row r="213" ht="15.75" customHeight="1">
      <c r="A213" s="6" t="str">
        <f>IFERROR(__xludf.DUMMYFUNCTION("""COMPUTED_VALUE"""),"bb8bdc13e3c19f2845f457b91284273ad6ddf8f2")</f>
        <v>bb8bdc13e3c19f2845f457b91284273ad6ddf8f2</v>
      </c>
      <c r="B213" s="6" t="str">
        <f>IFERROR(__xludf.DUMMYFUNCTION("""COMPUTED_VALUE"""),"His Four Little Rascals")</f>
        <v>His Four Little Rascals</v>
      </c>
      <c r="C213" s="6" t="str">
        <f>IFERROR(__xludf.DUMMYFUNCTION("""COMPUTED_VALUE"""),"Romance")</f>
        <v>Romance</v>
      </c>
      <c r="D213" s="11">
        <f>IFERROR(__xludf.DUMMYFUNCTION("""COMPUTED_VALUE"""),4546.0)</f>
        <v>4546</v>
      </c>
      <c r="E213" s="8">
        <f>IFERROR(__xludf.DUMMYFUNCTION("""COMPUTED_VALUE"""),0.908529865549922)</f>
        <v>0.9085298655</v>
      </c>
      <c r="F213" s="8">
        <f>IFERROR(__xludf.DUMMYFUNCTION("""COMPUTED_VALUE"""),0.444836716681376)</f>
        <v>0.4448367167</v>
      </c>
      <c r="G213" s="8">
        <f>IFERROR(__xludf.DUMMYFUNCTION("""COMPUTED_VALUE"""),0.359743985875082)</f>
        <v>0.3597439859</v>
      </c>
      <c r="H213" s="8">
        <f>IFERROR(__xludf.DUMMYFUNCTION("""COMPUTED_VALUE"""),0.346875689997792)</f>
        <v>0.34687569</v>
      </c>
      <c r="I213" s="8">
        <f>IFERROR(__xludf.DUMMYFUNCTION("""COMPUTED_VALUE"""),0.336058329650905)</f>
        <v>0.3360583297</v>
      </c>
      <c r="J213" s="8">
        <f>IFERROR(__xludf.DUMMYFUNCTION("""COMPUTED_VALUE"""),0.325966850828729)</f>
        <v>0.3259668508</v>
      </c>
      <c r="K213" s="8">
        <f>IFERROR(__xludf.DUMMYFUNCTION("""COMPUTED_VALUE"""),0.316895179124281)</f>
        <v>0.3168951791</v>
      </c>
      <c r="L213" s="8">
        <f>IFERROR(__xludf.DUMMYFUNCTION("""COMPUTED_VALUE"""),0.315556539057313)</f>
        <v>0.3155565391</v>
      </c>
      <c r="M213" s="8">
        <f>IFERROR(__xludf.DUMMYFUNCTION("""COMPUTED_VALUE"""),0.306041159548572)</f>
        <v>0.3060411595</v>
      </c>
      <c r="N213" s="8">
        <f>IFERROR(__xludf.DUMMYFUNCTION("""COMPUTED_VALUE"""),0.301306176665928)</f>
        <v>0.3013061767</v>
      </c>
      <c r="O213" s="8">
        <f>IFERROR(__xludf.DUMMYFUNCTION("""COMPUTED_VALUE"""),0.287878787878787)</f>
        <v>0.2878787879</v>
      </c>
      <c r="P213" s="8">
        <f>IFERROR(__xludf.DUMMYFUNCTION("""COMPUTED_VALUE"""),0.238900157764255)</f>
        <v>0.2389001578</v>
      </c>
      <c r="Q213" s="8">
        <f>IFERROR(__xludf.DUMMYFUNCTION("""COMPUTED_VALUE"""),0.189832837188)</f>
        <v>0.1898328372</v>
      </c>
      <c r="R213" s="8">
        <f>IFERROR(__xludf.DUMMYFUNCTION("""COMPUTED_VALUE"""),0.142490671641791)</f>
        <v>0.1424906716</v>
      </c>
      <c r="S213" s="8">
        <f>IFERROR(__xludf.DUMMYFUNCTION("""COMPUTED_VALUE"""),0.121492921492921)</f>
        <v>0.1214929215</v>
      </c>
      <c r="T213" s="8">
        <f>IFERROR(__xludf.DUMMYFUNCTION("""COMPUTED_VALUE"""),0.100088313217544)</f>
        <v>0.1000883132</v>
      </c>
      <c r="U213" s="8">
        <f>IFERROR(__xludf.DUMMYFUNCTION("""COMPUTED_VALUE"""),0.10204081632653)</f>
        <v>0.1020408163</v>
      </c>
      <c r="V213" s="8">
        <f>IFERROR(__xludf.DUMMYFUNCTION("""COMPUTED_VALUE"""),0.116666666666666)</f>
        <v>0.1166666667</v>
      </c>
      <c r="W213" s="8">
        <f>IFERROR(__xludf.DUMMYFUNCTION("""COMPUTED_VALUE"""),0.0961038961038961)</f>
        <v>0.0961038961</v>
      </c>
      <c r="X213" s="8">
        <f>IFERROR(__xludf.DUMMYFUNCTION("""COMPUTED_VALUE"""),0.0987654320987654)</f>
        <v>0.0987654321</v>
      </c>
      <c r="Y213" s="8">
        <f>IFERROR(__xludf.DUMMYFUNCTION("""COMPUTED_VALUE"""),0.0465116279069767)</f>
        <v>0.04651162791</v>
      </c>
      <c r="Z213" s="8">
        <f>IFERROR(__xludf.DUMMYFUNCTION("""COMPUTED_VALUE"""),0.0)</f>
        <v>0</v>
      </c>
      <c r="AA213" s="8">
        <f>IFERROR(__xludf.DUMMYFUNCTION("""COMPUTED_VALUE"""),0.0)</f>
        <v>0</v>
      </c>
      <c r="AB213" s="8">
        <f>IFERROR(__xludf.DUMMYFUNCTION("""COMPUTED_VALUE"""),0.0)</f>
        <v>0</v>
      </c>
      <c r="AC213" s="8">
        <f>IFERROR(__xludf.DUMMYFUNCTION("""COMPUTED_VALUE"""),0.0)</f>
        <v>0</v>
      </c>
    </row>
    <row r="214" ht="15.75" customHeight="1">
      <c r="A214" s="6" t="str">
        <f>IFERROR(__xludf.DUMMYFUNCTION("""COMPUTED_VALUE"""),"bbaf98e4e43fc8963698d00c4a338957fb765b85")</f>
        <v>bbaf98e4e43fc8963698d00c4a338957fb765b85</v>
      </c>
      <c r="B214" s="6" t="str">
        <f>IFERROR(__xludf.DUMMYFUNCTION("""COMPUTED_VALUE"""),"Artifact Spirit System")</f>
        <v>Artifact Spirit System</v>
      </c>
      <c r="C214" s="6" t="str">
        <f>IFERROR(__xludf.DUMMYFUNCTION("""COMPUTED_VALUE"""),"System and Superpower")</f>
        <v>System and Superpower</v>
      </c>
      <c r="D214" s="11">
        <f>IFERROR(__xludf.DUMMYFUNCTION("""COMPUTED_VALUE"""),6999.0)</f>
        <v>6999</v>
      </c>
      <c r="E214" s="8">
        <f>IFERROR(__xludf.DUMMYFUNCTION("""COMPUTED_VALUE"""),0.963257630551135)</f>
        <v>0.9632576306</v>
      </c>
      <c r="F214" s="8">
        <f>IFERROR(__xludf.DUMMYFUNCTION("""COMPUTED_VALUE"""),0.582390122004997)</f>
        <v>0.582390122</v>
      </c>
      <c r="G214" s="8">
        <f>IFERROR(__xludf.DUMMYFUNCTION("""COMPUTED_VALUE"""),0.512904182735093)</f>
        <v>0.5129041827</v>
      </c>
      <c r="H214" s="8">
        <f>IFERROR(__xludf.DUMMYFUNCTION("""COMPUTED_VALUE"""),0.465568862275449)</f>
        <v>0.4655688623</v>
      </c>
      <c r="I214" s="8">
        <f>IFERROR(__xludf.DUMMYFUNCTION("""COMPUTED_VALUE"""),0.430920060331825)</f>
        <v>0.4309200603</v>
      </c>
      <c r="J214" s="8">
        <f>IFERROR(__xludf.DUMMYFUNCTION("""COMPUTED_VALUE"""),0.408980213089802)</f>
        <v>0.4089802131</v>
      </c>
      <c r="K214" s="8">
        <f>IFERROR(__xludf.DUMMYFUNCTION("""COMPUTED_VALUE"""),0.391357834845455)</f>
        <v>0.3913578348</v>
      </c>
      <c r="L214" s="8">
        <f>IFERROR(__xludf.DUMMYFUNCTION("""COMPUTED_VALUE"""),0.37511678604796)</f>
        <v>0.375116786</v>
      </c>
      <c r="M214" s="8">
        <f>IFERROR(__xludf.DUMMYFUNCTION("""COMPUTED_VALUE"""),0.359717868338558)</f>
        <v>0.3597178683</v>
      </c>
      <c r="N214" s="8">
        <f>IFERROR(__xludf.DUMMYFUNCTION("""COMPUTED_VALUE"""),0.351536379557395)</f>
        <v>0.3515363796</v>
      </c>
      <c r="O214" s="8">
        <f>IFERROR(__xludf.DUMMYFUNCTION("""COMPUTED_VALUE"""),0.310894745677354)</f>
        <v>0.3108947457</v>
      </c>
      <c r="P214" s="8">
        <f>IFERROR(__xludf.DUMMYFUNCTION("""COMPUTED_VALUE"""),0.251685393258427)</f>
        <v>0.2516853933</v>
      </c>
      <c r="Q214" s="8">
        <f>IFERROR(__xludf.DUMMYFUNCTION("""COMPUTED_VALUE"""),0.178691840863115)</f>
        <v>0.1786918409</v>
      </c>
      <c r="R214" s="8">
        <f>IFERROR(__xludf.DUMMYFUNCTION("""COMPUTED_VALUE"""),0.14827018121911)</f>
        <v>0.1482701812</v>
      </c>
      <c r="S214" s="8">
        <f>IFERROR(__xludf.DUMMYFUNCTION("""COMPUTED_VALUE"""),0.0)</f>
        <v>0</v>
      </c>
      <c r="T214" s="8">
        <f>IFERROR(__xludf.DUMMYFUNCTION("""COMPUTED_VALUE"""),0.0)</f>
        <v>0</v>
      </c>
      <c r="U214" s="8">
        <f>IFERROR(__xludf.DUMMYFUNCTION("""COMPUTED_VALUE"""),0.0)</f>
        <v>0</v>
      </c>
      <c r="V214" s="8">
        <f>IFERROR(__xludf.DUMMYFUNCTION("""COMPUTED_VALUE"""),0.0)</f>
        <v>0</v>
      </c>
      <c r="W214" s="8">
        <f>IFERROR(__xludf.DUMMYFUNCTION("""COMPUTED_VALUE"""),0.0)</f>
        <v>0</v>
      </c>
      <c r="X214" s="8">
        <f>IFERROR(__xludf.DUMMYFUNCTION("""COMPUTED_VALUE"""),0.0)</f>
        <v>0</v>
      </c>
      <c r="Y214" s="8">
        <f>IFERROR(__xludf.DUMMYFUNCTION("""COMPUTED_VALUE"""),0.0)</f>
        <v>0</v>
      </c>
      <c r="Z214" s="8">
        <f>IFERROR(__xludf.DUMMYFUNCTION("""COMPUTED_VALUE"""),0.0)</f>
        <v>0</v>
      </c>
      <c r="AA214" s="8">
        <f>IFERROR(__xludf.DUMMYFUNCTION("""COMPUTED_VALUE"""),0.0)</f>
        <v>0</v>
      </c>
      <c r="AB214" s="8">
        <f>IFERROR(__xludf.DUMMYFUNCTION("""COMPUTED_VALUE"""),0.0)</f>
        <v>0</v>
      </c>
      <c r="AC214" s="8">
        <f>IFERROR(__xludf.DUMMYFUNCTION("""COMPUTED_VALUE"""),0.0)</f>
        <v>0</v>
      </c>
    </row>
    <row r="215" ht="15.75" customHeight="1">
      <c r="A215" s="6" t="str">
        <f>IFERROR(__xludf.DUMMYFUNCTION("""COMPUTED_VALUE"""),"bbfdf49252139aecaf606478dbe29039803604ae")</f>
        <v>bbfdf49252139aecaf606478dbe29039803604ae</v>
      </c>
      <c r="B215" s="6" t="str">
        <f>IFERROR(__xludf.DUMMYFUNCTION("""COMPUTED_VALUE"""),"Alchemist of HARRY POTTER")</f>
        <v>Alchemist of HARRY POTTER</v>
      </c>
      <c r="C215" s="6" t="str">
        <f>IFERROR(__xludf.DUMMYFUNCTION("""COMPUTED_VALUE"""),"Fantasy")</f>
        <v>Fantasy</v>
      </c>
      <c r="D215" s="11">
        <f>IFERROR(__xludf.DUMMYFUNCTION("""COMPUTED_VALUE"""),433.0)</f>
        <v>433</v>
      </c>
      <c r="E215" s="8">
        <f>IFERROR(__xludf.DUMMYFUNCTION("""COMPUTED_VALUE"""),0.984848484848484)</f>
        <v>0.9848484848</v>
      </c>
      <c r="F215" s="8">
        <f>IFERROR(__xludf.DUMMYFUNCTION("""COMPUTED_VALUE"""),0.504854368932038)</f>
        <v>0.5048543689</v>
      </c>
      <c r="G215" s="8">
        <f>IFERROR(__xludf.DUMMYFUNCTION("""COMPUTED_VALUE"""),0.383116883116883)</f>
        <v>0.3831168831</v>
      </c>
      <c r="H215" s="8">
        <f>IFERROR(__xludf.DUMMYFUNCTION("""COMPUTED_VALUE"""),0.354838709677419)</f>
        <v>0.3548387097</v>
      </c>
      <c r="I215" s="8">
        <f>IFERROR(__xludf.DUMMYFUNCTION("""COMPUTED_VALUE"""),0.299145299145299)</f>
        <v>0.2991452991</v>
      </c>
      <c r="J215" s="8">
        <f>IFERROR(__xludf.DUMMYFUNCTION("""COMPUTED_VALUE"""),0.257142857142857)</f>
        <v>0.2571428571</v>
      </c>
      <c r="K215" s="8">
        <f>IFERROR(__xludf.DUMMYFUNCTION("""COMPUTED_VALUE"""),0.227722772277227)</f>
        <v>0.2277227723</v>
      </c>
      <c r="L215" s="8">
        <f>IFERROR(__xludf.DUMMYFUNCTION("""COMPUTED_VALUE"""),0.189473684210526)</f>
        <v>0.1894736842</v>
      </c>
      <c r="M215" s="8">
        <f>IFERROR(__xludf.DUMMYFUNCTION("""COMPUTED_VALUE"""),0.182795698924731)</f>
        <v>0.1827956989</v>
      </c>
      <c r="N215" s="8">
        <f>IFERROR(__xludf.DUMMYFUNCTION("""COMPUTED_VALUE"""),0.184782608695652)</f>
        <v>0.1847826087</v>
      </c>
      <c r="O215" s="8">
        <f>IFERROR(__xludf.DUMMYFUNCTION("""COMPUTED_VALUE"""),0.135802469135802)</f>
        <v>0.1358024691</v>
      </c>
      <c r="P215" s="8">
        <f>IFERROR(__xludf.DUMMYFUNCTION("""COMPUTED_VALUE"""),0.130434782608695)</f>
        <v>0.1304347826</v>
      </c>
      <c r="Q215" s="8">
        <f>IFERROR(__xludf.DUMMYFUNCTION("""COMPUTED_VALUE"""),0.2)</f>
        <v>0.2</v>
      </c>
      <c r="R215" s="8">
        <f>IFERROR(__xludf.DUMMYFUNCTION("""COMPUTED_VALUE"""),0.0)</f>
        <v>0</v>
      </c>
      <c r="S215" s="8">
        <f>IFERROR(__xludf.DUMMYFUNCTION("""COMPUTED_VALUE"""),0.0)</f>
        <v>0</v>
      </c>
      <c r="T215" s="8">
        <f>IFERROR(__xludf.DUMMYFUNCTION("""COMPUTED_VALUE"""),0.0)</f>
        <v>0</v>
      </c>
      <c r="U215" s="8">
        <f>IFERROR(__xludf.DUMMYFUNCTION("""COMPUTED_VALUE"""),0.0)</f>
        <v>0</v>
      </c>
      <c r="V215" s="8">
        <f>IFERROR(__xludf.DUMMYFUNCTION("""COMPUTED_VALUE"""),0.0)</f>
        <v>0</v>
      </c>
      <c r="W215" s="8">
        <f>IFERROR(__xludf.DUMMYFUNCTION("""COMPUTED_VALUE"""),0.0)</f>
        <v>0</v>
      </c>
      <c r="X215" s="8">
        <f>IFERROR(__xludf.DUMMYFUNCTION("""COMPUTED_VALUE"""),0.0)</f>
        <v>0</v>
      </c>
      <c r="Y215" s="8">
        <f>IFERROR(__xludf.DUMMYFUNCTION("""COMPUTED_VALUE"""),0.0)</f>
        <v>0</v>
      </c>
      <c r="Z215" s="8">
        <f>IFERROR(__xludf.DUMMYFUNCTION("""COMPUTED_VALUE"""),0.0)</f>
        <v>0</v>
      </c>
      <c r="AA215" s="8">
        <f>IFERROR(__xludf.DUMMYFUNCTION("""COMPUTED_VALUE"""),0.0)</f>
        <v>0</v>
      </c>
      <c r="AB215" s="8">
        <f>IFERROR(__xludf.DUMMYFUNCTION("""COMPUTED_VALUE"""),0.0)</f>
        <v>0</v>
      </c>
      <c r="AC215" s="8">
        <f>IFERROR(__xludf.DUMMYFUNCTION("""COMPUTED_VALUE"""),0.0)</f>
        <v>0</v>
      </c>
    </row>
    <row r="216" ht="15.75" customHeight="1">
      <c r="A216" s="6" t="str">
        <f>IFERROR(__xludf.DUMMYFUNCTION("""COMPUTED_VALUE"""),"be6caef02859b458c7e726aab639c65f41c8e1be")</f>
        <v>be6caef02859b458c7e726aab639c65f41c8e1be</v>
      </c>
      <c r="B216" s="6" t="str">
        <f>IFERROR(__xludf.DUMMYFUNCTION("""COMPUTED_VALUE"""),"Natural Godly Martial Art")</f>
        <v>Natural Godly Martial Art</v>
      </c>
      <c r="C216" s="6" t="str">
        <f>IFERROR(__xludf.DUMMYFUNCTION("""COMPUTED_VALUE"""),"Fantasy")</f>
        <v>Fantasy</v>
      </c>
      <c r="D216" s="11">
        <f>IFERROR(__xludf.DUMMYFUNCTION("""COMPUTED_VALUE"""),1523.0)</f>
        <v>1523</v>
      </c>
      <c r="E216" s="8">
        <f>IFERROR(__xludf.DUMMYFUNCTION("""COMPUTED_VALUE"""),0.976300197498354)</f>
        <v>0.9763001975</v>
      </c>
      <c r="F216" s="8">
        <f>IFERROR(__xludf.DUMMYFUNCTION("""COMPUTED_VALUE"""),0.518716577540106)</f>
        <v>0.5187165775</v>
      </c>
      <c r="G216" s="8">
        <f>IFERROR(__xludf.DUMMYFUNCTION("""COMPUTED_VALUE"""),0.453360768175583)</f>
        <v>0.4533607682</v>
      </c>
      <c r="H216" s="8">
        <f>IFERROR(__xludf.DUMMYFUNCTION("""COMPUTED_VALUE"""),0.372930165586753)</f>
        <v>0.3729301656</v>
      </c>
      <c r="I216" s="8">
        <f>IFERROR(__xludf.DUMMYFUNCTION("""COMPUTED_VALUE"""),0.344929681717246)</f>
        <v>0.3449296817</v>
      </c>
      <c r="J216" s="8">
        <f>IFERROR(__xludf.DUMMYFUNCTION("""COMPUTED_VALUE"""),0.327399380804953)</f>
        <v>0.3273993808</v>
      </c>
      <c r="K216" s="8">
        <f>IFERROR(__xludf.DUMMYFUNCTION("""COMPUTED_VALUE"""),0.312995245641838)</f>
        <v>0.3129952456</v>
      </c>
      <c r="L216" s="8">
        <f>IFERROR(__xludf.DUMMYFUNCTION("""COMPUTED_VALUE"""),0.304020100502512)</f>
        <v>0.3040201005</v>
      </c>
      <c r="M216" s="8">
        <f>IFERROR(__xludf.DUMMYFUNCTION("""COMPUTED_VALUE"""),0.279927992799279)</f>
        <v>0.2799279928</v>
      </c>
      <c r="N216" s="8">
        <f>IFERROR(__xludf.DUMMYFUNCTION("""COMPUTED_VALUE"""),0.261927945472249)</f>
        <v>0.2619279455</v>
      </c>
      <c r="O216" s="8">
        <f>IFERROR(__xludf.DUMMYFUNCTION("""COMPUTED_VALUE"""),0.248081841432225)</f>
        <v>0.2480818414</v>
      </c>
      <c r="P216" s="8">
        <f>IFERROR(__xludf.DUMMYFUNCTION("""COMPUTED_VALUE"""),0.198150594451783)</f>
        <v>0.1981505945</v>
      </c>
      <c r="Q216" s="8">
        <f>IFERROR(__xludf.DUMMYFUNCTION("""COMPUTED_VALUE"""),0.0)</f>
        <v>0</v>
      </c>
      <c r="R216" s="8">
        <f>IFERROR(__xludf.DUMMYFUNCTION("""COMPUTED_VALUE"""),0.0)</f>
        <v>0</v>
      </c>
      <c r="S216" s="8">
        <f>IFERROR(__xludf.DUMMYFUNCTION("""COMPUTED_VALUE"""),0.0)</f>
        <v>0</v>
      </c>
      <c r="T216" s="8">
        <f>IFERROR(__xludf.DUMMYFUNCTION("""COMPUTED_VALUE"""),0.0)</f>
        <v>0</v>
      </c>
      <c r="U216" s="8">
        <f>IFERROR(__xludf.DUMMYFUNCTION("""COMPUTED_VALUE"""),0.0)</f>
        <v>0</v>
      </c>
      <c r="V216" s="8">
        <f>IFERROR(__xludf.DUMMYFUNCTION("""COMPUTED_VALUE"""),0.0)</f>
        <v>0</v>
      </c>
      <c r="W216" s="8">
        <f>IFERROR(__xludf.DUMMYFUNCTION("""COMPUTED_VALUE"""),0.0)</f>
        <v>0</v>
      </c>
      <c r="X216" s="8">
        <f>IFERROR(__xludf.DUMMYFUNCTION("""COMPUTED_VALUE"""),0.0)</f>
        <v>0</v>
      </c>
      <c r="Y216" s="8">
        <f>IFERROR(__xludf.DUMMYFUNCTION("""COMPUTED_VALUE"""),0.0)</f>
        <v>0</v>
      </c>
      <c r="Z216" s="8">
        <f>IFERROR(__xludf.DUMMYFUNCTION("""COMPUTED_VALUE"""),0.0)</f>
        <v>0</v>
      </c>
      <c r="AA216" s="8">
        <f>IFERROR(__xludf.DUMMYFUNCTION("""COMPUTED_VALUE"""),0.0)</f>
        <v>0</v>
      </c>
      <c r="AB216" s="8">
        <f>IFERROR(__xludf.DUMMYFUNCTION("""COMPUTED_VALUE"""),0.0)</f>
        <v>0</v>
      </c>
      <c r="AC216" s="8">
        <f>IFERROR(__xludf.DUMMYFUNCTION("""COMPUTED_VALUE"""),0.0)</f>
        <v>0</v>
      </c>
    </row>
    <row r="217" ht="15.75" customHeight="1">
      <c r="A217" s="6" t="str">
        <f>IFERROR(__xludf.DUMMYFUNCTION("""COMPUTED_VALUE"""),"bf3632f1f9e1f3a7b864a989bb8f495a629a43cb")</f>
        <v>bf3632f1f9e1f3a7b864a989bb8f495a629a43cb</v>
      </c>
      <c r="B217" s="6" t="str">
        <f>IFERROR(__xludf.DUMMYFUNCTION("""COMPUTED_VALUE"""),"Her Secret Twins")</f>
        <v>Her Secret Twins</v>
      </c>
      <c r="C217" s="6" t="str">
        <f>IFERROR(__xludf.DUMMYFUNCTION("""COMPUTED_VALUE"""),"Romance")</f>
        <v>Romance</v>
      </c>
      <c r="D217" s="11">
        <f>IFERROR(__xludf.DUMMYFUNCTION("""COMPUTED_VALUE"""),789.0)</f>
        <v>789</v>
      </c>
      <c r="E217" s="8">
        <f>IFERROR(__xludf.DUMMYFUNCTION("""COMPUTED_VALUE"""),0.898416886543535)</f>
        <v>0.8984168865</v>
      </c>
      <c r="F217" s="8">
        <f>IFERROR(__xludf.DUMMYFUNCTION("""COMPUTED_VALUE"""),0.63095238095238)</f>
        <v>0.630952381</v>
      </c>
      <c r="G217" s="8">
        <f>IFERROR(__xludf.DUMMYFUNCTION("""COMPUTED_VALUE"""),0.568783068783068)</f>
        <v>0.5687830688</v>
      </c>
      <c r="H217" s="8">
        <f>IFERROR(__xludf.DUMMYFUNCTION("""COMPUTED_VALUE"""),0.535714285714285)</f>
        <v>0.5357142857</v>
      </c>
      <c r="I217" s="8">
        <f>IFERROR(__xludf.DUMMYFUNCTION("""COMPUTED_VALUE"""),0.527152317880794)</f>
        <v>0.5271523179</v>
      </c>
      <c r="J217" s="8">
        <f>IFERROR(__xludf.DUMMYFUNCTION("""COMPUTED_VALUE"""),0.511936339522546)</f>
        <v>0.5119363395</v>
      </c>
      <c r="K217" s="8">
        <f>IFERROR(__xludf.DUMMYFUNCTION("""COMPUTED_VALUE"""),0.489389920424403)</f>
        <v>0.4893899204</v>
      </c>
      <c r="L217" s="8">
        <f>IFERROR(__xludf.DUMMYFUNCTION("""COMPUTED_VALUE"""),0.486018641810918)</f>
        <v>0.4860186418</v>
      </c>
      <c r="M217" s="8">
        <f>IFERROR(__xludf.DUMMYFUNCTION("""COMPUTED_VALUE"""),0.48)</f>
        <v>0.48</v>
      </c>
      <c r="N217" s="8">
        <f>IFERROR(__xludf.DUMMYFUNCTION("""COMPUTED_VALUE"""),0.463284379172229)</f>
        <v>0.4632843792</v>
      </c>
      <c r="O217" s="8">
        <f>IFERROR(__xludf.DUMMYFUNCTION("""COMPUTED_VALUE"""),0.428954423592493)</f>
        <v>0.4289544236</v>
      </c>
      <c r="P217" s="8">
        <f>IFERROR(__xludf.DUMMYFUNCTION("""COMPUTED_VALUE"""),0.393197278911564)</f>
        <v>0.3931972789</v>
      </c>
      <c r="Q217" s="8">
        <f>IFERROR(__xludf.DUMMYFUNCTION("""COMPUTED_VALUE"""),0.301272984441301)</f>
        <v>0.3012729844</v>
      </c>
      <c r="R217" s="8">
        <f>IFERROR(__xludf.DUMMYFUNCTION("""COMPUTED_VALUE"""),0.262166405023547)</f>
        <v>0.262166405</v>
      </c>
      <c r="S217" s="8">
        <f>IFERROR(__xludf.DUMMYFUNCTION("""COMPUTED_VALUE"""),0.167647058823529)</f>
        <v>0.1676470588</v>
      </c>
      <c r="T217" s="8">
        <f>IFERROR(__xludf.DUMMYFUNCTION("""COMPUTED_VALUE"""),0.0978260869565217)</f>
        <v>0.09782608696</v>
      </c>
      <c r="U217" s="8">
        <f>IFERROR(__xludf.DUMMYFUNCTION("""COMPUTED_VALUE"""),0.064516129032258)</f>
        <v>0.06451612903</v>
      </c>
      <c r="V217" s="8">
        <f>IFERROR(__xludf.DUMMYFUNCTION("""COMPUTED_VALUE"""),0.0467289719626168)</f>
        <v>0.04672897196</v>
      </c>
      <c r="W217" s="8">
        <f>IFERROR(__xludf.DUMMYFUNCTION("""COMPUTED_VALUE"""),0.0476190476190476)</f>
        <v>0.04761904762</v>
      </c>
      <c r="X217" s="8">
        <f>IFERROR(__xludf.DUMMYFUNCTION("""COMPUTED_VALUE"""),0.0847457627118644)</f>
        <v>0.08474576271</v>
      </c>
      <c r="Y217" s="8">
        <f>IFERROR(__xludf.DUMMYFUNCTION("""COMPUTED_VALUE"""),0.0571428571428571)</f>
        <v>0.05714285714</v>
      </c>
      <c r="Z217" s="8">
        <f>IFERROR(__xludf.DUMMYFUNCTION("""COMPUTED_VALUE"""),0.0)</f>
        <v>0</v>
      </c>
      <c r="AA217" s="8">
        <f>IFERROR(__xludf.DUMMYFUNCTION("""COMPUTED_VALUE"""),0.0)</f>
        <v>0</v>
      </c>
      <c r="AB217" s="8">
        <f>IFERROR(__xludf.DUMMYFUNCTION("""COMPUTED_VALUE"""),0.0)</f>
        <v>0</v>
      </c>
      <c r="AC217" s="8">
        <f>IFERROR(__xludf.DUMMYFUNCTION("""COMPUTED_VALUE"""),0.0)</f>
        <v>0</v>
      </c>
    </row>
    <row r="218" ht="15.75" customHeight="1">
      <c r="A218" s="6" t="str">
        <f>IFERROR(__xludf.DUMMYFUNCTION("""COMPUTED_VALUE"""),"c04c6d5eb020135b9855b7b2290092294bd33d99")</f>
        <v>c04c6d5eb020135b9855b7b2290092294bd33d99</v>
      </c>
      <c r="B218" s="6" t="str">
        <f>IFERROR(__xludf.DUMMYFUNCTION("""COMPUTED_VALUE"""),"My Crimson Bite")</f>
        <v>My Crimson Bite</v>
      </c>
      <c r="C218" s="6" t="str">
        <f>IFERROR(__xludf.DUMMYFUNCTION("""COMPUTED_VALUE"""),"Romantasy")</f>
        <v>Romantasy</v>
      </c>
      <c r="D218" s="11">
        <f>IFERROR(__xludf.DUMMYFUNCTION("""COMPUTED_VALUE"""),126.0)</f>
        <v>126</v>
      </c>
      <c r="E218" s="8">
        <f>IFERROR(__xludf.DUMMYFUNCTION("""COMPUTED_VALUE"""),0.992)</f>
        <v>0.992</v>
      </c>
      <c r="F218" s="8">
        <f>IFERROR(__xludf.DUMMYFUNCTION("""COMPUTED_VALUE"""),0.463414634146341)</f>
        <v>0.4634146341</v>
      </c>
      <c r="G218" s="8">
        <f>IFERROR(__xludf.DUMMYFUNCTION("""COMPUTED_VALUE"""),0.416666666666666)</f>
        <v>0.4166666667</v>
      </c>
      <c r="H218" s="8">
        <f>IFERROR(__xludf.DUMMYFUNCTION("""COMPUTED_VALUE"""),0.371681415929203)</f>
        <v>0.3716814159</v>
      </c>
      <c r="I218" s="8">
        <f>IFERROR(__xludf.DUMMYFUNCTION("""COMPUTED_VALUE"""),0.336538461538461)</f>
        <v>0.3365384615</v>
      </c>
      <c r="J218" s="8">
        <f>IFERROR(__xludf.DUMMYFUNCTION("""COMPUTED_VALUE"""),0.304347826086956)</f>
        <v>0.3043478261</v>
      </c>
      <c r="K218" s="8">
        <f>IFERROR(__xludf.DUMMYFUNCTION("""COMPUTED_VALUE"""),0.304347826086956)</f>
        <v>0.3043478261</v>
      </c>
      <c r="L218" s="8">
        <f>IFERROR(__xludf.DUMMYFUNCTION("""COMPUTED_VALUE"""),0.304347826086956)</f>
        <v>0.3043478261</v>
      </c>
      <c r="M218" s="8">
        <f>IFERROR(__xludf.DUMMYFUNCTION("""COMPUTED_VALUE"""),0.285714285714285)</f>
        <v>0.2857142857</v>
      </c>
      <c r="N218" s="8">
        <f>IFERROR(__xludf.DUMMYFUNCTION("""COMPUTED_VALUE"""),0.288888888888888)</f>
        <v>0.2888888889</v>
      </c>
      <c r="O218" s="8">
        <f>IFERROR(__xludf.DUMMYFUNCTION("""COMPUTED_VALUE"""),0.241379310344827)</f>
        <v>0.2413793103</v>
      </c>
      <c r="P218" s="8">
        <f>IFERROR(__xludf.DUMMYFUNCTION("""COMPUTED_VALUE"""),0.189873417721519)</f>
        <v>0.1898734177</v>
      </c>
      <c r="Q218" s="8">
        <f>IFERROR(__xludf.DUMMYFUNCTION("""COMPUTED_VALUE"""),0.135593220338983)</f>
        <v>0.1355932203</v>
      </c>
      <c r="R218" s="8">
        <f>IFERROR(__xludf.DUMMYFUNCTION("""COMPUTED_VALUE"""),0.0)</f>
        <v>0</v>
      </c>
      <c r="S218" s="8">
        <f>IFERROR(__xludf.DUMMYFUNCTION("""COMPUTED_VALUE"""),0.0)</f>
        <v>0</v>
      </c>
      <c r="T218" s="8">
        <f>IFERROR(__xludf.DUMMYFUNCTION("""COMPUTED_VALUE"""),0.0)</f>
        <v>0</v>
      </c>
      <c r="U218" s="8">
        <f>IFERROR(__xludf.DUMMYFUNCTION("""COMPUTED_VALUE"""),0.0)</f>
        <v>0</v>
      </c>
      <c r="V218" s="8">
        <f>IFERROR(__xludf.DUMMYFUNCTION("""COMPUTED_VALUE"""),0.0)</f>
        <v>0</v>
      </c>
      <c r="W218" s="8">
        <f>IFERROR(__xludf.DUMMYFUNCTION("""COMPUTED_VALUE"""),0.0)</f>
        <v>0</v>
      </c>
      <c r="X218" s="8">
        <f>IFERROR(__xludf.DUMMYFUNCTION("""COMPUTED_VALUE"""),0.0)</f>
        <v>0</v>
      </c>
      <c r="Y218" s="8">
        <f>IFERROR(__xludf.DUMMYFUNCTION("""COMPUTED_VALUE"""),0.0)</f>
        <v>0</v>
      </c>
      <c r="Z218" s="8">
        <f>IFERROR(__xludf.DUMMYFUNCTION("""COMPUTED_VALUE"""),0.0)</f>
        <v>0</v>
      </c>
      <c r="AA218" s="8">
        <f>IFERROR(__xludf.DUMMYFUNCTION("""COMPUTED_VALUE"""),0.0)</f>
        <v>0</v>
      </c>
      <c r="AB218" s="8">
        <f>IFERROR(__xludf.DUMMYFUNCTION("""COMPUTED_VALUE"""),0.0)</f>
        <v>0</v>
      </c>
      <c r="AC218" s="8">
        <f>IFERROR(__xludf.DUMMYFUNCTION("""COMPUTED_VALUE"""),0.0)</f>
        <v>0</v>
      </c>
    </row>
    <row r="219" ht="15.75" customHeight="1">
      <c r="A219" s="6" t="str">
        <f>IFERROR(__xludf.DUMMYFUNCTION("""COMPUTED_VALUE"""),"c2045ffb46d0538ca44af5ee011be0b36e81c395")</f>
        <v>c2045ffb46d0538ca44af5ee011be0b36e81c395</v>
      </c>
      <c r="B219" s="6" t="str">
        <f>IFERROR(__xludf.DUMMYFUNCTION("""COMPUTED_VALUE"""),"A Marriage of Ashes")</f>
        <v>A Marriage of Ashes</v>
      </c>
      <c r="C219" s="6" t="str">
        <f>IFERROR(__xludf.DUMMYFUNCTION("""COMPUTED_VALUE"""),"Romance")</f>
        <v>Romance</v>
      </c>
      <c r="D219" s="11">
        <f>IFERROR(__xludf.DUMMYFUNCTION("""COMPUTED_VALUE"""),183.0)</f>
        <v>183</v>
      </c>
      <c r="E219" s="8">
        <f>IFERROR(__xludf.DUMMYFUNCTION("""COMPUTED_VALUE"""),0.978142076502732)</f>
        <v>0.9781420765</v>
      </c>
      <c r="F219" s="8">
        <f>IFERROR(__xludf.DUMMYFUNCTION("""COMPUTED_VALUE"""),0.21311475409836)</f>
        <v>0.2131147541</v>
      </c>
      <c r="G219" s="8">
        <f>IFERROR(__xludf.DUMMYFUNCTION("""COMPUTED_VALUE"""),0.14207650273224)</f>
        <v>0.1420765027</v>
      </c>
      <c r="H219" s="8">
        <f>IFERROR(__xludf.DUMMYFUNCTION("""COMPUTED_VALUE"""),0.120218579234972)</f>
        <v>0.1202185792</v>
      </c>
      <c r="I219" s="8">
        <f>IFERROR(__xludf.DUMMYFUNCTION("""COMPUTED_VALUE"""),0.104395604395604)</f>
        <v>0.1043956044</v>
      </c>
      <c r="J219" s="8">
        <f>IFERROR(__xludf.DUMMYFUNCTION("""COMPUTED_VALUE"""),0.0769230769230769)</f>
        <v>0.07692307692</v>
      </c>
      <c r="K219" s="8">
        <f>IFERROR(__xludf.DUMMYFUNCTION("""COMPUTED_VALUE"""),0.0604395604395604)</f>
        <v>0.06043956044</v>
      </c>
      <c r="L219" s="8">
        <f>IFERROR(__xludf.DUMMYFUNCTION("""COMPUTED_VALUE"""),0.0714285714285714)</f>
        <v>0.07142857143</v>
      </c>
      <c r="M219" s="8">
        <f>IFERROR(__xludf.DUMMYFUNCTION("""COMPUTED_VALUE"""),0.0714285714285714)</f>
        <v>0.07142857143</v>
      </c>
      <c r="N219" s="8">
        <f>IFERROR(__xludf.DUMMYFUNCTION("""COMPUTED_VALUE"""),0.0659340659340659)</f>
        <v>0.06593406593</v>
      </c>
      <c r="O219" s="8">
        <f>IFERROR(__xludf.DUMMYFUNCTION("""COMPUTED_VALUE"""),0.0245398773006134)</f>
        <v>0.0245398773</v>
      </c>
      <c r="P219" s="8">
        <f>IFERROR(__xludf.DUMMYFUNCTION("""COMPUTED_VALUE"""),0.00806451612903225)</f>
        <v>0.008064516129</v>
      </c>
      <c r="Q219" s="8">
        <f>IFERROR(__xludf.DUMMYFUNCTION("""COMPUTED_VALUE"""),0.0)</f>
        <v>0</v>
      </c>
      <c r="R219" s="8">
        <f>IFERROR(__xludf.DUMMYFUNCTION("""COMPUTED_VALUE"""),0.0)</f>
        <v>0</v>
      </c>
      <c r="S219" s="8">
        <f>IFERROR(__xludf.DUMMYFUNCTION("""COMPUTED_VALUE"""),0.0)</f>
        <v>0</v>
      </c>
      <c r="T219" s="8">
        <f>IFERROR(__xludf.DUMMYFUNCTION("""COMPUTED_VALUE"""),0.0)</f>
        <v>0</v>
      </c>
      <c r="U219" s="8">
        <f>IFERROR(__xludf.DUMMYFUNCTION("""COMPUTED_VALUE"""),0.0)</f>
        <v>0</v>
      </c>
      <c r="V219" s="8">
        <f>IFERROR(__xludf.DUMMYFUNCTION("""COMPUTED_VALUE"""),0.0)</f>
        <v>0</v>
      </c>
      <c r="W219" s="8">
        <f>IFERROR(__xludf.DUMMYFUNCTION("""COMPUTED_VALUE"""),0.0)</f>
        <v>0</v>
      </c>
      <c r="X219" s="8">
        <f>IFERROR(__xludf.DUMMYFUNCTION("""COMPUTED_VALUE"""),0.0)</f>
        <v>0</v>
      </c>
      <c r="Y219" s="8">
        <f>IFERROR(__xludf.DUMMYFUNCTION("""COMPUTED_VALUE"""),0.0)</f>
        <v>0</v>
      </c>
      <c r="Z219" s="8">
        <f>IFERROR(__xludf.DUMMYFUNCTION("""COMPUTED_VALUE"""),0.0)</f>
        <v>0</v>
      </c>
      <c r="AA219" s="8">
        <f>IFERROR(__xludf.DUMMYFUNCTION("""COMPUTED_VALUE"""),0.0)</f>
        <v>0</v>
      </c>
      <c r="AB219" s="8">
        <f>IFERROR(__xludf.DUMMYFUNCTION("""COMPUTED_VALUE"""),0.0)</f>
        <v>0</v>
      </c>
      <c r="AC219" s="8">
        <f>IFERROR(__xludf.DUMMYFUNCTION("""COMPUTED_VALUE"""),0.0)</f>
        <v>0</v>
      </c>
    </row>
    <row r="220" ht="15.75" customHeight="1">
      <c r="A220" s="6" t="str">
        <f>IFERROR(__xludf.DUMMYFUNCTION("""COMPUTED_VALUE"""),"c4463ba00f6c126612324139644418680a50dd75")</f>
        <v>c4463ba00f6c126612324139644418680a50dd75</v>
      </c>
      <c r="B220" s="6" t="str">
        <f>IFERROR(__xludf.DUMMYFUNCTION("""COMPUTED_VALUE"""),"Bloodstar")</f>
        <v>Bloodstar</v>
      </c>
      <c r="C220" s="6" t="str">
        <f>IFERROR(__xludf.DUMMYFUNCTION("""COMPUTED_VALUE"""),"System and Superpower")</f>
        <v>System and Superpower</v>
      </c>
      <c r="D220" s="11">
        <f>IFERROR(__xludf.DUMMYFUNCTION("""COMPUTED_VALUE"""),1100.0)</f>
        <v>1100</v>
      </c>
      <c r="E220" s="8">
        <f>IFERROR(__xludf.DUMMYFUNCTION("""COMPUTED_VALUE"""),0.974475843208751)</f>
        <v>0.9744758432</v>
      </c>
      <c r="F220" s="8">
        <f>IFERROR(__xludf.DUMMYFUNCTION("""COMPUTED_VALUE"""),0.698993595608417)</f>
        <v>0.6989935956</v>
      </c>
      <c r="G220" s="8">
        <f>IFERROR(__xludf.DUMMYFUNCTION("""COMPUTED_VALUE"""),0.615243342516069)</f>
        <v>0.6152433425</v>
      </c>
      <c r="H220" s="8">
        <f>IFERROR(__xludf.DUMMYFUNCTION("""COMPUTED_VALUE"""),0.522497704315886)</f>
        <v>0.5224977043</v>
      </c>
      <c r="I220" s="8">
        <f>IFERROR(__xludf.DUMMYFUNCTION("""COMPUTED_VALUE"""),0.462534690101757)</f>
        <v>0.4625346901</v>
      </c>
      <c r="J220" s="8">
        <f>IFERROR(__xludf.DUMMYFUNCTION("""COMPUTED_VALUE"""),0.405027932960893)</f>
        <v>0.405027933</v>
      </c>
      <c r="K220" s="8">
        <f>IFERROR(__xludf.DUMMYFUNCTION("""COMPUTED_VALUE"""),0.357943925233644)</f>
        <v>0.3579439252</v>
      </c>
      <c r="L220" s="8">
        <f>IFERROR(__xludf.DUMMYFUNCTION("""COMPUTED_VALUE"""),0.322641509433962)</f>
        <v>0.3226415094</v>
      </c>
      <c r="M220" s="8">
        <f>IFERROR(__xludf.DUMMYFUNCTION("""COMPUTED_VALUE"""),0.290995260663507)</f>
        <v>0.2909952607</v>
      </c>
      <c r="N220" s="8">
        <f>IFERROR(__xludf.DUMMYFUNCTION("""COMPUTED_VALUE"""),0.275763358778625)</f>
        <v>0.2757633588</v>
      </c>
      <c r="O220" s="8">
        <f>IFERROR(__xludf.DUMMYFUNCTION("""COMPUTED_VALUE"""),0.216152019002375)</f>
        <v>0.216152019</v>
      </c>
      <c r="P220" s="8">
        <f>IFERROR(__xludf.DUMMYFUNCTION("""COMPUTED_VALUE"""),0.142857142857142)</f>
        <v>0.1428571429</v>
      </c>
      <c r="Q220" s="8">
        <f>IFERROR(__xludf.DUMMYFUNCTION("""COMPUTED_VALUE"""),0.0)</f>
        <v>0</v>
      </c>
      <c r="R220" s="8">
        <f>IFERROR(__xludf.DUMMYFUNCTION("""COMPUTED_VALUE"""),0.0)</f>
        <v>0</v>
      </c>
      <c r="S220" s="8">
        <f>IFERROR(__xludf.DUMMYFUNCTION("""COMPUTED_VALUE"""),0.0)</f>
        <v>0</v>
      </c>
      <c r="T220" s="8">
        <f>IFERROR(__xludf.DUMMYFUNCTION("""COMPUTED_VALUE"""),0.0)</f>
        <v>0</v>
      </c>
      <c r="U220" s="8">
        <f>IFERROR(__xludf.DUMMYFUNCTION("""COMPUTED_VALUE"""),0.0)</f>
        <v>0</v>
      </c>
      <c r="V220" s="8">
        <f>IFERROR(__xludf.DUMMYFUNCTION("""COMPUTED_VALUE"""),0.0)</f>
        <v>0</v>
      </c>
      <c r="W220" s="8">
        <f>IFERROR(__xludf.DUMMYFUNCTION("""COMPUTED_VALUE"""),0.0)</f>
        <v>0</v>
      </c>
      <c r="X220" s="8">
        <f>IFERROR(__xludf.DUMMYFUNCTION("""COMPUTED_VALUE"""),0.0)</f>
        <v>0</v>
      </c>
      <c r="Y220" s="8">
        <f>IFERROR(__xludf.DUMMYFUNCTION("""COMPUTED_VALUE"""),0.0)</f>
        <v>0</v>
      </c>
      <c r="Z220" s="8">
        <f>IFERROR(__xludf.DUMMYFUNCTION("""COMPUTED_VALUE"""),0.0)</f>
        <v>0</v>
      </c>
      <c r="AA220" s="8">
        <f>IFERROR(__xludf.DUMMYFUNCTION("""COMPUTED_VALUE"""),0.0)</f>
        <v>0</v>
      </c>
      <c r="AB220" s="8">
        <f>IFERROR(__xludf.DUMMYFUNCTION("""COMPUTED_VALUE"""),0.0)</f>
        <v>0</v>
      </c>
      <c r="AC220" s="8">
        <f>IFERROR(__xludf.DUMMYFUNCTION("""COMPUTED_VALUE"""),0.0)</f>
        <v>0</v>
      </c>
    </row>
    <row r="221" ht="15.75" customHeight="1">
      <c r="A221" s="6" t="str">
        <f>IFERROR(__xludf.DUMMYFUNCTION("""COMPUTED_VALUE"""),"c6590012d529ed8d9e5750565fe5d91ddd1144d5")</f>
        <v>c6590012d529ed8d9e5750565fe5d91ddd1144d5</v>
      </c>
      <c r="B221" s="6" t="str">
        <f>IFERROR(__xludf.DUMMYFUNCTION("""COMPUTED_VALUE"""),"Rise of Charles Atticus")</f>
        <v>Rise of Charles Atticus</v>
      </c>
      <c r="C221" s="6" t="str">
        <f>IFERROR(__xludf.DUMMYFUNCTION("""COMPUTED_VALUE"""),"Fantasy")</f>
        <v>Fantasy</v>
      </c>
      <c r="D221" s="11">
        <f>IFERROR(__xludf.DUMMYFUNCTION("""COMPUTED_VALUE"""),927.0)</f>
        <v>927</v>
      </c>
      <c r="E221" s="8">
        <f>IFERROR(__xludf.DUMMYFUNCTION("""COMPUTED_VALUE"""),0.961368653421633)</f>
        <v>0.9613686534</v>
      </c>
      <c r="F221" s="8">
        <f>IFERROR(__xludf.DUMMYFUNCTION("""COMPUTED_VALUE"""),0.655256723716381)</f>
        <v>0.6552567237</v>
      </c>
      <c r="G221" s="8">
        <f>IFERROR(__xludf.DUMMYFUNCTION("""COMPUTED_VALUE"""),0.626907073509015)</f>
        <v>0.6269070735</v>
      </c>
      <c r="H221" s="8">
        <f>IFERROR(__xludf.DUMMYFUNCTION("""COMPUTED_VALUE"""),0.589257503949447)</f>
        <v>0.5892575039</v>
      </c>
      <c r="I221" s="8">
        <f>IFERROR(__xludf.DUMMYFUNCTION("""COMPUTED_VALUE"""),0.541860465116279)</f>
        <v>0.5418604651</v>
      </c>
      <c r="J221" s="8">
        <f>IFERROR(__xludf.DUMMYFUNCTION("""COMPUTED_VALUE"""),0.49084249084249)</f>
        <v>0.4908424908</v>
      </c>
      <c r="K221" s="8">
        <f>IFERROR(__xludf.DUMMYFUNCTION("""COMPUTED_VALUE"""),0.433476394849785)</f>
        <v>0.4334763948</v>
      </c>
      <c r="L221" s="8">
        <f>IFERROR(__xludf.DUMMYFUNCTION("""COMPUTED_VALUE"""),0.397196261682243)</f>
        <v>0.3971962617</v>
      </c>
      <c r="M221" s="8">
        <f>IFERROR(__xludf.DUMMYFUNCTION("""COMPUTED_VALUE"""),0.367567567567567)</f>
        <v>0.3675675676</v>
      </c>
      <c r="N221" s="8">
        <f>IFERROR(__xludf.DUMMYFUNCTION("""COMPUTED_VALUE"""),0.333333333333333)</f>
        <v>0.3333333333</v>
      </c>
      <c r="O221" s="8">
        <f>IFERROR(__xludf.DUMMYFUNCTION("""COMPUTED_VALUE"""),0.333333333333333)</f>
        <v>0.3333333333</v>
      </c>
      <c r="P221" s="8">
        <f>IFERROR(__xludf.DUMMYFUNCTION("""COMPUTED_VALUE"""),0.333333333333333)</f>
        <v>0.3333333333</v>
      </c>
      <c r="Q221" s="8">
        <f>IFERROR(__xludf.DUMMYFUNCTION("""COMPUTED_VALUE"""),0.0)</f>
        <v>0</v>
      </c>
      <c r="R221" s="8">
        <f>IFERROR(__xludf.DUMMYFUNCTION("""COMPUTED_VALUE"""),0.0)</f>
        <v>0</v>
      </c>
      <c r="S221" s="8">
        <f>IFERROR(__xludf.DUMMYFUNCTION("""COMPUTED_VALUE"""),0.0)</f>
        <v>0</v>
      </c>
      <c r="T221" s="8">
        <f>IFERROR(__xludf.DUMMYFUNCTION("""COMPUTED_VALUE"""),0.0)</f>
        <v>0</v>
      </c>
      <c r="U221" s="8">
        <f>IFERROR(__xludf.DUMMYFUNCTION("""COMPUTED_VALUE"""),0.0)</f>
        <v>0</v>
      </c>
      <c r="V221" s="8">
        <f>IFERROR(__xludf.DUMMYFUNCTION("""COMPUTED_VALUE"""),0.0)</f>
        <v>0</v>
      </c>
      <c r="W221" s="8">
        <f>IFERROR(__xludf.DUMMYFUNCTION("""COMPUTED_VALUE"""),0.0)</f>
        <v>0</v>
      </c>
      <c r="X221" s="8">
        <f>IFERROR(__xludf.DUMMYFUNCTION("""COMPUTED_VALUE"""),0.0)</f>
        <v>0</v>
      </c>
      <c r="Y221" s="8">
        <f>IFERROR(__xludf.DUMMYFUNCTION("""COMPUTED_VALUE"""),0.0)</f>
        <v>0</v>
      </c>
      <c r="Z221" s="8">
        <f>IFERROR(__xludf.DUMMYFUNCTION("""COMPUTED_VALUE"""),0.0)</f>
        <v>0</v>
      </c>
      <c r="AA221" s="8">
        <f>IFERROR(__xludf.DUMMYFUNCTION("""COMPUTED_VALUE"""),0.0)</f>
        <v>0</v>
      </c>
      <c r="AB221" s="8">
        <f>IFERROR(__xludf.DUMMYFUNCTION("""COMPUTED_VALUE"""),0.0)</f>
        <v>0</v>
      </c>
      <c r="AC221" s="8">
        <f>IFERROR(__xludf.DUMMYFUNCTION("""COMPUTED_VALUE"""),0.0)</f>
        <v>0</v>
      </c>
    </row>
    <row r="222" ht="15.75" customHeight="1">
      <c r="A222" s="6" t="str">
        <f>IFERROR(__xludf.DUMMYFUNCTION("""COMPUTED_VALUE"""),"c66d5521f195754d722c7e3daab2da20a027dd0c")</f>
        <v>c66d5521f195754d722c7e3daab2da20a027dd0c</v>
      </c>
      <c r="B222" s="6" t="str">
        <f>IFERROR(__xludf.DUMMYFUNCTION("""COMPUTED_VALUE"""),"Ceo's Heartbreaker")</f>
        <v>Ceo's Heartbreaker</v>
      </c>
      <c r="C222" s="6" t="str">
        <f>IFERROR(__xludf.DUMMYFUNCTION("""COMPUTED_VALUE"""),"Romance")</f>
        <v>Romance</v>
      </c>
      <c r="D222" s="11">
        <f>IFERROR(__xludf.DUMMYFUNCTION("""COMPUTED_VALUE"""),82.0)</f>
        <v>82</v>
      </c>
      <c r="E222" s="8">
        <f>IFERROR(__xludf.DUMMYFUNCTION("""COMPUTED_VALUE"""),0.963414634146341)</f>
        <v>0.9634146341</v>
      </c>
      <c r="F222" s="8">
        <f>IFERROR(__xludf.DUMMYFUNCTION("""COMPUTED_VALUE"""),0.280487804878048)</f>
        <v>0.2804878049</v>
      </c>
      <c r="G222" s="8">
        <f>IFERROR(__xludf.DUMMYFUNCTION("""COMPUTED_VALUE"""),0.2375)</f>
        <v>0.2375</v>
      </c>
      <c r="H222" s="8">
        <f>IFERROR(__xludf.DUMMYFUNCTION("""COMPUTED_VALUE"""),0.215189873417721)</f>
        <v>0.2151898734</v>
      </c>
      <c r="I222" s="8">
        <f>IFERROR(__xludf.DUMMYFUNCTION("""COMPUTED_VALUE"""),0.151898734177215)</f>
        <v>0.1518987342</v>
      </c>
      <c r="J222" s="8">
        <f>IFERROR(__xludf.DUMMYFUNCTION("""COMPUTED_VALUE"""),0.128205128205128)</f>
        <v>0.1282051282</v>
      </c>
      <c r="K222" s="8">
        <f>IFERROR(__xludf.DUMMYFUNCTION("""COMPUTED_VALUE"""),0.128205128205128)</f>
        <v>0.1282051282</v>
      </c>
      <c r="L222" s="8">
        <f>IFERROR(__xludf.DUMMYFUNCTION("""COMPUTED_VALUE"""),0.102564102564102)</f>
        <v>0.1025641026</v>
      </c>
      <c r="M222" s="8">
        <f>IFERROR(__xludf.DUMMYFUNCTION("""COMPUTED_VALUE"""),0.0945945945945946)</f>
        <v>0.09459459459</v>
      </c>
      <c r="N222" s="8">
        <f>IFERROR(__xludf.DUMMYFUNCTION("""COMPUTED_VALUE"""),0.0845070422535211)</f>
        <v>0.08450704225</v>
      </c>
      <c r="O222" s="8">
        <f>IFERROR(__xludf.DUMMYFUNCTION("""COMPUTED_VALUE"""),0.0769230769230769)</f>
        <v>0.07692307692</v>
      </c>
      <c r="P222" s="8">
        <f>IFERROR(__xludf.DUMMYFUNCTION("""COMPUTED_VALUE"""),0.0615384615384615)</f>
        <v>0.06153846154</v>
      </c>
      <c r="Q222" s="8">
        <f>IFERROR(__xludf.DUMMYFUNCTION("""COMPUTED_VALUE"""),0.0307692307692307)</f>
        <v>0.03076923077</v>
      </c>
      <c r="R222" s="8">
        <f>IFERROR(__xludf.DUMMYFUNCTION("""COMPUTED_VALUE"""),0.0)</f>
        <v>0</v>
      </c>
      <c r="S222" s="8">
        <f>IFERROR(__xludf.DUMMYFUNCTION("""COMPUTED_VALUE"""),0.0)</f>
        <v>0</v>
      </c>
      <c r="T222" s="8">
        <f>IFERROR(__xludf.DUMMYFUNCTION("""COMPUTED_VALUE"""),0.0)</f>
        <v>0</v>
      </c>
      <c r="U222" s="8">
        <f>IFERROR(__xludf.DUMMYFUNCTION("""COMPUTED_VALUE"""),0.0)</f>
        <v>0</v>
      </c>
      <c r="V222" s="8">
        <f>IFERROR(__xludf.DUMMYFUNCTION("""COMPUTED_VALUE"""),0.0)</f>
        <v>0</v>
      </c>
      <c r="W222" s="8">
        <f>IFERROR(__xludf.DUMMYFUNCTION("""COMPUTED_VALUE"""),0.0)</f>
        <v>0</v>
      </c>
      <c r="X222" s="8">
        <f>IFERROR(__xludf.DUMMYFUNCTION("""COMPUTED_VALUE"""),0.0)</f>
        <v>0</v>
      </c>
      <c r="Y222" s="8">
        <f>IFERROR(__xludf.DUMMYFUNCTION("""COMPUTED_VALUE"""),0.0)</f>
        <v>0</v>
      </c>
      <c r="Z222" s="8">
        <f>IFERROR(__xludf.DUMMYFUNCTION("""COMPUTED_VALUE"""),0.0)</f>
        <v>0</v>
      </c>
      <c r="AA222" s="8">
        <f>IFERROR(__xludf.DUMMYFUNCTION("""COMPUTED_VALUE"""),0.0)</f>
        <v>0</v>
      </c>
      <c r="AB222" s="8">
        <f>IFERROR(__xludf.DUMMYFUNCTION("""COMPUTED_VALUE"""),0.0)</f>
        <v>0</v>
      </c>
      <c r="AC222" s="8">
        <f>IFERROR(__xludf.DUMMYFUNCTION("""COMPUTED_VALUE"""),0.0)</f>
        <v>0</v>
      </c>
    </row>
    <row r="223" ht="15.75" customHeight="1">
      <c r="A223" s="6" t="str">
        <f>IFERROR(__xludf.DUMMYFUNCTION("""COMPUTED_VALUE"""),"c6786de3c05a64c2f4c13acbe0e61d8d4e111aad")</f>
        <v>c6786de3c05a64c2f4c13acbe0e61d8d4e111aad</v>
      </c>
      <c r="B223" s="6" t="str">
        <f>IFERROR(__xludf.DUMMYFUNCTION("""COMPUTED_VALUE"""),"Mr. Kane's Reluctant Wife")</f>
        <v>Mr. Kane's Reluctant Wife</v>
      </c>
      <c r="C223" s="6" t="str">
        <f>IFERROR(__xludf.DUMMYFUNCTION("""COMPUTED_VALUE"""),"Romance")</f>
        <v>Romance</v>
      </c>
      <c r="D223" s="11">
        <f>IFERROR(__xludf.DUMMYFUNCTION("""COMPUTED_VALUE"""),190.0)</f>
        <v>190</v>
      </c>
      <c r="E223" s="8">
        <f>IFERROR(__xludf.DUMMYFUNCTION("""COMPUTED_VALUE"""),0.952631578947368)</f>
        <v>0.9526315789</v>
      </c>
      <c r="F223" s="8">
        <f>IFERROR(__xludf.DUMMYFUNCTION("""COMPUTED_VALUE"""),0.510526315789473)</f>
        <v>0.5105263158</v>
      </c>
      <c r="G223" s="8">
        <f>IFERROR(__xludf.DUMMYFUNCTION("""COMPUTED_VALUE"""),0.463157894736842)</f>
        <v>0.4631578947</v>
      </c>
      <c r="H223" s="8">
        <f>IFERROR(__xludf.DUMMYFUNCTION("""COMPUTED_VALUE"""),0.442105263157894)</f>
        <v>0.4421052632</v>
      </c>
      <c r="I223" s="8">
        <f>IFERROR(__xludf.DUMMYFUNCTION("""COMPUTED_VALUE"""),0.426315789473684)</f>
        <v>0.4263157895</v>
      </c>
      <c r="J223" s="8">
        <f>IFERROR(__xludf.DUMMYFUNCTION("""COMPUTED_VALUE"""),0.417989417989417)</f>
        <v>0.417989418</v>
      </c>
      <c r="K223" s="8">
        <f>IFERROR(__xludf.DUMMYFUNCTION("""COMPUTED_VALUE"""),0.417989417989417)</f>
        <v>0.417989418</v>
      </c>
      <c r="L223" s="8">
        <f>IFERROR(__xludf.DUMMYFUNCTION("""COMPUTED_VALUE"""),0.391534391534391)</f>
        <v>0.3915343915</v>
      </c>
      <c r="M223" s="8">
        <f>IFERROR(__xludf.DUMMYFUNCTION("""COMPUTED_VALUE"""),0.398936170212765)</f>
        <v>0.3989361702</v>
      </c>
      <c r="N223" s="8">
        <f>IFERROR(__xludf.DUMMYFUNCTION("""COMPUTED_VALUE"""),0.393617021276595)</f>
        <v>0.3936170213</v>
      </c>
      <c r="O223" s="8">
        <f>IFERROR(__xludf.DUMMYFUNCTION("""COMPUTED_VALUE"""),0.359116022099447)</f>
        <v>0.3591160221</v>
      </c>
      <c r="P223" s="8">
        <f>IFERROR(__xludf.DUMMYFUNCTION("""COMPUTED_VALUE"""),0.231884057971014)</f>
        <v>0.231884058</v>
      </c>
      <c r="Q223" s="8">
        <f>IFERROR(__xludf.DUMMYFUNCTION("""COMPUTED_VALUE"""),0.144927536231884)</f>
        <v>0.1449275362</v>
      </c>
      <c r="R223" s="8">
        <f>IFERROR(__xludf.DUMMYFUNCTION("""COMPUTED_VALUE"""),0.0)</f>
        <v>0</v>
      </c>
      <c r="S223" s="8">
        <f>IFERROR(__xludf.DUMMYFUNCTION("""COMPUTED_VALUE"""),0.0)</f>
        <v>0</v>
      </c>
      <c r="T223" s="8">
        <f>IFERROR(__xludf.DUMMYFUNCTION("""COMPUTED_VALUE"""),0.0)</f>
        <v>0</v>
      </c>
      <c r="U223" s="8">
        <f>IFERROR(__xludf.DUMMYFUNCTION("""COMPUTED_VALUE"""),0.0)</f>
        <v>0</v>
      </c>
      <c r="V223" s="8">
        <f>IFERROR(__xludf.DUMMYFUNCTION("""COMPUTED_VALUE"""),0.0)</f>
        <v>0</v>
      </c>
      <c r="W223" s="8">
        <f>IFERROR(__xludf.DUMMYFUNCTION("""COMPUTED_VALUE"""),0.0)</f>
        <v>0</v>
      </c>
      <c r="X223" s="8">
        <f>IFERROR(__xludf.DUMMYFUNCTION("""COMPUTED_VALUE"""),0.0)</f>
        <v>0</v>
      </c>
      <c r="Y223" s="8">
        <f>IFERROR(__xludf.DUMMYFUNCTION("""COMPUTED_VALUE"""),0.0)</f>
        <v>0</v>
      </c>
      <c r="Z223" s="8">
        <f>IFERROR(__xludf.DUMMYFUNCTION("""COMPUTED_VALUE"""),0.0)</f>
        <v>0</v>
      </c>
      <c r="AA223" s="8">
        <f>IFERROR(__xludf.DUMMYFUNCTION("""COMPUTED_VALUE"""),0.0)</f>
        <v>0</v>
      </c>
      <c r="AB223" s="8">
        <f>IFERROR(__xludf.DUMMYFUNCTION("""COMPUTED_VALUE"""),0.0)</f>
        <v>0</v>
      </c>
      <c r="AC223" s="8">
        <f>IFERROR(__xludf.DUMMYFUNCTION("""COMPUTED_VALUE"""),0.0)</f>
        <v>0</v>
      </c>
    </row>
    <row r="224" ht="15.75" customHeight="1">
      <c r="A224" s="6" t="str">
        <f>IFERROR(__xludf.DUMMYFUNCTION("""COMPUTED_VALUE"""),"c8219b2f9d80ce631da27b15849041dbb194dc76")</f>
        <v>c8219b2f9d80ce631da27b15849041dbb194dc76</v>
      </c>
      <c r="B224" s="6" t="str">
        <f>IFERROR(__xludf.DUMMYFUNCTION("""COMPUTED_VALUE"""),"The Fire God's Heir")</f>
        <v>The Fire God's Heir</v>
      </c>
      <c r="C224" s="6" t="str">
        <f>IFERROR(__xludf.DUMMYFUNCTION("""COMPUTED_VALUE"""),"Romantasy")</f>
        <v>Romantasy</v>
      </c>
      <c r="D224" s="11">
        <f>IFERROR(__xludf.DUMMYFUNCTION("""COMPUTED_VALUE"""),1109.0)</f>
        <v>1109</v>
      </c>
      <c r="E224" s="8">
        <f>IFERROR(__xludf.DUMMYFUNCTION("""COMPUTED_VALUE"""),0.971762414800389)</f>
        <v>0.9717624148</v>
      </c>
      <c r="F224" s="8">
        <f>IFERROR(__xludf.DUMMYFUNCTION("""COMPUTED_VALUE"""),0.607104413347685)</f>
        <v>0.6071044133</v>
      </c>
      <c r="G224" s="8">
        <f>IFERROR(__xludf.DUMMYFUNCTION("""COMPUTED_VALUE"""),0.53393665158371)</f>
        <v>0.5339366516</v>
      </c>
      <c r="H224" s="8">
        <f>IFERROR(__xludf.DUMMYFUNCTION("""COMPUTED_VALUE"""),0.359813084112149)</f>
        <v>0.3598130841</v>
      </c>
      <c r="I224" s="8">
        <f>IFERROR(__xludf.DUMMYFUNCTION("""COMPUTED_VALUE"""),0.291469194312796)</f>
        <v>0.2914691943</v>
      </c>
      <c r="J224" s="8">
        <f>IFERROR(__xludf.DUMMYFUNCTION("""COMPUTED_VALUE"""),0.257557436517533)</f>
        <v>0.2575574365</v>
      </c>
      <c r="K224" s="8">
        <f>IFERROR(__xludf.DUMMYFUNCTION("""COMPUTED_VALUE"""),0.257425742574257)</f>
        <v>0.2574257426</v>
      </c>
      <c r="L224" s="8">
        <f>IFERROR(__xludf.DUMMYFUNCTION("""COMPUTED_VALUE"""),0.233585858585858)</f>
        <v>0.2335858586</v>
      </c>
      <c r="M224" s="8">
        <f>IFERROR(__xludf.DUMMYFUNCTION("""COMPUTED_VALUE"""),0.203562340966921)</f>
        <v>0.203562341</v>
      </c>
      <c r="N224" s="8">
        <f>IFERROR(__xludf.DUMMYFUNCTION("""COMPUTED_VALUE"""),0.176546391752577)</f>
        <v>0.1765463918</v>
      </c>
      <c r="O224" s="8">
        <f>IFERROR(__xludf.DUMMYFUNCTION("""COMPUTED_VALUE"""),0.122476446837146)</f>
        <v>0.1224764468</v>
      </c>
      <c r="P224" s="8">
        <f>IFERROR(__xludf.DUMMYFUNCTION("""COMPUTED_VALUE"""),0.0665742024965325)</f>
        <v>0.0665742025</v>
      </c>
      <c r="Q224" s="8">
        <f>IFERROR(__xludf.DUMMYFUNCTION("""COMPUTED_VALUE"""),0.0496688741721854)</f>
        <v>0.04966887417</v>
      </c>
      <c r="R224" s="8">
        <f>IFERROR(__xludf.DUMMYFUNCTION("""COMPUTED_VALUE"""),0.0)</f>
        <v>0</v>
      </c>
      <c r="S224" s="8">
        <f>IFERROR(__xludf.DUMMYFUNCTION("""COMPUTED_VALUE"""),0.0)</f>
        <v>0</v>
      </c>
      <c r="T224" s="8">
        <f>IFERROR(__xludf.DUMMYFUNCTION("""COMPUTED_VALUE"""),0.0)</f>
        <v>0</v>
      </c>
      <c r="U224" s="8">
        <f>IFERROR(__xludf.DUMMYFUNCTION("""COMPUTED_VALUE"""),0.0)</f>
        <v>0</v>
      </c>
      <c r="V224" s="8">
        <f>IFERROR(__xludf.DUMMYFUNCTION("""COMPUTED_VALUE"""),0.0)</f>
        <v>0</v>
      </c>
      <c r="W224" s="8">
        <f>IFERROR(__xludf.DUMMYFUNCTION("""COMPUTED_VALUE"""),0.0)</f>
        <v>0</v>
      </c>
      <c r="X224" s="8">
        <f>IFERROR(__xludf.DUMMYFUNCTION("""COMPUTED_VALUE"""),0.0)</f>
        <v>0</v>
      </c>
      <c r="Y224" s="8">
        <f>IFERROR(__xludf.DUMMYFUNCTION("""COMPUTED_VALUE"""),0.0)</f>
        <v>0</v>
      </c>
      <c r="Z224" s="8">
        <f>IFERROR(__xludf.DUMMYFUNCTION("""COMPUTED_VALUE"""),0.0)</f>
        <v>0</v>
      </c>
      <c r="AA224" s="8">
        <f>IFERROR(__xludf.DUMMYFUNCTION("""COMPUTED_VALUE"""),0.0)</f>
        <v>0</v>
      </c>
      <c r="AB224" s="8">
        <f>IFERROR(__xludf.DUMMYFUNCTION("""COMPUTED_VALUE"""),0.0)</f>
        <v>0</v>
      </c>
      <c r="AC224" s="8">
        <f>IFERROR(__xludf.DUMMYFUNCTION("""COMPUTED_VALUE"""),0.0)</f>
        <v>0</v>
      </c>
    </row>
    <row r="225" ht="15.75" customHeight="1">
      <c r="A225" s="6" t="str">
        <f>IFERROR(__xludf.DUMMYFUNCTION("""COMPUTED_VALUE"""),"c9fd6d447c06b151ec4563d30a1e1685e71bd29d")</f>
        <v>c9fd6d447c06b151ec4563d30a1e1685e71bd29d</v>
      </c>
      <c r="B225" s="6" t="str">
        <f>IFERROR(__xludf.DUMMYFUNCTION("""COMPUTED_VALUE"""),"Void Evolution System")</f>
        <v>Void Evolution System</v>
      </c>
      <c r="C225" s="6" t="str">
        <f>IFERROR(__xludf.DUMMYFUNCTION("""COMPUTED_VALUE"""),"Fantasy")</f>
        <v>Fantasy</v>
      </c>
      <c r="D225" s="11">
        <f>IFERROR(__xludf.DUMMYFUNCTION("""COMPUTED_VALUE"""),1056.0)</f>
        <v>1056</v>
      </c>
      <c r="E225" s="8">
        <f>IFERROR(__xludf.DUMMYFUNCTION("""COMPUTED_VALUE"""),0.97340930674264)</f>
        <v>0.9734093067</v>
      </c>
      <c r="F225" s="8">
        <f>IFERROR(__xludf.DUMMYFUNCTION("""COMPUTED_VALUE"""),0.712092130518234)</f>
        <v>0.7120921305</v>
      </c>
      <c r="G225" s="8">
        <f>IFERROR(__xludf.DUMMYFUNCTION("""COMPUTED_VALUE"""),0.671179883945841)</f>
        <v>0.6711798839</v>
      </c>
      <c r="H225" s="8">
        <f>IFERROR(__xludf.DUMMYFUNCTION("""COMPUTED_VALUE"""),0.629377431906614)</f>
        <v>0.6293774319</v>
      </c>
      <c r="I225" s="8">
        <f>IFERROR(__xludf.DUMMYFUNCTION("""COMPUTED_VALUE"""),0.604743083003952)</f>
        <v>0.604743083</v>
      </c>
      <c r="J225" s="8">
        <f>IFERROR(__xludf.DUMMYFUNCTION("""COMPUTED_VALUE"""),0.587587587587587)</f>
        <v>0.5875875876</v>
      </c>
      <c r="K225" s="8">
        <f>IFERROR(__xludf.DUMMYFUNCTION("""COMPUTED_VALUE"""),0.562819203268641)</f>
        <v>0.5628192033</v>
      </c>
      <c r="L225" s="8">
        <f>IFERROR(__xludf.DUMMYFUNCTION("""COMPUTED_VALUE"""),0.546979865771812)</f>
        <v>0.5469798658</v>
      </c>
      <c r="M225" s="8">
        <f>IFERROR(__xludf.DUMMYFUNCTION("""COMPUTED_VALUE"""),0.528186274509803)</f>
        <v>0.5281862745</v>
      </c>
      <c r="N225" s="8">
        <f>IFERROR(__xludf.DUMMYFUNCTION("""COMPUTED_VALUE"""),0.506443298969072)</f>
        <v>0.506443299</v>
      </c>
      <c r="O225" s="8">
        <f>IFERROR(__xludf.DUMMYFUNCTION("""COMPUTED_VALUE"""),0.346153846153846)</f>
        <v>0.3461538462</v>
      </c>
      <c r="P225" s="8">
        <f>IFERROR(__xludf.DUMMYFUNCTION("""COMPUTED_VALUE"""),0.666666666666666)</f>
        <v>0.6666666667</v>
      </c>
      <c r="Q225" s="8">
        <f>IFERROR(__xludf.DUMMYFUNCTION("""COMPUTED_VALUE"""),0.0)</f>
        <v>0</v>
      </c>
      <c r="R225" s="8">
        <f>IFERROR(__xludf.DUMMYFUNCTION("""COMPUTED_VALUE"""),0.0)</f>
        <v>0</v>
      </c>
      <c r="S225" s="8">
        <f>IFERROR(__xludf.DUMMYFUNCTION("""COMPUTED_VALUE"""),0.0)</f>
        <v>0</v>
      </c>
      <c r="T225" s="8">
        <f>IFERROR(__xludf.DUMMYFUNCTION("""COMPUTED_VALUE"""),0.0)</f>
        <v>0</v>
      </c>
      <c r="U225" s="8">
        <f>IFERROR(__xludf.DUMMYFUNCTION("""COMPUTED_VALUE"""),0.0)</f>
        <v>0</v>
      </c>
      <c r="V225" s="8">
        <f>IFERROR(__xludf.DUMMYFUNCTION("""COMPUTED_VALUE"""),0.0)</f>
        <v>0</v>
      </c>
      <c r="W225" s="8">
        <f>IFERROR(__xludf.DUMMYFUNCTION("""COMPUTED_VALUE"""),0.0)</f>
        <v>0</v>
      </c>
      <c r="X225" s="8">
        <f>IFERROR(__xludf.DUMMYFUNCTION("""COMPUTED_VALUE"""),0.0)</f>
        <v>0</v>
      </c>
      <c r="Y225" s="8">
        <f>IFERROR(__xludf.DUMMYFUNCTION("""COMPUTED_VALUE"""),0.0)</f>
        <v>0</v>
      </c>
      <c r="Z225" s="8">
        <f>IFERROR(__xludf.DUMMYFUNCTION("""COMPUTED_VALUE"""),0.0)</f>
        <v>0</v>
      </c>
      <c r="AA225" s="8">
        <f>IFERROR(__xludf.DUMMYFUNCTION("""COMPUTED_VALUE"""),0.0)</f>
        <v>0</v>
      </c>
      <c r="AB225" s="8">
        <f>IFERROR(__xludf.DUMMYFUNCTION("""COMPUTED_VALUE"""),0.0)</f>
        <v>0</v>
      </c>
      <c r="AC225" s="8">
        <f>IFERROR(__xludf.DUMMYFUNCTION("""COMPUTED_VALUE"""),0.0)</f>
        <v>0</v>
      </c>
    </row>
    <row r="226" ht="15.75" customHeight="1">
      <c r="A226" s="6" t="str">
        <f>IFERROR(__xludf.DUMMYFUNCTION("""COMPUTED_VALUE"""),"cae77d999ed2205a1ab04a54470de972ddd8bc69")</f>
        <v>cae77d999ed2205a1ab04a54470de972ddd8bc69</v>
      </c>
      <c r="B226" s="6" t="str">
        <f>IFERROR(__xludf.DUMMYFUNCTION("""COMPUTED_VALUE"""),"Atlas of My Heart")</f>
        <v>Atlas of My Heart</v>
      </c>
      <c r="C226" s="6" t="str">
        <f>IFERROR(__xludf.DUMMYFUNCTION("""COMPUTED_VALUE"""),"Romance")</f>
        <v>Romance</v>
      </c>
      <c r="D226" s="11">
        <f>IFERROR(__xludf.DUMMYFUNCTION("""COMPUTED_VALUE"""),324.0)</f>
        <v>324</v>
      </c>
      <c r="E226" s="8">
        <f>IFERROR(__xludf.DUMMYFUNCTION("""COMPUTED_VALUE"""),0.94753086419753)</f>
        <v>0.9475308642</v>
      </c>
      <c r="F226" s="8">
        <f>IFERROR(__xludf.DUMMYFUNCTION("""COMPUTED_VALUE"""),0.586419753086419)</f>
        <v>0.5864197531</v>
      </c>
      <c r="G226" s="8">
        <f>IFERROR(__xludf.DUMMYFUNCTION("""COMPUTED_VALUE"""),0.475155279503105)</f>
        <v>0.4751552795</v>
      </c>
      <c r="H226" s="8">
        <f>IFERROR(__xludf.DUMMYFUNCTION("""COMPUTED_VALUE"""),0.404984423676012)</f>
        <v>0.4049844237</v>
      </c>
      <c r="I226" s="8">
        <f>IFERROR(__xludf.DUMMYFUNCTION("""COMPUTED_VALUE"""),0.327102803738317)</f>
        <v>0.3271028037</v>
      </c>
      <c r="J226" s="8">
        <f>IFERROR(__xludf.DUMMYFUNCTION("""COMPUTED_VALUE"""),0.2803738317757)</f>
        <v>0.2803738318</v>
      </c>
      <c r="K226" s="8">
        <f>IFERROR(__xludf.DUMMYFUNCTION("""COMPUTED_VALUE"""),0.267912772585669)</f>
        <v>0.2679127726</v>
      </c>
      <c r="L226" s="8">
        <f>IFERROR(__xludf.DUMMYFUNCTION("""COMPUTED_VALUE"""),0.291536050156739)</f>
        <v>0.2915360502</v>
      </c>
      <c r="M226" s="8">
        <f>IFERROR(__xludf.DUMMYFUNCTION("""COMPUTED_VALUE"""),0.267295597484276)</f>
        <v>0.2672955975</v>
      </c>
      <c r="N226" s="8">
        <f>IFERROR(__xludf.DUMMYFUNCTION("""COMPUTED_VALUE"""),0.255520504731861)</f>
        <v>0.2555205047</v>
      </c>
      <c r="O226" s="8">
        <f>IFERROR(__xludf.DUMMYFUNCTION("""COMPUTED_VALUE"""),0.214521452145214)</f>
        <v>0.2145214521</v>
      </c>
      <c r="P226" s="8">
        <f>IFERROR(__xludf.DUMMYFUNCTION("""COMPUTED_VALUE"""),0.20136518771331)</f>
        <v>0.2013651877</v>
      </c>
      <c r="Q226" s="8">
        <f>IFERROR(__xludf.DUMMYFUNCTION("""COMPUTED_VALUE"""),0.0943396226415094)</f>
        <v>0.09433962264</v>
      </c>
      <c r="R226" s="8">
        <f>IFERROR(__xludf.DUMMYFUNCTION("""COMPUTED_VALUE"""),0.0)</f>
        <v>0</v>
      </c>
      <c r="S226" s="8">
        <f>IFERROR(__xludf.DUMMYFUNCTION("""COMPUTED_VALUE"""),0.0)</f>
        <v>0</v>
      </c>
      <c r="T226" s="8">
        <f>IFERROR(__xludf.DUMMYFUNCTION("""COMPUTED_VALUE"""),0.0)</f>
        <v>0</v>
      </c>
      <c r="U226" s="8">
        <f>IFERROR(__xludf.DUMMYFUNCTION("""COMPUTED_VALUE"""),0.0)</f>
        <v>0</v>
      </c>
      <c r="V226" s="8">
        <f>IFERROR(__xludf.DUMMYFUNCTION("""COMPUTED_VALUE"""),0.0)</f>
        <v>0</v>
      </c>
      <c r="W226" s="8">
        <f>IFERROR(__xludf.DUMMYFUNCTION("""COMPUTED_VALUE"""),0.0)</f>
        <v>0</v>
      </c>
      <c r="X226" s="8">
        <f>IFERROR(__xludf.DUMMYFUNCTION("""COMPUTED_VALUE"""),0.0)</f>
        <v>0</v>
      </c>
      <c r="Y226" s="8">
        <f>IFERROR(__xludf.DUMMYFUNCTION("""COMPUTED_VALUE"""),0.0)</f>
        <v>0</v>
      </c>
      <c r="Z226" s="8">
        <f>IFERROR(__xludf.DUMMYFUNCTION("""COMPUTED_VALUE"""),0.0)</f>
        <v>0</v>
      </c>
      <c r="AA226" s="8">
        <f>IFERROR(__xludf.DUMMYFUNCTION("""COMPUTED_VALUE"""),0.0)</f>
        <v>0</v>
      </c>
      <c r="AB226" s="8">
        <f>IFERROR(__xludf.DUMMYFUNCTION("""COMPUTED_VALUE"""),0.0)</f>
        <v>0</v>
      </c>
      <c r="AC226" s="8">
        <f>IFERROR(__xludf.DUMMYFUNCTION("""COMPUTED_VALUE"""),0.0)</f>
        <v>0</v>
      </c>
    </row>
    <row r="227" ht="15.75" customHeight="1">
      <c r="A227" s="6" t="str">
        <f>IFERROR(__xludf.DUMMYFUNCTION("""COMPUTED_VALUE"""),"cc5ecb3fc21c174557bddcfbc36d821c915d89ed")</f>
        <v>cc5ecb3fc21c174557bddcfbc36d821c915d89ed</v>
      </c>
      <c r="B227" s="6" t="str">
        <f>IFERROR(__xludf.DUMMYFUNCTION("""COMPUTED_VALUE"""),"My Lovely Intruder")</f>
        <v>My Lovely Intruder</v>
      </c>
      <c r="C227" s="6" t="str">
        <f>IFERROR(__xludf.DUMMYFUNCTION("""COMPUTED_VALUE"""),"Romantasy")</f>
        <v>Romantasy</v>
      </c>
      <c r="D227" s="11">
        <f>IFERROR(__xludf.DUMMYFUNCTION("""COMPUTED_VALUE"""),246.0)</f>
        <v>246</v>
      </c>
      <c r="E227" s="8">
        <f>IFERROR(__xludf.DUMMYFUNCTION("""COMPUTED_VALUE"""),0.963414634146341)</f>
        <v>0.9634146341</v>
      </c>
      <c r="F227" s="8">
        <f>IFERROR(__xludf.DUMMYFUNCTION("""COMPUTED_VALUE"""),0.547325102880658)</f>
        <v>0.5473251029</v>
      </c>
      <c r="G227" s="8">
        <f>IFERROR(__xludf.DUMMYFUNCTION("""COMPUTED_VALUE"""),0.458677685950413)</f>
        <v>0.458677686</v>
      </c>
      <c r="H227" s="8">
        <f>IFERROR(__xludf.DUMMYFUNCTION("""COMPUTED_VALUE"""),0.392561983471074)</f>
        <v>0.3925619835</v>
      </c>
      <c r="I227" s="8">
        <f>IFERROR(__xludf.DUMMYFUNCTION("""COMPUTED_VALUE"""),0.352697095435684)</f>
        <v>0.3526970954</v>
      </c>
      <c r="J227" s="8">
        <f>IFERROR(__xludf.DUMMYFUNCTION("""COMPUTED_VALUE"""),0.304166666666666)</f>
        <v>0.3041666667</v>
      </c>
      <c r="K227" s="8">
        <f>IFERROR(__xludf.DUMMYFUNCTION("""COMPUTED_VALUE"""),0.284518828451882)</f>
        <v>0.2845188285</v>
      </c>
      <c r="L227" s="8">
        <f>IFERROR(__xludf.DUMMYFUNCTION("""COMPUTED_VALUE"""),0.260504201680672)</f>
        <v>0.2605042017</v>
      </c>
      <c r="M227" s="8">
        <f>IFERROR(__xludf.DUMMYFUNCTION("""COMPUTED_VALUE"""),0.254237288135593)</f>
        <v>0.2542372881</v>
      </c>
      <c r="N227" s="8">
        <f>IFERROR(__xludf.DUMMYFUNCTION("""COMPUTED_VALUE"""),0.242553191489361)</f>
        <v>0.2425531915</v>
      </c>
      <c r="O227" s="8">
        <f>IFERROR(__xludf.DUMMYFUNCTION("""COMPUTED_VALUE"""),0.200873362445414)</f>
        <v>0.2008733624</v>
      </c>
      <c r="P227" s="8">
        <f>IFERROR(__xludf.DUMMYFUNCTION("""COMPUTED_VALUE"""),0.126760563380281)</f>
        <v>0.1267605634</v>
      </c>
      <c r="Q227" s="8">
        <f>IFERROR(__xludf.DUMMYFUNCTION("""COMPUTED_VALUE"""),0.134615384615384)</f>
        <v>0.1346153846</v>
      </c>
      <c r="R227" s="8">
        <f>IFERROR(__xludf.DUMMYFUNCTION("""COMPUTED_VALUE"""),0.0571428571428571)</f>
        <v>0.05714285714</v>
      </c>
      <c r="S227" s="8">
        <f>IFERROR(__xludf.DUMMYFUNCTION("""COMPUTED_VALUE"""),0.0)</f>
        <v>0</v>
      </c>
      <c r="T227" s="8">
        <f>IFERROR(__xludf.DUMMYFUNCTION("""COMPUTED_VALUE"""),0.0)</f>
        <v>0</v>
      </c>
      <c r="U227" s="8">
        <f>IFERROR(__xludf.DUMMYFUNCTION("""COMPUTED_VALUE"""),0.0)</f>
        <v>0</v>
      </c>
      <c r="V227" s="8">
        <f>IFERROR(__xludf.DUMMYFUNCTION("""COMPUTED_VALUE"""),0.0)</f>
        <v>0</v>
      </c>
      <c r="W227" s="8">
        <f>IFERROR(__xludf.DUMMYFUNCTION("""COMPUTED_VALUE"""),0.0)</f>
        <v>0</v>
      </c>
      <c r="X227" s="8">
        <f>IFERROR(__xludf.DUMMYFUNCTION("""COMPUTED_VALUE"""),0.0)</f>
        <v>0</v>
      </c>
      <c r="Y227" s="8">
        <f>IFERROR(__xludf.DUMMYFUNCTION("""COMPUTED_VALUE"""),0.0)</f>
        <v>0</v>
      </c>
      <c r="Z227" s="8">
        <f>IFERROR(__xludf.DUMMYFUNCTION("""COMPUTED_VALUE"""),0.0)</f>
        <v>0</v>
      </c>
      <c r="AA227" s="8">
        <f>IFERROR(__xludf.DUMMYFUNCTION("""COMPUTED_VALUE"""),0.0)</f>
        <v>0</v>
      </c>
      <c r="AB227" s="8">
        <f>IFERROR(__xludf.DUMMYFUNCTION("""COMPUTED_VALUE"""),0.0)</f>
        <v>0</v>
      </c>
      <c r="AC227" s="8">
        <f>IFERROR(__xludf.DUMMYFUNCTION("""COMPUTED_VALUE"""),0.0)</f>
        <v>0</v>
      </c>
    </row>
    <row r="228" ht="15.75" customHeight="1">
      <c r="A228" s="6" t="str">
        <f>IFERROR(__xludf.DUMMYFUNCTION("""COMPUTED_VALUE"""),"cce017649e6098a735e72b5dbfed27f3c95bad78")</f>
        <v>cce017649e6098a735e72b5dbfed27f3c95bad78</v>
      </c>
      <c r="B228" s="6" t="str">
        <f>IFERROR(__xludf.DUMMYFUNCTION("""COMPUTED_VALUE"""),"Between Love and Betrayal")</f>
        <v>Between Love and Betrayal</v>
      </c>
      <c r="C228" s="6" t="str">
        <f>IFERROR(__xludf.DUMMYFUNCTION("""COMPUTED_VALUE"""),"Romance")</f>
        <v>Romance</v>
      </c>
      <c r="D228" s="11">
        <f>IFERROR(__xludf.DUMMYFUNCTION("""COMPUTED_VALUE"""),292.0)</f>
        <v>292</v>
      </c>
      <c r="E228" s="8">
        <f>IFERROR(__xludf.DUMMYFUNCTION("""COMPUTED_VALUE"""),0.97945205479452)</f>
        <v>0.9794520548</v>
      </c>
      <c r="F228" s="8">
        <f>IFERROR(__xludf.DUMMYFUNCTION("""COMPUTED_VALUE"""),0.363013698630137)</f>
        <v>0.3630136986</v>
      </c>
      <c r="G228" s="8">
        <f>IFERROR(__xludf.DUMMYFUNCTION("""COMPUTED_VALUE"""),0.332191780821917)</f>
        <v>0.3321917808</v>
      </c>
      <c r="H228" s="8">
        <f>IFERROR(__xludf.DUMMYFUNCTION("""COMPUTED_VALUE"""),0.288659793814432)</f>
        <v>0.2886597938</v>
      </c>
      <c r="I228" s="8">
        <f>IFERROR(__xludf.DUMMYFUNCTION("""COMPUTED_VALUE"""),0.248275862068965)</f>
        <v>0.2482758621</v>
      </c>
      <c r="J228" s="8">
        <f>IFERROR(__xludf.DUMMYFUNCTION("""COMPUTED_VALUE"""),0.220689655172413)</f>
        <v>0.2206896552</v>
      </c>
      <c r="K228" s="8">
        <f>IFERROR(__xludf.DUMMYFUNCTION("""COMPUTED_VALUE"""),0.213793103448275)</f>
        <v>0.2137931034</v>
      </c>
      <c r="L228" s="8">
        <f>IFERROR(__xludf.DUMMYFUNCTION("""COMPUTED_VALUE"""),0.203448275862068)</f>
        <v>0.2034482759</v>
      </c>
      <c r="M228" s="8">
        <f>IFERROR(__xludf.DUMMYFUNCTION("""COMPUTED_VALUE"""),0.203448275862068)</f>
        <v>0.2034482759</v>
      </c>
      <c r="N228" s="8">
        <f>IFERROR(__xludf.DUMMYFUNCTION("""COMPUTED_VALUE"""),0.17993079584775)</f>
        <v>0.1799307958</v>
      </c>
      <c r="O228" s="8">
        <f>IFERROR(__xludf.DUMMYFUNCTION("""COMPUTED_VALUE"""),0.148148148148148)</f>
        <v>0.1481481481</v>
      </c>
      <c r="P228" s="8">
        <f>IFERROR(__xludf.DUMMYFUNCTION("""COMPUTED_VALUE"""),0.136363636363636)</f>
        <v>0.1363636364</v>
      </c>
      <c r="Q228" s="8">
        <f>IFERROR(__xludf.DUMMYFUNCTION("""COMPUTED_VALUE"""),0.1)</f>
        <v>0.1</v>
      </c>
      <c r="R228" s="8">
        <f>IFERROR(__xludf.DUMMYFUNCTION("""COMPUTED_VALUE"""),0.1)</f>
        <v>0.1</v>
      </c>
      <c r="S228" s="8">
        <f>IFERROR(__xludf.DUMMYFUNCTION("""COMPUTED_VALUE"""),0.0)</f>
        <v>0</v>
      </c>
      <c r="T228" s="8">
        <f>IFERROR(__xludf.DUMMYFUNCTION("""COMPUTED_VALUE"""),0.0)</f>
        <v>0</v>
      </c>
      <c r="U228" s="8">
        <f>IFERROR(__xludf.DUMMYFUNCTION("""COMPUTED_VALUE"""),0.0)</f>
        <v>0</v>
      </c>
      <c r="V228" s="8">
        <f>IFERROR(__xludf.DUMMYFUNCTION("""COMPUTED_VALUE"""),0.0)</f>
        <v>0</v>
      </c>
      <c r="W228" s="8">
        <f>IFERROR(__xludf.DUMMYFUNCTION("""COMPUTED_VALUE"""),0.0)</f>
        <v>0</v>
      </c>
      <c r="X228" s="8">
        <f>IFERROR(__xludf.DUMMYFUNCTION("""COMPUTED_VALUE"""),0.0)</f>
        <v>0</v>
      </c>
      <c r="Y228" s="8">
        <f>IFERROR(__xludf.DUMMYFUNCTION("""COMPUTED_VALUE"""),0.0)</f>
        <v>0</v>
      </c>
      <c r="Z228" s="8">
        <f>IFERROR(__xludf.DUMMYFUNCTION("""COMPUTED_VALUE"""),0.0)</f>
        <v>0</v>
      </c>
      <c r="AA228" s="8">
        <f>IFERROR(__xludf.DUMMYFUNCTION("""COMPUTED_VALUE"""),0.0)</f>
        <v>0</v>
      </c>
      <c r="AB228" s="8">
        <f>IFERROR(__xludf.DUMMYFUNCTION("""COMPUTED_VALUE"""),0.0)</f>
        <v>0</v>
      </c>
      <c r="AC228" s="8">
        <f>IFERROR(__xludf.DUMMYFUNCTION("""COMPUTED_VALUE"""),0.0)</f>
        <v>0</v>
      </c>
    </row>
    <row r="229" ht="15.75" customHeight="1">
      <c r="A229" s="6" t="str">
        <f>IFERROR(__xludf.DUMMYFUNCTION("""COMPUTED_VALUE"""),"cdb3a84d505dbefdca86cae60d3db90f949368f1")</f>
        <v>cdb3a84d505dbefdca86cae60d3db90f949368f1</v>
      </c>
      <c r="B229" s="6" t="str">
        <f>IFERROR(__xludf.DUMMYFUNCTION("""COMPUTED_VALUE"""),"Amulet of the Gods")</f>
        <v>Amulet of the Gods</v>
      </c>
      <c r="C229" s="6" t="str">
        <f>IFERROR(__xludf.DUMMYFUNCTION("""COMPUTED_VALUE"""),"System and Superpower")</f>
        <v>System and Superpower</v>
      </c>
      <c r="D229" s="11">
        <f>IFERROR(__xludf.DUMMYFUNCTION("""COMPUTED_VALUE"""),24825.0)</f>
        <v>24825</v>
      </c>
      <c r="E229" s="8">
        <f>IFERROR(__xludf.DUMMYFUNCTION("""COMPUTED_VALUE"""),0.908493305371834)</f>
        <v>0.9084933054</v>
      </c>
      <c r="F229" s="8">
        <f>IFERROR(__xludf.DUMMYFUNCTION("""COMPUTED_VALUE"""),0.548569581380313)</f>
        <v>0.5485695814</v>
      </c>
      <c r="G229" s="8">
        <f>IFERROR(__xludf.DUMMYFUNCTION("""COMPUTED_VALUE"""),0.490610328638497)</f>
        <v>0.4906103286</v>
      </c>
      <c r="H229" s="8">
        <f>IFERROR(__xludf.DUMMYFUNCTION("""COMPUTED_VALUE"""),0.455352798053527)</f>
        <v>0.4553527981</v>
      </c>
      <c r="I229" s="8">
        <f>IFERROR(__xludf.DUMMYFUNCTION("""COMPUTED_VALUE"""),0.433386185307151)</f>
        <v>0.4333861853</v>
      </c>
      <c r="J229" s="8">
        <f>IFERROR(__xludf.DUMMYFUNCTION("""COMPUTED_VALUE"""),0.411558526247147)</f>
        <v>0.4115585262</v>
      </c>
      <c r="K229" s="8">
        <f>IFERROR(__xludf.DUMMYFUNCTION("""COMPUTED_VALUE"""),0.394248835879421)</f>
        <v>0.3942488359</v>
      </c>
      <c r="L229" s="8">
        <f>IFERROR(__xludf.DUMMYFUNCTION("""COMPUTED_VALUE"""),0.382548136009832)</f>
        <v>0.382548136</v>
      </c>
      <c r="M229" s="8">
        <f>IFERROR(__xludf.DUMMYFUNCTION("""COMPUTED_VALUE"""),0.373061458931648)</f>
        <v>0.3730614589</v>
      </c>
      <c r="N229" s="8">
        <f>IFERROR(__xludf.DUMMYFUNCTION("""COMPUTED_VALUE"""),0.366063348416289)</f>
        <v>0.3660633484</v>
      </c>
      <c r="O229" s="8">
        <f>IFERROR(__xludf.DUMMYFUNCTION("""COMPUTED_VALUE"""),0.348133660688277)</f>
        <v>0.3481336607</v>
      </c>
      <c r="P229" s="8">
        <f>IFERROR(__xludf.DUMMYFUNCTION("""COMPUTED_VALUE"""),0.30925269905533)</f>
        <v>0.3092526991</v>
      </c>
      <c r="Q229" s="8">
        <f>IFERROR(__xludf.DUMMYFUNCTION("""COMPUTED_VALUE"""),0.225098310358238)</f>
        <v>0.2250983104</v>
      </c>
      <c r="R229" s="8">
        <f>IFERROR(__xludf.DUMMYFUNCTION("""COMPUTED_VALUE"""),0.173923479429696)</f>
        <v>0.1739234794</v>
      </c>
      <c r="S229" s="8">
        <f>IFERROR(__xludf.DUMMYFUNCTION("""COMPUTED_VALUE"""),0.126651919913788)</f>
        <v>0.1266519199</v>
      </c>
      <c r="T229" s="8">
        <f>IFERROR(__xludf.DUMMYFUNCTION("""COMPUTED_VALUE"""),0.105198693522046)</f>
        <v>0.1051986935</v>
      </c>
      <c r="U229" s="8">
        <f>IFERROR(__xludf.DUMMYFUNCTION("""COMPUTED_VALUE"""),0.0868010403120936)</f>
        <v>0.08680104031</v>
      </c>
      <c r="V229" s="8">
        <f>IFERROR(__xludf.DUMMYFUNCTION("""COMPUTED_VALUE"""),0.0643636363636363)</f>
        <v>0.06436363636</v>
      </c>
      <c r="W229" s="8">
        <f>IFERROR(__xludf.DUMMYFUNCTION("""COMPUTED_VALUE"""),0.0559045226130653)</f>
        <v>0.05590452261</v>
      </c>
      <c r="X229" s="8">
        <f>IFERROR(__xludf.DUMMYFUNCTION("""COMPUTED_VALUE"""),0.0360248447204968)</f>
        <v>0.03602484472</v>
      </c>
      <c r="Y229" s="8">
        <f>IFERROR(__xludf.DUMMYFUNCTION("""COMPUTED_VALUE"""),0.0)</f>
        <v>0</v>
      </c>
      <c r="Z229" s="8">
        <f>IFERROR(__xludf.DUMMYFUNCTION("""COMPUTED_VALUE"""),0.0)</f>
        <v>0</v>
      </c>
      <c r="AA229" s="8">
        <f>IFERROR(__xludf.DUMMYFUNCTION("""COMPUTED_VALUE"""),0.0)</f>
        <v>0</v>
      </c>
      <c r="AB229" s="8">
        <f>IFERROR(__xludf.DUMMYFUNCTION("""COMPUTED_VALUE"""),0.0)</f>
        <v>0</v>
      </c>
      <c r="AC229" s="8">
        <f>IFERROR(__xludf.DUMMYFUNCTION("""COMPUTED_VALUE"""),0.0)</f>
        <v>0</v>
      </c>
    </row>
    <row r="230" ht="15.75" customHeight="1">
      <c r="A230" s="6" t="str">
        <f>IFERROR(__xludf.DUMMYFUNCTION("""COMPUTED_VALUE"""),"cec33b3e9f3607e7d8ae32858f0e715a91e937c4")</f>
        <v>cec33b3e9f3607e7d8ae32858f0e715a91e937c4</v>
      </c>
      <c r="B230" s="6" t="str">
        <f>IFERROR(__xludf.DUMMYFUNCTION("""COMPUTED_VALUE"""),"From Squalor to Moneybag")</f>
        <v>From Squalor to Moneybag</v>
      </c>
      <c r="C230" s="6" t="str">
        <f>IFERROR(__xludf.DUMMYFUNCTION("""COMPUTED_VALUE"""),"Drama")</f>
        <v>Drama</v>
      </c>
      <c r="D230" s="11">
        <f>IFERROR(__xludf.DUMMYFUNCTION("""COMPUTED_VALUE"""),1344.0)</f>
        <v>1344</v>
      </c>
      <c r="E230" s="8">
        <f>IFERROR(__xludf.DUMMYFUNCTION("""COMPUTED_VALUE"""),0.927413127413127)</f>
        <v>0.9274131274</v>
      </c>
      <c r="F230" s="8">
        <f>IFERROR(__xludf.DUMMYFUNCTION("""COMPUTED_VALUE"""),0.6341059602649)</f>
        <v>0.6341059603</v>
      </c>
      <c r="G230" s="8">
        <f>IFERROR(__xludf.DUMMYFUNCTION("""COMPUTED_VALUE"""),0.662931034482758)</f>
        <v>0.6629310345</v>
      </c>
      <c r="H230" s="8">
        <f>IFERROR(__xludf.DUMMYFUNCTION("""COMPUTED_VALUE"""),0.623214285714285)</f>
        <v>0.6232142857</v>
      </c>
      <c r="I230" s="8">
        <f>IFERROR(__xludf.DUMMYFUNCTION("""COMPUTED_VALUE"""),0.527651858567543)</f>
        <v>0.5276518586</v>
      </c>
      <c r="J230" s="8">
        <f>IFERROR(__xludf.DUMMYFUNCTION("""COMPUTED_VALUE"""),0.423760523854069)</f>
        <v>0.4237605239</v>
      </c>
      <c r="K230" s="8">
        <f>IFERROR(__xludf.DUMMYFUNCTION("""COMPUTED_VALUE"""),0.363809523809523)</f>
        <v>0.3638095238</v>
      </c>
      <c r="L230" s="8">
        <f>IFERROR(__xludf.DUMMYFUNCTION("""COMPUTED_VALUE"""),0.306627101879327)</f>
        <v>0.3066271019</v>
      </c>
      <c r="M230" s="8">
        <f>IFERROR(__xludf.DUMMYFUNCTION("""COMPUTED_VALUE"""),0.28095733610822)</f>
        <v>0.2809573361</v>
      </c>
      <c r="N230" s="8">
        <f>IFERROR(__xludf.DUMMYFUNCTION("""COMPUTED_VALUE"""),0.256043956043956)</f>
        <v>0.256043956</v>
      </c>
      <c r="O230" s="8">
        <f>IFERROR(__xludf.DUMMYFUNCTION("""COMPUTED_VALUE"""),0.164399092970521)</f>
        <v>0.164399093</v>
      </c>
      <c r="P230" s="8">
        <f>IFERROR(__xludf.DUMMYFUNCTION("""COMPUTED_VALUE"""),0.0903890160183066)</f>
        <v>0.09038901602</v>
      </c>
      <c r="Q230" s="8">
        <f>IFERROR(__xludf.DUMMYFUNCTION("""COMPUTED_VALUE"""),0.0411522633744856)</f>
        <v>0.04115226337</v>
      </c>
      <c r="R230" s="8">
        <f>IFERROR(__xludf.DUMMYFUNCTION("""COMPUTED_VALUE"""),0.0324074074074074)</f>
        <v>0.03240740741</v>
      </c>
      <c r="S230" s="8">
        <f>IFERROR(__xludf.DUMMYFUNCTION("""COMPUTED_VALUE"""),0.0)</f>
        <v>0</v>
      </c>
      <c r="T230" s="8">
        <f>IFERROR(__xludf.DUMMYFUNCTION("""COMPUTED_VALUE"""),0.0)</f>
        <v>0</v>
      </c>
      <c r="U230" s="8">
        <f>IFERROR(__xludf.DUMMYFUNCTION("""COMPUTED_VALUE"""),0.0)</f>
        <v>0</v>
      </c>
      <c r="V230" s="8">
        <f>IFERROR(__xludf.DUMMYFUNCTION("""COMPUTED_VALUE"""),0.0)</f>
        <v>0</v>
      </c>
      <c r="W230" s="8">
        <f>IFERROR(__xludf.DUMMYFUNCTION("""COMPUTED_VALUE"""),0.0)</f>
        <v>0</v>
      </c>
      <c r="X230" s="8">
        <f>IFERROR(__xludf.DUMMYFUNCTION("""COMPUTED_VALUE"""),0.0)</f>
        <v>0</v>
      </c>
      <c r="Y230" s="8">
        <f>IFERROR(__xludf.DUMMYFUNCTION("""COMPUTED_VALUE"""),0.0)</f>
        <v>0</v>
      </c>
      <c r="Z230" s="8">
        <f>IFERROR(__xludf.DUMMYFUNCTION("""COMPUTED_VALUE"""),0.0)</f>
        <v>0</v>
      </c>
      <c r="AA230" s="8">
        <f>IFERROR(__xludf.DUMMYFUNCTION("""COMPUTED_VALUE"""),0.0)</f>
        <v>0</v>
      </c>
      <c r="AB230" s="8">
        <f>IFERROR(__xludf.DUMMYFUNCTION("""COMPUTED_VALUE"""),0.0)</f>
        <v>0</v>
      </c>
      <c r="AC230" s="8">
        <f>IFERROR(__xludf.DUMMYFUNCTION("""COMPUTED_VALUE"""),0.0)</f>
        <v>0</v>
      </c>
    </row>
    <row r="231" ht="15.75" customHeight="1">
      <c r="A231" s="6" t="str">
        <f>IFERROR(__xludf.DUMMYFUNCTION("""COMPUTED_VALUE"""),"d2aaef61d998c9f90c2df15eafe1acd784549269")</f>
        <v>d2aaef61d998c9f90c2df15eafe1acd784549269</v>
      </c>
      <c r="B231" s="6" t="str">
        <f>IFERROR(__xludf.DUMMYFUNCTION("""COMPUTED_VALUE"""),"Alpha Braxton")</f>
        <v>Alpha Braxton</v>
      </c>
      <c r="C231" s="6" t="str">
        <f>IFERROR(__xludf.DUMMYFUNCTION("""COMPUTED_VALUE"""),"Romantasy")</f>
        <v>Romantasy</v>
      </c>
      <c r="D231" s="11">
        <f>IFERROR(__xludf.DUMMYFUNCTION("""COMPUTED_VALUE"""),774.0)</f>
        <v>774</v>
      </c>
      <c r="E231" s="8">
        <f>IFERROR(__xludf.DUMMYFUNCTION("""COMPUTED_VALUE"""),0.954780361757105)</f>
        <v>0.9547803618</v>
      </c>
      <c r="F231" s="8">
        <f>IFERROR(__xludf.DUMMYFUNCTION("""COMPUTED_VALUE"""),0.50516795865633)</f>
        <v>0.5051679587</v>
      </c>
      <c r="G231" s="8">
        <f>IFERROR(__xludf.DUMMYFUNCTION("""COMPUTED_VALUE"""),0.447028423772609)</f>
        <v>0.4470284238</v>
      </c>
      <c r="H231" s="8">
        <f>IFERROR(__xludf.DUMMYFUNCTION("""COMPUTED_VALUE"""),0.405684754521963)</f>
        <v>0.4056847545</v>
      </c>
      <c r="I231" s="8">
        <f>IFERROR(__xludf.DUMMYFUNCTION("""COMPUTED_VALUE"""),0.376134889753566)</f>
        <v>0.3761348898</v>
      </c>
      <c r="J231" s="8">
        <f>IFERROR(__xludf.DUMMYFUNCTION("""COMPUTED_VALUE"""),0.35408560311284)</f>
        <v>0.3540856031</v>
      </c>
      <c r="K231" s="8">
        <f>IFERROR(__xludf.DUMMYFUNCTION("""COMPUTED_VALUE"""),0.344198174706649)</f>
        <v>0.3441981747</v>
      </c>
      <c r="L231" s="8">
        <f>IFERROR(__xludf.DUMMYFUNCTION("""COMPUTED_VALUE"""),0.333767926988265)</f>
        <v>0.333767927</v>
      </c>
      <c r="M231" s="8">
        <f>IFERROR(__xludf.DUMMYFUNCTION("""COMPUTED_VALUE"""),0.328981723237597)</f>
        <v>0.3289817232</v>
      </c>
      <c r="N231" s="8">
        <f>IFERROR(__xludf.DUMMYFUNCTION("""COMPUTED_VALUE"""),0.328981723237597)</f>
        <v>0.3289817232</v>
      </c>
      <c r="O231" s="8">
        <f>IFERROR(__xludf.DUMMYFUNCTION("""COMPUTED_VALUE"""),0.285336856010568)</f>
        <v>0.285336856</v>
      </c>
      <c r="P231" s="8">
        <f>IFERROR(__xludf.DUMMYFUNCTION("""COMPUTED_VALUE"""),0.280504908835904)</f>
        <v>0.2805049088</v>
      </c>
      <c r="Q231" s="8">
        <f>IFERROR(__xludf.DUMMYFUNCTION("""COMPUTED_VALUE"""),0.245614035087719)</f>
        <v>0.2456140351</v>
      </c>
      <c r="R231" s="8">
        <f>IFERROR(__xludf.DUMMYFUNCTION("""COMPUTED_VALUE"""),0.15)</f>
        <v>0.15</v>
      </c>
      <c r="S231" s="8">
        <f>IFERROR(__xludf.DUMMYFUNCTION("""COMPUTED_VALUE"""),0.0)</f>
        <v>0</v>
      </c>
      <c r="T231" s="8">
        <f>IFERROR(__xludf.DUMMYFUNCTION("""COMPUTED_VALUE"""),0.0)</f>
        <v>0</v>
      </c>
      <c r="U231" s="8">
        <f>IFERROR(__xludf.DUMMYFUNCTION("""COMPUTED_VALUE"""),0.0)</f>
        <v>0</v>
      </c>
      <c r="V231" s="8">
        <f>IFERROR(__xludf.DUMMYFUNCTION("""COMPUTED_VALUE"""),0.0)</f>
        <v>0</v>
      </c>
      <c r="W231" s="8">
        <f>IFERROR(__xludf.DUMMYFUNCTION("""COMPUTED_VALUE"""),0.0)</f>
        <v>0</v>
      </c>
      <c r="X231" s="8">
        <f>IFERROR(__xludf.DUMMYFUNCTION("""COMPUTED_VALUE"""),0.0)</f>
        <v>0</v>
      </c>
      <c r="Y231" s="8">
        <f>IFERROR(__xludf.DUMMYFUNCTION("""COMPUTED_VALUE"""),0.0)</f>
        <v>0</v>
      </c>
      <c r="Z231" s="8">
        <f>IFERROR(__xludf.DUMMYFUNCTION("""COMPUTED_VALUE"""),0.0)</f>
        <v>0</v>
      </c>
      <c r="AA231" s="8">
        <f>IFERROR(__xludf.DUMMYFUNCTION("""COMPUTED_VALUE"""),0.0)</f>
        <v>0</v>
      </c>
      <c r="AB231" s="8">
        <f>IFERROR(__xludf.DUMMYFUNCTION("""COMPUTED_VALUE"""),0.0)</f>
        <v>0</v>
      </c>
      <c r="AC231" s="8">
        <f>IFERROR(__xludf.DUMMYFUNCTION("""COMPUTED_VALUE"""),0.0)</f>
        <v>0</v>
      </c>
    </row>
    <row r="232" ht="15.75" customHeight="1">
      <c r="A232" s="6" t="str">
        <f>IFERROR(__xludf.DUMMYFUNCTION("""COMPUTED_VALUE"""),"d3866fc3c89b4f6e7425ea92decf796ef97098db")</f>
        <v>d3866fc3c89b4f6e7425ea92decf796ef97098db</v>
      </c>
      <c r="B232" s="6" t="str">
        <f>IFERROR(__xludf.DUMMYFUNCTION("""COMPUTED_VALUE"""),"The Billionaire's Twins")</f>
        <v>The Billionaire's Twins</v>
      </c>
      <c r="C232" s="6" t="str">
        <f>IFERROR(__xludf.DUMMYFUNCTION("""COMPUTED_VALUE"""),"Romance")</f>
        <v>Romance</v>
      </c>
      <c r="D232" s="11">
        <f>IFERROR(__xludf.DUMMYFUNCTION("""COMPUTED_VALUE"""),319.0)</f>
        <v>319</v>
      </c>
      <c r="E232" s="8">
        <f>IFERROR(__xludf.DUMMYFUNCTION("""COMPUTED_VALUE"""),0.955128205128205)</f>
        <v>0.9551282051</v>
      </c>
      <c r="F232" s="8">
        <f>IFERROR(__xludf.DUMMYFUNCTION("""COMPUTED_VALUE"""),0.504823151125401)</f>
        <v>0.5048231511</v>
      </c>
      <c r="G232" s="8">
        <f>IFERROR(__xludf.DUMMYFUNCTION("""COMPUTED_VALUE"""),0.478827361563517)</f>
        <v>0.4788273616</v>
      </c>
      <c r="H232" s="8">
        <f>IFERROR(__xludf.DUMMYFUNCTION("""COMPUTED_VALUE"""),0.462046204620462)</f>
        <v>0.4620462046</v>
      </c>
      <c r="I232" s="8">
        <f>IFERROR(__xludf.DUMMYFUNCTION("""COMPUTED_VALUE"""),0.425249169435215)</f>
        <v>0.4252491694</v>
      </c>
      <c r="J232" s="8">
        <f>IFERROR(__xludf.DUMMYFUNCTION("""COMPUTED_VALUE"""),0.410169491525423)</f>
        <v>0.4101694915</v>
      </c>
      <c r="K232" s="8">
        <f>IFERROR(__xludf.DUMMYFUNCTION("""COMPUTED_VALUE"""),0.391752577319587)</f>
        <v>0.3917525773</v>
      </c>
      <c r="L232" s="8">
        <f>IFERROR(__xludf.DUMMYFUNCTION("""COMPUTED_VALUE"""),0.375438596491228)</f>
        <v>0.3754385965</v>
      </c>
      <c r="M232" s="8">
        <f>IFERROR(__xludf.DUMMYFUNCTION("""COMPUTED_VALUE"""),0.333333333333333)</f>
        <v>0.3333333333</v>
      </c>
      <c r="N232" s="8">
        <f>IFERROR(__xludf.DUMMYFUNCTION("""COMPUTED_VALUE"""),0.258555133079847)</f>
        <v>0.2585551331</v>
      </c>
      <c r="O232" s="8">
        <f>IFERROR(__xludf.DUMMYFUNCTION("""COMPUTED_VALUE"""),0.177685950413223)</f>
        <v>0.1776859504</v>
      </c>
      <c r="P232" s="8">
        <f>IFERROR(__xludf.DUMMYFUNCTION("""COMPUTED_VALUE"""),0.0958904109589041)</f>
        <v>0.09589041096</v>
      </c>
      <c r="Q232" s="8">
        <f>IFERROR(__xludf.DUMMYFUNCTION("""COMPUTED_VALUE"""),0.0476190476190476)</f>
        <v>0.04761904762</v>
      </c>
      <c r="R232" s="8">
        <f>IFERROR(__xludf.DUMMYFUNCTION("""COMPUTED_VALUE"""),0.0833333333333333)</f>
        <v>0.08333333333</v>
      </c>
      <c r="S232" s="8">
        <f>IFERROR(__xludf.DUMMYFUNCTION("""COMPUTED_VALUE"""),0.0)</f>
        <v>0</v>
      </c>
      <c r="T232" s="8">
        <f>IFERROR(__xludf.DUMMYFUNCTION("""COMPUTED_VALUE"""),0.0)</f>
        <v>0</v>
      </c>
      <c r="U232" s="8">
        <f>IFERROR(__xludf.DUMMYFUNCTION("""COMPUTED_VALUE"""),0.0)</f>
        <v>0</v>
      </c>
      <c r="V232" s="8">
        <f>IFERROR(__xludf.DUMMYFUNCTION("""COMPUTED_VALUE"""),0.0)</f>
        <v>0</v>
      </c>
      <c r="W232" s="8">
        <f>IFERROR(__xludf.DUMMYFUNCTION("""COMPUTED_VALUE"""),0.0)</f>
        <v>0</v>
      </c>
      <c r="X232" s="8">
        <f>IFERROR(__xludf.DUMMYFUNCTION("""COMPUTED_VALUE"""),0.0)</f>
        <v>0</v>
      </c>
      <c r="Y232" s="8">
        <f>IFERROR(__xludf.DUMMYFUNCTION("""COMPUTED_VALUE"""),0.0)</f>
        <v>0</v>
      </c>
      <c r="Z232" s="8">
        <f>IFERROR(__xludf.DUMMYFUNCTION("""COMPUTED_VALUE"""),0.0)</f>
        <v>0</v>
      </c>
      <c r="AA232" s="8">
        <f>IFERROR(__xludf.DUMMYFUNCTION("""COMPUTED_VALUE"""),0.0)</f>
        <v>0</v>
      </c>
      <c r="AB232" s="8">
        <f>IFERROR(__xludf.DUMMYFUNCTION("""COMPUTED_VALUE"""),0.0)</f>
        <v>0</v>
      </c>
      <c r="AC232" s="8">
        <f>IFERROR(__xludf.DUMMYFUNCTION("""COMPUTED_VALUE"""),0.0)</f>
        <v>0</v>
      </c>
    </row>
    <row r="233" ht="15.75" customHeight="1">
      <c r="A233" s="6" t="str">
        <f>IFERROR(__xludf.DUMMYFUNCTION("""COMPUTED_VALUE"""),"d419897471d8bc8312abf495d27412e669ccf6d0")</f>
        <v>d419897471d8bc8312abf495d27412e669ccf6d0</v>
      </c>
      <c r="B233" s="6" t="str">
        <f>IFERROR(__xludf.DUMMYFUNCTION("""COMPUTED_VALUE"""),"His Borrowed Wife")</f>
        <v>His Borrowed Wife</v>
      </c>
      <c r="C233" s="6" t="str">
        <f>IFERROR(__xludf.DUMMYFUNCTION("""COMPUTED_VALUE"""),"Romance")</f>
        <v>Romance</v>
      </c>
      <c r="D233" s="11">
        <f>IFERROR(__xludf.DUMMYFUNCTION("""COMPUTED_VALUE"""),791.0)</f>
        <v>791</v>
      </c>
      <c r="E233" s="8">
        <f>IFERROR(__xludf.DUMMYFUNCTION("""COMPUTED_VALUE"""),0.962820512820512)</f>
        <v>0.9628205128</v>
      </c>
      <c r="F233" s="8">
        <f>IFERROR(__xludf.DUMMYFUNCTION("""COMPUTED_VALUE"""),0.422976501305483)</f>
        <v>0.4229765013</v>
      </c>
      <c r="G233" s="8">
        <f>IFERROR(__xludf.DUMMYFUNCTION("""COMPUTED_VALUE"""),0.358839050131926)</f>
        <v>0.3588390501</v>
      </c>
      <c r="H233" s="8">
        <f>IFERROR(__xludf.DUMMYFUNCTION("""COMPUTED_VALUE"""),0.322237017310253)</f>
        <v>0.3222370173</v>
      </c>
      <c r="I233" s="8">
        <f>IFERROR(__xludf.DUMMYFUNCTION("""COMPUTED_VALUE"""),0.298128342245989)</f>
        <v>0.2981283422</v>
      </c>
      <c r="J233" s="8">
        <f>IFERROR(__xludf.DUMMYFUNCTION("""COMPUTED_VALUE"""),0.280701754385964)</f>
        <v>0.2807017544</v>
      </c>
      <c r="K233" s="8">
        <f>IFERROR(__xludf.DUMMYFUNCTION("""COMPUTED_VALUE"""),0.251700680272108)</f>
        <v>0.2517006803</v>
      </c>
      <c r="L233" s="8">
        <f>IFERROR(__xludf.DUMMYFUNCTION("""COMPUTED_VALUE"""),0.243131868131868)</f>
        <v>0.2431318681</v>
      </c>
      <c r="M233" s="8">
        <f>IFERROR(__xludf.DUMMYFUNCTION("""COMPUTED_VALUE"""),0.241046831955922)</f>
        <v>0.241046832</v>
      </c>
      <c r="N233" s="8">
        <f>IFERROR(__xludf.DUMMYFUNCTION("""COMPUTED_VALUE"""),0.239221140472878)</f>
        <v>0.2392211405</v>
      </c>
      <c r="O233" s="8">
        <f>IFERROR(__xludf.DUMMYFUNCTION("""COMPUTED_VALUE"""),0.227467811158798)</f>
        <v>0.2274678112</v>
      </c>
      <c r="P233" s="8">
        <f>IFERROR(__xludf.DUMMYFUNCTION("""COMPUTED_VALUE"""),0.204585537918871)</f>
        <v>0.2045855379</v>
      </c>
      <c r="Q233" s="8">
        <f>IFERROR(__xludf.DUMMYFUNCTION("""COMPUTED_VALUE"""),0.116751269035533)</f>
        <v>0.116751269</v>
      </c>
      <c r="R233" s="8">
        <f>IFERROR(__xludf.DUMMYFUNCTION("""COMPUTED_VALUE"""),0.0)</f>
        <v>0</v>
      </c>
      <c r="S233" s="8">
        <f>IFERROR(__xludf.DUMMYFUNCTION("""COMPUTED_VALUE"""),0.0)</f>
        <v>0</v>
      </c>
      <c r="T233" s="8">
        <f>IFERROR(__xludf.DUMMYFUNCTION("""COMPUTED_VALUE"""),0.0)</f>
        <v>0</v>
      </c>
      <c r="U233" s="8">
        <f>IFERROR(__xludf.DUMMYFUNCTION("""COMPUTED_VALUE"""),0.0)</f>
        <v>0</v>
      </c>
      <c r="V233" s="8">
        <f>IFERROR(__xludf.DUMMYFUNCTION("""COMPUTED_VALUE"""),0.0)</f>
        <v>0</v>
      </c>
      <c r="W233" s="8">
        <f>IFERROR(__xludf.DUMMYFUNCTION("""COMPUTED_VALUE"""),0.0)</f>
        <v>0</v>
      </c>
      <c r="X233" s="8">
        <f>IFERROR(__xludf.DUMMYFUNCTION("""COMPUTED_VALUE"""),0.0)</f>
        <v>0</v>
      </c>
      <c r="Y233" s="8">
        <f>IFERROR(__xludf.DUMMYFUNCTION("""COMPUTED_VALUE"""),0.0)</f>
        <v>0</v>
      </c>
      <c r="Z233" s="8">
        <f>IFERROR(__xludf.DUMMYFUNCTION("""COMPUTED_VALUE"""),0.0)</f>
        <v>0</v>
      </c>
      <c r="AA233" s="8">
        <f>IFERROR(__xludf.DUMMYFUNCTION("""COMPUTED_VALUE"""),0.0)</f>
        <v>0</v>
      </c>
      <c r="AB233" s="8">
        <f>IFERROR(__xludf.DUMMYFUNCTION("""COMPUTED_VALUE"""),0.0)</f>
        <v>0</v>
      </c>
      <c r="AC233" s="8">
        <f>IFERROR(__xludf.DUMMYFUNCTION("""COMPUTED_VALUE"""),0.0)</f>
        <v>0</v>
      </c>
    </row>
    <row r="234" ht="15.75" customHeight="1">
      <c r="A234" s="6" t="str">
        <f>IFERROR(__xludf.DUMMYFUNCTION("""COMPUTED_VALUE"""),"d4bf13e8bbfcd2fa5b75aa042e47479d3a06188b")</f>
        <v>d4bf13e8bbfcd2fa5b75aa042e47479d3a06188b</v>
      </c>
      <c r="B234" s="6" t="str">
        <f>IFERROR(__xludf.DUMMYFUNCTION("""COMPUTED_VALUE"""),"Undead Tamer's Necro Pets")</f>
        <v>Undead Tamer's Necro Pets</v>
      </c>
      <c r="C234" s="6" t="str">
        <f>IFERROR(__xludf.DUMMYFUNCTION("""COMPUTED_VALUE"""),"Fantasy")</f>
        <v>Fantasy</v>
      </c>
      <c r="D234" s="11">
        <f>IFERROR(__xludf.DUMMYFUNCTION("""COMPUTED_VALUE"""),2064.0)</f>
        <v>2064</v>
      </c>
      <c r="E234" s="8">
        <f>IFERROR(__xludf.DUMMYFUNCTION("""COMPUTED_VALUE"""),0.977228682170542)</f>
        <v>0.9772286822</v>
      </c>
      <c r="F234" s="8">
        <f>IFERROR(__xludf.DUMMYFUNCTION("""COMPUTED_VALUE"""),0.478873239436619)</f>
        <v>0.4788732394</v>
      </c>
      <c r="G234" s="8">
        <f>IFERROR(__xludf.DUMMYFUNCTION("""COMPUTED_VALUE"""),0.393083292742328)</f>
        <v>0.3930832927</v>
      </c>
      <c r="H234" s="8">
        <f>IFERROR(__xludf.DUMMYFUNCTION("""COMPUTED_VALUE"""),0.349585568015602)</f>
        <v>0.349585568</v>
      </c>
      <c r="I234" s="8">
        <f>IFERROR(__xludf.DUMMYFUNCTION("""COMPUTED_VALUE"""),0.333659491193737)</f>
        <v>0.3336594912</v>
      </c>
      <c r="J234" s="8">
        <f>IFERROR(__xludf.DUMMYFUNCTION("""COMPUTED_VALUE"""),0.307994114762138)</f>
        <v>0.3079941148</v>
      </c>
      <c r="K234" s="8">
        <f>IFERROR(__xludf.DUMMYFUNCTION("""COMPUTED_VALUE"""),0.294523926985693)</f>
        <v>0.294523927</v>
      </c>
      <c r="L234" s="8">
        <f>IFERROR(__xludf.DUMMYFUNCTION("""COMPUTED_VALUE"""),0.283433133732534)</f>
        <v>0.2834331337</v>
      </c>
      <c r="M234" s="8">
        <f>IFERROR(__xludf.DUMMYFUNCTION("""COMPUTED_VALUE"""),0.266700150678051)</f>
        <v>0.2667001507</v>
      </c>
      <c r="N234" s="8">
        <f>IFERROR(__xludf.DUMMYFUNCTION("""COMPUTED_VALUE"""),0.25776872134488)</f>
        <v>0.2577687213</v>
      </c>
      <c r="O234" s="8">
        <f>IFERROR(__xludf.DUMMYFUNCTION("""COMPUTED_VALUE"""),0.23139065204847)</f>
        <v>0.231390652</v>
      </c>
      <c r="P234" s="8">
        <f>IFERROR(__xludf.DUMMYFUNCTION("""COMPUTED_VALUE"""),0.245033112582781)</f>
        <v>0.2450331126</v>
      </c>
      <c r="Q234" s="8">
        <f>IFERROR(__xludf.DUMMYFUNCTION("""COMPUTED_VALUE"""),0.0)</f>
        <v>0</v>
      </c>
      <c r="R234" s="8">
        <f>IFERROR(__xludf.DUMMYFUNCTION("""COMPUTED_VALUE"""),0.0)</f>
        <v>0</v>
      </c>
      <c r="S234" s="8">
        <f>IFERROR(__xludf.DUMMYFUNCTION("""COMPUTED_VALUE"""),0.0)</f>
        <v>0</v>
      </c>
      <c r="T234" s="8">
        <f>IFERROR(__xludf.DUMMYFUNCTION("""COMPUTED_VALUE"""),0.0)</f>
        <v>0</v>
      </c>
      <c r="U234" s="8">
        <f>IFERROR(__xludf.DUMMYFUNCTION("""COMPUTED_VALUE"""),0.0)</f>
        <v>0</v>
      </c>
      <c r="V234" s="8">
        <f>IFERROR(__xludf.DUMMYFUNCTION("""COMPUTED_VALUE"""),0.0)</f>
        <v>0</v>
      </c>
      <c r="W234" s="8">
        <f>IFERROR(__xludf.DUMMYFUNCTION("""COMPUTED_VALUE"""),0.0)</f>
        <v>0</v>
      </c>
      <c r="X234" s="8">
        <f>IFERROR(__xludf.DUMMYFUNCTION("""COMPUTED_VALUE"""),0.0)</f>
        <v>0</v>
      </c>
      <c r="Y234" s="8">
        <f>IFERROR(__xludf.DUMMYFUNCTION("""COMPUTED_VALUE"""),0.0)</f>
        <v>0</v>
      </c>
      <c r="Z234" s="8">
        <f>IFERROR(__xludf.DUMMYFUNCTION("""COMPUTED_VALUE"""),0.0)</f>
        <v>0</v>
      </c>
      <c r="AA234" s="8">
        <f>IFERROR(__xludf.DUMMYFUNCTION("""COMPUTED_VALUE"""),0.0)</f>
        <v>0</v>
      </c>
      <c r="AB234" s="8">
        <f>IFERROR(__xludf.DUMMYFUNCTION("""COMPUTED_VALUE"""),0.0)</f>
        <v>0</v>
      </c>
      <c r="AC234" s="8">
        <f>IFERROR(__xludf.DUMMYFUNCTION("""COMPUTED_VALUE"""),0.0)</f>
        <v>0</v>
      </c>
    </row>
    <row r="235" ht="15.75" customHeight="1">
      <c r="A235" s="6" t="str">
        <f>IFERROR(__xludf.DUMMYFUNCTION("""COMPUTED_VALUE"""),"d687598bacfd959af85400d722a39d5e62aad513")</f>
        <v>d687598bacfd959af85400d722a39d5e62aad513</v>
      </c>
      <c r="B235" s="6" t="str">
        <f>IFERROR(__xludf.DUMMYFUNCTION("""COMPUTED_VALUE"""),"Unexpectedly Mine")</f>
        <v>Unexpectedly Mine</v>
      </c>
      <c r="C235" s="6" t="str">
        <f>IFERROR(__xludf.DUMMYFUNCTION("""COMPUTED_VALUE"""),"Romance")</f>
        <v>Romance</v>
      </c>
      <c r="D235" s="11">
        <f>IFERROR(__xludf.DUMMYFUNCTION("""COMPUTED_VALUE"""),4655.0)</f>
        <v>4655</v>
      </c>
      <c r="E235" s="8">
        <f>IFERROR(__xludf.DUMMYFUNCTION("""COMPUTED_VALUE"""),0.896106689610669)</f>
        <v>0.8961066896</v>
      </c>
      <c r="F235" s="8">
        <f>IFERROR(__xludf.DUMMYFUNCTION("""COMPUTED_VALUE"""),0.462962962962962)</f>
        <v>0.462962963</v>
      </c>
      <c r="G235" s="8">
        <f>IFERROR(__xludf.DUMMYFUNCTION("""COMPUTED_VALUE"""),0.413577586206896)</f>
        <v>0.4135775862</v>
      </c>
      <c r="H235" s="8">
        <f>IFERROR(__xludf.DUMMYFUNCTION("""COMPUTED_VALUE"""),0.391370010787486)</f>
        <v>0.3913700108</v>
      </c>
      <c r="I235" s="8">
        <f>IFERROR(__xludf.DUMMYFUNCTION("""COMPUTED_VALUE"""),0.37365010799136)</f>
        <v>0.373650108</v>
      </c>
      <c r="J235" s="8">
        <f>IFERROR(__xludf.DUMMYFUNCTION("""COMPUTED_VALUE"""),0.358192823173367)</f>
        <v>0.3581928232</v>
      </c>
      <c r="K235" s="8">
        <f>IFERROR(__xludf.DUMMYFUNCTION("""COMPUTED_VALUE"""),0.341262975778546)</f>
        <v>0.3412629758</v>
      </c>
      <c r="L235" s="8">
        <f>IFERROR(__xludf.DUMMYFUNCTION("""COMPUTED_VALUE"""),0.314947004109885)</f>
        <v>0.3149470041</v>
      </c>
      <c r="M235" s="8">
        <f>IFERROR(__xludf.DUMMYFUNCTION("""COMPUTED_VALUE"""),0.31045680883308)</f>
        <v>0.3104568088</v>
      </c>
      <c r="N235" s="8">
        <f>IFERROR(__xludf.DUMMYFUNCTION("""COMPUTED_VALUE"""),0.304959930690924)</f>
        <v>0.3049599307</v>
      </c>
      <c r="O235" s="8">
        <f>IFERROR(__xludf.DUMMYFUNCTION("""COMPUTED_VALUE"""),0.260482294155985)</f>
        <v>0.2604822942</v>
      </c>
      <c r="P235" s="8">
        <f>IFERROR(__xludf.DUMMYFUNCTION("""COMPUTED_VALUE"""),0.227233115468409)</f>
        <v>0.2272331155</v>
      </c>
      <c r="Q235" s="8">
        <f>IFERROR(__xludf.DUMMYFUNCTION("""COMPUTED_VALUE"""),0.16582583899978)</f>
        <v>0.165825839</v>
      </c>
      <c r="R235" s="8">
        <f>IFERROR(__xludf.DUMMYFUNCTION("""COMPUTED_VALUE"""),0.143864287287948)</f>
        <v>0.1438642873</v>
      </c>
      <c r="S235" s="8">
        <f>IFERROR(__xludf.DUMMYFUNCTION("""COMPUTED_VALUE"""),0.118371450113093)</f>
        <v>0.1183714501</v>
      </c>
      <c r="T235" s="8">
        <f>IFERROR(__xludf.DUMMYFUNCTION("""COMPUTED_VALUE"""),0.101424979044425)</f>
        <v>0.101424979</v>
      </c>
      <c r="U235" s="8">
        <f>IFERROR(__xludf.DUMMYFUNCTION("""COMPUTED_VALUE"""),0.108955839867932)</f>
        <v>0.1089558399</v>
      </c>
      <c r="V235" s="8">
        <f>IFERROR(__xludf.DUMMYFUNCTION("""COMPUTED_VALUE"""),0.096023278370514)</f>
        <v>0.09602327837</v>
      </c>
      <c r="W235" s="8">
        <f>IFERROR(__xludf.DUMMYFUNCTION("""COMPUTED_VALUE"""),0.0766550522648083)</f>
        <v>0.07665505226</v>
      </c>
      <c r="X235" s="8">
        <f>IFERROR(__xludf.DUMMYFUNCTION("""COMPUTED_VALUE"""),0.0609452736318407)</f>
        <v>0.06094527363</v>
      </c>
      <c r="Y235" s="8">
        <f>IFERROR(__xludf.DUMMYFUNCTION("""COMPUTED_VALUE"""),0.050332383665717)</f>
        <v>0.05033238367</v>
      </c>
      <c r="Z235" s="8">
        <f>IFERROR(__xludf.DUMMYFUNCTION("""COMPUTED_VALUE"""),0.0)</f>
        <v>0</v>
      </c>
      <c r="AA235" s="8">
        <f>IFERROR(__xludf.DUMMYFUNCTION("""COMPUTED_VALUE"""),0.0)</f>
        <v>0</v>
      </c>
      <c r="AB235" s="8">
        <f>IFERROR(__xludf.DUMMYFUNCTION("""COMPUTED_VALUE"""),0.0)</f>
        <v>0</v>
      </c>
      <c r="AC235" s="8">
        <f>IFERROR(__xludf.DUMMYFUNCTION("""COMPUTED_VALUE"""),0.0)</f>
        <v>0</v>
      </c>
    </row>
    <row r="236" ht="15.75" customHeight="1">
      <c r="A236" s="6" t="str">
        <f>IFERROR(__xludf.DUMMYFUNCTION("""COMPUTED_VALUE"""),"d6ecb3540b1fdba82ccfa1fa9d0dbaa8fe59424c")</f>
        <v>d6ecb3540b1fdba82ccfa1fa9d0dbaa8fe59424c</v>
      </c>
      <c r="B236" s="6" t="str">
        <f>IFERROR(__xludf.DUMMYFUNCTION("""COMPUTED_VALUE"""),"Among the Undead")</f>
        <v>Among the Undead</v>
      </c>
      <c r="C236" s="6" t="str">
        <f>IFERROR(__xludf.DUMMYFUNCTION("""COMPUTED_VALUE"""),"Suspense or Thriller")</f>
        <v>Suspense or Thriller</v>
      </c>
      <c r="D236" s="11">
        <f>IFERROR(__xludf.DUMMYFUNCTION("""COMPUTED_VALUE"""),839.0)</f>
        <v>839</v>
      </c>
      <c r="E236" s="8">
        <f>IFERROR(__xludf.DUMMYFUNCTION("""COMPUTED_VALUE"""),0.985524728588661)</f>
        <v>0.9855247286</v>
      </c>
      <c r="F236" s="8">
        <f>IFERROR(__xludf.DUMMYFUNCTION("""COMPUTED_VALUE"""),0.358536585365853)</f>
        <v>0.3585365854</v>
      </c>
      <c r="G236" s="8">
        <f>IFERROR(__xludf.DUMMYFUNCTION("""COMPUTED_VALUE"""),0.255240443896424)</f>
        <v>0.2552404439</v>
      </c>
      <c r="H236" s="8">
        <f>IFERROR(__xludf.DUMMYFUNCTION("""COMPUTED_VALUE"""),0.188819875776397)</f>
        <v>0.1888198758</v>
      </c>
      <c r="I236" s="8">
        <f>IFERROR(__xludf.DUMMYFUNCTION("""COMPUTED_VALUE"""),0.150872817955112)</f>
        <v>0.150872818</v>
      </c>
      <c r="J236" s="8">
        <f>IFERROR(__xludf.DUMMYFUNCTION("""COMPUTED_VALUE"""),0.133917396745932)</f>
        <v>0.1339173967</v>
      </c>
      <c r="K236" s="8">
        <f>IFERROR(__xludf.DUMMYFUNCTION("""COMPUTED_VALUE"""),0.123115577889447)</f>
        <v>0.1231155779</v>
      </c>
      <c r="L236" s="8">
        <f>IFERROR(__xludf.DUMMYFUNCTION("""COMPUTED_VALUE"""),0.0980891719745223)</f>
        <v>0.09808917197</v>
      </c>
      <c r="M236" s="8">
        <f>IFERROR(__xludf.DUMMYFUNCTION("""COMPUTED_VALUE"""),0.0879689521345407)</f>
        <v>0.08796895213</v>
      </c>
      <c r="N236" s="8">
        <f>IFERROR(__xludf.DUMMYFUNCTION("""COMPUTED_VALUE"""),0.081578947368421)</f>
        <v>0.08157894737</v>
      </c>
      <c r="O236" s="8">
        <f>IFERROR(__xludf.DUMMYFUNCTION("""COMPUTED_VALUE"""),0.0472312703583061)</f>
        <v>0.04723127036</v>
      </c>
      <c r="P236" s="8">
        <f>IFERROR(__xludf.DUMMYFUNCTION("""COMPUTED_VALUE"""),0.0300429184549356)</f>
        <v>0.03004291845</v>
      </c>
      <c r="Q236" s="8">
        <f>IFERROR(__xludf.DUMMYFUNCTION("""COMPUTED_VALUE"""),0.0159453302961275)</f>
        <v>0.0159453303</v>
      </c>
      <c r="R236" s="8">
        <f>IFERROR(__xludf.DUMMYFUNCTION("""COMPUTED_VALUE"""),0.00465116279069767)</f>
        <v>0.004651162791</v>
      </c>
      <c r="S236" s="8">
        <f>IFERROR(__xludf.DUMMYFUNCTION("""COMPUTED_VALUE"""),0.00236406619385342)</f>
        <v>0.002364066194</v>
      </c>
      <c r="T236" s="8">
        <f>IFERROR(__xludf.DUMMYFUNCTION("""COMPUTED_VALUE"""),0.00242718446601941)</f>
        <v>0.002427184466</v>
      </c>
      <c r="U236" s="8">
        <f>IFERROR(__xludf.DUMMYFUNCTION("""COMPUTED_VALUE"""),0.0)</f>
        <v>0</v>
      </c>
      <c r="V236" s="8">
        <f>IFERROR(__xludf.DUMMYFUNCTION("""COMPUTED_VALUE"""),0.0)</f>
        <v>0</v>
      </c>
      <c r="W236" s="8">
        <f>IFERROR(__xludf.DUMMYFUNCTION("""COMPUTED_VALUE"""),0.0)</f>
        <v>0</v>
      </c>
      <c r="X236" s="8">
        <f>IFERROR(__xludf.DUMMYFUNCTION("""COMPUTED_VALUE"""),0.0)</f>
        <v>0</v>
      </c>
      <c r="Y236" s="8">
        <f>IFERROR(__xludf.DUMMYFUNCTION("""COMPUTED_VALUE"""),0.0)</f>
        <v>0</v>
      </c>
      <c r="Z236" s="8">
        <f>IFERROR(__xludf.DUMMYFUNCTION("""COMPUTED_VALUE"""),0.0)</f>
        <v>0</v>
      </c>
      <c r="AA236" s="8">
        <f>IFERROR(__xludf.DUMMYFUNCTION("""COMPUTED_VALUE"""),0.0)</f>
        <v>0</v>
      </c>
      <c r="AB236" s="8">
        <f>IFERROR(__xludf.DUMMYFUNCTION("""COMPUTED_VALUE"""),0.0)</f>
        <v>0</v>
      </c>
      <c r="AC236" s="8">
        <f>IFERROR(__xludf.DUMMYFUNCTION("""COMPUTED_VALUE"""),0.0)</f>
        <v>0</v>
      </c>
    </row>
    <row r="237" ht="15.75" customHeight="1">
      <c r="A237" s="6" t="str">
        <f>IFERROR(__xludf.DUMMYFUNCTION("""COMPUTED_VALUE"""),"d71fc923d0820825aefcf4bf75b7743891f7feac")</f>
        <v>d71fc923d0820825aefcf4bf75b7743891f7feac</v>
      </c>
      <c r="B237" s="6" t="str">
        <f>IFERROR(__xludf.DUMMYFUNCTION("""COMPUTED_VALUE"""),"Only One Race")</f>
        <v>Only One Race</v>
      </c>
      <c r="C237" s="6" t="str">
        <f>IFERROR(__xludf.DUMMYFUNCTION("""COMPUTED_VALUE"""),"Fantasy")</f>
        <v>Fantasy</v>
      </c>
      <c r="D237" s="11">
        <f>IFERROR(__xludf.DUMMYFUNCTION("""COMPUTED_VALUE"""),1219.0)</f>
        <v>1219</v>
      </c>
      <c r="E237" s="8">
        <f>IFERROR(__xludf.DUMMYFUNCTION("""COMPUTED_VALUE"""),0.955445544554455)</f>
        <v>0.9554455446</v>
      </c>
      <c r="F237" s="8">
        <f>IFERROR(__xludf.DUMMYFUNCTION("""COMPUTED_VALUE"""),0.5025)</f>
        <v>0.5025</v>
      </c>
      <c r="G237" s="8">
        <f>IFERROR(__xludf.DUMMYFUNCTION("""COMPUTED_VALUE"""),0.462057335581787)</f>
        <v>0.4620573356</v>
      </c>
      <c r="H237" s="8">
        <f>IFERROR(__xludf.DUMMYFUNCTION("""COMPUTED_VALUE"""),0.433275563258232)</f>
        <v>0.4332755633</v>
      </c>
      <c r="I237" s="8">
        <f>IFERROR(__xludf.DUMMYFUNCTION("""COMPUTED_VALUE"""),0.397333333333333)</f>
        <v>0.3973333333</v>
      </c>
      <c r="J237" s="8">
        <f>IFERROR(__xludf.DUMMYFUNCTION("""COMPUTED_VALUE"""),0.372786579683131)</f>
        <v>0.3727865797</v>
      </c>
      <c r="K237" s="8">
        <f>IFERROR(__xludf.DUMMYFUNCTION("""COMPUTED_VALUE"""),0.357762777242044)</f>
        <v>0.3577627772</v>
      </c>
      <c r="L237" s="8">
        <f>IFERROR(__xludf.DUMMYFUNCTION("""COMPUTED_VALUE"""),0.340425531914893)</f>
        <v>0.3404255319</v>
      </c>
      <c r="M237" s="8">
        <f>IFERROR(__xludf.DUMMYFUNCTION("""COMPUTED_VALUE"""),0.3184855233853)</f>
        <v>0.3184855234</v>
      </c>
      <c r="N237" s="8">
        <f>IFERROR(__xludf.DUMMYFUNCTION("""COMPUTED_VALUE"""),0.308201058201058)</f>
        <v>0.3082010582</v>
      </c>
      <c r="O237" s="8">
        <f>IFERROR(__xludf.DUMMYFUNCTION("""COMPUTED_VALUE"""),0.241316270566727)</f>
        <v>0.2413162706</v>
      </c>
      <c r="P237" s="8">
        <f>IFERROR(__xludf.DUMMYFUNCTION("""COMPUTED_VALUE"""),0.227099236641221)</f>
        <v>0.2270992366</v>
      </c>
      <c r="Q237" s="8">
        <f>IFERROR(__xludf.DUMMYFUNCTION("""COMPUTED_VALUE"""),0.125603864734299)</f>
        <v>0.1256038647</v>
      </c>
      <c r="R237" s="8">
        <f>IFERROR(__xludf.DUMMYFUNCTION("""COMPUTED_VALUE"""),0.0833333333333333)</f>
        <v>0.08333333333</v>
      </c>
      <c r="S237" s="8">
        <f>IFERROR(__xludf.DUMMYFUNCTION("""COMPUTED_VALUE"""),0.0)</f>
        <v>0</v>
      </c>
      <c r="T237" s="8">
        <f>IFERROR(__xludf.DUMMYFUNCTION("""COMPUTED_VALUE"""),0.0)</f>
        <v>0</v>
      </c>
      <c r="U237" s="8">
        <f>IFERROR(__xludf.DUMMYFUNCTION("""COMPUTED_VALUE"""),0.0)</f>
        <v>0</v>
      </c>
      <c r="V237" s="8">
        <f>IFERROR(__xludf.DUMMYFUNCTION("""COMPUTED_VALUE"""),0.0)</f>
        <v>0</v>
      </c>
      <c r="W237" s="8">
        <f>IFERROR(__xludf.DUMMYFUNCTION("""COMPUTED_VALUE"""),0.0)</f>
        <v>0</v>
      </c>
      <c r="X237" s="8">
        <f>IFERROR(__xludf.DUMMYFUNCTION("""COMPUTED_VALUE"""),0.0)</f>
        <v>0</v>
      </c>
      <c r="Y237" s="8">
        <f>IFERROR(__xludf.DUMMYFUNCTION("""COMPUTED_VALUE"""),0.0)</f>
        <v>0</v>
      </c>
      <c r="Z237" s="8">
        <f>IFERROR(__xludf.DUMMYFUNCTION("""COMPUTED_VALUE"""),0.0)</f>
        <v>0</v>
      </c>
      <c r="AA237" s="8">
        <f>IFERROR(__xludf.DUMMYFUNCTION("""COMPUTED_VALUE"""),0.0)</f>
        <v>0</v>
      </c>
      <c r="AB237" s="8">
        <f>IFERROR(__xludf.DUMMYFUNCTION("""COMPUTED_VALUE"""),0.0)</f>
        <v>0</v>
      </c>
      <c r="AC237" s="8">
        <f>IFERROR(__xludf.DUMMYFUNCTION("""COMPUTED_VALUE"""),0.0)</f>
        <v>0</v>
      </c>
    </row>
    <row r="238" ht="15.75" customHeight="1">
      <c r="A238" s="6" t="str">
        <f>IFERROR(__xludf.DUMMYFUNCTION("""COMPUTED_VALUE"""),"da2b63280d328cd78ef9102ea4f7f131a3ff6369")</f>
        <v>da2b63280d328cd78ef9102ea4f7f131a3ff6369</v>
      </c>
      <c r="B238" s="6" t="str">
        <f>IFERROR(__xludf.DUMMYFUNCTION("""COMPUTED_VALUE"""),"I Returned for Revenge")</f>
        <v>I Returned for Revenge</v>
      </c>
      <c r="C238" s="6" t="str">
        <f>IFERROR(__xludf.DUMMYFUNCTION("""COMPUTED_VALUE"""),"Romance")</f>
        <v>Romance</v>
      </c>
      <c r="D238" s="11">
        <f>IFERROR(__xludf.DUMMYFUNCTION("""COMPUTED_VALUE"""),245.0)</f>
        <v>245</v>
      </c>
      <c r="E238" s="8">
        <f>IFERROR(__xludf.DUMMYFUNCTION("""COMPUTED_VALUE"""),0.975409836065573)</f>
        <v>0.9754098361</v>
      </c>
      <c r="F238" s="8">
        <f>IFERROR(__xludf.DUMMYFUNCTION("""COMPUTED_VALUE"""),0.381147540983606)</f>
        <v>0.381147541</v>
      </c>
      <c r="G238" s="8">
        <f>IFERROR(__xludf.DUMMYFUNCTION("""COMPUTED_VALUE"""),0.296296296296296)</f>
        <v>0.2962962963</v>
      </c>
      <c r="H238" s="8">
        <f>IFERROR(__xludf.DUMMYFUNCTION("""COMPUTED_VALUE"""),0.288065843621399)</f>
        <v>0.2880658436</v>
      </c>
      <c r="I238" s="8">
        <f>IFERROR(__xludf.DUMMYFUNCTION("""COMPUTED_VALUE"""),0.279166666666666)</f>
        <v>0.2791666667</v>
      </c>
      <c r="J238" s="8">
        <f>IFERROR(__xludf.DUMMYFUNCTION("""COMPUTED_VALUE"""),0.263829787234042)</f>
        <v>0.2638297872</v>
      </c>
      <c r="K238" s="8">
        <f>IFERROR(__xludf.DUMMYFUNCTION("""COMPUTED_VALUE"""),0.245689655172413)</f>
        <v>0.2456896552</v>
      </c>
      <c r="L238" s="8">
        <f>IFERROR(__xludf.DUMMYFUNCTION("""COMPUTED_VALUE"""),0.235807860262008)</f>
        <v>0.2358078603</v>
      </c>
      <c r="M238" s="8">
        <f>IFERROR(__xludf.DUMMYFUNCTION("""COMPUTED_VALUE"""),0.248888888888888)</f>
        <v>0.2488888889</v>
      </c>
      <c r="N238" s="8">
        <f>IFERROR(__xludf.DUMMYFUNCTION("""COMPUTED_VALUE"""),0.216589861751152)</f>
        <v>0.2165898618</v>
      </c>
      <c r="O238" s="8">
        <f>IFERROR(__xludf.DUMMYFUNCTION("""COMPUTED_VALUE"""),0.128571428571428)</f>
        <v>0.1285714286</v>
      </c>
      <c r="P238" s="8">
        <f>IFERROR(__xludf.DUMMYFUNCTION("""COMPUTED_VALUE"""),0.0619047619047619)</f>
        <v>0.0619047619</v>
      </c>
      <c r="Q238" s="8">
        <f>IFERROR(__xludf.DUMMYFUNCTION("""COMPUTED_VALUE"""),0.00609756097560975)</f>
        <v>0.006097560976</v>
      </c>
      <c r="R238" s="8">
        <f>IFERROR(__xludf.DUMMYFUNCTION("""COMPUTED_VALUE"""),0.00689655172413793)</f>
        <v>0.006896551724</v>
      </c>
      <c r="S238" s="8">
        <f>IFERROR(__xludf.DUMMYFUNCTION("""COMPUTED_VALUE"""),0.0)</f>
        <v>0</v>
      </c>
      <c r="T238" s="8">
        <f>IFERROR(__xludf.DUMMYFUNCTION("""COMPUTED_VALUE"""),0.0)</f>
        <v>0</v>
      </c>
      <c r="U238" s="8">
        <f>IFERROR(__xludf.DUMMYFUNCTION("""COMPUTED_VALUE"""),0.0)</f>
        <v>0</v>
      </c>
      <c r="V238" s="8">
        <f>IFERROR(__xludf.DUMMYFUNCTION("""COMPUTED_VALUE"""),0.0)</f>
        <v>0</v>
      </c>
      <c r="W238" s="8">
        <f>IFERROR(__xludf.DUMMYFUNCTION("""COMPUTED_VALUE"""),0.0)</f>
        <v>0</v>
      </c>
      <c r="X238" s="8">
        <f>IFERROR(__xludf.DUMMYFUNCTION("""COMPUTED_VALUE"""),0.0)</f>
        <v>0</v>
      </c>
      <c r="Y238" s="8">
        <f>IFERROR(__xludf.DUMMYFUNCTION("""COMPUTED_VALUE"""),0.0)</f>
        <v>0</v>
      </c>
      <c r="Z238" s="8">
        <f>IFERROR(__xludf.DUMMYFUNCTION("""COMPUTED_VALUE"""),0.0)</f>
        <v>0</v>
      </c>
      <c r="AA238" s="8">
        <f>IFERROR(__xludf.DUMMYFUNCTION("""COMPUTED_VALUE"""),0.0)</f>
        <v>0</v>
      </c>
      <c r="AB238" s="8">
        <f>IFERROR(__xludf.DUMMYFUNCTION("""COMPUTED_VALUE"""),0.0)</f>
        <v>0</v>
      </c>
      <c r="AC238" s="8">
        <f>IFERROR(__xludf.DUMMYFUNCTION("""COMPUTED_VALUE"""),0.0)</f>
        <v>0</v>
      </c>
    </row>
    <row r="239" ht="15.75" customHeight="1">
      <c r="A239" s="6" t="str">
        <f>IFERROR(__xludf.DUMMYFUNCTION("""COMPUTED_VALUE"""),"da5271db73c1f23560f26da633ebffb91df9abd6")</f>
        <v>da5271db73c1f23560f26da633ebffb91df9abd6</v>
      </c>
      <c r="B239" s="6" t="str">
        <f>IFERROR(__xludf.DUMMYFUNCTION("""COMPUTED_VALUE"""),"Sold to the Alpha King")</f>
        <v>Sold to the Alpha King</v>
      </c>
      <c r="C239" s="6" t="str">
        <f>IFERROR(__xludf.DUMMYFUNCTION("""COMPUTED_VALUE"""),"Romance")</f>
        <v>Romance</v>
      </c>
      <c r="D239" s="11">
        <f>IFERROR(__xludf.DUMMYFUNCTION("""COMPUTED_VALUE"""),88.0)</f>
        <v>88</v>
      </c>
      <c r="E239" s="8">
        <f>IFERROR(__xludf.DUMMYFUNCTION("""COMPUTED_VALUE"""),0.96551724137931)</f>
        <v>0.9655172414</v>
      </c>
      <c r="F239" s="8">
        <f>IFERROR(__xludf.DUMMYFUNCTION("""COMPUTED_VALUE"""),0.5)</f>
        <v>0.5</v>
      </c>
      <c r="G239" s="8">
        <f>IFERROR(__xludf.DUMMYFUNCTION("""COMPUTED_VALUE"""),0.373493975903614)</f>
        <v>0.3734939759</v>
      </c>
      <c r="H239" s="8">
        <f>IFERROR(__xludf.DUMMYFUNCTION("""COMPUTED_VALUE"""),0.329268292682926)</f>
        <v>0.3292682927</v>
      </c>
      <c r="I239" s="8">
        <f>IFERROR(__xludf.DUMMYFUNCTION("""COMPUTED_VALUE"""),0.265822784810126)</f>
        <v>0.2658227848</v>
      </c>
      <c r="J239" s="8">
        <f>IFERROR(__xludf.DUMMYFUNCTION("""COMPUTED_VALUE"""),0.243243243243243)</f>
        <v>0.2432432432</v>
      </c>
      <c r="K239" s="8">
        <f>IFERROR(__xludf.DUMMYFUNCTION("""COMPUTED_VALUE"""),0.253521126760563)</f>
        <v>0.2535211268</v>
      </c>
      <c r="L239" s="8">
        <f>IFERROR(__xludf.DUMMYFUNCTION("""COMPUTED_VALUE"""),0.238095238095238)</f>
        <v>0.2380952381</v>
      </c>
      <c r="M239" s="8">
        <f>IFERROR(__xludf.DUMMYFUNCTION("""COMPUTED_VALUE"""),0.232142857142857)</f>
        <v>0.2321428571</v>
      </c>
      <c r="N239" s="8">
        <f>IFERROR(__xludf.DUMMYFUNCTION("""COMPUTED_VALUE"""),0.269230769230769)</f>
        <v>0.2692307692</v>
      </c>
      <c r="O239" s="8">
        <f>IFERROR(__xludf.DUMMYFUNCTION("""COMPUTED_VALUE"""),0.163265306122448)</f>
        <v>0.1632653061</v>
      </c>
      <c r="P239" s="8">
        <f>IFERROR(__xludf.DUMMYFUNCTION("""COMPUTED_VALUE"""),0.222222222222222)</f>
        <v>0.2222222222</v>
      </c>
      <c r="Q239" s="8">
        <f>IFERROR(__xludf.DUMMYFUNCTION("""COMPUTED_VALUE"""),0.0)</f>
        <v>0</v>
      </c>
      <c r="R239" s="8">
        <f>IFERROR(__xludf.DUMMYFUNCTION("""COMPUTED_VALUE"""),0.0)</f>
        <v>0</v>
      </c>
      <c r="S239" s="8">
        <f>IFERROR(__xludf.DUMMYFUNCTION("""COMPUTED_VALUE"""),0.0)</f>
        <v>0</v>
      </c>
      <c r="T239" s="8">
        <f>IFERROR(__xludf.DUMMYFUNCTION("""COMPUTED_VALUE"""),0.0)</f>
        <v>0</v>
      </c>
      <c r="U239" s="8">
        <f>IFERROR(__xludf.DUMMYFUNCTION("""COMPUTED_VALUE"""),0.0)</f>
        <v>0</v>
      </c>
      <c r="V239" s="8">
        <f>IFERROR(__xludf.DUMMYFUNCTION("""COMPUTED_VALUE"""),0.0)</f>
        <v>0</v>
      </c>
      <c r="W239" s="8">
        <f>IFERROR(__xludf.DUMMYFUNCTION("""COMPUTED_VALUE"""),0.0)</f>
        <v>0</v>
      </c>
      <c r="X239" s="8">
        <f>IFERROR(__xludf.DUMMYFUNCTION("""COMPUTED_VALUE"""),0.0)</f>
        <v>0</v>
      </c>
      <c r="Y239" s="8">
        <f>IFERROR(__xludf.DUMMYFUNCTION("""COMPUTED_VALUE"""),0.0)</f>
        <v>0</v>
      </c>
      <c r="Z239" s="8">
        <f>IFERROR(__xludf.DUMMYFUNCTION("""COMPUTED_VALUE"""),0.0)</f>
        <v>0</v>
      </c>
      <c r="AA239" s="8">
        <f>IFERROR(__xludf.DUMMYFUNCTION("""COMPUTED_VALUE"""),0.0)</f>
        <v>0</v>
      </c>
      <c r="AB239" s="8">
        <f>IFERROR(__xludf.DUMMYFUNCTION("""COMPUTED_VALUE"""),0.0)</f>
        <v>0</v>
      </c>
      <c r="AC239" s="8">
        <f>IFERROR(__xludf.DUMMYFUNCTION("""COMPUTED_VALUE"""),0.0)</f>
        <v>0</v>
      </c>
    </row>
    <row r="240" ht="15.75" customHeight="1">
      <c r="A240" s="6" t="str">
        <f>IFERROR(__xludf.DUMMYFUNCTION("""COMPUTED_VALUE"""),"da8d32c5473daa3dc16575cdcd79a118bb445ffb")</f>
        <v>da8d32c5473daa3dc16575cdcd79a118bb445ffb</v>
      </c>
      <c r="B240" s="6" t="str">
        <f>IFERROR(__xludf.DUMMYFUNCTION("""COMPUTED_VALUE"""),"Bold Step Against Hoffman")</f>
        <v>Bold Step Against Hoffman</v>
      </c>
      <c r="C240" s="6" t="str">
        <f>IFERROR(__xludf.DUMMYFUNCTION("""COMPUTED_VALUE"""),"Romance")</f>
        <v>Romance</v>
      </c>
      <c r="D240" s="11">
        <f>IFERROR(__xludf.DUMMYFUNCTION("""COMPUTED_VALUE"""),339.0)</f>
        <v>339</v>
      </c>
      <c r="E240" s="8">
        <f>IFERROR(__xludf.DUMMYFUNCTION("""COMPUTED_VALUE"""),0.958083832335329)</f>
        <v>0.9580838323</v>
      </c>
      <c r="F240" s="8">
        <f>IFERROR(__xludf.DUMMYFUNCTION("""COMPUTED_VALUE"""),0.377300613496932)</f>
        <v>0.3773006135</v>
      </c>
      <c r="G240" s="8">
        <f>IFERROR(__xludf.DUMMYFUNCTION("""COMPUTED_VALUE"""),0.325077399380804)</f>
        <v>0.3250773994</v>
      </c>
      <c r="H240" s="8">
        <f>IFERROR(__xludf.DUMMYFUNCTION("""COMPUTED_VALUE"""),0.282131661442006)</f>
        <v>0.2821316614</v>
      </c>
      <c r="I240" s="8">
        <f>IFERROR(__xludf.DUMMYFUNCTION("""COMPUTED_VALUE"""),0.247648902821316)</f>
        <v>0.2476489028</v>
      </c>
      <c r="J240" s="8">
        <f>IFERROR(__xludf.DUMMYFUNCTION("""COMPUTED_VALUE"""),0.22257053291536)</f>
        <v>0.2225705329</v>
      </c>
      <c r="K240" s="8">
        <f>IFERROR(__xludf.DUMMYFUNCTION("""COMPUTED_VALUE"""),0.216981132075471)</f>
        <v>0.2169811321</v>
      </c>
      <c r="L240" s="8">
        <f>IFERROR(__xludf.DUMMYFUNCTION("""COMPUTED_VALUE"""),0.20886075949367)</f>
        <v>0.2088607595</v>
      </c>
      <c r="M240" s="8">
        <f>IFERROR(__xludf.DUMMYFUNCTION("""COMPUTED_VALUE"""),0.196202531645569)</f>
        <v>0.1962025316</v>
      </c>
      <c r="N240" s="8">
        <f>IFERROR(__xludf.DUMMYFUNCTION("""COMPUTED_VALUE"""),0.192926045016077)</f>
        <v>0.192926045</v>
      </c>
      <c r="O240" s="8">
        <f>IFERROR(__xludf.DUMMYFUNCTION("""COMPUTED_VALUE"""),0.138157894736842)</f>
        <v>0.1381578947</v>
      </c>
      <c r="P240" s="8">
        <f>IFERROR(__xludf.DUMMYFUNCTION("""COMPUTED_VALUE"""),0.0901287553648068)</f>
        <v>0.09012875536</v>
      </c>
      <c r="Q240" s="8">
        <f>IFERROR(__xludf.DUMMYFUNCTION("""COMPUTED_VALUE"""),0.0730593607305936)</f>
        <v>0.07305936073</v>
      </c>
      <c r="R240" s="8">
        <f>IFERROR(__xludf.DUMMYFUNCTION("""COMPUTED_VALUE"""),0.0476190476190476)</f>
        <v>0.04761904762</v>
      </c>
      <c r="S240" s="8">
        <f>IFERROR(__xludf.DUMMYFUNCTION("""COMPUTED_VALUE"""),0.0458015267175572)</f>
        <v>0.04580152672</v>
      </c>
      <c r="T240" s="8">
        <f>IFERROR(__xludf.DUMMYFUNCTION("""COMPUTED_VALUE"""),0.0)</f>
        <v>0</v>
      </c>
      <c r="U240" s="8">
        <f>IFERROR(__xludf.DUMMYFUNCTION("""COMPUTED_VALUE"""),0.0)</f>
        <v>0</v>
      </c>
      <c r="V240" s="8">
        <f>IFERROR(__xludf.DUMMYFUNCTION("""COMPUTED_VALUE"""),0.0)</f>
        <v>0</v>
      </c>
      <c r="W240" s="8">
        <f>IFERROR(__xludf.DUMMYFUNCTION("""COMPUTED_VALUE"""),0.0)</f>
        <v>0</v>
      </c>
      <c r="X240" s="8">
        <f>IFERROR(__xludf.DUMMYFUNCTION("""COMPUTED_VALUE"""),0.0)</f>
        <v>0</v>
      </c>
      <c r="Y240" s="8">
        <f>IFERROR(__xludf.DUMMYFUNCTION("""COMPUTED_VALUE"""),0.0)</f>
        <v>0</v>
      </c>
      <c r="Z240" s="8">
        <f>IFERROR(__xludf.DUMMYFUNCTION("""COMPUTED_VALUE"""),0.0)</f>
        <v>0</v>
      </c>
      <c r="AA240" s="8">
        <f>IFERROR(__xludf.DUMMYFUNCTION("""COMPUTED_VALUE"""),0.0)</f>
        <v>0</v>
      </c>
      <c r="AB240" s="8">
        <f>IFERROR(__xludf.DUMMYFUNCTION("""COMPUTED_VALUE"""),0.0)</f>
        <v>0</v>
      </c>
      <c r="AC240" s="8">
        <f>IFERROR(__xludf.DUMMYFUNCTION("""COMPUTED_VALUE"""),0.0)</f>
        <v>0</v>
      </c>
    </row>
    <row r="241" ht="15.75" customHeight="1">
      <c r="A241" s="6" t="str">
        <f>IFERROR(__xludf.DUMMYFUNCTION("""COMPUTED_VALUE"""),"daa40d9ff542ace7e27440803ddf4307bbd54bdd")</f>
        <v>daa40d9ff542ace7e27440803ddf4307bbd54bdd</v>
      </c>
      <c r="B241" s="6" t="str">
        <f>IFERROR(__xludf.DUMMYFUNCTION("""COMPUTED_VALUE"""),"Villain's Harem")</f>
        <v>Villain's Harem</v>
      </c>
      <c r="C241" s="6" t="str">
        <f>IFERROR(__xludf.DUMMYFUNCTION("""COMPUTED_VALUE"""),"Romantasy")</f>
        <v>Romantasy</v>
      </c>
      <c r="D241" s="11">
        <f>IFERROR(__xludf.DUMMYFUNCTION("""COMPUTED_VALUE"""),1215.0)</f>
        <v>1215</v>
      </c>
      <c r="E241" s="8">
        <f>IFERROR(__xludf.DUMMYFUNCTION("""COMPUTED_VALUE"""),0.955906821963394)</f>
        <v>0.955906822</v>
      </c>
      <c r="F241" s="8">
        <f>IFERROR(__xludf.DUMMYFUNCTION("""COMPUTED_VALUE"""),0.647257383966244)</f>
        <v>0.647257384</v>
      </c>
      <c r="G241" s="8">
        <f>IFERROR(__xludf.DUMMYFUNCTION("""COMPUTED_VALUE"""),0.578231292517006)</f>
        <v>0.5782312925</v>
      </c>
      <c r="H241" s="8">
        <f>IFERROR(__xludf.DUMMYFUNCTION("""COMPUTED_VALUE"""),0.518072289156626)</f>
        <v>0.5180722892</v>
      </c>
      <c r="I241" s="8">
        <f>IFERROR(__xludf.DUMMYFUNCTION("""COMPUTED_VALUE"""),0.467476149176062)</f>
        <v>0.4674761492</v>
      </c>
      <c r="J241" s="8">
        <f>IFERROR(__xludf.DUMMYFUNCTION("""COMPUTED_VALUE"""),0.440633245382585)</f>
        <v>0.4406332454</v>
      </c>
      <c r="K241" s="8">
        <f>IFERROR(__xludf.DUMMYFUNCTION("""COMPUTED_VALUE"""),0.420393559928443)</f>
        <v>0.4203935599</v>
      </c>
      <c r="L241" s="8">
        <f>IFERROR(__xludf.DUMMYFUNCTION("""COMPUTED_VALUE"""),0.402023919043238)</f>
        <v>0.402023919</v>
      </c>
      <c r="M241" s="8">
        <f>IFERROR(__xludf.DUMMYFUNCTION("""COMPUTED_VALUE"""),0.402131782945736)</f>
        <v>0.4021317829</v>
      </c>
      <c r="N241" s="8">
        <f>IFERROR(__xludf.DUMMYFUNCTION("""COMPUTED_VALUE"""),0.400906002265005)</f>
        <v>0.4009060023</v>
      </c>
      <c r="O241" s="8">
        <f>IFERROR(__xludf.DUMMYFUNCTION("""COMPUTED_VALUE"""),0.387283236994219)</f>
        <v>0.387283237</v>
      </c>
      <c r="P241" s="8">
        <f>IFERROR(__xludf.DUMMYFUNCTION("""COMPUTED_VALUE"""),0.4)</f>
        <v>0.4</v>
      </c>
      <c r="Q241" s="8">
        <f>IFERROR(__xludf.DUMMYFUNCTION("""COMPUTED_VALUE"""),0.0)</f>
        <v>0</v>
      </c>
      <c r="R241" s="8">
        <f>IFERROR(__xludf.DUMMYFUNCTION("""COMPUTED_VALUE"""),0.0)</f>
        <v>0</v>
      </c>
      <c r="S241" s="8">
        <f>IFERROR(__xludf.DUMMYFUNCTION("""COMPUTED_VALUE"""),0.0)</f>
        <v>0</v>
      </c>
      <c r="T241" s="8">
        <f>IFERROR(__xludf.DUMMYFUNCTION("""COMPUTED_VALUE"""),0.0)</f>
        <v>0</v>
      </c>
      <c r="U241" s="8">
        <f>IFERROR(__xludf.DUMMYFUNCTION("""COMPUTED_VALUE"""),0.0)</f>
        <v>0</v>
      </c>
      <c r="V241" s="8">
        <f>IFERROR(__xludf.DUMMYFUNCTION("""COMPUTED_VALUE"""),0.0)</f>
        <v>0</v>
      </c>
      <c r="W241" s="8">
        <f>IFERROR(__xludf.DUMMYFUNCTION("""COMPUTED_VALUE"""),0.0)</f>
        <v>0</v>
      </c>
      <c r="X241" s="8">
        <f>IFERROR(__xludf.DUMMYFUNCTION("""COMPUTED_VALUE"""),0.0)</f>
        <v>0</v>
      </c>
      <c r="Y241" s="8">
        <f>IFERROR(__xludf.DUMMYFUNCTION("""COMPUTED_VALUE"""),0.0)</f>
        <v>0</v>
      </c>
      <c r="Z241" s="8">
        <f>IFERROR(__xludf.DUMMYFUNCTION("""COMPUTED_VALUE"""),0.0)</f>
        <v>0</v>
      </c>
      <c r="AA241" s="8">
        <f>IFERROR(__xludf.DUMMYFUNCTION("""COMPUTED_VALUE"""),0.0)</f>
        <v>0</v>
      </c>
      <c r="AB241" s="8">
        <f>IFERROR(__xludf.DUMMYFUNCTION("""COMPUTED_VALUE"""),0.0)</f>
        <v>0</v>
      </c>
      <c r="AC241" s="8">
        <f>IFERROR(__xludf.DUMMYFUNCTION("""COMPUTED_VALUE"""),0.0)</f>
        <v>0</v>
      </c>
    </row>
    <row r="242" ht="15.75" customHeight="1">
      <c r="A242" s="6" t="str">
        <f>IFERROR(__xludf.DUMMYFUNCTION("""COMPUTED_VALUE"""),"db982055d0205f85b154941a9a5fdcae32a88a7c")</f>
        <v>db982055d0205f85b154941a9a5fdcae32a88a7c</v>
      </c>
      <c r="B242" s="6" t="str">
        <f>IFERROR(__xludf.DUMMYFUNCTION("""COMPUTED_VALUE"""),"Re:system - Rebooted")</f>
        <v>Re:system - Rebooted</v>
      </c>
      <c r="C242" s="6" t="str">
        <f>IFERROR(__xludf.DUMMYFUNCTION("""COMPUTED_VALUE"""),"Fantasy")</f>
        <v>Fantasy</v>
      </c>
      <c r="D242" s="11">
        <f>IFERROR(__xludf.DUMMYFUNCTION("""COMPUTED_VALUE"""),855.0)</f>
        <v>855</v>
      </c>
      <c r="E242" s="8">
        <f>IFERROR(__xludf.DUMMYFUNCTION("""COMPUTED_VALUE"""),0.990599294947121)</f>
        <v>0.9905992949</v>
      </c>
      <c r="F242" s="8">
        <f>IFERROR(__xludf.DUMMYFUNCTION("""COMPUTED_VALUE"""),0.605700712589073)</f>
        <v>0.6057007126</v>
      </c>
      <c r="G242" s="8">
        <f>IFERROR(__xludf.DUMMYFUNCTION("""COMPUTED_VALUE"""),0.532855436081242)</f>
        <v>0.5328554361</v>
      </c>
      <c r="H242" s="8">
        <f>IFERROR(__xludf.DUMMYFUNCTION("""COMPUTED_VALUE"""),0.483793517406962)</f>
        <v>0.4837935174</v>
      </c>
      <c r="I242" s="8">
        <f>IFERROR(__xludf.DUMMYFUNCTION("""COMPUTED_VALUE"""),0.448484848484848)</f>
        <v>0.4484848485</v>
      </c>
      <c r="J242" s="8">
        <f>IFERROR(__xludf.DUMMYFUNCTION("""COMPUTED_VALUE"""),0.418546365914786)</f>
        <v>0.4185463659</v>
      </c>
      <c r="K242" s="8">
        <f>IFERROR(__xludf.DUMMYFUNCTION("""COMPUTED_VALUE"""),0.388579387186629)</f>
        <v>0.3885793872</v>
      </c>
      <c r="L242" s="8">
        <f>IFERROR(__xludf.DUMMYFUNCTION("""COMPUTED_VALUE"""),0.359805510534846)</f>
        <v>0.3598055105</v>
      </c>
      <c r="M242" s="8">
        <f>IFERROR(__xludf.DUMMYFUNCTION("""COMPUTED_VALUE"""),0.350364963503649)</f>
        <v>0.3503649635</v>
      </c>
      <c r="N242" s="8">
        <f>IFERROR(__xludf.DUMMYFUNCTION("""COMPUTED_VALUE"""),0.32070707070707)</f>
        <v>0.3207070707</v>
      </c>
      <c r="O242" s="8">
        <f>IFERROR(__xludf.DUMMYFUNCTION("""COMPUTED_VALUE"""),0.0)</f>
        <v>0</v>
      </c>
      <c r="P242" s="8">
        <f>IFERROR(__xludf.DUMMYFUNCTION("""COMPUTED_VALUE"""),0.0)</f>
        <v>0</v>
      </c>
      <c r="Q242" s="8">
        <f>IFERROR(__xludf.DUMMYFUNCTION("""COMPUTED_VALUE"""),0.0)</f>
        <v>0</v>
      </c>
      <c r="R242" s="8">
        <f>IFERROR(__xludf.DUMMYFUNCTION("""COMPUTED_VALUE"""),0.0)</f>
        <v>0</v>
      </c>
      <c r="S242" s="8">
        <f>IFERROR(__xludf.DUMMYFUNCTION("""COMPUTED_VALUE"""),0.0)</f>
        <v>0</v>
      </c>
      <c r="T242" s="8">
        <f>IFERROR(__xludf.DUMMYFUNCTION("""COMPUTED_VALUE"""),0.0)</f>
        <v>0</v>
      </c>
      <c r="U242" s="8">
        <f>IFERROR(__xludf.DUMMYFUNCTION("""COMPUTED_VALUE"""),0.0)</f>
        <v>0</v>
      </c>
      <c r="V242" s="8">
        <f>IFERROR(__xludf.DUMMYFUNCTION("""COMPUTED_VALUE"""),0.0)</f>
        <v>0</v>
      </c>
      <c r="W242" s="8">
        <f>IFERROR(__xludf.DUMMYFUNCTION("""COMPUTED_VALUE"""),0.0)</f>
        <v>0</v>
      </c>
      <c r="X242" s="8">
        <f>IFERROR(__xludf.DUMMYFUNCTION("""COMPUTED_VALUE"""),0.0)</f>
        <v>0</v>
      </c>
      <c r="Y242" s="8">
        <f>IFERROR(__xludf.DUMMYFUNCTION("""COMPUTED_VALUE"""),0.0)</f>
        <v>0</v>
      </c>
      <c r="Z242" s="8">
        <f>IFERROR(__xludf.DUMMYFUNCTION("""COMPUTED_VALUE"""),0.0)</f>
        <v>0</v>
      </c>
      <c r="AA242" s="8">
        <f>IFERROR(__xludf.DUMMYFUNCTION("""COMPUTED_VALUE"""),0.0)</f>
        <v>0</v>
      </c>
      <c r="AB242" s="8">
        <f>IFERROR(__xludf.DUMMYFUNCTION("""COMPUTED_VALUE"""),0.0)</f>
        <v>0</v>
      </c>
      <c r="AC242" s="8">
        <f>IFERROR(__xludf.DUMMYFUNCTION("""COMPUTED_VALUE"""),0.0)</f>
        <v>0</v>
      </c>
    </row>
    <row r="243" ht="15.75" customHeight="1">
      <c r="A243" s="6" t="str">
        <f>IFERROR(__xludf.DUMMYFUNCTION("""COMPUTED_VALUE"""),"ddcfd794c1c386caa644e2b1d2379bfcd4efb154")</f>
        <v>ddcfd794c1c386caa644e2b1d2379bfcd4efb154</v>
      </c>
      <c r="B243" s="6" t="str">
        <f>IFERROR(__xludf.DUMMYFUNCTION("""COMPUTED_VALUE"""),"Tycoons Love Swindled")</f>
        <v>Tycoons Love Swindled</v>
      </c>
      <c r="C243" s="6" t="str">
        <f>IFERROR(__xludf.DUMMYFUNCTION("""COMPUTED_VALUE"""),"Drama")</f>
        <v>Drama</v>
      </c>
      <c r="D243" s="11">
        <f>IFERROR(__xludf.DUMMYFUNCTION("""COMPUTED_VALUE"""),133.0)</f>
        <v>133</v>
      </c>
      <c r="E243" s="8">
        <f>IFERROR(__xludf.DUMMYFUNCTION("""COMPUTED_VALUE"""),0.458646616541353)</f>
        <v>0.4586466165</v>
      </c>
      <c r="F243" s="8">
        <f>IFERROR(__xludf.DUMMYFUNCTION("""COMPUTED_VALUE"""),0.293233082706766)</f>
        <v>0.2932330827</v>
      </c>
      <c r="G243" s="8">
        <f>IFERROR(__xludf.DUMMYFUNCTION("""COMPUTED_VALUE"""),0.218045112781954)</f>
        <v>0.2180451128</v>
      </c>
      <c r="H243" s="8">
        <f>IFERROR(__xludf.DUMMYFUNCTION("""COMPUTED_VALUE"""),0.229007633587786)</f>
        <v>0.2290076336</v>
      </c>
      <c r="I243" s="8">
        <f>IFERROR(__xludf.DUMMYFUNCTION("""COMPUTED_VALUE"""),0.213740458015267)</f>
        <v>0.213740458</v>
      </c>
      <c r="J243" s="8">
        <f>IFERROR(__xludf.DUMMYFUNCTION("""COMPUTED_VALUE"""),0.223076923076923)</f>
        <v>0.2230769231</v>
      </c>
      <c r="K243" s="8">
        <f>IFERROR(__xludf.DUMMYFUNCTION("""COMPUTED_VALUE"""),0.207692307692307)</f>
        <v>0.2076923077</v>
      </c>
      <c r="L243" s="8">
        <f>IFERROR(__xludf.DUMMYFUNCTION("""COMPUTED_VALUE"""),0.217054263565891)</f>
        <v>0.2170542636</v>
      </c>
      <c r="M243" s="8">
        <f>IFERROR(__xludf.DUMMYFUNCTION("""COMPUTED_VALUE"""),0.188976377952755)</f>
        <v>0.188976378</v>
      </c>
      <c r="N243" s="8">
        <f>IFERROR(__xludf.DUMMYFUNCTION("""COMPUTED_VALUE"""),0.222222222222222)</f>
        <v>0.2222222222</v>
      </c>
      <c r="O243" s="8">
        <f>IFERROR(__xludf.DUMMYFUNCTION("""COMPUTED_VALUE"""),0.172131147540983)</f>
        <v>0.1721311475</v>
      </c>
      <c r="P243" s="8">
        <f>IFERROR(__xludf.DUMMYFUNCTION("""COMPUTED_VALUE"""),0.139344262295081)</f>
        <v>0.1393442623</v>
      </c>
      <c r="Q243" s="8">
        <f>IFERROR(__xludf.DUMMYFUNCTION("""COMPUTED_VALUE"""),0.0675675675675675)</f>
        <v>0.06756756757</v>
      </c>
      <c r="R243" s="8">
        <f>IFERROR(__xludf.DUMMYFUNCTION("""COMPUTED_VALUE"""),0.0)</f>
        <v>0</v>
      </c>
      <c r="S243" s="8">
        <f>IFERROR(__xludf.DUMMYFUNCTION("""COMPUTED_VALUE"""),0.0)</f>
        <v>0</v>
      </c>
      <c r="T243" s="8">
        <f>IFERROR(__xludf.DUMMYFUNCTION("""COMPUTED_VALUE"""),0.0)</f>
        <v>0</v>
      </c>
      <c r="U243" s="8">
        <f>IFERROR(__xludf.DUMMYFUNCTION("""COMPUTED_VALUE"""),0.0)</f>
        <v>0</v>
      </c>
      <c r="V243" s="8">
        <f>IFERROR(__xludf.DUMMYFUNCTION("""COMPUTED_VALUE"""),0.0)</f>
        <v>0</v>
      </c>
      <c r="W243" s="8">
        <f>IFERROR(__xludf.DUMMYFUNCTION("""COMPUTED_VALUE"""),0.0)</f>
        <v>0</v>
      </c>
      <c r="X243" s="8">
        <f>IFERROR(__xludf.DUMMYFUNCTION("""COMPUTED_VALUE"""),0.0)</f>
        <v>0</v>
      </c>
      <c r="Y243" s="8">
        <f>IFERROR(__xludf.DUMMYFUNCTION("""COMPUTED_VALUE"""),0.0)</f>
        <v>0</v>
      </c>
      <c r="Z243" s="8">
        <f>IFERROR(__xludf.DUMMYFUNCTION("""COMPUTED_VALUE"""),0.0)</f>
        <v>0</v>
      </c>
      <c r="AA243" s="8">
        <f>IFERROR(__xludf.DUMMYFUNCTION("""COMPUTED_VALUE"""),0.0)</f>
        <v>0</v>
      </c>
      <c r="AB243" s="8">
        <f>IFERROR(__xludf.DUMMYFUNCTION("""COMPUTED_VALUE"""),0.0)</f>
        <v>0</v>
      </c>
      <c r="AC243" s="8">
        <f>IFERROR(__xludf.DUMMYFUNCTION("""COMPUTED_VALUE"""),0.0)</f>
        <v>0</v>
      </c>
    </row>
    <row r="244" ht="15.75" customHeight="1">
      <c r="A244" s="6" t="str">
        <f>IFERROR(__xludf.DUMMYFUNCTION("""COMPUTED_VALUE"""),"de862851ca66c0ec5a982ecfe58d14472093a185")</f>
        <v>de862851ca66c0ec5a982ecfe58d14472093a185</v>
      </c>
      <c r="B244" s="6" t="str">
        <f>IFERROR(__xludf.DUMMYFUNCTION("""COMPUTED_VALUE"""),"From Trash to a Legend")</f>
        <v>From Trash to a Legend</v>
      </c>
      <c r="C244" s="6" t="str">
        <f>IFERROR(__xludf.DUMMYFUNCTION("""COMPUTED_VALUE"""),"System and Superpower")</f>
        <v>System and Superpower</v>
      </c>
      <c r="D244" s="11">
        <f>IFERROR(__xludf.DUMMYFUNCTION("""COMPUTED_VALUE"""),1032.0)</f>
        <v>1032</v>
      </c>
      <c r="E244" s="8">
        <f>IFERROR(__xludf.DUMMYFUNCTION("""COMPUTED_VALUE"""),0.962099125364431)</f>
        <v>0.9620991254</v>
      </c>
      <c r="F244" s="8">
        <f>IFERROR(__xludf.DUMMYFUNCTION("""COMPUTED_VALUE"""),0.740196078431372)</f>
        <v>0.7401960784</v>
      </c>
      <c r="G244" s="8">
        <f>IFERROR(__xludf.DUMMYFUNCTION("""COMPUTED_VALUE"""),0.714425907752698)</f>
        <v>0.7144259078</v>
      </c>
      <c r="H244" s="8">
        <f>IFERROR(__xludf.DUMMYFUNCTION("""COMPUTED_VALUE"""),0.685093780848963)</f>
        <v>0.6850937808</v>
      </c>
      <c r="I244" s="8">
        <f>IFERROR(__xludf.DUMMYFUNCTION("""COMPUTED_VALUE"""),0.653426017874875)</f>
        <v>0.6534260179</v>
      </c>
      <c r="J244" s="8">
        <f>IFERROR(__xludf.DUMMYFUNCTION("""COMPUTED_VALUE"""),0.633540372670807)</f>
        <v>0.6335403727</v>
      </c>
      <c r="K244" s="8">
        <f>IFERROR(__xludf.DUMMYFUNCTION("""COMPUTED_VALUE"""),0.598299681190223)</f>
        <v>0.5982996812</v>
      </c>
      <c r="L244" s="8">
        <f>IFERROR(__xludf.DUMMYFUNCTION("""COMPUTED_VALUE"""),0.557532621589561)</f>
        <v>0.5575326216</v>
      </c>
      <c r="M244" s="8">
        <f>IFERROR(__xludf.DUMMYFUNCTION("""COMPUTED_VALUE"""),0.537084398976982)</f>
        <v>0.537084399</v>
      </c>
      <c r="N244" s="8">
        <f>IFERROR(__xludf.DUMMYFUNCTION("""COMPUTED_VALUE"""),0.530470914127423)</f>
        <v>0.5304709141</v>
      </c>
      <c r="O244" s="8">
        <f>IFERROR(__xludf.DUMMYFUNCTION("""COMPUTED_VALUE"""),0.342657342657342)</f>
        <v>0.3426573427</v>
      </c>
      <c r="P244" s="8">
        <f>IFERROR(__xludf.DUMMYFUNCTION("""COMPUTED_VALUE"""),0.266666666666666)</f>
        <v>0.2666666667</v>
      </c>
      <c r="Q244" s="8">
        <f>IFERROR(__xludf.DUMMYFUNCTION("""COMPUTED_VALUE"""),0.0)</f>
        <v>0</v>
      </c>
      <c r="R244" s="8">
        <f>IFERROR(__xludf.DUMMYFUNCTION("""COMPUTED_VALUE"""),0.0)</f>
        <v>0</v>
      </c>
      <c r="S244" s="8">
        <f>IFERROR(__xludf.DUMMYFUNCTION("""COMPUTED_VALUE"""),0.0)</f>
        <v>0</v>
      </c>
      <c r="T244" s="8">
        <f>IFERROR(__xludf.DUMMYFUNCTION("""COMPUTED_VALUE"""),0.0)</f>
        <v>0</v>
      </c>
      <c r="U244" s="8">
        <f>IFERROR(__xludf.DUMMYFUNCTION("""COMPUTED_VALUE"""),0.0)</f>
        <v>0</v>
      </c>
      <c r="V244" s="8">
        <f>IFERROR(__xludf.DUMMYFUNCTION("""COMPUTED_VALUE"""),0.0)</f>
        <v>0</v>
      </c>
      <c r="W244" s="8">
        <f>IFERROR(__xludf.DUMMYFUNCTION("""COMPUTED_VALUE"""),0.0)</f>
        <v>0</v>
      </c>
      <c r="X244" s="8">
        <f>IFERROR(__xludf.DUMMYFUNCTION("""COMPUTED_VALUE"""),0.0)</f>
        <v>0</v>
      </c>
      <c r="Y244" s="8">
        <f>IFERROR(__xludf.DUMMYFUNCTION("""COMPUTED_VALUE"""),0.0)</f>
        <v>0</v>
      </c>
      <c r="Z244" s="8">
        <f>IFERROR(__xludf.DUMMYFUNCTION("""COMPUTED_VALUE"""),0.0)</f>
        <v>0</v>
      </c>
      <c r="AA244" s="8">
        <f>IFERROR(__xludf.DUMMYFUNCTION("""COMPUTED_VALUE"""),0.0)</f>
        <v>0</v>
      </c>
      <c r="AB244" s="8">
        <f>IFERROR(__xludf.DUMMYFUNCTION("""COMPUTED_VALUE"""),0.0)</f>
        <v>0</v>
      </c>
      <c r="AC244" s="8">
        <f>IFERROR(__xludf.DUMMYFUNCTION("""COMPUTED_VALUE"""),0.0)</f>
        <v>0</v>
      </c>
    </row>
    <row r="245" ht="15.75" customHeight="1">
      <c r="A245" s="6" t="str">
        <f>IFERROR(__xludf.DUMMYFUNCTION("""COMPUTED_VALUE"""),"df497806d02c2dcc2e8f8e790fcc3fb9e72f8166")</f>
        <v>df497806d02c2dcc2e8f8e790fcc3fb9e72f8166</v>
      </c>
      <c r="B245" s="6" t="str">
        <f>IFERROR(__xludf.DUMMYFUNCTION("""COMPUTED_VALUE"""),"Never Letting You Go")</f>
        <v>Never Letting You Go</v>
      </c>
      <c r="C245" s="6" t="str">
        <f>IFERROR(__xludf.DUMMYFUNCTION("""COMPUTED_VALUE"""),"Romance")</f>
        <v>Romance</v>
      </c>
      <c r="D245" s="11">
        <f>IFERROR(__xludf.DUMMYFUNCTION("""COMPUTED_VALUE"""),74.0)</f>
        <v>74</v>
      </c>
      <c r="E245" s="8">
        <f>IFERROR(__xludf.DUMMYFUNCTION("""COMPUTED_VALUE"""),0.972602739726027)</f>
        <v>0.9726027397</v>
      </c>
      <c r="F245" s="8">
        <f>IFERROR(__xludf.DUMMYFUNCTION("""COMPUTED_VALUE"""),0.583333333333333)</f>
        <v>0.5833333333</v>
      </c>
      <c r="G245" s="8">
        <f>IFERROR(__xludf.DUMMYFUNCTION("""COMPUTED_VALUE"""),0.444444444444444)</f>
        <v>0.4444444444</v>
      </c>
      <c r="H245" s="8">
        <f>IFERROR(__xludf.DUMMYFUNCTION("""COMPUTED_VALUE"""),0.388888888888888)</f>
        <v>0.3888888889</v>
      </c>
      <c r="I245" s="8">
        <f>IFERROR(__xludf.DUMMYFUNCTION("""COMPUTED_VALUE"""),0.295774647887323)</f>
        <v>0.2957746479</v>
      </c>
      <c r="J245" s="8">
        <f>IFERROR(__xludf.DUMMYFUNCTION("""COMPUTED_VALUE"""),0.283582089552238)</f>
        <v>0.2835820896</v>
      </c>
      <c r="K245" s="8">
        <f>IFERROR(__xludf.DUMMYFUNCTION("""COMPUTED_VALUE"""),0.271186440677966)</f>
        <v>0.2711864407</v>
      </c>
      <c r="L245" s="8">
        <f>IFERROR(__xludf.DUMMYFUNCTION("""COMPUTED_VALUE"""),0.224489795918367)</f>
        <v>0.2244897959</v>
      </c>
      <c r="M245" s="8">
        <f>IFERROR(__xludf.DUMMYFUNCTION("""COMPUTED_VALUE"""),0.2)</f>
        <v>0.2</v>
      </c>
      <c r="N245" s="8">
        <f>IFERROR(__xludf.DUMMYFUNCTION("""COMPUTED_VALUE"""),0.171428571428571)</f>
        <v>0.1714285714</v>
      </c>
      <c r="O245" s="8">
        <f>IFERROR(__xludf.DUMMYFUNCTION("""COMPUTED_VALUE"""),0.16)</f>
        <v>0.16</v>
      </c>
      <c r="P245" s="8">
        <f>IFERROR(__xludf.DUMMYFUNCTION("""COMPUTED_VALUE"""),0.166666666666666)</f>
        <v>0.1666666667</v>
      </c>
      <c r="Q245" s="8">
        <f>IFERROR(__xludf.DUMMYFUNCTION("""COMPUTED_VALUE"""),0.0)</f>
        <v>0</v>
      </c>
      <c r="R245" s="8">
        <f>IFERROR(__xludf.DUMMYFUNCTION("""COMPUTED_VALUE"""),0.0)</f>
        <v>0</v>
      </c>
      <c r="S245" s="8">
        <f>IFERROR(__xludf.DUMMYFUNCTION("""COMPUTED_VALUE"""),0.0)</f>
        <v>0</v>
      </c>
      <c r="T245" s="8">
        <f>IFERROR(__xludf.DUMMYFUNCTION("""COMPUTED_VALUE"""),0.0)</f>
        <v>0</v>
      </c>
      <c r="U245" s="8">
        <f>IFERROR(__xludf.DUMMYFUNCTION("""COMPUTED_VALUE"""),0.0)</f>
        <v>0</v>
      </c>
      <c r="V245" s="8">
        <f>IFERROR(__xludf.DUMMYFUNCTION("""COMPUTED_VALUE"""),0.0)</f>
        <v>0</v>
      </c>
      <c r="W245" s="8">
        <f>IFERROR(__xludf.DUMMYFUNCTION("""COMPUTED_VALUE"""),0.0)</f>
        <v>0</v>
      </c>
      <c r="X245" s="8">
        <f>IFERROR(__xludf.DUMMYFUNCTION("""COMPUTED_VALUE"""),0.0)</f>
        <v>0</v>
      </c>
      <c r="Y245" s="8">
        <f>IFERROR(__xludf.DUMMYFUNCTION("""COMPUTED_VALUE"""),0.0)</f>
        <v>0</v>
      </c>
      <c r="Z245" s="8">
        <f>IFERROR(__xludf.DUMMYFUNCTION("""COMPUTED_VALUE"""),0.0)</f>
        <v>0</v>
      </c>
      <c r="AA245" s="8">
        <f>IFERROR(__xludf.DUMMYFUNCTION("""COMPUTED_VALUE"""),0.0)</f>
        <v>0</v>
      </c>
      <c r="AB245" s="8">
        <f>IFERROR(__xludf.DUMMYFUNCTION("""COMPUTED_VALUE"""),0.0)</f>
        <v>0</v>
      </c>
      <c r="AC245" s="8">
        <f>IFERROR(__xludf.DUMMYFUNCTION("""COMPUTED_VALUE"""),0.0)</f>
        <v>0</v>
      </c>
    </row>
    <row r="246" ht="15.75" customHeight="1">
      <c r="A246" s="6" t="str">
        <f>IFERROR(__xludf.DUMMYFUNCTION("""COMPUTED_VALUE"""),"e0cc4d535444616635b899b0d8d7d34e8dde5fa7")</f>
        <v>e0cc4d535444616635b899b0d8d7d34e8dde5fa7</v>
      </c>
      <c r="B246" s="6" t="str">
        <f>IFERROR(__xludf.DUMMYFUNCTION("""COMPUTED_VALUE"""),"Fated Bond")</f>
        <v>Fated Bond</v>
      </c>
      <c r="C246" s="6" t="str">
        <f>IFERROR(__xludf.DUMMYFUNCTION("""COMPUTED_VALUE"""),"Romantasy")</f>
        <v>Romantasy</v>
      </c>
      <c r="D246" s="11">
        <f>IFERROR(__xludf.DUMMYFUNCTION("""COMPUTED_VALUE"""),1632.0)</f>
        <v>1632</v>
      </c>
      <c r="E246" s="8">
        <f>IFERROR(__xludf.DUMMYFUNCTION("""COMPUTED_VALUE"""),0.944103194103194)</f>
        <v>0.9441031941</v>
      </c>
      <c r="F246" s="8">
        <f>IFERROR(__xludf.DUMMYFUNCTION("""COMPUTED_VALUE"""),0.274014778325123)</f>
        <v>0.2740147783</v>
      </c>
      <c r="G246" s="8">
        <f>IFERROR(__xludf.DUMMYFUNCTION("""COMPUTED_VALUE"""),0.226263871763255)</f>
        <v>0.2262638718</v>
      </c>
      <c r="H246" s="8">
        <f>IFERROR(__xludf.DUMMYFUNCTION("""COMPUTED_VALUE"""),0.198765432098765)</f>
        <v>0.1987654321</v>
      </c>
      <c r="I246" s="8">
        <f>IFERROR(__xludf.DUMMYFUNCTION("""COMPUTED_VALUE"""),0.189480354879594)</f>
        <v>0.1894803549</v>
      </c>
      <c r="J246" s="8">
        <f>IFERROR(__xludf.DUMMYFUNCTION("""COMPUTED_VALUE"""),0.17915309446254)</f>
        <v>0.1791530945</v>
      </c>
      <c r="K246" s="8">
        <f>IFERROR(__xludf.DUMMYFUNCTION("""COMPUTED_VALUE"""),0.164365548980933)</f>
        <v>0.164365549</v>
      </c>
      <c r="L246" s="8">
        <f>IFERROR(__xludf.DUMMYFUNCTION("""COMPUTED_VALUE"""),0.158666666666666)</f>
        <v>0.1586666667</v>
      </c>
      <c r="M246" s="8">
        <f>IFERROR(__xludf.DUMMYFUNCTION("""COMPUTED_VALUE"""),0.15551048005409)</f>
        <v>0.1555104801</v>
      </c>
      <c r="N246" s="8">
        <f>IFERROR(__xludf.DUMMYFUNCTION("""COMPUTED_VALUE"""),0.149655172413793)</f>
        <v>0.1496551724</v>
      </c>
      <c r="O246" s="8">
        <f>IFERROR(__xludf.DUMMYFUNCTION("""COMPUTED_VALUE"""),0.143613000755857)</f>
        <v>0.1436130008</v>
      </c>
      <c r="P246" s="8">
        <f>IFERROR(__xludf.DUMMYFUNCTION("""COMPUTED_VALUE"""),0.123214285714285)</f>
        <v>0.1232142857</v>
      </c>
      <c r="Q246" s="8">
        <f>IFERROR(__xludf.DUMMYFUNCTION("""COMPUTED_VALUE"""),0.142487046632124)</f>
        <v>0.1424870466</v>
      </c>
      <c r="R246" s="8">
        <f>IFERROR(__xludf.DUMMYFUNCTION("""COMPUTED_VALUE"""),0.125468164794007)</f>
        <v>0.1254681648</v>
      </c>
      <c r="S246" s="8">
        <f>IFERROR(__xludf.DUMMYFUNCTION("""COMPUTED_VALUE"""),0.0996168582375478)</f>
        <v>0.09961685824</v>
      </c>
      <c r="T246" s="8">
        <f>IFERROR(__xludf.DUMMYFUNCTION("""COMPUTED_VALUE"""),0.0555555555555555)</f>
        <v>0.05555555556</v>
      </c>
      <c r="U246" s="8">
        <f>IFERROR(__xludf.DUMMYFUNCTION("""COMPUTED_VALUE"""),0.0632911392405063)</f>
        <v>0.06329113924</v>
      </c>
      <c r="V246" s="8">
        <f>IFERROR(__xludf.DUMMYFUNCTION("""COMPUTED_VALUE"""),0.0236220472440944)</f>
        <v>0.02362204724</v>
      </c>
      <c r="W246" s="8">
        <f>IFERROR(__xludf.DUMMYFUNCTION("""COMPUTED_VALUE"""),0.0297029702970297)</f>
        <v>0.0297029703</v>
      </c>
      <c r="X246" s="8">
        <f>IFERROR(__xludf.DUMMYFUNCTION("""COMPUTED_VALUE"""),0.0)</f>
        <v>0</v>
      </c>
      <c r="Y246" s="8">
        <f>IFERROR(__xludf.DUMMYFUNCTION("""COMPUTED_VALUE"""),0.166666666666666)</f>
        <v>0.1666666667</v>
      </c>
      <c r="Z246" s="8">
        <f>IFERROR(__xludf.DUMMYFUNCTION("""COMPUTED_VALUE"""),0.0)</f>
        <v>0</v>
      </c>
      <c r="AA246" s="8">
        <f>IFERROR(__xludf.DUMMYFUNCTION("""COMPUTED_VALUE"""),0.0)</f>
        <v>0</v>
      </c>
      <c r="AB246" s="8">
        <f>IFERROR(__xludf.DUMMYFUNCTION("""COMPUTED_VALUE"""),0.0)</f>
        <v>0</v>
      </c>
      <c r="AC246" s="8">
        <f>IFERROR(__xludf.DUMMYFUNCTION("""COMPUTED_VALUE"""),0.0)</f>
        <v>0</v>
      </c>
    </row>
    <row r="247" ht="15.75" customHeight="1">
      <c r="A247" s="6" t="str">
        <f>IFERROR(__xludf.DUMMYFUNCTION("""COMPUTED_VALUE"""),"e0df7c51c42acc2ebb07fef0853244b617b34a0a")</f>
        <v>e0df7c51c42acc2ebb07fef0853244b617b34a0a</v>
      </c>
      <c r="B247" s="6" t="str">
        <f>IFERROR(__xludf.DUMMYFUNCTION("""COMPUTED_VALUE"""),"Hunted by the Alpha")</f>
        <v>Hunted by the Alpha</v>
      </c>
      <c r="C247" s="6" t="str">
        <f>IFERROR(__xludf.DUMMYFUNCTION("""COMPUTED_VALUE"""),"Romantasy")</f>
        <v>Romantasy</v>
      </c>
      <c r="D247" s="11">
        <f>IFERROR(__xludf.DUMMYFUNCTION("""COMPUTED_VALUE"""),483.0)</f>
        <v>483</v>
      </c>
      <c r="E247" s="8">
        <f>IFERROR(__xludf.DUMMYFUNCTION("""COMPUTED_VALUE"""),0.973029045643153)</f>
        <v>0.9730290456</v>
      </c>
      <c r="F247" s="8">
        <f>IFERROR(__xludf.DUMMYFUNCTION("""COMPUTED_VALUE"""),0.33402489626556)</f>
        <v>0.3340248963</v>
      </c>
      <c r="G247" s="8">
        <f>IFERROR(__xludf.DUMMYFUNCTION("""COMPUTED_VALUE"""),0.275)</f>
        <v>0.275</v>
      </c>
      <c r="H247" s="8">
        <f>IFERROR(__xludf.DUMMYFUNCTION("""COMPUTED_VALUE"""),0.266666666666666)</f>
        <v>0.2666666667</v>
      </c>
      <c r="I247" s="8">
        <f>IFERROR(__xludf.DUMMYFUNCTION("""COMPUTED_VALUE"""),0.243186582809224)</f>
        <v>0.2431865828</v>
      </c>
      <c r="J247" s="8">
        <f>IFERROR(__xludf.DUMMYFUNCTION("""COMPUTED_VALUE"""),0.235294117647058)</f>
        <v>0.2352941176</v>
      </c>
      <c r="K247" s="8">
        <f>IFERROR(__xludf.DUMMYFUNCTION("""COMPUTED_VALUE"""),0.213080168776371)</f>
        <v>0.2130801688</v>
      </c>
      <c r="L247" s="8">
        <f>IFERROR(__xludf.DUMMYFUNCTION("""COMPUTED_VALUE"""),0.198717948717948)</f>
        <v>0.1987179487</v>
      </c>
      <c r="M247" s="8">
        <f>IFERROR(__xludf.DUMMYFUNCTION("""COMPUTED_VALUE"""),0.194260485651214)</f>
        <v>0.1942604857</v>
      </c>
      <c r="N247" s="8">
        <f>IFERROR(__xludf.DUMMYFUNCTION("""COMPUTED_VALUE"""),0.190804597701149)</f>
        <v>0.1908045977</v>
      </c>
      <c r="O247" s="8">
        <f>IFERROR(__xludf.DUMMYFUNCTION("""COMPUTED_VALUE"""),0.153125)</f>
        <v>0.153125</v>
      </c>
      <c r="P247" s="8">
        <f>IFERROR(__xludf.DUMMYFUNCTION("""COMPUTED_VALUE"""),0.101796407185628)</f>
        <v>0.1017964072</v>
      </c>
      <c r="Q247" s="8">
        <f>IFERROR(__xludf.DUMMYFUNCTION("""COMPUTED_VALUE"""),0.0588235294117647)</f>
        <v>0.05882352941</v>
      </c>
      <c r="R247" s="8">
        <f>IFERROR(__xludf.DUMMYFUNCTION("""COMPUTED_VALUE"""),0.0)</f>
        <v>0</v>
      </c>
      <c r="S247" s="8">
        <f>IFERROR(__xludf.DUMMYFUNCTION("""COMPUTED_VALUE"""),0.0)</f>
        <v>0</v>
      </c>
      <c r="T247" s="8">
        <f>IFERROR(__xludf.DUMMYFUNCTION("""COMPUTED_VALUE"""),0.0)</f>
        <v>0</v>
      </c>
      <c r="U247" s="8">
        <f>IFERROR(__xludf.DUMMYFUNCTION("""COMPUTED_VALUE"""),0.0)</f>
        <v>0</v>
      </c>
      <c r="V247" s="8">
        <f>IFERROR(__xludf.DUMMYFUNCTION("""COMPUTED_VALUE"""),0.0)</f>
        <v>0</v>
      </c>
      <c r="W247" s="8">
        <f>IFERROR(__xludf.DUMMYFUNCTION("""COMPUTED_VALUE"""),0.0)</f>
        <v>0</v>
      </c>
      <c r="X247" s="8">
        <f>IFERROR(__xludf.DUMMYFUNCTION("""COMPUTED_VALUE"""),0.0)</f>
        <v>0</v>
      </c>
      <c r="Y247" s="8">
        <f>IFERROR(__xludf.DUMMYFUNCTION("""COMPUTED_VALUE"""),0.0)</f>
        <v>0</v>
      </c>
      <c r="Z247" s="8">
        <f>IFERROR(__xludf.DUMMYFUNCTION("""COMPUTED_VALUE"""),0.0)</f>
        <v>0</v>
      </c>
      <c r="AA247" s="8">
        <f>IFERROR(__xludf.DUMMYFUNCTION("""COMPUTED_VALUE"""),0.0)</f>
        <v>0</v>
      </c>
      <c r="AB247" s="8">
        <f>IFERROR(__xludf.DUMMYFUNCTION("""COMPUTED_VALUE"""),0.0)</f>
        <v>0</v>
      </c>
      <c r="AC247" s="8">
        <f>IFERROR(__xludf.DUMMYFUNCTION("""COMPUTED_VALUE"""),0.0)</f>
        <v>0</v>
      </c>
    </row>
    <row r="248" ht="15.75" customHeight="1">
      <c r="A248" s="6" t="str">
        <f>IFERROR(__xludf.DUMMYFUNCTION("""COMPUTED_VALUE"""),"e168f716089521f9d1fe95769f273458c64e2ba9")</f>
        <v>e168f716089521f9d1fe95769f273458c64e2ba9</v>
      </c>
      <c r="B248" s="6" t="str">
        <f>IFERROR(__xludf.DUMMYFUNCTION("""COMPUTED_VALUE"""),"My Young Bodyguard")</f>
        <v>My Young Bodyguard</v>
      </c>
      <c r="C248" s="6" t="str">
        <f>IFERROR(__xludf.DUMMYFUNCTION("""COMPUTED_VALUE"""),"Drama")</f>
        <v>Drama</v>
      </c>
      <c r="D248" s="11">
        <f>IFERROR(__xludf.DUMMYFUNCTION("""COMPUTED_VALUE"""),1503.0)</f>
        <v>1503</v>
      </c>
      <c r="E248" s="8">
        <f>IFERROR(__xludf.DUMMYFUNCTION("""COMPUTED_VALUE"""),0.970588235294117)</f>
        <v>0.9705882353</v>
      </c>
      <c r="F248" s="8">
        <f>IFERROR(__xludf.DUMMYFUNCTION("""COMPUTED_VALUE"""),0.504814305364511)</f>
        <v>0.5048143054</v>
      </c>
      <c r="G248" s="8">
        <f>IFERROR(__xludf.DUMMYFUNCTION("""COMPUTED_VALUE"""),0.454482279360667)</f>
        <v>0.4544822794</v>
      </c>
      <c r="H248" s="8">
        <f>IFERROR(__xludf.DUMMYFUNCTION("""COMPUTED_VALUE"""),0.418338108882521)</f>
        <v>0.4183381089</v>
      </c>
      <c r="I248" s="8">
        <f>IFERROR(__xludf.DUMMYFUNCTION("""COMPUTED_VALUE"""),0.373626373626373)</f>
        <v>0.3736263736</v>
      </c>
      <c r="J248" s="8">
        <f>IFERROR(__xludf.DUMMYFUNCTION("""COMPUTED_VALUE"""),0.363704819277108)</f>
        <v>0.3637048193</v>
      </c>
      <c r="K248" s="8">
        <f>IFERROR(__xludf.DUMMYFUNCTION("""COMPUTED_VALUE"""),0.341049382716049)</f>
        <v>0.3410493827</v>
      </c>
      <c r="L248" s="8">
        <f>IFERROR(__xludf.DUMMYFUNCTION("""COMPUTED_VALUE"""),0.318699186991869)</f>
        <v>0.318699187</v>
      </c>
      <c r="M248" s="8">
        <f>IFERROR(__xludf.DUMMYFUNCTION("""COMPUTED_VALUE"""),0.299245599329421)</f>
        <v>0.2992455993</v>
      </c>
      <c r="N248" s="8">
        <f>IFERROR(__xludf.DUMMYFUNCTION("""COMPUTED_VALUE"""),0.275624461670973)</f>
        <v>0.2756244617</v>
      </c>
      <c r="O248" s="8">
        <f>IFERROR(__xludf.DUMMYFUNCTION("""COMPUTED_VALUE"""),0.202368137782561)</f>
        <v>0.2023681378</v>
      </c>
      <c r="P248" s="8">
        <f>IFERROR(__xludf.DUMMYFUNCTION("""COMPUTED_VALUE"""),0.170921198668146)</f>
        <v>0.1709211987</v>
      </c>
      <c r="Q248" s="8">
        <f>IFERROR(__xludf.DUMMYFUNCTION("""COMPUTED_VALUE"""),0.108991825613079)</f>
        <v>0.1089918256</v>
      </c>
      <c r="R248" s="8">
        <f>IFERROR(__xludf.DUMMYFUNCTION("""COMPUTED_VALUE"""),0.0687022900763358)</f>
        <v>0.06870229008</v>
      </c>
      <c r="S248" s="8">
        <f>IFERROR(__xludf.DUMMYFUNCTION("""COMPUTED_VALUE"""),0.0)</f>
        <v>0</v>
      </c>
      <c r="T248" s="8">
        <f>IFERROR(__xludf.DUMMYFUNCTION("""COMPUTED_VALUE"""),0.0)</f>
        <v>0</v>
      </c>
      <c r="U248" s="8">
        <f>IFERROR(__xludf.DUMMYFUNCTION("""COMPUTED_VALUE"""),0.0)</f>
        <v>0</v>
      </c>
      <c r="V248" s="8">
        <f>IFERROR(__xludf.DUMMYFUNCTION("""COMPUTED_VALUE"""),0.0)</f>
        <v>0</v>
      </c>
      <c r="W248" s="8">
        <f>IFERROR(__xludf.DUMMYFUNCTION("""COMPUTED_VALUE"""),0.0)</f>
        <v>0</v>
      </c>
      <c r="X248" s="8">
        <f>IFERROR(__xludf.DUMMYFUNCTION("""COMPUTED_VALUE"""),0.0)</f>
        <v>0</v>
      </c>
      <c r="Y248" s="8">
        <f>IFERROR(__xludf.DUMMYFUNCTION("""COMPUTED_VALUE"""),0.0)</f>
        <v>0</v>
      </c>
      <c r="Z248" s="8">
        <f>IFERROR(__xludf.DUMMYFUNCTION("""COMPUTED_VALUE"""),0.0)</f>
        <v>0</v>
      </c>
      <c r="AA248" s="8">
        <f>IFERROR(__xludf.DUMMYFUNCTION("""COMPUTED_VALUE"""),0.0)</f>
        <v>0</v>
      </c>
      <c r="AB248" s="8">
        <f>IFERROR(__xludf.DUMMYFUNCTION("""COMPUTED_VALUE"""),0.0)</f>
        <v>0</v>
      </c>
      <c r="AC248" s="8">
        <f>IFERROR(__xludf.DUMMYFUNCTION("""COMPUTED_VALUE"""),0.0)</f>
        <v>0</v>
      </c>
    </row>
    <row r="249" ht="15.75" customHeight="1">
      <c r="A249" s="6" t="str">
        <f>IFERROR(__xludf.DUMMYFUNCTION("""COMPUTED_VALUE"""),"e1e025613df0bb24a28711b19cbefdbc254e0c21")</f>
        <v>e1e025613df0bb24a28711b19cbefdbc254e0c21</v>
      </c>
      <c r="B249" s="6" t="str">
        <f>IFERROR(__xludf.DUMMYFUNCTION("""COMPUTED_VALUE"""),"The Ceo Hidden Bride")</f>
        <v>The Ceo Hidden Bride</v>
      </c>
      <c r="C249" s="6" t="str">
        <f>IFERROR(__xludf.DUMMYFUNCTION("""COMPUTED_VALUE"""),"Romance")</f>
        <v>Romance</v>
      </c>
      <c r="D249" s="11">
        <f>IFERROR(__xludf.DUMMYFUNCTION("""COMPUTED_VALUE"""),242.0)</f>
        <v>242</v>
      </c>
      <c r="E249" s="8">
        <f>IFERROR(__xludf.DUMMYFUNCTION("""COMPUTED_VALUE"""),0.97391304347826)</f>
        <v>0.9739130435</v>
      </c>
      <c r="F249" s="8">
        <f>IFERROR(__xludf.DUMMYFUNCTION("""COMPUTED_VALUE"""),0.411504424778761)</f>
        <v>0.4115044248</v>
      </c>
      <c r="G249" s="8">
        <f>IFERROR(__xludf.DUMMYFUNCTION("""COMPUTED_VALUE"""),0.333333333333333)</f>
        <v>0.3333333333</v>
      </c>
      <c r="H249" s="8">
        <f>IFERROR(__xludf.DUMMYFUNCTION("""COMPUTED_VALUE"""),0.271493212669683)</f>
        <v>0.2714932127</v>
      </c>
      <c r="I249" s="8">
        <f>IFERROR(__xludf.DUMMYFUNCTION("""COMPUTED_VALUE"""),0.226851851851851)</f>
        <v>0.2268518519</v>
      </c>
      <c r="J249" s="8">
        <f>IFERROR(__xludf.DUMMYFUNCTION("""COMPUTED_VALUE"""),0.214285714285714)</f>
        <v>0.2142857143</v>
      </c>
      <c r="K249" s="8">
        <f>IFERROR(__xludf.DUMMYFUNCTION("""COMPUTED_VALUE"""),0.192307692307692)</f>
        <v>0.1923076923</v>
      </c>
      <c r="L249" s="8">
        <f>IFERROR(__xludf.DUMMYFUNCTION("""COMPUTED_VALUE"""),0.177083333333333)</f>
        <v>0.1770833333</v>
      </c>
      <c r="M249" s="8">
        <f>IFERROR(__xludf.DUMMYFUNCTION("""COMPUTED_VALUE"""),0.177419354838709)</f>
        <v>0.1774193548</v>
      </c>
      <c r="N249" s="8">
        <f>IFERROR(__xludf.DUMMYFUNCTION("""COMPUTED_VALUE"""),0.149171270718232)</f>
        <v>0.1491712707</v>
      </c>
      <c r="O249" s="8">
        <f>IFERROR(__xludf.DUMMYFUNCTION("""COMPUTED_VALUE"""),0.105263157894736)</f>
        <v>0.1052631579</v>
      </c>
      <c r="P249" s="8">
        <f>IFERROR(__xludf.DUMMYFUNCTION("""COMPUTED_VALUE"""),0.0980392156862745)</f>
        <v>0.09803921569</v>
      </c>
      <c r="Q249" s="8">
        <f>IFERROR(__xludf.DUMMYFUNCTION("""COMPUTED_VALUE"""),0.0)</f>
        <v>0</v>
      </c>
      <c r="R249" s="8">
        <f>IFERROR(__xludf.DUMMYFUNCTION("""COMPUTED_VALUE"""),0.0)</f>
        <v>0</v>
      </c>
      <c r="S249" s="8">
        <f>IFERROR(__xludf.DUMMYFUNCTION("""COMPUTED_VALUE"""),0.0)</f>
        <v>0</v>
      </c>
      <c r="T249" s="8">
        <f>IFERROR(__xludf.DUMMYFUNCTION("""COMPUTED_VALUE"""),0.0)</f>
        <v>0</v>
      </c>
      <c r="U249" s="8">
        <f>IFERROR(__xludf.DUMMYFUNCTION("""COMPUTED_VALUE"""),0.0)</f>
        <v>0</v>
      </c>
      <c r="V249" s="8">
        <f>IFERROR(__xludf.DUMMYFUNCTION("""COMPUTED_VALUE"""),0.0)</f>
        <v>0</v>
      </c>
      <c r="W249" s="8">
        <f>IFERROR(__xludf.DUMMYFUNCTION("""COMPUTED_VALUE"""),0.0)</f>
        <v>0</v>
      </c>
      <c r="X249" s="8">
        <f>IFERROR(__xludf.DUMMYFUNCTION("""COMPUTED_VALUE"""),0.0)</f>
        <v>0</v>
      </c>
      <c r="Y249" s="8">
        <f>IFERROR(__xludf.DUMMYFUNCTION("""COMPUTED_VALUE"""),0.0)</f>
        <v>0</v>
      </c>
      <c r="Z249" s="8">
        <f>IFERROR(__xludf.DUMMYFUNCTION("""COMPUTED_VALUE"""),0.0)</f>
        <v>0</v>
      </c>
      <c r="AA249" s="8">
        <f>IFERROR(__xludf.DUMMYFUNCTION("""COMPUTED_VALUE"""),0.0)</f>
        <v>0</v>
      </c>
      <c r="AB249" s="8">
        <f>IFERROR(__xludf.DUMMYFUNCTION("""COMPUTED_VALUE"""),0.0)</f>
        <v>0</v>
      </c>
      <c r="AC249" s="8">
        <f>IFERROR(__xludf.DUMMYFUNCTION("""COMPUTED_VALUE"""),0.0)</f>
        <v>0</v>
      </c>
    </row>
    <row r="250" ht="15.75" customHeight="1">
      <c r="A250" s="6" t="str">
        <f>IFERROR(__xludf.DUMMYFUNCTION("""COMPUTED_VALUE"""),"e2f077e58449b7e3e415bd16eb5bb755606936b6")</f>
        <v>e2f077e58449b7e3e415bd16eb5bb755606936b6</v>
      </c>
      <c r="B250" s="6" t="str">
        <f>IFERROR(__xludf.DUMMYFUNCTION("""COMPUTED_VALUE"""),"Powerless Heir to Throne")</f>
        <v>Powerless Heir to Throne</v>
      </c>
      <c r="C250" s="6" t="str">
        <f>IFERROR(__xludf.DUMMYFUNCTION("""COMPUTED_VALUE"""),"System and Superpower")</f>
        <v>System and Superpower</v>
      </c>
      <c r="D250" s="11">
        <f>IFERROR(__xludf.DUMMYFUNCTION("""COMPUTED_VALUE"""),1606.0)</f>
        <v>1606</v>
      </c>
      <c r="E250" s="8">
        <f>IFERROR(__xludf.DUMMYFUNCTION("""COMPUTED_VALUE"""),0.950093574547723)</f>
        <v>0.9500935745</v>
      </c>
      <c r="F250" s="8">
        <f>IFERROR(__xludf.DUMMYFUNCTION("""COMPUTED_VALUE"""),0.603005635566687)</f>
        <v>0.6030056356</v>
      </c>
      <c r="G250" s="8">
        <f>IFERROR(__xludf.DUMMYFUNCTION("""COMPUTED_VALUE"""),0.540489642184557)</f>
        <v>0.5404896422</v>
      </c>
      <c r="H250" s="8">
        <f>IFERROR(__xludf.DUMMYFUNCTION("""COMPUTED_VALUE"""),0.500943989930774)</f>
        <v>0.5009439899</v>
      </c>
      <c r="I250" s="8">
        <f>IFERROR(__xludf.DUMMYFUNCTION("""COMPUTED_VALUE"""),0.442974165091367)</f>
        <v>0.4429741651</v>
      </c>
      <c r="J250" s="8">
        <f>IFERROR(__xludf.DUMMYFUNCTION("""COMPUTED_VALUE"""),0.406467977171845)</f>
        <v>0.4064679772</v>
      </c>
      <c r="K250" s="8">
        <f>IFERROR(__xludf.DUMMYFUNCTION("""COMPUTED_VALUE"""),0.376986649713922)</f>
        <v>0.3769866497</v>
      </c>
      <c r="L250" s="8">
        <f>IFERROR(__xludf.DUMMYFUNCTION("""COMPUTED_VALUE"""),0.348629700446144)</f>
        <v>0.3486297004</v>
      </c>
      <c r="M250" s="8">
        <f>IFERROR(__xludf.DUMMYFUNCTION("""COMPUTED_VALUE"""),0.327377153797064)</f>
        <v>0.3273771538</v>
      </c>
      <c r="N250" s="8">
        <f>IFERROR(__xludf.DUMMYFUNCTION("""COMPUTED_VALUE"""),0.310543130990415)</f>
        <v>0.310543131</v>
      </c>
      <c r="O250" s="8">
        <f>IFERROR(__xludf.DUMMYFUNCTION("""COMPUTED_VALUE"""),0.261669953977646)</f>
        <v>0.261669954</v>
      </c>
      <c r="P250" s="8">
        <f>IFERROR(__xludf.DUMMYFUNCTION("""COMPUTED_VALUE"""),0.185401459854014)</f>
        <v>0.1854014599</v>
      </c>
      <c r="Q250" s="8">
        <f>IFERROR(__xludf.DUMMYFUNCTION("""COMPUTED_VALUE"""),0.116062176165803)</f>
        <v>0.1160621762</v>
      </c>
      <c r="R250" s="8">
        <f>IFERROR(__xludf.DUMMYFUNCTION("""COMPUTED_VALUE"""),0.0809716599190283)</f>
        <v>0.08097165992</v>
      </c>
      <c r="S250" s="8">
        <f>IFERROR(__xludf.DUMMYFUNCTION("""COMPUTED_VALUE"""),0.081967213114754)</f>
        <v>0.08196721311</v>
      </c>
      <c r="T250" s="8">
        <f>IFERROR(__xludf.DUMMYFUNCTION("""COMPUTED_VALUE"""),0.0)</f>
        <v>0</v>
      </c>
      <c r="U250" s="8">
        <f>IFERROR(__xludf.DUMMYFUNCTION("""COMPUTED_VALUE"""),0.0)</f>
        <v>0</v>
      </c>
      <c r="V250" s="8">
        <f>IFERROR(__xludf.DUMMYFUNCTION("""COMPUTED_VALUE"""),0.0)</f>
        <v>0</v>
      </c>
      <c r="W250" s="8">
        <f>IFERROR(__xludf.DUMMYFUNCTION("""COMPUTED_VALUE"""),0.0)</f>
        <v>0</v>
      </c>
      <c r="X250" s="8">
        <f>IFERROR(__xludf.DUMMYFUNCTION("""COMPUTED_VALUE"""),0.0)</f>
        <v>0</v>
      </c>
      <c r="Y250" s="8">
        <f>IFERROR(__xludf.DUMMYFUNCTION("""COMPUTED_VALUE"""),0.0)</f>
        <v>0</v>
      </c>
      <c r="Z250" s="8">
        <f>IFERROR(__xludf.DUMMYFUNCTION("""COMPUTED_VALUE"""),0.0)</f>
        <v>0</v>
      </c>
      <c r="AA250" s="8">
        <f>IFERROR(__xludf.DUMMYFUNCTION("""COMPUTED_VALUE"""),0.0)</f>
        <v>0</v>
      </c>
      <c r="AB250" s="8">
        <f>IFERROR(__xludf.DUMMYFUNCTION("""COMPUTED_VALUE"""),0.0)</f>
        <v>0</v>
      </c>
      <c r="AC250" s="8">
        <f>IFERROR(__xludf.DUMMYFUNCTION("""COMPUTED_VALUE"""),0.0)</f>
        <v>0</v>
      </c>
    </row>
    <row r="251" ht="15.75" customHeight="1">
      <c r="A251" s="6" t="str">
        <f>IFERROR(__xludf.DUMMYFUNCTION("""COMPUTED_VALUE"""),"e3ea22ad9a736918a7619bfed3abf1f862c9bdb2")</f>
        <v>e3ea22ad9a736918a7619bfed3abf1f862c9bdb2</v>
      </c>
      <c r="B251" s="6" t="str">
        <f>IFERROR(__xludf.DUMMYFUNCTION("""COMPUTED_VALUE"""),"The Empress's Cold Return")</f>
        <v>The Empress's Cold Return</v>
      </c>
      <c r="C251" s="6" t="str">
        <f>IFERROR(__xludf.DUMMYFUNCTION("""COMPUTED_VALUE"""),"Drama")</f>
        <v>Drama</v>
      </c>
      <c r="D251" s="11">
        <f>IFERROR(__xludf.DUMMYFUNCTION("""COMPUTED_VALUE"""),305.0)</f>
        <v>305</v>
      </c>
      <c r="E251" s="8">
        <f>IFERROR(__xludf.DUMMYFUNCTION("""COMPUTED_VALUE"""),0.967213114754098)</f>
        <v>0.9672131148</v>
      </c>
      <c r="F251" s="8">
        <f>IFERROR(__xludf.DUMMYFUNCTION("""COMPUTED_VALUE"""),0.278688524590163)</f>
        <v>0.2786885246</v>
      </c>
      <c r="G251" s="8">
        <f>IFERROR(__xludf.DUMMYFUNCTION("""COMPUTED_VALUE"""),0.21639344262295)</f>
        <v>0.2163934426</v>
      </c>
      <c r="H251" s="8">
        <f>IFERROR(__xludf.DUMMYFUNCTION("""COMPUTED_VALUE"""),0.190163934426229)</f>
        <v>0.1901639344</v>
      </c>
      <c r="I251" s="8">
        <f>IFERROR(__xludf.DUMMYFUNCTION("""COMPUTED_VALUE"""),0.183606557377049)</f>
        <v>0.1836065574</v>
      </c>
      <c r="J251" s="8">
        <f>IFERROR(__xludf.DUMMYFUNCTION("""COMPUTED_VALUE"""),0.173770491803278)</f>
        <v>0.1737704918</v>
      </c>
      <c r="K251" s="8">
        <f>IFERROR(__xludf.DUMMYFUNCTION("""COMPUTED_VALUE"""),0.157377049180327)</f>
        <v>0.1573770492</v>
      </c>
      <c r="L251" s="8">
        <f>IFERROR(__xludf.DUMMYFUNCTION("""COMPUTED_VALUE"""),0.161184210526315)</f>
        <v>0.1611842105</v>
      </c>
      <c r="M251" s="8">
        <f>IFERROR(__xludf.DUMMYFUNCTION("""COMPUTED_VALUE"""),0.135313531353135)</f>
        <v>0.1353135314</v>
      </c>
      <c r="N251" s="8">
        <f>IFERROR(__xludf.DUMMYFUNCTION("""COMPUTED_VALUE"""),0.128712871287128)</f>
        <v>0.1287128713</v>
      </c>
      <c r="O251" s="8">
        <f>IFERROR(__xludf.DUMMYFUNCTION("""COMPUTED_VALUE"""),0.114478114478114)</f>
        <v>0.1144781145</v>
      </c>
      <c r="P251" s="8">
        <f>IFERROR(__xludf.DUMMYFUNCTION("""COMPUTED_VALUE"""),0.0698689956331877)</f>
        <v>0.06986899563</v>
      </c>
      <c r="Q251" s="8">
        <f>IFERROR(__xludf.DUMMYFUNCTION("""COMPUTED_VALUE"""),0.032)</f>
        <v>0.032</v>
      </c>
      <c r="R251" s="8">
        <f>IFERROR(__xludf.DUMMYFUNCTION("""COMPUTED_VALUE"""),0.0303030303030303)</f>
        <v>0.0303030303</v>
      </c>
      <c r="S251" s="8">
        <f>IFERROR(__xludf.DUMMYFUNCTION("""COMPUTED_VALUE"""),0.0)</f>
        <v>0</v>
      </c>
      <c r="T251" s="8">
        <f>IFERROR(__xludf.DUMMYFUNCTION("""COMPUTED_VALUE"""),0.0)</f>
        <v>0</v>
      </c>
      <c r="U251" s="8">
        <f>IFERROR(__xludf.DUMMYFUNCTION("""COMPUTED_VALUE"""),0.0)</f>
        <v>0</v>
      </c>
      <c r="V251" s="8">
        <f>IFERROR(__xludf.DUMMYFUNCTION("""COMPUTED_VALUE"""),0.0)</f>
        <v>0</v>
      </c>
      <c r="W251" s="8">
        <f>IFERROR(__xludf.DUMMYFUNCTION("""COMPUTED_VALUE"""),0.0)</f>
        <v>0</v>
      </c>
      <c r="X251" s="8">
        <f>IFERROR(__xludf.DUMMYFUNCTION("""COMPUTED_VALUE"""),0.0)</f>
        <v>0</v>
      </c>
      <c r="Y251" s="8">
        <f>IFERROR(__xludf.DUMMYFUNCTION("""COMPUTED_VALUE"""),0.0)</f>
        <v>0</v>
      </c>
      <c r="Z251" s="8">
        <f>IFERROR(__xludf.DUMMYFUNCTION("""COMPUTED_VALUE"""),0.0)</f>
        <v>0</v>
      </c>
      <c r="AA251" s="8">
        <f>IFERROR(__xludf.DUMMYFUNCTION("""COMPUTED_VALUE"""),0.0)</f>
        <v>0</v>
      </c>
      <c r="AB251" s="8">
        <f>IFERROR(__xludf.DUMMYFUNCTION("""COMPUTED_VALUE"""),0.0)</f>
        <v>0</v>
      </c>
      <c r="AC251" s="8">
        <f>IFERROR(__xludf.DUMMYFUNCTION("""COMPUTED_VALUE"""),0.0)</f>
        <v>0</v>
      </c>
    </row>
    <row r="252" ht="15.75" customHeight="1">
      <c r="A252" s="6" t="str">
        <f>IFERROR(__xludf.DUMMYFUNCTION("""COMPUTED_VALUE"""),"e40505b31ca87f2f6b736e3f18b3e9f46e21cd04")</f>
        <v>e40505b31ca87f2f6b736e3f18b3e9f46e21cd04</v>
      </c>
      <c r="B252" s="6" t="str">
        <f>IFERROR(__xludf.DUMMYFUNCTION("""COMPUTED_VALUE"""),"My Dragonic System")</f>
        <v>My Dragonic System</v>
      </c>
      <c r="C252" s="6" t="str">
        <f>IFERROR(__xludf.DUMMYFUNCTION("""COMPUTED_VALUE"""),"System and Superpower")</f>
        <v>System and Superpower</v>
      </c>
      <c r="D252" s="11">
        <f>IFERROR(__xludf.DUMMYFUNCTION("""COMPUTED_VALUE"""),70880.0)</f>
        <v>70880</v>
      </c>
      <c r="E252" s="8">
        <f>IFERROR(__xludf.DUMMYFUNCTION("""COMPUTED_VALUE"""),0.921639575971731)</f>
        <v>0.921639576</v>
      </c>
      <c r="F252" s="8">
        <f>IFERROR(__xludf.DUMMYFUNCTION("""COMPUTED_VALUE"""),0.539205536567725)</f>
        <v>0.5392055366</v>
      </c>
      <c r="G252" s="8">
        <f>IFERROR(__xludf.DUMMYFUNCTION("""COMPUTED_VALUE"""),0.485384024795973)</f>
        <v>0.4853840248</v>
      </c>
      <c r="H252" s="8">
        <f>IFERROR(__xludf.DUMMYFUNCTION("""COMPUTED_VALUE"""),0.451962824642928)</f>
        <v>0.4519628246</v>
      </c>
      <c r="I252" s="8">
        <f>IFERROR(__xludf.DUMMYFUNCTION("""COMPUTED_VALUE"""),0.433072555385517)</f>
        <v>0.4330725554</v>
      </c>
      <c r="J252" s="8">
        <f>IFERROR(__xludf.DUMMYFUNCTION("""COMPUTED_VALUE"""),0.418124964140226)</f>
        <v>0.4181249641</v>
      </c>
      <c r="K252" s="8">
        <f>IFERROR(__xludf.DUMMYFUNCTION("""COMPUTED_VALUE"""),0.403441380004891)</f>
        <v>0.40344138</v>
      </c>
      <c r="L252" s="8">
        <f>IFERROR(__xludf.DUMMYFUNCTION("""COMPUTED_VALUE"""),0.391739475774424)</f>
        <v>0.3917394758</v>
      </c>
      <c r="M252" s="8">
        <f>IFERROR(__xludf.DUMMYFUNCTION("""COMPUTED_VALUE"""),0.379648430701398)</f>
        <v>0.3796484307</v>
      </c>
      <c r="N252" s="8">
        <f>IFERROR(__xludf.DUMMYFUNCTION("""COMPUTED_VALUE"""),0.370029246147802)</f>
        <v>0.3700292461</v>
      </c>
      <c r="O252" s="8">
        <f>IFERROR(__xludf.DUMMYFUNCTION("""COMPUTED_VALUE"""),0.348249200142196)</f>
        <v>0.3482492001</v>
      </c>
      <c r="P252" s="8">
        <f>IFERROR(__xludf.DUMMYFUNCTION("""COMPUTED_VALUE"""),0.294443231781471)</f>
        <v>0.2944432318</v>
      </c>
      <c r="Q252" s="8">
        <f>IFERROR(__xludf.DUMMYFUNCTION("""COMPUTED_VALUE"""),0.231485221840705)</f>
        <v>0.2314852218</v>
      </c>
      <c r="R252" s="8">
        <f>IFERROR(__xludf.DUMMYFUNCTION("""COMPUTED_VALUE"""),0.192605516457234)</f>
        <v>0.1926055165</v>
      </c>
      <c r="S252" s="8">
        <f>IFERROR(__xludf.DUMMYFUNCTION("""COMPUTED_VALUE"""),0.163615882849901)</f>
        <v>0.1636158828</v>
      </c>
      <c r="T252" s="8">
        <f>IFERROR(__xludf.DUMMYFUNCTION("""COMPUTED_VALUE"""),0.122061893093747)</f>
        <v>0.1220618931</v>
      </c>
      <c r="U252" s="8">
        <f>IFERROR(__xludf.DUMMYFUNCTION("""COMPUTED_VALUE"""),0.0965325342465753)</f>
        <v>0.09653253425</v>
      </c>
      <c r="V252" s="8">
        <f>IFERROR(__xludf.DUMMYFUNCTION("""COMPUTED_VALUE"""),0.0)</f>
        <v>0</v>
      </c>
      <c r="W252" s="8">
        <f>IFERROR(__xludf.DUMMYFUNCTION("""COMPUTED_VALUE"""),0.0)</f>
        <v>0</v>
      </c>
      <c r="X252" s="8">
        <f>IFERROR(__xludf.DUMMYFUNCTION("""COMPUTED_VALUE"""),0.0)</f>
        <v>0</v>
      </c>
      <c r="Y252" s="8">
        <f>IFERROR(__xludf.DUMMYFUNCTION("""COMPUTED_VALUE"""),0.0)</f>
        <v>0</v>
      </c>
      <c r="Z252" s="8">
        <f>IFERROR(__xludf.DUMMYFUNCTION("""COMPUTED_VALUE"""),0.0)</f>
        <v>0</v>
      </c>
      <c r="AA252" s="8">
        <f>IFERROR(__xludf.DUMMYFUNCTION("""COMPUTED_VALUE"""),0.0)</f>
        <v>0</v>
      </c>
      <c r="AB252" s="8">
        <f>IFERROR(__xludf.DUMMYFUNCTION("""COMPUTED_VALUE"""),0.0)</f>
        <v>0</v>
      </c>
      <c r="AC252" s="8">
        <f>IFERROR(__xludf.DUMMYFUNCTION("""COMPUTED_VALUE"""),0.0)</f>
        <v>0</v>
      </c>
    </row>
    <row r="253" ht="15.75" customHeight="1">
      <c r="A253" s="6" t="str">
        <f>IFERROR(__xludf.DUMMYFUNCTION("""COMPUTED_VALUE"""),"e5b71f4b40481cb15ce33532df56be566352534e")</f>
        <v>e5b71f4b40481cb15ce33532df56be566352534e</v>
      </c>
      <c r="B253" s="6" t="str">
        <f>IFERROR(__xludf.DUMMYFUNCTION("""COMPUTED_VALUE"""),"Rewind and Rise")</f>
        <v>Rewind and Rise</v>
      </c>
      <c r="C253" s="6" t="str">
        <f>IFERROR(__xludf.DUMMYFUNCTION("""COMPUTED_VALUE"""),"Romantasy")</f>
        <v>Romantasy</v>
      </c>
      <c r="D253" s="11">
        <f>IFERROR(__xludf.DUMMYFUNCTION("""COMPUTED_VALUE"""),588.0)</f>
        <v>588</v>
      </c>
      <c r="E253" s="8">
        <f>IFERROR(__xludf.DUMMYFUNCTION("""COMPUTED_VALUE"""),0.959719789842381)</f>
        <v>0.9597197898</v>
      </c>
      <c r="F253" s="8">
        <f>IFERROR(__xludf.DUMMYFUNCTION("""COMPUTED_VALUE"""),0.5492700729927)</f>
        <v>0.549270073</v>
      </c>
      <c r="G253" s="8">
        <f>IFERROR(__xludf.DUMMYFUNCTION("""COMPUTED_VALUE"""),0.45437616387337)</f>
        <v>0.4543761639</v>
      </c>
      <c r="H253" s="8">
        <f>IFERROR(__xludf.DUMMYFUNCTION("""COMPUTED_VALUE"""),0.406976744186046)</f>
        <v>0.4069767442</v>
      </c>
      <c r="I253" s="8">
        <f>IFERROR(__xludf.DUMMYFUNCTION("""COMPUTED_VALUE"""),0.38715953307393)</f>
        <v>0.3871595331</v>
      </c>
      <c r="J253" s="8">
        <f>IFERROR(__xludf.DUMMYFUNCTION("""COMPUTED_VALUE"""),0.369261477045908)</f>
        <v>0.369261477</v>
      </c>
      <c r="K253" s="8">
        <f>IFERROR(__xludf.DUMMYFUNCTION("""COMPUTED_VALUE"""),0.35655737704918)</f>
        <v>0.356557377</v>
      </c>
      <c r="L253" s="8">
        <f>IFERROR(__xludf.DUMMYFUNCTION("""COMPUTED_VALUE"""),0.32235294117647)</f>
        <v>0.3223529412</v>
      </c>
      <c r="M253" s="8">
        <f>IFERROR(__xludf.DUMMYFUNCTION("""COMPUTED_VALUE"""),0.306569343065693)</f>
        <v>0.3065693431</v>
      </c>
      <c r="N253" s="8">
        <f>IFERROR(__xludf.DUMMYFUNCTION("""COMPUTED_VALUE"""),0.296202531645569)</f>
        <v>0.2962025316</v>
      </c>
      <c r="O253" s="8">
        <f>IFERROR(__xludf.DUMMYFUNCTION("""COMPUTED_VALUE"""),0.28909952606635)</f>
        <v>0.2890995261</v>
      </c>
      <c r="P253" s="8">
        <f>IFERROR(__xludf.DUMMYFUNCTION("""COMPUTED_VALUE"""),0.272727272727272)</f>
        <v>0.2727272727</v>
      </c>
      <c r="Q253" s="8">
        <f>IFERROR(__xludf.DUMMYFUNCTION("""COMPUTED_VALUE"""),0.0)</f>
        <v>0</v>
      </c>
      <c r="R253" s="8">
        <f>IFERROR(__xludf.DUMMYFUNCTION("""COMPUTED_VALUE"""),0.0)</f>
        <v>0</v>
      </c>
      <c r="S253" s="8">
        <f>IFERROR(__xludf.DUMMYFUNCTION("""COMPUTED_VALUE"""),0.0)</f>
        <v>0</v>
      </c>
      <c r="T253" s="8">
        <f>IFERROR(__xludf.DUMMYFUNCTION("""COMPUTED_VALUE"""),0.0)</f>
        <v>0</v>
      </c>
      <c r="U253" s="8">
        <f>IFERROR(__xludf.DUMMYFUNCTION("""COMPUTED_VALUE"""),0.0)</f>
        <v>0</v>
      </c>
      <c r="V253" s="8">
        <f>IFERROR(__xludf.DUMMYFUNCTION("""COMPUTED_VALUE"""),0.0)</f>
        <v>0</v>
      </c>
      <c r="W253" s="8">
        <f>IFERROR(__xludf.DUMMYFUNCTION("""COMPUTED_VALUE"""),0.0)</f>
        <v>0</v>
      </c>
      <c r="X253" s="8">
        <f>IFERROR(__xludf.DUMMYFUNCTION("""COMPUTED_VALUE"""),0.0)</f>
        <v>0</v>
      </c>
      <c r="Y253" s="8">
        <f>IFERROR(__xludf.DUMMYFUNCTION("""COMPUTED_VALUE"""),0.0)</f>
        <v>0</v>
      </c>
      <c r="Z253" s="8">
        <f>IFERROR(__xludf.DUMMYFUNCTION("""COMPUTED_VALUE"""),0.0)</f>
        <v>0</v>
      </c>
      <c r="AA253" s="8">
        <f>IFERROR(__xludf.DUMMYFUNCTION("""COMPUTED_VALUE"""),0.0)</f>
        <v>0</v>
      </c>
      <c r="AB253" s="8">
        <f>IFERROR(__xludf.DUMMYFUNCTION("""COMPUTED_VALUE"""),0.0)</f>
        <v>0</v>
      </c>
      <c r="AC253" s="8">
        <f>IFERROR(__xludf.DUMMYFUNCTION("""COMPUTED_VALUE"""),0.0)</f>
        <v>0</v>
      </c>
    </row>
    <row r="254" ht="15.75" customHeight="1">
      <c r="A254" s="6" t="str">
        <f>IFERROR(__xludf.DUMMYFUNCTION("""COMPUTED_VALUE"""),"e79ceb682265a42fb44c988f861c20672776f19d")</f>
        <v>e79ceb682265a42fb44c988f861c20672776f19d</v>
      </c>
      <c r="B254" s="6" t="str">
        <f>IFERROR(__xludf.DUMMYFUNCTION("""COMPUTED_VALUE"""),"Faction of Unity: Wyrmara")</f>
        <v>Faction of Unity: Wyrmara</v>
      </c>
      <c r="C254" s="6" t="str">
        <f>IFERROR(__xludf.DUMMYFUNCTION("""COMPUTED_VALUE"""),"Fantasy")</f>
        <v>Fantasy</v>
      </c>
      <c r="D254" s="11">
        <f>IFERROR(__xludf.DUMMYFUNCTION("""COMPUTED_VALUE"""),404.0)</f>
        <v>404</v>
      </c>
      <c r="E254" s="8">
        <f>IFERROR(__xludf.DUMMYFUNCTION("""COMPUTED_VALUE"""),0.972704714640198)</f>
        <v>0.9727047146</v>
      </c>
      <c r="F254" s="8">
        <f>IFERROR(__xludf.DUMMYFUNCTION("""COMPUTED_VALUE"""),0.43424317617866)</f>
        <v>0.4342431762</v>
      </c>
      <c r="G254" s="8">
        <f>IFERROR(__xludf.DUMMYFUNCTION("""COMPUTED_VALUE"""),0.344913151364764)</f>
        <v>0.3449131514</v>
      </c>
      <c r="H254" s="8">
        <f>IFERROR(__xludf.DUMMYFUNCTION("""COMPUTED_VALUE"""),0.293532338308457)</f>
        <v>0.2935323383</v>
      </c>
      <c r="I254" s="8">
        <f>IFERROR(__xludf.DUMMYFUNCTION("""COMPUTED_VALUE"""),0.26865671641791)</f>
        <v>0.2686567164</v>
      </c>
      <c r="J254" s="8">
        <f>IFERROR(__xludf.DUMMYFUNCTION("""COMPUTED_VALUE"""),0.238805970149253)</f>
        <v>0.2388059701</v>
      </c>
      <c r="K254" s="8">
        <f>IFERROR(__xludf.DUMMYFUNCTION("""COMPUTED_VALUE"""),0.22139303482587)</f>
        <v>0.2213930348</v>
      </c>
      <c r="L254" s="8">
        <f>IFERROR(__xludf.DUMMYFUNCTION("""COMPUTED_VALUE"""),0.19)</f>
        <v>0.19</v>
      </c>
      <c r="M254" s="8">
        <f>IFERROR(__xludf.DUMMYFUNCTION("""COMPUTED_VALUE"""),0.185463659147869)</f>
        <v>0.1854636591</v>
      </c>
      <c r="N254" s="8">
        <f>IFERROR(__xludf.DUMMYFUNCTION("""COMPUTED_VALUE"""),0.188442211055276)</f>
        <v>0.1884422111</v>
      </c>
      <c r="O254" s="8">
        <f>IFERROR(__xludf.DUMMYFUNCTION("""COMPUTED_VALUE"""),0.145502645502645)</f>
        <v>0.1455026455</v>
      </c>
      <c r="P254" s="8">
        <f>IFERROR(__xludf.DUMMYFUNCTION("""COMPUTED_VALUE"""),0.0625)</f>
        <v>0.0625</v>
      </c>
      <c r="Q254" s="8">
        <f>IFERROR(__xludf.DUMMYFUNCTION("""COMPUTED_VALUE"""),0.0421052631578947)</f>
        <v>0.04210526316</v>
      </c>
      <c r="R254" s="8">
        <f>IFERROR(__xludf.DUMMYFUNCTION("""COMPUTED_VALUE"""),0.0684931506849315)</f>
        <v>0.06849315068</v>
      </c>
      <c r="S254" s="8">
        <f>IFERROR(__xludf.DUMMYFUNCTION("""COMPUTED_VALUE"""),0.0)</f>
        <v>0</v>
      </c>
      <c r="T254" s="8">
        <f>IFERROR(__xludf.DUMMYFUNCTION("""COMPUTED_VALUE"""),0.0)</f>
        <v>0</v>
      </c>
      <c r="U254" s="8">
        <f>IFERROR(__xludf.DUMMYFUNCTION("""COMPUTED_VALUE"""),0.0)</f>
        <v>0</v>
      </c>
      <c r="V254" s="8">
        <f>IFERROR(__xludf.DUMMYFUNCTION("""COMPUTED_VALUE"""),0.0)</f>
        <v>0</v>
      </c>
      <c r="W254" s="8">
        <f>IFERROR(__xludf.DUMMYFUNCTION("""COMPUTED_VALUE"""),0.0)</f>
        <v>0</v>
      </c>
      <c r="X254" s="8">
        <f>IFERROR(__xludf.DUMMYFUNCTION("""COMPUTED_VALUE"""),0.0)</f>
        <v>0</v>
      </c>
      <c r="Y254" s="8">
        <f>IFERROR(__xludf.DUMMYFUNCTION("""COMPUTED_VALUE"""),0.0)</f>
        <v>0</v>
      </c>
      <c r="Z254" s="8">
        <f>IFERROR(__xludf.DUMMYFUNCTION("""COMPUTED_VALUE"""),0.0)</f>
        <v>0</v>
      </c>
      <c r="AA254" s="8">
        <f>IFERROR(__xludf.DUMMYFUNCTION("""COMPUTED_VALUE"""),0.0)</f>
        <v>0</v>
      </c>
      <c r="AB254" s="8">
        <f>IFERROR(__xludf.DUMMYFUNCTION("""COMPUTED_VALUE"""),0.0)</f>
        <v>0</v>
      </c>
      <c r="AC254" s="8">
        <f>IFERROR(__xludf.DUMMYFUNCTION("""COMPUTED_VALUE"""),0.0)</f>
        <v>0</v>
      </c>
    </row>
    <row r="255" ht="15.75" customHeight="1">
      <c r="A255" s="6" t="str">
        <f>IFERROR(__xludf.DUMMYFUNCTION("""COMPUTED_VALUE"""),"e7a3ee79841762542e0eb645666b039c707001f5")</f>
        <v>e7a3ee79841762542e0eb645666b039c707001f5</v>
      </c>
      <c r="B255" s="6" t="str">
        <f>IFERROR(__xludf.DUMMYFUNCTION("""COMPUTED_VALUE"""),"Masked Prince's Princess")</f>
        <v>Masked Prince's Princess</v>
      </c>
      <c r="C255" s="6" t="str">
        <f>IFERROR(__xludf.DUMMYFUNCTION("""COMPUTED_VALUE"""),"Romance")</f>
        <v>Romance</v>
      </c>
      <c r="D255" s="11">
        <f>IFERROR(__xludf.DUMMYFUNCTION("""COMPUTED_VALUE"""),537.0)</f>
        <v>537</v>
      </c>
      <c r="E255" s="8">
        <f>IFERROR(__xludf.DUMMYFUNCTION("""COMPUTED_VALUE"""),0.96743295019157)</f>
        <v>0.9674329502</v>
      </c>
      <c r="F255" s="8">
        <f>IFERROR(__xludf.DUMMYFUNCTION("""COMPUTED_VALUE"""),0.290060851926977)</f>
        <v>0.2900608519</v>
      </c>
      <c r="G255" s="8">
        <f>IFERROR(__xludf.DUMMYFUNCTION("""COMPUTED_VALUE"""),0.253549695740365)</f>
        <v>0.2535496957</v>
      </c>
      <c r="H255" s="8">
        <f>IFERROR(__xludf.DUMMYFUNCTION("""COMPUTED_VALUE"""),0.227956989247311)</f>
        <v>0.2279569892</v>
      </c>
      <c r="I255" s="8">
        <f>IFERROR(__xludf.DUMMYFUNCTION("""COMPUTED_VALUE"""),0.225247524752475)</f>
        <v>0.2252475248</v>
      </c>
      <c r="J255" s="8">
        <f>IFERROR(__xludf.DUMMYFUNCTION("""COMPUTED_VALUE"""),0.22077922077922)</f>
        <v>0.2207792208</v>
      </c>
      <c r="K255" s="8">
        <f>IFERROR(__xludf.DUMMYFUNCTION("""COMPUTED_VALUE"""),0.226775956284153)</f>
        <v>0.2267759563</v>
      </c>
      <c r="L255" s="8">
        <f>IFERROR(__xludf.DUMMYFUNCTION("""COMPUTED_VALUE"""),0.211864406779661)</f>
        <v>0.2118644068</v>
      </c>
      <c r="M255" s="8">
        <f>IFERROR(__xludf.DUMMYFUNCTION("""COMPUTED_VALUE"""),0.203389830508474)</f>
        <v>0.2033898305</v>
      </c>
      <c r="N255" s="8">
        <f>IFERROR(__xludf.DUMMYFUNCTION("""COMPUTED_VALUE"""),0.2)</f>
        <v>0.2</v>
      </c>
      <c r="O255" s="8">
        <f>IFERROR(__xludf.DUMMYFUNCTION("""COMPUTED_VALUE"""),0.186746987951807)</f>
        <v>0.186746988</v>
      </c>
      <c r="P255" s="8">
        <f>IFERROR(__xludf.DUMMYFUNCTION("""COMPUTED_VALUE"""),0.158576051779935)</f>
        <v>0.1585760518</v>
      </c>
      <c r="Q255" s="8">
        <f>IFERROR(__xludf.DUMMYFUNCTION("""COMPUTED_VALUE"""),0.102473498233215)</f>
        <v>0.1024734982</v>
      </c>
      <c r="R255" s="8">
        <f>IFERROR(__xludf.DUMMYFUNCTION("""COMPUTED_VALUE"""),0.135483870967741)</f>
        <v>0.135483871</v>
      </c>
      <c r="S255" s="8">
        <f>IFERROR(__xludf.DUMMYFUNCTION("""COMPUTED_VALUE"""),0.0952380952380952)</f>
        <v>0.09523809524</v>
      </c>
      <c r="T255" s="8">
        <f>IFERROR(__xludf.DUMMYFUNCTION("""COMPUTED_VALUE"""),0.0)</f>
        <v>0</v>
      </c>
      <c r="U255" s="8">
        <f>IFERROR(__xludf.DUMMYFUNCTION("""COMPUTED_VALUE"""),0.0)</f>
        <v>0</v>
      </c>
      <c r="V255" s="8">
        <f>IFERROR(__xludf.DUMMYFUNCTION("""COMPUTED_VALUE"""),0.0)</f>
        <v>0</v>
      </c>
      <c r="W255" s="8">
        <f>IFERROR(__xludf.DUMMYFUNCTION("""COMPUTED_VALUE"""),0.0)</f>
        <v>0</v>
      </c>
      <c r="X255" s="8">
        <f>IFERROR(__xludf.DUMMYFUNCTION("""COMPUTED_VALUE"""),0.0)</f>
        <v>0</v>
      </c>
      <c r="Y255" s="8">
        <f>IFERROR(__xludf.DUMMYFUNCTION("""COMPUTED_VALUE"""),0.0)</f>
        <v>0</v>
      </c>
      <c r="Z255" s="8">
        <f>IFERROR(__xludf.DUMMYFUNCTION("""COMPUTED_VALUE"""),0.0)</f>
        <v>0</v>
      </c>
      <c r="AA255" s="8">
        <f>IFERROR(__xludf.DUMMYFUNCTION("""COMPUTED_VALUE"""),0.0)</f>
        <v>0</v>
      </c>
      <c r="AB255" s="8">
        <f>IFERROR(__xludf.DUMMYFUNCTION("""COMPUTED_VALUE"""),0.0)</f>
        <v>0</v>
      </c>
      <c r="AC255" s="8">
        <f>IFERROR(__xludf.DUMMYFUNCTION("""COMPUTED_VALUE"""),0.0)</f>
        <v>0</v>
      </c>
    </row>
    <row r="256" ht="15.75" customHeight="1">
      <c r="A256" s="6" t="str">
        <f>IFERROR(__xludf.DUMMYFUNCTION("""COMPUTED_VALUE"""),"e835267a1c9909e759d530cea3d17b5999d86761")</f>
        <v>e835267a1c9909e759d530cea3d17b5999d86761</v>
      </c>
      <c r="B256" s="6" t="str">
        <f>IFERROR(__xludf.DUMMYFUNCTION("""COMPUTED_VALUE"""),"Her Lightness System")</f>
        <v>Her Lightness System</v>
      </c>
      <c r="C256" s="6" t="str">
        <f>IFERROR(__xludf.DUMMYFUNCTION("""COMPUTED_VALUE"""),"System and Superpower")</f>
        <v>System and Superpower</v>
      </c>
      <c r="D256" s="11">
        <f>IFERROR(__xludf.DUMMYFUNCTION("""COMPUTED_VALUE"""),391.0)</f>
        <v>391</v>
      </c>
      <c r="E256" s="8">
        <f>IFERROR(__xludf.DUMMYFUNCTION("""COMPUTED_VALUE"""),0.932614555256064)</f>
        <v>0.9326145553</v>
      </c>
      <c r="F256" s="8">
        <f>IFERROR(__xludf.DUMMYFUNCTION("""COMPUTED_VALUE"""),0.612426035502958)</f>
        <v>0.6124260355</v>
      </c>
      <c r="G256" s="8">
        <f>IFERROR(__xludf.DUMMYFUNCTION("""COMPUTED_VALUE"""),0.509316770186335)</f>
        <v>0.5093167702</v>
      </c>
      <c r="H256" s="8">
        <f>IFERROR(__xludf.DUMMYFUNCTION("""COMPUTED_VALUE"""),0.508532423208191)</f>
        <v>0.5085324232</v>
      </c>
      <c r="I256" s="8">
        <f>IFERROR(__xludf.DUMMYFUNCTION("""COMPUTED_VALUE"""),0.450704225352112)</f>
        <v>0.4507042254</v>
      </c>
      <c r="J256" s="8">
        <f>IFERROR(__xludf.DUMMYFUNCTION("""COMPUTED_VALUE"""),0.349442379182156)</f>
        <v>0.3494423792</v>
      </c>
      <c r="K256" s="8">
        <f>IFERROR(__xludf.DUMMYFUNCTION("""COMPUTED_VALUE"""),0.315384615384615)</f>
        <v>0.3153846154</v>
      </c>
      <c r="L256" s="8">
        <f>IFERROR(__xludf.DUMMYFUNCTION("""COMPUTED_VALUE"""),0.281746031746031)</f>
        <v>0.2817460317</v>
      </c>
      <c r="M256" s="8">
        <f>IFERROR(__xludf.DUMMYFUNCTION("""COMPUTED_VALUE"""),0.274193548387096)</f>
        <v>0.2741935484</v>
      </c>
      <c r="N256" s="8">
        <f>IFERROR(__xludf.DUMMYFUNCTION("""COMPUTED_VALUE"""),0.26639344262295)</f>
        <v>0.2663934426</v>
      </c>
      <c r="O256" s="8">
        <f>IFERROR(__xludf.DUMMYFUNCTION("""COMPUTED_VALUE"""),0.218884120171673)</f>
        <v>0.2188841202</v>
      </c>
      <c r="P256" s="8">
        <f>IFERROR(__xludf.DUMMYFUNCTION("""COMPUTED_VALUE"""),0.137339055793991)</f>
        <v>0.1373390558</v>
      </c>
      <c r="Q256" s="8">
        <f>IFERROR(__xludf.DUMMYFUNCTION("""COMPUTED_VALUE"""),0.0717703349282296)</f>
        <v>0.07177033493</v>
      </c>
      <c r="R256" s="8">
        <f>IFERROR(__xludf.DUMMYFUNCTION("""COMPUTED_VALUE"""),0.0743801652892562)</f>
        <v>0.07438016529</v>
      </c>
      <c r="S256" s="8">
        <f>IFERROR(__xludf.DUMMYFUNCTION("""COMPUTED_VALUE"""),0.0)</f>
        <v>0</v>
      </c>
      <c r="T256" s="8">
        <f>IFERROR(__xludf.DUMMYFUNCTION("""COMPUTED_VALUE"""),0.0)</f>
        <v>0</v>
      </c>
      <c r="U256" s="8">
        <f>IFERROR(__xludf.DUMMYFUNCTION("""COMPUTED_VALUE"""),0.0)</f>
        <v>0</v>
      </c>
      <c r="V256" s="8">
        <f>IFERROR(__xludf.DUMMYFUNCTION("""COMPUTED_VALUE"""),0.0)</f>
        <v>0</v>
      </c>
      <c r="W256" s="8">
        <f>IFERROR(__xludf.DUMMYFUNCTION("""COMPUTED_VALUE"""),0.0)</f>
        <v>0</v>
      </c>
      <c r="X256" s="8">
        <f>IFERROR(__xludf.DUMMYFUNCTION("""COMPUTED_VALUE"""),0.0)</f>
        <v>0</v>
      </c>
      <c r="Y256" s="8">
        <f>IFERROR(__xludf.DUMMYFUNCTION("""COMPUTED_VALUE"""),0.0)</f>
        <v>0</v>
      </c>
      <c r="Z256" s="8">
        <f>IFERROR(__xludf.DUMMYFUNCTION("""COMPUTED_VALUE"""),0.0)</f>
        <v>0</v>
      </c>
      <c r="AA256" s="8">
        <f>IFERROR(__xludf.DUMMYFUNCTION("""COMPUTED_VALUE"""),0.0)</f>
        <v>0</v>
      </c>
      <c r="AB256" s="8">
        <f>IFERROR(__xludf.DUMMYFUNCTION("""COMPUTED_VALUE"""),0.0)</f>
        <v>0</v>
      </c>
      <c r="AC256" s="8">
        <f>IFERROR(__xludf.DUMMYFUNCTION("""COMPUTED_VALUE"""),0.0)</f>
        <v>0</v>
      </c>
    </row>
    <row r="257" ht="15.75" customHeight="1">
      <c r="A257" s="6" t="str">
        <f>IFERROR(__xludf.DUMMYFUNCTION("""COMPUTED_VALUE"""),"e83bb9290a73242b13db9a4453b23f1b0ca9fed0")</f>
        <v>e83bb9290a73242b13db9a4453b23f1b0ca9fed0</v>
      </c>
      <c r="B257" s="6" t="str">
        <f>IFERROR(__xludf.DUMMYFUNCTION("""COMPUTED_VALUE"""),"The Baby He Denied")</f>
        <v>The Baby He Denied</v>
      </c>
      <c r="C257" s="6" t="str">
        <f>IFERROR(__xludf.DUMMYFUNCTION("""COMPUTED_VALUE"""),"Romance")</f>
        <v>Romance</v>
      </c>
      <c r="D257" s="11">
        <f>IFERROR(__xludf.DUMMYFUNCTION("""COMPUTED_VALUE"""),603.0)</f>
        <v>603</v>
      </c>
      <c r="E257" s="8">
        <f>IFERROR(__xludf.DUMMYFUNCTION("""COMPUTED_VALUE"""),0.945182724252491)</f>
        <v>0.9451827243</v>
      </c>
      <c r="F257" s="8">
        <f>IFERROR(__xludf.DUMMYFUNCTION("""COMPUTED_VALUE"""),0.56)</f>
        <v>0.56</v>
      </c>
      <c r="G257" s="8">
        <f>IFERROR(__xludf.DUMMYFUNCTION("""COMPUTED_VALUE"""),0.489966555183946)</f>
        <v>0.4899665552</v>
      </c>
      <c r="H257" s="8">
        <f>IFERROR(__xludf.DUMMYFUNCTION("""COMPUTED_VALUE"""),0.436454849498327)</f>
        <v>0.4364548495</v>
      </c>
      <c r="I257" s="8">
        <f>IFERROR(__xludf.DUMMYFUNCTION("""COMPUTED_VALUE"""),0.41038525963149)</f>
        <v>0.4103852596</v>
      </c>
      <c r="J257" s="8">
        <f>IFERROR(__xludf.DUMMYFUNCTION("""COMPUTED_VALUE"""),0.396984924623115)</f>
        <v>0.3969849246</v>
      </c>
      <c r="K257" s="8">
        <f>IFERROR(__xludf.DUMMYFUNCTION("""COMPUTED_VALUE"""),0.360134003350083)</f>
        <v>0.3601340034</v>
      </c>
      <c r="L257" s="8">
        <f>IFERROR(__xludf.DUMMYFUNCTION("""COMPUTED_VALUE"""),0.336148648648648)</f>
        <v>0.3361486486</v>
      </c>
      <c r="M257" s="8">
        <f>IFERROR(__xludf.DUMMYFUNCTION("""COMPUTED_VALUE"""),0.30560271646859)</f>
        <v>0.3056027165</v>
      </c>
      <c r="N257" s="8">
        <f>IFERROR(__xludf.DUMMYFUNCTION("""COMPUTED_VALUE"""),0.28839590443686)</f>
        <v>0.2883959044</v>
      </c>
      <c r="O257" s="8">
        <f>IFERROR(__xludf.DUMMYFUNCTION("""COMPUTED_VALUE"""),0.25187969924812)</f>
        <v>0.2518796992</v>
      </c>
      <c r="P257" s="8">
        <f>IFERROR(__xludf.DUMMYFUNCTION("""COMPUTED_VALUE"""),0.190123456790123)</f>
        <v>0.1901234568</v>
      </c>
      <c r="Q257" s="8">
        <f>IFERROR(__xludf.DUMMYFUNCTION("""COMPUTED_VALUE"""),0.0576923076923076)</f>
        <v>0.05769230769</v>
      </c>
      <c r="R257" s="8">
        <f>IFERROR(__xludf.DUMMYFUNCTION("""COMPUTED_VALUE"""),0.0)</f>
        <v>0</v>
      </c>
      <c r="S257" s="8">
        <f>IFERROR(__xludf.DUMMYFUNCTION("""COMPUTED_VALUE"""),0.0)</f>
        <v>0</v>
      </c>
      <c r="T257" s="8">
        <f>IFERROR(__xludf.DUMMYFUNCTION("""COMPUTED_VALUE"""),0.0)</f>
        <v>0</v>
      </c>
      <c r="U257" s="8">
        <f>IFERROR(__xludf.DUMMYFUNCTION("""COMPUTED_VALUE"""),0.0)</f>
        <v>0</v>
      </c>
      <c r="V257" s="8">
        <f>IFERROR(__xludf.DUMMYFUNCTION("""COMPUTED_VALUE"""),0.0)</f>
        <v>0</v>
      </c>
      <c r="W257" s="8">
        <f>IFERROR(__xludf.DUMMYFUNCTION("""COMPUTED_VALUE"""),0.0)</f>
        <v>0</v>
      </c>
      <c r="X257" s="8">
        <f>IFERROR(__xludf.DUMMYFUNCTION("""COMPUTED_VALUE"""),0.0)</f>
        <v>0</v>
      </c>
      <c r="Y257" s="8">
        <f>IFERROR(__xludf.DUMMYFUNCTION("""COMPUTED_VALUE"""),0.0)</f>
        <v>0</v>
      </c>
      <c r="Z257" s="8">
        <f>IFERROR(__xludf.DUMMYFUNCTION("""COMPUTED_VALUE"""),0.0)</f>
        <v>0</v>
      </c>
      <c r="AA257" s="8">
        <f>IFERROR(__xludf.DUMMYFUNCTION("""COMPUTED_VALUE"""),0.0)</f>
        <v>0</v>
      </c>
      <c r="AB257" s="8">
        <f>IFERROR(__xludf.DUMMYFUNCTION("""COMPUTED_VALUE"""),0.0)</f>
        <v>0</v>
      </c>
      <c r="AC257" s="8">
        <f>IFERROR(__xludf.DUMMYFUNCTION("""COMPUTED_VALUE"""),0.0)</f>
        <v>0</v>
      </c>
    </row>
    <row r="258" ht="15.75" customHeight="1">
      <c r="A258" s="6" t="str">
        <f>IFERROR(__xludf.DUMMYFUNCTION("""COMPUTED_VALUE"""),"e8df3cfef87feac45c4c024f9cbd7254cfc15952")</f>
        <v>e8df3cfef87feac45c4c024f9cbd7254cfc15952</v>
      </c>
      <c r="B258" s="6" t="str">
        <f>IFERROR(__xludf.DUMMYFUNCTION("""COMPUTED_VALUE"""),"Between Wolves and Lies")</f>
        <v>Between Wolves and Lies</v>
      </c>
      <c r="C258" s="6" t="str">
        <f>IFERROR(__xludf.DUMMYFUNCTION("""COMPUTED_VALUE"""),"Romantasy")</f>
        <v>Romantasy</v>
      </c>
      <c r="D258" s="11">
        <f>IFERROR(__xludf.DUMMYFUNCTION("""COMPUTED_VALUE"""),191.0)</f>
        <v>191</v>
      </c>
      <c r="E258" s="8">
        <f>IFERROR(__xludf.DUMMYFUNCTION("""COMPUTED_VALUE"""),0.968586387434554)</f>
        <v>0.9685863874</v>
      </c>
      <c r="F258" s="8">
        <f>IFERROR(__xludf.DUMMYFUNCTION("""COMPUTED_VALUE"""),0.424083769633507)</f>
        <v>0.4240837696</v>
      </c>
      <c r="G258" s="8">
        <f>IFERROR(__xludf.DUMMYFUNCTION("""COMPUTED_VALUE"""),0.37696335078534)</f>
        <v>0.3769633508</v>
      </c>
      <c r="H258" s="8">
        <f>IFERROR(__xludf.DUMMYFUNCTION("""COMPUTED_VALUE"""),0.308900523560209)</f>
        <v>0.3089005236</v>
      </c>
      <c r="I258" s="8">
        <f>IFERROR(__xludf.DUMMYFUNCTION("""COMPUTED_VALUE"""),0.277486910994764)</f>
        <v>0.277486911</v>
      </c>
      <c r="J258" s="8">
        <f>IFERROR(__xludf.DUMMYFUNCTION("""COMPUTED_VALUE"""),0.246073298429319)</f>
        <v>0.2460732984</v>
      </c>
      <c r="K258" s="8">
        <f>IFERROR(__xludf.DUMMYFUNCTION("""COMPUTED_VALUE"""),0.225130890052356)</f>
        <v>0.2251308901</v>
      </c>
      <c r="L258" s="8">
        <f>IFERROR(__xludf.DUMMYFUNCTION("""COMPUTED_VALUE"""),0.18848167539267)</f>
        <v>0.1884816754</v>
      </c>
      <c r="M258" s="8">
        <f>IFERROR(__xludf.DUMMYFUNCTION("""COMPUTED_VALUE"""),0.172774869109947)</f>
        <v>0.1727748691</v>
      </c>
      <c r="N258" s="8">
        <f>IFERROR(__xludf.DUMMYFUNCTION("""COMPUTED_VALUE"""),0.162303664921465)</f>
        <v>0.1623036649</v>
      </c>
      <c r="O258" s="8">
        <f>IFERROR(__xludf.DUMMYFUNCTION("""COMPUTED_VALUE"""),0.115183246073298)</f>
        <v>0.1151832461</v>
      </c>
      <c r="P258" s="8">
        <f>IFERROR(__xludf.DUMMYFUNCTION("""COMPUTED_VALUE"""),0.0427807486631016)</f>
        <v>0.04278074866</v>
      </c>
      <c r="Q258" s="8">
        <f>IFERROR(__xludf.DUMMYFUNCTION("""COMPUTED_VALUE"""),0.0)</f>
        <v>0</v>
      </c>
      <c r="R258" s="8">
        <f>IFERROR(__xludf.DUMMYFUNCTION("""COMPUTED_VALUE"""),0.0)</f>
        <v>0</v>
      </c>
      <c r="S258" s="8">
        <f>IFERROR(__xludf.DUMMYFUNCTION("""COMPUTED_VALUE"""),0.0)</f>
        <v>0</v>
      </c>
      <c r="T258" s="8">
        <f>IFERROR(__xludf.DUMMYFUNCTION("""COMPUTED_VALUE"""),0.0)</f>
        <v>0</v>
      </c>
      <c r="U258" s="8">
        <f>IFERROR(__xludf.DUMMYFUNCTION("""COMPUTED_VALUE"""),0.0)</f>
        <v>0</v>
      </c>
      <c r="V258" s="8">
        <f>IFERROR(__xludf.DUMMYFUNCTION("""COMPUTED_VALUE"""),0.0)</f>
        <v>0</v>
      </c>
      <c r="W258" s="8">
        <f>IFERROR(__xludf.DUMMYFUNCTION("""COMPUTED_VALUE"""),0.0)</f>
        <v>0</v>
      </c>
      <c r="X258" s="8">
        <f>IFERROR(__xludf.DUMMYFUNCTION("""COMPUTED_VALUE"""),0.0)</f>
        <v>0</v>
      </c>
      <c r="Y258" s="8">
        <f>IFERROR(__xludf.DUMMYFUNCTION("""COMPUTED_VALUE"""),0.0)</f>
        <v>0</v>
      </c>
      <c r="Z258" s="8">
        <f>IFERROR(__xludf.DUMMYFUNCTION("""COMPUTED_VALUE"""),0.0)</f>
        <v>0</v>
      </c>
      <c r="AA258" s="8">
        <f>IFERROR(__xludf.DUMMYFUNCTION("""COMPUTED_VALUE"""),0.0)</f>
        <v>0</v>
      </c>
      <c r="AB258" s="8">
        <f>IFERROR(__xludf.DUMMYFUNCTION("""COMPUTED_VALUE"""),0.0)</f>
        <v>0</v>
      </c>
      <c r="AC258" s="8">
        <f>IFERROR(__xludf.DUMMYFUNCTION("""COMPUTED_VALUE"""),0.0)</f>
        <v>0</v>
      </c>
    </row>
    <row r="259" ht="15.75" customHeight="1">
      <c r="A259" s="6" t="str">
        <f>IFERROR(__xludf.DUMMYFUNCTION("""COMPUTED_VALUE"""),"ed37d82285cfdcacdd3008ef7825d877fd575b57")</f>
        <v>ed37d82285cfdcacdd3008ef7825d877fd575b57</v>
      </c>
      <c r="B259" s="6" t="str">
        <f>IFERROR(__xludf.DUMMYFUNCTION("""COMPUTED_VALUE"""),"Charade")</f>
        <v>Charade</v>
      </c>
      <c r="C259" s="6" t="str">
        <f>IFERROR(__xludf.DUMMYFUNCTION("""COMPUTED_VALUE"""),"Fantasy")</f>
        <v>Fantasy</v>
      </c>
      <c r="D259" s="11">
        <f>IFERROR(__xludf.DUMMYFUNCTION("""COMPUTED_VALUE"""),21.0)</f>
        <v>21</v>
      </c>
      <c r="E259" s="8">
        <f>IFERROR(__xludf.DUMMYFUNCTION("""COMPUTED_VALUE"""),0.904761904761904)</f>
        <v>0.9047619048</v>
      </c>
      <c r="F259" s="8">
        <f>IFERROR(__xludf.DUMMYFUNCTION("""COMPUTED_VALUE"""),0.238095238095238)</f>
        <v>0.2380952381</v>
      </c>
      <c r="G259" s="8">
        <f>IFERROR(__xludf.DUMMYFUNCTION("""COMPUTED_VALUE"""),0.238095238095238)</f>
        <v>0.2380952381</v>
      </c>
      <c r="H259" s="8">
        <f>IFERROR(__xludf.DUMMYFUNCTION("""COMPUTED_VALUE"""),0.238095238095238)</f>
        <v>0.2380952381</v>
      </c>
      <c r="I259" s="8">
        <f>IFERROR(__xludf.DUMMYFUNCTION("""COMPUTED_VALUE"""),0.238095238095238)</f>
        <v>0.2380952381</v>
      </c>
      <c r="J259" s="8">
        <f>IFERROR(__xludf.DUMMYFUNCTION("""COMPUTED_VALUE"""),0.142857142857142)</f>
        <v>0.1428571429</v>
      </c>
      <c r="K259" s="8">
        <f>IFERROR(__xludf.DUMMYFUNCTION("""COMPUTED_VALUE"""),0.142857142857142)</f>
        <v>0.1428571429</v>
      </c>
      <c r="L259" s="8">
        <f>IFERROR(__xludf.DUMMYFUNCTION("""COMPUTED_VALUE"""),0.19047619047619)</f>
        <v>0.1904761905</v>
      </c>
      <c r="M259" s="8">
        <f>IFERROR(__xludf.DUMMYFUNCTION("""COMPUTED_VALUE"""),0.142857142857142)</f>
        <v>0.1428571429</v>
      </c>
      <c r="N259" s="8">
        <f>IFERROR(__xludf.DUMMYFUNCTION("""COMPUTED_VALUE"""),0.142857142857142)</f>
        <v>0.1428571429</v>
      </c>
      <c r="O259" s="8">
        <f>IFERROR(__xludf.DUMMYFUNCTION("""COMPUTED_VALUE"""),0.142857142857142)</f>
        <v>0.1428571429</v>
      </c>
      <c r="P259" s="8">
        <f>IFERROR(__xludf.DUMMYFUNCTION("""COMPUTED_VALUE"""),0.0952380952380952)</f>
        <v>0.09523809524</v>
      </c>
      <c r="Q259" s="8">
        <f>IFERROR(__xludf.DUMMYFUNCTION("""COMPUTED_VALUE"""),0.0714285714285714)</f>
        <v>0.07142857143</v>
      </c>
      <c r="R259" s="8">
        <f>IFERROR(__xludf.DUMMYFUNCTION("""COMPUTED_VALUE"""),0.0)</f>
        <v>0</v>
      </c>
      <c r="S259" s="8">
        <f>IFERROR(__xludf.DUMMYFUNCTION("""COMPUTED_VALUE"""),0.0)</f>
        <v>0</v>
      </c>
      <c r="T259" s="8">
        <f>IFERROR(__xludf.DUMMYFUNCTION("""COMPUTED_VALUE"""),0.0)</f>
        <v>0</v>
      </c>
      <c r="U259" s="8">
        <f>IFERROR(__xludf.DUMMYFUNCTION("""COMPUTED_VALUE"""),0.0)</f>
        <v>0</v>
      </c>
      <c r="V259" s="8">
        <f>IFERROR(__xludf.DUMMYFUNCTION("""COMPUTED_VALUE"""),0.0)</f>
        <v>0</v>
      </c>
      <c r="W259" s="8">
        <f>IFERROR(__xludf.DUMMYFUNCTION("""COMPUTED_VALUE"""),0.0)</f>
        <v>0</v>
      </c>
      <c r="X259" s="8">
        <f>IFERROR(__xludf.DUMMYFUNCTION("""COMPUTED_VALUE"""),0.0)</f>
        <v>0</v>
      </c>
      <c r="Y259" s="8">
        <f>IFERROR(__xludf.DUMMYFUNCTION("""COMPUTED_VALUE"""),0.0)</f>
        <v>0</v>
      </c>
      <c r="Z259" s="8">
        <f>IFERROR(__xludf.DUMMYFUNCTION("""COMPUTED_VALUE"""),0.0)</f>
        <v>0</v>
      </c>
      <c r="AA259" s="8">
        <f>IFERROR(__xludf.DUMMYFUNCTION("""COMPUTED_VALUE"""),0.0)</f>
        <v>0</v>
      </c>
      <c r="AB259" s="8">
        <f>IFERROR(__xludf.DUMMYFUNCTION("""COMPUTED_VALUE"""),0.0)</f>
        <v>0</v>
      </c>
      <c r="AC259" s="8">
        <f>IFERROR(__xludf.DUMMYFUNCTION("""COMPUTED_VALUE"""),0.0)</f>
        <v>0</v>
      </c>
    </row>
    <row r="260" ht="15.75" customHeight="1">
      <c r="A260" s="6" t="str">
        <f>IFERROR(__xludf.DUMMYFUNCTION("""COMPUTED_VALUE"""),"ee2e216e3dceba69118e501b055c3b7b9a0335a3")</f>
        <v>ee2e216e3dceba69118e501b055c3b7b9a0335a3</v>
      </c>
      <c r="B260" s="6" t="str">
        <f>IFERROR(__xludf.DUMMYFUNCTION("""COMPUTED_VALUE"""),"Kyan's System Awakening")</f>
        <v>Kyan's System Awakening</v>
      </c>
      <c r="C260" s="6" t="str">
        <f>IFERROR(__xludf.DUMMYFUNCTION("""COMPUTED_VALUE"""),"Fantasy")</f>
        <v>Fantasy</v>
      </c>
      <c r="D260" s="11">
        <f>IFERROR(__xludf.DUMMYFUNCTION("""COMPUTED_VALUE"""),7560.0)</f>
        <v>7560</v>
      </c>
      <c r="E260" s="8">
        <f>IFERROR(__xludf.DUMMYFUNCTION("""COMPUTED_VALUE"""),0.961191214122086)</f>
        <v>0.9611912141</v>
      </c>
      <c r="F260" s="8">
        <f>IFERROR(__xludf.DUMMYFUNCTION("""COMPUTED_VALUE"""),0.548888888888888)</f>
        <v>0.5488888889</v>
      </c>
      <c r="G260" s="8">
        <f>IFERROR(__xludf.DUMMYFUNCTION("""COMPUTED_VALUE"""),0.485269121813031)</f>
        <v>0.4852691218</v>
      </c>
      <c r="H260" s="8">
        <f>IFERROR(__xludf.DUMMYFUNCTION("""COMPUTED_VALUE"""),0.466290509259259)</f>
        <v>0.4662905093</v>
      </c>
      <c r="I260" s="8">
        <f>IFERROR(__xludf.DUMMYFUNCTION("""COMPUTED_VALUE"""),0.444756277695716)</f>
        <v>0.4447562777</v>
      </c>
      <c r="J260" s="8">
        <f>IFERROR(__xludf.DUMMYFUNCTION("""COMPUTED_VALUE"""),0.427234299516908)</f>
        <v>0.4272342995</v>
      </c>
      <c r="K260" s="8">
        <f>IFERROR(__xludf.DUMMYFUNCTION("""COMPUTED_VALUE"""),0.40920245398773)</f>
        <v>0.409202454</v>
      </c>
      <c r="L260" s="8">
        <f>IFERROR(__xludf.DUMMYFUNCTION("""COMPUTED_VALUE"""),0.393136947665308)</f>
        <v>0.3931369477</v>
      </c>
      <c r="M260" s="8">
        <f>IFERROR(__xludf.DUMMYFUNCTION("""COMPUTED_VALUE"""),0.378512132822477)</f>
        <v>0.3785121328</v>
      </c>
      <c r="N260" s="8">
        <f>IFERROR(__xludf.DUMMYFUNCTION("""COMPUTED_VALUE"""),0.370764445899492)</f>
        <v>0.3707644459</v>
      </c>
      <c r="O260" s="8">
        <f>IFERROR(__xludf.DUMMYFUNCTION("""COMPUTED_VALUE"""),0.341973708572486)</f>
        <v>0.3419737086</v>
      </c>
      <c r="P260" s="8">
        <f>IFERROR(__xludf.DUMMYFUNCTION("""COMPUTED_VALUE"""),0.264888041924726)</f>
        <v>0.2648880419</v>
      </c>
      <c r="Q260" s="8">
        <f>IFERROR(__xludf.DUMMYFUNCTION("""COMPUTED_VALUE"""),0.202273618188945)</f>
        <v>0.2022736182</v>
      </c>
      <c r="R260" s="8">
        <f>IFERROR(__xludf.DUMMYFUNCTION("""COMPUTED_VALUE"""),0.130875576036866)</f>
        <v>0.130875576</v>
      </c>
      <c r="S260" s="8">
        <f>IFERROR(__xludf.DUMMYFUNCTION("""COMPUTED_VALUE"""),0.0832072617246596)</f>
        <v>0.08320726172</v>
      </c>
      <c r="T260" s="8">
        <f>IFERROR(__xludf.DUMMYFUNCTION("""COMPUTED_VALUE"""),0.0517711171662125)</f>
        <v>0.05177111717</v>
      </c>
      <c r="U260" s="8">
        <f>IFERROR(__xludf.DUMMYFUNCTION("""COMPUTED_VALUE"""),0.0)</f>
        <v>0</v>
      </c>
      <c r="V260" s="8">
        <f>IFERROR(__xludf.DUMMYFUNCTION("""COMPUTED_VALUE"""),0.0)</f>
        <v>0</v>
      </c>
      <c r="W260" s="8">
        <f>IFERROR(__xludf.DUMMYFUNCTION("""COMPUTED_VALUE"""),0.0)</f>
        <v>0</v>
      </c>
      <c r="X260" s="8">
        <f>IFERROR(__xludf.DUMMYFUNCTION("""COMPUTED_VALUE"""),0.0)</f>
        <v>0</v>
      </c>
      <c r="Y260" s="8">
        <f>IFERROR(__xludf.DUMMYFUNCTION("""COMPUTED_VALUE"""),0.0)</f>
        <v>0</v>
      </c>
      <c r="Z260" s="8">
        <f>IFERROR(__xludf.DUMMYFUNCTION("""COMPUTED_VALUE"""),0.0)</f>
        <v>0</v>
      </c>
      <c r="AA260" s="8">
        <f>IFERROR(__xludf.DUMMYFUNCTION("""COMPUTED_VALUE"""),0.0)</f>
        <v>0</v>
      </c>
      <c r="AB260" s="8">
        <f>IFERROR(__xludf.DUMMYFUNCTION("""COMPUTED_VALUE"""),0.0)</f>
        <v>0</v>
      </c>
      <c r="AC260" s="8">
        <f>IFERROR(__xludf.DUMMYFUNCTION("""COMPUTED_VALUE"""),0.0)</f>
        <v>0</v>
      </c>
    </row>
    <row r="261" ht="15.75" customHeight="1">
      <c r="A261" s="6" t="str">
        <f>IFERROR(__xludf.DUMMYFUNCTION("""COMPUTED_VALUE"""),"ef47552b570f8fc4cc243b88fae469ea12c31df0")</f>
        <v>ef47552b570f8fc4cc243b88fae469ea12c31df0</v>
      </c>
      <c r="B261" s="6" t="str">
        <f>IFERROR(__xludf.DUMMYFUNCTION("""COMPUTED_VALUE"""),"Mated to Enemy’s Luna")</f>
        <v>Mated to Enemy’s Luna</v>
      </c>
      <c r="C261" s="6" t="str">
        <f>IFERROR(__xludf.DUMMYFUNCTION("""COMPUTED_VALUE"""),"Romantasy")</f>
        <v>Romantasy</v>
      </c>
      <c r="D261" s="11">
        <f>IFERROR(__xludf.DUMMYFUNCTION("""COMPUTED_VALUE"""),208.0)</f>
        <v>208</v>
      </c>
      <c r="E261" s="8">
        <f>IFERROR(__xludf.DUMMYFUNCTION("""COMPUTED_VALUE"""),0.956730769230769)</f>
        <v>0.9567307692</v>
      </c>
      <c r="F261" s="8">
        <f>IFERROR(__xludf.DUMMYFUNCTION("""COMPUTED_VALUE"""),0.399038461538461)</f>
        <v>0.3990384615</v>
      </c>
      <c r="G261" s="8">
        <f>IFERROR(__xludf.DUMMYFUNCTION("""COMPUTED_VALUE"""),0.350961538461538)</f>
        <v>0.3509615385</v>
      </c>
      <c r="H261" s="8">
        <f>IFERROR(__xludf.DUMMYFUNCTION("""COMPUTED_VALUE"""),0.346153846153846)</f>
        <v>0.3461538462</v>
      </c>
      <c r="I261" s="8">
        <f>IFERROR(__xludf.DUMMYFUNCTION("""COMPUTED_VALUE"""),0.3125)</f>
        <v>0.3125</v>
      </c>
      <c r="J261" s="8">
        <f>IFERROR(__xludf.DUMMYFUNCTION("""COMPUTED_VALUE"""),0.283653846153846)</f>
        <v>0.2836538462</v>
      </c>
      <c r="K261" s="8">
        <f>IFERROR(__xludf.DUMMYFUNCTION("""COMPUTED_VALUE"""),0.259615384615384)</f>
        <v>0.2596153846</v>
      </c>
      <c r="L261" s="8">
        <f>IFERROR(__xludf.DUMMYFUNCTION("""COMPUTED_VALUE"""),0.241545893719806)</f>
        <v>0.2415458937</v>
      </c>
      <c r="M261" s="8">
        <f>IFERROR(__xludf.DUMMYFUNCTION("""COMPUTED_VALUE"""),0.222222222222222)</f>
        <v>0.2222222222</v>
      </c>
      <c r="N261" s="8">
        <f>IFERROR(__xludf.DUMMYFUNCTION("""COMPUTED_VALUE"""),0.202898550724637)</f>
        <v>0.2028985507</v>
      </c>
      <c r="O261" s="8">
        <f>IFERROR(__xludf.DUMMYFUNCTION("""COMPUTED_VALUE"""),0.15625)</f>
        <v>0.15625</v>
      </c>
      <c r="P261" s="8">
        <f>IFERROR(__xludf.DUMMYFUNCTION("""COMPUTED_VALUE"""),0.1005291005291)</f>
        <v>0.1005291005</v>
      </c>
      <c r="Q261" s="8">
        <f>IFERROR(__xludf.DUMMYFUNCTION("""COMPUTED_VALUE"""),0.0338983050847457)</f>
        <v>0.03389830508</v>
      </c>
      <c r="R261" s="8">
        <f>IFERROR(__xludf.DUMMYFUNCTION("""COMPUTED_VALUE"""),0.0284090909090909)</f>
        <v>0.02840909091</v>
      </c>
      <c r="S261" s="8">
        <f>IFERROR(__xludf.DUMMYFUNCTION("""COMPUTED_VALUE"""),0.0)</f>
        <v>0</v>
      </c>
      <c r="T261" s="8">
        <f>IFERROR(__xludf.DUMMYFUNCTION("""COMPUTED_VALUE"""),0.0)</f>
        <v>0</v>
      </c>
      <c r="U261" s="8">
        <f>IFERROR(__xludf.DUMMYFUNCTION("""COMPUTED_VALUE"""),0.0)</f>
        <v>0</v>
      </c>
      <c r="V261" s="8">
        <f>IFERROR(__xludf.DUMMYFUNCTION("""COMPUTED_VALUE"""),0.0)</f>
        <v>0</v>
      </c>
      <c r="W261" s="8">
        <f>IFERROR(__xludf.DUMMYFUNCTION("""COMPUTED_VALUE"""),0.0)</f>
        <v>0</v>
      </c>
      <c r="X261" s="8">
        <f>IFERROR(__xludf.DUMMYFUNCTION("""COMPUTED_VALUE"""),0.0)</f>
        <v>0</v>
      </c>
      <c r="Y261" s="8">
        <f>IFERROR(__xludf.DUMMYFUNCTION("""COMPUTED_VALUE"""),0.0)</f>
        <v>0</v>
      </c>
      <c r="Z261" s="8">
        <f>IFERROR(__xludf.DUMMYFUNCTION("""COMPUTED_VALUE"""),0.0)</f>
        <v>0</v>
      </c>
      <c r="AA261" s="8">
        <f>IFERROR(__xludf.DUMMYFUNCTION("""COMPUTED_VALUE"""),0.0)</f>
        <v>0</v>
      </c>
      <c r="AB261" s="8">
        <f>IFERROR(__xludf.DUMMYFUNCTION("""COMPUTED_VALUE"""),0.0)</f>
        <v>0</v>
      </c>
      <c r="AC261" s="8">
        <f>IFERROR(__xludf.DUMMYFUNCTION("""COMPUTED_VALUE"""),0.0)</f>
        <v>0</v>
      </c>
    </row>
    <row r="262" ht="15.75" customHeight="1">
      <c r="A262" s="6" t="str">
        <f>IFERROR(__xludf.DUMMYFUNCTION("""COMPUTED_VALUE"""),"efc5ab9117a97ffce6537344dcb0416ed5ff0dc1")</f>
        <v>efc5ab9117a97ffce6537344dcb0416ed5ff0dc1</v>
      </c>
      <c r="B262" s="6" t="str">
        <f>IFERROR(__xludf.DUMMYFUNCTION("""COMPUTED_VALUE"""),"Imperial Clan Descends")</f>
        <v>Imperial Clan Descends</v>
      </c>
      <c r="C262" s="6" t="str">
        <f>IFERROR(__xludf.DUMMYFUNCTION("""COMPUTED_VALUE"""),"Drama")</f>
        <v>Drama</v>
      </c>
      <c r="D262" s="11">
        <f>IFERROR(__xludf.DUMMYFUNCTION("""COMPUTED_VALUE"""),559.0)</f>
        <v>559</v>
      </c>
      <c r="E262" s="8">
        <f>IFERROR(__xludf.DUMMYFUNCTION("""COMPUTED_VALUE"""),0.966666666666666)</f>
        <v>0.9666666667</v>
      </c>
      <c r="F262" s="8">
        <f>IFERROR(__xludf.DUMMYFUNCTION("""COMPUTED_VALUE"""),0.407322654462242)</f>
        <v>0.4073226545</v>
      </c>
      <c r="G262" s="8">
        <f>IFERROR(__xludf.DUMMYFUNCTION("""COMPUTED_VALUE"""),0.344059405940594)</f>
        <v>0.3440594059</v>
      </c>
      <c r="H262" s="8">
        <f>IFERROR(__xludf.DUMMYFUNCTION("""COMPUTED_VALUE"""),0.312)</f>
        <v>0.312</v>
      </c>
      <c r="I262" s="8">
        <f>IFERROR(__xludf.DUMMYFUNCTION("""COMPUTED_VALUE"""),0.28021978021978)</f>
        <v>0.2802197802</v>
      </c>
      <c r="J262" s="8">
        <f>IFERROR(__xludf.DUMMYFUNCTION("""COMPUTED_VALUE"""),0.241279069767441)</f>
        <v>0.2412790698</v>
      </c>
      <c r="K262" s="8">
        <f>IFERROR(__xludf.DUMMYFUNCTION("""COMPUTED_VALUE"""),0.217910447761194)</f>
        <v>0.2179104478</v>
      </c>
      <c r="L262" s="8">
        <f>IFERROR(__xludf.DUMMYFUNCTION("""COMPUTED_VALUE"""),0.195583596214511)</f>
        <v>0.1955835962</v>
      </c>
      <c r="M262" s="8">
        <f>IFERROR(__xludf.DUMMYFUNCTION("""COMPUTED_VALUE"""),0.192926045016077)</f>
        <v>0.192926045</v>
      </c>
      <c r="N262" s="8">
        <f>IFERROR(__xludf.DUMMYFUNCTION("""COMPUTED_VALUE"""),0.180887372013651)</f>
        <v>0.180887372</v>
      </c>
      <c r="O262" s="8">
        <f>IFERROR(__xludf.DUMMYFUNCTION("""COMPUTED_VALUE"""),0.129310344827586)</f>
        <v>0.1293103448</v>
      </c>
      <c r="P262" s="8">
        <f>IFERROR(__xludf.DUMMYFUNCTION("""COMPUTED_VALUE"""),0.11353711790393)</f>
        <v>0.1135371179</v>
      </c>
      <c r="Q262" s="8">
        <f>IFERROR(__xludf.DUMMYFUNCTION("""COMPUTED_VALUE"""),0.0848214285714285)</f>
        <v>0.08482142857</v>
      </c>
      <c r="R262" s="8">
        <f>IFERROR(__xludf.DUMMYFUNCTION("""COMPUTED_VALUE"""),0.0769230769230769)</f>
        <v>0.07692307692</v>
      </c>
      <c r="S262" s="8">
        <f>IFERROR(__xludf.DUMMYFUNCTION("""COMPUTED_VALUE"""),0.0)</f>
        <v>0</v>
      </c>
      <c r="T262" s="8">
        <f>IFERROR(__xludf.DUMMYFUNCTION("""COMPUTED_VALUE"""),0.0)</f>
        <v>0</v>
      </c>
      <c r="U262" s="8">
        <f>IFERROR(__xludf.DUMMYFUNCTION("""COMPUTED_VALUE"""),0.0)</f>
        <v>0</v>
      </c>
      <c r="V262" s="8">
        <f>IFERROR(__xludf.DUMMYFUNCTION("""COMPUTED_VALUE"""),0.0)</f>
        <v>0</v>
      </c>
      <c r="W262" s="8">
        <f>IFERROR(__xludf.DUMMYFUNCTION("""COMPUTED_VALUE"""),0.0)</f>
        <v>0</v>
      </c>
      <c r="X262" s="8">
        <f>IFERROR(__xludf.DUMMYFUNCTION("""COMPUTED_VALUE"""),0.0)</f>
        <v>0</v>
      </c>
      <c r="Y262" s="8">
        <f>IFERROR(__xludf.DUMMYFUNCTION("""COMPUTED_VALUE"""),0.0)</f>
        <v>0</v>
      </c>
      <c r="Z262" s="8">
        <f>IFERROR(__xludf.DUMMYFUNCTION("""COMPUTED_VALUE"""),0.0)</f>
        <v>0</v>
      </c>
      <c r="AA262" s="8">
        <f>IFERROR(__xludf.DUMMYFUNCTION("""COMPUTED_VALUE"""),0.0)</f>
        <v>0</v>
      </c>
      <c r="AB262" s="8">
        <f>IFERROR(__xludf.DUMMYFUNCTION("""COMPUTED_VALUE"""),0.0)</f>
        <v>0</v>
      </c>
      <c r="AC262" s="8">
        <f>IFERROR(__xludf.DUMMYFUNCTION("""COMPUTED_VALUE"""),0.0)</f>
        <v>0</v>
      </c>
    </row>
    <row r="263" ht="15.75" customHeight="1">
      <c r="A263" s="6" t="str">
        <f>IFERROR(__xludf.DUMMYFUNCTION("""COMPUTED_VALUE"""),"f06451dc56081680609a77b52825c3da76e8ae66")</f>
        <v>f06451dc56081680609a77b52825c3da76e8ae66</v>
      </c>
      <c r="B263" s="6" t="str">
        <f>IFERROR(__xludf.DUMMYFUNCTION("""COMPUTED_VALUE"""),"Her Exit, His Regret")</f>
        <v>Her Exit, His Regret</v>
      </c>
      <c r="C263" s="6" t="str">
        <f>IFERROR(__xludf.DUMMYFUNCTION("""COMPUTED_VALUE"""),"Romance")</f>
        <v>Romance</v>
      </c>
      <c r="D263" s="11">
        <f>IFERROR(__xludf.DUMMYFUNCTION("""COMPUTED_VALUE"""),333.0)</f>
        <v>333</v>
      </c>
      <c r="E263" s="8">
        <f>IFERROR(__xludf.DUMMYFUNCTION("""COMPUTED_VALUE"""),0.957957957957957)</f>
        <v>0.957957958</v>
      </c>
      <c r="F263" s="8">
        <f>IFERROR(__xludf.DUMMYFUNCTION("""COMPUTED_VALUE"""),0.471299093655589)</f>
        <v>0.4712990937</v>
      </c>
      <c r="G263" s="8">
        <f>IFERROR(__xludf.DUMMYFUNCTION("""COMPUTED_VALUE"""),0.386706948640483)</f>
        <v>0.3867069486</v>
      </c>
      <c r="H263" s="8">
        <f>IFERROR(__xludf.DUMMYFUNCTION("""COMPUTED_VALUE"""),0.335347432024169)</f>
        <v>0.335347432</v>
      </c>
      <c r="I263" s="8">
        <f>IFERROR(__xludf.DUMMYFUNCTION("""COMPUTED_VALUE"""),0.274924471299093)</f>
        <v>0.2749244713</v>
      </c>
      <c r="J263" s="8">
        <f>IFERROR(__xludf.DUMMYFUNCTION("""COMPUTED_VALUE"""),0.227272727272727)</f>
        <v>0.2272727273</v>
      </c>
      <c r="K263" s="8">
        <f>IFERROR(__xludf.DUMMYFUNCTION("""COMPUTED_VALUE"""),0.227272727272727)</f>
        <v>0.2272727273</v>
      </c>
      <c r="L263" s="8">
        <f>IFERROR(__xludf.DUMMYFUNCTION("""COMPUTED_VALUE"""),0.188271604938271)</f>
        <v>0.1882716049</v>
      </c>
      <c r="M263" s="8">
        <f>IFERROR(__xludf.DUMMYFUNCTION("""COMPUTED_VALUE"""),0.175925925925925)</f>
        <v>0.1759259259</v>
      </c>
      <c r="N263" s="8">
        <f>IFERROR(__xludf.DUMMYFUNCTION("""COMPUTED_VALUE"""),0.169753086419753)</f>
        <v>0.1697530864</v>
      </c>
      <c r="O263" s="8">
        <f>IFERROR(__xludf.DUMMYFUNCTION("""COMPUTED_VALUE"""),0.133540372670807)</f>
        <v>0.1335403727</v>
      </c>
      <c r="P263" s="8">
        <f>IFERROR(__xludf.DUMMYFUNCTION("""COMPUTED_VALUE"""),0.0878378378378378)</f>
        <v>0.08783783784</v>
      </c>
      <c r="Q263" s="8">
        <f>IFERROR(__xludf.DUMMYFUNCTION("""COMPUTED_VALUE"""),0.053763440860215)</f>
        <v>0.05376344086</v>
      </c>
      <c r="R263" s="8">
        <f>IFERROR(__xludf.DUMMYFUNCTION("""COMPUTED_VALUE"""),0.238095238095238)</f>
        <v>0.2380952381</v>
      </c>
      <c r="S263" s="8">
        <f>IFERROR(__xludf.DUMMYFUNCTION("""COMPUTED_VALUE"""),0.0)</f>
        <v>0</v>
      </c>
      <c r="T263" s="8">
        <f>IFERROR(__xludf.DUMMYFUNCTION("""COMPUTED_VALUE"""),0.0)</f>
        <v>0</v>
      </c>
      <c r="U263" s="8">
        <f>IFERROR(__xludf.DUMMYFUNCTION("""COMPUTED_VALUE"""),0.0)</f>
        <v>0</v>
      </c>
      <c r="V263" s="8">
        <f>IFERROR(__xludf.DUMMYFUNCTION("""COMPUTED_VALUE"""),0.0)</f>
        <v>0</v>
      </c>
      <c r="W263" s="8">
        <f>IFERROR(__xludf.DUMMYFUNCTION("""COMPUTED_VALUE"""),0.0)</f>
        <v>0</v>
      </c>
      <c r="X263" s="8">
        <f>IFERROR(__xludf.DUMMYFUNCTION("""COMPUTED_VALUE"""),0.0)</f>
        <v>0</v>
      </c>
      <c r="Y263" s="8">
        <f>IFERROR(__xludf.DUMMYFUNCTION("""COMPUTED_VALUE"""),0.0)</f>
        <v>0</v>
      </c>
      <c r="Z263" s="8">
        <f>IFERROR(__xludf.DUMMYFUNCTION("""COMPUTED_VALUE"""),0.0)</f>
        <v>0</v>
      </c>
      <c r="AA263" s="8">
        <f>IFERROR(__xludf.DUMMYFUNCTION("""COMPUTED_VALUE"""),0.0)</f>
        <v>0</v>
      </c>
      <c r="AB263" s="8">
        <f>IFERROR(__xludf.DUMMYFUNCTION("""COMPUTED_VALUE"""),0.0)</f>
        <v>0</v>
      </c>
      <c r="AC263" s="8">
        <f>IFERROR(__xludf.DUMMYFUNCTION("""COMPUTED_VALUE"""),0.0)</f>
        <v>0</v>
      </c>
    </row>
    <row r="264" ht="15.75" customHeight="1">
      <c r="A264" s="6" t="str">
        <f>IFERROR(__xludf.DUMMYFUNCTION("""COMPUTED_VALUE"""),"f11e794eecc64915145ae97085e04201646abfe3")</f>
        <v>f11e794eecc64915145ae97085e04201646abfe3</v>
      </c>
      <c r="B264" s="6" t="str">
        <f>IFERROR(__xludf.DUMMYFUNCTION("""COMPUTED_VALUE"""),"Almost His Bride ")</f>
        <v>Almost His Bride </v>
      </c>
      <c r="C264" s="6" t="str">
        <f>IFERROR(__xludf.DUMMYFUNCTION("""COMPUTED_VALUE"""),"Romance")</f>
        <v>Romance</v>
      </c>
      <c r="D264" s="11">
        <f>IFERROR(__xludf.DUMMYFUNCTION("""COMPUTED_VALUE"""),98.0)</f>
        <v>98</v>
      </c>
      <c r="E264" s="8">
        <f>IFERROR(__xludf.DUMMYFUNCTION("""COMPUTED_VALUE"""),0.948979591836734)</f>
        <v>0.9489795918</v>
      </c>
      <c r="F264" s="8">
        <f>IFERROR(__xludf.DUMMYFUNCTION("""COMPUTED_VALUE"""),0.418367346938775)</f>
        <v>0.4183673469</v>
      </c>
      <c r="G264" s="8">
        <f>IFERROR(__xludf.DUMMYFUNCTION("""COMPUTED_VALUE"""),0.357142857142857)</f>
        <v>0.3571428571</v>
      </c>
      <c r="H264" s="8">
        <f>IFERROR(__xludf.DUMMYFUNCTION("""COMPUTED_VALUE"""),0.326530612244897)</f>
        <v>0.3265306122</v>
      </c>
      <c r="I264" s="8">
        <f>IFERROR(__xludf.DUMMYFUNCTION("""COMPUTED_VALUE"""),0.326530612244897)</f>
        <v>0.3265306122</v>
      </c>
      <c r="J264" s="8">
        <f>IFERROR(__xludf.DUMMYFUNCTION("""COMPUTED_VALUE"""),0.295918367346938)</f>
        <v>0.2959183673</v>
      </c>
      <c r="K264" s="8">
        <f>IFERROR(__xludf.DUMMYFUNCTION("""COMPUTED_VALUE"""),0.275510204081632)</f>
        <v>0.2755102041</v>
      </c>
      <c r="L264" s="8">
        <f>IFERROR(__xludf.DUMMYFUNCTION("""COMPUTED_VALUE"""),0.265306122448979)</f>
        <v>0.2653061224</v>
      </c>
      <c r="M264" s="8">
        <f>IFERROR(__xludf.DUMMYFUNCTION("""COMPUTED_VALUE"""),0.255102040816326)</f>
        <v>0.2551020408</v>
      </c>
      <c r="N264" s="8">
        <f>IFERROR(__xludf.DUMMYFUNCTION("""COMPUTED_VALUE"""),0.255102040816326)</f>
        <v>0.2551020408</v>
      </c>
      <c r="O264" s="8">
        <f>IFERROR(__xludf.DUMMYFUNCTION("""COMPUTED_VALUE"""),0.129032258064516)</f>
        <v>0.1290322581</v>
      </c>
      <c r="P264" s="8">
        <f>IFERROR(__xludf.DUMMYFUNCTION("""COMPUTED_VALUE"""),0.0967741935483871)</f>
        <v>0.09677419355</v>
      </c>
      <c r="Q264" s="8">
        <f>IFERROR(__xludf.DUMMYFUNCTION("""COMPUTED_VALUE"""),0.0121951219512195)</f>
        <v>0.01219512195</v>
      </c>
      <c r="R264" s="8">
        <f>IFERROR(__xludf.DUMMYFUNCTION("""COMPUTED_VALUE"""),0.0135135135135135)</f>
        <v>0.01351351351</v>
      </c>
      <c r="S264" s="8">
        <f>IFERROR(__xludf.DUMMYFUNCTION("""COMPUTED_VALUE"""),0.0)</f>
        <v>0</v>
      </c>
      <c r="T264" s="8">
        <f>IFERROR(__xludf.DUMMYFUNCTION("""COMPUTED_VALUE"""),0.0)</f>
        <v>0</v>
      </c>
      <c r="U264" s="8">
        <f>IFERROR(__xludf.DUMMYFUNCTION("""COMPUTED_VALUE"""),0.0)</f>
        <v>0</v>
      </c>
      <c r="V264" s="8">
        <f>IFERROR(__xludf.DUMMYFUNCTION("""COMPUTED_VALUE"""),0.0)</f>
        <v>0</v>
      </c>
      <c r="W264" s="8">
        <f>IFERROR(__xludf.DUMMYFUNCTION("""COMPUTED_VALUE"""),0.0)</f>
        <v>0</v>
      </c>
      <c r="X264" s="8">
        <f>IFERROR(__xludf.DUMMYFUNCTION("""COMPUTED_VALUE"""),0.0)</f>
        <v>0</v>
      </c>
      <c r="Y264" s="8">
        <f>IFERROR(__xludf.DUMMYFUNCTION("""COMPUTED_VALUE"""),0.0)</f>
        <v>0</v>
      </c>
      <c r="Z264" s="8">
        <f>IFERROR(__xludf.DUMMYFUNCTION("""COMPUTED_VALUE"""),0.0)</f>
        <v>0</v>
      </c>
      <c r="AA264" s="8">
        <f>IFERROR(__xludf.DUMMYFUNCTION("""COMPUTED_VALUE"""),0.0)</f>
        <v>0</v>
      </c>
      <c r="AB264" s="8">
        <f>IFERROR(__xludf.DUMMYFUNCTION("""COMPUTED_VALUE"""),0.0)</f>
        <v>0</v>
      </c>
      <c r="AC264" s="8">
        <f>IFERROR(__xludf.DUMMYFUNCTION("""COMPUTED_VALUE"""),0.0)</f>
        <v>0</v>
      </c>
    </row>
    <row r="265" ht="15.75" customHeight="1">
      <c r="A265" s="6" t="str">
        <f>IFERROR(__xludf.DUMMYFUNCTION("""COMPUTED_VALUE"""),"f16d45e2702863e71bf480a3e2490ded19c4cbd9")</f>
        <v>f16d45e2702863e71bf480a3e2490ded19c4cbd9</v>
      </c>
      <c r="B265" s="6" t="str">
        <f>IFERROR(__xludf.DUMMYFUNCTION("""COMPUTED_VALUE"""),"Supreme Sword Cultivator")</f>
        <v>Supreme Sword Cultivator</v>
      </c>
      <c r="C265" s="6" t="str">
        <f>IFERROR(__xludf.DUMMYFUNCTION("""COMPUTED_VALUE"""),"Fantasy")</f>
        <v>Fantasy</v>
      </c>
      <c r="D265" s="11">
        <f>IFERROR(__xludf.DUMMYFUNCTION("""COMPUTED_VALUE"""),1446.0)</f>
        <v>1446</v>
      </c>
      <c r="E265" s="8">
        <f>IFERROR(__xludf.DUMMYFUNCTION("""COMPUTED_VALUE"""),0.948024948024948)</f>
        <v>0.948024948</v>
      </c>
      <c r="F265" s="8">
        <f>IFERROR(__xludf.DUMMYFUNCTION("""COMPUTED_VALUE"""),0.551772063933287)</f>
        <v>0.5517720639</v>
      </c>
      <c r="G265" s="8">
        <f>IFERROR(__xludf.DUMMYFUNCTION("""COMPUTED_VALUE"""),0.517385257301808)</f>
        <v>0.5173852573</v>
      </c>
      <c r="H265" s="8">
        <f>IFERROR(__xludf.DUMMYFUNCTION("""COMPUTED_VALUE"""),0.500347947112039)</f>
        <v>0.5003479471</v>
      </c>
      <c r="I265" s="8">
        <f>IFERROR(__xludf.DUMMYFUNCTION("""COMPUTED_VALUE"""),0.476655052264808)</f>
        <v>0.4766550523</v>
      </c>
      <c r="J265" s="8">
        <f>IFERROR(__xludf.DUMMYFUNCTION("""COMPUTED_VALUE"""),0.465734265734265)</f>
        <v>0.4657342657</v>
      </c>
      <c r="K265" s="8">
        <f>IFERROR(__xludf.DUMMYFUNCTION("""COMPUTED_VALUE"""),0.453463960811756)</f>
        <v>0.4534639608</v>
      </c>
      <c r="L265" s="8">
        <f>IFERROR(__xludf.DUMMYFUNCTION("""COMPUTED_VALUE"""),0.44218640504555)</f>
        <v>0.442186405</v>
      </c>
      <c r="M265" s="8">
        <f>IFERROR(__xludf.DUMMYFUNCTION("""COMPUTED_VALUE"""),0.430273300630693)</f>
        <v>0.4302733006</v>
      </c>
      <c r="N265" s="8">
        <f>IFERROR(__xludf.DUMMYFUNCTION("""COMPUTED_VALUE"""),0.420757363253856)</f>
        <v>0.4207573633</v>
      </c>
      <c r="O265" s="8">
        <f>IFERROR(__xludf.DUMMYFUNCTION("""COMPUTED_VALUE"""),0.378571428571428)</f>
        <v>0.3785714286</v>
      </c>
      <c r="P265" s="8">
        <f>IFERROR(__xludf.DUMMYFUNCTION("""COMPUTED_VALUE"""),0.314327485380116)</f>
        <v>0.3143274854</v>
      </c>
      <c r="Q265" s="8">
        <f>IFERROR(__xludf.DUMMYFUNCTION("""COMPUTED_VALUE"""),0.244073748902546)</f>
        <v>0.2440737489</v>
      </c>
      <c r="R265" s="8">
        <f>IFERROR(__xludf.DUMMYFUNCTION("""COMPUTED_VALUE"""),0.219204655674102)</f>
        <v>0.2192046557</v>
      </c>
      <c r="S265" s="8">
        <f>IFERROR(__xludf.DUMMYFUNCTION("""COMPUTED_VALUE"""),0.176656151419558)</f>
        <v>0.1766561514</v>
      </c>
      <c r="T265" s="8">
        <f>IFERROR(__xludf.DUMMYFUNCTION("""COMPUTED_VALUE"""),0.117726657645466)</f>
        <v>0.1177266576</v>
      </c>
      <c r="U265" s="8">
        <f>IFERROR(__xludf.DUMMYFUNCTION("""COMPUTED_VALUE"""),0.050251256281407)</f>
        <v>0.05025125628</v>
      </c>
      <c r="V265" s="8">
        <f>IFERROR(__xludf.DUMMYFUNCTION("""COMPUTED_VALUE"""),0.0)</f>
        <v>0</v>
      </c>
      <c r="W265" s="8">
        <f>IFERROR(__xludf.DUMMYFUNCTION("""COMPUTED_VALUE"""),0.0)</f>
        <v>0</v>
      </c>
      <c r="X265" s="8">
        <f>IFERROR(__xludf.DUMMYFUNCTION("""COMPUTED_VALUE"""),0.0)</f>
        <v>0</v>
      </c>
      <c r="Y265" s="8">
        <f>IFERROR(__xludf.DUMMYFUNCTION("""COMPUTED_VALUE"""),0.0)</f>
        <v>0</v>
      </c>
      <c r="Z265" s="8">
        <f>IFERROR(__xludf.DUMMYFUNCTION("""COMPUTED_VALUE"""),0.0)</f>
        <v>0</v>
      </c>
      <c r="AA265" s="8">
        <f>IFERROR(__xludf.DUMMYFUNCTION("""COMPUTED_VALUE"""),0.0)</f>
        <v>0</v>
      </c>
      <c r="AB265" s="8">
        <f>IFERROR(__xludf.DUMMYFUNCTION("""COMPUTED_VALUE"""),0.0)</f>
        <v>0</v>
      </c>
      <c r="AC265" s="8">
        <f>IFERROR(__xludf.DUMMYFUNCTION("""COMPUTED_VALUE"""),0.0)</f>
        <v>0</v>
      </c>
    </row>
    <row r="266" ht="15.75" customHeight="1">
      <c r="A266" s="6" t="str">
        <f>IFERROR(__xludf.DUMMYFUNCTION("""COMPUTED_VALUE"""),"f23c3d5745910e4c7cf490450f5314358a0cec03")</f>
        <v>f23c3d5745910e4c7cf490450f5314358a0cec03</v>
      </c>
      <c r="B266" s="6" t="str">
        <f>IFERROR(__xludf.DUMMYFUNCTION("""COMPUTED_VALUE"""),"When My Ex Returned")</f>
        <v>When My Ex Returned</v>
      </c>
      <c r="C266" s="6" t="str">
        <f>IFERROR(__xludf.DUMMYFUNCTION("""COMPUTED_VALUE"""),"Romance")</f>
        <v>Romance</v>
      </c>
      <c r="D266" s="11">
        <f>IFERROR(__xludf.DUMMYFUNCTION("""COMPUTED_VALUE"""),420.0)</f>
        <v>420</v>
      </c>
      <c r="E266" s="8">
        <f>IFERROR(__xludf.DUMMYFUNCTION("""COMPUTED_VALUE"""),0.983173076923076)</f>
        <v>0.9831730769</v>
      </c>
      <c r="F266" s="8">
        <f>IFERROR(__xludf.DUMMYFUNCTION("""COMPUTED_VALUE"""),0.192307692307692)</f>
        <v>0.1923076923</v>
      </c>
      <c r="G266" s="8">
        <f>IFERROR(__xludf.DUMMYFUNCTION("""COMPUTED_VALUE"""),0.153846153846153)</f>
        <v>0.1538461538</v>
      </c>
      <c r="H266" s="8">
        <f>IFERROR(__xludf.DUMMYFUNCTION("""COMPUTED_VALUE"""),0.144230769230769)</f>
        <v>0.1442307692</v>
      </c>
      <c r="I266" s="8">
        <f>IFERROR(__xludf.DUMMYFUNCTION("""COMPUTED_VALUE"""),0.122596153846153)</f>
        <v>0.1225961538</v>
      </c>
      <c r="J266" s="8">
        <f>IFERROR(__xludf.DUMMYFUNCTION("""COMPUTED_VALUE"""),0.103365384615384)</f>
        <v>0.1033653846</v>
      </c>
      <c r="K266" s="8">
        <f>IFERROR(__xludf.DUMMYFUNCTION("""COMPUTED_VALUE"""),0.0915662650602409)</f>
        <v>0.09156626506</v>
      </c>
      <c r="L266" s="8">
        <f>IFERROR(__xludf.DUMMYFUNCTION("""COMPUTED_VALUE"""),0.0823244552058111)</f>
        <v>0.08232445521</v>
      </c>
      <c r="M266" s="8">
        <f>IFERROR(__xludf.DUMMYFUNCTION("""COMPUTED_VALUE"""),0.0752427184466019)</f>
        <v>0.07524271845</v>
      </c>
      <c r="N266" s="8">
        <f>IFERROR(__xludf.DUMMYFUNCTION("""COMPUTED_VALUE"""),0.0728155339805825)</f>
        <v>0.07281553398</v>
      </c>
      <c r="O266" s="8">
        <f>IFERROR(__xludf.DUMMYFUNCTION("""COMPUTED_VALUE"""),0.0668316831683168)</f>
        <v>0.06683168317</v>
      </c>
      <c r="P266" s="8">
        <f>IFERROR(__xludf.DUMMYFUNCTION("""COMPUTED_VALUE"""),0.15625)</f>
        <v>0.15625</v>
      </c>
      <c r="Q266" s="8">
        <f>IFERROR(__xludf.DUMMYFUNCTION("""COMPUTED_VALUE"""),0.133333333333333)</f>
        <v>0.1333333333</v>
      </c>
      <c r="R266" s="8">
        <f>IFERROR(__xludf.DUMMYFUNCTION("""COMPUTED_VALUE"""),0.0)</f>
        <v>0</v>
      </c>
      <c r="S266" s="8">
        <f>IFERROR(__xludf.DUMMYFUNCTION("""COMPUTED_VALUE"""),0.0)</f>
        <v>0</v>
      </c>
      <c r="T266" s="8">
        <f>IFERROR(__xludf.DUMMYFUNCTION("""COMPUTED_VALUE"""),0.0)</f>
        <v>0</v>
      </c>
      <c r="U266" s="8">
        <f>IFERROR(__xludf.DUMMYFUNCTION("""COMPUTED_VALUE"""),0.0)</f>
        <v>0</v>
      </c>
      <c r="V266" s="8">
        <f>IFERROR(__xludf.DUMMYFUNCTION("""COMPUTED_VALUE"""),0.0)</f>
        <v>0</v>
      </c>
      <c r="W266" s="8">
        <f>IFERROR(__xludf.DUMMYFUNCTION("""COMPUTED_VALUE"""),0.0)</f>
        <v>0</v>
      </c>
      <c r="X266" s="8">
        <f>IFERROR(__xludf.DUMMYFUNCTION("""COMPUTED_VALUE"""),0.0)</f>
        <v>0</v>
      </c>
      <c r="Y266" s="8">
        <f>IFERROR(__xludf.DUMMYFUNCTION("""COMPUTED_VALUE"""),0.0)</f>
        <v>0</v>
      </c>
      <c r="Z266" s="8">
        <f>IFERROR(__xludf.DUMMYFUNCTION("""COMPUTED_VALUE"""),0.0)</f>
        <v>0</v>
      </c>
      <c r="AA266" s="8">
        <f>IFERROR(__xludf.DUMMYFUNCTION("""COMPUTED_VALUE"""),0.0)</f>
        <v>0</v>
      </c>
      <c r="AB266" s="8">
        <f>IFERROR(__xludf.DUMMYFUNCTION("""COMPUTED_VALUE"""),0.0)</f>
        <v>0</v>
      </c>
      <c r="AC266" s="8">
        <f>IFERROR(__xludf.DUMMYFUNCTION("""COMPUTED_VALUE"""),0.0)</f>
        <v>0</v>
      </c>
    </row>
    <row r="267" ht="15.75" customHeight="1">
      <c r="A267" s="6" t="str">
        <f>IFERROR(__xludf.DUMMYFUNCTION("""COMPUTED_VALUE"""),"f2ec53ac7f98813aea65ea59e50f32077fe08707")</f>
        <v>f2ec53ac7f98813aea65ea59e50f32077fe08707</v>
      </c>
      <c r="B267" s="6" t="str">
        <f>IFERROR(__xludf.DUMMYFUNCTION("""COMPUTED_VALUE"""),"The Forbidden Kiss")</f>
        <v>The Forbidden Kiss</v>
      </c>
      <c r="C267" s="6" t="str">
        <f>IFERROR(__xludf.DUMMYFUNCTION("""COMPUTED_VALUE"""),"Romance")</f>
        <v>Romance</v>
      </c>
      <c r="D267" s="11">
        <f>IFERROR(__xludf.DUMMYFUNCTION("""COMPUTED_VALUE"""),309.0)</f>
        <v>309</v>
      </c>
      <c r="E267" s="8">
        <f>IFERROR(__xludf.DUMMYFUNCTION("""COMPUTED_VALUE"""),0.970873786407767)</f>
        <v>0.9708737864</v>
      </c>
      <c r="F267" s="8">
        <f>IFERROR(__xludf.DUMMYFUNCTION("""COMPUTED_VALUE"""),0.612377850162866)</f>
        <v>0.6123778502</v>
      </c>
      <c r="G267" s="8">
        <f>IFERROR(__xludf.DUMMYFUNCTION("""COMPUTED_VALUE"""),0.457516339869281)</f>
        <v>0.4575163399</v>
      </c>
      <c r="H267" s="8">
        <f>IFERROR(__xludf.DUMMYFUNCTION("""COMPUTED_VALUE"""),0.421926910299003)</f>
        <v>0.4219269103</v>
      </c>
      <c r="I267" s="8">
        <f>IFERROR(__xludf.DUMMYFUNCTION("""COMPUTED_VALUE"""),0.395973154362416)</f>
        <v>0.3959731544</v>
      </c>
      <c r="J267" s="8">
        <f>IFERROR(__xludf.DUMMYFUNCTION("""COMPUTED_VALUE"""),0.368965517241379)</f>
        <v>0.3689655172</v>
      </c>
      <c r="K267" s="8">
        <f>IFERROR(__xludf.DUMMYFUNCTION("""COMPUTED_VALUE"""),0.325088339222614)</f>
        <v>0.3250883392</v>
      </c>
      <c r="L267" s="8">
        <f>IFERROR(__xludf.DUMMYFUNCTION("""COMPUTED_VALUE"""),0.302158273381295)</f>
        <v>0.3021582734</v>
      </c>
      <c r="M267" s="8">
        <f>IFERROR(__xludf.DUMMYFUNCTION("""COMPUTED_VALUE"""),0.282051282051282)</f>
        <v>0.2820512821</v>
      </c>
      <c r="N267" s="8">
        <f>IFERROR(__xludf.DUMMYFUNCTION("""COMPUTED_VALUE"""),0.275092936802974)</f>
        <v>0.2750929368</v>
      </c>
      <c r="O267" s="8">
        <f>IFERROR(__xludf.DUMMYFUNCTION("""COMPUTED_VALUE"""),0.2)</f>
        <v>0.2</v>
      </c>
      <c r="P267" s="8">
        <f>IFERROR(__xludf.DUMMYFUNCTION("""COMPUTED_VALUE"""),0.154255319148936)</f>
        <v>0.1542553191</v>
      </c>
      <c r="Q267" s="8">
        <f>IFERROR(__xludf.DUMMYFUNCTION("""COMPUTED_VALUE"""),0.135922330097087)</f>
        <v>0.1359223301</v>
      </c>
      <c r="R267" s="8">
        <f>IFERROR(__xludf.DUMMYFUNCTION("""COMPUTED_VALUE"""),0.0)</f>
        <v>0</v>
      </c>
      <c r="S267" s="8">
        <f>IFERROR(__xludf.DUMMYFUNCTION("""COMPUTED_VALUE"""),0.0)</f>
        <v>0</v>
      </c>
      <c r="T267" s="8">
        <f>IFERROR(__xludf.DUMMYFUNCTION("""COMPUTED_VALUE"""),0.0)</f>
        <v>0</v>
      </c>
      <c r="U267" s="8">
        <f>IFERROR(__xludf.DUMMYFUNCTION("""COMPUTED_VALUE"""),0.0)</f>
        <v>0</v>
      </c>
      <c r="V267" s="8">
        <f>IFERROR(__xludf.DUMMYFUNCTION("""COMPUTED_VALUE"""),0.0)</f>
        <v>0</v>
      </c>
      <c r="W267" s="8">
        <f>IFERROR(__xludf.DUMMYFUNCTION("""COMPUTED_VALUE"""),0.0)</f>
        <v>0</v>
      </c>
      <c r="X267" s="8">
        <f>IFERROR(__xludf.DUMMYFUNCTION("""COMPUTED_VALUE"""),0.0)</f>
        <v>0</v>
      </c>
      <c r="Y267" s="8">
        <f>IFERROR(__xludf.DUMMYFUNCTION("""COMPUTED_VALUE"""),0.0)</f>
        <v>0</v>
      </c>
      <c r="Z267" s="8">
        <f>IFERROR(__xludf.DUMMYFUNCTION("""COMPUTED_VALUE"""),0.0)</f>
        <v>0</v>
      </c>
      <c r="AA267" s="8">
        <f>IFERROR(__xludf.DUMMYFUNCTION("""COMPUTED_VALUE"""),0.0)</f>
        <v>0</v>
      </c>
      <c r="AB267" s="8">
        <f>IFERROR(__xludf.DUMMYFUNCTION("""COMPUTED_VALUE"""),0.0)</f>
        <v>0</v>
      </c>
      <c r="AC267" s="8">
        <f>IFERROR(__xludf.DUMMYFUNCTION("""COMPUTED_VALUE"""),0.0)</f>
        <v>0</v>
      </c>
    </row>
    <row r="268" ht="15.75" customHeight="1">
      <c r="A268" s="6" t="str">
        <f>IFERROR(__xludf.DUMMYFUNCTION("""COMPUTED_VALUE"""),"f32ed59a93a11812f5a5a57e2c663028b1c65f89")</f>
        <v>f32ed59a93a11812f5a5a57e2c663028b1c65f89</v>
      </c>
      <c r="B268" s="6" t="str">
        <f>IFERROR(__xludf.DUMMYFUNCTION("""COMPUTED_VALUE"""),"Trillionaire Sterling")</f>
        <v>Trillionaire Sterling</v>
      </c>
      <c r="C268" s="6" t="str">
        <f>IFERROR(__xludf.DUMMYFUNCTION("""COMPUTED_VALUE"""),"Fantasy")</f>
        <v>Fantasy</v>
      </c>
      <c r="D268" s="11">
        <f>IFERROR(__xludf.DUMMYFUNCTION("""COMPUTED_VALUE"""),25004.0)</f>
        <v>25004</v>
      </c>
      <c r="E268" s="8">
        <f>IFERROR(__xludf.DUMMYFUNCTION("""COMPUTED_VALUE"""),0.888292761050608)</f>
        <v>0.8882927611</v>
      </c>
      <c r="F268" s="8">
        <f>IFERROR(__xludf.DUMMYFUNCTION("""COMPUTED_VALUE"""),0.503630601355959)</f>
        <v>0.5036306014</v>
      </c>
      <c r="G268" s="8">
        <f>IFERROR(__xludf.DUMMYFUNCTION("""COMPUTED_VALUE"""),0.452575617221797)</f>
        <v>0.4525756172</v>
      </c>
      <c r="H268" s="8">
        <f>IFERROR(__xludf.DUMMYFUNCTION("""COMPUTED_VALUE"""),0.427273094478329)</f>
        <v>0.4272730945</v>
      </c>
      <c r="I268" s="8">
        <f>IFERROR(__xludf.DUMMYFUNCTION("""COMPUTED_VALUE"""),0.407060635538262)</f>
        <v>0.4070606355</v>
      </c>
      <c r="J268" s="8">
        <f>IFERROR(__xludf.DUMMYFUNCTION("""COMPUTED_VALUE"""),0.392910857282224)</f>
        <v>0.3929108573</v>
      </c>
      <c r="K268" s="8">
        <f>IFERROR(__xludf.DUMMYFUNCTION("""COMPUTED_VALUE"""),0.383492969227634)</f>
        <v>0.3834929692</v>
      </c>
      <c r="L268" s="8">
        <f>IFERROR(__xludf.DUMMYFUNCTION("""COMPUTED_VALUE"""),0.377343046574445)</f>
        <v>0.3773430466</v>
      </c>
      <c r="M268" s="8">
        <f>IFERROR(__xludf.DUMMYFUNCTION("""COMPUTED_VALUE"""),0.373268100152119)</f>
        <v>0.3732681002</v>
      </c>
      <c r="N268" s="8">
        <f>IFERROR(__xludf.DUMMYFUNCTION("""COMPUTED_VALUE"""),0.370075491935151)</f>
        <v>0.3700754919</v>
      </c>
      <c r="O268" s="8">
        <f>IFERROR(__xludf.DUMMYFUNCTION("""COMPUTED_VALUE"""),0.342590647451787)</f>
        <v>0.3425906475</v>
      </c>
      <c r="P268" s="8">
        <f>IFERROR(__xludf.DUMMYFUNCTION("""COMPUTED_VALUE"""),0.296468361509011)</f>
        <v>0.2964683615</v>
      </c>
      <c r="Q268" s="8">
        <f>IFERROR(__xludf.DUMMYFUNCTION("""COMPUTED_VALUE"""),0.254416961130742)</f>
        <v>0.2544169611</v>
      </c>
      <c r="R268" s="8">
        <f>IFERROR(__xludf.DUMMYFUNCTION("""COMPUTED_VALUE"""),0.206809184481393)</f>
        <v>0.2068091845</v>
      </c>
      <c r="S268" s="8">
        <f>IFERROR(__xludf.DUMMYFUNCTION("""COMPUTED_VALUE"""),0.180164722031571)</f>
        <v>0.180164722</v>
      </c>
      <c r="T268" s="8">
        <f>IFERROR(__xludf.DUMMYFUNCTION("""COMPUTED_VALUE"""),0.139020144242725)</f>
        <v>0.1390201442</v>
      </c>
      <c r="U268" s="8">
        <f>IFERROR(__xludf.DUMMYFUNCTION("""COMPUTED_VALUE"""),0.0783404797774944)</f>
        <v>0.07834047978</v>
      </c>
      <c r="V268" s="8">
        <f>IFERROR(__xludf.DUMMYFUNCTION("""COMPUTED_VALUE"""),0.0842541436464088)</f>
        <v>0.08425414365</v>
      </c>
      <c r="W268" s="8">
        <f>IFERROR(__xludf.DUMMYFUNCTION("""COMPUTED_VALUE"""),0.0386363636363636)</f>
        <v>0.03863636364</v>
      </c>
      <c r="X268" s="8">
        <f>IFERROR(__xludf.DUMMYFUNCTION("""COMPUTED_VALUE"""),0.0)</f>
        <v>0</v>
      </c>
      <c r="Y268" s="8">
        <f>IFERROR(__xludf.DUMMYFUNCTION("""COMPUTED_VALUE"""),0.0)</f>
        <v>0</v>
      </c>
      <c r="Z268" s="8">
        <f>IFERROR(__xludf.DUMMYFUNCTION("""COMPUTED_VALUE"""),0.0)</f>
        <v>0</v>
      </c>
      <c r="AA268" s="8">
        <f>IFERROR(__xludf.DUMMYFUNCTION("""COMPUTED_VALUE"""),0.0)</f>
        <v>0</v>
      </c>
      <c r="AB268" s="8">
        <f>IFERROR(__xludf.DUMMYFUNCTION("""COMPUTED_VALUE"""),0.0)</f>
        <v>0</v>
      </c>
      <c r="AC268" s="8">
        <f>IFERROR(__xludf.DUMMYFUNCTION("""COMPUTED_VALUE"""),0.0)</f>
        <v>0</v>
      </c>
    </row>
    <row r="269" ht="15.75" customHeight="1">
      <c r="A269" s="6" t="str">
        <f>IFERROR(__xludf.DUMMYFUNCTION("""COMPUTED_VALUE"""),"f3b45a9b931b38c0315d82ad645b9e45b513664b")</f>
        <v>f3b45a9b931b38c0315d82ad645b9e45b513664b</v>
      </c>
      <c r="B269" s="6" t="str">
        <f>IFERROR(__xludf.DUMMYFUNCTION("""COMPUTED_VALUE"""),"Reborn as a Golblin?!")</f>
        <v>Reborn as a Golblin?!</v>
      </c>
      <c r="C269" s="6" t="str">
        <f>IFERROR(__xludf.DUMMYFUNCTION("""COMPUTED_VALUE"""),"System and Superpower")</f>
        <v>System and Superpower</v>
      </c>
      <c r="D269" s="11">
        <f>IFERROR(__xludf.DUMMYFUNCTION("""COMPUTED_VALUE"""),1149.0)</f>
        <v>1149</v>
      </c>
      <c r="E269" s="8">
        <f>IFERROR(__xludf.DUMMYFUNCTION("""COMPUTED_VALUE"""),0.989547038327526)</f>
        <v>0.9895470383</v>
      </c>
      <c r="F269" s="8">
        <f>IFERROR(__xludf.DUMMYFUNCTION("""COMPUTED_VALUE"""),0.659388646288209)</f>
        <v>0.6593886463</v>
      </c>
      <c r="G269" s="8">
        <f>IFERROR(__xludf.DUMMYFUNCTION("""COMPUTED_VALUE"""),0.567922874671341)</f>
        <v>0.5679228747</v>
      </c>
      <c r="H269" s="8">
        <f>IFERROR(__xludf.DUMMYFUNCTION("""COMPUTED_VALUE"""),0.485008818342151)</f>
        <v>0.4850088183</v>
      </c>
      <c r="I269" s="8">
        <f>IFERROR(__xludf.DUMMYFUNCTION("""COMPUTED_VALUE"""),0.445438282647584)</f>
        <v>0.4454382826</v>
      </c>
      <c r="J269" s="8">
        <f>IFERROR(__xludf.DUMMYFUNCTION("""COMPUTED_VALUE"""),0.382242990654205)</f>
        <v>0.3822429907</v>
      </c>
      <c r="K269" s="8">
        <f>IFERROR(__xludf.DUMMYFUNCTION("""COMPUTED_VALUE"""),0.353783231083844)</f>
        <v>0.3537832311</v>
      </c>
      <c r="L269" s="8">
        <f>IFERROR(__xludf.DUMMYFUNCTION("""COMPUTED_VALUE"""),0.318181818181818)</f>
        <v>0.3181818182</v>
      </c>
      <c r="M269" s="8">
        <f>IFERROR(__xludf.DUMMYFUNCTION("""COMPUTED_VALUE"""),0.291666666666666)</f>
        <v>0.2916666667</v>
      </c>
      <c r="N269" s="8">
        <f>IFERROR(__xludf.DUMMYFUNCTION("""COMPUTED_VALUE"""),0.276094276094276)</f>
        <v>0.2760942761</v>
      </c>
      <c r="O269" s="8">
        <f>IFERROR(__xludf.DUMMYFUNCTION("""COMPUTED_VALUE"""),0.24024024024024)</f>
        <v>0.2402402402</v>
      </c>
      <c r="P269" s="8">
        <f>IFERROR(__xludf.DUMMYFUNCTION("""COMPUTED_VALUE"""),0.211111111111111)</f>
        <v>0.2111111111</v>
      </c>
      <c r="Q269" s="8">
        <f>IFERROR(__xludf.DUMMYFUNCTION("""COMPUTED_VALUE"""),0.0)</f>
        <v>0</v>
      </c>
      <c r="R269" s="8">
        <f>IFERROR(__xludf.DUMMYFUNCTION("""COMPUTED_VALUE"""),0.0)</f>
        <v>0</v>
      </c>
      <c r="S269" s="8">
        <f>IFERROR(__xludf.DUMMYFUNCTION("""COMPUTED_VALUE"""),0.0)</f>
        <v>0</v>
      </c>
      <c r="T269" s="8">
        <f>IFERROR(__xludf.DUMMYFUNCTION("""COMPUTED_VALUE"""),0.0)</f>
        <v>0</v>
      </c>
      <c r="U269" s="8">
        <f>IFERROR(__xludf.DUMMYFUNCTION("""COMPUTED_VALUE"""),0.0)</f>
        <v>0</v>
      </c>
      <c r="V269" s="8">
        <f>IFERROR(__xludf.DUMMYFUNCTION("""COMPUTED_VALUE"""),0.0)</f>
        <v>0</v>
      </c>
      <c r="W269" s="8">
        <f>IFERROR(__xludf.DUMMYFUNCTION("""COMPUTED_VALUE"""),0.0)</f>
        <v>0</v>
      </c>
      <c r="X269" s="8">
        <f>IFERROR(__xludf.DUMMYFUNCTION("""COMPUTED_VALUE"""),0.0)</f>
        <v>0</v>
      </c>
      <c r="Y269" s="8">
        <f>IFERROR(__xludf.DUMMYFUNCTION("""COMPUTED_VALUE"""),0.0)</f>
        <v>0</v>
      </c>
      <c r="Z269" s="8">
        <f>IFERROR(__xludf.DUMMYFUNCTION("""COMPUTED_VALUE"""),0.0)</f>
        <v>0</v>
      </c>
      <c r="AA269" s="8">
        <f>IFERROR(__xludf.DUMMYFUNCTION("""COMPUTED_VALUE"""),0.0)</f>
        <v>0</v>
      </c>
      <c r="AB269" s="8">
        <f>IFERROR(__xludf.DUMMYFUNCTION("""COMPUTED_VALUE"""),0.0)</f>
        <v>0</v>
      </c>
      <c r="AC269" s="8">
        <f>IFERROR(__xludf.DUMMYFUNCTION("""COMPUTED_VALUE"""),0.0)</f>
        <v>0</v>
      </c>
    </row>
    <row r="270" ht="15.75" customHeight="1">
      <c r="A270" s="6" t="str">
        <f>IFERROR(__xludf.DUMMYFUNCTION("""COMPUTED_VALUE"""),"f47e2c3c03d765bd054b92de405403a6c90b8d7f")</f>
        <v>f47e2c3c03d765bd054b92de405403a6c90b8d7f</v>
      </c>
      <c r="B270" s="6" t="str">
        <f>IFERROR(__xludf.DUMMYFUNCTION("""COMPUTED_VALUE"""),"It Was You Mister Cross")</f>
        <v>It Was You Mister Cross</v>
      </c>
      <c r="C270" s="6" t="str">
        <f>IFERROR(__xludf.DUMMYFUNCTION("""COMPUTED_VALUE"""),"Romance")</f>
        <v>Romance</v>
      </c>
      <c r="D270" s="11">
        <f>IFERROR(__xludf.DUMMYFUNCTION("""COMPUTED_VALUE"""),371.0)</f>
        <v>371</v>
      </c>
      <c r="E270" s="8">
        <f>IFERROR(__xludf.DUMMYFUNCTION("""COMPUTED_VALUE"""),0.986486486486486)</f>
        <v>0.9864864865</v>
      </c>
      <c r="F270" s="8">
        <f>IFERROR(__xludf.DUMMYFUNCTION("""COMPUTED_VALUE"""),0.307065217391304)</f>
        <v>0.3070652174</v>
      </c>
      <c r="G270" s="8">
        <f>IFERROR(__xludf.DUMMYFUNCTION("""COMPUTED_VALUE"""),0.25)</f>
        <v>0.25</v>
      </c>
      <c r="H270" s="8">
        <f>IFERROR(__xludf.DUMMYFUNCTION("""COMPUTED_VALUE"""),0.217391304347826)</f>
        <v>0.2173913043</v>
      </c>
      <c r="I270" s="8">
        <f>IFERROR(__xludf.DUMMYFUNCTION("""COMPUTED_VALUE"""),0.192934782608695)</f>
        <v>0.1929347826</v>
      </c>
      <c r="J270" s="8">
        <f>IFERROR(__xludf.DUMMYFUNCTION("""COMPUTED_VALUE"""),0.192934782608695)</f>
        <v>0.1929347826</v>
      </c>
      <c r="K270" s="8">
        <f>IFERROR(__xludf.DUMMYFUNCTION("""COMPUTED_VALUE"""),0.171195652173913)</f>
        <v>0.1711956522</v>
      </c>
      <c r="L270" s="8">
        <f>IFERROR(__xludf.DUMMYFUNCTION("""COMPUTED_VALUE"""),0.163043478260869)</f>
        <v>0.1630434783</v>
      </c>
      <c r="M270" s="8">
        <f>IFERROR(__xludf.DUMMYFUNCTION("""COMPUTED_VALUE"""),0.158469945355191)</f>
        <v>0.1584699454</v>
      </c>
      <c r="N270" s="8">
        <f>IFERROR(__xludf.DUMMYFUNCTION("""COMPUTED_VALUE"""),0.153005464480874)</f>
        <v>0.1530054645</v>
      </c>
      <c r="O270" s="8">
        <f>IFERROR(__xludf.DUMMYFUNCTION("""COMPUTED_VALUE"""),0.0963172804532577)</f>
        <v>0.09631728045</v>
      </c>
      <c r="P270" s="8">
        <f>IFERROR(__xludf.DUMMYFUNCTION("""COMPUTED_VALUE"""),0.0857142857142857)</f>
        <v>0.08571428571</v>
      </c>
      <c r="Q270" s="8">
        <f>IFERROR(__xludf.DUMMYFUNCTION("""COMPUTED_VALUE"""),0.0527859237536656)</f>
        <v>0.05278592375</v>
      </c>
      <c r="R270" s="8">
        <f>IFERROR(__xludf.DUMMYFUNCTION("""COMPUTED_VALUE"""),0.024390243902439)</f>
        <v>0.0243902439</v>
      </c>
      <c r="S270" s="8">
        <f>IFERROR(__xludf.DUMMYFUNCTION("""COMPUTED_VALUE"""),0.015625)</f>
        <v>0.015625</v>
      </c>
      <c r="T270" s="8">
        <f>IFERROR(__xludf.DUMMYFUNCTION("""COMPUTED_VALUE"""),0.0138888888888888)</f>
        <v>0.01388888889</v>
      </c>
      <c r="U270" s="8">
        <f>IFERROR(__xludf.DUMMYFUNCTION("""COMPUTED_VALUE"""),0.0)</f>
        <v>0</v>
      </c>
      <c r="V270" s="8">
        <f>IFERROR(__xludf.DUMMYFUNCTION("""COMPUTED_VALUE"""),0.0)</f>
        <v>0</v>
      </c>
      <c r="W270" s="8">
        <f>IFERROR(__xludf.DUMMYFUNCTION("""COMPUTED_VALUE"""),0.0)</f>
        <v>0</v>
      </c>
      <c r="X270" s="8">
        <f>IFERROR(__xludf.DUMMYFUNCTION("""COMPUTED_VALUE"""),0.0)</f>
        <v>0</v>
      </c>
      <c r="Y270" s="8">
        <f>IFERROR(__xludf.DUMMYFUNCTION("""COMPUTED_VALUE"""),0.0)</f>
        <v>0</v>
      </c>
      <c r="Z270" s="8">
        <f>IFERROR(__xludf.DUMMYFUNCTION("""COMPUTED_VALUE"""),0.0)</f>
        <v>0</v>
      </c>
      <c r="AA270" s="8">
        <f>IFERROR(__xludf.DUMMYFUNCTION("""COMPUTED_VALUE"""),0.0)</f>
        <v>0</v>
      </c>
      <c r="AB270" s="8">
        <f>IFERROR(__xludf.DUMMYFUNCTION("""COMPUTED_VALUE"""),0.0)</f>
        <v>0</v>
      </c>
      <c r="AC270" s="8">
        <f>IFERROR(__xludf.DUMMYFUNCTION("""COMPUTED_VALUE"""),0.0)</f>
        <v>0</v>
      </c>
    </row>
    <row r="271" ht="15.75" customHeight="1">
      <c r="A271" s="6" t="str">
        <f>IFERROR(__xludf.DUMMYFUNCTION("""COMPUTED_VALUE"""),"f55e0806430f9f979b0bfc889bab608a05d8bb5b")</f>
        <v>f55e0806430f9f979b0bfc889bab608a05d8bb5b</v>
      </c>
      <c r="B271" s="6" t="str">
        <f>IFERROR(__xludf.DUMMYFUNCTION("""COMPUTED_VALUE"""),"Light of a New World")</f>
        <v>Light of a New World</v>
      </c>
      <c r="C271" s="6" t="str">
        <f>IFERROR(__xludf.DUMMYFUNCTION("""COMPUTED_VALUE"""),"Sci-Fi")</f>
        <v>Sci-Fi</v>
      </c>
      <c r="D271" s="11">
        <f>IFERROR(__xludf.DUMMYFUNCTION("""COMPUTED_VALUE"""),956.0)</f>
        <v>956</v>
      </c>
      <c r="E271" s="8">
        <f>IFERROR(__xludf.DUMMYFUNCTION("""COMPUTED_VALUE"""),0.976866456361724)</f>
        <v>0.9768664564</v>
      </c>
      <c r="F271" s="8">
        <f>IFERROR(__xludf.DUMMYFUNCTION("""COMPUTED_VALUE"""),0.351007423117709)</f>
        <v>0.3510074231</v>
      </c>
      <c r="G271" s="8">
        <f>IFERROR(__xludf.DUMMYFUNCTION("""COMPUTED_VALUE"""),0.271077908217716)</f>
        <v>0.2710779082</v>
      </c>
      <c r="H271" s="8">
        <f>IFERROR(__xludf.DUMMYFUNCTION("""COMPUTED_VALUE"""),0.203644158628081)</f>
        <v>0.2036441586</v>
      </c>
      <c r="I271" s="8">
        <f>IFERROR(__xludf.DUMMYFUNCTION("""COMPUTED_VALUE"""),0.168274383708467)</f>
        <v>0.1682743837</v>
      </c>
      <c r="J271" s="8">
        <f>IFERROR(__xludf.DUMMYFUNCTION("""COMPUTED_VALUE"""),0.151450053705692)</f>
        <v>0.1514500537</v>
      </c>
      <c r="K271" s="8">
        <f>IFERROR(__xludf.DUMMYFUNCTION("""COMPUTED_VALUE"""),0.124597207303974)</f>
        <v>0.1245972073</v>
      </c>
      <c r="L271" s="8">
        <f>IFERROR(__xludf.DUMMYFUNCTION("""COMPUTED_VALUE"""),0.10204081632653)</f>
        <v>0.1020408163</v>
      </c>
      <c r="M271" s="8">
        <f>IFERROR(__xludf.DUMMYFUNCTION("""COMPUTED_VALUE"""),0.0838709677419354)</f>
        <v>0.08387096774</v>
      </c>
      <c r="N271" s="8">
        <f>IFERROR(__xludf.DUMMYFUNCTION("""COMPUTED_VALUE"""),0.0731182795698924)</f>
        <v>0.07311827957</v>
      </c>
      <c r="O271" s="8">
        <f>IFERROR(__xludf.DUMMYFUNCTION("""COMPUTED_VALUE"""),0.0507011866235167)</f>
        <v>0.05070118662</v>
      </c>
      <c r="P271" s="8">
        <f>IFERROR(__xludf.DUMMYFUNCTION("""COMPUTED_VALUE"""),0.0436205016357688)</f>
        <v>0.04362050164</v>
      </c>
      <c r="Q271" s="8">
        <f>IFERROR(__xludf.DUMMYFUNCTION("""COMPUTED_VALUE"""),0.0242825607064017)</f>
        <v>0.02428256071</v>
      </c>
      <c r="R271" s="8">
        <f>IFERROR(__xludf.DUMMYFUNCTION("""COMPUTED_VALUE"""),0.013732833957553)</f>
        <v>0.01373283396</v>
      </c>
      <c r="S271" s="8">
        <f>IFERROR(__xludf.DUMMYFUNCTION("""COMPUTED_VALUE"""),0.0142180094786729)</f>
        <v>0.01421800948</v>
      </c>
      <c r="T271" s="8">
        <f>IFERROR(__xludf.DUMMYFUNCTION("""COMPUTED_VALUE"""),0.0057471264367816)</f>
        <v>0.005747126437</v>
      </c>
      <c r="U271" s="8">
        <f>IFERROR(__xludf.DUMMYFUNCTION("""COMPUTED_VALUE"""),0.00705882352941176)</f>
        <v>0.007058823529</v>
      </c>
      <c r="V271" s="8">
        <f>IFERROR(__xludf.DUMMYFUNCTION("""COMPUTED_VALUE"""),0.00355871886120996)</f>
        <v>0.003558718861</v>
      </c>
      <c r="W271" s="8">
        <f>IFERROR(__xludf.DUMMYFUNCTION("""COMPUTED_VALUE"""),0.0)</f>
        <v>0</v>
      </c>
      <c r="X271" s="8">
        <f>IFERROR(__xludf.DUMMYFUNCTION("""COMPUTED_VALUE"""),0.0)</f>
        <v>0</v>
      </c>
      <c r="Y271" s="8">
        <f>IFERROR(__xludf.DUMMYFUNCTION("""COMPUTED_VALUE"""),0.0)</f>
        <v>0</v>
      </c>
      <c r="Z271" s="8">
        <f>IFERROR(__xludf.DUMMYFUNCTION("""COMPUTED_VALUE"""),0.0)</f>
        <v>0</v>
      </c>
      <c r="AA271" s="8">
        <f>IFERROR(__xludf.DUMMYFUNCTION("""COMPUTED_VALUE"""),0.0)</f>
        <v>0</v>
      </c>
      <c r="AB271" s="8">
        <f>IFERROR(__xludf.DUMMYFUNCTION("""COMPUTED_VALUE"""),0.0)</f>
        <v>0</v>
      </c>
      <c r="AC271" s="8">
        <f>IFERROR(__xludf.DUMMYFUNCTION("""COMPUTED_VALUE"""),0.0)</f>
        <v>0</v>
      </c>
    </row>
    <row r="272" ht="15.75" customHeight="1">
      <c r="A272" s="6" t="str">
        <f>IFERROR(__xludf.DUMMYFUNCTION("""COMPUTED_VALUE"""),"f692474d2ac3ef329a93f72cfedf44bceaced5f1")</f>
        <v>f692474d2ac3ef329a93f72cfedf44bceaced5f1</v>
      </c>
      <c r="B272" s="6" t="str">
        <f>IFERROR(__xludf.DUMMYFUNCTION("""COMPUTED_VALUE"""),"Kingsley Reigns")</f>
        <v>Kingsley Reigns</v>
      </c>
      <c r="C272" s="6" t="str">
        <f>IFERROR(__xludf.DUMMYFUNCTION("""COMPUTED_VALUE"""),"Drama")</f>
        <v>Drama</v>
      </c>
      <c r="D272" s="11">
        <f>IFERROR(__xludf.DUMMYFUNCTION("""COMPUTED_VALUE"""),17189.0)</f>
        <v>17189</v>
      </c>
      <c r="E272" s="8">
        <f>IFERROR(__xludf.DUMMYFUNCTION("""COMPUTED_VALUE"""),0.850818430710083)</f>
        <v>0.8508184307</v>
      </c>
      <c r="F272" s="8">
        <f>IFERROR(__xludf.DUMMYFUNCTION("""COMPUTED_VALUE"""),0.484200093283582)</f>
        <v>0.4842000933</v>
      </c>
      <c r="G272" s="8">
        <f>IFERROR(__xludf.DUMMYFUNCTION("""COMPUTED_VALUE"""),0.442065344224037)</f>
        <v>0.4420653442</v>
      </c>
      <c r="H272" s="8">
        <f>IFERROR(__xludf.DUMMYFUNCTION("""COMPUTED_VALUE"""),0.41782420917474)</f>
        <v>0.4178242092</v>
      </c>
      <c r="I272" s="8">
        <f>IFERROR(__xludf.DUMMYFUNCTION("""COMPUTED_VALUE"""),0.404297559266612)</f>
        <v>0.4042975593</v>
      </c>
      <c r="J272" s="8">
        <f>IFERROR(__xludf.DUMMYFUNCTION("""COMPUTED_VALUE"""),0.38832739381901)</f>
        <v>0.3883273938</v>
      </c>
      <c r="K272" s="8">
        <f>IFERROR(__xludf.DUMMYFUNCTION("""COMPUTED_VALUE"""),0.372749590834697)</f>
        <v>0.3727495908</v>
      </c>
      <c r="L272" s="8">
        <f>IFERROR(__xludf.DUMMYFUNCTION("""COMPUTED_VALUE"""),0.359445387000526)</f>
        <v>0.359445387</v>
      </c>
      <c r="M272" s="8">
        <f>IFERROR(__xludf.DUMMYFUNCTION("""COMPUTED_VALUE"""),0.353609273461741)</f>
        <v>0.3536092735</v>
      </c>
      <c r="N272" s="8">
        <f>IFERROR(__xludf.DUMMYFUNCTION("""COMPUTED_VALUE"""),0.349461105904404)</f>
        <v>0.3494611059</v>
      </c>
      <c r="O272" s="8">
        <f>IFERROR(__xludf.DUMMYFUNCTION("""COMPUTED_VALUE"""),0.324904439870626)</f>
        <v>0.3249044399</v>
      </c>
      <c r="P272" s="8">
        <f>IFERROR(__xludf.DUMMYFUNCTION("""COMPUTED_VALUE"""),0.278154681139755)</f>
        <v>0.2781546811</v>
      </c>
      <c r="Q272" s="8">
        <f>IFERROR(__xludf.DUMMYFUNCTION("""COMPUTED_VALUE"""),0.22267783918702)</f>
        <v>0.2226778392</v>
      </c>
      <c r="R272" s="8">
        <f>IFERROR(__xludf.DUMMYFUNCTION("""COMPUTED_VALUE"""),0.196287896872762)</f>
        <v>0.1962878969</v>
      </c>
      <c r="S272" s="8">
        <f>IFERROR(__xludf.DUMMYFUNCTION("""COMPUTED_VALUE"""),0.179120329876296)</f>
        <v>0.1791203299</v>
      </c>
      <c r="T272" s="8">
        <f>IFERROR(__xludf.DUMMYFUNCTION("""COMPUTED_VALUE"""),0.157613931085587)</f>
        <v>0.1576139311</v>
      </c>
      <c r="U272" s="8">
        <f>IFERROR(__xludf.DUMMYFUNCTION("""COMPUTED_VALUE"""),0.147979463398476)</f>
        <v>0.1479794634</v>
      </c>
      <c r="V272" s="8">
        <f>IFERROR(__xludf.DUMMYFUNCTION("""COMPUTED_VALUE"""),0.134314436729194)</f>
        <v>0.1343144367</v>
      </c>
      <c r="W272" s="8">
        <f>IFERROR(__xludf.DUMMYFUNCTION("""COMPUTED_VALUE"""),0.122004921642274)</f>
        <v>0.1220049216</v>
      </c>
      <c r="X272" s="8">
        <f>IFERROR(__xludf.DUMMYFUNCTION("""COMPUTED_VALUE"""),0.11573993376329)</f>
        <v>0.1157399338</v>
      </c>
      <c r="Y272" s="8">
        <f>IFERROR(__xludf.DUMMYFUNCTION("""COMPUTED_VALUE"""),0.10302734375)</f>
        <v>0.1030273438</v>
      </c>
      <c r="Z272" s="8">
        <f>IFERROR(__xludf.DUMMYFUNCTION("""COMPUTED_VALUE"""),0.0882597835137385)</f>
        <v>0.08825978351</v>
      </c>
      <c r="AA272" s="8">
        <f>IFERROR(__xludf.DUMMYFUNCTION("""COMPUTED_VALUE"""),0.0928381962864721)</f>
        <v>0.09283819629</v>
      </c>
      <c r="AB272" s="8">
        <f>IFERROR(__xludf.DUMMYFUNCTION("""COMPUTED_VALUE"""),0.0659722222222222)</f>
        <v>0.06597222222</v>
      </c>
      <c r="AC272" s="8">
        <f>IFERROR(__xludf.DUMMYFUNCTION("""COMPUTED_VALUE"""),0.0344827586206896)</f>
        <v>0.03448275862</v>
      </c>
    </row>
    <row r="273" ht="15.75" customHeight="1">
      <c r="A273" s="6" t="str">
        <f>IFERROR(__xludf.DUMMYFUNCTION("""COMPUTED_VALUE"""),"f6ea1ee253b53b8124a4f7f92ae0a9ef960a044a")</f>
        <v>f6ea1ee253b53b8124a4f7f92ae0a9ef960a044a</v>
      </c>
      <c r="B273" s="6" t="str">
        <f>IFERROR(__xludf.DUMMYFUNCTION("""COMPUTED_VALUE"""),"Regret of the Ceo")</f>
        <v>Regret of the Ceo</v>
      </c>
      <c r="C273" s="6" t="str">
        <f>IFERROR(__xludf.DUMMYFUNCTION("""COMPUTED_VALUE"""),"Romance")</f>
        <v>Romance</v>
      </c>
      <c r="D273" s="11">
        <f>IFERROR(__xludf.DUMMYFUNCTION("""COMPUTED_VALUE"""),615.0)</f>
        <v>615</v>
      </c>
      <c r="E273" s="8">
        <f>IFERROR(__xludf.DUMMYFUNCTION("""COMPUTED_VALUE"""),0.966666666666666)</f>
        <v>0.9666666667</v>
      </c>
      <c r="F273" s="8">
        <f>IFERROR(__xludf.DUMMYFUNCTION("""COMPUTED_VALUE"""),0.510998307952622)</f>
        <v>0.510998308</v>
      </c>
      <c r="G273" s="8">
        <f>IFERROR(__xludf.DUMMYFUNCTION("""COMPUTED_VALUE"""),0.455160744500846)</f>
        <v>0.4551607445</v>
      </c>
      <c r="H273" s="8">
        <f>IFERROR(__xludf.DUMMYFUNCTION("""COMPUTED_VALUE"""),0.409168081494057)</f>
        <v>0.4091680815</v>
      </c>
      <c r="I273" s="8">
        <f>IFERROR(__xludf.DUMMYFUNCTION("""COMPUTED_VALUE"""),0.369676320272572)</f>
        <v>0.3696763203</v>
      </c>
      <c r="J273" s="8">
        <f>IFERROR(__xludf.DUMMYFUNCTION("""COMPUTED_VALUE"""),0.333333333333333)</f>
        <v>0.3333333333</v>
      </c>
      <c r="K273" s="8">
        <f>IFERROR(__xludf.DUMMYFUNCTION("""COMPUTED_VALUE"""),0.285958904109589)</f>
        <v>0.2859589041</v>
      </c>
      <c r="L273" s="8">
        <f>IFERROR(__xludf.DUMMYFUNCTION("""COMPUTED_VALUE"""),0.24486301369863)</f>
        <v>0.2448630137</v>
      </c>
      <c r="M273" s="8">
        <f>IFERROR(__xludf.DUMMYFUNCTION("""COMPUTED_VALUE"""),0.221649484536082)</f>
        <v>0.2216494845</v>
      </c>
      <c r="N273" s="8">
        <f>IFERROR(__xludf.DUMMYFUNCTION("""COMPUTED_VALUE"""),0.207903780068728)</f>
        <v>0.2079037801</v>
      </c>
      <c r="O273" s="8">
        <f>IFERROR(__xludf.DUMMYFUNCTION("""COMPUTED_VALUE"""),0.15817223198594)</f>
        <v>0.158172232</v>
      </c>
      <c r="P273" s="8">
        <f>IFERROR(__xludf.DUMMYFUNCTION("""COMPUTED_VALUE"""),0.125)</f>
        <v>0.125</v>
      </c>
      <c r="Q273" s="8">
        <f>IFERROR(__xludf.DUMMYFUNCTION("""COMPUTED_VALUE"""),0.087248322147651)</f>
        <v>0.08724832215</v>
      </c>
      <c r="R273" s="8">
        <f>IFERROR(__xludf.DUMMYFUNCTION("""COMPUTED_VALUE"""),0.0683229813664596)</f>
        <v>0.06832298137</v>
      </c>
      <c r="S273" s="8">
        <f>IFERROR(__xludf.DUMMYFUNCTION("""COMPUTED_VALUE"""),0.0338983050847457)</f>
        <v>0.03389830508</v>
      </c>
      <c r="T273" s="8">
        <f>IFERROR(__xludf.DUMMYFUNCTION("""COMPUTED_VALUE"""),0.0)</f>
        <v>0</v>
      </c>
      <c r="U273" s="8">
        <f>IFERROR(__xludf.DUMMYFUNCTION("""COMPUTED_VALUE"""),0.0)</f>
        <v>0</v>
      </c>
      <c r="V273" s="8">
        <f>IFERROR(__xludf.DUMMYFUNCTION("""COMPUTED_VALUE"""),0.0)</f>
        <v>0</v>
      </c>
      <c r="W273" s="8">
        <f>IFERROR(__xludf.DUMMYFUNCTION("""COMPUTED_VALUE"""),0.0)</f>
        <v>0</v>
      </c>
      <c r="X273" s="8">
        <f>IFERROR(__xludf.DUMMYFUNCTION("""COMPUTED_VALUE"""),0.0)</f>
        <v>0</v>
      </c>
      <c r="Y273" s="8">
        <f>IFERROR(__xludf.DUMMYFUNCTION("""COMPUTED_VALUE"""),0.0)</f>
        <v>0</v>
      </c>
      <c r="Z273" s="8">
        <f>IFERROR(__xludf.DUMMYFUNCTION("""COMPUTED_VALUE"""),0.0)</f>
        <v>0</v>
      </c>
      <c r="AA273" s="8">
        <f>IFERROR(__xludf.DUMMYFUNCTION("""COMPUTED_VALUE"""),0.0)</f>
        <v>0</v>
      </c>
      <c r="AB273" s="8">
        <f>IFERROR(__xludf.DUMMYFUNCTION("""COMPUTED_VALUE"""),0.0)</f>
        <v>0</v>
      </c>
      <c r="AC273" s="8">
        <f>IFERROR(__xludf.DUMMYFUNCTION("""COMPUTED_VALUE"""),0.0)</f>
        <v>0</v>
      </c>
    </row>
    <row r="274" ht="15.75" customHeight="1">
      <c r="A274" s="6" t="str">
        <f>IFERROR(__xludf.DUMMYFUNCTION("""COMPUTED_VALUE"""),"fb311a6dd8cd59a51bf680323116bcc5d2798a8e")</f>
        <v>fb311a6dd8cd59a51bf680323116bcc5d2798a8e</v>
      </c>
      <c r="B274" s="6" t="str">
        <f>IFERROR(__xludf.DUMMYFUNCTION("""COMPUTED_VALUE"""),"The Beast Tamer's Legacy")</f>
        <v>The Beast Tamer's Legacy</v>
      </c>
      <c r="C274" s="6" t="str">
        <f>IFERROR(__xludf.DUMMYFUNCTION("""COMPUTED_VALUE"""),"System and Superpower")</f>
        <v>System and Superpower</v>
      </c>
      <c r="D274" s="11">
        <f>IFERROR(__xludf.DUMMYFUNCTION("""COMPUTED_VALUE"""),1928.0)</f>
        <v>1928</v>
      </c>
      <c r="E274" s="8">
        <f>IFERROR(__xludf.DUMMYFUNCTION("""COMPUTED_VALUE"""),0.978159126365054)</f>
        <v>0.9781591264</v>
      </c>
      <c r="F274" s="8">
        <f>IFERROR(__xludf.DUMMYFUNCTION("""COMPUTED_VALUE"""),0.483854166666666)</f>
        <v>0.4838541667</v>
      </c>
      <c r="G274" s="8">
        <f>IFERROR(__xludf.DUMMYFUNCTION("""COMPUTED_VALUE"""),0.408237747653806)</f>
        <v>0.4082377477</v>
      </c>
      <c r="H274" s="8">
        <f>IFERROR(__xludf.DUMMYFUNCTION("""COMPUTED_VALUE"""),0.344665271966527)</f>
        <v>0.344665272</v>
      </c>
      <c r="I274" s="8">
        <f>IFERROR(__xludf.DUMMYFUNCTION("""COMPUTED_VALUE"""),0.30330015715034)</f>
        <v>0.3033001572</v>
      </c>
      <c r="J274" s="8">
        <f>IFERROR(__xludf.DUMMYFUNCTION("""COMPUTED_VALUE"""),0.263903462749213)</f>
        <v>0.2639034627</v>
      </c>
      <c r="K274" s="8">
        <f>IFERROR(__xludf.DUMMYFUNCTION("""COMPUTED_VALUE"""),0.244876510772464)</f>
        <v>0.2448765108</v>
      </c>
      <c r="L274" s="8">
        <f>IFERROR(__xludf.DUMMYFUNCTION("""COMPUTED_VALUE"""),0.21952506596306)</f>
        <v>0.219525066</v>
      </c>
      <c r="M274" s="8">
        <f>IFERROR(__xludf.DUMMYFUNCTION("""COMPUTED_VALUE"""),0.205632306057385)</f>
        <v>0.2056323061</v>
      </c>
      <c r="N274" s="8">
        <f>IFERROR(__xludf.DUMMYFUNCTION("""COMPUTED_VALUE"""),0.19095744680851)</f>
        <v>0.1909574468</v>
      </c>
      <c r="O274" s="8">
        <f>IFERROR(__xludf.DUMMYFUNCTION("""COMPUTED_VALUE"""),0.140983606557377)</f>
        <v>0.1409836066</v>
      </c>
      <c r="P274" s="8">
        <f>IFERROR(__xludf.DUMMYFUNCTION("""COMPUTED_VALUE"""),0.106796116504854)</f>
        <v>0.1067961165</v>
      </c>
      <c r="Q274" s="8">
        <f>IFERROR(__xludf.DUMMYFUNCTION("""COMPUTED_VALUE"""),0.087248322147651)</f>
        <v>0.08724832215</v>
      </c>
      <c r="R274" s="8">
        <f>IFERROR(__xludf.DUMMYFUNCTION("""COMPUTED_VALUE"""),0.0)</f>
        <v>0</v>
      </c>
      <c r="S274" s="8">
        <f>IFERROR(__xludf.DUMMYFUNCTION("""COMPUTED_VALUE"""),0.0)</f>
        <v>0</v>
      </c>
      <c r="T274" s="8">
        <f>IFERROR(__xludf.DUMMYFUNCTION("""COMPUTED_VALUE"""),0.0)</f>
        <v>0</v>
      </c>
      <c r="U274" s="8">
        <f>IFERROR(__xludf.DUMMYFUNCTION("""COMPUTED_VALUE"""),0.0)</f>
        <v>0</v>
      </c>
      <c r="V274" s="8">
        <f>IFERROR(__xludf.DUMMYFUNCTION("""COMPUTED_VALUE"""),0.0)</f>
        <v>0</v>
      </c>
      <c r="W274" s="8">
        <f>IFERROR(__xludf.DUMMYFUNCTION("""COMPUTED_VALUE"""),0.0)</f>
        <v>0</v>
      </c>
      <c r="X274" s="8">
        <f>IFERROR(__xludf.DUMMYFUNCTION("""COMPUTED_VALUE"""),0.0)</f>
        <v>0</v>
      </c>
      <c r="Y274" s="8">
        <f>IFERROR(__xludf.DUMMYFUNCTION("""COMPUTED_VALUE"""),0.0)</f>
        <v>0</v>
      </c>
      <c r="Z274" s="8">
        <f>IFERROR(__xludf.DUMMYFUNCTION("""COMPUTED_VALUE"""),0.0)</f>
        <v>0</v>
      </c>
      <c r="AA274" s="8">
        <f>IFERROR(__xludf.DUMMYFUNCTION("""COMPUTED_VALUE"""),0.0)</f>
        <v>0</v>
      </c>
      <c r="AB274" s="8">
        <f>IFERROR(__xludf.DUMMYFUNCTION("""COMPUTED_VALUE"""),0.0)</f>
        <v>0</v>
      </c>
      <c r="AC274" s="8">
        <f>IFERROR(__xludf.DUMMYFUNCTION("""COMPUTED_VALUE"""),0.0)</f>
        <v>0</v>
      </c>
    </row>
    <row r="275" ht="15.75" customHeight="1">
      <c r="A275" s="6" t="str">
        <f>IFERROR(__xludf.DUMMYFUNCTION("""COMPUTED_VALUE"""),"fc599fbc708fd150dfe8d867a18a17fa8b439c84")</f>
        <v>fc599fbc708fd150dfe8d867a18a17fa8b439c84</v>
      </c>
      <c r="B275" s="6" t="str">
        <f>IFERROR(__xludf.DUMMYFUNCTION("""COMPUTED_VALUE"""),"Anything for Sunny")</f>
        <v>Anything for Sunny</v>
      </c>
      <c r="C275" s="6" t="str">
        <f>IFERROR(__xludf.DUMMYFUNCTION("""COMPUTED_VALUE"""),"Drama")</f>
        <v>Drama</v>
      </c>
      <c r="D275" s="11">
        <f>IFERROR(__xludf.DUMMYFUNCTION("""COMPUTED_VALUE"""),115.0)</f>
        <v>115</v>
      </c>
      <c r="E275" s="8">
        <f>IFERROR(__xludf.DUMMYFUNCTION("""COMPUTED_VALUE"""),0.97391304347826)</f>
        <v>0.9739130435</v>
      </c>
      <c r="F275" s="8">
        <f>IFERROR(__xludf.DUMMYFUNCTION("""COMPUTED_VALUE"""),0.278260869565217)</f>
        <v>0.2782608696</v>
      </c>
      <c r="G275" s="8">
        <f>IFERROR(__xludf.DUMMYFUNCTION("""COMPUTED_VALUE"""),0.236842105263157)</f>
        <v>0.2368421053</v>
      </c>
      <c r="H275" s="8">
        <f>IFERROR(__xludf.DUMMYFUNCTION("""COMPUTED_VALUE"""),0.184210526315789)</f>
        <v>0.1842105263</v>
      </c>
      <c r="I275" s="8">
        <f>IFERROR(__xludf.DUMMYFUNCTION("""COMPUTED_VALUE"""),0.184210526315789)</f>
        <v>0.1842105263</v>
      </c>
      <c r="J275" s="8">
        <f>IFERROR(__xludf.DUMMYFUNCTION("""COMPUTED_VALUE"""),0.151785714285714)</f>
        <v>0.1517857143</v>
      </c>
      <c r="K275" s="8">
        <f>IFERROR(__xludf.DUMMYFUNCTION("""COMPUTED_VALUE"""),0.117117117117117)</f>
        <v>0.1171171171</v>
      </c>
      <c r="L275" s="8">
        <f>IFERROR(__xludf.DUMMYFUNCTION("""COMPUTED_VALUE"""),0.109090909090909)</f>
        <v>0.1090909091</v>
      </c>
      <c r="M275" s="8">
        <f>IFERROR(__xludf.DUMMYFUNCTION("""COMPUTED_VALUE"""),0.102803738317757)</f>
        <v>0.1028037383</v>
      </c>
      <c r="N275" s="8">
        <f>IFERROR(__xludf.DUMMYFUNCTION("""COMPUTED_VALUE"""),0.0934579439252336)</f>
        <v>0.09345794393</v>
      </c>
      <c r="O275" s="8">
        <f>IFERROR(__xludf.DUMMYFUNCTION("""COMPUTED_VALUE"""),0.064516129032258)</f>
        <v>0.06451612903</v>
      </c>
      <c r="P275" s="8">
        <f>IFERROR(__xludf.DUMMYFUNCTION("""COMPUTED_VALUE"""),0.0547945205479452)</f>
        <v>0.05479452055</v>
      </c>
      <c r="Q275" s="8">
        <f>IFERROR(__xludf.DUMMYFUNCTION("""COMPUTED_VALUE"""),0.0307692307692307)</f>
        <v>0.03076923077</v>
      </c>
      <c r="R275" s="8">
        <f>IFERROR(__xludf.DUMMYFUNCTION("""COMPUTED_VALUE"""),0.04)</f>
        <v>0.04</v>
      </c>
      <c r="S275" s="8">
        <f>IFERROR(__xludf.DUMMYFUNCTION("""COMPUTED_VALUE"""),0.0)</f>
        <v>0</v>
      </c>
      <c r="T275" s="8">
        <f>IFERROR(__xludf.DUMMYFUNCTION("""COMPUTED_VALUE"""),0.0)</f>
        <v>0</v>
      </c>
      <c r="U275" s="8">
        <f>IFERROR(__xludf.DUMMYFUNCTION("""COMPUTED_VALUE"""),0.0)</f>
        <v>0</v>
      </c>
      <c r="V275" s="8">
        <f>IFERROR(__xludf.DUMMYFUNCTION("""COMPUTED_VALUE"""),0.0)</f>
        <v>0</v>
      </c>
      <c r="W275" s="8">
        <f>IFERROR(__xludf.DUMMYFUNCTION("""COMPUTED_VALUE"""),0.0)</f>
        <v>0</v>
      </c>
      <c r="X275" s="8">
        <f>IFERROR(__xludf.DUMMYFUNCTION("""COMPUTED_VALUE"""),0.0)</f>
        <v>0</v>
      </c>
      <c r="Y275" s="8">
        <f>IFERROR(__xludf.DUMMYFUNCTION("""COMPUTED_VALUE"""),0.0)</f>
        <v>0</v>
      </c>
      <c r="Z275" s="8">
        <f>IFERROR(__xludf.DUMMYFUNCTION("""COMPUTED_VALUE"""),0.0)</f>
        <v>0</v>
      </c>
      <c r="AA275" s="8">
        <f>IFERROR(__xludf.DUMMYFUNCTION("""COMPUTED_VALUE"""),0.0)</f>
        <v>0</v>
      </c>
      <c r="AB275" s="8">
        <f>IFERROR(__xludf.DUMMYFUNCTION("""COMPUTED_VALUE"""),0.0)</f>
        <v>0</v>
      </c>
      <c r="AC275" s="8">
        <f>IFERROR(__xludf.DUMMYFUNCTION("""COMPUTED_VALUE"""),0.0)</f>
        <v>0</v>
      </c>
    </row>
    <row r="276" ht="15.75" customHeight="1">
      <c r="A276" s="6" t="str">
        <f>IFERROR(__xludf.DUMMYFUNCTION("""COMPUTED_VALUE"""),"fcddd3d14a0e1b1dab1bcb5c11d4aec683fdb598")</f>
        <v>fcddd3d14a0e1b1dab1bcb5c11d4aec683fdb598</v>
      </c>
      <c r="B276" s="6" t="str">
        <f>IFERROR(__xludf.DUMMYFUNCTION("""COMPUTED_VALUE"""),"Rise of Drake Callahan")</f>
        <v>Rise of Drake Callahan</v>
      </c>
      <c r="C276" s="6" t="str">
        <f>IFERROR(__xludf.DUMMYFUNCTION("""COMPUTED_VALUE"""),"Drama")</f>
        <v>Drama</v>
      </c>
      <c r="D276" s="11">
        <f>IFERROR(__xludf.DUMMYFUNCTION("""COMPUTED_VALUE"""),1130.0)</f>
        <v>1130</v>
      </c>
      <c r="E276" s="8">
        <f>IFERROR(__xludf.DUMMYFUNCTION("""COMPUTED_VALUE"""),0.972517730496453)</f>
        <v>0.9725177305</v>
      </c>
      <c r="F276" s="8">
        <f>IFERROR(__xludf.DUMMYFUNCTION("""COMPUTED_VALUE"""),0.598743267504488)</f>
        <v>0.5987432675</v>
      </c>
      <c r="G276" s="8">
        <f>IFERROR(__xludf.DUMMYFUNCTION("""COMPUTED_VALUE"""),0.521897810218978)</f>
        <v>0.5218978102</v>
      </c>
      <c r="H276" s="8">
        <f>IFERROR(__xludf.DUMMYFUNCTION("""COMPUTED_VALUE"""),0.48)</f>
        <v>0.48</v>
      </c>
      <c r="I276" s="8">
        <f>IFERROR(__xludf.DUMMYFUNCTION("""COMPUTED_VALUE"""),0.438251366120218)</f>
        <v>0.4382513661</v>
      </c>
      <c r="J276" s="8">
        <f>IFERROR(__xludf.DUMMYFUNCTION("""COMPUTED_VALUE"""),0.428399518652226)</f>
        <v>0.4283995187</v>
      </c>
      <c r="K276" s="8">
        <f>IFERROR(__xludf.DUMMYFUNCTION("""COMPUTED_VALUE"""),0.415686274509803)</f>
        <v>0.4156862745</v>
      </c>
      <c r="L276" s="8">
        <f>IFERROR(__xludf.DUMMYFUNCTION("""COMPUTED_VALUE"""),0.383823529411764)</f>
        <v>0.3838235294</v>
      </c>
      <c r="M276" s="8">
        <f>IFERROR(__xludf.DUMMYFUNCTION("""COMPUTED_VALUE"""),0.348580441640378)</f>
        <v>0.3485804416</v>
      </c>
      <c r="N276" s="8">
        <f>IFERROR(__xludf.DUMMYFUNCTION("""COMPUTED_VALUE"""),0.31762652705061)</f>
        <v>0.3176265271</v>
      </c>
      <c r="O276" s="8">
        <f>IFERROR(__xludf.DUMMYFUNCTION("""COMPUTED_VALUE"""),0.223325062034739)</f>
        <v>0.223325062</v>
      </c>
      <c r="P276" s="8">
        <f>IFERROR(__xludf.DUMMYFUNCTION("""COMPUTED_VALUE"""),0.216867469879518)</f>
        <v>0.2168674699</v>
      </c>
      <c r="Q276" s="8">
        <f>IFERROR(__xludf.DUMMYFUNCTION("""COMPUTED_VALUE"""),0.0)</f>
        <v>0</v>
      </c>
      <c r="R276" s="8">
        <f>IFERROR(__xludf.DUMMYFUNCTION("""COMPUTED_VALUE"""),0.0)</f>
        <v>0</v>
      </c>
      <c r="S276" s="8">
        <f>IFERROR(__xludf.DUMMYFUNCTION("""COMPUTED_VALUE"""),0.0)</f>
        <v>0</v>
      </c>
      <c r="T276" s="8">
        <f>IFERROR(__xludf.DUMMYFUNCTION("""COMPUTED_VALUE"""),0.0)</f>
        <v>0</v>
      </c>
      <c r="U276" s="8">
        <f>IFERROR(__xludf.DUMMYFUNCTION("""COMPUTED_VALUE"""),0.0)</f>
        <v>0</v>
      </c>
      <c r="V276" s="8">
        <f>IFERROR(__xludf.DUMMYFUNCTION("""COMPUTED_VALUE"""),0.0)</f>
        <v>0</v>
      </c>
      <c r="W276" s="8">
        <f>IFERROR(__xludf.DUMMYFUNCTION("""COMPUTED_VALUE"""),0.0)</f>
        <v>0</v>
      </c>
      <c r="X276" s="8">
        <f>IFERROR(__xludf.DUMMYFUNCTION("""COMPUTED_VALUE"""),0.0)</f>
        <v>0</v>
      </c>
      <c r="Y276" s="8">
        <f>IFERROR(__xludf.DUMMYFUNCTION("""COMPUTED_VALUE"""),0.0)</f>
        <v>0</v>
      </c>
      <c r="Z276" s="8">
        <f>IFERROR(__xludf.DUMMYFUNCTION("""COMPUTED_VALUE"""),0.0)</f>
        <v>0</v>
      </c>
      <c r="AA276" s="8">
        <f>IFERROR(__xludf.DUMMYFUNCTION("""COMPUTED_VALUE"""),0.0)</f>
        <v>0</v>
      </c>
      <c r="AB276" s="8">
        <f>IFERROR(__xludf.DUMMYFUNCTION("""COMPUTED_VALUE"""),0.0)</f>
        <v>0</v>
      </c>
      <c r="AC276" s="8">
        <f>IFERROR(__xludf.DUMMYFUNCTION("""COMPUTED_VALUE"""),0.0)</f>
        <v>0</v>
      </c>
    </row>
    <row r="277" ht="15.75" customHeight="1">
      <c r="A277" s="6" t="str">
        <f>IFERROR(__xludf.DUMMYFUNCTION("""COMPUTED_VALUE"""),"fce8fe866ed4c3d213e087a4343996d06bb09af7")</f>
        <v>fce8fe866ed4c3d213e087a4343996d06bb09af7</v>
      </c>
      <c r="B277" s="6" t="str">
        <f>IFERROR(__xludf.DUMMYFUNCTION("""COMPUTED_VALUE"""),"The Anderson Rebirth")</f>
        <v>The Anderson Rebirth</v>
      </c>
      <c r="C277" s="6" t="str">
        <f>IFERROR(__xludf.DUMMYFUNCTION("""COMPUTED_VALUE"""),"System and Superpower")</f>
        <v>System and Superpower</v>
      </c>
      <c r="D277" s="11">
        <f>IFERROR(__xludf.DUMMYFUNCTION("""COMPUTED_VALUE"""),1664.0)</f>
        <v>1664</v>
      </c>
      <c r="E277" s="8">
        <f>IFERROR(__xludf.DUMMYFUNCTION("""COMPUTED_VALUE"""),0.944110576923076)</f>
        <v>0.9441105769</v>
      </c>
      <c r="F277" s="8">
        <f>IFERROR(__xludf.DUMMYFUNCTION("""COMPUTED_VALUE"""),0.608538785327721)</f>
        <v>0.6085387853</v>
      </c>
      <c r="G277" s="8">
        <f>IFERROR(__xludf.DUMMYFUNCTION("""COMPUTED_VALUE"""),0.551413108839446)</f>
        <v>0.5514131088</v>
      </c>
      <c r="H277" s="8">
        <f>IFERROR(__xludf.DUMMYFUNCTION("""COMPUTED_VALUE"""),0.519566526189042)</f>
        <v>0.5195665262</v>
      </c>
      <c r="I277" s="8">
        <f>IFERROR(__xludf.DUMMYFUNCTION("""COMPUTED_VALUE"""),0.474065138721351)</f>
        <v>0.4740651387</v>
      </c>
      <c r="J277" s="8">
        <f>IFERROR(__xludf.DUMMYFUNCTION("""COMPUTED_VALUE"""),0.446590223295111)</f>
        <v>0.4465902233</v>
      </c>
      <c r="K277" s="8">
        <f>IFERROR(__xludf.DUMMYFUNCTION("""COMPUTED_VALUE"""),0.43202416918429)</f>
        <v>0.4320241692</v>
      </c>
      <c r="L277" s="8">
        <f>IFERROR(__xludf.DUMMYFUNCTION("""COMPUTED_VALUE"""),0.413793103448275)</f>
        <v>0.4137931034</v>
      </c>
      <c r="M277" s="8">
        <f>IFERROR(__xludf.DUMMYFUNCTION("""COMPUTED_VALUE"""),0.401212121212121)</f>
        <v>0.4012121212</v>
      </c>
      <c r="N277" s="8">
        <f>IFERROR(__xludf.DUMMYFUNCTION("""COMPUTED_VALUE"""),0.387592137592137)</f>
        <v>0.3875921376</v>
      </c>
      <c r="O277" s="8">
        <f>IFERROR(__xludf.DUMMYFUNCTION("""COMPUTED_VALUE"""),0.3662604233483)</f>
        <v>0.3662604233</v>
      </c>
      <c r="P277" s="8">
        <f>IFERROR(__xludf.DUMMYFUNCTION("""COMPUTED_VALUE"""),0.266276041666666)</f>
        <v>0.2662760417</v>
      </c>
      <c r="Q277" s="8">
        <f>IFERROR(__xludf.DUMMYFUNCTION("""COMPUTED_VALUE"""),0.146211312700106)</f>
        <v>0.1462113127</v>
      </c>
      <c r="R277" s="8">
        <f>IFERROR(__xludf.DUMMYFUNCTION("""COMPUTED_VALUE"""),0.08363201911589)</f>
        <v>0.08363201912</v>
      </c>
      <c r="S277" s="8">
        <f>IFERROR(__xludf.DUMMYFUNCTION("""COMPUTED_VALUE"""),0.0)</f>
        <v>0</v>
      </c>
      <c r="T277" s="8">
        <f>IFERROR(__xludf.DUMMYFUNCTION("""COMPUTED_VALUE"""),0.0)</f>
        <v>0</v>
      </c>
      <c r="U277" s="8">
        <f>IFERROR(__xludf.DUMMYFUNCTION("""COMPUTED_VALUE"""),0.0)</f>
        <v>0</v>
      </c>
      <c r="V277" s="8">
        <f>IFERROR(__xludf.DUMMYFUNCTION("""COMPUTED_VALUE"""),0.0)</f>
        <v>0</v>
      </c>
      <c r="W277" s="8">
        <f>IFERROR(__xludf.DUMMYFUNCTION("""COMPUTED_VALUE"""),0.0)</f>
        <v>0</v>
      </c>
      <c r="X277" s="8">
        <f>IFERROR(__xludf.DUMMYFUNCTION("""COMPUTED_VALUE"""),0.0)</f>
        <v>0</v>
      </c>
      <c r="Y277" s="8">
        <f>IFERROR(__xludf.DUMMYFUNCTION("""COMPUTED_VALUE"""),0.0)</f>
        <v>0</v>
      </c>
      <c r="Z277" s="8">
        <f>IFERROR(__xludf.DUMMYFUNCTION("""COMPUTED_VALUE"""),0.0)</f>
        <v>0</v>
      </c>
      <c r="AA277" s="8">
        <f>IFERROR(__xludf.DUMMYFUNCTION("""COMPUTED_VALUE"""),0.0)</f>
        <v>0</v>
      </c>
      <c r="AB277" s="8">
        <f>IFERROR(__xludf.DUMMYFUNCTION("""COMPUTED_VALUE"""),0.0)</f>
        <v>0</v>
      </c>
      <c r="AC277" s="8">
        <f>IFERROR(__xludf.DUMMYFUNCTION("""COMPUTED_VALUE"""),0.0)</f>
        <v>0</v>
      </c>
    </row>
    <row r="278" ht="15.75" customHeight="1">
      <c r="A278" s="6" t="str">
        <f>IFERROR(__xludf.DUMMYFUNCTION("""COMPUTED_VALUE"""),"fce99720ddedf66c6e45f23c6876581e0b796f34")</f>
        <v>fce99720ddedf66c6e45f23c6876581e0b796f34</v>
      </c>
      <c r="B278" s="6" t="str">
        <f>IFERROR(__xludf.DUMMYFUNCTION("""COMPUTED_VALUE"""),"Reborn as Serena Whitmore")</f>
        <v>Reborn as Serena Whitmore</v>
      </c>
      <c r="C278" s="6" t="str">
        <f>IFERROR(__xludf.DUMMYFUNCTION("""COMPUTED_VALUE"""),"Romance")</f>
        <v>Romance</v>
      </c>
      <c r="D278" s="11">
        <f>IFERROR(__xludf.DUMMYFUNCTION("""COMPUTED_VALUE"""),230.0)</f>
        <v>230</v>
      </c>
      <c r="E278" s="8">
        <f>IFERROR(__xludf.DUMMYFUNCTION("""COMPUTED_VALUE"""),0.951965065502183)</f>
        <v>0.9519650655</v>
      </c>
      <c r="F278" s="8">
        <f>IFERROR(__xludf.DUMMYFUNCTION("""COMPUTED_VALUE"""),0.63716814159292)</f>
        <v>0.6371681416</v>
      </c>
      <c r="G278" s="8">
        <f>IFERROR(__xludf.DUMMYFUNCTION("""COMPUTED_VALUE"""),0.575892857142857)</f>
        <v>0.5758928571</v>
      </c>
      <c r="H278" s="8">
        <f>IFERROR(__xludf.DUMMYFUNCTION("""COMPUTED_VALUE"""),0.565022421524663)</f>
        <v>0.5650224215</v>
      </c>
      <c r="I278" s="8">
        <f>IFERROR(__xludf.DUMMYFUNCTION("""COMPUTED_VALUE"""),0.493150684931506)</f>
        <v>0.4931506849</v>
      </c>
      <c r="J278" s="8">
        <f>IFERROR(__xludf.DUMMYFUNCTION("""COMPUTED_VALUE"""),0.47)</f>
        <v>0.47</v>
      </c>
      <c r="K278" s="8">
        <f>IFERROR(__xludf.DUMMYFUNCTION("""COMPUTED_VALUE"""),0.436170212765957)</f>
        <v>0.4361702128</v>
      </c>
      <c r="L278" s="8">
        <f>IFERROR(__xludf.DUMMYFUNCTION("""COMPUTED_VALUE"""),0.412429378531073)</f>
        <v>0.4124293785</v>
      </c>
      <c r="M278" s="8">
        <f>IFERROR(__xludf.DUMMYFUNCTION("""COMPUTED_VALUE"""),0.362573099415204)</f>
        <v>0.3625730994</v>
      </c>
      <c r="N278" s="8">
        <f>IFERROR(__xludf.DUMMYFUNCTION("""COMPUTED_VALUE"""),0.345679012345679)</f>
        <v>0.3456790123</v>
      </c>
      <c r="O278" s="8">
        <f>IFERROR(__xludf.DUMMYFUNCTION("""COMPUTED_VALUE"""),0.329411764705882)</f>
        <v>0.3294117647</v>
      </c>
      <c r="P278" s="8">
        <f>IFERROR(__xludf.DUMMYFUNCTION("""COMPUTED_VALUE"""),0.348837209302325)</f>
        <v>0.3488372093</v>
      </c>
      <c r="Q278" s="8">
        <f>IFERROR(__xludf.DUMMYFUNCTION("""COMPUTED_VALUE"""),0.0)</f>
        <v>0</v>
      </c>
      <c r="R278" s="8">
        <f>IFERROR(__xludf.DUMMYFUNCTION("""COMPUTED_VALUE"""),0.0)</f>
        <v>0</v>
      </c>
      <c r="S278" s="8">
        <f>IFERROR(__xludf.DUMMYFUNCTION("""COMPUTED_VALUE"""),0.0)</f>
        <v>0</v>
      </c>
      <c r="T278" s="8">
        <f>IFERROR(__xludf.DUMMYFUNCTION("""COMPUTED_VALUE"""),0.0)</f>
        <v>0</v>
      </c>
      <c r="U278" s="8">
        <f>IFERROR(__xludf.DUMMYFUNCTION("""COMPUTED_VALUE"""),0.0)</f>
        <v>0</v>
      </c>
      <c r="V278" s="8">
        <f>IFERROR(__xludf.DUMMYFUNCTION("""COMPUTED_VALUE"""),0.0)</f>
        <v>0</v>
      </c>
      <c r="W278" s="8">
        <f>IFERROR(__xludf.DUMMYFUNCTION("""COMPUTED_VALUE"""),0.0)</f>
        <v>0</v>
      </c>
      <c r="X278" s="8">
        <f>IFERROR(__xludf.DUMMYFUNCTION("""COMPUTED_VALUE"""),0.0)</f>
        <v>0</v>
      </c>
      <c r="Y278" s="8">
        <f>IFERROR(__xludf.DUMMYFUNCTION("""COMPUTED_VALUE"""),0.0)</f>
        <v>0</v>
      </c>
      <c r="Z278" s="8">
        <f>IFERROR(__xludf.DUMMYFUNCTION("""COMPUTED_VALUE"""),0.0)</f>
        <v>0</v>
      </c>
      <c r="AA278" s="8">
        <f>IFERROR(__xludf.DUMMYFUNCTION("""COMPUTED_VALUE"""),0.0)</f>
        <v>0</v>
      </c>
      <c r="AB278" s="8">
        <f>IFERROR(__xludf.DUMMYFUNCTION("""COMPUTED_VALUE"""),0.0)</f>
        <v>0</v>
      </c>
      <c r="AC278" s="8">
        <f>IFERROR(__xludf.DUMMYFUNCTION("""COMPUTED_VALUE"""),0.0)</f>
        <v>0</v>
      </c>
    </row>
    <row r="279" ht="15.75" customHeight="1">
      <c r="A279" s="6" t="str">
        <f>IFERROR(__xludf.DUMMYFUNCTION("""COMPUTED_VALUE"""),"fe01aa725eab93a44f707bbab393a9640b0e69db")</f>
        <v>fe01aa725eab93a44f707bbab393a9640b0e69db</v>
      </c>
      <c r="B279" s="6" t="str">
        <f>IFERROR(__xludf.DUMMYFUNCTION("""COMPUTED_VALUE"""),"3 Years Later He Found Me")</f>
        <v>3 Years Later He Found Me</v>
      </c>
      <c r="C279" s="6" t="str">
        <f>IFERROR(__xludf.DUMMYFUNCTION("""COMPUTED_VALUE"""),"Romance")</f>
        <v>Romance</v>
      </c>
      <c r="D279" s="11">
        <f>IFERROR(__xludf.DUMMYFUNCTION("""COMPUTED_VALUE"""),144.0)</f>
        <v>144</v>
      </c>
      <c r="E279" s="8">
        <f>IFERROR(__xludf.DUMMYFUNCTION("""COMPUTED_VALUE"""),0.958333333333333)</f>
        <v>0.9583333333</v>
      </c>
      <c r="F279" s="8">
        <f>IFERROR(__xludf.DUMMYFUNCTION("""COMPUTED_VALUE"""),0.328671328671328)</f>
        <v>0.3286713287</v>
      </c>
      <c r="G279" s="8">
        <f>IFERROR(__xludf.DUMMYFUNCTION("""COMPUTED_VALUE"""),0.279720279720279)</f>
        <v>0.2797202797</v>
      </c>
      <c r="H279" s="8">
        <f>IFERROR(__xludf.DUMMYFUNCTION("""COMPUTED_VALUE"""),0.265734265734265)</f>
        <v>0.2657342657</v>
      </c>
      <c r="I279" s="8">
        <f>IFERROR(__xludf.DUMMYFUNCTION("""COMPUTED_VALUE"""),0.258741258741258)</f>
        <v>0.2587412587</v>
      </c>
      <c r="J279" s="8">
        <f>IFERROR(__xludf.DUMMYFUNCTION("""COMPUTED_VALUE"""),0.251748251748251)</f>
        <v>0.2517482517</v>
      </c>
      <c r="K279" s="8">
        <f>IFERROR(__xludf.DUMMYFUNCTION("""COMPUTED_VALUE"""),0.251748251748251)</f>
        <v>0.2517482517</v>
      </c>
      <c r="L279" s="8">
        <f>IFERROR(__xludf.DUMMYFUNCTION("""COMPUTED_VALUE"""),0.225352112676056)</f>
        <v>0.2253521127</v>
      </c>
      <c r="M279" s="8">
        <f>IFERROR(__xludf.DUMMYFUNCTION("""COMPUTED_VALUE"""),0.225352112676056)</f>
        <v>0.2253521127</v>
      </c>
      <c r="N279" s="8">
        <f>IFERROR(__xludf.DUMMYFUNCTION("""COMPUTED_VALUE"""),0.197183098591549)</f>
        <v>0.1971830986</v>
      </c>
      <c r="O279" s="8">
        <f>IFERROR(__xludf.DUMMYFUNCTION("""COMPUTED_VALUE"""),0.157142857142857)</f>
        <v>0.1571428571</v>
      </c>
      <c r="P279" s="8">
        <f>IFERROR(__xludf.DUMMYFUNCTION("""COMPUTED_VALUE"""),0.0701754385964912)</f>
        <v>0.0701754386</v>
      </c>
      <c r="Q279" s="8">
        <f>IFERROR(__xludf.DUMMYFUNCTION("""COMPUTED_VALUE"""),0.0307692307692307)</f>
        <v>0.03076923077</v>
      </c>
      <c r="R279" s="8">
        <f>IFERROR(__xludf.DUMMYFUNCTION("""COMPUTED_VALUE"""),1.0)</f>
        <v>1</v>
      </c>
      <c r="S279" s="8">
        <f>IFERROR(__xludf.DUMMYFUNCTION("""COMPUTED_VALUE"""),0.0)</f>
        <v>0</v>
      </c>
      <c r="T279" s="8">
        <f>IFERROR(__xludf.DUMMYFUNCTION("""COMPUTED_VALUE"""),0.0)</f>
        <v>0</v>
      </c>
      <c r="U279" s="8">
        <f>IFERROR(__xludf.DUMMYFUNCTION("""COMPUTED_VALUE"""),0.0)</f>
        <v>0</v>
      </c>
      <c r="V279" s="8">
        <f>IFERROR(__xludf.DUMMYFUNCTION("""COMPUTED_VALUE"""),0.0)</f>
        <v>0</v>
      </c>
      <c r="W279" s="8">
        <f>IFERROR(__xludf.DUMMYFUNCTION("""COMPUTED_VALUE"""),0.0)</f>
        <v>0</v>
      </c>
      <c r="X279" s="8">
        <f>IFERROR(__xludf.DUMMYFUNCTION("""COMPUTED_VALUE"""),0.0)</f>
        <v>0</v>
      </c>
      <c r="Y279" s="8">
        <f>IFERROR(__xludf.DUMMYFUNCTION("""COMPUTED_VALUE"""),0.0)</f>
        <v>0</v>
      </c>
      <c r="Z279" s="8">
        <f>IFERROR(__xludf.DUMMYFUNCTION("""COMPUTED_VALUE"""),0.0)</f>
        <v>0</v>
      </c>
      <c r="AA279" s="8">
        <f>IFERROR(__xludf.DUMMYFUNCTION("""COMPUTED_VALUE"""),0.0)</f>
        <v>0</v>
      </c>
      <c r="AB279" s="8">
        <f>IFERROR(__xludf.DUMMYFUNCTION("""COMPUTED_VALUE"""),0.0)</f>
        <v>0</v>
      </c>
      <c r="AC279" s="8">
        <f>IFERROR(__xludf.DUMMYFUNCTION("""COMPUTED_VALUE"""),0.0)</f>
        <v>0</v>
      </c>
    </row>
    <row r="280" ht="15.75" customHeight="1">
      <c r="A280" s="6" t="str">
        <f>IFERROR(__xludf.DUMMYFUNCTION("""COMPUTED_VALUE"""),"fe218223c3cbc0377d2bb07ad68251723f1b3792")</f>
        <v>fe218223c3cbc0377d2bb07ad68251723f1b3792</v>
      </c>
      <c r="B280" s="6" t="str">
        <f>IFERROR(__xludf.DUMMYFUNCTION("""COMPUTED_VALUE"""),"Return of the Gamer God")</f>
        <v>Return of the Gamer God</v>
      </c>
      <c r="C280" s="6" t="str">
        <f>IFERROR(__xludf.DUMMYFUNCTION("""COMPUTED_VALUE"""),"System and Superpower")</f>
        <v>System and Superpower</v>
      </c>
      <c r="D280" s="11">
        <f>IFERROR(__xludf.DUMMYFUNCTION("""COMPUTED_VALUE"""),5493.0)</f>
        <v>5493</v>
      </c>
      <c r="E280" s="8">
        <f>IFERROR(__xludf.DUMMYFUNCTION("""COMPUTED_VALUE"""),0.967524174420726)</f>
        <v>0.9675241744</v>
      </c>
      <c r="F280" s="8">
        <f>IFERROR(__xludf.DUMMYFUNCTION("""COMPUTED_VALUE"""),0.524821395860047)</f>
        <v>0.5248213959</v>
      </c>
      <c r="G280" s="8">
        <f>IFERROR(__xludf.DUMMYFUNCTION("""COMPUTED_VALUE"""),0.487132352941176)</f>
        <v>0.4871323529</v>
      </c>
      <c r="H280" s="8">
        <f>IFERROR(__xludf.DUMMYFUNCTION("""COMPUTED_VALUE"""),0.451946135399372)</f>
        <v>0.4519461354</v>
      </c>
      <c r="I280" s="8">
        <f>IFERROR(__xludf.DUMMYFUNCTION("""COMPUTED_VALUE"""),0.426429761243753)</f>
        <v>0.4264297612</v>
      </c>
      <c r="J280" s="8">
        <f>IFERROR(__xludf.DUMMYFUNCTION("""COMPUTED_VALUE"""),0.408516177017478)</f>
        <v>0.408516177</v>
      </c>
      <c r="K280" s="8">
        <f>IFERROR(__xludf.DUMMYFUNCTION("""COMPUTED_VALUE"""),0.395526561043802)</f>
        <v>0.395526561</v>
      </c>
      <c r="L280" s="8">
        <f>IFERROR(__xludf.DUMMYFUNCTION("""COMPUTED_VALUE"""),0.381192746307721)</f>
        <v>0.3811927463</v>
      </c>
      <c r="M280" s="8">
        <f>IFERROR(__xludf.DUMMYFUNCTION("""COMPUTED_VALUE"""),0.366516685414323)</f>
        <v>0.3665166854</v>
      </c>
      <c r="N280" s="8">
        <f>IFERROR(__xludf.DUMMYFUNCTION("""COMPUTED_VALUE"""),0.359148294705106)</f>
        <v>0.3591482947</v>
      </c>
      <c r="O280" s="8">
        <f>IFERROR(__xludf.DUMMYFUNCTION("""COMPUTED_VALUE"""),0.308748615725359)</f>
        <v>0.3087486157</v>
      </c>
      <c r="P280" s="8">
        <f>IFERROR(__xludf.DUMMYFUNCTION("""COMPUTED_VALUE"""),0.259821428571428)</f>
        <v>0.2598214286</v>
      </c>
      <c r="Q280" s="8">
        <f>IFERROR(__xludf.DUMMYFUNCTION("""COMPUTED_VALUE"""),0.125)</f>
        <v>0.125</v>
      </c>
      <c r="R280" s="8">
        <f>IFERROR(__xludf.DUMMYFUNCTION("""COMPUTED_VALUE"""),0.0)</f>
        <v>0</v>
      </c>
      <c r="S280" s="8">
        <f>IFERROR(__xludf.DUMMYFUNCTION("""COMPUTED_VALUE"""),0.0)</f>
        <v>0</v>
      </c>
      <c r="T280" s="8">
        <f>IFERROR(__xludf.DUMMYFUNCTION("""COMPUTED_VALUE"""),0.0)</f>
        <v>0</v>
      </c>
      <c r="U280" s="8">
        <f>IFERROR(__xludf.DUMMYFUNCTION("""COMPUTED_VALUE"""),0.0)</f>
        <v>0</v>
      </c>
      <c r="V280" s="8">
        <f>IFERROR(__xludf.DUMMYFUNCTION("""COMPUTED_VALUE"""),0.0)</f>
        <v>0</v>
      </c>
      <c r="W280" s="8">
        <f>IFERROR(__xludf.DUMMYFUNCTION("""COMPUTED_VALUE"""),0.0)</f>
        <v>0</v>
      </c>
      <c r="X280" s="8">
        <f>IFERROR(__xludf.DUMMYFUNCTION("""COMPUTED_VALUE"""),0.0)</f>
        <v>0</v>
      </c>
      <c r="Y280" s="8">
        <f>IFERROR(__xludf.DUMMYFUNCTION("""COMPUTED_VALUE"""),0.0)</f>
        <v>0</v>
      </c>
      <c r="Z280" s="8">
        <f>IFERROR(__xludf.DUMMYFUNCTION("""COMPUTED_VALUE"""),0.0)</f>
        <v>0</v>
      </c>
      <c r="AA280" s="8">
        <f>IFERROR(__xludf.DUMMYFUNCTION("""COMPUTED_VALUE"""),0.0)</f>
        <v>0</v>
      </c>
      <c r="AB280" s="8">
        <f>IFERROR(__xludf.DUMMYFUNCTION("""COMPUTED_VALUE"""),0.0)</f>
        <v>0</v>
      </c>
      <c r="AC280" s="8">
        <f>IFERROR(__xludf.DUMMYFUNCTION("""COMPUTED_VALUE"""),0.0)</f>
        <v>0</v>
      </c>
    </row>
    <row r="281" ht="15.75" customHeight="1">
      <c r="A281" s="1"/>
      <c r="B281" s="1"/>
      <c r="C281" s="1"/>
      <c r="D281" s="2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5.75" customHeight="1">
      <c r="A282" s="1"/>
      <c r="B282" s="1"/>
      <c r="C282" s="1"/>
      <c r="D282" s="2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5.75" customHeight="1">
      <c r="A283" s="1"/>
      <c r="B283" s="1"/>
      <c r="C283" s="1"/>
      <c r="D283" s="2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5.75" customHeight="1">
      <c r="A284" s="12"/>
      <c r="B284" s="12"/>
      <c r="C284" s="12"/>
      <c r="D284" s="3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5.75" customHeight="1">
      <c r="A285" s="12"/>
      <c r="B285" s="12"/>
      <c r="C285" s="12"/>
      <c r="D285" s="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5.75" customHeight="1">
      <c r="A286" s="12"/>
      <c r="B286" s="12"/>
      <c r="C286" s="12"/>
      <c r="D286" s="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5.75" customHeight="1">
      <c r="A287" s="12"/>
      <c r="B287" s="12"/>
      <c r="C287" s="12"/>
      <c r="D287" s="3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5.75" customHeight="1">
      <c r="A288" s="12"/>
      <c r="B288" s="12"/>
      <c r="C288" s="12"/>
      <c r="D288" s="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5.75" customHeight="1">
      <c r="A289" s="12"/>
      <c r="B289" s="12"/>
      <c r="C289" s="12"/>
      <c r="D289" s="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5.75" customHeight="1">
      <c r="A290" s="12"/>
      <c r="B290" s="12"/>
      <c r="C290" s="12"/>
      <c r="D290" s="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5.75" customHeight="1">
      <c r="A291" s="12"/>
      <c r="B291" s="12"/>
      <c r="C291" s="12"/>
      <c r="D291" s="3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15.75" customHeight="1">
      <c r="A292" s="12"/>
      <c r="B292" s="12"/>
      <c r="C292" s="12"/>
      <c r="D292" s="3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15.75" customHeight="1">
      <c r="A293" s="12"/>
      <c r="B293" s="12"/>
      <c r="C293" s="12"/>
      <c r="D293" s="3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5.75" customHeight="1">
      <c r="A294" s="12"/>
      <c r="B294" s="12"/>
      <c r="C294" s="12"/>
      <c r="D294" s="3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15.75" customHeight="1">
      <c r="A295" s="12"/>
      <c r="B295" s="12"/>
      <c r="C295" s="12"/>
      <c r="D295" s="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15.75" customHeight="1">
      <c r="A296" s="12"/>
      <c r="B296" s="12"/>
      <c r="C296" s="12"/>
      <c r="D296" s="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15.75" customHeight="1">
      <c r="A297" s="12"/>
      <c r="B297" s="12"/>
      <c r="C297" s="12"/>
      <c r="D297" s="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5.75" customHeight="1">
      <c r="A298" s="12"/>
      <c r="B298" s="12"/>
      <c r="C298" s="12"/>
      <c r="D298" s="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15.75" customHeight="1">
      <c r="A299" s="12"/>
      <c r="B299" s="12"/>
      <c r="C299" s="12"/>
      <c r="D299" s="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15.75" customHeight="1">
      <c r="A300" s="12"/>
      <c r="B300" s="12"/>
      <c r="C300" s="12"/>
      <c r="D300" s="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15.75" customHeight="1">
      <c r="A301" s="12"/>
      <c r="B301" s="12"/>
      <c r="C301" s="12"/>
      <c r="D301" s="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5.75" customHeight="1">
      <c r="A302" s="12"/>
      <c r="B302" s="12"/>
      <c r="C302" s="12"/>
      <c r="D302" s="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15.75" customHeight="1">
      <c r="A303" s="12"/>
      <c r="B303" s="12"/>
      <c r="C303" s="12"/>
      <c r="D303" s="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15.75" customHeight="1">
      <c r="A304" s="12"/>
      <c r="B304" s="12"/>
      <c r="C304" s="12"/>
      <c r="D304" s="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5.75" customHeight="1">
      <c r="A305" s="12"/>
      <c r="B305" s="12"/>
      <c r="C305" s="12"/>
      <c r="D305" s="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15.75" customHeight="1">
      <c r="A306" s="12"/>
      <c r="B306" s="12"/>
      <c r="C306" s="12"/>
      <c r="D306" s="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5.75" customHeight="1">
      <c r="A307" s="12"/>
      <c r="B307" s="12"/>
      <c r="C307" s="12"/>
      <c r="D307" s="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15.75" customHeight="1">
      <c r="A308" s="12"/>
      <c r="B308" s="12"/>
      <c r="C308" s="12"/>
      <c r="D308" s="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5.75" customHeight="1">
      <c r="A309" s="12"/>
      <c r="B309" s="12"/>
      <c r="C309" s="12"/>
      <c r="D309" s="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15.75" customHeight="1">
      <c r="A310" s="12"/>
      <c r="B310" s="12"/>
      <c r="C310" s="12"/>
      <c r="D310" s="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15.75" customHeight="1">
      <c r="A311" s="12"/>
      <c r="B311" s="12"/>
      <c r="C311" s="12"/>
      <c r="D311" s="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15.75" customHeight="1">
      <c r="A312" s="12"/>
      <c r="B312" s="12"/>
      <c r="C312" s="12"/>
      <c r="D312" s="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5.75" customHeight="1">
      <c r="A313" s="12"/>
      <c r="B313" s="12"/>
      <c r="C313" s="12"/>
      <c r="D313" s="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15.75" customHeight="1">
      <c r="A314" s="12"/>
      <c r="B314" s="12"/>
      <c r="C314" s="12"/>
      <c r="D314" s="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15.75" customHeight="1">
      <c r="A315" s="12"/>
      <c r="B315" s="12"/>
      <c r="C315" s="12"/>
      <c r="D315" s="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15.75" customHeight="1">
      <c r="A316" s="12"/>
      <c r="B316" s="12"/>
      <c r="C316" s="12"/>
      <c r="D316" s="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5.75" customHeight="1">
      <c r="A317" s="12"/>
      <c r="B317" s="12"/>
      <c r="C317" s="12"/>
      <c r="D317" s="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15.75" customHeight="1">
      <c r="A318" s="12"/>
      <c r="B318" s="12"/>
      <c r="C318" s="12"/>
      <c r="D318" s="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15.75" customHeight="1">
      <c r="A319" s="12"/>
      <c r="B319" s="12"/>
      <c r="C319" s="12"/>
      <c r="D319" s="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15.75" customHeight="1">
      <c r="A320" s="12"/>
      <c r="B320" s="12"/>
      <c r="C320" s="12"/>
      <c r="D320" s="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5.75" customHeight="1">
      <c r="A321" s="12"/>
      <c r="B321" s="12"/>
      <c r="C321" s="12"/>
      <c r="D321" s="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15.75" customHeight="1">
      <c r="A322" s="12"/>
      <c r="B322" s="12"/>
      <c r="C322" s="12"/>
      <c r="D322" s="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15.75" customHeight="1">
      <c r="A323" s="12"/>
      <c r="B323" s="12"/>
      <c r="C323" s="12"/>
      <c r="D323" s="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5.75" customHeight="1">
      <c r="A324" s="12"/>
      <c r="B324" s="12"/>
      <c r="C324" s="12"/>
      <c r="D324" s="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15.75" customHeight="1">
      <c r="A325" s="12"/>
      <c r="B325" s="12"/>
      <c r="C325" s="12"/>
      <c r="D325" s="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15.75" customHeight="1">
      <c r="A326" s="12"/>
      <c r="B326" s="12"/>
      <c r="C326" s="12"/>
      <c r="D326" s="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15.75" customHeight="1">
      <c r="A327" s="12"/>
      <c r="B327" s="12"/>
      <c r="C327" s="12"/>
      <c r="D327" s="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5.75" customHeight="1">
      <c r="A328" s="12"/>
      <c r="B328" s="12"/>
      <c r="C328" s="12"/>
      <c r="D328" s="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15.75" customHeight="1">
      <c r="A329" s="12"/>
      <c r="B329" s="12"/>
      <c r="C329" s="12"/>
      <c r="D329" s="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15.75" customHeight="1">
      <c r="A330" s="12"/>
      <c r="B330" s="12"/>
      <c r="C330" s="12"/>
      <c r="D330" s="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5.75" customHeight="1">
      <c r="A331" s="12"/>
      <c r="B331" s="12"/>
      <c r="C331" s="12"/>
      <c r="D331" s="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15.75" customHeight="1">
      <c r="A332" s="12"/>
      <c r="B332" s="12"/>
      <c r="C332" s="12"/>
      <c r="D332" s="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15.75" customHeight="1">
      <c r="A333" s="12"/>
      <c r="B333" s="12"/>
      <c r="C333" s="12"/>
      <c r="D333" s="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5.75" customHeight="1">
      <c r="A334" s="12"/>
      <c r="B334" s="12"/>
      <c r="C334" s="12"/>
      <c r="D334" s="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15.75" customHeight="1">
      <c r="A335" s="12"/>
      <c r="B335" s="12"/>
      <c r="C335" s="12"/>
      <c r="D335" s="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15.75" customHeight="1">
      <c r="A336" s="12"/>
      <c r="B336" s="12"/>
      <c r="C336" s="12"/>
      <c r="D336" s="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15.75" customHeight="1">
      <c r="A337" s="12"/>
      <c r="B337" s="12"/>
      <c r="C337" s="12"/>
      <c r="D337" s="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5.75" customHeight="1">
      <c r="A338" s="12"/>
      <c r="B338" s="12"/>
      <c r="C338" s="12"/>
      <c r="D338" s="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15.75" customHeight="1">
      <c r="A339" s="12"/>
      <c r="B339" s="12"/>
      <c r="C339" s="12"/>
      <c r="D339" s="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15.75" customHeight="1">
      <c r="A340" s="12"/>
      <c r="B340" s="12"/>
      <c r="C340" s="12"/>
      <c r="D340" s="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5.75" customHeight="1">
      <c r="A341" s="12"/>
      <c r="B341" s="12"/>
      <c r="C341" s="12"/>
      <c r="D341" s="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15.75" customHeight="1">
      <c r="A342" s="12"/>
      <c r="B342" s="12"/>
      <c r="C342" s="12"/>
      <c r="D342" s="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15.75" customHeight="1">
      <c r="A343" s="12"/>
      <c r="B343" s="12"/>
      <c r="C343" s="12"/>
      <c r="D343" s="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5.75" customHeight="1">
      <c r="A344" s="12"/>
      <c r="B344" s="12"/>
      <c r="C344" s="12"/>
      <c r="D344" s="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15.75" customHeight="1">
      <c r="A345" s="12"/>
      <c r="B345" s="12"/>
      <c r="C345" s="12"/>
      <c r="D345" s="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15.75" customHeight="1">
      <c r="A346" s="12"/>
      <c r="B346" s="12"/>
      <c r="C346" s="12"/>
      <c r="D346" s="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15.75" customHeight="1">
      <c r="A347" s="12"/>
      <c r="B347" s="12"/>
      <c r="C347" s="12"/>
      <c r="D347" s="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15.75" customHeight="1">
      <c r="A348" s="12"/>
      <c r="B348" s="12"/>
      <c r="C348" s="12"/>
      <c r="D348" s="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15.75" customHeight="1">
      <c r="A349" s="12"/>
      <c r="B349" s="12"/>
      <c r="C349" s="12"/>
      <c r="D349" s="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15.75" customHeight="1">
      <c r="A350" s="12"/>
      <c r="B350" s="12"/>
      <c r="C350" s="12"/>
      <c r="D350" s="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15.75" customHeight="1">
      <c r="A351" s="12"/>
      <c r="B351" s="12"/>
      <c r="C351" s="12"/>
      <c r="D351" s="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15.75" customHeight="1">
      <c r="A352" s="12"/>
      <c r="B352" s="12"/>
      <c r="C352" s="12"/>
      <c r="D352" s="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15.75" customHeight="1">
      <c r="A353" s="12"/>
      <c r="B353" s="12"/>
      <c r="C353" s="12"/>
      <c r="D353" s="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15.75" customHeight="1">
      <c r="A354" s="12"/>
      <c r="B354" s="12"/>
      <c r="C354" s="12"/>
      <c r="D354" s="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15.75" customHeight="1">
      <c r="A355" s="12"/>
      <c r="B355" s="12"/>
      <c r="C355" s="12"/>
      <c r="D355" s="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15.75" customHeight="1">
      <c r="A356" s="12"/>
      <c r="B356" s="12"/>
      <c r="C356" s="12"/>
      <c r="D356" s="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15.75" customHeight="1">
      <c r="A357" s="12"/>
      <c r="B357" s="12"/>
      <c r="C357" s="12"/>
      <c r="D357" s="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15.75" customHeight="1">
      <c r="A358" s="12"/>
      <c r="B358" s="12"/>
      <c r="C358" s="12"/>
      <c r="D358" s="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15.75" customHeight="1">
      <c r="A359" s="12"/>
      <c r="B359" s="12"/>
      <c r="C359" s="12"/>
      <c r="D359" s="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15.75" customHeight="1">
      <c r="A360" s="12"/>
      <c r="B360" s="12"/>
      <c r="C360" s="12"/>
      <c r="D360" s="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15.75" customHeight="1">
      <c r="A361" s="12"/>
      <c r="B361" s="12"/>
      <c r="C361" s="12"/>
      <c r="D361" s="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15.75" customHeight="1">
      <c r="A362" s="12"/>
      <c r="B362" s="12"/>
      <c r="C362" s="12"/>
      <c r="D362" s="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15.75" customHeight="1">
      <c r="A363" s="12"/>
      <c r="B363" s="12"/>
      <c r="C363" s="12"/>
      <c r="D363" s="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15.75" customHeight="1">
      <c r="A364" s="12"/>
      <c r="B364" s="12"/>
      <c r="C364" s="12"/>
      <c r="D364" s="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15.75" customHeight="1">
      <c r="A365" s="12"/>
      <c r="B365" s="12"/>
      <c r="C365" s="12"/>
      <c r="D365" s="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15.75" customHeight="1">
      <c r="A366" s="12"/>
      <c r="B366" s="12"/>
      <c r="C366" s="12"/>
      <c r="D366" s="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15.75" customHeight="1">
      <c r="A367" s="12"/>
      <c r="B367" s="12"/>
      <c r="C367" s="12"/>
      <c r="D367" s="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15.75" customHeight="1">
      <c r="A368" s="12"/>
      <c r="B368" s="12"/>
      <c r="C368" s="12"/>
      <c r="D368" s="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15.75" customHeight="1">
      <c r="A369" s="12"/>
      <c r="B369" s="12"/>
      <c r="C369" s="12"/>
      <c r="D369" s="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15.75" customHeight="1">
      <c r="A370" s="12"/>
      <c r="B370" s="12"/>
      <c r="C370" s="12"/>
      <c r="D370" s="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15.75" customHeight="1">
      <c r="A371" s="12"/>
      <c r="B371" s="12"/>
      <c r="C371" s="12"/>
      <c r="D371" s="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15.75" customHeight="1">
      <c r="A372" s="12"/>
      <c r="B372" s="12"/>
      <c r="C372" s="12"/>
      <c r="D372" s="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15.75" customHeight="1">
      <c r="A373" s="12"/>
      <c r="B373" s="12"/>
      <c r="C373" s="12"/>
      <c r="D373" s="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15.75" customHeight="1">
      <c r="A374" s="12"/>
      <c r="B374" s="12"/>
      <c r="C374" s="12"/>
      <c r="D374" s="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15.75" customHeight="1">
      <c r="A375" s="12"/>
      <c r="B375" s="12"/>
      <c r="C375" s="12"/>
      <c r="D375" s="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15.75" customHeight="1">
      <c r="A376" s="12"/>
      <c r="B376" s="12"/>
      <c r="C376" s="12"/>
      <c r="D376" s="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15.75" customHeight="1">
      <c r="A377" s="12"/>
      <c r="B377" s="12"/>
      <c r="C377" s="12"/>
      <c r="D377" s="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15.75" customHeight="1">
      <c r="A378" s="12"/>
      <c r="B378" s="12"/>
      <c r="C378" s="12"/>
      <c r="D378" s="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15.75" customHeight="1">
      <c r="A379" s="12"/>
      <c r="B379" s="12"/>
      <c r="C379" s="12"/>
      <c r="D379" s="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15.75" customHeight="1">
      <c r="A380" s="12"/>
      <c r="B380" s="12"/>
      <c r="C380" s="12"/>
      <c r="D380" s="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15.75" customHeight="1">
      <c r="A381" s="12"/>
      <c r="B381" s="12"/>
      <c r="C381" s="12"/>
      <c r="D381" s="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15.75" customHeight="1">
      <c r="A382" s="12"/>
      <c r="B382" s="12"/>
      <c r="C382" s="12"/>
      <c r="D382" s="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15.75" customHeight="1">
      <c r="A383" s="12"/>
      <c r="B383" s="12"/>
      <c r="C383" s="12"/>
      <c r="D383" s="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15.75" customHeight="1">
      <c r="A384" s="12"/>
      <c r="B384" s="12"/>
      <c r="C384" s="12"/>
      <c r="D384" s="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15.75" customHeight="1">
      <c r="A385" s="12"/>
      <c r="B385" s="12"/>
      <c r="C385" s="12"/>
      <c r="D385" s="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15.75" customHeight="1">
      <c r="A386" s="12"/>
      <c r="B386" s="12"/>
      <c r="C386" s="12"/>
      <c r="D386" s="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15.75" customHeight="1">
      <c r="A387" s="12"/>
      <c r="B387" s="12"/>
      <c r="C387" s="12"/>
      <c r="D387" s="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15.75" customHeight="1">
      <c r="A388" s="12"/>
      <c r="B388" s="12"/>
      <c r="C388" s="12"/>
      <c r="D388" s="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15.75" customHeight="1">
      <c r="A389" s="12"/>
      <c r="B389" s="12"/>
      <c r="C389" s="12"/>
      <c r="D389" s="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15.75" customHeight="1">
      <c r="A390" s="12"/>
      <c r="B390" s="12"/>
      <c r="C390" s="12"/>
      <c r="D390" s="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15.75" customHeight="1">
      <c r="A391" s="12"/>
      <c r="B391" s="12"/>
      <c r="C391" s="12"/>
      <c r="D391" s="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15.75" customHeight="1">
      <c r="A392" s="12"/>
      <c r="B392" s="12"/>
      <c r="C392" s="12"/>
      <c r="D392" s="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15.75" customHeight="1">
      <c r="A393" s="12"/>
      <c r="B393" s="12"/>
      <c r="C393" s="12"/>
      <c r="D393" s="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15.75" customHeight="1">
      <c r="A394" s="12"/>
      <c r="B394" s="12"/>
      <c r="C394" s="12"/>
      <c r="D394" s="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15.75" customHeight="1">
      <c r="A395" s="12"/>
      <c r="B395" s="12"/>
      <c r="C395" s="12"/>
      <c r="D395" s="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15.75" customHeight="1">
      <c r="A396" s="12"/>
      <c r="B396" s="12"/>
      <c r="C396" s="12"/>
      <c r="D396" s="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15.75" customHeight="1">
      <c r="A397" s="12"/>
      <c r="B397" s="12"/>
      <c r="C397" s="12"/>
      <c r="D397" s="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15.75" customHeight="1">
      <c r="A398" s="12"/>
      <c r="B398" s="12"/>
      <c r="C398" s="12"/>
      <c r="D398" s="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15.75" customHeight="1">
      <c r="A399" s="12"/>
      <c r="B399" s="12"/>
      <c r="C399" s="12"/>
      <c r="D399" s="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15.75" customHeight="1">
      <c r="A400" s="12"/>
      <c r="B400" s="12"/>
      <c r="C400" s="12"/>
      <c r="D400" s="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15.75" customHeight="1">
      <c r="A401" s="12"/>
      <c r="B401" s="12"/>
      <c r="C401" s="12"/>
      <c r="D401" s="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15.75" customHeight="1">
      <c r="A402" s="12"/>
      <c r="B402" s="12"/>
      <c r="C402" s="12"/>
      <c r="D402" s="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15.75" customHeight="1">
      <c r="A403" s="12"/>
      <c r="B403" s="12"/>
      <c r="C403" s="12"/>
      <c r="D403" s="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15.75" customHeight="1">
      <c r="A404" s="12"/>
      <c r="B404" s="12"/>
      <c r="C404" s="12"/>
      <c r="D404" s="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15.75" customHeight="1">
      <c r="A405" s="12"/>
      <c r="B405" s="12"/>
      <c r="C405" s="12"/>
      <c r="D405" s="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15.75" customHeight="1">
      <c r="A406" s="12"/>
      <c r="B406" s="12"/>
      <c r="C406" s="12"/>
      <c r="D406" s="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15.75" customHeight="1">
      <c r="A407" s="12"/>
      <c r="B407" s="12"/>
      <c r="C407" s="12"/>
      <c r="D407" s="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15.75" customHeight="1">
      <c r="A408" s="12"/>
      <c r="B408" s="12"/>
      <c r="C408" s="12"/>
      <c r="D408" s="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15.75" customHeight="1">
      <c r="A409" s="12"/>
      <c r="B409" s="12"/>
      <c r="C409" s="12"/>
      <c r="D409" s="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15.75" customHeight="1">
      <c r="A410" s="12"/>
      <c r="B410" s="12"/>
      <c r="C410" s="12"/>
      <c r="D410" s="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15.75" customHeight="1">
      <c r="A411" s="12"/>
      <c r="B411" s="12"/>
      <c r="C411" s="12"/>
      <c r="D411" s="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15.75" customHeight="1">
      <c r="A412" s="12"/>
      <c r="B412" s="12"/>
      <c r="C412" s="12"/>
      <c r="D412" s="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15.75" customHeight="1">
      <c r="A413" s="12"/>
      <c r="B413" s="12"/>
      <c r="C413" s="12"/>
      <c r="D413" s="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15.75" customHeight="1">
      <c r="A414" s="12"/>
      <c r="B414" s="12"/>
      <c r="C414" s="12"/>
      <c r="D414" s="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15.75" customHeight="1">
      <c r="A415" s="12"/>
      <c r="B415" s="12"/>
      <c r="C415" s="12"/>
      <c r="D415" s="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15.75" customHeight="1">
      <c r="A416" s="12"/>
      <c r="B416" s="12"/>
      <c r="C416" s="12"/>
      <c r="D416" s="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15.75" customHeight="1">
      <c r="A417" s="12"/>
      <c r="B417" s="12"/>
      <c r="C417" s="12"/>
      <c r="D417" s="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15.75" customHeight="1">
      <c r="A418" s="12"/>
      <c r="B418" s="12"/>
      <c r="C418" s="12"/>
      <c r="D418" s="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15.75" customHeight="1">
      <c r="A419" s="12"/>
      <c r="B419" s="12"/>
      <c r="C419" s="12"/>
      <c r="D419" s="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15.75" customHeight="1">
      <c r="A420" s="12"/>
      <c r="B420" s="12"/>
      <c r="C420" s="12"/>
      <c r="D420" s="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15.75" customHeight="1">
      <c r="A421" s="12"/>
      <c r="B421" s="12"/>
      <c r="C421" s="12"/>
      <c r="D421" s="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15.75" customHeight="1">
      <c r="A422" s="12"/>
      <c r="B422" s="12"/>
      <c r="C422" s="12"/>
      <c r="D422" s="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15.75" customHeight="1">
      <c r="A423" s="12"/>
      <c r="B423" s="12"/>
      <c r="C423" s="12"/>
      <c r="D423" s="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15.75" customHeight="1">
      <c r="A424" s="12"/>
      <c r="B424" s="12"/>
      <c r="C424" s="12"/>
      <c r="D424" s="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15.75" customHeight="1">
      <c r="A425" s="12"/>
      <c r="B425" s="12"/>
      <c r="C425" s="12"/>
      <c r="D425" s="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15.75" customHeight="1">
      <c r="A426" s="12"/>
      <c r="B426" s="12"/>
      <c r="C426" s="12"/>
      <c r="D426" s="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15.75" customHeight="1">
      <c r="A427" s="12"/>
      <c r="B427" s="12"/>
      <c r="C427" s="12"/>
      <c r="D427" s="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15.75" customHeight="1">
      <c r="A428" s="12"/>
      <c r="B428" s="12"/>
      <c r="C428" s="12"/>
      <c r="D428" s="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15.75" customHeight="1">
      <c r="A429" s="12"/>
      <c r="B429" s="12"/>
      <c r="C429" s="12"/>
      <c r="D429" s="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15.75" customHeight="1">
      <c r="A430" s="12"/>
      <c r="B430" s="12"/>
      <c r="C430" s="12"/>
      <c r="D430" s="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15.75" customHeight="1">
      <c r="A431" s="12"/>
      <c r="B431" s="12"/>
      <c r="C431" s="12"/>
      <c r="D431" s="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15.75" customHeight="1">
      <c r="A432" s="12"/>
      <c r="B432" s="12"/>
      <c r="C432" s="12"/>
      <c r="D432" s="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15.75" customHeight="1">
      <c r="A433" s="12"/>
      <c r="B433" s="12"/>
      <c r="C433" s="12"/>
      <c r="D433" s="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15.75" customHeight="1">
      <c r="A434" s="12"/>
      <c r="B434" s="12"/>
      <c r="C434" s="12"/>
      <c r="D434" s="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15.75" customHeight="1">
      <c r="A435" s="12"/>
      <c r="B435" s="12"/>
      <c r="C435" s="12"/>
      <c r="D435" s="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15.75" customHeight="1">
      <c r="A436" s="12"/>
      <c r="B436" s="12"/>
      <c r="C436" s="12"/>
      <c r="D436" s="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15.75" customHeight="1">
      <c r="A437" s="12"/>
      <c r="B437" s="12"/>
      <c r="C437" s="12"/>
      <c r="D437" s="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15.75" customHeight="1">
      <c r="A438" s="12"/>
      <c r="B438" s="12"/>
      <c r="C438" s="12"/>
      <c r="D438" s="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15.75" customHeight="1">
      <c r="A439" s="12"/>
      <c r="B439" s="12"/>
      <c r="C439" s="12"/>
      <c r="D439" s="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15.75" customHeight="1">
      <c r="A440" s="12"/>
      <c r="B440" s="12"/>
      <c r="C440" s="12"/>
      <c r="D440" s="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15.75" customHeight="1">
      <c r="A441" s="12"/>
      <c r="B441" s="12"/>
      <c r="C441" s="12"/>
      <c r="D441" s="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15.75" customHeight="1">
      <c r="A442" s="12"/>
      <c r="B442" s="12"/>
      <c r="C442" s="12"/>
      <c r="D442" s="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15.75" customHeight="1">
      <c r="A443" s="12"/>
      <c r="B443" s="12"/>
      <c r="C443" s="12"/>
      <c r="D443" s="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15.75" customHeight="1">
      <c r="A444" s="12"/>
      <c r="B444" s="12"/>
      <c r="C444" s="12"/>
      <c r="D444" s="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15.75" customHeight="1">
      <c r="A445" s="12"/>
      <c r="B445" s="12"/>
      <c r="C445" s="12"/>
      <c r="D445" s="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15.75" customHeight="1">
      <c r="A446" s="12"/>
      <c r="B446" s="12"/>
      <c r="C446" s="12"/>
      <c r="D446" s="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15.75" customHeight="1">
      <c r="A447" s="12"/>
      <c r="B447" s="12"/>
      <c r="C447" s="12"/>
      <c r="D447" s="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15.75" customHeight="1">
      <c r="A448" s="12"/>
      <c r="B448" s="12"/>
      <c r="C448" s="12"/>
      <c r="D448" s="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15.75" customHeight="1">
      <c r="A449" s="12"/>
      <c r="B449" s="12"/>
      <c r="C449" s="12"/>
      <c r="D449" s="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15.75" customHeight="1">
      <c r="A450" s="12"/>
      <c r="B450" s="12"/>
      <c r="C450" s="12"/>
      <c r="D450" s="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15.75" customHeight="1">
      <c r="A451" s="12"/>
      <c r="B451" s="12"/>
      <c r="C451" s="12"/>
      <c r="D451" s="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15.75" customHeight="1">
      <c r="A452" s="12"/>
      <c r="B452" s="12"/>
      <c r="C452" s="12"/>
      <c r="D452" s="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15.75" customHeight="1">
      <c r="A453" s="12"/>
      <c r="B453" s="12"/>
      <c r="C453" s="12"/>
      <c r="D453" s="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15.75" customHeight="1">
      <c r="A454" s="12"/>
      <c r="B454" s="12"/>
      <c r="C454" s="12"/>
      <c r="D454" s="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15.75" customHeight="1">
      <c r="A455" s="12"/>
      <c r="B455" s="12"/>
      <c r="C455" s="12"/>
      <c r="D455" s="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15.75" customHeight="1">
      <c r="A456" s="12"/>
      <c r="B456" s="12"/>
      <c r="C456" s="12"/>
      <c r="D456" s="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15.75" customHeight="1">
      <c r="A457" s="12"/>
      <c r="B457" s="12"/>
      <c r="C457" s="12"/>
      <c r="D457" s="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15.75" customHeight="1">
      <c r="A458" s="12"/>
      <c r="B458" s="12"/>
      <c r="C458" s="12"/>
      <c r="D458" s="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15.75" customHeight="1">
      <c r="A459" s="12"/>
      <c r="B459" s="12"/>
      <c r="C459" s="12"/>
      <c r="D459" s="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15.75" customHeight="1">
      <c r="A460" s="12"/>
      <c r="B460" s="12"/>
      <c r="C460" s="12"/>
      <c r="D460" s="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15.75" customHeight="1">
      <c r="A461" s="12"/>
      <c r="B461" s="12"/>
      <c r="C461" s="12"/>
      <c r="D461" s="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15.75" customHeight="1">
      <c r="A462" s="12"/>
      <c r="B462" s="12"/>
      <c r="C462" s="12"/>
      <c r="D462" s="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15.75" customHeight="1">
      <c r="A463" s="12"/>
      <c r="B463" s="12"/>
      <c r="C463" s="12"/>
      <c r="D463" s="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15.75" customHeight="1">
      <c r="A464" s="12"/>
      <c r="B464" s="12"/>
      <c r="C464" s="12"/>
      <c r="D464" s="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15.75" customHeight="1">
      <c r="A465" s="12"/>
      <c r="B465" s="12"/>
      <c r="C465" s="12"/>
      <c r="D465" s="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15.75" customHeight="1">
      <c r="A466" s="12"/>
      <c r="B466" s="12"/>
      <c r="C466" s="12"/>
      <c r="D466" s="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15.75" customHeight="1">
      <c r="A467" s="12"/>
      <c r="B467" s="12"/>
      <c r="C467" s="12"/>
      <c r="D467" s="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15.75" customHeight="1">
      <c r="A468" s="12"/>
      <c r="B468" s="12"/>
      <c r="C468" s="12"/>
      <c r="D468" s="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15.75" customHeight="1">
      <c r="A469" s="12"/>
      <c r="B469" s="12"/>
      <c r="C469" s="12"/>
      <c r="D469" s="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15.75" customHeight="1">
      <c r="A470" s="12"/>
      <c r="B470" s="12"/>
      <c r="C470" s="12"/>
      <c r="D470" s="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15.75" customHeight="1">
      <c r="A471" s="12"/>
      <c r="B471" s="12"/>
      <c r="C471" s="12"/>
      <c r="D471" s="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15.75" customHeight="1">
      <c r="A472" s="12"/>
      <c r="B472" s="12"/>
      <c r="C472" s="12"/>
      <c r="D472" s="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15.75" customHeight="1">
      <c r="A473" s="12"/>
      <c r="B473" s="12"/>
      <c r="C473" s="12"/>
      <c r="D473" s="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ht="15.75" customHeight="1">
      <c r="A474" s="12"/>
      <c r="B474" s="12"/>
      <c r="C474" s="12"/>
      <c r="D474" s="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ht="15.75" customHeight="1">
      <c r="A475" s="12"/>
      <c r="B475" s="12"/>
      <c r="C475" s="12"/>
      <c r="D475" s="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ht="15.75" customHeight="1">
      <c r="A476" s="12"/>
      <c r="B476" s="12"/>
      <c r="C476" s="12"/>
      <c r="D476" s="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15.75" customHeight="1">
      <c r="A477" s="12"/>
      <c r="B477" s="12"/>
      <c r="C477" s="12"/>
      <c r="D477" s="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ht="15.75" customHeight="1">
      <c r="A478" s="12"/>
      <c r="B478" s="12"/>
      <c r="C478" s="12"/>
      <c r="D478" s="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ht="15.75" customHeight="1">
      <c r="A479" s="12"/>
      <c r="B479" s="12"/>
      <c r="C479" s="12"/>
      <c r="D479" s="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ht="15.75" customHeight="1">
      <c r="A480" s="12"/>
      <c r="B480" s="12"/>
      <c r="C480" s="12"/>
      <c r="D480" s="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15.75" customHeight="1">
      <c r="A481" s="12"/>
      <c r="B481" s="12"/>
      <c r="C481" s="12"/>
      <c r="D481" s="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ht="15.75" customHeight="1">
      <c r="A482" s="12"/>
      <c r="B482" s="12"/>
      <c r="C482" s="12"/>
      <c r="D482" s="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ht="15.75" customHeight="1">
      <c r="A483" s="12"/>
      <c r="B483" s="12"/>
      <c r="C483" s="12"/>
      <c r="D483" s="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</sheetData>
  <conditionalFormatting sqref="E5:E483">
    <cfRule type="expression" dxfId="0" priority="1" stopIfTrue="1">
      <formula>AND(ISNUMBER(E5),IF($C5="Romantasy",E$2,IF(OR($C5="Romance",$C5="Drama"),E$3,E$1))&gt;0,E5&gt;=(IF($C5="Romantasy",E$2,IF(OR($C5="Romance",$C5="Drama"),E$3,E$1))))</formula>
    </cfRule>
  </conditionalFormatting>
  <conditionalFormatting sqref="E5:E483">
    <cfRule type="expression" dxfId="1" priority="2" stopIfTrue="1">
      <formula>AND(ISNUMBER(E5),IF($C5="Romantasy",E$2,IF(OR($C5="Romance",$C5="Drama"),E$3,E$1))&gt;0,E5&gt;=0.7*(IF($C5="Romantasy",E$2,IF(OR($C5="Romance",$C5="Drama"),E$3,E$1))),E5&lt;(IF($C5="Romantasy",E$2,IF(OR($C5="Romance",$C5="Drama"),E$3,E$1))))</formula>
    </cfRule>
  </conditionalFormatting>
  <conditionalFormatting sqref="E5:E483">
    <cfRule type="expression" dxfId="2" priority="3" stopIfTrue="1">
      <formula>AND(ISNUMBER(E5),IF($C5="Romantasy",E$2,IF(OR($C5="Romance",$C5="Drama"),E$3,E$1))&gt;0,E5&lt;0.7*(IF($C5="Romantasy",E$2,IF(OR($C5="Romance",$C5="Drama"),E$3,E$1))))</formula>
    </cfRule>
  </conditionalFormatting>
  <conditionalFormatting sqref="F5:F483">
    <cfRule type="expression" dxfId="0" priority="4" stopIfTrue="1">
      <formula>AND(ISNUMBER(F5),IF($C5="Romantasy",F$2,IF(OR($C5="Romance",$C5="Drama"),F$3,F$1))&gt;0,F5&gt;=(IF($C5="Romantasy",F$2,IF(OR($C5="Romance",$C5="Drama"),F$3,F$1))))</formula>
    </cfRule>
  </conditionalFormatting>
  <conditionalFormatting sqref="F5:F483">
    <cfRule type="expression" dxfId="1" priority="5" stopIfTrue="1">
      <formula>AND(ISNUMBER(F5),IF($C5="Romantasy",F$2,IF(OR($C5="Romance",$C5="Drama"),F$3,F$1))&gt;0,F5&gt;=0.7*(IF($C5="Romantasy",F$2,IF(OR($C5="Romance",$C5="Drama"),F$3,F$1))),F5&lt;(IF($C5="Romantasy",F$2,IF(OR($C5="Romance",$C5="Drama"),F$3,F$1))))</formula>
    </cfRule>
  </conditionalFormatting>
  <conditionalFormatting sqref="F5:F483">
    <cfRule type="expression" dxfId="2" priority="6" stopIfTrue="1">
      <formula>AND(ISNUMBER(F5),IF($C5="Romantasy",F$2,IF(OR($C5="Romance",$C5="Drama"),F$3,F$1))&gt;0,F5&lt;0.7*(IF($C5="Romantasy",F$2,IF(OR($C5="Romance",$C5="Drama"),F$3,F$1))))</formula>
    </cfRule>
  </conditionalFormatting>
  <conditionalFormatting sqref="G5:G483">
    <cfRule type="expression" dxfId="0" priority="7" stopIfTrue="1">
      <formula>AND(ISNUMBER(G5),IF($C5="Romantasy",G$2,IF(OR($C5="Romance",$C5="Drama"),G$3,G$1))&gt;0,G5&gt;=(IF($C5="Romantasy",G$2,IF(OR($C5="Romance",$C5="Drama"),G$3,G$1))))</formula>
    </cfRule>
  </conditionalFormatting>
  <conditionalFormatting sqref="G5:G483">
    <cfRule type="expression" dxfId="1" priority="8" stopIfTrue="1">
      <formula>AND(ISNUMBER(G5),IF($C5="Romantasy",G$2,IF(OR($C5="Romance",$C5="Drama"),G$3,G$1))&gt;0,G5&gt;=0.7*(IF($C5="Romantasy",G$2,IF(OR($C5="Romance",$C5="Drama"),G$3,G$1))),G5&lt;(IF($C5="Romantasy",G$2,IF(OR($C5="Romance",$C5="Drama"),G$3,G$1))))</formula>
    </cfRule>
  </conditionalFormatting>
  <conditionalFormatting sqref="G5:G483">
    <cfRule type="expression" dxfId="2" priority="9" stopIfTrue="1">
      <formula>AND(ISNUMBER(G5),IF($C5="Romantasy",G$2,IF(OR($C5="Romance",$C5="Drama"),G$3,G$1))&gt;0,G5&lt;0.7*(IF($C5="Romantasy",G$2,IF(OR($C5="Romance",$C5="Drama"),G$3,G$1))))</formula>
    </cfRule>
  </conditionalFormatting>
  <conditionalFormatting sqref="H5:H483">
    <cfRule type="expression" dxfId="0" priority="10" stopIfTrue="1">
      <formula>AND(ISNUMBER(H5),IF($C5="Romantasy",H$2,IF(OR($C5="Romance",$C5="Drama"),H$3,H$1))&gt;0,H5&gt;=(IF($C5="Romantasy",H$2,IF(OR($C5="Romance",$C5="Drama"),H$3,H$1))))</formula>
    </cfRule>
  </conditionalFormatting>
  <conditionalFormatting sqref="H5:H483">
    <cfRule type="expression" dxfId="1" priority="11" stopIfTrue="1">
      <formula>AND(ISNUMBER(H5),IF($C5="Romantasy",H$2,IF(OR($C5="Romance",$C5="Drama"),H$3,H$1))&gt;0,H5&gt;=0.7*(IF($C5="Romantasy",H$2,IF(OR($C5="Romance",$C5="Drama"),H$3,H$1))),H5&lt;(IF($C5="Romantasy",H$2,IF(OR($C5="Romance",$C5="Drama"),H$3,H$1))))</formula>
    </cfRule>
  </conditionalFormatting>
  <conditionalFormatting sqref="H5:H483">
    <cfRule type="expression" dxfId="2" priority="12" stopIfTrue="1">
      <formula>AND(ISNUMBER(H5),IF($C5="Romantasy",H$2,IF(OR($C5="Romance",$C5="Drama"),H$3,H$1))&gt;0,H5&lt;0.7*(IF($C5="Romantasy",H$2,IF(OR($C5="Romance",$C5="Drama"),H$3,H$1))))</formula>
    </cfRule>
  </conditionalFormatting>
  <conditionalFormatting sqref="I5:I483">
    <cfRule type="expression" dxfId="0" priority="13" stopIfTrue="1">
      <formula>AND(ISNUMBER(I5),IF($C5="Romantasy",I$2,IF(OR($C5="Romance",$C5="Drama"),I$3,I$1))&gt;0,I5&gt;=(IF($C5="Romantasy",I$2,IF(OR($C5="Romance",$C5="Drama"),I$3,I$1))))</formula>
    </cfRule>
  </conditionalFormatting>
  <conditionalFormatting sqref="I5:I483">
    <cfRule type="expression" dxfId="1" priority="14" stopIfTrue="1">
      <formula>AND(ISNUMBER(I5),IF($C5="Romantasy",I$2,IF(OR($C5="Romance",$C5="Drama"),I$3,I$1))&gt;0,I5&gt;=0.7*(IF($C5="Romantasy",I$2,IF(OR($C5="Romance",$C5="Drama"),I$3,I$1))),I5&lt;(IF($C5="Romantasy",I$2,IF(OR($C5="Romance",$C5="Drama"),I$3,I$1))))</formula>
    </cfRule>
  </conditionalFormatting>
  <conditionalFormatting sqref="I5:I483">
    <cfRule type="expression" dxfId="2" priority="15" stopIfTrue="1">
      <formula>AND(ISNUMBER(I5),IF($C5="Romantasy",I$2,IF(OR($C5="Romance",$C5="Drama"),I$3,I$1))&gt;0,I5&lt;0.7*(IF($C5="Romantasy",I$2,IF(OR($C5="Romance",$C5="Drama"),I$3,I$1))))</formula>
    </cfRule>
  </conditionalFormatting>
  <conditionalFormatting sqref="J5:J483">
    <cfRule type="expression" dxfId="0" priority="16" stopIfTrue="1">
      <formula>AND(ISNUMBER(J5),IF($C5="Romantasy",J$2,IF(OR($C5="Romance",$C5="Drama"),J$3,J$1))&gt;0,J5&gt;=(IF($C5="Romantasy",J$2,IF(OR($C5="Romance",$C5="Drama"),J$3,J$1))))</formula>
    </cfRule>
  </conditionalFormatting>
  <conditionalFormatting sqref="J5:J483">
    <cfRule type="expression" dxfId="1" priority="17" stopIfTrue="1">
      <formula>AND(ISNUMBER(J5),IF($C5="Romantasy",J$2,IF(OR($C5="Romance",$C5="Drama"),J$3,J$1))&gt;0,J5&gt;=0.7*(IF($C5="Romantasy",J$2,IF(OR($C5="Romance",$C5="Drama"),J$3,J$1))),J5&lt;(IF($C5="Romantasy",J$2,IF(OR($C5="Romance",$C5="Drama"),J$3,J$1))))</formula>
    </cfRule>
  </conditionalFormatting>
  <conditionalFormatting sqref="J5:J483">
    <cfRule type="expression" dxfId="2" priority="18" stopIfTrue="1">
      <formula>AND(ISNUMBER(J5),IF($C5="Romantasy",J$2,IF(OR($C5="Romance",$C5="Drama"),J$3,J$1))&gt;0,J5&lt;0.7*(IF($C5="Romantasy",J$2,IF(OR($C5="Romance",$C5="Drama"),J$3,J$1))))</formula>
    </cfRule>
  </conditionalFormatting>
  <conditionalFormatting sqref="K5:K483">
    <cfRule type="expression" dxfId="0" priority="19" stopIfTrue="1">
      <formula>AND(ISNUMBER(K5),IF($C5="Romantasy",K$2,IF(OR($C5="Romance",$C5="Drama"),K$3,K$1))&gt;0,K5&gt;=(IF($C5="Romantasy",K$2,IF(OR($C5="Romance",$C5="Drama"),K$3,K$1))))</formula>
    </cfRule>
  </conditionalFormatting>
  <conditionalFormatting sqref="K5:K483">
    <cfRule type="expression" dxfId="1" priority="20" stopIfTrue="1">
      <formula>AND(ISNUMBER(K5),IF($C5="Romantasy",K$2,IF(OR($C5="Romance",$C5="Drama"),K$3,K$1))&gt;0,K5&gt;=0.7*(IF($C5="Romantasy",K$2,IF(OR($C5="Romance",$C5="Drama"),K$3,K$1))),K5&lt;(IF($C5="Romantasy",K$2,IF(OR($C5="Romance",$C5="Drama"),K$3,K$1))))</formula>
    </cfRule>
  </conditionalFormatting>
  <conditionalFormatting sqref="K5:K483">
    <cfRule type="expression" dxfId="2" priority="21" stopIfTrue="1">
      <formula>AND(ISNUMBER(K5),IF($C5="Romantasy",K$2,IF(OR($C5="Romance",$C5="Drama"),K$3,K$1))&gt;0,K5&lt;0.7*(IF($C5="Romantasy",K$2,IF(OR($C5="Romance",$C5="Drama"),K$3,K$1))))</formula>
    </cfRule>
  </conditionalFormatting>
  <conditionalFormatting sqref="L5:L483">
    <cfRule type="expression" dxfId="0" priority="22" stopIfTrue="1">
      <formula>AND(ISNUMBER(L5),IF($C5="Romantasy",L$2,IF(OR($C5="Romance",$C5="Drama"),L$3,L$1))&gt;0,L5&gt;=(IF($C5="Romantasy",L$2,IF(OR($C5="Romance",$C5="Drama"),L$3,L$1))))</formula>
    </cfRule>
  </conditionalFormatting>
  <conditionalFormatting sqref="L5:L483">
    <cfRule type="expression" dxfId="1" priority="23" stopIfTrue="1">
      <formula>AND(ISNUMBER(L5),IF($C5="Romantasy",L$2,IF(OR($C5="Romance",$C5="Drama"),L$3,L$1))&gt;0,L5&gt;=0.7*(IF($C5="Romantasy",L$2,IF(OR($C5="Romance",$C5="Drama"),L$3,L$1))),L5&lt;(IF($C5="Romantasy",L$2,IF(OR($C5="Romance",$C5="Drama"),L$3,L$1))))</formula>
    </cfRule>
  </conditionalFormatting>
  <conditionalFormatting sqref="L5:L483">
    <cfRule type="expression" dxfId="2" priority="24" stopIfTrue="1">
      <formula>AND(ISNUMBER(L5),IF($C5="Romantasy",L$2,IF(OR($C5="Romance",$C5="Drama"),L$3,L$1))&gt;0,L5&lt;0.7*(IF($C5="Romantasy",L$2,IF(OR($C5="Romance",$C5="Drama"),L$3,L$1))))</formula>
    </cfRule>
  </conditionalFormatting>
  <conditionalFormatting sqref="M5:M483">
    <cfRule type="expression" dxfId="0" priority="25" stopIfTrue="1">
      <formula>AND(ISNUMBER(M5),IF($C5="Romantasy",M$2,IF(OR($C5="Romance",$C5="Drama"),M$3,M$1))&gt;0,M5&gt;=(IF($C5="Romantasy",M$2,IF(OR($C5="Romance",$C5="Drama"),M$3,M$1))))</formula>
    </cfRule>
  </conditionalFormatting>
  <conditionalFormatting sqref="M5:M483">
    <cfRule type="expression" dxfId="1" priority="26" stopIfTrue="1">
      <formula>AND(ISNUMBER(M5),IF($C5="Romantasy",M$2,IF(OR($C5="Romance",$C5="Drama"),M$3,M$1))&gt;0,M5&gt;=0.7*(IF($C5="Romantasy",M$2,IF(OR($C5="Romance",$C5="Drama"),M$3,M$1))),M5&lt;(IF($C5="Romantasy",M$2,IF(OR($C5="Romance",$C5="Drama"),M$3,M$1))))</formula>
    </cfRule>
  </conditionalFormatting>
  <conditionalFormatting sqref="M5:M483">
    <cfRule type="expression" dxfId="2" priority="27" stopIfTrue="1">
      <formula>AND(ISNUMBER(M5),IF($C5="Romantasy",M$2,IF(OR($C5="Romance",$C5="Drama"),M$3,M$1))&gt;0,M5&lt;0.7*(IF($C5="Romantasy",M$2,IF(OR($C5="Romance",$C5="Drama"),M$3,M$1))))</formula>
    </cfRule>
  </conditionalFormatting>
  <conditionalFormatting sqref="N5:N483">
    <cfRule type="expression" dxfId="0" priority="28" stopIfTrue="1">
      <formula>AND(ISNUMBER(N5),IF($C5="Romantasy",N$2,IF(OR($C5="Romance",$C5="Drama"),N$3,N$1))&gt;0,N5&gt;=(IF($C5="Romantasy",N$2,IF(OR($C5="Romance",$C5="Drama"),N$3,N$1))))</formula>
    </cfRule>
  </conditionalFormatting>
  <conditionalFormatting sqref="N5:N483">
    <cfRule type="expression" dxfId="1" priority="29" stopIfTrue="1">
      <formula>AND(ISNUMBER(N5),IF($C5="Romantasy",N$2,IF(OR($C5="Romance",$C5="Drama"),N$3,N$1))&gt;0,N5&gt;=0.7*(IF($C5="Romantasy",N$2,IF(OR($C5="Romance",$C5="Drama"),N$3,N$1))),N5&lt;(IF($C5="Romantasy",N$2,IF(OR($C5="Romance",$C5="Drama"),N$3,N$1))))</formula>
    </cfRule>
  </conditionalFormatting>
  <conditionalFormatting sqref="N5:N483">
    <cfRule type="expression" dxfId="2" priority="30" stopIfTrue="1">
      <formula>AND(ISNUMBER(N5),IF($C5="Romantasy",N$2,IF(OR($C5="Romance",$C5="Drama"),N$3,N$1))&gt;0,N5&lt;0.7*(IF($C5="Romantasy",N$2,IF(OR($C5="Romance",$C5="Drama"),N$3,N$1))))</formula>
    </cfRule>
  </conditionalFormatting>
  <conditionalFormatting sqref="O5:O483">
    <cfRule type="expression" dxfId="0" priority="31" stopIfTrue="1">
      <formula>AND(ISNUMBER(O5),IF($C5="Romantasy",O$2,IF(OR($C5="Romance",$C5="Drama"),O$3,O$1))&gt;0,O5&gt;=(IF($C5="Romantasy",O$2,IF(OR($C5="Romance",$C5="Drama"),O$3,O$1))))</formula>
    </cfRule>
  </conditionalFormatting>
  <conditionalFormatting sqref="O5:O483">
    <cfRule type="expression" dxfId="1" priority="32" stopIfTrue="1">
      <formula>AND(ISNUMBER(O5),IF($C5="Romantasy",O$2,IF(OR($C5="Romance",$C5="Drama"),O$3,O$1))&gt;0,O5&gt;=0.7*(IF($C5="Romantasy",O$2,IF(OR($C5="Romance",$C5="Drama"),O$3,O$1))),O5&lt;(IF($C5="Romantasy",O$2,IF(OR($C5="Romance",$C5="Drama"),O$3,O$1))))</formula>
    </cfRule>
  </conditionalFormatting>
  <conditionalFormatting sqref="O5:O483">
    <cfRule type="expression" dxfId="2" priority="33" stopIfTrue="1">
      <formula>AND(ISNUMBER(O5),IF($C5="Romantasy",O$2,IF(OR($C5="Romance",$C5="Drama"),O$3,O$1))&gt;0,O5&lt;0.7*(IF($C5="Romantasy",O$2,IF(OR($C5="Romance",$C5="Drama"),O$3,O$1))))</formula>
    </cfRule>
  </conditionalFormatting>
  <conditionalFormatting sqref="P5:P483">
    <cfRule type="expression" dxfId="0" priority="34" stopIfTrue="1">
      <formula>AND(ISNUMBER(P5),IF($C5="Romantasy",P$2,IF(OR($C5="Romance",$C5="Drama"),P$3,P$1))&gt;0,P5&gt;=(IF($C5="Romantasy",P$2,IF(OR($C5="Romance",$C5="Drama"),P$3,P$1))))</formula>
    </cfRule>
  </conditionalFormatting>
  <conditionalFormatting sqref="P5:P483">
    <cfRule type="expression" dxfId="1" priority="35" stopIfTrue="1">
      <formula>AND(ISNUMBER(P5),IF($C5="Romantasy",P$2,IF(OR($C5="Romance",$C5="Drama"),P$3,P$1))&gt;0,P5&gt;=0.7*(IF($C5="Romantasy",P$2,IF(OR($C5="Romance",$C5="Drama"),P$3,P$1))),P5&lt;(IF($C5="Romantasy",P$2,IF(OR($C5="Romance",$C5="Drama"),P$3,P$1))))</formula>
    </cfRule>
  </conditionalFormatting>
  <conditionalFormatting sqref="P5:P483">
    <cfRule type="expression" dxfId="2" priority="36" stopIfTrue="1">
      <formula>AND(ISNUMBER(P5),IF($C5="Romantasy",P$2,IF(OR($C5="Romance",$C5="Drama"),P$3,P$1))&gt;0,P5&lt;0.7*(IF($C5="Romantasy",P$2,IF(OR($C5="Romance",$C5="Drama"),P$3,P$1))))</formula>
    </cfRule>
  </conditionalFormatting>
  <conditionalFormatting sqref="Q5:Q483">
    <cfRule type="expression" dxfId="0" priority="37" stopIfTrue="1">
      <formula>AND(ISNUMBER(Q5),IF($C5="Romantasy",Q$2,IF(OR($C5="Romance",$C5="Drama"),Q$3,Q$1))&gt;0,Q5&gt;=(IF($C5="Romantasy",Q$2,IF(OR($C5="Romance",$C5="Drama"),Q$3,Q$1))))</formula>
    </cfRule>
  </conditionalFormatting>
  <conditionalFormatting sqref="Q5:Q483">
    <cfRule type="expression" dxfId="1" priority="38" stopIfTrue="1">
      <formula>AND(ISNUMBER(Q5),IF($C5="Romantasy",Q$2,IF(OR($C5="Romance",$C5="Drama"),Q$3,Q$1))&gt;0,Q5&gt;=0.7*(IF($C5="Romantasy",Q$2,IF(OR($C5="Romance",$C5="Drama"),Q$3,Q$1))),Q5&lt;(IF($C5="Romantasy",Q$2,IF(OR($C5="Romance",$C5="Drama"),Q$3,Q$1))))</formula>
    </cfRule>
  </conditionalFormatting>
  <conditionalFormatting sqref="Q5:Q483">
    <cfRule type="expression" dxfId="2" priority="39" stopIfTrue="1">
      <formula>AND(ISNUMBER(Q5),IF($C5="Romantasy",Q$2,IF(OR($C5="Romance",$C5="Drama"),Q$3,Q$1))&gt;0,Q5&lt;0.7*(IF($C5="Romantasy",Q$2,IF(OR($C5="Romance",$C5="Drama"),Q$3,Q$1))))</formula>
    </cfRule>
  </conditionalFormatting>
  <conditionalFormatting sqref="R5:R483">
    <cfRule type="expression" dxfId="0" priority="40" stopIfTrue="1">
      <formula>AND(ISNUMBER(R5),IF($C5="Romantasy",R$2,IF(OR($C5="Romance",$C5="Drama"),R$3,R$1))&gt;0,R5&gt;=(IF($C5="Romantasy",R$2,IF(OR($C5="Romance",$C5="Drama"),R$3,R$1))))</formula>
    </cfRule>
  </conditionalFormatting>
  <conditionalFormatting sqref="R5:R483">
    <cfRule type="expression" dxfId="1" priority="41" stopIfTrue="1">
      <formula>AND(ISNUMBER(R5),IF($C5="Romantasy",R$2,IF(OR($C5="Romance",$C5="Drama"),R$3,R$1))&gt;0,R5&gt;=0.7*(IF($C5="Romantasy",R$2,IF(OR($C5="Romance",$C5="Drama"),R$3,R$1))),R5&lt;(IF($C5="Romantasy",R$2,IF(OR($C5="Romance",$C5="Drama"),R$3,R$1))))</formula>
    </cfRule>
  </conditionalFormatting>
  <conditionalFormatting sqref="R5:R483">
    <cfRule type="expression" dxfId="2" priority="42" stopIfTrue="1">
      <formula>AND(ISNUMBER(R5),IF($C5="Romantasy",R$2,IF(OR($C5="Romance",$C5="Drama"),R$3,R$1))&gt;0,R5&lt;0.7*(IF($C5="Romantasy",R$2,IF(OR($C5="Romance",$C5="Drama"),R$3,R$1))))</formula>
    </cfRule>
  </conditionalFormatting>
  <conditionalFormatting sqref="S5:S483">
    <cfRule type="expression" dxfId="0" priority="43" stopIfTrue="1">
      <formula>AND(ISNUMBER(S5),IF($C5="Romantasy",S$2,IF(OR($C5="Romance",$C5="Drama"),S$3,S$1))&gt;0,S5&gt;=(IF($C5="Romantasy",S$2,IF(OR($C5="Romance",$C5="Drama"),S$3,S$1))))</formula>
    </cfRule>
  </conditionalFormatting>
  <conditionalFormatting sqref="S5:S483">
    <cfRule type="expression" dxfId="1" priority="44" stopIfTrue="1">
      <formula>AND(ISNUMBER(S5),IF($C5="Romantasy",S$2,IF(OR($C5="Romance",$C5="Drama"),S$3,S$1))&gt;0,S5&gt;=0.7*(IF($C5="Romantasy",S$2,IF(OR($C5="Romance",$C5="Drama"),S$3,S$1))),S5&lt;(IF($C5="Romantasy",S$2,IF(OR($C5="Romance",$C5="Drama"),S$3,S$1))))</formula>
    </cfRule>
  </conditionalFormatting>
  <conditionalFormatting sqref="S5:S483">
    <cfRule type="expression" dxfId="2" priority="45" stopIfTrue="1">
      <formula>AND(ISNUMBER(S5),IF($C5="Romantasy",S$2,IF(OR($C5="Romance",$C5="Drama"),S$3,S$1))&gt;0,S5&lt;0.7*(IF($C5="Romantasy",S$2,IF(OR($C5="Romance",$C5="Drama"),S$3,S$1))))</formula>
    </cfRule>
  </conditionalFormatting>
  <conditionalFormatting sqref="T5:T483">
    <cfRule type="expression" dxfId="0" priority="46" stopIfTrue="1">
      <formula>AND(ISNUMBER(T5),IF($C5="Romantasy",T$2,IF(OR($C5="Romance",$C5="Drama"),T$3,T$1))&gt;0,T5&gt;=(IF($C5="Romantasy",T$2,IF(OR($C5="Romance",$C5="Drama"),T$3,T$1))))</formula>
    </cfRule>
  </conditionalFormatting>
  <conditionalFormatting sqref="T5:T483">
    <cfRule type="expression" dxfId="1" priority="47" stopIfTrue="1">
      <formula>AND(ISNUMBER(T5),IF($C5="Romantasy",T$2,IF(OR($C5="Romance",$C5="Drama"),T$3,T$1))&gt;0,T5&gt;=0.7*(IF($C5="Romantasy",T$2,IF(OR($C5="Romance",$C5="Drama"),T$3,T$1))),T5&lt;(IF($C5="Romantasy",T$2,IF(OR($C5="Romance",$C5="Drama"),T$3,T$1))))</formula>
    </cfRule>
  </conditionalFormatting>
  <conditionalFormatting sqref="T5:T483">
    <cfRule type="expression" dxfId="2" priority="48" stopIfTrue="1">
      <formula>AND(ISNUMBER(T5),IF($C5="Romantasy",T$2,IF(OR($C5="Romance",$C5="Drama"),T$3,T$1))&gt;0,T5&lt;0.7*(IF($C5="Romantasy",T$2,IF(OR($C5="Romance",$C5="Drama"),T$3,T$1))))</formula>
    </cfRule>
  </conditionalFormatting>
  <conditionalFormatting sqref="U5:U483">
    <cfRule type="expression" dxfId="0" priority="49" stopIfTrue="1">
      <formula>AND(ISNUMBER(U5),IF($C5="Romantasy",U$2,IF(OR($C5="Romance",$C5="Drama"),U$3,U$1))&gt;0,U5&gt;=(IF($C5="Romantasy",U$2,IF(OR($C5="Romance",$C5="Drama"),U$3,U$1))))</formula>
    </cfRule>
  </conditionalFormatting>
  <conditionalFormatting sqref="U5:U483">
    <cfRule type="expression" dxfId="1" priority="50" stopIfTrue="1">
      <formula>AND(ISNUMBER(U5),IF($C5="Romantasy",U$2,IF(OR($C5="Romance",$C5="Drama"),U$3,U$1))&gt;0,U5&gt;=0.7*(IF($C5="Romantasy",U$2,IF(OR($C5="Romance",$C5="Drama"),U$3,U$1))),U5&lt;(IF($C5="Romantasy",U$2,IF(OR($C5="Romance",$C5="Drama"),U$3,U$1))))</formula>
    </cfRule>
  </conditionalFormatting>
  <conditionalFormatting sqref="U5:U483">
    <cfRule type="expression" dxfId="2" priority="51" stopIfTrue="1">
      <formula>AND(ISNUMBER(U5),IF($C5="Romantasy",U$2,IF(OR($C5="Romance",$C5="Drama"),U$3,U$1))&gt;0,U5&lt;0.7*(IF($C5="Romantasy",U$2,IF(OR($C5="Romance",$C5="Drama"),U$3,U$1))))</formula>
    </cfRule>
  </conditionalFormatting>
  <conditionalFormatting sqref="V5:V483">
    <cfRule type="expression" dxfId="0" priority="52" stopIfTrue="1">
      <formula>AND(ISNUMBER(V5),IF($C5="Romantasy",V$2,IF(OR($C5="Romance",$C5="Drama"),V$3,V$1))&gt;0,V5&gt;=(IF($C5="Romantasy",V$2,IF(OR($C5="Romance",$C5="Drama"),V$3,V$1))))</formula>
    </cfRule>
  </conditionalFormatting>
  <conditionalFormatting sqref="V5:V483">
    <cfRule type="expression" dxfId="1" priority="53" stopIfTrue="1">
      <formula>AND(ISNUMBER(V5),IF($C5="Romantasy",V$2,IF(OR($C5="Romance",$C5="Drama"),V$3,V$1))&gt;0,V5&gt;=0.7*(IF($C5="Romantasy",V$2,IF(OR($C5="Romance",$C5="Drama"),V$3,V$1))),V5&lt;(IF($C5="Romantasy",V$2,IF(OR($C5="Romance",$C5="Drama"),V$3,V$1))))</formula>
    </cfRule>
  </conditionalFormatting>
  <conditionalFormatting sqref="V5:V483">
    <cfRule type="expression" dxfId="2" priority="54" stopIfTrue="1">
      <formula>AND(ISNUMBER(V5),IF($C5="Romantasy",V$2,IF(OR($C5="Romance",$C5="Drama"),V$3,V$1))&gt;0,V5&lt;0.7*(IF($C5="Romantasy",V$2,IF(OR($C5="Romance",$C5="Drama"),V$3,V$1))))</formula>
    </cfRule>
  </conditionalFormatting>
  <conditionalFormatting sqref="W5:W483">
    <cfRule type="expression" dxfId="0" priority="55" stopIfTrue="1">
      <formula>AND(ISNUMBER(W5),IF($C5="Romantasy",W$2,IF(OR($C5="Romance",$C5="Drama"),W$3,W$1))&gt;0,W5&gt;=(IF($C5="Romantasy",W$2,IF(OR($C5="Romance",$C5="Drama"),W$3,W$1))))</formula>
    </cfRule>
  </conditionalFormatting>
  <conditionalFormatting sqref="W5:W483">
    <cfRule type="expression" dxfId="1" priority="56" stopIfTrue="1">
      <formula>AND(ISNUMBER(W5),IF($C5="Romantasy",W$2,IF(OR($C5="Romance",$C5="Drama"),W$3,W$1))&gt;0,W5&gt;=0.7*(IF($C5="Romantasy",W$2,IF(OR($C5="Romance",$C5="Drama"),W$3,W$1))),W5&lt;(IF($C5="Romantasy",W$2,IF(OR($C5="Romance",$C5="Drama"),W$3,W$1))))</formula>
    </cfRule>
  </conditionalFormatting>
  <conditionalFormatting sqref="W5:W483">
    <cfRule type="expression" dxfId="2" priority="57" stopIfTrue="1">
      <formula>AND(ISNUMBER(W5),IF($C5="Romantasy",W$2,IF(OR($C5="Romance",$C5="Drama"),W$3,W$1))&gt;0,W5&lt;0.7*(IF($C5="Romantasy",W$2,IF(OR($C5="Romance",$C5="Drama"),W$3,W$1))))</formula>
    </cfRule>
  </conditionalFormatting>
  <conditionalFormatting sqref="X5:X483">
    <cfRule type="expression" dxfId="0" priority="58" stopIfTrue="1">
      <formula>AND(ISNUMBER(X5),IF($C5="Romantasy",X$2,IF(OR($C5="Romance",$C5="Drama"),X$3,X$1))&gt;0,X5&gt;=(IF($C5="Romantasy",X$2,IF(OR($C5="Romance",$C5="Drama"),X$3,X$1))))</formula>
    </cfRule>
  </conditionalFormatting>
  <conditionalFormatting sqref="X5:X483">
    <cfRule type="expression" dxfId="1" priority="59" stopIfTrue="1">
      <formula>AND(ISNUMBER(X5),IF($C5="Romantasy",X$2,IF(OR($C5="Romance",$C5="Drama"),X$3,X$1))&gt;0,X5&gt;=0.7*(IF($C5="Romantasy",X$2,IF(OR($C5="Romance",$C5="Drama"),X$3,X$1))),X5&lt;(IF($C5="Romantasy",X$2,IF(OR($C5="Romance",$C5="Drama"),X$3,X$1))))</formula>
    </cfRule>
  </conditionalFormatting>
  <conditionalFormatting sqref="X5:X483">
    <cfRule type="expression" dxfId="2" priority="60" stopIfTrue="1">
      <formula>AND(ISNUMBER(X5),IF($C5="Romantasy",X$2,IF(OR($C5="Romance",$C5="Drama"),X$3,X$1))&gt;0,X5&lt;0.7*(IF($C5="Romantasy",X$2,IF(OR($C5="Romance",$C5="Drama"),X$3,X$1))))</formula>
    </cfRule>
  </conditionalFormatting>
  <conditionalFormatting sqref="Y5:Y483">
    <cfRule type="expression" dxfId="0" priority="61" stopIfTrue="1">
      <formula>AND(ISNUMBER(Y5),IF($C5="Romantasy",Y$2,IF(OR($C5="Romance",$C5="Drama"),Y$3,Y$1))&gt;0,Y5&gt;=(IF($C5="Romantasy",Y$2,IF(OR($C5="Romance",$C5="Drama"),Y$3,Y$1))))</formula>
    </cfRule>
  </conditionalFormatting>
  <conditionalFormatting sqref="Y5:Y483">
    <cfRule type="expression" dxfId="1" priority="62" stopIfTrue="1">
      <formula>AND(ISNUMBER(Y5),IF($C5="Romantasy",Y$2,IF(OR($C5="Romance",$C5="Drama"),Y$3,Y$1))&gt;0,Y5&gt;=0.7*(IF($C5="Romantasy",Y$2,IF(OR($C5="Romance",$C5="Drama"),Y$3,Y$1))),Y5&lt;(IF($C5="Romantasy",Y$2,IF(OR($C5="Romance",$C5="Drama"),Y$3,Y$1))))</formula>
    </cfRule>
  </conditionalFormatting>
  <conditionalFormatting sqref="Y5:Y483">
    <cfRule type="expression" dxfId="2" priority="63" stopIfTrue="1">
      <formula>AND(ISNUMBER(Y5),IF($C5="Romantasy",Y$2,IF(OR($C5="Romance",$C5="Drama"),Y$3,Y$1))&gt;0,Y5&lt;0.7*(IF($C5="Romantasy",Y$2,IF(OR($C5="Romance",$C5="Drama"),Y$3,Y$1))))</formula>
    </cfRule>
  </conditionalFormatting>
  <conditionalFormatting sqref="Z5:Z483">
    <cfRule type="expression" dxfId="0" priority="64" stopIfTrue="1">
      <formula>AND(ISNUMBER(Z5),IF($C5="Romantasy",Z$2,IF(OR($C5="Romance",$C5="Drama"),Z$3,Z$1))&gt;0,Z5&gt;=(IF($C5="Romantasy",Z$2,IF(OR($C5="Romance",$C5="Drama"),Z$3,Z$1))))</formula>
    </cfRule>
  </conditionalFormatting>
  <conditionalFormatting sqref="Z5:Z483">
    <cfRule type="expression" dxfId="1" priority="65" stopIfTrue="1">
      <formula>AND(ISNUMBER(Z5),IF($C5="Romantasy",Z$2,IF(OR($C5="Romance",$C5="Drama"),Z$3,Z$1))&gt;0,Z5&gt;=0.7*(IF($C5="Romantasy",Z$2,IF(OR($C5="Romance",$C5="Drama"),Z$3,Z$1))),Z5&lt;(IF($C5="Romantasy",Z$2,IF(OR($C5="Romance",$C5="Drama"),Z$3,Z$1))))</formula>
    </cfRule>
  </conditionalFormatting>
  <conditionalFormatting sqref="Z5:Z483">
    <cfRule type="expression" dxfId="2" priority="66" stopIfTrue="1">
      <formula>AND(ISNUMBER(Z5),IF($C5="Romantasy",Z$2,IF(OR($C5="Romance",$C5="Drama"),Z$3,Z$1))&gt;0,Z5&lt;0.7*(IF($C5="Romantasy",Z$2,IF(OR($C5="Romance",$C5="Drama"),Z$3,Z$1))))</formula>
    </cfRule>
  </conditionalFormatting>
  <conditionalFormatting sqref="AA5:AA483">
    <cfRule type="expression" dxfId="0" priority="67" stopIfTrue="1">
      <formula>AND(ISNUMBER(AA5),IF($C5="Romantasy",AA$2,IF(OR($C5="Romance",$C5="Drama"),AA$3,AA$1))&gt;0,AA5&gt;=(IF($C5="Romantasy",AA$2,IF(OR($C5="Romance",$C5="Drama"),AA$3,AA$1))))</formula>
    </cfRule>
  </conditionalFormatting>
  <conditionalFormatting sqref="AA5:AA483">
    <cfRule type="expression" dxfId="1" priority="68" stopIfTrue="1">
      <formula>AND(ISNUMBER(AA5),IF($C5="Romantasy",AA$2,IF(OR($C5="Romance",$C5="Drama"),AA$3,AA$1))&gt;0,AA5&gt;=0.7*(IF($C5="Romantasy",AA$2,IF(OR($C5="Romance",$C5="Drama"),AA$3,AA$1))),AA5&lt;(IF($C5="Romantasy",AA$2,IF(OR($C5="Romance",$C5="Drama"),AA$3,AA$1))))</formula>
    </cfRule>
  </conditionalFormatting>
  <conditionalFormatting sqref="AA5:AA483">
    <cfRule type="expression" dxfId="2" priority="69" stopIfTrue="1">
      <formula>AND(ISNUMBER(AA5),IF($C5="Romantasy",AA$2,IF(OR($C5="Romance",$C5="Drama"),AA$3,AA$1))&gt;0,AA5&lt;0.7*(IF($C5="Romantasy",AA$2,IF(OR($C5="Romance",$C5="Drama"),AA$3,AA$1))))</formula>
    </cfRule>
  </conditionalFormatting>
  <conditionalFormatting sqref="AB5:AB483">
    <cfRule type="expression" dxfId="0" priority="70" stopIfTrue="1">
      <formula>AND(ISNUMBER(AB5),IF($C5="Romantasy",AB$2,IF(OR($C5="Romance",$C5="Drama"),AB$3,AB$1))&gt;0,AB5&gt;=(IF($C5="Romantasy",AB$2,IF(OR($C5="Romance",$C5="Drama"),AB$3,AB$1))))</formula>
    </cfRule>
  </conditionalFormatting>
  <conditionalFormatting sqref="AB5:AB483">
    <cfRule type="expression" dxfId="1" priority="71" stopIfTrue="1">
      <formula>AND(ISNUMBER(AB5),IF($C5="Romantasy",AB$2,IF(OR($C5="Romance",$C5="Drama"),AB$3,AB$1))&gt;0,AB5&gt;=0.7*(IF($C5="Romantasy",AB$2,IF(OR($C5="Romance",$C5="Drama"),AB$3,AB$1))),AB5&lt;(IF($C5="Romantasy",AB$2,IF(OR($C5="Romance",$C5="Drama"),AB$3,AB$1))))</formula>
    </cfRule>
  </conditionalFormatting>
  <conditionalFormatting sqref="AB5:AB483">
    <cfRule type="expression" dxfId="2" priority="72" stopIfTrue="1">
      <formula>AND(ISNUMBER(AB5),IF($C5="Romantasy",AB$2,IF(OR($C5="Romance",$C5="Drama"),AB$3,AB$1))&gt;0,AB5&lt;0.7*(IF($C5="Romantasy",AB$2,IF(OR($C5="Romance",$C5="Drama"),AB$3,AB$1))))</formula>
    </cfRule>
  </conditionalFormatting>
  <conditionalFormatting sqref="AC5:AC483">
    <cfRule type="expression" dxfId="0" priority="73" stopIfTrue="1">
      <formula>AND(ISNUMBER(AC5),IF($C5="Romantasy",AC$2,IF(OR($C5="Romance",$C5="Drama"),AC$3,AC$1))&gt;0,AC5&gt;=(IF($C5="Romantasy",AC$2,IF(OR($C5="Romance",$C5="Drama"),AC$3,AC$1))))</formula>
    </cfRule>
  </conditionalFormatting>
  <conditionalFormatting sqref="AC5:AC483">
    <cfRule type="expression" dxfId="1" priority="74" stopIfTrue="1">
      <formula>AND(ISNUMBER(AC5),IF($C5="Romantasy",AC$2,IF(OR($C5="Romance",$C5="Drama"),AC$3,AC$1))&gt;0,AC5&gt;=0.7*(IF($C5="Romantasy",AC$2,IF(OR($C5="Romance",$C5="Drama"),AC$3,AC$1))),AC5&lt;(IF($C5="Romantasy",AC$2,IF(OR($C5="Romance",$C5="Drama"),AC$3,AC$1))))</formula>
    </cfRule>
  </conditionalFormatting>
  <conditionalFormatting sqref="AC5:AC483">
    <cfRule type="expression" dxfId="2" priority="75" stopIfTrue="1">
      <formula>AND(ISNUMBER(AC5),IF($C5="Romantasy",AC$2,IF(OR($C5="Romance",$C5="Drama"),AC$3,AC$1))&gt;0,AC5&lt;0.7*(IF($C5="Romantasy",AC$2,IF(OR($C5="Romance",$C5="Drama"),AC$3,AC$1))))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4" width="12.63"/>
  </cols>
  <sheetData>
    <row r="1" ht="15.75" customHeight="1">
      <c r="A1" s="1"/>
      <c r="B1" s="1" t="s">
        <v>0</v>
      </c>
      <c r="C1" s="1" t="s">
        <v>1</v>
      </c>
      <c r="D1" s="2">
        <v>206998.0</v>
      </c>
      <c r="E1" s="4">
        <v>0.924709219308902</v>
      </c>
      <c r="F1" s="4">
        <v>0.340289914171424</v>
      </c>
      <c r="G1" s="4">
        <v>0.278389133755606</v>
      </c>
      <c r="H1" s="4">
        <v>0.24339961363592</v>
      </c>
      <c r="I1" s="4">
        <v>0.217920743639921</v>
      </c>
      <c r="J1" s="4">
        <v>0.204610654230356</v>
      </c>
      <c r="K1" s="4">
        <v>0.182456813064723</v>
      </c>
      <c r="L1" s="4">
        <v>0.164990068558979</v>
      </c>
      <c r="M1" s="4">
        <v>0.157230373993379</v>
      </c>
      <c r="N1" s="4">
        <v>0.151207380029924</v>
      </c>
      <c r="O1" s="4">
        <v>0.127200847938675</v>
      </c>
      <c r="P1" s="4">
        <v>0.106882335897031</v>
      </c>
      <c r="Q1" s="4">
        <v>0.0856154189611549</v>
      </c>
      <c r="R1" s="4">
        <v>0.0736428435916199</v>
      </c>
      <c r="S1" s="4">
        <v>0.0664075673225234</v>
      </c>
      <c r="T1" s="4">
        <v>0.0630733365165856</v>
      </c>
      <c r="U1" s="4">
        <v>0.0593332152913827</v>
      </c>
      <c r="V1" s="4">
        <v>0.0561068968726731</v>
      </c>
      <c r="W1" s="4">
        <v>0.0532055030805673</v>
      </c>
      <c r="X1" s="4">
        <v>0.0502916326628582</v>
      </c>
      <c r="Y1" s="4">
        <v>0.0466395864106351</v>
      </c>
      <c r="Z1" s="4">
        <v>0.0425617801773617</v>
      </c>
      <c r="AA1" s="4">
        <v>0.0380833573233534</v>
      </c>
      <c r="AB1" s="4">
        <v>0.0341234046636599</v>
      </c>
      <c r="AC1" s="4">
        <v>0.0299139557943895</v>
      </c>
    </row>
    <row r="2" ht="15.75" customHeight="1">
      <c r="A2" s="1"/>
      <c r="B2" s="1" t="s">
        <v>0</v>
      </c>
      <c r="C2" s="1" t="s">
        <v>2</v>
      </c>
      <c r="D2" s="2">
        <v>1106592.0</v>
      </c>
      <c r="E2" s="4">
        <v>0.844716025121464</v>
      </c>
      <c r="F2" s="4">
        <v>0.720831678525241</v>
      </c>
      <c r="G2" s="4">
        <v>0.64496340899239</v>
      </c>
      <c r="H2" s="4">
        <v>0.576604506625805</v>
      </c>
      <c r="I2" s="4">
        <v>0.465874976754071</v>
      </c>
      <c r="J2" s="4">
        <v>0.39902578285962</v>
      </c>
      <c r="K2" s="4">
        <v>0.357789711514007</v>
      </c>
      <c r="L2" s="4">
        <v>0.332776619110531</v>
      </c>
      <c r="M2" s="4">
        <v>0.313764610577479</v>
      </c>
      <c r="N2" s="4">
        <v>0.300493795968261</v>
      </c>
      <c r="O2" s="4">
        <v>0.255053058764818</v>
      </c>
      <c r="P2" s="4">
        <v>0.230496480832069</v>
      </c>
      <c r="Q2" s="4">
        <v>0.202497089249758</v>
      </c>
      <c r="R2" s="4">
        <v>0.184045678861612</v>
      </c>
      <c r="S2" s="4">
        <v>0.155531603803324</v>
      </c>
      <c r="T2" s="4">
        <v>0.138207031510781</v>
      </c>
      <c r="U2" s="4">
        <v>0.1215561521242</v>
      </c>
      <c r="V2" s="4">
        <v>0.106524394625278</v>
      </c>
      <c r="W2" s="4">
        <v>0.0952587576063961</v>
      </c>
      <c r="X2" s="4">
        <v>0.082553281801528</v>
      </c>
      <c r="Y2" s="4">
        <v>0.0620779361552219</v>
      </c>
      <c r="Z2" s="4">
        <v>0.0412790532275042</v>
      </c>
      <c r="AA2" s="4">
        <v>0.0</v>
      </c>
      <c r="AB2" s="4">
        <v>0.0</v>
      </c>
      <c r="AC2" s="4">
        <v>0.0</v>
      </c>
    </row>
    <row r="3" ht="15.75" customHeight="1">
      <c r="A3" s="1"/>
      <c r="B3" s="1" t="s">
        <v>0</v>
      </c>
      <c r="C3" s="1" t="s">
        <v>3</v>
      </c>
      <c r="D3" s="2">
        <v>806580.0</v>
      </c>
      <c r="E3" s="4">
        <v>0.910985215314093</v>
      </c>
      <c r="F3" s="4">
        <v>0.594072233914518</v>
      </c>
      <c r="G3" s="4">
        <v>0.530259049921792</v>
      </c>
      <c r="H3" s="4">
        <v>0.443117878415831</v>
      </c>
      <c r="I3" s="4">
        <v>0.396606212560241</v>
      </c>
      <c r="J3" s="4">
        <v>0.330427099781938</v>
      </c>
      <c r="K3" s="4">
        <v>0.302901182474858</v>
      </c>
      <c r="L3" s="4">
        <v>0.284285651405683</v>
      </c>
      <c r="M3" s="4">
        <v>0.272522508336304</v>
      </c>
      <c r="N3" s="4">
        <v>0.263687716533842</v>
      </c>
      <c r="O3" s="4">
        <v>0.22954173955253</v>
      </c>
      <c r="P3" s="4">
        <v>0.208142573282005</v>
      </c>
      <c r="Q3" s="4">
        <v>0.188269774029754</v>
      </c>
      <c r="R3" s="4">
        <v>0.165571009561256</v>
      </c>
      <c r="S3" s="4">
        <v>0.151504885958593</v>
      </c>
      <c r="T3" s="4">
        <v>0.137729937835018</v>
      </c>
      <c r="U3" s="4">
        <v>0.129345505729209</v>
      </c>
      <c r="V3" s="4">
        <v>0.120604446470026</v>
      </c>
      <c r="W3" s="4">
        <v>0.107637417467499</v>
      </c>
      <c r="X3" s="4">
        <v>0.0956599321567188</v>
      </c>
      <c r="Y3" s="4">
        <v>0.0728152699983685</v>
      </c>
      <c r="Z3" s="4">
        <v>0.0498757466102803</v>
      </c>
      <c r="AA3" s="4">
        <v>0.0272857826711345</v>
      </c>
      <c r="AB3" s="4">
        <v>0.0</v>
      </c>
      <c r="AC3" s="4">
        <v>0.0</v>
      </c>
    </row>
    <row r="4" ht="15.75" customHeight="1">
      <c r="A4" s="6" t="s">
        <v>4</v>
      </c>
      <c r="B4" s="6" t="s">
        <v>5</v>
      </c>
      <c r="C4" s="6" t="s">
        <v>6</v>
      </c>
      <c r="D4" s="7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8" t="s">
        <v>13</v>
      </c>
      <c r="K4" s="8" t="s">
        <v>14</v>
      </c>
      <c r="L4" s="8" t="s">
        <v>15</v>
      </c>
      <c r="M4" s="8" t="s">
        <v>16</v>
      </c>
      <c r="N4" s="8" t="s">
        <v>17</v>
      </c>
      <c r="O4" s="8" t="s">
        <v>18</v>
      </c>
      <c r="P4" s="8" t="s">
        <v>19</v>
      </c>
      <c r="Q4" s="8" t="s">
        <v>20</v>
      </c>
      <c r="R4" s="8" t="s">
        <v>21</v>
      </c>
      <c r="S4" s="8" t="s">
        <v>22</v>
      </c>
      <c r="T4" s="8" t="s">
        <v>23</v>
      </c>
      <c r="U4" s="8" t="s">
        <v>24</v>
      </c>
      <c r="V4" s="8" t="s">
        <v>25</v>
      </c>
      <c r="W4" s="8" t="s">
        <v>26</v>
      </c>
      <c r="X4" s="8" t="s">
        <v>27</v>
      </c>
      <c r="Y4" s="8" t="s">
        <v>28</v>
      </c>
      <c r="Z4" s="8" t="s">
        <v>29</v>
      </c>
      <c r="AA4" s="8" t="s">
        <v>30</v>
      </c>
      <c r="AB4" s="8" t="s">
        <v>31</v>
      </c>
      <c r="AC4" s="8" t="s">
        <v>32</v>
      </c>
    </row>
    <row r="5" ht="15.75" customHeight="1">
      <c r="A5" s="10" t="str">
        <f>IFERROR(__xludf.DUMMYFUNCTION("{
IMPORTRANGE(""https://docs.google.com/spreadsheets/d/1OLoRCn0B2mP-LizDOaFp_LsrXGtZR4ZKvHn3aia4TMo/edit"",""Nml Female!B5:B""),
IMPORTRANGE(""https://docs.google.com/spreadsheets/d/1OLoRCn0B2mP-LizDOaFp_LsrXGtZR4ZKvHn3aia4TMo/edit"",""Nml Female!C5:C""),"&amp;"
IMPORTRANGE(""https://docs.google.com/spreadsheets/d/1OLoRCn0B2mP-LizDOaFp_LsrXGtZR4ZKvHn3aia4TMo/edit"",""Nml Female!E5:E""),
IMPORTRANGE(""https://docs.google.com/spreadsheets/d/1OLoRCn0B2mP-LizDOaFp_LsrXGtZR4ZKvHn3aia4TMo/edit"",""Nml Female!AC5:AC"")"&amp;",
IMPORTRANGE(""https://docs.google.com/spreadsheets/d/1OLoRCn0B2mP-LizDOaFp_LsrXGtZR4ZKvHn3aia4TMo/edit"",""Nml Female!AJ5:BH"")
}"),"003c0c0b3759df17ce3f0b5feeeed123024f274d")</f>
        <v>003c0c0b3759df17ce3f0b5feeeed123024f274d</v>
      </c>
      <c r="B5" s="6" t="str">
        <f>IFERROR(__xludf.DUMMYFUNCTION("""COMPUTED_VALUE"""),"The Invictus Mage Returns")</f>
        <v>The Invictus Mage Returns</v>
      </c>
      <c r="C5" s="6" t="str">
        <f>IFERROR(__xludf.DUMMYFUNCTION("""COMPUTED_VALUE"""),"Fantasy")</f>
        <v>Fantasy</v>
      </c>
      <c r="D5" s="11">
        <f>IFERROR(__xludf.DUMMYFUNCTION("""COMPUTED_VALUE"""),351.0)</f>
        <v>351</v>
      </c>
      <c r="E5" s="8">
        <f>IFERROR(__xludf.DUMMYFUNCTION("""COMPUTED_VALUE"""),0.98567335243553)</f>
        <v>0.9856733524</v>
      </c>
      <c r="F5" s="8">
        <f>IFERROR(__xludf.DUMMYFUNCTION("""COMPUTED_VALUE"""),0.601719197707736)</f>
        <v>0.6017191977</v>
      </c>
      <c r="G5" s="8">
        <f>IFERROR(__xludf.DUMMYFUNCTION("""COMPUTED_VALUE"""),0.544412607449856)</f>
        <v>0.5444126074</v>
      </c>
      <c r="H5" s="8">
        <f>IFERROR(__xludf.DUMMYFUNCTION("""COMPUTED_VALUE"""),0.501432664756447)</f>
        <v>0.5014326648</v>
      </c>
      <c r="I5" s="8">
        <f>IFERROR(__xludf.DUMMYFUNCTION("""COMPUTED_VALUE"""),0.455587392550143)</f>
        <v>0.4555873926</v>
      </c>
      <c r="J5" s="8">
        <f>IFERROR(__xludf.DUMMYFUNCTION("""COMPUTED_VALUE"""),0.412607449856733)</f>
        <v>0.4126074499</v>
      </c>
      <c r="K5" s="8">
        <f>IFERROR(__xludf.DUMMYFUNCTION("""COMPUTED_VALUE"""),0.404011461318051)</f>
        <v>0.4040114613</v>
      </c>
      <c r="L5" s="8">
        <f>IFERROR(__xludf.DUMMYFUNCTION("""COMPUTED_VALUE"""),0.386819484240687)</f>
        <v>0.3868194842</v>
      </c>
      <c r="M5" s="8">
        <f>IFERROR(__xludf.DUMMYFUNCTION("""COMPUTED_VALUE"""),0.364942528735632)</f>
        <v>0.3649425287</v>
      </c>
      <c r="N5" s="8">
        <f>IFERROR(__xludf.DUMMYFUNCTION("""COMPUTED_VALUE"""),0.334293948126801)</f>
        <v>0.3342939481</v>
      </c>
      <c r="O5" s="8">
        <f>IFERROR(__xludf.DUMMYFUNCTION("""COMPUTED_VALUE"""),0.294117647058823)</f>
        <v>0.2941176471</v>
      </c>
      <c r="P5" s="8">
        <f>IFERROR(__xludf.DUMMYFUNCTION("""COMPUTED_VALUE"""),0.187702265372168)</f>
        <v>0.1877022654</v>
      </c>
      <c r="Q5" s="8">
        <f>IFERROR(__xludf.DUMMYFUNCTION("""COMPUTED_VALUE"""),0.0711462450592885)</f>
        <v>0.07114624506</v>
      </c>
      <c r="R5" s="8">
        <f>IFERROR(__xludf.DUMMYFUNCTION("""COMPUTED_VALUE"""),0.0)</f>
        <v>0</v>
      </c>
      <c r="S5" s="8">
        <f>IFERROR(__xludf.DUMMYFUNCTION("""COMPUTED_VALUE"""),0.0)</f>
        <v>0</v>
      </c>
      <c r="T5" s="8">
        <f>IFERROR(__xludf.DUMMYFUNCTION("""COMPUTED_VALUE"""),0.0)</f>
        <v>0</v>
      </c>
      <c r="U5" s="8">
        <f>IFERROR(__xludf.DUMMYFUNCTION("""COMPUTED_VALUE"""),0.0)</f>
        <v>0</v>
      </c>
      <c r="V5" s="8">
        <f>IFERROR(__xludf.DUMMYFUNCTION("""COMPUTED_VALUE"""),0.0)</f>
        <v>0</v>
      </c>
      <c r="W5" s="8">
        <f>IFERROR(__xludf.DUMMYFUNCTION("""COMPUTED_VALUE"""),0.0)</f>
        <v>0</v>
      </c>
      <c r="X5" s="8">
        <f>IFERROR(__xludf.DUMMYFUNCTION("""COMPUTED_VALUE"""),0.0)</f>
        <v>0</v>
      </c>
      <c r="Y5" s="8">
        <f>IFERROR(__xludf.DUMMYFUNCTION("""COMPUTED_VALUE"""),0.0)</f>
        <v>0</v>
      </c>
      <c r="Z5" s="8">
        <f>IFERROR(__xludf.DUMMYFUNCTION("""COMPUTED_VALUE"""),0.0)</f>
        <v>0</v>
      </c>
      <c r="AA5" s="8">
        <f>IFERROR(__xludf.DUMMYFUNCTION("""COMPUTED_VALUE"""),0.0)</f>
        <v>0</v>
      </c>
      <c r="AB5" s="8">
        <f>IFERROR(__xludf.DUMMYFUNCTION("""COMPUTED_VALUE"""),0.0)</f>
        <v>0</v>
      </c>
      <c r="AC5" s="8">
        <f>IFERROR(__xludf.DUMMYFUNCTION("""COMPUTED_VALUE"""),0.0)</f>
        <v>0</v>
      </c>
    </row>
    <row r="6" ht="15.75" customHeight="1">
      <c r="A6" s="6" t="str">
        <f>IFERROR(__xludf.DUMMYFUNCTION("""COMPUTED_VALUE"""),"01f367b494a414fb7c994e946bddd99820cc7e28")</f>
        <v>01f367b494a414fb7c994e946bddd99820cc7e28</v>
      </c>
      <c r="B6" s="6" t="str">
        <f>IFERROR(__xludf.DUMMYFUNCTION("""COMPUTED_VALUE"""),"The Dragon Prince’s Favor")</f>
        <v>The Dragon Prince’s Favor</v>
      </c>
      <c r="C6" s="6" t="str">
        <f>IFERROR(__xludf.DUMMYFUNCTION("""COMPUTED_VALUE"""),"Romantasy")</f>
        <v>Romantasy</v>
      </c>
      <c r="D6" s="11">
        <f>IFERROR(__xludf.DUMMYFUNCTION("""COMPUTED_VALUE"""),1033.0)</f>
        <v>1033</v>
      </c>
      <c r="E6" s="8">
        <f>IFERROR(__xludf.DUMMYFUNCTION("""COMPUTED_VALUE"""),0.96981499513145)</f>
        <v>0.9698149951</v>
      </c>
      <c r="F6" s="8">
        <f>IFERROR(__xludf.DUMMYFUNCTION("""COMPUTED_VALUE"""),0.558390578999018)</f>
        <v>0.558390579</v>
      </c>
      <c r="G6" s="8">
        <f>IFERROR(__xludf.DUMMYFUNCTION("""COMPUTED_VALUE"""),0.462450592885375)</f>
        <v>0.4624505929</v>
      </c>
      <c r="H6" s="8">
        <f>IFERROR(__xludf.DUMMYFUNCTION("""COMPUTED_VALUE"""),0.427572427572427)</f>
        <v>0.4275724276</v>
      </c>
      <c r="I6" s="8">
        <f>IFERROR(__xludf.DUMMYFUNCTION("""COMPUTED_VALUE"""),0.387628865979381)</f>
        <v>0.387628866</v>
      </c>
      <c r="J6" s="8">
        <f>IFERROR(__xludf.DUMMYFUNCTION("""COMPUTED_VALUE"""),0.36734693877551)</f>
        <v>0.3673469388</v>
      </c>
      <c r="K6" s="8">
        <f>IFERROR(__xludf.DUMMYFUNCTION("""COMPUTED_VALUE"""),0.34684147794994)</f>
        <v>0.3468414779</v>
      </c>
      <c r="L6" s="8">
        <f>IFERROR(__xludf.DUMMYFUNCTION("""COMPUTED_VALUE"""),0.333793103448275)</f>
        <v>0.3337931034</v>
      </c>
      <c r="M6" s="8">
        <f>IFERROR(__xludf.DUMMYFUNCTION("""COMPUTED_VALUE"""),0.317796610169491)</f>
        <v>0.3177966102</v>
      </c>
      <c r="N6" s="8">
        <f>IFERROR(__xludf.DUMMYFUNCTION("""COMPUTED_VALUE"""),0.333333333333333)</f>
        <v>0.3333333333</v>
      </c>
      <c r="O6" s="8">
        <f>IFERROR(__xludf.DUMMYFUNCTION("""COMPUTED_VALUE"""),0.268041237113402)</f>
        <v>0.2680412371</v>
      </c>
      <c r="P6" s="8">
        <f>IFERROR(__xludf.DUMMYFUNCTION("""COMPUTED_VALUE"""),0.239669421487603)</f>
        <v>0.2396694215</v>
      </c>
      <c r="Q6" s="8">
        <f>IFERROR(__xludf.DUMMYFUNCTION("""COMPUTED_VALUE"""),0.0)</f>
        <v>0</v>
      </c>
      <c r="R6" s="8">
        <f>IFERROR(__xludf.DUMMYFUNCTION("""COMPUTED_VALUE"""),0.0)</f>
        <v>0</v>
      </c>
      <c r="S6" s="8">
        <f>IFERROR(__xludf.DUMMYFUNCTION("""COMPUTED_VALUE"""),0.0)</f>
        <v>0</v>
      </c>
      <c r="T6" s="8">
        <f>IFERROR(__xludf.DUMMYFUNCTION("""COMPUTED_VALUE"""),0.0)</f>
        <v>0</v>
      </c>
      <c r="U6" s="8">
        <f>IFERROR(__xludf.DUMMYFUNCTION("""COMPUTED_VALUE"""),0.0)</f>
        <v>0</v>
      </c>
      <c r="V6" s="8">
        <f>IFERROR(__xludf.DUMMYFUNCTION("""COMPUTED_VALUE"""),0.0)</f>
        <v>0</v>
      </c>
      <c r="W6" s="8">
        <f>IFERROR(__xludf.DUMMYFUNCTION("""COMPUTED_VALUE"""),0.0)</f>
        <v>0</v>
      </c>
      <c r="X6" s="8">
        <f>IFERROR(__xludf.DUMMYFUNCTION("""COMPUTED_VALUE"""),0.0)</f>
        <v>0</v>
      </c>
      <c r="Y6" s="8">
        <f>IFERROR(__xludf.DUMMYFUNCTION("""COMPUTED_VALUE"""),0.0)</f>
        <v>0</v>
      </c>
      <c r="Z6" s="8">
        <f>IFERROR(__xludf.DUMMYFUNCTION("""COMPUTED_VALUE"""),0.0)</f>
        <v>0</v>
      </c>
      <c r="AA6" s="8">
        <f>IFERROR(__xludf.DUMMYFUNCTION("""COMPUTED_VALUE"""),0.0)</f>
        <v>0</v>
      </c>
      <c r="AB6" s="8">
        <f>IFERROR(__xludf.DUMMYFUNCTION("""COMPUTED_VALUE"""),0.0)</f>
        <v>0</v>
      </c>
      <c r="AC6" s="8">
        <f>IFERROR(__xludf.DUMMYFUNCTION("""COMPUTED_VALUE"""),0.0)</f>
        <v>0</v>
      </c>
    </row>
    <row r="7" ht="15.75" customHeight="1">
      <c r="A7" s="6" t="str">
        <f>IFERROR(__xludf.DUMMYFUNCTION("""COMPUTED_VALUE"""),"026a120c807e0094812e891c9140a3fd3d0f1d48")</f>
        <v>026a120c807e0094812e891c9140a3fd3d0f1d48</v>
      </c>
      <c r="B7" s="6" t="str">
        <f>IFERROR(__xludf.DUMMYFUNCTION("""COMPUTED_VALUE"""),"Vintage Heart")</f>
        <v>Vintage Heart</v>
      </c>
      <c r="C7" s="6" t="str">
        <f>IFERROR(__xludf.DUMMYFUNCTION("""COMPUTED_VALUE"""),"Romance")</f>
        <v>Romance</v>
      </c>
      <c r="D7" s="11">
        <f>IFERROR(__xludf.DUMMYFUNCTION("""COMPUTED_VALUE"""),2580.0)</f>
        <v>2580</v>
      </c>
      <c r="E7" s="8">
        <f>IFERROR(__xludf.DUMMYFUNCTION("""COMPUTED_VALUE"""),0.953082590151221)</f>
        <v>0.9530825902</v>
      </c>
      <c r="F7" s="8">
        <f>IFERROR(__xludf.DUMMYFUNCTION("""COMPUTED_VALUE"""),0.524253007372914)</f>
        <v>0.5242530074</v>
      </c>
      <c r="G7" s="8">
        <f>IFERROR(__xludf.DUMMYFUNCTION("""COMPUTED_VALUE"""),0.474194800155219)</f>
        <v>0.4741948002</v>
      </c>
      <c r="H7" s="8">
        <f>IFERROR(__xludf.DUMMYFUNCTION("""COMPUTED_VALUE"""),0.441553398058252)</f>
        <v>0.4415533981</v>
      </c>
      <c r="I7" s="8">
        <f>IFERROR(__xludf.DUMMYFUNCTION("""COMPUTED_VALUE"""),0.407536907536907)</f>
        <v>0.4075369075</v>
      </c>
      <c r="J7" s="8">
        <f>IFERROR(__xludf.DUMMYFUNCTION("""COMPUTED_VALUE"""),0.386531724406383)</f>
        <v>0.3865317244</v>
      </c>
      <c r="K7" s="8">
        <f>IFERROR(__xludf.DUMMYFUNCTION("""COMPUTED_VALUE"""),0.365901128843908)</f>
        <v>0.3659011288</v>
      </c>
      <c r="L7" s="8">
        <f>IFERROR(__xludf.DUMMYFUNCTION("""COMPUTED_VALUE"""),0.345015576323987)</f>
        <v>0.3450155763</v>
      </c>
      <c r="M7" s="8">
        <f>IFERROR(__xludf.DUMMYFUNCTION("""COMPUTED_VALUE"""),0.324892871055707)</f>
        <v>0.3248928711</v>
      </c>
      <c r="N7" s="8">
        <f>IFERROR(__xludf.DUMMYFUNCTION("""COMPUTED_VALUE"""),0.309282371294851)</f>
        <v>0.3092823713</v>
      </c>
      <c r="O7" s="8">
        <f>IFERROR(__xludf.DUMMYFUNCTION("""COMPUTED_VALUE"""),0.273558648111332)</f>
        <v>0.2735586481</v>
      </c>
      <c r="P7" s="8">
        <f>IFERROR(__xludf.DUMMYFUNCTION("""COMPUTED_VALUE"""),0.216695501730103)</f>
        <v>0.2166955017</v>
      </c>
      <c r="Q7" s="8">
        <f>IFERROR(__xludf.DUMMYFUNCTION("""COMPUTED_VALUE"""),0.157313707451701)</f>
        <v>0.1573137075</v>
      </c>
      <c r="R7" s="8">
        <f>IFERROR(__xludf.DUMMYFUNCTION("""COMPUTED_VALUE"""),0.108575924468922)</f>
        <v>0.1085759245</v>
      </c>
      <c r="S7" s="8">
        <f>IFERROR(__xludf.DUMMYFUNCTION("""COMPUTED_VALUE"""),0.0786127167630057)</f>
        <v>0.07861271676</v>
      </c>
      <c r="T7" s="8">
        <f>IFERROR(__xludf.DUMMYFUNCTION("""COMPUTED_VALUE"""),0.0410367170626349)</f>
        <v>0.04103671706</v>
      </c>
      <c r="U7" s="8">
        <f>IFERROR(__xludf.DUMMYFUNCTION("""COMPUTED_VALUE"""),0.5)</f>
        <v>0.5</v>
      </c>
      <c r="V7" s="8">
        <f>IFERROR(__xludf.DUMMYFUNCTION("""COMPUTED_VALUE"""),0.0)</f>
        <v>0</v>
      </c>
      <c r="W7" s="8">
        <f>IFERROR(__xludf.DUMMYFUNCTION("""COMPUTED_VALUE"""),0.0)</f>
        <v>0</v>
      </c>
      <c r="X7" s="8">
        <f>IFERROR(__xludf.DUMMYFUNCTION("""COMPUTED_VALUE"""),0.0)</f>
        <v>0</v>
      </c>
      <c r="Y7" s="8">
        <f>IFERROR(__xludf.DUMMYFUNCTION("""COMPUTED_VALUE"""),0.0)</f>
        <v>0</v>
      </c>
      <c r="Z7" s="8">
        <f>IFERROR(__xludf.DUMMYFUNCTION("""COMPUTED_VALUE"""),0.0)</f>
        <v>0</v>
      </c>
      <c r="AA7" s="8">
        <f>IFERROR(__xludf.DUMMYFUNCTION("""COMPUTED_VALUE"""),0.0)</f>
        <v>0</v>
      </c>
      <c r="AB7" s="8">
        <f>IFERROR(__xludf.DUMMYFUNCTION("""COMPUTED_VALUE"""),0.0)</f>
        <v>0</v>
      </c>
      <c r="AC7" s="8">
        <f>IFERROR(__xludf.DUMMYFUNCTION("""COMPUTED_VALUE"""),0.0)</f>
        <v>0</v>
      </c>
    </row>
    <row r="8" ht="15.75" customHeight="1">
      <c r="A8" s="6" t="str">
        <f>IFERROR(__xludf.DUMMYFUNCTION("""COMPUTED_VALUE"""),"03488a9bdecaf176a7a11138160e470f361ce803")</f>
        <v>03488a9bdecaf176a7a11138160e470f361ce803</v>
      </c>
      <c r="B8" s="6" t="str">
        <f>IFERROR(__xludf.DUMMYFUNCTION("""COMPUTED_VALUE"""),"Reborn to Be His Wife")</f>
        <v>Reborn to Be His Wife</v>
      </c>
      <c r="C8" s="6" t="str">
        <f>IFERROR(__xludf.DUMMYFUNCTION("""COMPUTED_VALUE"""),"Romantasy")</f>
        <v>Romantasy</v>
      </c>
      <c r="D8" s="11">
        <f>IFERROR(__xludf.DUMMYFUNCTION("""COMPUTED_VALUE"""),1508.0)</f>
        <v>1508</v>
      </c>
      <c r="E8" s="8">
        <f>IFERROR(__xludf.DUMMYFUNCTION("""COMPUTED_VALUE"""),0.961538461538461)</f>
        <v>0.9615384615</v>
      </c>
      <c r="F8" s="8">
        <f>IFERROR(__xludf.DUMMYFUNCTION("""COMPUTED_VALUE"""),0.464854111405835)</f>
        <v>0.4648541114</v>
      </c>
      <c r="G8" s="8">
        <f>IFERROR(__xludf.DUMMYFUNCTION("""COMPUTED_VALUE"""),0.405980066445182)</f>
        <v>0.4059800664</v>
      </c>
      <c r="H8" s="8">
        <f>IFERROR(__xludf.DUMMYFUNCTION("""COMPUTED_VALUE"""),0.34485049833887)</f>
        <v>0.3448504983</v>
      </c>
      <c r="I8" s="8">
        <f>IFERROR(__xludf.DUMMYFUNCTION("""COMPUTED_VALUE"""),0.301861702127659)</f>
        <v>0.3018617021</v>
      </c>
      <c r="J8" s="8">
        <f>IFERROR(__xludf.DUMMYFUNCTION("""COMPUTED_VALUE"""),0.270666666666666)</f>
        <v>0.2706666667</v>
      </c>
      <c r="K8" s="8">
        <f>IFERROR(__xludf.DUMMYFUNCTION("""COMPUTED_VALUE"""),0.244)</f>
        <v>0.244</v>
      </c>
      <c r="L8" s="8">
        <f>IFERROR(__xludf.DUMMYFUNCTION("""COMPUTED_VALUE"""),0.221333333333333)</f>
        <v>0.2213333333</v>
      </c>
      <c r="M8" s="8">
        <f>IFERROR(__xludf.DUMMYFUNCTION("""COMPUTED_VALUE"""),0.210947930574098)</f>
        <v>0.2109479306</v>
      </c>
      <c r="N8" s="8">
        <f>IFERROR(__xludf.DUMMYFUNCTION("""COMPUTED_VALUE"""),0.192642140468227)</f>
        <v>0.1926421405</v>
      </c>
      <c r="O8" s="8">
        <f>IFERROR(__xludf.DUMMYFUNCTION("""COMPUTED_VALUE"""),0.155833985904463)</f>
        <v>0.1558339859</v>
      </c>
      <c r="P8" s="8">
        <f>IFERROR(__xludf.DUMMYFUNCTION("""COMPUTED_VALUE"""),0.139366515837104)</f>
        <v>0.1393665158</v>
      </c>
      <c r="Q8" s="8">
        <f>IFERROR(__xludf.DUMMYFUNCTION("""COMPUTED_VALUE"""),0.0914927768860353)</f>
        <v>0.09149277689</v>
      </c>
      <c r="R8" s="8">
        <f>IFERROR(__xludf.DUMMYFUNCTION("""COMPUTED_VALUE"""),0.0733788395904436)</f>
        <v>0.07337883959</v>
      </c>
      <c r="S8" s="8">
        <f>IFERROR(__xludf.DUMMYFUNCTION("""COMPUTED_VALUE"""),0.0603621730382293)</f>
        <v>0.06036217304</v>
      </c>
      <c r="T8" s="8">
        <f>IFERROR(__xludf.DUMMYFUNCTION("""COMPUTED_VALUE"""),0.0503432494279176)</f>
        <v>0.05034324943</v>
      </c>
      <c r="U8" s="8">
        <f>IFERROR(__xludf.DUMMYFUNCTION("""COMPUTED_VALUE"""),0.0)</f>
        <v>0</v>
      </c>
      <c r="V8" s="8">
        <f>IFERROR(__xludf.DUMMYFUNCTION("""COMPUTED_VALUE"""),0.0)</f>
        <v>0</v>
      </c>
      <c r="W8" s="8">
        <f>IFERROR(__xludf.DUMMYFUNCTION("""COMPUTED_VALUE"""),0.0)</f>
        <v>0</v>
      </c>
      <c r="X8" s="8">
        <f>IFERROR(__xludf.DUMMYFUNCTION("""COMPUTED_VALUE"""),0.0)</f>
        <v>0</v>
      </c>
      <c r="Y8" s="8">
        <f>IFERROR(__xludf.DUMMYFUNCTION("""COMPUTED_VALUE"""),0.0)</f>
        <v>0</v>
      </c>
      <c r="Z8" s="8">
        <f>IFERROR(__xludf.DUMMYFUNCTION("""COMPUTED_VALUE"""),0.0)</f>
        <v>0</v>
      </c>
      <c r="AA8" s="8">
        <f>IFERROR(__xludf.DUMMYFUNCTION("""COMPUTED_VALUE"""),0.0)</f>
        <v>0</v>
      </c>
      <c r="AB8" s="8">
        <f>IFERROR(__xludf.DUMMYFUNCTION("""COMPUTED_VALUE"""),0.0)</f>
        <v>0</v>
      </c>
      <c r="AC8" s="8">
        <f>IFERROR(__xludf.DUMMYFUNCTION("""COMPUTED_VALUE"""),0.0)</f>
        <v>0</v>
      </c>
    </row>
    <row r="9" ht="15.75" customHeight="1">
      <c r="A9" s="6" t="str">
        <f>IFERROR(__xludf.DUMMYFUNCTION("""COMPUTED_VALUE"""),"0433315d89000a02178e5d4fb75f31de3d906cff")</f>
        <v>0433315d89000a02178e5d4fb75f31de3d906cff</v>
      </c>
      <c r="B9" s="6" t="str">
        <f>IFERROR(__xludf.DUMMYFUNCTION("""COMPUTED_VALUE"""),"Billionaire Secret Babies")</f>
        <v>Billionaire Secret Babies</v>
      </c>
      <c r="C9" s="6" t="str">
        <f>IFERROR(__xludf.DUMMYFUNCTION("""COMPUTED_VALUE"""),"Romance")</f>
        <v>Romance</v>
      </c>
      <c r="D9" s="11">
        <f>IFERROR(__xludf.DUMMYFUNCTION("""COMPUTED_VALUE"""),1086.0)</f>
        <v>1086</v>
      </c>
      <c r="E9" s="8">
        <f>IFERROR(__xludf.DUMMYFUNCTION("""COMPUTED_VALUE"""),0.887661141804788)</f>
        <v>0.8876611418</v>
      </c>
      <c r="F9" s="8">
        <f>IFERROR(__xludf.DUMMYFUNCTION("""COMPUTED_VALUE"""),0.554327808471454)</f>
        <v>0.5543278085</v>
      </c>
      <c r="G9" s="8">
        <f>IFERROR(__xludf.DUMMYFUNCTION("""COMPUTED_VALUE"""),0.443830570902394)</f>
        <v>0.4438305709</v>
      </c>
      <c r="H9" s="8">
        <f>IFERROR(__xludf.DUMMYFUNCTION("""COMPUTED_VALUE"""),0.404235727440147)</f>
        <v>0.4042357274</v>
      </c>
      <c r="I9" s="8">
        <f>IFERROR(__xludf.DUMMYFUNCTION("""COMPUTED_VALUE"""),0.390783410138248)</f>
        <v>0.3907834101</v>
      </c>
      <c r="J9" s="8">
        <f>IFERROR(__xludf.DUMMYFUNCTION("""COMPUTED_VALUE"""),0.36036866359447)</f>
        <v>0.3603686636</v>
      </c>
      <c r="K9" s="8">
        <f>IFERROR(__xludf.DUMMYFUNCTION("""COMPUTED_VALUE"""),0.350230414746543)</f>
        <v>0.3502304147</v>
      </c>
      <c r="L9" s="8">
        <f>IFERROR(__xludf.DUMMYFUNCTION("""COMPUTED_VALUE"""),0.346543778801843)</f>
        <v>0.3465437788</v>
      </c>
      <c r="M9" s="8">
        <f>IFERROR(__xludf.DUMMYFUNCTION("""COMPUTED_VALUE"""),0.331797235023041)</f>
        <v>0.331797235</v>
      </c>
      <c r="N9" s="8">
        <f>IFERROR(__xludf.DUMMYFUNCTION("""COMPUTED_VALUE"""),0.333640552995391)</f>
        <v>0.333640553</v>
      </c>
      <c r="O9" s="8">
        <f>IFERROR(__xludf.DUMMYFUNCTION("""COMPUTED_VALUE"""),0.298617511520737)</f>
        <v>0.2986175115</v>
      </c>
      <c r="P9" s="8">
        <f>IFERROR(__xludf.DUMMYFUNCTION("""COMPUTED_VALUE"""),0.247232472324723)</f>
        <v>0.2472324723</v>
      </c>
      <c r="Q9" s="8">
        <f>IFERROR(__xludf.DUMMYFUNCTION("""COMPUTED_VALUE"""),0.201478743068391)</f>
        <v>0.2014787431</v>
      </c>
      <c r="R9" s="8">
        <f>IFERROR(__xludf.DUMMYFUNCTION("""COMPUTED_VALUE"""),0.0)</f>
        <v>0</v>
      </c>
      <c r="S9" s="8">
        <f>IFERROR(__xludf.DUMMYFUNCTION("""COMPUTED_VALUE"""),0.0)</f>
        <v>0</v>
      </c>
      <c r="T9" s="8">
        <f>IFERROR(__xludf.DUMMYFUNCTION("""COMPUTED_VALUE"""),0.0)</f>
        <v>0</v>
      </c>
      <c r="U9" s="8">
        <f>IFERROR(__xludf.DUMMYFUNCTION("""COMPUTED_VALUE"""),0.0)</f>
        <v>0</v>
      </c>
      <c r="V9" s="8">
        <f>IFERROR(__xludf.DUMMYFUNCTION("""COMPUTED_VALUE"""),0.0)</f>
        <v>0</v>
      </c>
      <c r="W9" s="8">
        <f>IFERROR(__xludf.DUMMYFUNCTION("""COMPUTED_VALUE"""),0.0)</f>
        <v>0</v>
      </c>
      <c r="X9" s="8">
        <f>IFERROR(__xludf.DUMMYFUNCTION("""COMPUTED_VALUE"""),0.0)</f>
        <v>0</v>
      </c>
      <c r="Y9" s="8">
        <f>IFERROR(__xludf.DUMMYFUNCTION("""COMPUTED_VALUE"""),0.0)</f>
        <v>0</v>
      </c>
      <c r="Z9" s="8">
        <f>IFERROR(__xludf.DUMMYFUNCTION("""COMPUTED_VALUE"""),0.0)</f>
        <v>0</v>
      </c>
      <c r="AA9" s="8">
        <f>IFERROR(__xludf.DUMMYFUNCTION("""COMPUTED_VALUE"""),0.0)</f>
        <v>0</v>
      </c>
      <c r="AB9" s="8">
        <f>IFERROR(__xludf.DUMMYFUNCTION("""COMPUTED_VALUE"""),0.0)</f>
        <v>0</v>
      </c>
      <c r="AC9" s="8">
        <f>IFERROR(__xludf.DUMMYFUNCTION("""COMPUTED_VALUE"""),0.0)</f>
        <v>0</v>
      </c>
    </row>
    <row r="10" ht="15.75" customHeight="1">
      <c r="A10" s="6" t="str">
        <f>IFERROR(__xludf.DUMMYFUNCTION("""COMPUTED_VALUE"""),"048b7efb083246fe7c75b60c3bccf0e015f15e03")</f>
        <v>048b7efb083246fe7c75b60c3bccf0e015f15e03</v>
      </c>
      <c r="B10" s="6" t="str">
        <f>IFERROR(__xludf.DUMMYFUNCTION("""COMPUTED_VALUE"""),"Veterinarian Beast Master")</f>
        <v>Veterinarian Beast Master</v>
      </c>
      <c r="C10" s="6" t="str">
        <f>IFERROR(__xludf.DUMMYFUNCTION("""COMPUTED_VALUE"""),"Fantasy")</f>
        <v>Fantasy</v>
      </c>
      <c r="D10" s="11">
        <f>IFERROR(__xludf.DUMMYFUNCTION("""COMPUTED_VALUE"""),96.0)</f>
        <v>96</v>
      </c>
      <c r="E10" s="8">
        <f>IFERROR(__xludf.DUMMYFUNCTION("""COMPUTED_VALUE"""),0.979166666666666)</f>
        <v>0.9791666667</v>
      </c>
      <c r="F10" s="8">
        <f>IFERROR(__xludf.DUMMYFUNCTION("""COMPUTED_VALUE"""),0.46875)</f>
        <v>0.46875</v>
      </c>
      <c r="G10" s="8">
        <f>IFERROR(__xludf.DUMMYFUNCTION("""COMPUTED_VALUE"""),0.393617021276595)</f>
        <v>0.3936170213</v>
      </c>
      <c r="H10" s="8">
        <f>IFERROR(__xludf.DUMMYFUNCTION("""COMPUTED_VALUE"""),0.329670329670329)</f>
        <v>0.3296703297</v>
      </c>
      <c r="I10" s="8">
        <f>IFERROR(__xludf.DUMMYFUNCTION("""COMPUTED_VALUE"""),0.318681318681318)</f>
        <v>0.3186813187</v>
      </c>
      <c r="J10" s="8">
        <f>IFERROR(__xludf.DUMMYFUNCTION("""COMPUTED_VALUE"""),0.3)</f>
        <v>0.3</v>
      </c>
      <c r="K10" s="8">
        <f>IFERROR(__xludf.DUMMYFUNCTION("""COMPUTED_VALUE"""),0.269662921348314)</f>
        <v>0.2696629213</v>
      </c>
      <c r="L10" s="8">
        <f>IFERROR(__xludf.DUMMYFUNCTION("""COMPUTED_VALUE"""),0.226190476190476)</f>
        <v>0.2261904762</v>
      </c>
      <c r="M10" s="8">
        <f>IFERROR(__xludf.DUMMYFUNCTION("""COMPUTED_VALUE"""),0.2125)</f>
        <v>0.2125</v>
      </c>
      <c r="N10" s="8">
        <f>IFERROR(__xludf.DUMMYFUNCTION("""COMPUTED_VALUE"""),0.2)</f>
        <v>0.2</v>
      </c>
      <c r="O10" s="8">
        <f>IFERROR(__xludf.DUMMYFUNCTION("""COMPUTED_VALUE"""),0.0789473684210526)</f>
        <v>0.07894736842</v>
      </c>
      <c r="P10" s="8">
        <f>IFERROR(__xludf.DUMMYFUNCTION("""COMPUTED_VALUE"""),0.0606060606060606)</f>
        <v>0.06060606061</v>
      </c>
      <c r="Q10" s="8">
        <f>IFERROR(__xludf.DUMMYFUNCTION("""COMPUTED_VALUE"""),0.0434782608695652)</f>
        <v>0.04347826087</v>
      </c>
      <c r="R10" s="8">
        <f>IFERROR(__xludf.DUMMYFUNCTION("""COMPUTED_VALUE"""),0.05)</f>
        <v>0.05</v>
      </c>
      <c r="S10" s="8">
        <f>IFERROR(__xludf.DUMMYFUNCTION("""COMPUTED_VALUE"""),0.0)</f>
        <v>0</v>
      </c>
      <c r="T10" s="8">
        <f>IFERROR(__xludf.DUMMYFUNCTION("""COMPUTED_VALUE"""),0.0)</f>
        <v>0</v>
      </c>
      <c r="U10" s="8">
        <f>IFERROR(__xludf.DUMMYFUNCTION("""COMPUTED_VALUE"""),0.0)</f>
        <v>0</v>
      </c>
      <c r="V10" s="8">
        <f>IFERROR(__xludf.DUMMYFUNCTION("""COMPUTED_VALUE"""),0.0)</f>
        <v>0</v>
      </c>
      <c r="W10" s="8">
        <f>IFERROR(__xludf.DUMMYFUNCTION("""COMPUTED_VALUE"""),0.0)</f>
        <v>0</v>
      </c>
      <c r="X10" s="8">
        <f>IFERROR(__xludf.DUMMYFUNCTION("""COMPUTED_VALUE"""),0.0)</f>
        <v>0</v>
      </c>
      <c r="Y10" s="8">
        <f>IFERROR(__xludf.DUMMYFUNCTION("""COMPUTED_VALUE"""),0.0)</f>
        <v>0</v>
      </c>
      <c r="Z10" s="8">
        <f>IFERROR(__xludf.DUMMYFUNCTION("""COMPUTED_VALUE"""),0.0)</f>
        <v>0</v>
      </c>
      <c r="AA10" s="8">
        <f>IFERROR(__xludf.DUMMYFUNCTION("""COMPUTED_VALUE"""),0.0)</f>
        <v>0</v>
      </c>
      <c r="AB10" s="8">
        <f>IFERROR(__xludf.DUMMYFUNCTION("""COMPUTED_VALUE"""),0.0)</f>
        <v>0</v>
      </c>
      <c r="AC10" s="8">
        <f>IFERROR(__xludf.DUMMYFUNCTION("""COMPUTED_VALUE"""),0.0)</f>
        <v>0</v>
      </c>
    </row>
    <row r="11" ht="15.75" customHeight="1">
      <c r="A11" s="6" t="str">
        <f>IFERROR(__xludf.DUMMYFUNCTION("""COMPUTED_VALUE"""),"05081ee1026b5a4754958dd34670379788a6d672")</f>
        <v>05081ee1026b5a4754958dd34670379788a6d672</v>
      </c>
      <c r="B11" s="6" t="str">
        <f>IFERROR(__xludf.DUMMYFUNCTION("""COMPUTED_VALUE"""),"Billionaire Prison Bride")</f>
        <v>Billionaire Prison Bride</v>
      </c>
      <c r="C11" s="6" t="str">
        <f>IFERROR(__xludf.DUMMYFUNCTION("""COMPUTED_VALUE"""),"Romance")</f>
        <v>Romance</v>
      </c>
      <c r="D11" s="11">
        <f>IFERROR(__xludf.DUMMYFUNCTION("""COMPUTED_VALUE"""),1029.0)</f>
        <v>1029</v>
      </c>
      <c r="E11" s="8">
        <f>IFERROR(__xludf.DUMMYFUNCTION("""COMPUTED_VALUE"""),0.949317738791423)</f>
        <v>0.9493177388</v>
      </c>
      <c r="F11" s="8">
        <f>IFERROR(__xludf.DUMMYFUNCTION("""COMPUTED_VALUE"""),0.684003925417075)</f>
        <v>0.6840039254</v>
      </c>
      <c r="G11" s="8">
        <f>IFERROR(__xludf.DUMMYFUNCTION("""COMPUTED_VALUE"""),0.646534653465346)</f>
        <v>0.6465346535</v>
      </c>
      <c r="H11" s="8">
        <f>IFERROR(__xludf.DUMMYFUNCTION("""COMPUTED_VALUE"""),0.616)</f>
        <v>0.616</v>
      </c>
      <c r="I11" s="8">
        <f>IFERROR(__xludf.DUMMYFUNCTION("""COMPUTED_VALUE"""),0.595939086294416)</f>
        <v>0.5959390863</v>
      </c>
      <c r="J11" s="8">
        <f>IFERROR(__xludf.DUMMYFUNCTION("""COMPUTED_VALUE"""),0.590113285272914)</f>
        <v>0.5901132853</v>
      </c>
      <c r="K11" s="8">
        <f>IFERROR(__xludf.DUMMYFUNCTION("""COMPUTED_VALUE"""),0.567741935483871)</f>
        <v>0.5677419355</v>
      </c>
      <c r="L11" s="8">
        <f>IFERROR(__xludf.DUMMYFUNCTION("""COMPUTED_VALUE"""),0.537931034482758)</f>
        <v>0.5379310345</v>
      </c>
      <c r="M11" s="8">
        <f>IFERROR(__xludf.DUMMYFUNCTION("""COMPUTED_VALUE"""),0.515752625437572)</f>
        <v>0.5157526254</v>
      </c>
      <c r="N11" s="8">
        <f>IFERROR(__xludf.DUMMYFUNCTION("""COMPUTED_VALUE"""),0.488275862068965)</f>
        <v>0.4882758621</v>
      </c>
      <c r="O11" s="8">
        <f>IFERROR(__xludf.DUMMYFUNCTION("""COMPUTED_VALUE"""),0.369294605809128)</f>
        <v>0.3692946058</v>
      </c>
      <c r="P11" s="8">
        <f>IFERROR(__xludf.DUMMYFUNCTION("""COMPUTED_VALUE"""),0.5)</f>
        <v>0.5</v>
      </c>
      <c r="Q11" s="8">
        <f>IFERROR(__xludf.DUMMYFUNCTION("""COMPUTED_VALUE"""),0.0)</f>
        <v>0</v>
      </c>
      <c r="R11" s="8">
        <f>IFERROR(__xludf.DUMMYFUNCTION("""COMPUTED_VALUE"""),0.0)</f>
        <v>0</v>
      </c>
      <c r="S11" s="8">
        <f>IFERROR(__xludf.DUMMYFUNCTION("""COMPUTED_VALUE"""),0.0)</f>
        <v>0</v>
      </c>
      <c r="T11" s="8">
        <f>IFERROR(__xludf.DUMMYFUNCTION("""COMPUTED_VALUE"""),0.0)</f>
        <v>0</v>
      </c>
      <c r="U11" s="8">
        <f>IFERROR(__xludf.DUMMYFUNCTION("""COMPUTED_VALUE"""),0.0)</f>
        <v>0</v>
      </c>
      <c r="V11" s="8">
        <f>IFERROR(__xludf.DUMMYFUNCTION("""COMPUTED_VALUE"""),0.0)</f>
        <v>0</v>
      </c>
      <c r="W11" s="8">
        <f>IFERROR(__xludf.DUMMYFUNCTION("""COMPUTED_VALUE"""),0.0)</f>
        <v>0</v>
      </c>
      <c r="X11" s="8">
        <f>IFERROR(__xludf.DUMMYFUNCTION("""COMPUTED_VALUE"""),0.0)</f>
        <v>0</v>
      </c>
      <c r="Y11" s="8">
        <f>IFERROR(__xludf.DUMMYFUNCTION("""COMPUTED_VALUE"""),0.0)</f>
        <v>0</v>
      </c>
      <c r="Z11" s="8">
        <f>IFERROR(__xludf.DUMMYFUNCTION("""COMPUTED_VALUE"""),0.0)</f>
        <v>0</v>
      </c>
      <c r="AA11" s="8">
        <f>IFERROR(__xludf.DUMMYFUNCTION("""COMPUTED_VALUE"""),0.0)</f>
        <v>0</v>
      </c>
      <c r="AB11" s="8">
        <f>IFERROR(__xludf.DUMMYFUNCTION("""COMPUTED_VALUE"""),0.0)</f>
        <v>0</v>
      </c>
      <c r="AC11" s="8">
        <f>IFERROR(__xludf.DUMMYFUNCTION("""COMPUTED_VALUE"""),0.0)</f>
        <v>0</v>
      </c>
    </row>
    <row r="12" ht="15.75" customHeight="1">
      <c r="A12" s="6" t="str">
        <f>IFERROR(__xludf.DUMMYFUNCTION("""COMPUTED_VALUE"""),"05808ad9143ee75794133fd50497137fea47e57b")</f>
        <v>05808ad9143ee75794133fd50497137fea47e57b</v>
      </c>
      <c r="B12" s="6" t="str">
        <f>IFERROR(__xludf.DUMMYFUNCTION("""COMPUTED_VALUE"""),"Infinity Stars")</f>
        <v>Infinity Stars</v>
      </c>
      <c r="C12" s="6" t="str">
        <f>IFERROR(__xludf.DUMMYFUNCTION("""COMPUTED_VALUE"""),"Fantasy")</f>
        <v>Fantasy</v>
      </c>
      <c r="D12" s="11">
        <f>IFERROR(__xludf.DUMMYFUNCTION("""COMPUTED_VALUE"""),720.0)</f>
        <v>720</v>
      </c>
      <c r="E12" s="8">
        <f>IFERROR(__xludf.DUMMYFUNCTION("""COMPUTED_VALUE"""),0.947517730496453)</f>
        <v>0.9475177305</v>
      </c>
      <c r="F12" s="8">
        <f>IFERROR(__xludf.DUMMYFUNCTION("""COMPUTED_VALUE"""),0.442073170731707)</f>
        <v>0.4420731707</v>
      </c>
      <c r="G12" s="8">
        <f>IFERROR(__xludf.DUMMYFUNCTION("""COMPUTED_VALUE"""),0.404423380726698)</f>
        <v>0.4044233807</v>
      </c>
      <c r="H12" s="8">
        <f>IFERROR(__xludf.DUMMYFUNCTION("""COMPUTED_VALUE"""),0.377668308702791)</f>
        <v>0.3776683087</v>
      </c>
      <c r="I12" s="8">
        <f>IFERROR(__xludf.DUMMYFUNCTION("""COMPUTED_VALUE"""),0.374340949033391)</f>
        <v>0.374340949</v>
      </c>
      <c r="J12" s="8">
        <f>IFERROR(__xludf.DUMMYFUNCTION("""COMPUTED_VALUE"""),0.366300366300366)</f>
        <v>0.3663003663</v>
      </c>
      <c r="K12" s="8">
        <f>IFERROR(__xludf.DUMMYFUNCTION("""COMPUTED_VALUE"""),0.350096711798839)</f>
        <v>0.3500967118</v>
      </c>
      <c r="L12" s="8">
        <f>IFERROR(__xludf.DUMMYFUNCTION("""COMPUTED_VALUE"""),0.351626016260162)</f>
        <v>0.3516260163</v>
      </c>
      <c r="M12" s="8">
        <f>IFERROR(__xludf.DUMMYFUNCTION("""COMPUTED_VALUE"""),0.342213114754098)</f>
        <v>0.3422131148</v>
      </c>
      <c r="N12" s="8">
        <f>IFERROR(__xludf.DUMMYFUNCTION("""COMPUTED_VALUE"""),0.327695560253699)</f>
        <v>0.3276955603</v>
      </c>
      <c r="O12" s="8">
        <f>IFERROR(__xludf.DUMMYFUNCTION("""COMPUTED_VALUE"""),0.306997742663656)</f>
        <v>0.3069977427</v>
      </c>
      <c r="P12" s="8">
        <f>IFERROR(__xludf.DUMMYFUNCTION("""COMPUTED_VALUE"""),0.279545454545454)</f>
        <v>0.2795454545</v>
      </c>
      <c r="Q12" s="8">
        <f>IFERROR(__xludf.DUMMYFUNCTION("""COMPUTED_VALUE"""),0.218978102189781)</f>
        <v>0.2189781022</v>
      </c>
      <c r="R12" s="8">
        <f>IFERROR(__xludf.DUMMYFUNCTION("""COMPUTED_VALUE"""),0.205298013245033)</f>
        <v>0.2052980132</v>
      </c>
      <c r="S12" s="8">
        <f>IFERROR(__xludf.DUMMYFUNCTION("""COMPUTED_VALUE"""),0.133858267716535)</f>
        <v>0.1338582677</v>
      </c>
      <c r="T12" s="8">
        <f>IFERROR(__xludf.DUMMYFUNCTION("""COMPUTED_VALUE"""),0.0)</f>
        <v>0</v>
      </c>
      <c r="U12" s="8">
        <f>IFERROR(__xludf.DUMMYFUNCTION("""COMPUTED_VALUE"""),0.0)</f>
        <v>0</v>
      </c>
      <c r="V12" s="8">
        <f>IFERROR(__xludf.DUMMYFUNCTION("""COMPUTED_VALUE"""),0.0)</f>
        <v>0</v>
      </c>
      <c r="W12" s="8">
        <f>IFERROR(__xludf.DUMMYFUNCTION("""COMPUTED_VALUE"""),0.0)</f>
        <v>0</v>
      </c>
      <c r="X12" s="8">
        <f>IFERROR(__xludf.DUMMYFUNCTION("""COMPUTED_VALUE"""),0.0)</f>
        <v>0</v>
      </c>
      <c r="Y12" s="8">
        <f>IFERROR(__xludf.DUMMYFUNCTION("""COMPUTED_VALUE"""),0.0)</f>
        <v>0</v>
      </c>
      <c r="Z12" s="8">
        <f>IFERROR(__xludf.DUMMYFUNCTION("""COMPUTED_VALUE"""),0.0)</f>
        <v>0</v>
      </c>
      <c r="AA12" s="8">
        <f>IFERROR(__xludf.DUMMYFUNCTION("""COMPUTED_VALUE"""),0.0)</f>
        <v>0</v>
      </c>
      <c r="AB12" s="8">
        <f>IFERROR(__xludf.DUMMYFUNCTION("""COMPUTED_VALUE"""),0.0)</f>
        <v>0</v>
      </c>
      <c r="AC12" s="8">
        <f>IFERROR(__xludf.DUMMYFUNCTION("""COMPUTED_VALUE"""),0.0)</f>
        <v>0</v>
      </c>
    </row>
    <row r="13" ht="15.75" customHeight="1">
      <c r="A13" s="6" t="str">
        <f>IFERROR(__xludf.DUMMYFUNCTION("""COMPUTED_VALUE"""),"06f83c7bf7296efe61da1c2da6e5c12e8e7d4aa8")</f>
        <v>06f83c7bf7296efe61da1c2da6e5c12e8e7d4aa8</v>
      </c>
      <c r="B13" s="6" t="str">
        <f>IFERROR(__xludf.DUMMYFUNCTION("""COMPUTED_VALUE"""),"Sigil of the Seven")</f>
        <v>Sigil of the Seven</v>
      </c>
      <c r="C13" s="6" t="str">
        <f>IFERROR(__xludf.DUMMYFUNCTION("""COMPUTED_VALUE"""),"Fantasy")</f>
        <v>Fantasy</v>
      </c>
      <c r="D13" s="11">
        <f>IFERROR(__xludf.DUMMYFUNCTION("""COMPUTED_VALUE"""),2497.0)</f>
        <v>2497</v>
      </c>
      <c r="E13" s="8">
        <f>IFERROR(__xludf.DUMMYFUNCTION("""COMPUTED_VALUE"""),0.936668011294877)</f>
        <v>0.9366680113</v>
      </c>
      <c r="F13" s="8">
        <f>IFERROR(__xludf.DUMMYFUNCTION("""COMPUTED_VALUE"""),0.449612403100775)</f>
        <v>0.4496124031</v>
      </c>
      <c r="G13" s="8">
        <f>IFERROR(__xludf.DUMMYFUNCTION("""COMPUTED_VALUE"""),0.374327122153209)</f>
        <v>0.3743271222</v>
      </c>
      <c r="H13" s="8">
        <f>IFERROR(__xludf.DUMMYFUNCTION("""COMPUTED_VALUE"""),0.343047460449625)</f>
        <v>0.3430474604</v>
      </c>
      <c r="I13" s="8">
        <f>IFERROR(__xludf.DUMMYFUNCTION("""COMPUTED_VALUE"""),0.318681318681318)</f>
        <v>0.3186813187</v>
      </c>
      <c r="J13" s="8">
        <f>IFERROR(__xludf.DUMMYFUNCTION("""COMPUTED_VALUE"""),0.301445578231292)</f>
        <v>0.3014455782</v>
      </c>
      <c r="K13" s="8">
        <f>IFERROR(__xludf.DUMMYFUNCTION("""COMPUTED_VALUE"""),0.287005163511187)</f>
        <v>0.2870051635</v>
      </c>
      <c r="L13" s="8">
        <f>IFERROR(__xludf.DUMMYFUNCTION("""COMPUTED_VALUE"""),0.279930343926861)</f>
        <v>0.2799303439</v>
      </c>
      <c r="M13" s="8">
        <f>IFERROR(__xludf.DUMMYFUNCTION("""COMPUTED_VALUE"""),0.273642732049036)</f>
        <v>0.273642732</v>
      </c>
      <c r="N13" s="8">
        <f>IFERROR(__xludf.DUMMYFUNCTION("""COMPUTED_VALUE"""),0.269111798497569)</f>
        <v>0.2691117985</v>
      </c>
      <c r="O13" s="8">
        <f>IFERROR(__xludf.DUMMYFUNCTION("""COMPUTED_VALUE"""),0.260046189376443)</f>
        <v>0.2600461894</v>
      </c>
      <c r="P13" s="8">
        <f>IFERROR(__xludf.DUMMYFUNCTION("""COMPUTED_VALUE"""),0.241803278688524)</f>
        <v>0.2418032787</v>
      </c>
      <c r="Q13" s="8">
        <f>IFERROR(__xludf.DUMMYFUNCTION("""COMPUTED_VALUE"""),0.191764705882352)</f>
        <v>0.1917647059</v>
      </c>
      <c r="R13" s="8">
        <f>IFERROR(__xludf.DUMMYFUNCTION("""COMPUTED_VALUE"""),0.138242894056847)</f>
        <v>0.1382428941</v>
      </c>
      <c r="S13" s="8">
        <f>IFERROR(__xludf.DUMMYFUNCTION("""COMPUTED_VALUE"""),0.111265646731571)</f>
        <v>0.1112656467</v>
      </c>
      <c r="T13" s="8">
        <f>IFERROR(__xludf.DUMMYFUNCTION("""COMPUTED_VALUE"""),0.077056277056277)</f>
        <v>0.07705627706</v>
      </c>
      <c r="U13" s="8">
        <f>IFERROR(__xludf.DUMMYFUNCTION("""COMPUTED_VALUE"""),0.0629453681710213)</f>
        <v>0.06294536817</v>
      </c>
      <c r="V13" s="8">
        <f>IFERROR(__xludf.DUMMYFUNCTION("""COMPUTED_VALUE"""),0.0584045584045584)</f>
        <v>0.0584045584</v>
      </c>
      <c r="W13" s="8">
        <f>IFERROR(__xludf.DUMMYFUNCTION("""COMPUTED_VALUE"""),0.0659793814432989)</f>
        <v>0.06597938144</v>
      </c>
      <c r="X13" s="8">
        <f>IFERROR(__xludf.DUMMYFUNCTION("""COMPUTED_VALUE"""),0.0789473684210526)</f>
        <v>0.07894736842</v>
      </c>
      <c r="Y13" s="8">
        <f>IFERROR(__xludf.DUMMYFUNCTION("""COMPUTED_VALUE"""),0.0)</f>
        <v>0</v>
      </c>
      <c r="Z13" s="8">
        <f>IFERROR(__xludf.DUMMYFUNCTION("""COMPUTED_VALUE"""),0.0)</f>
        <v>0</v>
      </c>
      <c r="AA13" s="8">
        <f>IFERROR(__xludf.DUMMYFUNCTION("""COMPUTED_VALUE"""),0.0)</f>
        <v>0</v>
      </c>
      <c r="AB13" s="8">
        <f>IFERROR(__xludf.DUMMYFUNCTION("""COMPUTED_VALUE"""),0.0)</f>
        <v>0</v>
      </c>
      <c r="AC13" s="8">
        <f>IFERROR(__xludf.DUMMYFUNCTION("""COMPUTED_VALUE"""),0.0)</f>
        <v>0</v>
      </c>
    </row>
    <row r="14" ht="15.75" customHeight="1">
      <c r="A14" s="6" t="str">
        <f>IFERROR(__xludf.DUMMYFUNCTION("""COMPUTED_VALUE"""),"0b07b41ff930aa13e98588f626eef70da51bb47e")</f>
        <v>0b07b41ff930aa13e98588f626eef70da51bb47e</v>
      </c>
      <c r="B14" s="6" t="str">
        <f>IFERROR(__xludf.DUMMYFUNCTION("""COMPUTED_VALUE"""),"Debtbound Between Worlds")</f>
        <v>Debtbound Between Worlds</v>
      </c>
      <c r="C14" s="6" t="str">
        <f>IFERROR(__xludf.DUMMYFUNCTION("""COMPUTED_VALUE"""),"Fantasy")</f>
        <v>Fantasy</v>
      </c>
      <c r="D14" s="11">
        <f>IFERROR(__xludf.DUMMYFUNCTION("""COMPUTED_VALUE"""),275.0)</f>
        <v>275</v>
      </c>
      <c r="E14" s="8">
        <f>IFERROR(__xludf.DUMMYFUNCTION("""COMPUTED_VALUE"""),0.985454545454545)</f>
        <v>0.9854545455</v>
      </c>
      <c r="F14" s="8">
        <f>IFERROR(__xludf.DUMMYFUNCTION("""COMPUTED_VALUE"""),0.214545454545454)</f>
        <v>0.2145454545</v>
      </c>
      <c r="G14" s="8">
        <f>IFERROR(__xludf.DUMMYFUNCTION("""COMPUTED_VALUE"""),0.181818181818181)</f>
        <v>0.1818181818</v>
      </c>
      <c r="H14" s="8">
        <f>IFERROR(__xludf.DUMMYFUNCTION("""COMPUTED_VALUE"""),0.152727272727272)</f>
        <v>0.1527272727</v>
      </c>
      <c r="I14" s="8">
        <f>IFERROR(__xludf.DUMMYFUNCTION("""COMPUTED_VALUE"""),0.131386861313868)</f>
        <v>0.1313868613</v>
      </c>
      <c r="J14" s="8">
        <f>IFERROR(__xludf.DUMMYFUNCTION("""COMPUTED_VALUE"""),0.124087591240875)</f>
        <v>0.1240875912</v>
      </c>
      <c r="K14" s="8">
        <f>IFERROR(__xludf.DUMMYFUNCTION("""COMPUTED_VALUE"""),0.113138686131386)</f>
        <v>0.1131386861</v>
      </c>
      <c r="L14" s="8">
        <f>IFERROR(__xludf.DUMMYFUNCTION("""COMPUTED_VALUE"""),0.117216117216117)</f>
        <v>0.1172161172</v>
      </c>
      <c r="M14" s="8">
        <f>IFERROR(__xludf.DUMMYFUNCTION("""COMPUTED_VALUE"""),0.110294117647058)</f>
        <v>0.1102941176</v>
      </c>
      <c r="N14" s="8">
        <f>IFERROR(__xludf.DUMMYFUNCTION("""COMPUTED_VALUE"""),0.10820895522388)</f>
        <v>0.1082089552</v>
      </c>
      <c r="O14" s="8">
        <f>IFERROR(__xludf.DUMMYFUNCTION("""COMPUTED_VALUE"""),0.0816326530612244)</f>
        <v>0.08163265306</v>
      </c>
      <c r="P14" s="8">
        <f>IFERROR(__xludf.DUMMYFUNCTION("""COMPUTED_VALUE"""),0.0888888888888888)</f>
        <v>0.08888888889</v>
      </c>
      <c r="Q14" s="8">
        <f>IFERROR(__xludf.DUMMYFUNCTION("""COMPUTED_VALUE"""),0.0)</f>
        <v>0</v>
      </c>
      <c r="R14" s="8">
        <f>IFERROR(__xludf.DUMMYFUNCTION("""COMPUTED_VALUE"""),0.0)</f>
        <v>0</v>
      </c>
      <c r="S14" s="8">
        <f>IFERROR(__xludf.DUMMYFUNCTION("""COMPUTED_VALUE"""),0.0)</f>
        <v>0</v>
      </c>
      <c r="T14" s="8">
        <f>IFERROR(__xludf.DUMMYFUNCTION("""COMPUTED_VALUE"""),0.0)</f>
        <v>0</v>
      </c>
      <c r="U14" s="8">
        <f>IFERROR(__xludf.DUMMYFUNCTION("""COMPUTED_VALUE"""),0.0)</f>
        <v>0</v>
      </c>
      <c r="V14" s="8">
        <f>IFERROR(__xludf.DUMMYFUNCTION("""COMPUTED_VALUE"""),0.0)</f>
        <v>0</v>
      </c>
      <c r="W14" s="8">
        <f>IFERROR(__xludf.DUMMYFUNCTION("""COMPUTED_VALUE"""),0.0)</f>
        <v>0</v>
      </c>
      <c r="X14" s="8">
        <f>IFERROR(__xludf.DUMMYFUNCTION("""COMPUTED_VALUE"""),0.0)</f>
        <v>0</v>
      </c>
      <c r="Y14" s="8">
        <f>IFERROR(__xludf.DUMMYFUNCTION("""COMPUTED_VALUE"""),0.0)</f>
        <v>0</v>
      </c>
      <c r="Z14" s="8">
        <f>IFERROR(__xludf.DUMMYFUNCTION("""COMPUTED_VALUE"""),0.0)</f>
        <v>0</v>
      </c>
      <c r="AA14" s="8">
        <f>IFERROR(__xludf.DUMMYFUNCTION("""COMPUTED_VALUE"""),0.0)</f>
        <v>0</v>
      </c>
      <c r="AB14" s="8">
        <f>IFERROR(__xludf.DUMMYFUNCTION("""COMPUTED_VALUE"""),0.0)</f>
        <v>0</v>
      </c>
      <c r="AC14" s="8">
        <f>IFERROR(__xludf.DUMMYFUNCTION("""COMPUTED_VALUE"""),0.0)</f>
        <v>0</v>
      </c>
    </row>
    <row r="15" ht="15.75" customHeight="1">
      <c r="A15" s="6" t="str">
        <f>IFERROR(__xludf.DUMMYFUNCTION("""COMPUTED_VALUE"""),"0b24baea319eafeca1995fb9b34e29d6ebfb9a50")</f>
        <v>0b24baea319eafeca1995fb9b34e29d6ebfb9a50</v>
      </c>
      <c r="B15" s="6" t="str">
        <f>IFERROR(__xludf.DUMMYFUNCTION("""COMPUTED_VALUE"""),"Rejected Bride Returns")</f>
        <v>Rejected Bride Returns</v>
      </c>
      <c r="C15" s="6" t="str">
        <f>IFERROR(__xludf.DUMMYFUNCTION("""COMPUTED_VALUE"""),"Romance")</f>
        <v>Romance</v>
      </c>
      <c r="D15" s="11">
        <f>IFERROR(__xludf.DUMMYFUNCTION("""COMPUTED_VALUE"""),1174.0)</f>
        <v>1174</v>
      </c>
      <c r="E15" s="8">
        <f>IFERROR(__xludf.DUMMYFUNCTION("""COMPUTED_VALUE"""),0.973572037510656)</f>
        <v>0.9735720375</v>
      </c>
      <c r="F15" s="8">
        <f>IFERROR(__xludf.DUMMYFUNCTION("""COMPUTED_VALUE"""),0.578992314261315)</f>
        <v>0.5789923143</v>
      </c>
      <c r="G15" s="8">
        <f>IFERROR(__xludf.DUMMYFUNCTION("""COMPUTED_VALUE"""),0.491831470335339)</f>
        <v>0.4918314703</v>
      </c>
      <c r="H15" s="8">
        <f>IFERROR(__xludf.DUMMYFUNCTION("""COMPUTED_VALUE"""),0.406854130052724)</f>
        <v>0.4068541301</v>
      </c>
      <c r="I15" s="8">
        <f>IFERROR(__xludf.DUMMYFUNCTION("""COMPUTED_VALUE"""),0.335431654676259)</f>
        <v>0.3354316547</v>
      </c>
      <c r="J15" s="8">
        <f>IFERROR(__xludf.DUMMYFUNCTION("""COMPUTED_VALUE"""),0.278035217794253)</f>
        <v>0.2780352178</v>
      </c>
      <c r="K15" s="8">
        <f>IFERROR(__xludf.DUMMYFUNCTION("""COMPUTED_VALUE"""),0.235063663075416)</f>
        <v>0.2350636631</v>
      </c>
      <c r="L15" s="8">
        <f>IFERROR(__xludf.DUMMYFUNCTION("""COMPUTED_VALUE"""),0.200836820083682)</f>
        <v>0.2008368201</v>
      </c>
      <c r="M15" s="8">
        <f>IFERROR(__xludf.DUMMYFUNCTION("""COMPUTED_VALUE"""),0.165562913907284)</f>
        <v>0.1655629139</v>
      </c>
      <c r="N15" s="8">
        <f>IFERROR(__xludf.DUMMYFUNCTION("""COMPUTED_VALUE"""),0.132163742690058)</f>
        <v>0.1321637427</v>
      </c>
      <c r="O15" s="8">
        <f>IFERROR(__xludf.DUMMYFUNCTION("""COMPUTED_VALUE"""),0.131291028446389)</f>
        <v>0.1312910284</v>
      </c>
      <c r="P15" s="8">
        <f>IFERROR(__xludf.DUMMYFUNCTION("""COMPUTED_VALUE"""),0.12)</f>
        <v>0.12</v>
      </c>
      <c r="Q15" s="8">
        <f>IFERROR(__xludf.DUMMYFUNCTION("""COMPUTED_VALUE"""),0.0)</f>
        <v>0</v>
      </c>
      <c r="R15" s="8">
        <f>IFERROR(__xludf.DUMMYFUNCTION("""COMPUTED_VALUE"""),0.0)</f>
        <v>0</v>
      </c>
      <c r="S15" s="8">
        <f>IFERROR(__xludf.DUMMYFUNCTION("""COMPUTED_VALUE"""),0.0)</f>
        <v>0</v>
      </c>
      <c r="T15" s="8">
        <f>IFERROR(__xludf.DUMMYFUNCTION("""COMPUTED_VALUE"""),0.0)</f>
        <v>0</v>
      </c>
      <c r="U15" s="8">
        <f>IFERROR(__xludf.DUMMYFUNCTION("""COMPUTED_VALUE"""),0.0)</f>
        <v>0</v>
      </c>
      <c r="V15" s="8">
        <f>IFERROR(__xludf.DUMMYFUNCTION("""COMPUTED_VALUE"""),0.0)</f>
        <v>0</v>
      </c>
      <c r="W15" s="8">
        <f>IFERROR(__xludf.DUMMYFUNCTION("""COMPUTED_VALUE"""),0.0)</f>
        <v>0</v>
      </c>
      <c r="X15" s="8">
        <f>IFERROR(__xludf.DUMMYFUNCTION("""COMPUTED_VALUE"""),0.0)</f>
        <v>0</v>
      </c>
      <c r="Y15" s="8">
        <f>IFERROR(__xludf.DUMMYFUNCTION("""COMPUTED_VALUE"""),0.0)</f>
        <v>0</v>
      </c>
      <c r="Z15" s="8">
        <f>IFERROR(__xludf.DUMMYFUNCTION("""COMPUTED_VALUE"""),0.0)</f>
        <v>0</v>
      </c>
      <c r="AA15" s="8">
        <f>IFERROR(__xludf.DUMMYFUNCTION("""COMPUTED_VALUE"""),0.0)</f>
        <v>0</v>
      </c>
      <c r="AB15" s="8">
        <f>IFERROR(__xludf.DUMMYFUNCTION("""COMPUTED_VALUE"""),0.0)</f>
        <v>0</v>
      </c>
      <c r="AC15" s="8">
        <f>IFERROR(__xludf.DUMMYFUNCTION("""COMPUTED_VALUE"""),0.0)</f>
        <v>0</v>
      </c>
    </row>
    <row r="16" ht="15.75" customHeight="1">
      <c r="A16" s="6" t="str">
        <f>IFERROR(__xludf.DUMMYFUNCTION("""COMPUTED_VALUE"""),"0c7fa1a2b4bca0746ad0384d77796b98dd7d801c")</f>
        <v>0c7fa1a2b4bca0746ad0384d77796b98dd7d801c</v>
      </c>
      <c r="B16" s="6" t="str">
        <f>IFERROR(__xludf.DUMMYFUNCTION("""COMPUTED_VALUE"""),"Flash Marriage to My Ex’s Boss")</f>
        <v>Flash Marriage to My Ex’s Boss</v>
      </c>
      <c r="C16" s="6" t="str">
        <f>IFERROR(__xludf.DUMMYFUNCTION("""COMPUTED_VALUE"""),"Romance")</f>
        <v>Romance</v>
      </c>
      <c r="D16" s="11">
        <f>IFERROR(__xludf.DUMMYFUNCTION("""COMPUTED_VALUE"""),1117.0)</f>
        <v>1117</v>
      </c>
      <c r="E16" s="8">
        <f>IFERROR(__xludf.DUMMYFUNCTION("""COMPUTED_VALUE"""),0.924663677130044)</f>
        <v>0.9246636771</v>
      </c>
      <c r="F16" s="8">
        <f>IFERROR(__xludf.DUMMYFUNCTION("""COMPUTED_VALUE"""),0.406109613656783)</f>
        <v>0.4061096137</v>
      </c>
      <c r="G16" s="8">
        <f>IFERROR(__xludf.DUMMYFUNCTION("""COMPUTED_VALUE"""),0.349820143884892)</f>
        <v>0.3498201439</v>
      </c>
      <c r="H16" s="8">
        <f>IFERROR(__xludf.DUMMYFUNCTION("""COMPUTED_VALUE"""),0.324640287769784)</f>
        <v>0.3246402878</v>
      </c>
      <c r="I16" s="8">
        <f>IFERROR(__xludf.DUMMYFUNCTION("""COMPUTED_VALUE"""),0.307207207207207)</f>
        <v>0.3072072072</v>
      </c>
      <c r="J16" s="8">
        <f>IFERROR(__xludf.DUMMYFUNCTION("""COMPUTED_VALUE"""),0.272972972972972)</f>
        <v>0.272972973</v>
      </c>
      <c r="K16" s="8">
        <f>IFERROR(__xludf.DUMMYFUNCTION("""COMPUTED_VALUE"""),0.245945945945945)</f>
        <v>0.2459459459</v>
      </c>
      <c r="L16" s="8">
        <f>IFERROR(__xludf.DUMMYFUNCTION("""COMPUTED_VALUE"""),0.235347159603246)</f>
        <v>0.2353471596</v>
      </c>
      <c r="M16" s="8">
        <f>IFERROR(__xludf.DUMMYFUNCTION("""COMPUTED_VALUE"""),0.227436823104693)</f>
        <v>0.2274368231</v>
      </c>
      <c r="N16" s="8">
        <f>IFERROR(__xludf.DUMMYFUNCTION("""COMPUTED_VALUE"""),0.218608852755194)</f>
        <v>0.2186088528</v>
      </c>
      <c r="O16" s="8">
        <f>IFERROR(__xludf.DUMMYFUNCTION("""COMPUTED_VALUE"""),0.172257479601087)</f>
        <v>0.1722574796</v>
      </c>
      <c r="P16" s="8">
        <f>IFERROR(__xludf.DUMMYFUNCTION("""COMPUTED_VALUE"""),0.106460418562329)</f>
        <v>0.1064604186</v>
      </c>
      <c r="Q16" s="8">
        <f>IFERROR(__xludf.DUMMYFUNCTION("""COMPUTED_VALUE"""),0.076427255985267)</f>
        <v>0.07642725599</v>
      </c>
      <c r="R16" s="8">
        <f>IFERROR(__xludf.DUMMYFUNCTION("""COMPUTED_VALUE"""),0.0637707948243992)</f>
        <v>0.06377079482</v>
      </c>
      <c r="S16" s="8">
        <f>IFERROR(__xludf.DUMMYFUNCTION("""COMPUTED_VALUE"""),0.0)</f>
        <v>0</v>
      </c>
      <c r="T16" s="8">
        <f>IFERROR(__xludf.DUMMYFUNCTION("""COMPUTED_VALUE"""),0.0)</f>
        <v>0</v>
      </c>
      <c r="U16" s="8">
        <f>IFERROR(__xludf.DUMMYFUNCTION("""COMPUTED_VALUE"""),0.0)</f>
        <v>0</v>
      </c>
      <c r="V16" s="8">
        <f>IFERROR(__xludf.DUMMYFUNCTION("""COMPUTED_VALUE"""),0.0)</f>
        <v>0</v>
      </c>
      <c r="W16" s="8">
        <f>IFERROR(__xludf.DUMMYFUNCTION("""COMPUTED_VALUE"""),0.0)</f>
        <v>0</v>
      </c>
      <c r="X16" s="8">
        <f>IFERROR(__xludf.DUMMYFUNCTION("""COMPUTED_VALUE"""),0.0)</f>
        <v>0</v>
      </c>
      <c r="Y16" s="8">
        <f>IFERROR(__xludf.DUMMYFUNCTION("""COMPUTED_VALUE"""),0.0)</f>
        <v>0</v>
      </c>
      <c r="Z16" s="8">
        <f>IFERROR(__xludf.DUMMYFUNCTION("""COMPUTED_VALUE"""),0.0)</f>
        <v>0</v>
      </c>
      <c r="AA16" s="8">
        <f>IFERROR(__xludf.DUMMYFUNCTION("""COMPUTED_VALUE"""),0.0)</f>
        <v>0</v>
      </c>
      <c r="AB16" s="8">
        <f>IFERROR(__xludf.DUMMYFUNCTION("""COMPUTED_VALUE"""),0.0)</f>
        <v>0</v>
      </c>
      <c r="AC16" s="8">
        <f>IFERROR(__xludf.DUMMYFUNCTION("""COMPUTED_VALUE"""),0.0)</f>
        <v>0</v>
      </c>
    </row>
    <row r="17" ht="15.75" customHeight="1">
      <c r="A17" s="6" t="str">
        <f>IFERROR(__xludf.DUMMYFUNCTION("""COMPUTED_VALUE"""),"0d62d7798adbffba76234feba6e58e4a73a6baf8")</f>
        <v>0d62d7798adbffba76234feba6e58e4a73a6baf8</v>
      </c>
      <c r="B17" s="6" t="str">
        <f>IFERROR(__xludf.DUMMYFUNCTION("""COMPUTED_VALUE"""),"Devil's Redemption")</f>
        <v>Devil's Redemption</v>
      </c>
      <c r="C17" s="6" t="str">
        <f>IFERROR(__xludf.DUMMYFUNCTION("""COMPUTED_VALUE"""),"Fantasy")</f>
        <v>Fantasy</v>
      </c>
      <c r="D17" s="11">
        <f>IFERROR(__xludf.DUMMYFUNCTION("""COMPUTED_VALUE"""),69.0)</f>
        <v>69</v>
      </c>
      <c r="E17" s="8">
        <f>IFERROR(__xludf.DUMMYFUNCTION("""COMPUTED_VALUE"""),0.982456140350877)</f>
        <v>0.9824561404</v>
      </c>
      <c r="F17" s="8">
        <f>IFERROR(__xludf.DUMMYFUNCTION("""COMPUTED_VALUE"""),0.522727272727272)</f>
        <v>0.5227272727</v>
      </c>
      <c r="G17" s="8">
        <f>IFERROR(__xludf.DUMMYFUNCTION("""COMPUTED_VALUE"""),0.477272727272727)</f>
        <v>0.4772727273</v>
      </c>
      <c r="H17" s="8">
        <f>IFERROR(__xludf.DUMMYFUNCTION("""COMPUTED_VALUE"""),0.465116279069767)</f>
        <v>0.4651162791</v>
      </c>
      <c r="I17" s="8">
        <f>IFERROR(__xludf.DUMMYFUNCTION("""COMPUTED_VALUE"""),0.4)</f>
        <v>0.4</v>
      </c>
      <c r="J17" s="8">
        <f>IFERROR(__xludf.DUMMYFUNCTION("""COMPUTED_VALUE"""),0.333333333333333)</f>
        <v>0.3333333333</v>
      </c>
      <c r="K17" s="8">
        <f>IFERROR(__xludf.DUMMYFUNCTION("""COMPUTED_VALUE"""),0.282051282051282)</f>
        <v>0.2820512821</v>
      </c>
      <c r="L17" s="8">
        <f>IFERROR(__xludf.DUMMYFUNCTION("""COMPUTED_VALUE"""),0.31578947368421)</f>
        <v>0.3157894737</v>
      </c>
      <c r="M17" s="8">
        <f>IFERROR(__xludf.DUMMYFUNCTION("""COMPUTED_VALUE"""),0.289473684210526)</f>
        <v>0.2894736842</v>
      </c>
      <c r="N17" s="8">
        <f>IFERROR(__xludf.DUMMYFUNCTION("""COMPUTED_VALUE"""),0.243243243243243)</f>
        <v>0.2432432432</v>
      </c>
      <c r="O17" s="8">
        <f>IFERROR(__xludf.DUMMYFUNCTION("""COMPUTED_VALUE"""),0.25)</f>
        <v>0.25</v>
      </c>
      <c r="P17" s="8">
        <f>IFERROR(__xludf.DUMMYFUNCTION("""COMPUTED_VALUE"""),0.0)</f>
        <v>0</v>
      </c>
      <c r="Q17" s="8">
        <f>IFERROR(__xludf.DUMMYFUNCTION("""COMPUTED_VALUE"""),0.0)</f>
        <v>0</v>
      </c>
      <c r="R17" s="8">
        <f>IFERROR(__xludf.DUMMYFUNCTION("""COMPUTED_VALUE"""),0.0)</f>
        <v>0</v>
      </c>
      <c r="S17" s="8">
        <f>IFERROR(__xludf.DUMMYFUNCTION("""COMPUTED_VALUE"""),0.0)</f>
        <v>0</v>
      </c>
      <c r="T17" s="8">
        <f>IFERROR(__xludf.DUMMYFUNCTION("""COMPUTED_VALUE"""),0.0)</f>
        <v>0</v>
      </c>
      <c r="U17" s="8">
        <f>IFERROR(__xludf.DUMMYFUNCTION("""COMPUTED_VALUE"""),0.0)</f>
        <v>0</v>
      </c>
      <c r="V17" s="8">
        <f>IFERROR(__xludf.DUMMYFUNCTION("""COMPUTED_VALUE"""),0.0)</f>
        <v>0</v>
      </c>
      <c r="W17" s="8">
        <f>IFERROR(__xludf.DUMMYFUNCTION("""COMPUTED_VALUE"""),0.0)</f>
        <v>0</v>
      </c>
      <c r="X17" s="8">
        <f>IFERROR(__xludf.DUMMYFUNCTION("""COMPUTED_VALUE"""),0.0)</f>
        <v>0</v>
      </c>
      <c r="Y17" s="8">
        <f>IFERROR(__xludf.DUMMYFUNCTION("""COMPUTED_VALUE"""),0.0)</f>
        <v>0</v>
      </c>
      <c r="Z17" s="8">
        <f>IFERROR(__xludf.DUMMYFUNCTION("""COMPUTED_VALUE"""),0.0)</f>
        <v>0</v>
      </c>
      <c r="AA17" s="8">
        <f>IFERROR(__xludf.DUMMYFUNCTION("""COMPUTED_VALUE"""),0.0)</f>
        <v>0</v>
      </c>
      <c r="AB17" s="8">
        <f>IFERROR(__xludf.DUMMYFUNCTION("""COMPUTED_VALUE"""),0.0)</f>
        <v>0</v>
      </c>
      <c r="AC17" s="8">
        <f>IFERROR(__xludf.DUMMYFUNCTION("""COMPUTED_VALUE"""),0.0)</f>
        <v>0</v>
      </c>
    </row>
    <row r="18" ht="15.75" customHeight="1">
      <c r="A18" s="6" t="str">
        <f>IFERROR(__xludf.DUMMYFUNCTION("""COMPUTED_VALUE"""),"0db57923d2182ad47e7480030a03e05da109b1bf")</f>
        <v>0db57923d2182ad47e7480030a03e05da109b1bf</v>
      </c>
      <c r="B18" s="6" t="str">
        <f>IFERROR(__xludf.DUMMYFUNCTION("""COMPUTED_VALUE"""),"The Ceo's Borrowed Beauty")</f>
        <v>The Ceo's Borrowed Beauty</v>
      </c>
      <c r="C18" s="6" t="str">
        <f>IFERROR(__xludf.DUMMYFUNCTION("""COMPUTED_VALUE"""),"Romance")</f>
        <v>Romance</v>
      </c>
      <c r="D18" s="11">
        <f>IFERROR(__xludf.DUMMYFUNCTION("""COMPUTED_VALUE"""),2673.0)</f>
        <v>2673</v>
      </c>
      <c r="E18" s="8">
        <f>IFERROR(__xludf.DUMMYFUNCTION("""COMPUTED_VALUE"""),0.970030349013657)</f>
        <v>0.970030349</v>
      </c>
      <c r="F18" s="8">
        <f>IFERROR(__xludf.DUMMYFUNCTION("""COMPUTED_VALUE"""),0.487366003062787)</f>
        <v>0.4873660031</v>
      </c>
      <c r="G18" s="8">
        <f>IFERROR(__xludf.DUMMYFUNCTION("""COMPUTED_VALUE"""),0.431372549019607)</f>
        <v>0.431372549</v>
      </c>
      <c r="H18" s="8">
        <f>IFERROR(__xludf.DUMMYFUNCTION("""COMPUTED_VALUE"""),0.386100386100386)</f>
        <v>0.3861003861</v>
      </c>
      <c r="I18" s="8">
        <f>IFERROR(__xludf.DUMMYFUNCTION("""COMPUTED_VALUE"""),0.363671572424477)</f>
        <v>0.3636715724</v>
      </c>
      <c r="J18" s="8">
        <f>IFERROR(__xludf.DUMMYFUNCTION("""COMPUTED_VALUE"""),0.3337213814513)</f>
        <v>0.3337213815</v>
      </c>
      <c r="K18" s="8">
        <f>IFERROR(__xludf.DUMMYFUNCTION("""COMPUTED_VALUE"""),0.303654743390357)</f>
        <v>0.3036547434</v>
      </c>
      <c r="L18" s="8">
        <f>IFERROR(__xludf.DUMMYFUNCTION("""COMPUTED_VALUE"""),0.284018987341772)</f>
        <v>0.2840189873</v>
      </c>
      <c r="M18" s="8">
        <f>IFERROR(__xludf.DUMMYFUNCTION("""COMPUTED_VALUE"""),0.269815852682145)</f>
        <v>0.2698158527</v>
      </c>
      <c r="N18" s="8">
        <f>IFERROR(__xludf.DUMMYFUNCTION("""COMPUTED_VALUE"""),0.268322475570032)</f>
        <v>0.2683224756</v>
      </c>
      <c r="O18" s="8">
        <f>IFERROR(__xludf.DUMMYFUNCTION("""COMPUTED_VALUE"""),0.255387931034482)</f>
        <v>0.255387931</v>
      </c>
      <c r="P18" s="8">
        <f>IFERROR(__xludf.DUMMYFUNCTION("""COMPUTED_VALUE"""),0.253602305475504)</f>
        <v>0.2536023055</v>
      </c>
      <c r="Q18" s="8">
        <f>IFERROR(__xludf.DUMMYFUNCTION("""COMPUTED_VALUE"""),0.337209302325581)</f>
        <v>0.3372093023</v>
      </c>
      <c r="R18" s="8">
        <f>IFERROR(__xludf.DUMMYFUNCTION("""COMPUTED_VALUE"""),0.303030303030303)</f>
        <v>0.303030303</v>
      </c>
      <c r="S18" s="8">
        <f>IFERROR(__xludf.DUMMYFUNCTION("""COMPUTED_VALUE"""),0.0)</f>
        <v>0</v>
      </c>
      <c r="T18" s="8">
        <f>IFERROR(__xludf.DUMMYFUNCTION("""COMPUTED_VALUE"""),0.0)</f>
        <v>0</v>
      </c>
      <c r="U18" s="8">
        <f>IFERROR(__xludf.DUMMYFUNCTION("""COMPUTED_VALUE"""),0.0)</f>
        <v>0</v>
      </c>
      <c r="V18" s="8">
        <f>IFERROR(__xludf.DUMMYFUNCTION("""COMPUTED_VALUE"""),0.0)</f>
        <v>0</v>
      </c>
      <c r="W18" s="8">
        <f>IFERROR(__xludf.DUMMYFUNCTION("""COMPUTED_VALUE"""),0.0)</f>
        <v>0</v>
      </c>
      <c r="X18" s="8">
        <f>IFERROR(__xludf.DUMMYFUNCTION("""COMPUTED_VALUE"""),0.0)</f>
        <v>0</v>
      </c>
      <c r="Y18" s="8">
        <f>IFERROR(__xludf.DUMMYFUNCTION("""COMPUTED_VALUE"""),0.0)</f>
        <v>0</v>
      </c>
      <c r="Z18" s="8">
        <f>IFERROR(__xludf.DUMMYFUNCTION("""COMPUTED_VALUE"""),0.0)</f>
        <v>0</v>
      </c>
      <c r="AA18" s="8">
        <f>IFERROR(__xludf.DUMMYFUNCTION("""COMPUTED_VALUE"""),0.0)</f>
        <v>0</v>
      </c>
      <c r="AB18" s="8">
        <f>IFERROR(__xludf.DUMMYFUNCTION("""COMPUTED_VALUE"""),0.0)</f>
        <v>0</v>
      </c>
      <c r="AC18" s="8">
        <f>IFERROR(__xludf.DUMMYFUNCTION("""COMPUTED_VALUE"""),0.0)</f>
        <v>0</v>
      </c>
    </row>
    <row r="19" ht="15.75" customHeight="1">
      <c r="A19" s="6" t="str">
        <f>IFERROR(__xludf.DUMMYFUNCTION("""COMPUTED_VALUE"""),"0f3d56fd651e66eb62e990fd31d006aa80eaab5f")</f>
        <v>0f3d56fd651e66eb62e990fd31d006aa80eaab5f</v>
      </c>
      <c r="B19" s="6" t="str">
        <f>IFERROR(__xludf.DUMMYFUNCTION("""COMPUTED_VALUE"""),"The Forsaken Tamer")</f>
        <v>The Forsaken Tamer</v>
      </c>
      <c r="C19" s="6" t="str">
        <f>IFERROR(__xludf.DUMMYFUNCTION("""COMPUTED_VALUE"""),"System and Superpower")</f>
        <v>System and Superpower</v>
      </c>
      <c r="D19" s="11">
        <f>IFERROR(__xludf.DUMMYFUNCTION("""COMPUTED_VALUE"""),227.0)</f>
        <v>227</v>
      </c>
      <c r="E19" s="8">
        <f>IFERROR(__xludf.DUMMYFUNCTION("""COMPUTED_VALUE"""),0.982300884955752)</f>
        <v>0.982300885</v>
      </c>
      <c r="F19" s="8">
        <f>IFERROR(__xludf.DUMMYFUNCTION("""COMPUTED_VALUE"""),0.354260089686098)</f>
        <v>0.3542600897</v>
      </c>
      <c r="G19" s="8">
        <f>IFERROR(__xludf.DUMMYFUNCTION("""COMPUTED_VALUE"""),0.28310502283105)</f>
        <v>0.2831050228</v>
      </c>
      <c r="H19" s="8">
        <f>IFERROR(__xludf.DUMMYFUNCTION("""COMPUTED_VALUE"""),0.229665071770334)</f>
        <v>0.2296650718</v>
      </c>
      <c r="I19" s="8">
        <f>IFERROR(__xludf.DUMMYFUNCTION("""COMPUTED_VALUE"""),0.182692307692307)</f>
        <v>0.1826923077</v>
      </c>
      <c r="J19" s="8">
        <f>IFERROR(__xludf.DUMMYFUNCTION("""COMPUTED_VALUE"""),0.135678391959799)</f>
        <v>0.135678392</v>
      </c>
      <c r="K19" s="8">
        <f>IFERROR(__xludf.DUMMYFUNCTION("""COMPUTED_VALUE"""),0.126262626262626)</f>
        <v>0.1262626263</v>
      </c>
      <c r="L19" s="8">
        <f>IFERROR(__xludf.DUMMYFUNCTION("""COMPUTED_VALUE"""),0.111111111111111)</f>
        <v>0.1111111111</v>
      </c>
      <c r="M19" s="8">
        <f>IFERROR(__xludf.DUMMYFUNCTION("""COMPUTED_VALUE"""),0.0964467005076142)</f>
        <v>0.09644670051</v>
      </c>
      <c r="N19" s="8">
        <f>IFERROR(__xludf.DUMMYFUNCTION("""COMPUTED_VALUE"""),0.0913705583756345)</f>
        <v>0.09137055838</v>
      </c>
      <c r="O19" s="8">
        <f>IFERROR(__xludf.DUMMYFUNCTION("""COMPUTED_VALUE"""),0.0609137055837563)</f>
        <v>0.06091370558</v>
      </c>
      <c r="P19" s="8">
        <f>IFERROR(__xludf.DUMMYFUNCTION("""COMPUTED_VALUE"""),0.0271739130434782)</f>
        <v>0.02717391304</v>
      </c>
      <c r="Q19" s="8">
        <f>IFERROR(__xludf.DUMMYFUNCTION("""COMPUTED_VALUE"""),0.0266666666666666)</f>
        <v>0.02666666667</v>
      </c>
      <c r="R19" s="8">
        <f>IFERROR(__xludf.DUMMYFUNCTION("""COMPUTED_VALUE"""),0.0204081632653061)</f>
        <v>0.02040816327</v>
      </c>
      <c r="S19" s="8">
        <f>IFERROR(__xludf.DUMMYFUNCTION("""COMPUTED_VALUE"""),0.0)</f>
        <v>0</v>
      </c>
      <c r="T19" s="8">
        <f>IFERROR(__xludf.DUMMYFUNCTION("""COMPUTED_VALUE"""),0.0)</f>
        <v>0</v>
      </c>
      <c r="U19" s="8">
        <f>IFERROR(__xludf.DUMMYFUNCTION("""COMPUTED_VALUE"""),0.0)</f>
        <v>0</v>
      </c>
      <c r="V19" s="8">
        <f>IFERROR(__xludf.DUMMYFUNCTION("""COMPUTED_VALUE"""),0.0)</f>
        <v>0</v>
      </c>
      <c r="W19" s="8">
        <f>IFERROR(__xludf.DUMMYFUNCTION("""COMPUTED_VALUE"""),0.0)</f>
        <v>0</v>
      </c>
      <c r="X19" s="8">
        <f>IFERROR(__xludf.DUMMYFUNCTION("""COMPUTED_VALUE"""),0.0)</f>
        <v>0</v>
      </c>
      <c r="Y19" s="8">
        <f>IFERROR(__xludf.DUMMYFUNCTION("""COMPUTED_VALUE"""),0.0)</f>
        <v>0</v>
      </c>
      <c r="Z19" s="8">
        <f>IFERROR(__xludf.DUMMYFUNCTION("""COMPUTED_VALUE"""),0.0)</f>
        <v>0</v>
      </c>
      <c r="AA19" s="8">
        <f>IFERROR(__xludf.DUMMYFUNCTION("""COMPUTED_VALUE"""),0.0)</f>
        <v>0</v>
      </c>
      <c r="AB19" s="8">
        <f>IFERROR(__xludf.DUMMYFUNCTION("""COMPUTED_VALUE"""),0.0)</f>
        <v>0</v>
      </c>
      <c r="AC19" s="8">
        <f>IFERROR(__xludf.DUMMYFUNCTION("""COMPUTED_VALUE"""),0.0)</f>
        <v>0</v>
      </c>
    </row>
    <row r="20" ht="15.75" customHeight="1">
      <c r="A20" s="6" t="str">
        <f>IFERROR(__xludf.DUMMYFUNCTION("""COMPUTED_VALUE"""),"0fadc6da7c4d814463023dc7ffd8be44c68fa457")</f>
        <v>0fadc6da7c4d814463023dc7ffd8be44c68fa457</v>
      </c>
      <c r="B20" s="6" t="str">
        <f>IFERROR(__xludf.DUMMYFUNCTION("""COMPUTED_VALUE"""),"From Ceo to Young Lord")</f>
        <v>From Ceo to Young Lord</v>
      </c>
      <c r="C20" s="6" t="str">
        <f>IFERROR(__xludf.DUMMYFUNCTION("""COMPUTED_VALUE"""),"Fantasy")</f>
        <v>Fantasy</v>
      </c>
      <c r="D20" s="11">
        <f>IFERROR(__xludf.DUMMYFUNCTION("""COMPUTED_VALUE"""),497.0)</f>
        <v>497</v>
      </c>
      <c r="E20" s="8">
        <f>IFERROR(__xludf.DUMMYFUNCTION("""COMPUTED_VALUE"""),0.945454545454545)</f>
        <v>0.9454545455</v>
      </c>
      <c r="F20" s="8">
        <f>IFERROR(__xludf.DUMMYFUNCTION("""COMPUTED_VALUE"""),0.562118126272912)</f>
        <v>0.5621181263</v>
      </c>
      <c r="G20" s="8">
        <f>IFERROR(__xludf.DUMMYFUNCTION("""COMPUTED_VALUE"""),0.532653061224489)</f>
        <v>0.5326530612</v>
      </c>
      <c r="H20" s="8">
        <f>IFERROR(__xludf.DUMMYFUNCTION("""COMPUTED_VALUE"""),0.530737704918032)</f>
        <v>0.5307377049</v>
      </c>
      <c r="I20" s="8">
        <f>IFERROR(__xludf.DUMMYFUNCTION("""COMPUTED_VALUE"""),0.479508196721311)</f>
        <v>0.4795081967</v>
      </c>
      <c r="J20" s="8">
        <f>IFERROR(__xludf.DUMMYFUNCTION("""COMPUTED_VALUE"""),0.459016393442622)</f>
        <v>0.4590163934</v>
      </c>
      <c r="K20" s="8">
        <f>IFERROR(__xludf.DUMMYFUNCTION("""COMPUTED_VALUE"""),0.451745379876796)</f>
        <v>0.4517453799</v>
      </c>
      <c r="L20" s="8">
        <f>IFERROR(__xludf.DUMMYFUNCTION("""COMPUTED_VALUE"""),0.433884297520661)</f>
        <v>0.4338842975</v>
      </c>
      <c r="M20" s="8">
        <f>IFERROR(__xludf.DUMMYFUNCTION("""COMPUTED_VALUE"""),0.394628099173553)</f>
        <v>0.3946280992</v>
      </c>
      <c r="N20" s="8">
        <f>IFERROR(__xludf.DUMMYFUNCTION("""COMPUTED_VALUE"""),0.384297520661157)</f>
        <v>0.3842975207</v>
      </c>
      <c r="O20" s="8">
        <f>IFERROR(__xludf.DUMMYFUNCTION("""COMPUTED_VALUE"""),0.317880794701986)</f>
        <v>0.3178807947</v>
      </c>
      <c r="P20" s="8">
        <f>IFERROR(__xludf.DUMMYFUNCTION("""COMPUTED_VALUE"""),0.241895261845386)</f>
        <v>0.2418952618</v>
      </c>
      <c r="Q20" s="8">
        <f>IFERROR(__xludf.DUMMYFUNCTION("""COMPUTED_VALUE"""),0.140969162995594)</f>
        <v>0.140969163</v>
      </c>
      <c r="R20" s="8">
        <f>IFERROR(__xludf.DUMMYFUNCTION("""COMPUTED_VALUE"""),0.130434782608695)</f>
        <v>0.1304347826</v>
      </c>
      <c r="S20" s="8">
        <f>IFERROR(__xludf.DUMMYFUNCTION("""COMPUTED_VALUE"""),0.0)</f>
        <v>0</v>
      </c>
      <c r="T20" s="8">
        <f>IFERROR(__xludf.DUMMYFUNCTION("""COMPUTED_VALUE"""),0.0)</f>
        <v>0</v>
      </c>
      <c r="U20" s="8">
        <f>IFERROR(__xludf.DUMMYFUNCTION("""COMPUTED_VALUE"""),0.0)</f>
        <v>0</v>
      </c>
      <c r="V20" s="8">
        <f>IFERROR(__xludf.DUMMYFUNCTION("""COMPUTED_VALUE"""),0.0)</f>
        <v>0</v>
      </c>
      <c r="W20" s="8">
        <f>IFERROR(__xludf.DUMMYFUNCTION("""COMPUTED_VALUE"""),0.0)</f>
        <v>0</v>
      </c>
      <c r="X20" s="8">
        <f>IFERROR(__xludf.DUMMYFUNCTION("""COMPUTED_VALUE"""),0.0)</f>
        <v>0</v>
      </c>
      <c r="Y20" s="8">
        <f>IFERROR(__xludf.DUMMYFUNCTION("""COMPUTED_VALUE"""),0.0)</f>
        <v>0</v>
      </c>
      <c r="Z20" s="8">
        <f>IFERROR(__xludf.DUMMYFUNCTION("""COMPUTED_VALUE"""),0.0)</f>
        <v>0</v>
      </c>
      <c r="AA20" s="8">
        <f>IFERROR(__xludf.DUMMYFUNCTION("""COMPUTED_VALUE"""),0.0)</f>
        <v>0</v>
      </c>
      <c r="AB20" s="8">
        <f>IFERROR(__xludf.DUMMYFUNCTION("""COMPUTED_VALUE"""),0.0)</f>
        <v>0</v>
      </c>
      <c r="AC20" s="8">
        <f>IFERROR(__xludf.DUMMYFUNCTION("""COMPUTED_VALUE"""),0.0)</f>
        <v>0</v>
      </c>
    </row>
    <row r="21" ht="15.75" customHeight="1">
      <c r="A21" s="6" t="str">
        <f>IFERROR(__xludf.DUMMYFUNCTION("""COMPUTED_VALUE"""),"114fed9f0540f90ccc58d03a383c7c69260baeae")</f>
        <v>114fed9f0540f90ccc58d03a383c7c69260baeae</v>
      </c>
      <c r="B21" s="6" t="str">
        <f>IFERROR(__xludf.DUMMYFUNCTION("""COMPUTED_VALUE"""),"Mother's Murder &amp; Secrets")</f>
        <v>Mother's Murder &amp; Secrets</v>
      </c>
      <c r="C21" s="6" t="str">
        <f>IFERROR(__xludf.DUMMYFUNCTION("""COMPUTED_VALUE"""),"Suspense or Thriller")</f>
        <v>Suspense or Thriller</v>
      </c>
      <c r="D21" s="11">
        <f>IFERROR(__xludf.DUMMYFUNCTION("""COMPUTED_VALUE"""),1109.0)</f>
        <v>1109</v>
      </c>
      <c r="E21" s="8">
        <f>IFERROR(__xludf.DUMMYFUNCTION("""COMPUTED_VALUE"""),0.973850315599639)</f>
        <v>0.9738503156</v>
      </c>
      <c r="F21" s="8">
        <f>IFERROR(__xludf.DUMMYFUNCTION("""COMPUTED_VALUE"""),0.365193868349864)</f>
        <v>0.3651938683</v>
      </c>
      <c r="G21" s="8">
        <f>IFERROR(__xludf.DUMMYFUNCTION("""COMPUTED_VALUE"""),0.29936880072137)</f>
        <v>0.2993688007</v>
      </c>
      <c r="H21" s="8">
        <f>IFERROR(__xludf.DUMMYFUNCTION("""COMPUTED_VALUE"""),0.244584837545126)</f>
        <v>0.2445848375</v>
      </c>
      <c r="I21" s="8">
        <f>IFERROR(__xludf.DUMMYFUNCTION("""COMPUTED_VALUE"""),0.218608852755194)</f>
        <v>0.2186088528</v>
      </c>
      <c r="J21" s="8">
        <f>IFERROR(__xludf.DUMMYFUNCTION("""COMPUTED_VALUE"""),0.20253164556962)</f>
        <v>0.2025316456</v>
      </c>
      <c r="K21" s="8">
        <f>IFERROR(__xludf.DUMMYFUNCTION("""COMPUTED_VALUE"""),0.175406871609403)</f>
        <v>0.1754068716</v>
      </c>
      <c r="L21" s="8">
        <f>IFERROR(__xludf.DUMMYFUNCTION("""COMPUTED_VALUE"""),0.167269439421338)</f>
        <v>0.1672694394</v>
      </c>
      <c r="M21" s="8">
        <f>IFERROR(__xludf.DUMMYFUNCTION("""COMPUTED_VALUE"""),0.153707052441229)</f>
        <v>0.1537070524</v>
      </c>
      <c r="N21" s="8">
        <f>IFERROR(__xludf.DUMMYFUNCTION("""COMPUTED_VALUE"""),0.144796380090497)</f>
        <v>0.1447963801</v>
      </c>
      <c r="O21" s="8">
        <f>IFERROR(__xludf.DUMMYFUNCTION("""COMPUTED_VALUE"""),0.114553990610328)</f>
        <v>0.1145539906</v>
      </c>
      <c r="P21" s="8">
        <f>IFERROR(__xludf.DUMMYFUNCTION("""COMPUTED_VALUE"""),0.0863239573229874)</f>
        <v>0.08632395732</v>
      </c>
      <c r="Q21" s="8">
        <f>IFERROR(__xludf.DUMMYFUNCTION("""COMPUTED_VALUE"""),0.0577114427860696)</f>
        <v>0.05771144279</v>
      </c>
      <c r="R21" s="8">
        <f>IFERROR(__xludf.DUMMYFUNCTION("""COMPUTED_VALUE"""),0.0415335463258785)</f>
        <v>0.04153354633</v>
      </c>
      <c r="S21" s="8">
        <f>IFERROR(__xludf.DUMMYFUNCTION("""COMPUTED_VALUE"""),0.0240825688073394)</f>
        <v>0.02408256881</v>
      </c>
      <c r="T21" s="8">
        <f>IFERROR(__xludf.DUMMYFUNCTION("""COMPUTED_VALUE"""),0.0144144144144144)</f>
        <v>0.01441441441</v>
      </c>
      <c r="U21" s="8">
        <f>IFERROR(__xludf.DUMMYFUNCTION("""COMPUTED_VALUE"""),0.0133333333333333)</f>
        <v>0.01333333333</v>
      </c>
      <c r="V21" s="8">
        <f>IFERROR(__xludf.DUMMYFUNCTION("""COMPUTED_VALUE"""),0.0285714285714285)</f>
        <v>0.02857142857</v>
      </c>
      <c r="W21" s="8">
        <f>IFERROR(__xludf.DUMMYFUNCTION("""COMPUTED_VALUE"""),0.0)</f>
        <v>0</v>
      </c>
      <c r="X21" s="8">
        <f>IFERROR(__xludf.DUMMYFUNCTION("""COMPUTED_VALUE"""),0.0)</f>
        <v>0</v>
      </c>
      <c r="Y21" s="8">
        <f>IFERROR(__xludf.DUMMYFUNCTION("""COMPUTED_VALUE"""),0.0)</f>
        <v>0</v>
      </c>
      <c r="Z21" s="8">
        <f>IFERROR(__xludf.DUMMYFUNCTION("""COMPUTED_VALUE"""),0.0)</f>
        <v>0</v>
      </c>
      <c r="AA21" s="8">
        <f>IFERROR(__xludf.DUMMYFUNCTION("""COMPUTED_VALUE"""),0.0)</f>
        <v>0</v>
      </c>
      <c r="AB21" s="8">
        <f>IFERROR(__xludf.DUMMYFUNCTION("""COMPUTED_VALUE"""),0.0)</f>
        <v>0</v>
      </c>
      <c r="AC21" s="8">
        <f>IFERROR(__xludf.DUMMYFUNCTION("""COMPUTED_VALUE"""),0.0)</f>
        <v>0</v>
      </c>
    </row>
    <row r="22" ht="15.75" customHeight="1">
      <c r="A22" s="6" t="str">
        <f>IFERROR(__xludf.DUMMYFUNCTION("""COMPUTED_VALUE"""),"123964565c4c79c7f1a3737171a0125020300913")</f>
        <v>123964565c4c79c7f1a3737171a0125020300913</v>
      </c>
      <c r="B22" s="6" t="str">
        <f>IFERROR(__xludf.DUMMYFUNCTION("""COMPUTED_VALUE"""),"My Alien Boxing System")</f>
        <v>My Alien Boxing System</v>
      </c>
      <c r="C22" s="6" t="str">
        <f>IFERROR(__xludf.DUMMYFUNCTION("""COMPUTED_VALUE"""),"Fantasy")</f>
        <v>Fantasy</v>
      </c>
      <c r="D22" s="11">
        <f>IFERROR(__xludf.DUMMYFUNCTION("""COMPUTED_VALUE"""),89.0)</f>
        <v>89</v>
      </c>
      <c r="E22" s="8">
        <f>IFERROR(__xludf.DUMMYFUNCTION("""COMPUTED_VALUE"""),0.97752808988764)</f>
        <v>0.9775280899</v>
      </c>
      <c r="F22" s="8">
        <f>IFERROR(__xludf.DUMMYFUNCTION("""COMPUTED_VALUE"""),0.375)</f>
        <v>0.375</v>
      </c>
      <c r="G22" s="8">
        <f>IFERROR(__xludf.DUMMYFUNCTION("""COMPUTED_VALUE"""),0.318181818181818)</f>
        <v>0.3181818182</v>
      </c>
      <c r="H22" s="8">
        <f>IFERROR(__xludf.DUMMYFUNCTION("""COMPUTED_VALUE"""),0.272727272727272)</f>
        <v>0.2727272727</v>
      </c>
      <c r="I22" s="8">
        <f>IFERROR(__xludf.DUMMYFUNCTION("""COMPUTED_VALUE"""),0.238636363636363)</f>
        <v>0.2386363636</v>
      </c>
      <c r="J22" s="8">
        <f>IFERROR(__xludf.DUMMYFUNCTION("""COMPUTED_VALUE"""),0.227272727272727)</f>
        <v>0.2272727273</v>
      </c>
      <c r="K22" s="8">
        <f>IFERROR(__xludf.DUMMYFUNCTION("""COMPUTED_VALUE"""),0.204545454545454)</f>
        <v>0.2045454545</v>
      </c>
      <c r="L22" s="8">
        <f>IFERROR(__xludf.DUMMYFUNCTION("""COMPUTED_VALUE"""),0.183908045977011)</f>
        <v>0.183908046</v>
      </c>
      <c r="M22" s="8">
        <f>IFERROR(__xludf.DUMMYFUNCTION("""COMPUTED_VALUE"""),0.172413793103448)</f>
        <v>0.1724137931</v>
      </c>
      <c r="N22" s="8">
        <f>IFERROR(__xludf.DUMMYFUNCTION("""COMPUTED_VALUE"""),0.137931034482758)</f>
        <v>0.1379310345</v>
      </c>
      <c r="O22" s="8">
        <f>IFERROR(__xludf.DUMMYFUNCTION("""COMPUTED_VALUE"""),0.117647058823529)</f>
        <v>0.1176470588</v>
      </c>
      <c r="P22" s="8">
        <f>IFERROR(__xludf.DUMMYFUNCTION("""COMPUTED_VALUE"""),0.0441176470588235)</f>
        <v>0.04411764706</v>
      </c>
      <c r="Q22" s="8">
        <f>IFERROR(__xludf.DUMMYFUNCTION("""COMPUTED_VALUE"""),0.0)</f>
        <v>0</v>
      </c>
      <c r="R22" s="8">
        <f>IFERROR(__xludf.DUMMYFUNCTION("""COMPUTED_VALUE"""),0.0)</f>
        <v>0</v>
      </c>
      <c r="S22" s="8">
        <f>IFERROR(__xludf.DUMMYFUNCTION("""COMPUTED_VALUE"""),0.0)</f>
        <v>0</v>
      </c>
      <c r="T22" s="8">
        <f>IFERROR(__xludf.DUMMYFUNCTION("""COMPUTED_VALUE"""),0.0)</f>
        <v>0</v>
      </c>
      <c r="U22" s="8">
        <f>IFERROR(__xludf.DUMMYFUNCTION("""COMPUTED_VALUE"""),0.0)</f>
        <v>0</v>
      </c>
      <c r="V22" s="8">
        <f>IFERROR(__xludf.DUMMYFUNCTION("""COMPUTED_VALUE"""),0.0)</f>
        <v>0</v>
      </c>
      <c r="W22" s="8">
        <f>IFERROR(__xludf.DUMMYFUNCTION("""COMPUTED_VALUE"""),0.0)</f>
        <v>0</v>
      </c>
      <c r="X22" s="8">
        <f>IFERROR(__xludf.DUMMYFUNCTION("""COMPUTED_VALUE"""),0.0)</f>
        <v>0</v>
      </c>
      <c r="Y22" s="8">
        <f>IFERROR(__xludf.DUMMYFUNCTION("""COMPUTED_VALUE"""),0.0)</f>
        <v>0</v>
      </c>
      <c r="Z22" s="8">
        <f>IFERROR(__xludf.DUMMYFUNCTION("""COMPUTED_VALUE"""),0.0)</f>
        <v>0</v>
      </c>
      <c r="AA22" s="8">
        <f>IFERROR(__xludf.DUMMYFUNCTION("""COMPUTED_VALUE"""),0.0)</f>
        <v>0</v>
      </c>
      <c r="AB22" s="8">
        <f>IFERROR(__xludf.DUMMYFUNCTION("""COMPUTED_VALUE"""),0.0)</f>
        <v>0</v>
      </c>
      <c r="AC22" s="8">
        <f>IFERROR(__xludf.DUMMYFUNCTION("""COMPUTED_VALUE"""),0.0)</f>
        <v>0</v>
      </c>
    </row>
    <row r="23" ht="15.75" customHeight="1">
      <c r="A23" s="6" t="str">
        <f>IFERROR(__xludf.DUMMYFUNCTION("""COMPUTED_VALUE"""),"158669d764d53a995f111683b8700642d7c4847c")</f>
        <v>158669d764d53a995f111683b8700642d7c4847c</v>
      </c>
      <c r="B23" s="6" t="str">
        <f>IFERROR(__xludf.DUMMYFUNCTION("""COMPUTED_VALUE"""),"The Silent Wife Strikes")</f>
        <v>The Silent Wife Strikes</v>
      </c>
      <c r="C23" s="6" t="str">
        <f>IFERROR(__xludf.DUMMYFUNCTION("""COMPUTED_VALUE"""),"Romance")</f>
        <v>Romance</v>
      </c>
      <c r="D23" s="11">
        <f>IFERROR(__xludf.DUMMYFUNCTION("""COMPUTED_VALUE"""),1719.0)</f>
        <v>1719</v>
      </c>
      <c r="E23" s="8">
        <f>IFERROR(__xludf.DUMMYFUNCTION("""COMPUTED_VALUE"""),0.958115183246073)</f>
        <v>0.9581151832</v>
      </c>
      <c r="F23" s="8">
        <f>IFERROR(__xludf.DUMMYFUNCTION("""COMPUTED_VALUE"""),0.595695171611402)</f>
        <v>0.5956951716</v>
      </c>
      <c r="G23" s="8">
        <f>IFERROR(__xludf.DUMMYFUNCTION("""COMPUTED_VALUE"""),0.535194880744619)</f>
        <v>0.5351948807</v>
      </c>
      <c r="H23" s="8">
        <f>IFERROR(__xludf.DUMMYFUNCTION("""COMPUTED_VALUE"""),0.462478184991274)</f>
        <v>0.462478185</v>
      </c>
      <c r="I23" s="8">
        <f>IFERROR(__xludf.DUMMYFUNCTION("""COMPUTED_VALUE"""),0.432809773123909)</f>
        <v>0.4328097731</v>
      </c>
      <c r="J23" s="8">
        <f>IFERROR(__xludf.DUMMYFUNCTION("""COMPUTED_VALUE"""),0.397905759162303)</f>
        <v>0.3979057592</v>
      </c>
      <c r="K23" s="8">
        <f>IFERROR(__xludf.DUMMYFUNCTION("""COMPUTED_VALUE"""),0.377764842840512)</f>
        <v>0.3777648428</v>
      </c>
      <c r="L23" s="8">
        <f>IFERROR(__xludf.DUMMYFUNCTION("""COMPUTED_VALUE"""),0.335468841001747)</f>
        <v>0.335468841</v>
      </c>
      <c r="M23" s="8">
        <f>IFERROR(__xludf.DUMMYFUNCTION("""COMPUTED_VALUE"""),0.329062317996505)</f>
        <v>0.329062318</v>
      </c>
      <c r="N23" s="8">
        <f>IFERROR(__xludf.DUMMYFUNCTION("""COMPUTED_VALUE"""),0.299533799533799)</f>
        <v>0.2995337995</v>
      </c>
      <c r="O23" s="8">
        <f>IFERROR(__xludf.DUMMYFUNCTION("""COMPUTED_VALUE"""),0.24931693989071)</f>
        <v>0.2493169399</v>
      </c>
      <c r="P23" s="8">
        <f>IFERROR(__xludf.DUMMYFUNCTION("""COMPUTED_VALUE"""),0.17352537722908)</f>
        <v>0.1735253772</v>
      </c>
      <c r="Q23" s="8">
        <f>IFERROR(__xludf.DUMMYFUNCTION("""COMPUTED_VALUE"""),0.134600760456273)</f>
        <v>0.1346007605</v>
      </c>
      <c r="R23" s="8">
        <f>IFERROR(__xludf.DUMMYFUNCTION("""COMPUTED_VALUE"""),0.0356164383561643)</f>
        <v>0.03561643836</v>
      </c>
      <c r="S23" s="8">
        <f>IFERROR(__xludf.DUMMYFUNCTION("""COMPUTED_VALUE"""),0.0)</f>
        <v>0</v>
      </c>
      <c r="T23" s="8">
        <f>IFERROR(__xludf.DUMMYFUNCTION("""COMPUTED_VALUE"""),0.0)</f>
        <v>0</v>
      </c>
      <c r="U23" s="8">
        <f>IFERROR(__xludf.DUMMYFUNCTION("""COMPUTED_VALUE"""),0.0)</f>
        <v>0</v>
      </c>
      <c r="V23" s="8">
        <f>IFERROR(__xludf.DUMMYFUNCTION("""COMPUTED_VALUE"""),0.0)</f>
        <v>0</v>
      </c>
      <c r="W23" s="8">
        <f>IFERROR(__xludf.DUMMYFUNCTION("""COMPUTED_VALUE"""),0.0)</f>
        <v>0</v>
      </c>
      <c r="X23" s="8">
        <f>IFERROR(__xludf.DUMMYFUNCTION("""COMPUTED_VALUE"""),0.0)</f>
        <v>0</v>
      </c>
      <c r="Y23" s="8">
        <f>IFERROR(__xludf.DUMMYFUNCTION("""COMPUTED_VALUE"""),0.0)</f>
        <v>0</v>
      </c>
      <c r="Z23" s="8">
        <f>IFERROR(__xludf.DUMMYFUNCTION("""COMPUTED_VALUE"""),0.0)</f>
        <v>0</v>
      </c>
      <c r="AA23" s="8">
        <f>IFERROR(__xludf.DUMMYFUNCTION("""COMPUTED_VALUE"""),0.0)</f>
        <v>0</v>
      </c>
      <c r="AB23" s="8">
        <f>IFERROR(__xludf.DUMMYFUNCTION("""COMPUTED_VALUE"""),0.0)</f>
        <v>0</v>
      </c>
      <c r="AC23" s="8">
        <f>IFERROR(__xludf.DUMMYFUNCTION("""COMPUTED_VALUE"""),0.0)</f>
        <v>0</v>
      </c>
    </row>
    <row r="24" ht="15.75" customHeight="1">
      <c r="A24" s="6" t="str">
        <f>IFERROR(__xludf.DUMMYFUNCTION("""COMPUTED_VALUE"""),"170bf0ee514e18fe892383ebee0f53a0f634136f")</f>
        <v>170bf0ee514e18fe892383ebee0f53a0f634136f</v>
      </c>
      <c r="B24" s="6" t="str">
        <f>IFERROR(__xludf.DUMMYFUNCTION("""COMPUTED_VALUE"""),"Started From the Bottom")</f>
        <v>Started From the Bottom</v>
      </c>
      <c r="C24" s="6" t="str">
        <f>IFERROR(__xludf.DUMMYFUNCTION("""COMPUTED_VALUE"""),"Drama")</f>
        <v>Drama</v>
      </c>
      <c r="D24" s="11">
        <f>IFERROR(__xludf.DUMMYFUNCTION("""COMPUTED_VALUE"""),20.0)</f>
        <v>20</v>
      </c>
      <c r="E24" s="8">
        <f>IFERROR(__xludf.DUMMYFUNCTION("""COMPUTED_VALUE"""),0.95)</f>
        <v>0.95</v>
      </c>
      <c r="F24" s="8">
        <f>IFERROR(__xludf.DUMMYFUNCTION("""COMPUTED_VALUE"""),0.105263157894736)</f>
        <v>0.1052631579</v>
      </c>
      <c r="G24" s="8">
        <f>IFERROR(__xludf.DUMMYFUNCTION("""COMPUTED_VALUE"""),0.105263157894736)</f>
        <v>0.1052631579</v>
      </c>
      <c r="H24" s="8">
        <f>IFERROR(__xludf.DUMMYFUNCTION("""COMPUTED_VALUE"""),0.105263157894736)</f>
        <v>0.1052631579</v>
      </c>
      <c r="I24" s="8">
        <f>IFERROR(__xludf.DUMMYFUNCTION("""COMPUTED_VALUE"""),0.0555555555555555)</f>
        <v>0.05555555556</v>
      </c>
      <c r="J24" s="8">
        <f>IFERROR(__xludf.DUMMYFUNCTION("""COMPUTED_VALUE"""),0.117647058823529)</f>
        <v>0.1176470588</v>
      </c>
      <c r="K24" s="8">
        <f>IFERROR(__xludf.DUMMYFUNCTION("""COMPUTED_VALUE"""),0.117647058823529)</f>
        <v>0.1176470588</v>
      </c>
      <c r="L24" s="8">
        <f>IFERROR(__xludf.DUMMYFUNCTION("""COMPUTED_VALUE"""),0.117647058823529)</f>
        <v>0.1176470588</v>
      </c>
      <c r="M24" s="8">
        <f>IFERROR(__xludf.DUMMYFUNCTION("""COMPUTED_VALUE"""),0.125)</f>
        <v>0.125</v>
      </c>
      <c r="N24" s="8">
        <f>IFERROR(__xludf.DUMMYFUNCTION("""COMPUTED_VALUE"""),0.1875)</f>
        <v>0.1875</v>
      </c>
      <c r="O24" s="8">
        <f>IFERROR(__xludf.DUMMYFUNCTION("""COMPUTED_VALUE"""),0.0714285714285714)</f>
        <v>0.07142857143</v>
      </c>
      <c r="P24" s="8">
        <f>IFERROR(__xludf.DUMMYFUNCTION("""COMPUTED_VALUE"""),0.0833333333333333)</f>
        <v>0.08333333333</v>
      </c>
      <c r="Q24" s="8">
        <f>IFERROR(__xludf.DUMMYFUNCTION("""COMPUTED_VALUE"""),0.166666666666666)</f>
        <v>0.1666666667</v>
      </c>
      <c r="R24" s="8">
        <f>IFERROR(__xludf.DUMMYFUNCTION("""COMPUTED_VALUE"""),0.25)</f>
        <v>0.25</v>
      </c>
      <c r="S24" s="8">
        <f>IFERROR(__xludf.DUMMYFUNCTION("""COMPUTED_VALUE"""),0.0)</f>
        <v>0</v>
      </c>
      <c r="T24" s="8">
        <f>IFERROR(__xludf.DUMMYFUNCTION("""COMPUTED_VALUE"""),0.0)</f>
        <v>0</v>
      </c>
      <c r="U24" s="8">
        <f>IFERROR(__xludf.DUMMYFUNCTION("""COMPUTED_VALUE"""),0.0)</f>
        <v>0</v>
      </c>
      <c r="V24" s="8">
        <f>IFERROR(__xludf.DUMMYFUNCTION("""COMPUTED_VALUE"""),0.0)</f>
        <v>0</v>
      </c>
      <c r="W24" s="8">
        <f>IFERROR(__xludf.DUMMYFUNCTION("""COMPUTED_VALUE"""),0.0)</f>
        <v>0</v>
      </c>
      <c r="X24" s="8">
        <f>IFERROR(__xludf.DUMMYFUNCTION("""COMPUTED_VALUE"""),0.0)</f>
        <v>0</v>
      </c>
      <c r="Y24" s="8">
        <f>IFERROR(__xludf.DUMMYFUNCTION("""COMPUTED_VALUE"""),0.0)</f>
        <v>0</v>
      </c>
      <c r="Z24" s="8">
        <f>IFERROR(__xludf.DUMMYFUNCTION("""COMPUTED_VALUE"""),0.0)</f>
        <v>0</v>
      </c>
      <c r="AA24" s="8">
        <f>IFERROR(__xludf.DUMMYFUNCTION("""COMPUTED_VALUE"""),0.0)</f>
        <v>0</v>
      </c>
      <c r="AB24" s="8">
        <f>IFERROR(__xludf.DUMMYFUNCTION("""COMPUTED_VALUE"""),0.0)</f>
        <v>0</v>
      </c>
      <c r="AC24" s="8">
        <f>IFERROR(__xludf.DUMMYFUNCTION("""COMPUTED_VALUE"""),0.0)</f>
        <v>0</v>
      </c>
    </row>
    <row r="25" ht="15.75" customHeight="1">
      <c r="A25" s="6" t="str">
        <f>IFERROR(__xludf.DUMMYFUNCTION("""COMPUTED_VALUE"""),"184b660f61809850b4478d5bf89e9d10794578ee")</f>
        <v>184b660f61809850b4478d5bf89e9d10794578ee</v>
      </c>
      <c r="B25" s="6" t="str">
        <f>IFERROR(__xludf.DUMMYFUNCTION("""COMPUTED_VALUE"""),"Playing with Fire")</f>
        <v>Playing with Fire</v>
      </c>
      <c r="C25" s="6" t="str">
        <f>IFERROR(__xludf.DUMMYFUNCTION("""COMPUTED_VALUE"""),"Romance")</f>
        <v>Romance</v>
      </c>
      <c r="D25" s="11">
        <f>IFERROR(__xludf.DUMMYFUNCTION("""COMPUTED_VALUE"""),125.0)</f>
        <v>125</v>
      </c>
      <c r="E25" s="8">
        <f>IFERROR(__xludf.DUMMYFUNCTION("""COMPUTED_VALUE"""),0.88)</f>
        <v>0.88</v>
      </c>
      <c r="F25" s="8">
        <f>IFERROR(__xludf.DUMMYFUNCTION("""COMPUTED_VALUE"""),0.376)</f>
        <v>0.376</v>
      </c>
      <c r="G25" s="8">
        <f>IFERROR(__xludf.DUMMYFUNCTION("""COMPUTED_VALUE"""),0.344)</f>
        <v>0.344</v>
      </c>
      <c r="H25" s="8">
        <f>IFERROR(__xludf.DUMMYFUNCTION("""COMPUTED_VALUE"""),0.312)</f>
        <v>0.312</v>
      </c>
      <c r="I25" s="8">
        <f>IFERROR(__xludf.DUMMYFUNCTION("""COMPUTED_VALUE"""),0.28)</f>
        <v>0.28</v>
      </c>
      <c r="J25" s="8">
        <f>IFERROR(__xludf.DUMMYFUNCTION("""COMPUTED_VALUE"""),0.256)</f>
        <v>0.256</v>
      </c>
      <c r="K25" s="8">
        <f>IFERROR(__xludf.DUMMYFUNCTION("""COMPUTED_VALUE"""),0.264)</f>
        <v>0.264</v>
      </c>
      <c r="L25" s="8">
        <f>IFERROR(__xludf.DUMMYFUNCTION("""COMPUTED_VALUE"""),0.227642276422764)</f>
        <v>0.2276422764</v>
      </c>
      <c r="M25" s="8">
        <f>IFERROR(__xludf.DUMMYFUNCTION("""COMPUTED_VALUE"""),0.252032520325203)</f>
        <v>0.2520325203</v>
      </c>
      <c r="N25" s="8">
        <f>IFERROR(__xludf.DUMMYFUNCTION("""COMPUTED_VALUE"""),0.24390243902439)</f>
        <v>0.243902439</v>
      </c>
      <c r="O25" s="8">
        <f>IFERROR(__xludf.DUMMYFUNCTION("""COMPUTED_VALUE"""),0.24390243902439)</f>
        <v>0.243902439</v>
      </c>
      <c r="P25" s="8">
        <f>IFERROR(__xludf.DUMMYFUNCTION("""COMPUTED_VALUE"""),0.16260162601626)</f>
        <v>0.162601626</v>
      </c>
      <c r="Q25" s="8">
        <f>IFERROR(__xludf.DUMMYFUNCTION("""COMPUTED_VALUE"""),0.024390243902439)</f>
        <v>0.0243902439</v>
      </c>
      <c r="R25" s="8">
        <f>IFERROR(__xludf.DUMMYFUNCTION("""COMPUTED_VALUE"""),0.0)</f>
        <v>0</v>
      </c>
      <c r="S25" s="8">
        <f>IFERROR(__xludf.DUMMYFUNCTION("""COMPUTED_VALUE"""),0.0)</f>
        <v>0</v>
      </c>
      <c r="T25" s="8">
        <f>IFERROR(__xludf.DUMMYFUNCTION("""COMPUTED_VALUE"""),0.0)</f>
        <v>0</v>
      </c>
      <c r="U25" s="8">
        <f>IFERROR(__xludf.DUMMYFUNCTION("""COMPUTED_VALUE"""),0.0)</f>
        <v>0</v>
      </c>
      <c r="V25" s="8">
        <f>IFERROR(__xludf.DUMMYFUNCTION("""COMPUTED_VALUE"""),0.0)</f>
        <v>0</v>
      </c>
      <c r="W25" s="8">
        <f>IFERROR(__xludf.DUMMYFUNCTION("""COMPUTED_VALUE"""),0.0)</f>
        <v>0</v>
      </c>
      <c r="X25" s="8">
        <f>IFERROR(__xludf.DUMMYFUNCTION("""COMPUTED_VALUE"""),0.0)</f>
        <v>0</v>
      </c>
      <c r="Y25" s="8">
        <f>IFERROR(__xludf.DUMMYFUNCTION("""COMPUTED_VALUE"""),0.0)</f>
        <v>0</v>
      </c>
      <c r="Z25" s="8">
        <f>IFERROR(__xludf.DUMMYFUNCTION("""COMPUTED_VALUE"""),0.0)</f>
        <v>0</v>
      </c>
      <c r="AA25" s="8">
        <f>IFERROR(__xludf.DUMMYFUNCTION("""COMPUTED_VALUE"""),0.0)</f>
        <v>0</v>
      </c>
      <c r="AB25" s="8">
        <f>IFERROR(__xludf.DUMMYFUNCTION("""COMPUTED_VALUE"""),0.0)</f>
        <v>0</v>
      </c>
      <c r="AC25" s="8">
        <f>IFERROR(__xludf.DUMMYFUNCTION("""COMPUTED_VALUE"""),0.0)</f>
        <v>0</v>
      </c>
    </row>
    <row r="26" ht="15.75" customHeight="1">
      <c r="A26" s="6" t="str">
        <f>IFERROR(__xludf.DUMMYFUNCTION("""COMPUTED_VALUE"""),"19153cd9dd2e137f1311235c9104db0ecba38abb")</f>
        <v>19153cd9dd2e137f1311235c9104db0ecba38abb</v>
      </c>
      <c r="B26" s="6" t="str">
        <f>IFERROR(__xludf.DUMMYFUNCTION("""COMPUTED_VALUE"""),"My Apex Trading System")</f>
        <v>My Apex Trading System</v>
      </c>
      <c r="C26" s="6" t="str">
        <f>IFERROR(__xludf.DUMMYFUNCTION("""COMPUTED_VALUE"""),"Sci-Fi")</f>
        <v>Sci-Fi</v>
      </c>
      <c r="D26" s="11">
        <f>IFERROR(__xludf.DUMMYFUNCTION("""COMPUTED_VALUE"""),49.0)</f>
        <v>49</v>
      </c>
      <c r="E26" s="8">
        <f>IFERROR(__xludf.DUMMYFUNCTION("""COMPUTED_VALUE"""),0.897959183673469)</f>
        <v>0.8979591837</v>
      </c>
      <c r="F26" s="8">
        <f>IFERROR(__xludf.DUMMYFUNCTION("""COMPUTED_VALUE"""),0.466666666666666)</f>
        <v>0.4666666667</v>
      </c>
      <c r="G26" s="8">
        <f>IFERROR(__xludf.DUMMYFUNCTION("""COMPUTED_VALUE"""),0.38095238095238)</f>
        <v>0.380952381</v>
      </c>
      <c r="H26" s="8">
        <f>IFERROR(__xludf.DUMMYFUNCTION("""COMPUTED_VALUE"""),0.405405405405405)</f>
        <v>0.4054054054</v>
      </c>
      <c r="I26" s="8">
        <f>IFERROR(__xludf.DUMMYFUNCTION("""COMPUTED_VALUE"""),0.378378378378378)</f>
        <v>0.3783783784</v>
      </c>
      <c r="J26" s="8">
        <f>IFERROR(__xludf.DUMMYFUNCTION("""COMPUTED_VALUE"""),0.352941176470588)</f>
        <v>0.3529411765</v>
      </c>
      <c r="K26" s="8">
        <f>IFERROR(__xludf.DUMMYFUNCTION("""COMPUTED_VALUE"""),0.354838709677419)</f>
        <v>0.3548387097</v>
      </c>
      <c r="L26" s="8">
        <f>IFERROR(__xludf.DUMMYFUNCTION("""COMPUTED_VALUE"""),0.357142857142857)</f>
        <v>0.3571428571</v>
      </c>
      <c r="M26" s="8">
        <f>IFERROR(__xludf.DUMMYFUNCTION("""COMPUTED_VALUE"""),0.269230769230769)</f>
        <v>0.2692307692</v>
      </c>
      <c r="N26" s="8">
        <f>IFERROR(__xludf.DUMMYFUNCTION("""COMPUTED_VALUE"""),0.260869565217391)</f>
        <v>0.2608695652</v>
      </c>
      <c r="O26" s="8">
        <f>IFERROR(__xludf.DUMMYFUNCTION("""COMPUTED_VALUE"""),0.166666666666666)</f>
        <v>0.1666666667</v>
      </c>
      <c r="P26" s="8">
        <f>IFERROR(__xludf.DUMMYFUNCTION("""COMPUTED_VALUE"""),0.0)</f>
        <v>0</v>
      </c>
      <c r="Q26" s="8">
        <f>IFERROR(__xludf.DUMMYFUNCTION("""COMPUTED_VALUE"""),0.0)</f>
        <v>0</v>
      </c>
      <c r="R26" s="8">
        <f>IFERROR(__xludf.DUMMYFUNCTION("""COMPUTED_VALUE"""),0.0)</f>
        <v>0</v>
      </c>
      <c r="S26" s="8">
        <f>IFERROR(__xludf.DUMMYFUNCTION("""COMPUTED_VALUE"""),0.0)</f>
        <v>0</v>
      </c>
      <c r="T26" s="8">
        <f>IFERROR(__xludf.DUMMYFUNCTION("""COMPUTED_VALUE"""),0.0)</f>
        <v>0</v>
      </c>
      <c r="U26" s="8">
        <f>IFERROR(__xludf.DUMMYFUNCTION("""COMPUTED_VALUE"""),0.0)</f>
        <v>0</v>
      </c>
      <c r="V26" s="8">
        <f>IFERROR(__xludf.DUMMYFUNCTION("""COMPUTED_VALUE"""),0.0)</f>
        <v>0</v>
      </c>
      <c r="W26" s="8">
        <f>IFERROR(__xludf.DUMMYFUNCTION("""COMPUTED_VALUE"""),0.0)</f>
        <v>0</v>
      </c>
      <c r="X26" s="8">
        <f>IFERROR(__xludf.DUMMYFUNCTION("""COMPUTED_VALUE"""),0.0)</f>
        <v>0</v>
      </c>
      <c r="Y26" s="8">
        <f>IFERROR(__xludf.DUMMYFUNCTION("""COMPUTED_VALUE"""),0.0)</f>
        <v>0</v>
      </c>
      <c r="Z26" s="8">
        <f>IFERROR(__xludf.DUMMYFUNCTION("""COMPUTED_VALUE"""),0.0)</f>
        <v>0</v>
      </c>
      <c r="AA26" s="8">
        <f>IFERROR(__xludf.DUMMYFUNCTION("""COMPUTED_VALUE"""),0.0)</f>
        <v>0</v>
      </c>
      <c r="AB26" s="8">
        <f>IFERROR(__xludf.DUMMYFUNCTION("""COMPUTED_VALUE"""),0.0)</f>
        <v>0</v>
      </c>
      <c r="AC26" s="8">
        <f>IFERROR(__xludf.DUMMYFUNCTION("""COMPUTED_VALUE"""),0.0)</f>
        <v>0</v>
      </c>
    </row>
    <row r="27" ht="15.75" customHeight="1">
      <c r="A27" s="6" t="str">
        <f>IFERROR(__xludf.DUMMYFUNCTION("""COMPUTED_VALUE"""),"1a5df306886a7b0e7736ec2c8efad3467507a1c6")</f>
        <v>1a5df306886a7b0e7736ec2c8efad3467507a1c6</v>
      </c>
      <c r="B27" s="6" t="str">
        <f>IFERROR(__xludf.DUMMYFUNCTION("""COMPUTED_VALUE"""),"Billionaire Bentley’s Runaway Princess")</f>
        <v>Billionaire Bentley’s Runaway Princess</v>
      </c>
      <c r="C27" s="6" t="str">
        <f>IFERROR(__xludf.DUMMYFUNCTION("""COMPUTED_VALUE"""),"Romance")</f>
        <v>Romance</v>
      </c>
      <c r="D27" s="11">
        <f>IFERROR(__xludf.DUMMYFUNCTION("""COMPUTED_VALUE"""),6214.0)</f>
        <v>6214</v>
      </c>
      <c r="E27" s="8">
        <f>IFERROR(__xludf.DUMMYFUNCTION("""COMPUTED_VALUE"""),0.930640489217895)</f>
        <v>0.9306404892</v>
      </c>
      <c r="F27" s="8">
        <f>IFERROR(__xludf.DUMMYFUNCTION("""COMPUTED_VALUE"""),0.500563334942861)</f>
        <v>0.5005633349</v>
      </c>
      <c r="G27" s="8">
        <f>IFERROR(__xludf.DUMMYFUNCTION("""COMPUTED_VALUE"""),0.44744889747304)</f>
        <v>0.4474488975</v>
      </c>
      <c r="H27" s="8">
        <f>IFERROR(__xludf.DUMMYFUNCTION("""COMPUTED_VALUE"""),0.422129167337735)</f>
        <v>0.4221291673</v>
      </c>
      <c r="I27" s="8">
        <f>IFERROR(__xludf.DUMMYFUNCTION("""COMPUTED_VALUE"""),0.405061250805931)</f>
        <v>0.4050612508</v>
      </c>
      <c r="J27" s="8">
        <f>IFERROR(__xludf.DUMMYFUNCTION("""COMPUTED_VALUE"""),0.380583776810191)</f>
        <v>0.3805837768</v>
      </c>
      <c r="K27" s="8">
        <f>IFERROR(__xludf.DUMMYFUNCTION("""COMPUTED_VALUE"""),0.366392517335913)</f>
        <v>0.3663925173</v>
      </c>
      <c r="L27" s="8">
        <f>IFERROR(__xludf.DUMMYFUNCTION("""COMPUTED_VALUE"""),0.351783120864934)</f>
        <v>0.3517831209</v>
      </c>
      <c r="M27" s="8">
        <f>IFERROR(__xludf.DUMMYFUNCTION("""COMPUTED_VALUE"""),0.328165374677002)</f>
        <v>0.3281653747</v>
      </c>
      <c r="N27" s="8">
        <f>IFERROR(__xludf.DUMMYFUNCTION("""COMPUTED_VALUE"""),0.334034293109026)</f>
        <v>0.3340342931</v>
      </c>
      <c r="O27" s="8">
        <f>IFERROR(__xludf.DUMMYFUNCTION("""COMPUTED_VALUE"""),0.261294059242098)</f>
        <v>0.2612940592</v>
      </c>
      <c r="P27" s="8">
        <f>IFERROR(__xludf.DUMMYFUNCTION("""COMPUTED_VALUE"""),0.225035663338088)</f>
        <v>0.2250356633</v>
      </c>
      <c r="Q27" s="8">
        <f>IFERROR(__xludf.DUMMYFUNCTION("""COMPUTED_VALUE"""),0.193879387938793)</f>
        <v>0.1938793879</v>
      </c>
      <c r="R27" s="8">
        <f>IFERROR(__xludf.DUMMYFUNCTION("""COMPUTED_VALUE"""),0.0)</f>
        <v>0</v>
      </c>
      <c r="S27" s="8">
        <f>IFERROR(__xludf.DUMMYFUNCTION("""COMPUTED_VALUE"""),0.0)</f>
        <v>0</v>
      </c>
      <c r="T27" s="8">
        <f>IFERROR(__xludf.DUMMYFUNCTION("""COMPUTED_VALUE"""),0.0)</f>
        <v>0</v>
      </c>
      <c r="U27" s="8">
        <f>IFERROR(__xludf.DUMMYFUNCTION("""COMPUTED_VALUE"""),0.0)</f>
        <v>0</v>
      </c>
      <c r="V27" s="8">
        <f>IFERROR(__xludf.DUMMYFUNCTION("""COMPUTED_VALUE"""),0.0)</f>
        <v>0</v>
      </c>
      <c r="W27" s="8">
        <f>IFERROR(__xludf.DUMMYFUNCTION("""COMPUTED_VALUE"""),0.0)</f>
        <v>0</v>
      </c>
      <c r="X27" s="8">
        <f>IFERROR(__xludf.DUMMYFUNCTION("""COMPUTED_VALUE"""),0.0)</f>
        <v>0</v>
      </c>
      <c r="Y27" s="8">
        <f>IFERROR(__xludf.DUMMYFUNCTION("""COMPUTED_VALUE"""),0.0)</f>
        <v>0</v>
      </c>
      <c r="Z27" s="8">
        <f>IFERROR(__xludf.DUMMYFUNCTION("""COMPUTED_VALUE"""),0.0)</f>
        <v>0</v>
      </c>
      <c r="AA27" s="8">
        <f>IFERROR(__xludf.DUMMYFUNCTION("""COMPUTED_VALUE"""),0.0)</f>
        <v>0</v>
      </c>
      <c r="AB27" s="8">
        <f>IFERROR(__xludf.DUMMYFUNCTION("""COMPUTED_VALUE"""),0.0)</f>
        <v>0</v>
      </c>
      <c r="AC27" s="8">
        <f>IFERROR(__xludf.DUMMYFUNCTION("""COMPUTED_VALUE"""),0.0)</f>
        <v>0</v>
      </c>
    </row>
    <row r="28" ht="15.75" customHeight="1">
      <c r="A28" s="6" t="str">
        <f>IFERROR(__xludf.DUMMYFUNCTION("""COMPUTED_VALUE"""),"1b5acb214bfe00156d933b176eef6987dcf9aa8c")</f>
        <v>1b5acb214bfe00156d933b176eef6987dcf9aa8c</v>
      </c>
      <c r="B28" s="6" t="str">
        <f>IFERROR(__xludf.DUMMYFUNCTION("""COMPUTED_VALUE"""),"The Night Forgotten by Us")</f>
        <v>The Night Forgotten by Us</v>
      </c>
      <c r="C28" s="6" t="str">
        <f>IFERROR(__xludf.DUMMYFUNCTION("""COMPUTED_VALUE"""),"Romance")</f>
        <v>Romance</v>
      </c>
      <c r="D28" s="11">
        <f>IFERROR(__xludf.DUMMYFUNCTION("""COMPUTED_VALUE"""),1230.0)</f>
        <v>1230</v>
      </c>
      <c r="E28" s="8">
        <f>IFERROR(__xludf.DUMMYFUNCTION("""COMPUTED_VALUE"""),0.937398373983739)</f>
        <v>0.937398374</v>
      </c>
      <c r="F28" s="8">
        <f>IFERROR(__xludf.DUMMYFUNCTION("""COMPUTED_VALUE"""),0.538649308380797)</f>
        <v>0.5386493084</v>
      </c>
      <c r="G28" s="8">
        <f>IFERROR(__xludf.DUMMYFUNCTION("""COMPUTED_VALUE"""),0.489413680781758)</f>
        <v>0.4894136808</v>
      </c>
      <c r="H28" s="8">
        <f>IFERROR(__xludf.DUMMYFUNCTION("""COMPUTED_VALUE"""),0.447882736156351)</f>
        <v>0.4478827362</v>
      </c>
      <c r="I28" s="8">
        <f>IFERROR(__xludf.DUMMYFUNCTION("""COMPUTED_VALUE"""),0.43520782396088)</f>
        <v>0.435207824</v>
      </c>
      <c r="J28" s="8">
        <f>IFERROR(__xludf.DUMMYFUNCTION("""COMPUTED_VALUE"""),0.425427872860635)</f>
        <v>0.4254278729</v>
      </c>
      <c r="K28" s="8">
        <f>IFERROR(__xludf.DUMMYFUNCTION("""COMPUTED_VALUE"""),0.398201144726083)</f>
        <v>0.3982011447</v>
      </c>
      <c r="L28" s="8">
        <f>IFERROR(__xludf.DUMMYFUNCTION("""COMPUTED_VALUE"""),0.386753883892068)</f>
        <v>0.3867538839</v>
      </c>
      <c r="M28" s="8">
        <f>IFERROR(__xludf.DUMMYFUNCTION("""COMPUTED_VALUE"""),0.367986798679868)</f>
        <v>0.3679867987</v>
      </c>
      <c r="N28" s="8">
        <f>IFERROR(__xludf.DUMMYFUNCTION("""COMPUTED_VALUE"""),0.361386138613861)</f>
        <v>0.3613861386</v>
      </c>
      <c r="O28" s="8">
        <f>IFERROR(__xludf.DUMMYFUNCTION("""COMPUTED_VALUE"""),0.343669250645994)</f>
        <v>0.3436692506</v>
      </c>
      <c r="P28" s="8">
        <f>IFERROR(__xludf.DUMMYFUNCTION("""COMPUTED_VALUE"""),0.267062314540059)</f>
        <v>0.2670623145</v>
      </c>
      <c r="Q28" s="8">
        <f>IFERROR(__xludf.DUMMYFUNCTION("""COMPUTED_VALUE"""),0.205797101449275)</f>
        <v>0.2057971014</v>
      </c>
      <c r="R28" s="8">
        <f>IFERROR(__xludf.DUMMYFUNCTION("""COMPUTED_VALUE"""),0.0)</f>
        <v>0</v>
      </c>
      <c r="S28" s="8">
        <f>IFERROR(__xludf.DUMMYFUNCTION("""COMPUTED_VALUE"""),0.0)</f>
        <v>0</v>
      </c>
      <c r="T28" s="8">
        <f>IFERROR(__xludf.DUMMYFUNCTION("""COMPUTED_VALUE"""),0.0)</f>
        <v>0</v>
      </c>
      <c r="U28" s="8">
        <f>IFERROR(__xludf.DUMMYFUNCTION("""COMPUTED_VALUE"""),0.0)</f>
        <v>0</v>
      </c>
      <c r="V28" s="8">
        <f>IFERROR(__xludf.DUMMYFUNCTION("""COMPUTED_VALUE"""),0.0)</f>
        <v>0</v>
      </c>
      <c r="W28" s="8">
        <f>IFERROR(__xludf.DUMMYFUNCTION("""COMPUTED_VALUE"""),0.0)</f>
        <v>0</v>
      </c>
      <c r="X28" s="8">
        <f>IFERROR(__xludf.DUMMYFUNCTION("""COMPUTED_VALUE"""),0.0)</f>
        <v>0</v>
      </c>
      <c r="Y28" s="8">
        <f>IFERROR(__xludf.DUMMYFUNCTION("""COMPUTED_VALUE"""),0.0)</f>
        <v>0</v>
      </c>
      <c r="Z28" s="8">
        <f>IFERROR(__xludf.DUMMYFUNCTION("""COMPUTED_VALUE"""),0.0)</f>
        <v>0</v>
      </c>
      <c r="AA28" s="8">
        <f>IFERROR(__xludf.DUMMYFUNCTION("""COMPUTED_VALUE"""),0.0)</f>
        <v>0</v>
      </c>
      <c r="AB28" s="8">
        <f>IFERROR(__xludf.DUMMYFUNCTION("""COMPUTED_VALUE"""),0.0)</f>
        <v>0</v>
      </c>
      <c r="AC28" s="8">
        <f>IFERROR(__xludf.DUMMYFUNCTION("""COMPUTED_VALUE"""),0.0)</f>
        <v>0</v>
      </c>
    </row>
    <row r="29" ht="15.75" customHeight="1">
      <c r="A29" s="6" t="str">
        <f>IFERROR(__xludf.DUMMYFUNCTION("""COMPUTED_VALUE"""),"1b7d7de6c90d2460cfe3da014469e3c056fec830")</f>
        <v>1b7d7de6c90d2460cfe3da014469e3c056fec830</v>
      </c>
      <c r="B29" s="6" t="str">
        <f>IFERROR(__xludf.DUMMYFUNCTION("""COMPUTED_VALUE"""),"The Ceo's Secret Babies")</f>
        <v>The Ceo's Secret Babies</v>
      </c>
      <c r="C29" s="6" t="str">
        <f>IFERROR(__xludf.DUMMYFUNCTION("""COMPUTED_VALUE"""),"Romance")</f>
        <v>Romance</v>
      </c>
      <c r="D29" s="11">
        <f>IFERROR(__xludf.DUMMYFUNCTION("""COMPUTED_VALUE"""),564.0)</f>
        <v>564</v>
      </c>
      <c r="E29" s="8">
        <f>IFERROR(__xludf.DUMMYFUNCTION("""COMPUTED_VALUE"""),0.892857142857142)</f>
        <v>0.8928571429</v>
      </c>
      <c r="F29" s="8">
        <f>IFERROR(__xludf.DUMMYFUNCTION("""COMPUTED_VALUE"""),0.565529622980251)</f>
        <v>0.565529623</v>
      </c>
      <c r="G29" s="8">
        <f>IFERROR(__xludf.DUMMYFUNCTION("""COMPUTED_VALUE"""),0.499092558983666)</f>
        <v>0.499092559</v>
      </c>
      <c r="H29" s="8">
        <f>IFERROR(__xludf.DUMMYFUNCTION("""COMPUTED_VALUE"""),0.501845018450184)</f>
        <v>0.5018450185</v>
      </c>
      <c r="I29" s="8">
        <f>IFERROR(__xludf.DUMMYFUNCTION("""COMPUTED_VALUE"""),0.489719626168224)</f>
        <v>0.4897196262</v>
      </c>
      <c r="J29" s="8">
        <f>IFERROR(__xludf.DUMMYFUNCTION("""COMPUTED_VALUE"""),0.435849056603773)</f>
        <v>0.4358490566</v>
      </c>
      <c r="K29" s="8">
        <f>IFERROR(__xludf.DUMMYFUNCTION("""COMPUTED_VALUE"""),0.403809523809523)</f>
        <v>0.4038095238</v>
      </c>
      <c r="L29" s="8">
        <f>IFERROR(__xludf.DUMMYFUNCTION("""COMPUTED_VALUE"""),0.382239382239382)</f>
        <v>0.3822393822</v>
      </c>
      <c r="M29" s="8">
        <f>IFERROR(__xludf.DUMMYFUNCTION("""COMPUTED_VALUE"""),0.380859375)</f>
        <v>0.380859375</v>
      </c>
      <c r="N29" s="8">
        <f>IFERROR(__xludf.DUMMYFUNCTION("""COMPUTED_VALUE"""),0.393509127789046)</f>
        <v>0.3935091278</v>
      </c>
      <c r="O29" s="8">
        <f>IFERROR(__xludf.DUMMYFUNCTION("""COMPUTED_VALUE"""),0.278131634819532)</f>
        <v>0.2781316348</v>
      </c>
      <c r="P29" s="8">
        <f>IFERROR(__xludf.DUMMYFUNCTION("""COMPUTED_VALUE"""),0.243589743589743)</f>
        <v>0.2435897436</v>
      </c>
      <c r="Q29" s="8">
        <f>IFERROR(__xludf.DUMMYFUNCTION("""COMPUTED_VALUE"""),0.113978494623655)</f>
        <v>0.1139784946</v>
      </c>
      <c r="R29" s="8">
        <f>IFERROR(__xludf.DUMMYFUNCTION("""COMPUTED_VALUE"""),0.0344086021505376)</f>
        <v>0.03440860215</v>
      </c>
      <c r="S29" s="8">
        <f>IFERROR(__xludf.DUMMYFUNCTION("""COMPUTED_VALUE"""),0.0263929618768328)</f>
        <v>0.02639296188</v>
      </c>
      <c r="T29" s="8">
        <f>IFERROR(__xludf.DUMMYFUNCTION("""COMPUTED_VALUE"""),0.0)</f>
        <v>0</v>
      </c>
      <c r="U29" s="8">
        <f>IFERROR(__xludf.DUMMYFUNCTION("""COMPUTED_VALUE"""),0.0)</f>
        <v>0</v>
      </c>
      <c r="V29" s="8">
        <f>IFERROR(__xludf.DUMMYFUNCTION("""COMPUTED_VALUE"""),0.0)</f>
        <v>0</v>
      </c>
      <c r="W29" s="8">
        <f>IFERROR(__xludf.DUMMYFUNCTION("""COMPUTED_VALUE"""),0.0)</f>
        <v>0</v>
      </c>
      <c r="X29" s="8">
        <f>IFERROR(__xludf.DUMMYFUNCTION("""COMPUTED_VALUE"""),0.0)</f>
        <v>0</v>
      </c>
      <c r="Y29" s="8">
        <f>IFERROR(__xludf.DUMMYFUNCTION("""COMPUTED_VALUE"""),0.0)</f>
        <v>0</v>
      </c>
      <c r="Z29" s="8">
        <f>IFERROR(__xludf.DUMMYFUNCTION("""COMPUTED_VALUE"""),0.0)</f>
        <v>0</v>
      </c>
      <c r="AA29" s="8">
        <f>IFERROR(__xludf.DUMMYFUNCTION("""COMPUTED_VALUE"""),0.0)</f>
        <v>0</v>
      </c>
      <c r="AB29" s="8">
        <f>IFERROR(__xludf.DUMMYFUNCTION("""COMPUTED_VALUE"""),0.0)</f>
        <v>0</v>
      </c>
      <c r="AC29" s="8">
        <f>IFERROR(__xludf.DUMMYFUNCTION("""COMPUTED_VALUE"""),0.0)</f>
        <v>0</v>
      </c>
    </row>
    <row r="30" ht="15.75" customHeight="1">
      <c r="A30" s="6" t="str">
        <f>IFERROR(__xludf.DUMMYFUNCTION("""COMPUTED_VALUE"""),"1b7d89c237c133e6c5b15db13e684c2e1f3688e1")</f>
        <v>1b7d89c237c133e6c5b15db13e684c2e1f3688e1</v>
      </c>
      <c r="B30" s="6" t="str">
        <f>IFERROR(__xludf.DUMMYFUNCTION("""COMPUTED_VALUE"""),"War God of the Red Sea!")</f>
        <v>War God of the Red Sea!</v>
      </c>
      <c r="C30" s="6" t="str">
        <f>IFERROR(__xludf.DUMMYFUNCTION("""COMPUTED_VALUE"""),"Drama")</f>
        <v>Drama</v>
      </c>
      <c r="D30" s="11">
        <f>IFERROR(__xludf.DUMMYFUNCTION("""COMPUTED_VALUE"""),123.0)</f>
        <v>123</v>
      </c>
      <c r="E30" s="8">
        <f>IFERROR(__xludf.DUMMYFUNCTION("""COMPUTED_VALUE"""),0.991666666666666)</f>
        <v>0.9916666667</v>
      </c>
      <c r="F30" s="8">
        <f>IFERROR(__xludf.DUMMYFUNCTION("""COMPUTED_VALUE"""),0.421052631578947)</f>
        <v>0.4210526316</v>
      </c>
      <c r="G30" s="8">
        <f>IFERROR(__xludf.DUMMYFUNCTION("""COMPUTED_VALUE"""),0.3125)</f>
        <v>0.3125</v>
      </c>
      <c r="H30" s="8">
        <f>IFERROR(__xludf.DUMMYFUNCTION("""COMPUTED_VALUE"""),0.247619047619047)</f>
        <v>0.2476190476</v>
      </c>
      <c r="I30" s="8">
        <f>IFERROR(__xludf.DUMMYFUNCTION("""COMPUTED_VALUE"""),0.203883495145631)</f>
        <v>0.2038834951</v>
      </c>
      <c r="J30" s="8">
        <f>IFERROR(__xludf.DUMMYFUNCTION("""COMPUTED_VALUE"""),0.202020202020202)</f>
        <v>0.202020202</v>
      </c>
      <c r="K30" s="8">
        <f>IFERROR(__xludf.DUMMYFUNCTION("""COMPUTED_VALUE"""),0.2)</f>
        <v>0.2</v>
      </c>
      <c r="L30" s="8">
        <f>IFERROR(__xludf.DUMMYFUNCTION("""COMPUTED_VALUE"""),0.181818181818181)</f>
        <v>0.1818181818</v>
      </c>
      <c r="M30" s="8">
        <f>IFERROR(__xludf.DUMMYFUNCTION("""COMPUTED_VALUE"""),0.188235294117647)</f>
        <v>0.1882352941</v>
      </c>
      <c r="N30" s="8">
        <f>IFERROR(__xludf.DUMMYFUNCTION("""COMPUTED_VALUE"""),0.170731707317073)</f>
        <v>0.1707317073</v>
      </c>
      <c r="O30" s="8">
        <f>IFERROR(__xludf.DUMMYFUNCTION("""COMPUTED_VALUE"""),0.0909090909090909)</f>
        <v>0.09090909091</v>
      </c>
      <c r="P30" s="8">
        <f>IFERROR(__xludf.DUMMYFUNCTION("""COMPUTED_VALUE"""),0.0847457627118644)</f>
        <v>0.08474576271</v>
      </c>
      <c r="Q30" s="8">
        <f>IFERROR(__xludf.DUMMYFUNCTION("""COMPUTED_VALUE"""),0.0)</f>
        <v>0</v>
      </c>
      <c r="R30" s="8">
        <f>IFERROR(__xludf.DUMMYFUNCTION("""COMPUTED_VALUE"""),0.0)</f>
        <v>0</v>
      </c>
      <c r="S30" s="8">
        <f>IFERROR(__xludf.DUMMYFUNCTION("""COMPUTED_VALUE"""),0.0)</f>
        <v>0</v>
      </c>
      <c r="T30" s="8">
        <f>IFERROR(__xludf.DUMMYFUNCTION("""COMPUTED_VALUE"""),0.0)</f>
        <v>0</v>
      </c>
      <c r="U30" s="8">
        <f>IFERROR(__xludf.DUMMYFUNCTION("""COMPUTED_VALUE"""),0.0)</f>
        <v>0</v>
      </c>
      <c r="V30" s="8">
        <f>IFERROR(__xludf.DUMMYFUNCTION("""COMPUTED_VALUE"""),0.0)</f>
        <v>0</v>
      </c>
      <c r="W30" s="8">
        <f>IFERROR(__xludf.DUMMYFUNCTION("""COMPUTED_VALUE"""),0.0)</f>
        <v>0</v>
      </c>
      <c r="X30" s="8">
        <f>IFERROR(__xludf.DUMMYFUNCTION("""COMPUTED_VALUE"""),0.0)</f>
        <v>0</v>
      </c>
      <c r="Y30" s="8">
        <f>IFERROR(__xludf.DUMMYFUNCTION("""COMPUTED_VALUE"""),0.0)</f>
        <v>0</v>
      </c>
      <c r="Z30" s="8">
        <f>IFERROR(__xludf.DUMMYFUNCTION("""COMPUTED_VALUE"""),0.0)</f>
        <v>0</v>
      </c>
      <c r="AA30" s="8">
        <f>IFERROR(__xludf.DUMMYFUNCTION("""COMPUTED_VALUE"""),0.0)</f>
        <v>0</v>
      </c>
      <c r="AB30" s="8">
        <f>IFERROR(__xludf.DUMMYFUNCTION("""COMPUTED_VALUE"""),0.0)</f>
        <v>0</v>
      </c>
      <c r="AC30" s="8">
        <f>IFERROR(__xludf.DUMMYFUNCTION("""COMPUTED_VALUE"""),0.0)</f>
        <v>0</v>
      </c>
    </row>
    <row r="31" ht="15.75" customHeight="1">
      <c r="A31" s="6" t="str">
        <f>IFERROR(__xludf.DUMMYFUNCTION("""COMPUTED_VALUE"""),"1c56eb2cce6609cb207d235ae3464f7759d4cb84")</f>
        <v>1c56eb2cce6609cb207d235ae3464f7759d4cb84</v>
      </c>
      <c r="B31" s="6" t="str">
        <f>IFERROR(__xludf.DUMMYFUNCTION("""COMPUTED_VALUE"""),"Rage of the Heiress")</f>
        <v>Rage of the Heiress</v>
      </c>
      <c r="C31" s="6" t="str">
        <f>IFERROR(__xludf.DUMMYFUNCTION("""COMPUTED_VALUE"""),"Drama")</f>
        <v>Drama</v>
      </c>
      <c r="D31" s="11">
        <f>IFERROR(__xludf.DUMMYFUNCTION("""COMPUTED_VALUE"""),5022.0)</f>
        <v>5022</v>
      </c>
      <c r="E31" s="8">
        <f>IFERROR(__xludf.DUMMYFUNCTION("""COMPUTED_VALUE"""),0.930293819655521)</f>
        <v>0.9302938197</v>
      </c>
      <c r="F31" s="8">
        <f>IFERROR(__xludf.DUMMYFUNCTION("""COMPUTED_VALUE"""),0.537686332143607)</f>
        <v>0.5376863321</v>
      </c>
      <c r="G31" s="8">
        <f>IFERROR(__xludf.DUMMYFUNCTION("""COMPUTED_VALUE"""),0.521071115013169)</f>
        <v>0.521071115</v>
      </c>
      <c r="H31" s="8">
        <f>IFERROR(__xludf.DUMMYFUNCTION("""COMPUTED_VALUE"""),0.489960766212785)</f>
        <v>0.4899607662</v>
      </c>
      <c r="I31" s="8">
        <f>IFERROR(__xludf.DUMMYFUNCTION("""COMPUTED_VALUE"""),0.490074441687344)</f>
        <v>0.4900744417</v>
      </c>
      <c r="J31" s="8">
        <f>IFERROR(__xludf.DUMMYFUNCTION("""COMPUTED_VALUE"""),0.478155990351112)</f>
        <v>0.4781559904</v>
      </c>
      <c r="K31" s="8">
        <f>IFERROR(__xludf.DUMMYFUNCTION("""COMPUTED_VALUE"""),0.463858850313033)</f>
        <v>0.4638588503</v>
      </c>
      <c r="L31" s="8">
        <f>IFERROR(__xludf.DUMMYFUNCTION("""COMPUTED_VALUE"""),0.45510455104551)</f>
        <v>0.455104551</v>
      </c>
      <c r="M31" s="8">
        <f>IFERROR(__xludf.DUMMYFUNCTION("""COMPUTED_VALUE"""),0.451591942820012)</f>
        <v>0.4515919428</v>
      </c>
      <c r="N31" s="8">
        <f>IFERROR(__xludf.DUMMYFUNCTION("""COMPUTED_VALUE"""),0.44328097731239)</f>
        <v>0.4432809773</v>
      </c>
      <c r="O31" s="8">
        <f>IFERROR(__xludf.DUMMYFUNCTION("""COMPUTED_VALUE"""),0.453199617956064)</f>
        <v>0.453199618</v>
      </c>
      <c r="P31" s="8">
        <f>IFERROR(__xludf.DUMMYFUNCTION("""COMPUTED_VALUE"""),0.366213821618428)</f>
        <v>0.3662138216</v>
      </c>
      <c r="Q31" s="8">
        <f>IFERROR(__xludf.DUMMYFUNCTION("""COMPUTED_VALUE"""),0.273255813953488)</f>
        <v>0.273255814</v>
      </c>
      <c r="R31" s="8">
        <f>IFERROR(__xludf.DUMMYFUNCTION("""COMPUTED_VALUE"""),0.228731942215088)</f>
        <v>0.2287319422</v>
      </c>
      <c r="S31" s="8">
        <f>IFERROR(__xludf.DUMMYFUNCTION("""COMPUTED_VALUE"""),0.213565536205316)</f>
        <v>0.2135655362</v>
      </c>
      <c r="T31" s="8">
        <f>IFERROR(__xludf.DUMMYFUNCTION("""COMPUTED_VALUE"""),0.184584178498985)</f>
        <v>0.1845841785</v>
      </c>
      <c r="U31" s="8">
        <f>IFERROR(__xludf.DUMMYFUNCTION("""COMPUTED_VALUE"""),0.150963597430406)</f>
        <v>0.1509635974</v>
      </c>
      <c r="V31" s="8">
        <f>IFERROR(__xludf.DUMMYFUNCTION("""COMPUTED_VALUE"""),0.139150943396226)</f>
        <v>0.1391509434</v>
      </c>
      <c r="W31" s="8">
        <f>IFERROR(__xludf.DUMMYFUNCTION("""COMPUTED_VALUE"""),0.131147540983606)</f>
        <v>0.131147541</v>
      </c>
      <c r="X31" s="8">
        <f>IFERROR(__xludf.DUMMYFUNCTION("""COMPUTED_VALUE"""),0.0)</f>
        <v>0</v>
      </c>
      <c r="Y31" s="8">
        <f>IFERROR(__xludf.DUMMYFUNCTION("""COMPUTED_VALUE"""),0.0)</f>
        <v>0</v>
      </c>
      <c r="Z31" s="8">
        <f>IFERROR(__xludf.DUMMYFUNCTION("""COMPUTED_VALUE"""),0.0)</f>
        <v>0</v>
      </c>
      <c r="AA31" s="8">
        <f>IFERROR(__xludf.DUMMYFUNCTION("""COMPUTED_VALUE"""),0.0)</f>
        <v>0</v>
      </c>
      <c r="AB31" s="8">
        <f>IFERROR(__xludf.DUMMYFUNCTION("""COMPUTED_VALUE"""),0.0)</f>
        <v>0</v>
      </c>
      <c r="AC31" s="8">
        <f>IFERROR(__xludf.DUMMYFUNCTION("""COMPUTED_VALUE"""),0.0)</f>
        <v>0</v>
      </c>
    </row>
    <row r="32" ht="15.75" customHeight="1">
      <c r="A32" s="6" t="str">
        <f>IFERROR(__xludf.DUMMYFUNCTION("""COMPUTED_VALUE"""),"1ca4f3c3b8e200f37ec14ed7a11442df6a65f4e6")</f>
        <v>1ca4f3c3b8e200f37ec14ed7a11442df6a65f4e6</v>
      </c>
      <c r="B32" s="6" t="str">
        <f>IFERROR(__xludf.DUMMYFUNCTION("""COMPUTED_VALUE"""),"Unstoppable Cultivator")</f>
        <v>Unstoppable Cultivator</v>
      </c>
      <c r="C32" s="6" t="str">
        <f>IFERROR(__xludf.DUMMYFUNCTION("""COMPUTED_VALUE"""),"Fantasy")</f>
        <v>Fantasy</v>
      </c>
      <c r="D32" s="11">
        <f>IFERROR(__xludf.DUMMYFUNCTION("""COMPUTED_VALUE"""),161.0)</f>
        <v>161</v>
      </c>
      <c r="E32" s="8">
        <f>IFERROR(__xludf.DUMMYFUNCTION("""COMPUTED_VALUE"""),0.956521739130434)</f>
        <v>0.9565217391</v>
      </c>
      <c r="F32" s="8">
        <f>IFERROR(__xludf.DUMMYFUNCTION("""COMPUTED_VALUE"""),0.372670807453416)</f>
        <v>0.3726708075</v>
      </c>
      <c r="G32" s="8">
        <f>IFERROR(__xludf.DUMMYFUNCTION("""COMPUTED_VALUE"""),0.298136645962732)</f>
        <v>0.298136646</v>
      </c>
      <c r="H32" s="8">
        <f>IFERROR(__xludf.DUMMYFUNCTION("""COMPUTED_VALUE"""),0.270440251572327)</f>
        <v>0.2704402516</v>
      </c>
      <c r="I32" s="8">
        <f>IFERROR(__xludf.DUMMYFUNCTION("""COMPUTED_VALUE"""),0.257861635220125)</f>
        <v>0.2578616352</v>
      </c>
      <c r="J32" s="8">
        <f>IFERROR(__xludf.DUMMYFUNCTION("""COMPUTED_VALUE"""),0.253164556962025)</f>
        <v>0.253164557</v>
      </c>
      <c r="K32" s="8">
        <f>IFERROR(__xludf.DUMMYFUNCTION("""COMPUTED_VALUE"""),0.240506329113924)</f>
        <v>0.2405063291</v>
      </c>
      <c r="L32" s="8">
        <f>IFERROR(__xludf.DUMMYFUNCTION("""COMPUTED_VALUE"""),0.215189873417721)</f>
        <v>0.2151898734</v>
      </c>
      <c r="M32" s="8">
        <f>IFERROR(__xludf.DUMMYFUNCTION("""COMPUTED_VALUE"""),0.210191082802547)</f>
        <v>0.2101910828</v>
      </c>
      <c r="N32" s="8">
        <f>IFERROR(__xludf.DUMMYFUNCTION("""COMPUTED_VALUE"""),0.198717948717948)</f>
        <v>0.1987179487</v>
      </c>
      <c r="O32" s="8">
        <f>IFERROR(__xludf.DUMMYFUNCTION("""COMPUTED_VALUE"""),0.183098591549295)</f>
        <v>0.1830985915</v>
      </c>
      <c r="P32" s="8">
        <f>IFERROR(__xludf.DUMMYFUNCTION("""COMPUTED_VALUE"""),0.0857142857142857)</f>
        <v>0.08571428571</v>
      </c>
      <c r="Q32" s="8">
        <f>IFERROR(__xludf.DUMMYFUNCTION("""COMPUTED_VALUE"""),0.0384615384615384)</f>
        <v>0.03846153846</v>
      </c>
      <c r="R32" s="8">
        <f>IFERROR(__xludf.DUMMYFUNCTION("""COMPUTED_VALUE"""),0.333333333333333)</f>
        <v>0.3333333333</v>
      </c>
      <c r="S32" s="8">
        <f>IFERROR(__xludf.DUMMYFUNCTION("""COMPUTED_VALUE"""),0.0)</f>
        <v>0</v>
      </c>
      <c r="T32" s="8">
        <f>IFERROR(__xludf.DUMMYFUNCTION("""COMPUTED_VALUE"""),0.0)</f>
        <v>0</v>
      </c>
      <c r="U32" s="8">
        <f>IFERROR(__xludf.DUMMYFUNCTION("""COMPUTED_VALUE"""),0.0)</f>
        <v>0</v>
      </c>
      <c r="V32" s="8">
        <f>IFERROR(__xludf.DUMMYFUNCTION("""COMPUTED_VALUE"""),0.0)</f>
        <v>0</v>
      </c>
      <c r="W32" s="8">
        <f>IFERROR(__xludf.DUMMYFUNCTION("""COMPUTED_VALUE"""),0.0)</f>
        <v>0</v>
      </c>
      <c r="X32" s="8">
        <f>IFERROR(__xludf.DUMMYFUNCTION("""COMPUTED_VALUE"""),0.0)</f>
        <v>0</v>
      </c>
      <c r="Y32" s="8">
        <f>IFERROR(__xludf.DUMMYFUNCTION("""COMPUTED_VALUE"""),0.0)</f>
        <v>0</v>
      </c>
      <c r="Z32" s="8">
        <f>IFERROR(__xludf.DUMMYFUNCTION("""COMPUTED_VALUE"""),0.0)</f>
        <v>0</v>
      </c>
      <c r="AA32" s="8">
        <f>IFERROR(__xludf.DUMMYFUNCTION("""COMPUTED_VALUE"""),0.0)</f>
        <v>0</v>
      </c>
      <c r="AB32" s="8">
        <f>IFERROR(__xludf.DUMMYFUNCTION("""COMPUTED_VALUE"""),0.0)</f>
        <v>0</v>
      </c>
      <c r="AC32" s="8">
        <f>IFERROR(__xludf.DUMMYFUNCTION("""COMPUTED_VALUE"""),0.0)</f>
        <v>0</v>
      </c>
    </row>
    <row r="33" ht="15.75" customHeight="1">
      <c r="A33" s="6" t="str">
        <f>IFERROR(__xludf.DUMMYFUNCTION("""COMPUTED_VALUE"""),"1d8b1f39e146ede1f7528763445a7a47aad10b05")</f>
        <v>1d8b1f39e146ede1f7528763445a7a47aad10b05</v>
      </c>
      <c r="B33" s="6" t="str">
        <f>IFERROR(__xludf.DUMMYFUNCTION("""COMPUTED_VALUE"""),"Love and Heartbroken")</f>
        <v>Love and Heartbroken</v>
      </c>
      <c r="C33" s="6" t="str">
        <f>IFERROR(__xludf.DUMMYFUNCTION("""COMPUTED_VALUE"""),"System and Superpower")</f>
        <v>System and Superpower</v>
      </c>
      <c r="D33" s="11">
        <f>IFERROR(__xludf.DUMMYFUNCTION("""COMPUTED_VALUE"""),828.0)</f>
        <v>828</v>
      </c>
      <c r="E33" s="8">
        <f>IFERROR(__xludf.DUMMYFUNCTION("""COMPUTED_VALUE"""),0.984299516908212)</f>
        <v>0.9842995169</v>
      </c>
      <c r="F33" s="8">
        <f>IFERROR(__xludf.DUMMYFUNCTION("""COMPUTED_VALUE"""),0.370772946859903)</f>
        <v>0.3707729469</v>
      </c>
      <c r="G33" s="8">
        <f>IFERROR(__xludf.DUMMYFUNCTION("""COMPUTED_VALUE"""),0.329710144927536)</f>
        <v>0.3297101449</v>
      </c>
      <c r="H33" s="8">
        <f>IFERROR(__xludf.DUMMYFUNCTION("""COMPUTED_VALUE"""),0.280193236714975)</f>
        <v>0.2801932367</v>
      </c>
      <c r="I33" s="8">
        <f>IFERROR(__xludf.DUMMYFUNCTION("""COMPUTED_VALUE"""),0.246674727932285)</f>
        <v>0.2466747279</v>
      </c>
      <c r="J33" s="8">
        <f>IFERROR(__xludf.DUMMYFUNCTION("""COMPUTED_VALUE"""),0.215235792019347)</f>
        <v>0.215235792</v>
      </c>
      <c r="K33" s="8">
        <f>IFERROR(__xludf.DUMMYFUNCTION("""COMPUTED_VALUE"""),0.196125907990314)</f>
        <v>0.196125908</v>
      </c>
      <c r="L33" s="8">
        <f>IFERROR(__xludf.DUMMYFUNCTION("""COMPUTED_VALUE"""),0.164648910411622)</f>
        <v>0.1646489104</v>
      </c>
      <c r="M33" s="8">
        <f>IFERROR(__xludf.DUMMYFUNCTION("""COMPUTED_VALUE"""),0.139225181598062)</f>
        <v>0.1392251816</v>
      </c>
      <c r="N33" s="8">
        <f>IFERROR(__xludf.DUMMYFUNCTION("""COMPUTED_VALUE"""),0.12378640776699)</f>
        <v>0.1237864078</v>
      </c>
      <c r="O33" s="8">
        <f>IFERROR(__xludf.DUMMYFUNCTION("""COMPUTED_VALUE"""),0.0732323232323232)</f>
        <v>0.07323232323</v>
      </c>
      <c r="P33" s="8">
        <f>IFERROR(__xludf.DUMMYFUNCTION("""COMPUTED_VALUE"""),0.0351351351351351)</f>
        <v>0.03513513514</v>
      </c>
      <c r="Q33" s="8">
        <f>IFERROR(__xludf.DUMMYFUNCTION("""COMPUTED_VALUE"""),0.0125874125874125)</f>
        <v>0.01258741259</v>
      </c>
      <c r="R33" s="8">
        <f>IFERROR(__xludf.DUMMYFUNCTION("""COMPUTED_VALUE"""),0.00626959247648902)</f>
        <v>0.006269592476</v>
      </c>
      <c r="S33" s="8">
        <f>IFERROR(__xludf.DUMMYFUNCTION("""COMPUTED_VALUE"""),0.00602409638554216)</f>
        <v>0.006024096386</v>
      </c>
      <c r="T33" s="8">
        <f>IFERROR(__xludf.DUMMYFUNCTION("""COMPUTED_VALUE"""),0.0)</f>
        <v>0</v>
      </c>
      <c r="U33" s="8">
        <f>IFERROR(__xludf.DUMMYFUNCTION("""COMPUTED_VALUE"""),0.0)</f>
        <v>0</v>
      </c>
      <c r="V33" s="8">
        <f>IFERROR(__xludf.DUMMYFUNCTION("""COMPUTED_VALUE"""),0.0)</f>
        <v>0</v>
      </c>
      <c r="W33" s="8">
        <f>IFERROR(__xludf.DUMMYFUNCTION("""COMPUTED_VALUE"""),0.0)</f>
        <v>0</v>
      </c>
      <c r="X33" s="8">
        <f>IFERROR(__xludf.DUMMYFUNCTION("""COMPUTED_VALUE"""),0.0)</f>
        <v>0</v>
      </c>
      <c r="Y33" s="8">
        <f>IFERROR(__xludf.DUMMYFUNCTION("""COMPUTED_VALUE"""),0.0)</f>
        <v>0</v>
      </c>
      <c r="Z33" s="8">
        <f>IFERROR(__xludf.DUMMYFUNCTION("""COMPUTED_VALUE"""),0.0)</f>
        <v>0</v>
      </c>
      <c r="AA33" s="8">
        <f>IFERROR(__xludf.DUMMYFUNCTION("""COMPUTED_VALUE"""),0.0)</f>
        <v>0</v>
      </c>
      <c r="AB33" s="8">
        <f>IFERROR(__xludf.DUMMYFUNCTION("""COMPUTED_VALUE"""),0.0)</f>
        <v>0</v>
      </c>
      <c r="AC33" s="8">
        <f>IFERROR(__xludf.DUMMYFUNCTION("""COMPUTED_VALUE"""),0.0)</f>
        <v>0</v>
      </c>
    </row>
    <row r="34" ht="15.75" customHeight="1">
      <c r="A34" s="6" t="str">
        <f>IFERROR(__xludf.DUMMYFUNCTION("""COMPUTED_VALUE"""),"1e1205d9e93348005e7eb4b2e071c8c63b7914ca")</f>
        <v>1e1205d9e93348005e7eb4b2e071c8c63b7914ca</v>
      </c>
      <c r="B34" s="6" t="str">
        <f>IFERROR(__xludf.DUMMYFUNCTION("""COMPUTED_VALUE"""),"The Heart's Captive")</f>
        <v>The Heart's Captive</v>
      </c>
      <c r="C34" s="6" t="str">
        <f>IFERROR(__xludf.DUMMYFUNCTION("""COMPUTED_VALUE"""),"Romantasy")</f>
        <v>Romantasy</v>
      </c>
      <c r="D34" s="11">
        <f>IFERROR(__xludf.DUMMYFUNCTION("""COMPUTED_VALUE"""),243.0)</f>
        <v>243</v>
      </c>
      <c r="E34" s="8">
        <f>IFERROR(__xludf.DUMMYFUNCTION("""COMPUTED_VALUE"""),0.925619834710743)</f>
        <v>0.9256198347</v>
      </c>
      <c r="F34" s="8">
        <f>IFERROR(__xludf.DUMMYFUNCTION("""COMPUTED_VALUE"""),0.330578512396694)</f>
        <v>0.3305785124</v>
      </c>
      <c r="G34" s="8">
        <f>IFERROR(__xludf.DUMMYFUNCTION("""COMPUTED_VALUE"""),0.28099173553719)</f>
        <v>0.2809917355</v>
      </c>
      <c r="H34" s="8">
        <f>IFERROR(__xludf.DUMMYFUNCTION("""COMPUTED_VALUE"""),0.272727272727272)</f>
        <v>0.2727272727</v>
      </c>
      <c r="I34" s="8">
        <f>IFERROR(__xludf.DUMMYFUNCTION("""COMPUTED_VALUE"""),0.252066115702479)</f>
        <v>0.2520661157</v>
      </c>
      <c r="J34" s="8">
        <f>IFERROR(__xludf.DUMMYFUNCTION("""COMPUTED_VALUE"""),0.261410788381742)</f>
        <v>0.2614107884</v>
      </c>
      <c r="K34" s="8">
        <f>IFERROR(__xludf.DUMMYFUNCTION("""COMPUTED_VALUE"""),0.254166666666666)</f>
        <v>0.2541666667</v>
      </c>
      <c r="L34" s="8">
        <f>IFERROR(__xludf.DUMMYFUNCTION("""COMPUTED_VALUE"""),0.258333333333333)</f>
        <v>0.2583333333</v>
      </c>
      <c r="M34" s="8">
        <f>IFERROR(__xludf.DUMMYFUNCTION("""COMPUTED_VALUE"""),0.266666666666666)</f>
        <v>0.2666666667</v>
      </c>
      <c r="N34" s="8">
        <f>IFERROR(__xludf.DUMMYFUNCTION("""COMPUTED_VALUE"""),0.258333333333333)</f>
        <v>0.2583333333</v>
      </c>
      <c r="O34" s="8">
        <f>IFERROR(__xludf.DUMMYFUNCTION("""COMPUTED_VALUE"""),0.254166666666666)</f>
        <v>0.2541666667</v>
      </c>
      <c r="P34" s="8">
        <f>IFERROR(__xludf.DUMMYFUNCTION("""COMPUTED_VALUE"""),0.125523012552301)</f>
        <v>0.1255230126</v>
      </c>
      <c r="Q34" s="8">
        <f>IFERROR(__xludf.DUMMYFUNCTION("""COMPUTED_VALUE"""),0.0464135021097046)</f>
        <v>0.04641350211</v>
      </c>
      <c r="R34" s="8">
        <f>IFERROR(__xludf.DUMMYFUNCTION("""COMPUTED_VALUE"""),0.0168776371308016)</f>
        <v>0.01687763713</v>
      </c>
      <c r="S34" s="8">
        <f>IFERROR(__xludf.DUMMYFUNCTION("""COMPUTED_VALUE"""),0.0)</f>
        <v>0</v>
      </c>
      <c r="T34" s="8">
        <f>IFERROR(__xludf.DUMMYFUNCTION("""COMPUTED_VALUE"""),0.0)</f>
        <v>0</v>
      </c>
      <c r="U34" s="8">
        <f>IFERROR(__xludf.DUMMYFUNCTION("""COMPUTED_VALUE"""),0.0)</f>
        <v>0</v>
      </c>
      <c r="V34" s="8">
        <f>IFERROR(__xludf.DUMMYFUNCTION("""COMPUTED_VALUE"""),0.0)</f>
        <v>0</v>
      </c>
      <c r="W34" s="8">
        <f>IFERROR(__xludf.DUMMYFUNCTION("""COMPUTED_VALUE"""),0.0)</f>
        <v>0</v>
      </c>
      <c r="X34" s="8">
        <f>IFERROR(__xludf.DUMMYFUNCTION("""COMPUTED_VALUE"""),0.0)</f>
        <v>0</v>
      </c>
      <c r="Y34" s="8">
        <f>IFERROR(__xludf.DUMMYFUNCTION("""COMPUTED_VALUE"""),0.0)</f>
        <v>0</v>
      </c>
      <c r="Z34" s="8">
        <f>IFERROR(__xludf.DUMMYFUNCTION("""COMPUTED_VALUE"""),0.0)</f>
        <v>0</v>
      </c>
      <c r="AA34" s="8">
        <f>IFERROR(__xludf.DUMMYFUNCTION("""COMPUTED_VALUE"""),0.0)</f>
        <v>0</v>
      </c>
      <c r="AB34" s="8">
        <f>IFERROR(__xludf.DUMMYFUNCTION("""COMPUTED_VALUE"""),0.0)</f>
        <v>0</v>
      </c>
      <c r="AC34" s="8">
        <f>IFERROR(__xludf.DUMMYFUNCTION("""COMPUTED_VALUE"""),0.0)</f>
        <v>0</v>
      </c>
    </row>
    <row r="35" ht="15.75" customHeight="1">
      <c r="A35" s="6" t="str">
        <f>IFERROR(__xludf.DUMMYFUNCTION("""COMPUTED_VALUE"""),"1e2b4197fd4a9f595c560bc8d4530339758b031a")</f>
        <v>1e2b4197fd4a9f595c560bc8d4530339758b031a</v>
      </c>
      <c r="B35" s="6" t="str">
        <f>IFERROR(__xludf.DUMMYFUNCTION("""COMPUTED_VALUE"""),"Becoming Garrison Green")</f>
        <v>Becoming Garrison Green</v>
      </c>
      <c r="C35" s="6" t="str">
        <f>IFERROR(__xludf.DUMMYFUNCTION("""COMPUTED_VALUE"""),"Drama")</f>
        <v>Drama</v>
      </c>
      <c r="D35" s="11">
        <f>IFERROR(__xludf.DUMMYFUNCTION("""COMPUTED_VALUE"""),1041.0)</f>
        <v>1041</v>
      </c>
      <c r="E35" s="8">
        <f>IFERROR(__xludf.DUMMYFUNCTION("""COMPUTED_VALUE"""),0.963496637848222)</f>
        <v>0.9634966378</v>
      </c>
      <c r="F35" s="8">
        <f>IFERROR(__xludf.DUMMYFUNCTION("""COMPUTED_VALUE"""),0.424446583253128)</f>
        <v>0.4244465833</v>
      </c>
      <c r="G35" s="8">
        <f>IFERROR(__xludf.DUMMYFUNCTION("""COMPUTED_VALUE"""),0.386910490856592)</f>
        <v>0.3869104909</v>
      </c>
      <c r="H35" s="8">
        <f>IFERROR(__xludf.DUMMYFUNCTION("""COMPUTED_VALUE"""),0.348747591522158)</f>
        <v>0.3487475915</v>
      </c>
      <c r="I35" s="8">
        <f>IFERROR(__xludf.DUMMYFUNCTION("""COMPUTED_VALUE"""),0.317261330761812)</f>
        <v>0.3172613308</v>
      </c>
      <c r="J35" s="8">
        <f>IFERROR(__xludf.DUMMYFUNCTION("""COMPUTED_VALUE"""),0.295366795366795)</f>
        <v>0.2953667954</v>
      </c>
      <c r="K35" s="8">
        <f>IFERROR(__xludf.DUMMYFUNCTION("""COMPUTED_VALUE"""),0.27027027027027)</f>
        <v>0.2702702703</v>
      </c>
      <c r="L35" s="8">
        <f>IFERROR(__xludf.DUMMYFUNCTION("""COMPUTED_VALUE"""),0.256038647342995)</f>
        <v>0.2560386473</v>
      </c>
      <c r="M35" s="8">
        <f>IFERROR(__xludf.DUMMYFUNCTION("""COMPUTED_VALUE"""),0.24927536231884)</f>
        <v>0.2492753623</v>
      </c>
      <c r="N35" s="8">
        <f>IFERROR(__xludf.DUMMYFUNCTION("""COMPUTED_VALUE"""),0.241279069767441)</f>
        <v>0.2412790698</v>
      </c>
      <c r="O35" s="8">
        <f>IFERROR(__xludf.DUMMYFUNCTION("""COMPUTED_VALUE"""),0.208633093525179)</f>
        <v>0.2086330935</v>
      </c>
      <c r="P35" s="8">
        <f>IFERROR(__xludf.DUMMYFUNCTION("""COMPUTED_VALUE"""),0.1575)</f>
        <v>0.1575</v>
      </c>
      <c r="Q35" s="8">
        <f>IFERROR(__xludf.DUMMYFUNCTION("""COMPUTED_VALUE"""),0.10337972166998)</f>
        <v>0.1033797217</v>
      </c>
      <c r="R35" s="8">
        <f>IFERROR(__xludf.DUMMYFUNCTION("""COMPUTED_VALUE"""),0.171428571428571)</f>
        <v>0.1714285714</v>
      </c>
      <c r="S35" s="8">
        <f>IFERROR(__xludf.DUMMYFUNCTION("""COMPUTED_VALUE"""),0.0)</f>
        <v>0</v>
      </c>
      <c r="T35" s="8">
        <f>IFERROR(__xludf.DUMMYFUNCTION("""COMPUTED_VALUE"""),0.0)</f>
        <v>0</v>
      </c>
      <c r="U35" s="8">
        <f>IFERROR(__xludf.DUMMYFUNCTION("""COMPUTED_VALUE"""),0.0)</f>
        <v>0</v>
      </c>
      <c r="V35" s="8">
        <f>IFERROR(__xludf.DUMMYFUNCTION("""COMPUTED_VALUE"""),0.0)</f>
        <v>0</v>
      </c>
      <c r="W35" s="8">
        <f>IFERROR(__xludf.DUMMYFUNCTION("""COMPUTED_VALUE"""),0.0)</f>
        <v>0</v>
      </c>
      <c r="X35" s="8">
        <f>IFERROR(__xludf.DUMMYFUNCTION("""COMPUTED_VALUE"""),0.0)</f>
        <v>0</v>
      </c>
      <c r="Y35" s="8">
        <f>IFERROR(__xludf.DUMMYFUNCTION("""COMPUTED_VALUE"""),0.0)</f>
        <v>0</v>
      </c>
      <c r="Z35" s="8">
        <f>IFERROR(__xludf.DUMMYFUNCTION("""COMPUTED_VALUE"""),0.0)</f>
        <v>0</v>
      </c>
      <c r="AA35" s="8">
        <f>IFERROR(__xludf.DUMMYFUNCTION("""COMPUTED_VALUE"""),0.0)</f>
        <v>0</v>
      </c>
      <c r="AB35" s="8">
        <f>IFERROR(__xludf.DUMMYFUNCTION("""COMPUTED_VALUE"""),0.0)</f>
        <v>0</v>
      </c>
      <c r="AC35" s="8">
        <f>IFERROR(__xludf.DUMMYFUNCTION("""COMPUTED_VALUE"""),0.0)</f>
        <v>0</v>
      </c>
    </row>
    <row r="36" ht="15.75" customHeight="1">
      <c r="A36" s="6" t="str">
        <f>IFERROR(__xludf.DUMMYFUNCTION("""COMPUTED_VALUE"""),"1e8c33b5d824973efcdca4b5194f961aed4ba258")</f>
        <v>1e8c33b5d824973efcdca4b5194f961aed4ba258</v>
      </c>
      <c r="B36" s="6" t="str">
        <f>IFERROR(__xludf.DUMMYFUNCTION("""COMPUTED_VALUE"""),"Mafia's Reluctant Bride")</f>
        <v>Mafia's Reluctant Bride</v>
      </c>
      <c r="C36" s="6" t="str">
        <f>IFERROR(__xludf.DUMMYFUNCTION("""COMPUTED_VALUE"""),"Romance")</f>
        <v>Romance</v>
      </c>
      <c r="D36" s="11">
        <f>IFERROR(__xludf.DUMMYFUNCTION("""COMPUTED_VALUE"""),2365.0)</f>
        <v>2365</v>
      </c>
      <c r="E36" s="8">
        <f>IFERROR(__xludf.DUMMYFUNCTION("""COMPUTED_VALUE"""),0.972559604138551)</f>
        <v>0.9725596041</v>
      </c>
      <c r="F36" s="8">
        <f>IFERROR(__xludf.DUMMYFUNCTION("""COMPUTED_VALUE"""),0.453869047619047)</f>
        <v>0.4538690476</v>
      </c>
      <c r="G36" s="8">
        <f>IFERROR(__xludf.DUMMYFUNCTION("""COMPUTED_VALUE"""),0.385321100917431)</f>
        <v>0.3853211009</v>
      </c>
      <c r="H36" s="8">
        <f>IFERROR(__xludf.DUMMYFUNCTION("""COMPUTED_VALUE"""),0.342356687898089)</f>
        <v>0.3423566879</v>
      </c>
      <c r="I36" s="8">
        <f>IFERROR(__xludf.DUMMYFUNCTION("""COMPUTED_VALUE"""),0.311351351351351)</f>
        <v>0.3113513514</v>
      </c>
      <c r="J36" s="8">
        <f>IFERROR(__xludf.DUMMYFUNCTION("""COMPUTED_VALUE"""),0.284838350055741)</f>
        <v>0.2848383501</v>
      </c>
      <c r="K36" s="8">
        <f>IFERROR(__xludf.DUMMYFUNCTION("""COMPUTED_VALUE"""),0.26593911545089)</f>
        <v>0.2659391155</v>
      </c>
      <c r="L36" s="8">
        <f>IFERROR(__xludf.DUMMYFUNCTION("""COMPUTED_VALUE"""),0.253920386007237)</f>
        <v>0.253920386</v>
      </c>
      <c r="M36" s="8">
        <f>IFERROR(__xludf.DUMMYFUNCTION("""COMPUTED_VALUE"""),0.227703984819734)</f>
        <v>0.2277039848</v>
      </c>
      <c r="N36" s="8">
        <f>IFERROR(__xludf.DUMMYFUNCTION("""COMPUTED_VALUE"""),0.223505434782608)</f>
        <v>0.2235054348</v>
      </c>
      <c r="O36" s="8">
        <f>IFERROR(__xludf.DUMMYFUNCTION("""COMPUTED_VALUE"""),0.191304347826086)</f>
        <v>0.1913043478</v>
      </c>
      <c r="P36" s="8">
        <f>IFERROR(__xludf.DUMMYFUNCTION("""COMPUTED_VALUE"""),0.16376306620209)</f>
        <v>0.1637630662</v>
      </c>
      <c r="Q36" s="8">
        <f>IFERROR(__xludf.DUMMYFUNCTION("""COMPUTED_VALUE"""),0.0)</f>
        <v>0</v>
      </c>
      <c r="R36" s="8">
        <f>IFERROR(__xludf.DUMMYFUNCTION("""COMPUTED_VALUE"""),0.0)</f>
        <v>0</v>
      </c>
      <c r="S36" s="8">
        <f>IFERROR(__xludf.DUMMYFUNCTION("""COMPUTED_VALUE"""),0.0)</f>
        <v>0</v>
      </c>
      <c r="T36" s="8">
        <f>IFERROR(__xludf.DUMMYFUNCTION("""COMPUTED_VALUE"""),0.0)</f>
        <v>0</v>
      </c>
      <c r="U36" s="8">
        <f>IFERROR(__xludf.DUMMYFUNCTION("""COMPUTED_VALUE"""),0.0)</f>
        <v>0</v>
      </c>
      <c r="V36" s="8">
        <f>IFERROR(__xludf.DUMMYFUNCTION("""COMPUTED_VALUE"""),0.0)</f>
        <v>0</v>
      </c>
      <c r="W36" s="8">
        <f>IFERROR(__xludf.DUMMYFUNCTION("""COMPUTED_VALUE"""),0.0)</f>
        <v>0</v>
      </c>
      <c r="X36" s="8">
        <f>IFERROR(__xludf.DUMMYFUNCTION("""COMPUTED_VALUE"""),0.0)</f>
        <v>0</v>
      </c>
      <c r="Y36" s="8">
        <f>IFERROR(__xludf.DUMMYFUNCTION("""COMPUTED_VALUE"""),0.0)</f>
        <v>0</v>
      </c>
      <c r="Z36" s="8">
        <f>IFERROR(__xludf.DUMMYFUNCTION("""COMPUTED_VALUE"""),0.0)</f>
        <v>0</v>
      </c>
      <c r="AA36" s="8">
        <f>IFERROR(__xludf.DUMMYFUNCTION("""COMPUTED_VALUE"""),0.0)</f>
        <v>0</v>
      </c>
      <c r="AB36" s="8">
        <f>IFERROR(__xludf.DUMMYFUNCTION("""COMPUTED_VALUE"""),0.0)</f>
        <v>0</v>
      </c>
      <c r="AC36" s="8">
        <f>IFERROR(__xludf.DUMMYFUNCTION("""COMPUTED_VALUE"""),0.0)</f>
        <v>0</v>
      </c>
    </row>
    <row r="37" ht="15.75" customHeight="1">
      <c r="A37" s="6" t="str">
        <f>IFERROR(__xludf.DUMMYFUNCTION("""COMPUTED_VALUE"""),"1f78098e196cc2154bbadfe054e0bdd13c10fa60")</f>
        <v>1f78098e196cc2154bbadfe054e0bdd13c10fa60</v>
      </c>
      <c r="B37" s="6" t="str">
        <f>IFERROR(__xludf.DUMMYFUNCTION("""COMPUTED_VALUE"""),"The Marriage Timer")</f>
        <v>The Marriage Timer</v>
      </c>
      <c r="C37" s="6" t="str">
        <f>IFERROR(__xludf.DUMMYFUNCTION("""COMPUTED_VALUE"""),"Romance")</f>
        <v>Romance</v>
      </c>
      <c r="D37" s="11">
        <f>IFERROR(__xludf.DUMMYFUNCTION("""COMPUTED_VALUE"""),2687.0)</f>
        <v>2687</v>
      </c>
      <c r="E37" s="8">
        <f>IFERROR(__xludf.DUMMYFUNCTION("""COMPUTED_VALUE"""),0.957121551081282)</f>
        <v>0.9571215511</v>
      </c>
      <c r="F37" s="8">
        <f>IFERROR(__xludf.DUMMYFUNCTION("""COMPUTED_VALUE"""),0.534180052297347)</f>
        <v>0.5341800523</v>
      </c>
      <c r="G37" s="8">
        <f>IFERROR(__xludf.DUMMYFUNCTION("""COMPUTED_VALUE"""),0.443406798655211)</f>
        <v>0.4434067987</v>
      </c>
      <c r="H37" s="8">
        <f>IFERROR(__xludf.DUMMYFUNCTION("""COMPUTED_VALUE"""),0.391239236241108)</f>
        <v>0.3912392362</v>
      </c>
      <c r="I37" s="8">
        <f>IFERROR(__xludf.DUMMYFUNCTION("""COMPUTED_VALUE"""),0.367829021372328)</f>
        <v>0.3678290214</v>
      </c>
      <c r="J37" s="8">
        <f>IFERROR(__xludf.DUMMYFUNCTION("""COMPUTED_VALUE"""),0.345488721804511)</f>
        <v>0.3454887218</v>
      </c>
      <c r="K37" s="8">
        <f>IFERROR(__xludf.DUMMYFUNCTION("""COMPUTED_VALUE"""),0.324680210684725)</f>
        <v>0.3246802107</v>
      </c>
      <c r="L37" s="8">
        <f>IFERROR(__xludf.DUMMYFUNCTION("""COMPUTED_VALUE"""),0.323529411764705)</f>
        <v>0.3235294118</v>
      </c>
      <c r="M37" s="8">
        <f>IFERROR(__xludf.DUMMYFUNCTION("""COMPUTED_VALUE"""),0.314716981132075)</f>
        <v>0.3147169811</v>
      </c>
      <c r="N37" s="8">
        <f>IFERROR(__xludf.DUMMYFUNCTION("""COMPUTED_VALUE"""),0.28949357520786)</f>
        <v>0.2894935752</v>
      </c>
      <c r="O37" s="8">
        <f>IFERROR(__xludf.DUMMYFUNCTION("""COMPUTED_VALUE"""),0.268068833652007)</f>
        <v>0.2680688337</v>
      </c>
      <c r="P37" s="8">
        <f>IFERROR(__xludf.DUMMYFUNCTION("""COMPUTED_VALUE"""),0.167857142857142)</f>
        <v>0.1678571429</v>
      </c>
      <c r="Q37" s="8">
        <f>IFERROR(__xludf.DUMMYFUNCTION("""COMPUTED_VALUE"""),0.0950588235294117)</f>
        <v>0.09505882353</v>
      </c>
      <c r="R37" s="8">
        <f>IFERROR(__xludf.DUMMYFUNCTION("""COMPUTED_VALUE"""),0.0)</f>
        <v>0</v>
      </c>
      <c r="S37" s="8">
        <f>IFERROR(__xludf.DUMMYFUNCTION("""COMPUTED_VALUE"""),0.0)</f>
        <v>0</v>
      </c>
      <c r="T37" s="8">
        <f>IFERROR(__xludf.DUMMYFUNCTION("""COMPUTED_VALUE"""),0.0)</f>
        <v>0</v>
      </c>
      <c r="U37" s="8">
        <f>IFERROR(__xludf.DUMMYFUNCTION("""COMPUTED_VALUE"""),0.0)</f>
        <v>0</v>
      </c>
      <c r="V37" s="8">
        <f>IFERROR(__xludf.DUMMYFUNCTION("""COMPUTED_VALUE"""),0.0)</f>
        <v>0</v>
      </c>
      <c r="W37" s="8">
        <f>IFERROR(__xludf.DUMMYFUNCTION("""COMPUTED_VALUE"""),0.0)</f>
        <v>0</v>
      </c>
      <c r="X37" s="8">
        <f>IFERROR(__xludf.DUMMYFUNCTION("""COMPUTED_VALUE"""),0.0)</f>
        <v>0</v>
      </c>
      <c r="Y37" s="8">
        <f>IFERROR(__xludf.DUMMYFUNCTION("""COMPUTED_VALUE"""),0.0)</f>
        <v>0</v>
      </c>
      <c r="Z37" s="8">
        <f>IFERROR(__xludf.DUMMYFUNCTION("""COMPUTED_VALUE"""),0.0)</f>
        <v>0</v>
      </c>
      <c r="AA37" s="8">
        <f>IFERROR(__xludf.DUMMYFUNCTION("""COMPUTED_VALUE"""),0.0)</f>
        <v>0</v>
      </c>
      <c r="AB37" s="8">
        <f>IFERROR(__xludf.DUMMYFUNCTION("""COMPUTED_VALUE"""),0.0)</f>
        <v>0</v>
      </c>
      <c r="AC37" s="8">
        <f>IFERROR(__xludf.DUMMYFUNCTION("""COMPUTED_VALUE"""),0.0)</f>
        <v>0</v>
      </c>
    </row>
    <row r="38" ht="15.75" customHeight="1">
      <c r="A38" s="6" t="str">
        <f>IFERROR(__xludf.DUMMYFUNCTION("""COMPUTED_VALUE"""),"2039c770620dbd485e50118a476f0b91b4bd035b")</f>
        <v>2039c770620dbd485e50118a476f0b91b4bd035b</v>
      </c>
      <c r="B38" s="6" t="str">
        <f>IFERROR(__xludf.DUMMYFUNCTION("""COMPUTED_VALUE"""),"Princess Ebony &amp; the Silver Dragon - Remastered Edition")</f>
        <v>Princess Ebony &amp; the Silver Dragon - Remastered Edition</v>
      </c>
      <c r="C38" s="6" t="str">
        <f>IFERROR(__xludf.DUMMYFUNCTION("""COMPUTED_VALUE"""),"Fantasy")</f>
        <v>Fantasy</v>
      </c>
      <c r="D38" s="11">
        <f>IFERROR(__xludf.DUMMYFUNCTION("""COMPUTED_VALUE"""),19823.0)</f>
        <v>19823</v>
      </c>
      <c r="E38" s="8">
        <f>IFERROR(__xludf.DUMMYFUNCTION("""COMPUTED_VALUE"""),0.9380081300813)</f>
        <v>0.9380081301</v>
      </c>
      <c r="F38" s="8">
        <f>IFERROR(__xludf.DUMMYFUNCTION("""COMPUTED_VALUE"""),0.465359745458277)</f>
        <v>0.4653597455</v>
      </c>
      <c r="G38" s="8">
        <f>IFERROR(__xludf.DUMMYFUNCTION("""COMPUTED_VALUE"""),0.421450385630726)</f>
        <v>0.4214503856</v>
      </c>
      <c r="H38" s="8">
        <f>IFERROR(__xludf.DUMMYFUNCTION("""COMPUTED_VALUE"""),0.39410998175658)</f>
        <v>0.3941099818</v>
      </c>
      <c r="I38" s="8">
        <f>IFERROR(__xludf.DUMMYFUNCTION("""COMPUTED_VALUE"""),0.376830681698451)</f>
        <v>0.3768306817</v>
      </c>
      <c r="J38" s="8">
        <f>IFERROR(__xludf.DUMMYFUNCTION("""COMPUTED_VALUE"""),0.35902615351903)</f>
        <v>0.3590261535</v>
      </c>
      <c r="K38" s="8">
        <f>IFERROR(__xludf.DUMMYFUNCTION("""COMPUTED_VALUE"""),0.346811819595645)</f>
        <v>0.3468118196</v>
      </c>
      <c r="L38" s="8">
        <f>IFERROR(__xludf.DUMMYFUNCTION("""COMPUTED_VALUE"""),0.338503253796095)</f>
        <v>0.3385032538</v>
      </c>
      <c r="M38" s="8">
        <f>IFERROR(__xludf.DUMMYFUNCTION("""COMPUTED_VALUE"""),0.330975489389702)</f>
        <v>0.3309754894</v>
      </c>
      <c r="N38" s="8">
        <f>IFERROR(__xludf.DUMMYFUNCTION("""COMPUTED_VALUE"""),0.324887979200088)</f>
        <v>0.3248879792</v>
      </c>
      <c r="O38" s="8">
        <f>IFERROR(__xludf.DUMMYFUNCTION("""COMPUTED_VALUE"""),0.307002536723497)</f>
        <v>0.3070025367</v>
      </c>
      <c r="P38" s="8">
        <f>IFERROR(__xludf.DUMMYFUNCTION("""COMPUTED_VALUE"""),0.282659729712581)</f>
        <v>0.2826597297</v>
      </c>
      <c r="Q38" s="8">
        <f>IFERROR(__xludf.DUMMYFUNCTION("""COMPUTED_VALUE"""),0.228552278820375)</f>
        <v>0.2285522788</v>
      </c>
      <c r="R38" s="8">
        <f>IFERROR(__xludf.DUMMYFUNCTION("""COMPUTED_VALUE"""),0.179646596858638)</f>
        <v>0.1796465969</v>
      </c>
      <c r="S38" s="8">
        <f>IFERROR(__xludf.DUMMYFUNCTION("""COMPUTED_VALUE"""),0.143247178740444)</f>
        <v>0.1432471787</v>
      </c>
      <c r="T38" s="8">
        <f>IFERROR(__xludf.DUMMYFUNCTION("""COMPUTED_VALUE"""),0.112419921471378)</f>
        <v>0.1124199215</v>
      </c>
      <c r="U38" s="8">
        <f>IFERROR(__xludf.DUMMYFUNCTION("""COMPUTED_VALUE"""),0.0933601032554137)</f>
        <v>0.09336010326</v>
      </c>
      <c r="V38" s="8">
        <f>IFERROR(__xludf.DUMMYFUNCTION("""COMPUTED_VALUE"""),0.0806192199437072)</f>
        <v>0.08061921994</v>
      </c>
      <c r="W38" s="8">
        <f>IFERROR(__xludf.DUMMYFUNCTION("""COMPUTED_VALUE"""),0.0573174279895257)</f>
        <v>0.05731742799</v>
      </c>
      <c r="X38" s="8">
        <f>IFERROR(__xludf.DUMMYFUNCTION("""COMPUTED_VALUE"""),0.0291925465838509)</f>
        <v>0.02919254658</v>
      </c>
      <c r="Y38" s="8">
        <f>IFERROR(__xludf.DUMMYFUNCTION("""COMPUTED_VALUE"""),0.0)</f>
        <v>0</v>
      </c>
      <c r="Z38" s="8">
        <f>IFERROR(__xludf.DUMMYFUNCTION("""COMPUTED_VALUE"""),0.0)</f>
        <v>0</v>
      </c>
      <c r="AA38" s="8">
        <f>IFERROR(__xludf.DUMMYFUNCTION("""COMPUTED_VALUE"""),0.0)</f>
        <v>0</v>
      </c>
      <c r="AB38" s="8">
        <f>IFERROR(__xludf.DUMMYFUNCTION("""COMPUTED_VALUE"""),0.0)</f>
        <v>0</v>
      </c>
      <c r="AC38" s="8">
        <f>IFERROR(__xludf.DUMMYFUNCTION("""COMPUTED_VALUE"""),0.0)</f>
        <v>0</v>
      </c>
    </row>
    <row r="39" ht="15.75" customHeight="1">
      <c r="A39" s="6" t="str">
        <f>IFERROR(__xludf.DUMMYFUNCTION("""COMPUTED_VALUE"""),"215d4622bad0b1fca5cb36bca9f92b3c41d21f7e")</f>
        <v>215d4622bad0b1fca5cb36bca9f92b3c41d21f7e</v>
      </c>
      <c r="B39" s="6" t="str">
        <f>IFERROR(__xludf.DUMMYFUNCTION("""COMPUTED_VALUE"""),"Aiden's Regression")</f>
        <v>Aiden's Regression</v>
      </c>
      <c r="C39" s="6" t="str">
        <f>IFERROR(__xludf.DUMMYFUNCTION("""COMPUTED_VALUE"""),"System and Superpower")</f>
        <v>System and Superpower</v>
      </c>
      <c r="D39" s="11">
        <f>IFERROR(__xludf.DUMMYFUNCTION("""COMPUTED_VALUE"""),110.0)</f>
        <v>110</v>
      </c>
      <c r="E39" s="8">
        <f>IFERROR(__xludf.DUMMYFUNCTION("""COMPUTED_VALUE"""),0.945454545454545)</f>
        <v>0.9454545455</v>
      </c>
      <c r="F39" s="8">
        <f>IFERROR(__xludf.DUMMYFUNCTION("""COMPUTED_VALUE"""),0.527272727272727)</f>
        <v>0.5272727273</v>
      </c>
      <c r="G39" s="8">
        <f>IFERROR(__xludf.DUMMYFUNCTION("""COMPUTED_VALUE"""),0.509090909090909)</f>
        <v>0.5090909091</v>
      </c>
      <c r="H39" s="8">
        <f>IFERROR(__xludf.DUMMYFUNCTION("""COMPUTED_VALUE"""),0.509090909090909)</f>
        <v>0.5090909091</v>
      </c>
      <c r="I39" s="8">
        <f>IFERROR(__xludf.DUMMYFUNCTION("""COMPUTED_VALUE"""),0.463636363636363)</f>
        <v>0.4636363636</v>
      </c>
      <c r="J39" s="8">
        <f>IFERROR(__xludf.DUMMYFUNCTION("""COMPUTED_VALUE"""),0.454545454545454)</f>
        <v>0.4545454545</v>
      </c>
      <c r="K39" s="8">
        <f>IFERROR(__xludf.DUMMYFUNCTION("""COMPUTED_VALUE"""),0.418181818181818)</f>
        <v>0.4181818182</v>
      </c>
      <c r="L39" s="8">
        <f>IFERROR(__xludf.DUMMYFUNCTION("""COMPUTED_VALUE"""),0.409090909090909)</f>
        <v>0.4090909091</v>
      </c>
      <c r="M39" s="8">
        <f>IFERROR(__xludf.DUMMYFUNCTION("""COMPUTED_VALUE"""),0.403669724770642)</f>
        <v>0.4036697248</v>
      </c>
      <c r="N39" s="8">
        <f>IFERROR(__xludf.DUMMYFUNCTION("""COMPUTED_VALUE"""),0.383177570093457)</f>
        <v>0.3831775701</v>
      </c>
      <c r="O39" s="8">
        <f>IFERROR(__xludf.DUMMYFUNCTION("""COMPUTED_VALUE"""),0.34065934065934)</f>
        <v>0.3406593407</v>
      </c>
      <c r="P39" s="8">
        <f>IFERROR(__xludf.DUMMYFUNCTION("""COMPUTED_VALUE"""),0.210526315789473)</f>
        <v>0.2105263158</v>
      </c>
      <c r="Q39" s="8">
        <f>IFERROR(__xludf.DUMMYFUNCTION("""COMPUTED_VALUE"""),0.0)</f>
        <v>0</v>
      </c>
      <c r="R39" s="8">
        <f>IFERROR(__xludf.DUMMYFUNCTION("""COMPUTED_VALUE"""),0.0)</f>
        <v>0</v>
      </c>
      <c r="S39" s="8">
        <f>IFERROR(__xludf.DUMMYFUNCTION("""COMPUTED_VALUE"""),0.0)</f>
        <v>0</v>
      </c>
      <c r="T39" s="8">
        <f>IFERROR(__xludf.DUMMYFUNCTION("""COMPUTED_VALUE"""),0.0)</f>
        <v>0</v>
      </c>
      <c r="U39" s="8">
        <f>IFERROR(__xludf.DUMMYFUNCTION("""COMPUTED_VALUE"""),0.0)</f>
        <v>0</v>
      </c>
      <c r="V39" s="8">
        <f>IFERROR(__xludf.DUMMYFUNCTION("""COMPUTED_VALUE"""),0.0)</f>
        <v>0</v>
      </c>
      <c r="W39" s="8">
        <f>IFERROR(__xludf.DUMMYFUNCTION("""COMPUTED_VALUE"""),0.0)</f>
        <v>0</v>
      </c>
      <c r="X39" s="8">
        <f>IFERROR(__xludf.DUMMYFUNCTION("""COMPUTED_VALUE"""),0.0)</f>
        <v>0</v>
      </c>
      <c r="Y39" s="8">
        <f>IFERROR(__xludf.DUMMYFUNCTION("""COMPUTED_VALUE"""),0.0)</f>
        <v>0</v>
      </c>
      <c r="Z39" s="8">
        <f>IFERROR(__xludf.DUMMYFUNCTION("""COMPUTED_VALUE"""),0.0)</f>
        <v>0</v>
      </c>
      <c r="AA39" s="8">
        <f>IFERROR(__xludf.DUMMYFUNCTION("""COMPUTED_VALUE"""),0.0)</f>
        <v>0</v>
      </c>
      <c r="AB39" s="8">
        <f>IFERROR(__xludf.DUMMYFUNCTION("""COMPUTED_VALUE"""),0.0)</f>
        <v>0</v>
      </c>
      <c r="AC39" s="8">
        <f>IFERROR(__xludf.DUMMYFUNCTION("""COMPUTED_VALUE"""),0.0)</f>
        <v>0</v>
      </c>
    </row>
    <row r="40" ht="15.75" customHeight="1">
      <c r="A40" s="6" t="str">
        <f>IFERROR(__xludf.DUMMYFUNCTION("""COMPUTED_VALUE"""),"2217881cc8f3c05fb3e0dbf70a118129e4e12471")</f>
        <v>2217881cc8f3c05fb3e0dbf70a118129e4e12471</v>
      </c>
      <c r="B40" s="6" t="str">
        <f>IFERROR(__xludf.DUMMYFUNCTION("""COMPUTED_VALUE"""),"Sevenfold Saint's Rise")</f>
        <v>Sevenfold Saint's Rise</v>
      </c>
      <c r="C40" s="6" t="str">
        <f>IFERROR(__xludf.DUMMYFUNCTION("""COMPUTED_VALUE"""),"Fantasy")</f>
        <v>Fantasy</v>
      </c>
      <c r="D40" s="11">
        <f>IFERROR(__xludf.DUMMYFUNCTION("""COMPUTED_VALUE"""),125.0)</f>
        <v>125</v>
      </c>
      <c r="E40" s="8">
        <f>IFERROR(__xludf.DUMMYFUNCTION("""COMPUTED_VALUE"""),0.952)</f>
        <v>0.952</v>
      </c>
      <c r="F40" s="8">
        <f>IFERROR(__xludf.DUMMYFUNCTION("""COMPUTED_VALUE"""),0.588709677419354)</f>
        <v>0.5887096774</v>
      </c>
      <c r="G40" s="8">
        <f>IFERROR(__xludf.DUMMYFUNCTION("""COMPUTED_VALUE"""),0.5)</f>
        <v>0.5</v>
      </c>
      <c r="H40" s="8">
        <f>IFERROR(__xludf.DUMMYFUNCTION("""COMPUTED_VALUE"""),0.483606557377049)</f>
        <v>0.4836065574</v>
      </c>
      <c r="I40" s="8">
        <f>IFERROR(__xludf.DUMMYFUNCTION("""COMPUTED_VALUE"""),0.418032786885245)</f>
        <v>0.4180327869</v>
      </c>
      <c r="J40" s="8">
        <f>IFERROR(__xludf.DUMMYFUNCTION("""COMPUTED_VALUE"""),0.330508474576271)</f>
        <v>0.3305084746</v>
      </c>
      <c r="K40" s="8">
        <f>IFERROR(__xludf.DUMMYFUNCTION("""COMPUTED_VALUE"""),0.288135593220339)</f>
        <v>0.2881355932</v>
      </c>
      <c r="L40" s="8">
        <f>IFERROR(__xludf.DUMMYFUNCTION("""COMPUTED_VALUE"""),0.279279279279279)</f>
        <v>0.2792792793</v>
      </c>
      <c r="M40" s="8">
        <f>IFERROR(__xludf.DUMMYFUNCTION("""COMPUTED_VALUE"""),0.247524752475247)</f>
        <v>0.2475247525</v>
      </c>
      <c r="N40" s="8">
        <f>IFERROR(__xludf.DUMMYFUNCTION("""COMPUTED_VALUE"""),0.195402298850574)</f>
        <v>0.1954022989</v>
      </c>
      <c r="O40" s="8">
        <f>IFERROR(__xludf.DUMMYFUNCTION("""COMPUTED_VALUE"""),0.0)</f>
        <v>0</v>
      </c>
      <c r="P40" s="8">
        <f>IFERROR(__xludf.DUMMYFUNCTION("""COMPUTED_VALUE"""),0.0)</f>
        <v>0</v>
      </c>
      <c r="Q40" s="8">
        <f>IFERROR(__xludf.DUMMYFUNCTION("""COMPUTED_VALUE"""),0.0)</f>
        <v>0</v>
      </c>
      <c r="R40" s="8">
        <f>IFERROR(__xludf.DUMMYFUNCTION("""COMPUTED_VALUE"""),0.0)</f>
        <v>0</v>
      </c>
      <c r="S40" s="8">
        <f>IFERROR(__xludf.DUMMYFUNCTION("""COMPUTED_VALUE"""),0.0)</f>
        <v>0</v>
      </c>
      <c r="T40" s="8">
        <f>IFERROR(__xludf.DUMMYFUNCTION("""COMPUTED_VALUE"""),0.0)</f>
        <v>0</v>
      </c>
      <c r="U40" s="8">
        <f>IFERROR(__xludf.DUMMYFUNCTION("""COMPUTED_VALUE"""),0.0)</f>
        <v>0</v>
      </c>
      <c r="V40" s="8">
        <f>IFERROR(__xludf.DUMMYFUNCTION("""COMPUTED_VALUE"""),0.0)</f>
        <v>0</v>
      </c>
      <c r="W40" s="8">
        <f>IFERROR(__xludf.DUMMYFUNCTION("""COMPUTED_VALUE"""),0.0)</f>
        <v>0</v>
      </c>
      <c r="X40" s="8">
        <f>IFERROR(__xludf.DUMMYFUNCTION("""COMPUTED_VALUE"""),0.0)</f>
        <v>0</v>
      </c>
      <c r="Y40" s="8">
        <f>IFERROR(__xludf.DUMMYFUNCTION("""COMPUTED_VALUE"""),0.0)</f>
        <v>0</v>
      </c>
      <c r="Z40" s="8">
        <f>IFERROR(__xludf.DUMMYFUNCTION("""COMPUTED_VALUE"""),0.0)</f>
        <v>0</v>
      </c>
      <c r="AA40" s="8">
        <f>IFERROR(__xludf.DUMMYFUNCTION("""COMPUTED_VALUE"""),0.0)</f>
        <v>0</v>
      </c>
      <c r="AB40" s="8">
        <f>IFERROR(__xludf.DUMMYFUNCTION("""COMPUTED_VALUE"""),0.0)</f>
        <v>0</v>
      </c>
      <c r="AC40" s="8">
        <f>IFERROR(__xludf.DUMMYFUNCTION("""COMPUTED_VALUE"""),0.0)</f>
        <v>0</v>
      </c>
    </row>
    <row r="41" ht="15.75" customHeight="1">
      <c r="A41" s="6" t="str">
        <f>IFERROR(__xludf.DUMMYFUNCTION("""COMPUTED_VALUE"""),"23200139c53ab123429a0f621a7519272bf21ea7")</f>
        <v>23200139c53ab123429a0f621a7519272bf21ea7</v>
      </c>
      <c r="B41" s="6" t="str">
        <f>IFERROR(__xludf.DUMMYFUNCTION("""COMPUTED_VALUE"""),"The Fae Lycan Abomination")</f>
        <v>The Fae Lycan Abomination</v>
      </c>
      <c r="C41" s="6" t="str">
        <f>IFERROR(__xludf.DUMMYFUNCTION("""COMPUTED_VALUE"""),"Fantasy")</f>
        <v>Fantasy</v>
      </c>
      <c r="D41" s="11">
        <f>IFERROR(__xludf.DUMMYFUNCTION("""COMPUTED_VALUE"""),291.0)</f>
        <v>291</v>
      </c>
      <c r="E41" s="8">
        <f>IFERROR(__xludf.DUMMYFUNCTION("""COMPUTED_VALUE"""),0.975438596491228)</f>
        <v>0.9754385965</v>
      </c>
      <c r="F41" s="8">
        <f>IFERROR(__xludf.DUMMYFUNCTION("""COMPUTED_VALUE"""),0.446886446886446)</f>
        <v>0.4468864469</v>
      </c>
      <c r="G41" s="8">
        <f>IFERROR(__xludf.DUMMYFUNCTION("""COMPUTED_VALUE"""),0.348314606741573)</f>
        <v>0.3483146067</v>
      </c>
      <c r="H41" s="8">
        <f>IFERROR(__xludf.DUMMYFUNCTION("""COMPUTED_VALUE"""),0.281124497991967)</f>
        <v>0.281124498</v>
      </c>
      <c r="I41" s="8">
        <f>IFERROR(__xludf.DUMMYFUNCTION("""COMPUTED_VALUE"""),0.265560165975103)</f>
        <v>0.265560166</v>
      </c>
      <c r="J41" s="8">
        <f>IFERROR(__xludf.DUMMYFUNCTION("""COMPUTED_VALUE"""),0.240174672489082)</f>
        <v>0.2401746725</v>
      </c>
      <c r="K41" s="8">
        <f>IFERROR(__xludf.DUMMYFUNCTION("""COMPUTED_VALUE"""),0.203703703703703)</f>
        <v>0.2037037037</v>
      </c>
      <c r="L41" s="8">
        <f>IFERROR(__xludf.DUMMYFUNCTION("""COMPUTED_VALUE"""),0.197115384615384)</f>
        <v>0.1971153846</v>
      </c>
      <c r="M41" s="8">
        <f>IFERROR(__xludf.DUMMYFUNCTION("""COMPUTED_VALUE"""),0.188118811881188)</f>
        <v>0.1881188119</v>
      </c>
      <c r="N41" s="8">
        <f>IFERROR(__xludf.DUMMYFUNCTION("""COMPUTED_VALUE"""),0.192513368983957)</f>
        <v>0.192513369</v>
      </c>
      <c r="O41" s="8">
        <f>IFERROR(__xludf.DUMMYFUNCTION("""COMPUTED_VALUE"""),0.151315789473684)</f>
        <v>0.1513157895</v>
      </c>
      <c r="P41" s="8">
        <f>IFERROR(__xludf.DUMMYFUNCTION("""COMPUTED_VALUE"""),0.153846153846153)</f>
        <v>0.1538461538</v>
      </c>
      <c r="Q41" s="8">
        <f>IFERROR(__xludf.DUMMYFUNCTION("""COMPUTED_VALUE"""),0.0)</f>
        <v>0</v>
      </c>
      <c r="R41" s="8">
        <f>IFERROR(__xludf.DUMMYFUNCTION("""COMPUTED_VALUE"""),0.0)</f>
        <v>0</v>
      </c>
      <c r="S41" s="8">
        <f>IFERROR(__xludf.DUMMYFUNCTION("""COMPUTED_VALUE"""),0.0)</f>
        <v>0</v>
      </c>
      <c r="T41" s="8">
        <f>IFERROR(__xludf.DUMMYFUNCTION("""COMPUTED_VALUE"""),0.0)</f>
        <v>0</v>
      </c>
      <c r="U41" s="8">
        <f>IFERROR(__xludf.DUMMYFUNCTION("""COMPUTED_VALUE"""),0.0)</f>
        <v>0</v>
      </c>
      <c r="V41" s="8">
        <f>IFERROR(__xludf.DUMMYFUNCTION("""COMPUTED_VALUE"""),0.0)</f>
        <v>0</v>
      </c>
      <c r="W41" s="8">
        <f>IFERROR(__xludf.DUMMYFUNCTION("""COMPUTED_VALUE"""),0.0)</f>
        <v>0</v>
      </c>
      <c r="X41" s="8">
        <f>IFERROR(__xludf.DUMMYFUNCTION("""COMPUTED_VALUE"""),0.0)</f>
        <v>0</v>
      </c>
      <c r="Y41" s="8">
        <f>IFERROR(__xludf.DUMMYFUNCTION("""COMPUTED_VALUE"""),0.0)</f>
        <v>0</v>
      </c>
      <c r="Z41" s="8">
        <f>IFERROR(__xludf.DUMMYFUNCTION("""COMPUTED_VALUE"""),0.0)</f>
        <v>0</v>
      </c>
      <c r="AA41" s="8">
        <f>IFERROR(__xludf.DUMMYFUNCTION("""COMPUTED_VALUE"""),0.0)</f>
        <v>0</v>
      </c>
      <c r="AB41" s="8">
        <f>IFERROR(__xludf.DUMMYFUNCTION("""COMPUTED_VALUE"""),0.0)</f>
        <v>0</v>
      </c>
      <c r="AC41" s="8">
        <f>IFERROR(__xludf.DUMMYFUNCTION("""COMPUTED_VALUE"""),0.0)</f>
        <v>0</v>
      </c>
    </row>
    <row r="42" ht="15.75" customHeight="1">
      <c r="A42" s="6" t="str">
        <f>IFERROR(__xludf.DUMMYFUNCTION("""COMPUTED_VALUE"""),"234ed47144507d63e9a903acfe37512c24bc9290")</f>
        <v>234ed47144507d63e9a903acfe37512c24bc9290</v>
      </c>
      <c r="B42" s="6" t="str">
        <f>IFERROR(__xludf.DUMMYFUNCTION("""COMPUTED_VALUE"""),"Twists of Love &amp; Revenge")</f>
        <v>Twists of Love &amp; Revenge</v>
      </c>
      <c r="C42" s="6" t="str">
        <f>IFERROR(__xludf.DUMMYFUNCTION("""COMPUTED_VALUE"""),"Drama")</f>
        <v>Drama</v>
      </c>
      <c r="D42" s="11">
        <f>IFERROR(__xludf.DUMMYFUNCTION("""COMPUTED_VALUE"""),29891.0)</f>
        <v>29891</v>
      </c>
      <c r="E42" s="8">
        <f>IFERROR(__xludf.DUMMYFUNCTION("""COMPUTED_VALUE"""),0.913469906942491)</f>
        <v>0.9134699069</v>
      </c>
      <c r="F42" s="8">
        <f>IFERROR(__xludf.DUMMYFUNCTION("""COMPUTED_VALUE"""),0.626888672987369)</f>
        <v>0.626888673</v>
      </c>
      <c r="G42" s="8">
        <f>IFERROR(__xludf.DUMMYFUNCTION("""COMPUTED_VALUE"""),0.56509203071043)</f>
        <v>0.5650920307</v>
      </c>
      <c r="H42" s="8">
        <f>IFERROR(__xludf.DUMMYFUNCTION("""COMPUTED_VALUE"""),0.513190575283614)</f>
        <v>0.5131905753</v>
      </c>
      <c r="I42" s="8">
        <f>IFERROR(__xludf.DUMMYFUNCTION("""COMPUTED_VALUE"""),0.48499916008735)</f>
        <v>0.4849991601</v>
      </c>
      <c r="J42" s="8">
        <f>IFERROR(__xludf.DUMMYFUNCTION("""COMPUTED_VALUE"""),0.467290033971275)</f>
        <v>0.467290034</v>
      </c>
      <c r="K42" s="8">
        <f>IFERROR(__xludf.DUMMYFUNCTION("""COMPUTED_VALUE"""),0.448028553149937)</f>
        <v>0.4480285531</v>
      </c>
      <c r="L42" s="8">
        <f>IFERROR(__xludf.DUMMYFUNCTION("""COMPUTED_VALUE"""),0.433494049023905)</f>
        <v>0.433494049</v>
      </c>
      <c r="M42" s="8">
        <f>IFERROR(__xludf.DUMMYFUNCTION("""COMPUTED_VALUE"""),0.421438217420661)</f>
        <v>0.4214382174</v>
      </c>
      <c r="N42" s="8">
        <f>IFERROR(__xludf.DUMMYFUNCTION("""COMPUTED_VALUE"""),0.413279270146984)</f>
        <v>0.4132792701</v>
      </c>
      <c r="O42" s="8">
        <f>IFERROR(__xludf.DUMMYFUNCTION("""COMPUTED_VALUE"""),0.388964438702658)</f>
        <v>0.3889644387</v>
      </c>
      <c r="P42" s="8">
        <f>IFERROR(__xludf.DUMMYFUNCTION("""COMPUTED_VALUE"""),0.338219570241092)</f>
        <v>0.3382195702</v>
      </c>
      <c r="Q42" s="8">
        <f>IFERROR(__xludf.DUMMYFUNCTION("""COMPUTED_VALUE"""),0.270752710664853)</f>
        <v>0.2707527107</v>
      </c>
      <c r="R42" s="8">
        <f>IFERROR(__xludf.DUMMYFUNCTION("""COMPUTED_VALUE"""),0.213986849970113)</f>
        <v>0.21398685</v>
      </c>
      <c r="S42" s="8">
        <f>IFERROR(__xludf.DUMMYFUNCTION("""COMPUTED_VALUE"""),0.192799688175472)</f>
        <v>0.1927996882</v>
      </c>
      <c r="T42" s="8">
        <f>IFERROR(__xludf.DUMMYFUNCTION("""COMPUTED_VALUE"""),0.181208293187738)</f>
        <v>0.1812082932</v>
      </c>
      <c r="U42" s="8">
        <f>IFERROR(__xludf.DUMMYFUNCTION("""COMPUTED_VALUE"""),0.164505906078939)</f>
        <v>0.1645059061</v>
      </c>
      <c r="V42" s="8">
        <f>IFERROR(__xludf.DUMMYFUNCTION("""COMPUTED_VALUE"""),0.150137849547065)</f>
        <v>0.1501378495</v>
      </c>
      <c r="W42" s="8">
        <f>IFERROR(__xludf.DUMMYFUNCTION("""COMPUTED_VALUE"""),0.138355428901829)</f>
        <v>0.1383554289</v>
      </c>
      <c r="X42" s="8">
        <f>IFERROR(__xludf.DUMMYFUNCTION("""COMPUTED_VALUE"""),0.125817793404245)</f>
        <v>0.1258177934</v>
      </c>
      <c r="Y42" s="8">
        <f>IFERROR(__xludf.DUMMYFUNCTION("""COMPUTED_VALUE"""),0.111972311592083)</f>
        <v>0.1119723116</v>
      </c>
      <c r="Z42" s="8">
        <f>IFERROR(__xludf.DUMMYFUNCTION("""COMPUTED_VALUE"""),0.0918983622612764)</f>
        <v>0.09189836226</v>
      </c>
      <c r="AA42" s="8">
        <f>IFERROR(__xludf.DUMMYFUNCTION("""COMPUTED_VALUE"""),0.0587964030435785)</f>
        <v>0.05879640304</v>
      </c>
      <c r="AB42" s="8">
        <f>IFERROR(__xludf.DUMMYFUNCTION("""COMPUTED_VALUE"""),0.0425531914893617)</f>
        <v>0.04255319149</v>
      </c>
      <c r="AC42" s="8">
        <f>IFERROR(__xludf.DUMMYFUNCTION("""COMPUTED_VALUE"""),0.0)</f>
        <v>0</v>
      </c>
    </row>
    <row r="43" ht="15.75" customHeight="1">
      <c r="A43" s="6" t="str">
        <f>IFERROR(__xludf.DUMMYFUNCTION("""COMPUTED_VALUE"""),"239987644f409ac822be4ca9051a98eb8bf7e766")</f>
        <v>239987644f409ac822be4ca9051a98eb8bf7e766</v>
      </c>
      <c r="B43" s="6" t="str">
        <f>IFERROR(__xludf.DUMMYFUNCTION("""COMPUTED_VALUE"""),"The Silent Rebirth")</f>
        <v>The Silent Rebirth</v>
      </c>
      <c r="C43" s="6" t="str">
        <f>IFERROR(__xludf.DUMMYFUNCTION("""COMPUTED_VALUE"""),"Romantasy")</f>
        <v>Romantasy</v>
      </c>
      <c r="D43" s="11">
        <f>IFERROR(__xludf.DUMMYFUNCTION("""COMPUTED_VALUE"""),10378.0)</f>
        <v>10378</v>
      </c>
      <c r="E43" s="8">
        <f>IFERROR(__xludf.DUMMYFUNCTION("""COMPUTED_VALUE"""),0.935036144578313)</f>
        <v>0.9350361446</v>
      </c>
      <c r="F43" s="8">
        <f>IFERROR(__xludf.DUMMYFUNCTION("""COMPUTED_VALUE"""),0.54412190182274)</f>
        <v>0.5441219018</v>
      </c>
      <c r="G43" s="8">
        <f>IFERROR(__xludf.DUMMYFUNCTION("""COMPUTED_VALUE"""),0.480509455808568)</f>
        <v>0.4805094558</v>
      </c>
      <c r="H43" s="8">
        <f>IFERROR(__xludf.DUMMYFUNCTION("""COMPUTED_VALUE"""),0.449860052118521)</f>
        <v>0.4498600521</v>
      </c>
      <c r="I43" s="8">
        <f>IFERROR(__xludf.DUMMYFUNCTION("""COMPUTED_VALUE"""),0.432750796562711)</f>
        <v>0.4327507966</v>
      </c>
      <c r="J43" s="8">
        <f>IFERROR(__xludf.DUMMYFUNCTION("""COMPUTED_VALUE"""),0.41122488408037)</f>
        <v>0.4112248841</v>
      </c>
      <c r="K43" s="8">
        <f>IFERROR(__xludf.DUMMYFUNCTION("""COMPUTED_VALUE"""),0.385812312747656)</f>
        <v>0.3858123127</v>
      </c>
      <c r="L43" s="8">
        <f>IFERROR(__xludf.DUMMYFUNCTION("""COMPUTED_VALUE"""),0.375447075882068)</f>
        <v>0.3754470759</v>
      </c>
      <c r="M43" s="8">
        <f>IFERROR(__xludf.DUMMYFUNCTION("""COMPUTED_VALUE"""),0.366212165167778)</f>
        <v>0.3662121652</v>
      </c>
      <c r="N43" s="8">
        <f>IFERROR(__xludf.DUMMYFUNCTION("""COMPUTED_VALUE"""),0.356976969227791)</f>
        <v>0.3569769692</v>
      </c>
      <c r="O43" s="8">
        <f>IFERROR(__xludf.DUMMYFUNCTION("""COMPUTED_VALUE"""),0.342393942335695)</f>
        <v>0.3423939423</v>
      </c>
      <c r="P43" s="8">
        <f>IFERROR(__xludf.DUMMYFUNCTION("""COMPUTED_VALUE"""),0.293991416309012)</f>
        <v>0.2939914163</v>
      </c>
      <c r="Q43" s="8">
        <f>IFERROR(__xludf.DUMMYFUNCTION("""COMPUTED_VALUE"""),0.222551635537108)</f>
        <v>0.2225516355</v>
      </c>
      <c r="R43" s="8">
        <f>IFERROR(__xludf.DUMMYFUNCTION("""COMPUTED_VALUE"""),0.189885598203784)</f>
        <v>0.1898855982</v>
      </c>
      <c r="S43" s="8">
        <f>IFERROR(__xludf.DUMMYFUNCTION("""COMPUTED_VALUE"""),0.166518367865768)</f>
        <v>0.1665183679</v>
      </c>
      <c r="T43" s="8">
        <f>IFERROR(__xludf.DUMMYFUNCTION("""COMPUTED_VALUE"""),0.142832529290144)</f>
        <v>0.1428325293</v>
      </c>
      <c r="U43" s="8">
        <f>IFERROR(__xludf.DUMMYFUNCTION("""COMPUTED_VALUE"""),0.130248675091724)</f>
        <v>0.1302486751</v>
      </c>
      <c r="V43" s="8">
        <f>IFERROR(__xludf.DUMMYFUNCTION("""COMPUTED_VALUE"""),0.117556468172484)</f>
        <v>0.1175564682</v>
      </c>
      <c r="W43" s="8">
        <f>IFERROR(__xludf.DUMMYFUNCTION("""COMPUTED_VALUE"""),0.0972274971515381)</f>
        <v>0.09722749715</v>
      </c>
      <c r="X43" s="8">
        <f>IFERROR(__xludf.DUMMYFUNCTION("""COMPUTED_VALUE"""),0.0635564570655848)</f>
        <v>0.06355645707</v>
      </c>
      <c r="Y43" s="8">
        <f>IFERROR(__xludf.DUMMYFUNCTION("""COMPUTED_VALUE"""),0.0)</f>
        <v>0</v>
      </c>
      <c r="Z43" s="8">
        <f>IFERROR(__xludf.DUMMYFUNCTION("""COMPUTED_VALUE"""),0.0)</f>
        <v>0</v>
      </c>
      <c r="AA43" s="8">
        <f>IFERROR(__xludf.DUMMYFUNCTION("""COMPUTED_VALUE"""),0.0)</f>
        <v>0</v>
      </c>
      <c r="AB43" s="8">
        <f>IFERROR(__xludf.DUMMYFUNCTION("""COMPUTED_VALUE"""),0.0)</f>
        <v>0</v>
      </c>
      <c r="AC43" s="8">
        <f>IFERROR(__xludf.DUMMYFUNCTION("""COMPUTED_VALUE"""),0.0)</f>
        <v>0</v>
      </c>
    </row>
    <row r="44" ht="15.75" customHeight="1">
      <c r="A44" s="6" t="str">
        <f>IFERROR(__xludf.DUMMYFUNCTION("""COMPUTED_VALUE"""),"239fafc880752526fba110a11c49b101aec7192f")</f>
        <v>239fafc880752526fba110a11c49b101aec7192f</v>
      </c>
      <c r="B44" s="6" t="str">
        <f>IFERROR(__xludf.DUMMYFUNCTION("""COMPUTED_VALUE"""),"Mama's Lil Kings")</f>
        <v>Mama's Lil Kings</v>
      </c>
      <c r="C44" s="6" t="str">
        <f>IFERROR(__xludf.DUMMYFUNCTION("""COMPUTED_VALUE"""),"Drama")</f>
        <v>Drama</v>
      </c>
      <c r="D44" s="11">
        <f>IFERROR(__xludf.DUMMYFUNCTION("""COMPUTED_VALUE"""),197.0)</f>
        <v>197</v>
      </c>
      <c r="E44" s="8">
        <f>IFERROR(__xludf.DUMMYFUNCTION("""COMPUTED_VALUE"""),0.916666666666666)</f>
        <v>0.9166666667</v>
      </c>
      <c r="F44" s="8">
        <f>IFERROR(__xludf.DUMMYFUNCTION("""COMPUTED_VALUE"""),0.203125)</f>
        <v>0.203125</v>
      </c>
      <c r="G44" s="8">
        <f>IFERROR(__xludf.DUMMYFUNCTION("""COMPUTED_VALUE"""),0.175531914893617)</f>
        <v>0.1755319149</v>
      </c>
      <c r="H44" s="8">
        <f>IFERROR(__xludf.DUMMYFUNCTION("""COMPUTED_VALUE"""),0.14516129032258)</f>
        <v>0.1451612903</v>
      </c>
      <c r="I44" s="8">
        <f>IFERROR(__xludf.DUMMYFUNCTION("""COMPUTED_VALUE"""),0.134408602150537)</f>
        <v>0.1344086022</v>
      </c>
      <c r="J44" s="8">
        <f>IFERROR(__xludf.DUMMYFUNCTION("""COMPUTED_VALUE"""),0.109890109890109)</f>
        <v>0.1098901099</v>
      </c>
      <c r="K44" s="8">
        <f>IFERROR(__xludf.DUMMYFUNCTION("""COMPUTED_VALUE"""),0.111731843575418)</f>
        <v>0.1117318436</v>
      </c>
      <c r="L44" s="8">
        <f>IFERROR(__xludf.DUMMYFUNCTION("""COMPUTED_VALUE"""),0.104651162790697)</f>
        <v>0.1046511628</v>
      </c>
      <c r="M44" s="8">
        <f>IFERROR(__xludf.DUMMYFUNCTION("""COMPUTED_VALUE"""),0.116279069767441)</f>
        <v>0.1162790698</v>
      </c>
      <c r="N44" s="8">
        <f>IFERROR(__xludf.DUMMYFUNCTION("""COMPUTED_VALUE"""),0.11377245508982)</f>
        <v>0.1137724551</v>
      </c>
      <c r="O44" s="8">
        <f>IFERROR(__xludf.DUMMYFUNCTION("""COMPUTED_VALUE"""),0.109677419354838)</f>
        <v>0.1096774194</v>
      </c>
      <c r="P44" s="8">
        <f>IFERROR(__xludf.DUMMYFUNCTION("""COMPUTED_VALUE"""),0.0675675675675675)</f>
        <v>0.06756756757</v>
      </c>
      <c r="Q44" s="8">
        <f>IFERROR(__xludf.DUMMYFUNCTION("""COMPUTED_VALUE"""),0.0534351145038167)</f>
        <v>0.0534351145</v>
      </c>
      <c r="R44" s="8">
        <f>IFERROR(__xludf.DUMMYFUNCTION("""COMPUTED_VALUE"""),0.0583333333333333)</f>
        <v>0.05833333333</v>
      </c>
      <c r="S44" s="8">
        <f>IFERROR(__xludf.DUMMYFUNCTION("""COMPUTED_VALUE"""),0.0654205607476635)</f>
        <v>0.06542056075</v>
      </c>
      <c r="T44" s="8">
        <f>IFERROR(__xludf.DUMMYFUNCTION("""COMPUTED_VALUE"""),0.0714285714285714)</f>
        <v>0.07142857143</v>
      </c>
      <c r="U44" s="8">
        <f>IFERROR(__xludf.DUMMYFUNCTION("""COMPUTED_VALUE"""),0.0864197530864197)</f>
        <v>0.08641975309</v>
      </c>
      <c r="V44" s="8">
        <f>IFERROR(__xludf.DUMMYFUNCTION("""COMPUTED_VALUE"""),0.0434782608695652)</f>
        <v>0.04347826087</v>
      </c>
      <c r="W44" s="8">
        <f>IFERROR(__xludf.DUMMYFUNCTION("""COMPUTED_VALUE"""),0.0512820512820512)</f>
        <v>0.05128205128</v>
      </c>
      <c r="X44" s="8">
        <f>IFERROR(__xludf.DUMMYFUNCTION("""COMPUTED_VALUE"""),0.027027027027027)</f>
        <v>0.02702702703</v>
      </c>
      <c r="Y44" s="8">
        <f>IFERROR(__xludf.DUMMYFUNCTION("""COMPUTED_VALUE"""),0.0625)</f>
        <v>0.0625</v>
      </c>
      <c r="Z44" s="8">
        <f>IFERROR(__xludf.DUMMYFUNCTION("""COMPUTED_VALUE"""),0.0)</f>
        <v>0</v>
      </c>
      <c r="AA44" s="8">
        <f>IFERROR(__xludf.DUMMYFUNCTION("""COMPUTED_VALUE"""),0.0)</f>
        <v>0</v>
      </c>
      <c r="AB44" s="8">
        <f>IFERROR(__xludf.DUMMYFUNCTION("""COMPUTED_VALUE"""),0.0)</f>
        <v>0</v>
      </c>
      <c r="AC44" s="8">
        <f>IFERROR(__xludf.DUMMYFUNCTION("""COMPUTED_VALUE"""),0.0)</f>
        <v>0</v>
      </c>
    </row>
    <row r="45" ht="15.75" customHeight="1">
      <c r="A45" s="6" t="str">
        <f>IFERROR(__xludf.DUMMYFUNCTION("""COMPUTED_VALUE"""),"23a0bb3d5deb8d4707bdb34175170e288d724c97")</f>
        <v>23a0bb3d5deb8d4707bdb34175170e288d724c97</v>
      </c>
      <c r="B45" s="6" t="str">
        <f>IFERROR(__xludf.DUMMYFUNCTION("""COMPUTED_VALUE"""),"System of Super Tech")</f>
        <v>System of Super Tech</v>
      </c>
      <c r="C45" s="6" t="str">
        <f>IFERROR(__xludf.DUMMYFUNCTION("""COMPUTED_VALUE"""),"System and Superpower")</f>
        <v>System and Superpower</v>
      </c>
      <c r="D45" s="11">
        <f>IFERROR(__xludf.DUMMYFUNCTION("""COMPUTED_VALUE"""),42.0)</f>
        <v>42</v>
      </c>
      <c r="E45" s="8">
        <f>IFERROR(__xludf.DUMMYFUNCTION("""COMPUTED_VALUE"""),1.0)</f>
        <v>1</v>
      </c>
      <c r="F45" s="8">
        <f>IFERROR(__xludf.DUMMYFUNCTION("""COMPUTED_VALUE"""),0.390243902439024)</f>
        <v>0.3902439024</v>
      </c>
      <c r="G45" s="8">
        <f>IFERROR(__xludf.DUMMYFUNCTION("""COMPUTED_VALUE"""),0.317073170731707)</f>
        <v>0.3170731707</v>
      </c>
      <c r="H45" s="8">
        <f>IFERROR(__xludf.DUMMYFUNCTION("""COMPUTED_VALUE"""),0.282051282051282)</f>
        <v>0.2820512821</v>
      </c>
      <c r="I45" s="8">
        <f>IFERROR(__xludf.DUMMYFUNCTION("""COMPUTED_VALUE"""),0.263157894736842)</f>
        <v>0.2631578947</v>
      </c>
      <c r="J45" s="8">
        <f>IFERROR(__xludf.DUMMYFUNCTION("""COMPUTED_VALUE"""),0.228571428571428)</f>
        <v>0.2285714286</v>
      </c>
      <c r="K45" s="8">
        <f>IFERROR(__xludf.DUMMYFUNCTION("""COMPUTED_VALUE"""),0.176470588235294)</f>
        <v>0.1764705882</v>
      </c>
      <c r="L45" s="8">
        <f>IFERROR(__xludf.DUMMYFUNCTION("""COMPUTED_VALUE"""),0.151515151515151)</f>
        <v>0.1515151515</v>
      </c>
      <c r="M45" s="8">
        <f>IFERROR(__xludf.DUMMYFUNCTION("""COMPUTED_VALUE"""),0.125)</f>
        <v>0.125</v>
      </c>
      <c r="N45" s="8">
        <f>IFERROR(__xludf.DUMMYFUNCTION("""COMPUTED_VALUE"""),0.125)</f>
        <v>0.125</v>
      </c>
      <c r="O45" s="8">
        <f>IFERROR(__xludf.DUMMYFUNCTION("""COMPUTED_VALUE"""),0.214285714285714)</f>
        <v>0.2142857143</v>
      </c>
      <c r="P45" s="8">
        <f>IFERROR(__xludf.DUMMYFUNCTION("""COMPUTED_VALUE"""),0.0833333333333333)</f>
        <v>0.08333333333</v>
      </c>
      <c r="Q45" s="8">
        <f>IFERROR(__xludf.DUMMYFUNCTION("""COMPUTED_VALUE"""),0.142857142857142)</f>
        <v>0.1428571429</v>
      </c>
      <c r="R45" s="8">
        <f>IFERROR(__xludf.DUMMYFUNCTION("""COMPUTED_VALUE"""),0.0)</f>
        <v>0</v>
      </c>
      <c r="S45" s="8">
        <f>IFERROR(__xludf.DUMMYFUNCTION("""COMPUTED_VALUE"""),0.0)</f>
        <v>0</v>
      </c>
      <c r="T45" s="8">
        <f>IFERROR(__xludf.DUMMYFUNCTION("""COMPUTED_VALUE"""),0.0)</f>
        <v>0</v>
      </c>
      <c r="U45" s="8">
        <f>IFERROR(__xludf.DUMMYFUNCTION("""COMPUTED_VALUE"""),0.0)</f>
        <v>0</v>
      </c>
      <c r="V45" s="8">
        <f>IFERROR(__xludf.DUMMYFUNCTION("""COMPUTED_VALUE"""),0.0)</f>
        <v>0</v>
      </c>
      <c r="W45" s="8">
        <f>IFERROR(__xludf.DUMMYFUNCTION("""COMPUTED_VALUE"""),0.0)</f>
        <v>0</v>
      </c>
      <c r="X45" s="8">
        <f>IFERROR(__xludf.DUMMYFUNCTION("""COMPUTED_VALUE"""),0.0)</f>
        <v>0</v>
      </c>
      <c r="Y45" s="8">
        <f>IFERROR(__xludf.DUMMYFUNCTION("""COMPUTED_VALUE"""),0.0)</f>
        <v>0</v>
      </c>
      <c r="Z45" s="8">
        <f>IFERROR(__xludf.DUMMYFUNCTION("""COMPUTED_VALUE"""),0.0)</f>
        <v>0</v>
      </c>
      <c r="AA45" s="8">
        <f>IFERROR(__xludf.DUMMYFUNCTION("""COMPUTED_VALUE"""),0.0)</f>
        <v>0</v>
      </c>
      <c r="AB45" s="8">
        <f>IFERROR(__xludf.DUMMYFUNCTION("""COMPUTED_VALUE"""),0.0)</f>
        <v>0</v>
      </c>
      <c r="AC45" s="8">
        <f>IFERROR(__xludf.DUMMYFUNCTION("""COMPUTED_VALUE"""),0.0)</f>
        <v>0</v>
      </c>
    </row>
    <row r="46" ht="15.75" customHeight="1">
      <c r="A46" s="6" t="str">
        <f>IFERROR(__xludf.DUMMYFUNCTION("""COMPUTED_VALUE"""),"247dcedeaecc161909c6ddd57b599f4e38d758d8")</f>
        <v>247dcedeaecc161909c6ddd57b599f4e38d758d8</v>
      </c>
      <c r="B46" s="6" t="str">
        <f>IFERROR(__xludf.DUMMYFUNCTION("""COMPUTED_VALUE"""),"A Christmas of Betrayals")</f>
        <v>A Christmas of Betrayals</v>
      </c>
      <c r="C46" s="6" t="str">
        <f>IFERROR(__xludf.DUMMYFUNCTION("""COMPUTED_VALUE"""),"Romance")</f>
        <v>Romance</v>
      </c>
      <c r="D46" s="11">
        <f>IFERROR(__xludf.DUMMYFUNCTION("""COMPUTED_VALUE"""),652.0)</f>
        <v>652</v>
      </c>
      <c r="E46" s="8">
        <f>IFERROR(__xludf.DUMMYFUNCTION("""COMPUTED_VALUE"""),0.958588957055214)</f>
        <v>0.9585889571</v>
      </c>
      <c r="F46" s="8">
        <f>IFERROR(__xludf.DUMMYFUNCTION("""COMPUTED_VALUE"""),0.567692307692307)</f>
        <v>0.5676923077</v>
      </c>
      <c r="G46" s="8">
        <f>IFERROR(__xludf.DUMMYFUNCTION("""COMPUTED_VALUE"""),0.506153846153846)</f>
        <v>0.5061538462</v>
      </c>
      <c r="H46" s="8">
        <f>IFERROR(__xludf.DUMMYFUNCTION("""COMPUTED_VALUE"""),0.453004622496147)</f>
        <v>0.4530046225</v>
      </c>
      <c r="I46" s="8">
        <f>IFERROR(__xludf.DUMMYFUNCTION("""COMPUTED_VALUE"""),0.402157164869029)</f>
        <v>0.4021571649</v>
      </c>
      <c r="J46" s="8">
        <f>IFERROR(__xludf.DUMMYFUNCTION("""COMPUTED_VALUE"""),0.36517719568567)</f>
        <v>0.3651771957</v>
      </c>
      <c r="K46" s="8">
        <f>IFERROR(__xludf.DUMMYFUNCTION("""COMPUTED_VALUE"""),0.35130970724191)</f>
        <v>0.3513097072</v>
      </c>
      <c r="L46" s="8">
        <f>IFERROR(__xludf.DUMMYFUNCTION("""COMPUTED_VALUE"""),0.314375987361769)</f>
        <v>0.3143759874</v>
      </c>
      <c r="M46" s="8">
        <f>IFERROR(__xludf.DUMMYFUNCTION("""COMPUTED_VALUE"""),0.297124600638977)</f>
        <v>0.2971246006</v>
      </c>
      <c r="N46" s="8">
        <f>IFERROR(__xludf.DUMMYFUNCTION("""COMPUTED_VALUE"""),0.283413848631239)</f>
        <v>0.2834138486</v>
      </c>
      <c r="O46" s="8">
        <f>IFERROR(__xludf.DUMMYFUNCTION("""COMPUTED_VALUE"""),0.231270358306188)</f>
        <v>0.2312703583</v>
      </c>
      <c r="P46" s="8">
        <f>IFERROR(__xludf.DUMMYFUNCTION("""COMPUTED_VALUE"""),0.121052631578947)</f>
        <v>0.1210526316</v>
      </c>
      <c r="Q46" s="8">
        <f>IFERROR(__xludf.DUMMYFUNCTION("""COMPUTED_VALUE"""),0.09375)</f>
        <v>0.09375</v>
      </c>
      <c r="R46" s="8">
        <f>IFERROR(__xludf.DUMMYFUNCTION("""COMPUTED_VALUE"""),0.0)</f>
        <v>0</v>
      </c>
      <c r="S46" s="8">
        <f>IFERROR(__xludf.DUMMYFUNCTION("""COMPUTED_VALUE"""),0.0)</f>
        <v>0</v>
      </c>
      <c r="T46" s="8">
        <f>IFERROR(__xludf.DUMMYFUNCTION("""COMPUTED_VALUE"""),0.0)</f>
        <v>0</v>
      </c>
      <c r="U46" s="8">
        <f>IFERROR(__xludf.DUMMYFUNCTION("""COMPUTED_VALUE"""),0.0)</f>
        <v>0</v>
      </c>
      <c r="V46" s="8">
        <f>IFERROR(__xludf.DUMMYFUNCTION("""COMPUTED_VALUE"""),0.0)</f>
        <v>0</v>
      </c>
      <c r="W46" s="8">
        <f>IFERROR(__xludf.DUMMYFUNCTION("""COMPUTED_VALUE"""),0.0)</f>
        <v>0</v>
      </c>
      <c r="X46" s="8">
        <f>IFERROR(__xludf.DUMMYFUNCTION("""COMPUTED_VALUE"""),0.0)</f>
        <v>0</v>
      </c>
      <c r="Y46" s="8">
        <f>IFERROR(__xludf.DUMMYFUNCTION("""COMPUTED_VALUE"""),0.0)</f>
        <v>0</v>
      </c>
      <c r="Z46" s="8">
        <f>IFERROR(__xludf.DUMMYFUNCTION("""COMPUTED_VALUE"""),0.0)</f>
        <v>0</v>
      </c>
      <c r="AA46" s="8">
        <f>IFERROR(__xludf.DUMMYFUNCTION("""COMPUTED_VALUE"""),0.0)</f>
        <v>0</v>
      </c>
      <c r="AB46" s="8">
        <f>IFERROR(__xludf.DUMMYFUNCTION("""COMPUTED_VALUE"""),0.0)</f>
        <v>0</v>
      </c>
      <c r="AC46" s="8">
        <f>IFERROR(__xludf.DUMMYFUNCTION("""COMPUTED_VALUE"""),0.0)</f>
        <v>0</v>
      </c>
    </row>
    <row r="47" ht="15.75" customHeight="1">
      <c r="A47" s="6" t="str">
        <f>IFERROR(__xludf.DUMMYFUNCTION("""COMPUTED_VALUE"""),"248aae390e84177edc04ecc06fac6c17aed375ff")</f>
        <v>248aae390e84177edc04ecc06fac6c17aed375ff</v>
      </c>
      <c r="B47" s="6" t="str">
        <f>IFERROR(__xludf.DUMMYFUNCTION("""COMPUTED_VALUE"""),"Silver Onyx: Dragonbound")</f>
        <v>Silver Onyx: Dragonbound</v>
      </c>
      <c r="C47" s="6" t="str">
        <f>IFERROR(__xludf.DUMMYFUNCTION("""COMPUTED_VALUE"""),"Romantasy")</f>
        <v>Romantasy</v>
      </c>
      <c r="D47" s="11">
        <f>IFERROR(__xludf.DUMMYFUNCTION("""COMPUTED_VALUE"""),878.0)</f>
        <v>878</v>
      </c>
      <c r="E47" s="8">
        <f>IFERROR(__xludf.DUMMYFUNCTION("""COMPUTED_VALUE"""),0.964449541284403)</f>
        <v>0.9644495413</v>
      </c>
      <c r="F47" s="8">
        <f>IFERROR(__xludf.DUMMYFUNCTION("""COMPUTED_VALUE"""),0.487603305785123)</f>
        <v>0.4876033058</v>
      </c>
      <c r="G47" s="8">
        <f>IFERROR(__xludf.DUMMYFUNCTION("""COMPUTED_VALUE"""),0.442446043165467)</f>
        <v>0.4424460432</v>
      </c>
      <c r="H47" s="8">
        <f>IFERROR(__xludf.DUMMYFUNCTION("""COMPUTED_VALUE"""),0.414215686274509)</f>
        <v>0.4142156863</v>
      </c>
      <c r="I47" s="8">
        <f>IFERROR(__xludf.DUMMYFUNCTION("""COMPUTED_VALUE"""),0.396786155747836)</f>
        <v>0.3967861557</v>
      </c>
      <c r="J47" s="8">
        <f>IFERROR(__xludf.DUMMYFUNCTION("""COMPUTED_VALUE"""),0.388264669163545)</f>
        <v>0.3882646692</v>
      </c>
      <c r="K47" s="8">
        <f>IFERROR(__xludf.DUMMYFUNCTION("""COMPUTED_VALUE"""),0.378960709759188)</f>
        <v>0.3789607098</v>
      </c>
      <c r="L47" s="8">
        <f>IFERROR(__xludf.DUMMYFUNCTION("""COMPUTED_VALUE"""),0.371173469387755)</f>
        <v>0.3711734694</v>
      </c>
      <c r="M47" s="8">
        <f>IFERROR(__xludf.DUMMYFUNCTION("""COMPUTED_VALUE"""),0.36036036036036)</f>
        <v>0.3603603604</v>
      </c>
      <c r="N47" s="8">
        <f>IFERROR(__xludf.DUMMYFUNCTION("""COMPUTED_VALUE"""),0.353866317169069)</f>
        <v>0.3538663172</v>
      </c>
      <c r="O47" s="8">
        <f>IFERROR(__xludf.DUMMYFUNCTION("""COMPUTED_VALUE"""),0.439306358381502)</f>
        <v>0.4393063584</v>
      </c>
      <c r="P47" s="8">
        <f>IFERROR(__xludf.DUMMYFUNCTION("""COMPUTED_VALUE"""),0.423076923076923)</f>
        <v>0.4230769231</v>
      </c>
      <c r="Q47" s="8">
        <f>IFERROR(__xludf.DUMMYFUNCTION("""COMPUTED_VALUE"""),0.0)</f>
        <v>0</v>
      </c>
      <c r="R47" s="8">
        <f>IFERROR(__xludf.DUMMYFUNCTION("""COMPUTED_VALUE"""),0.0)</f>
        <v>0</v>
      </c>
      <c r="S47" s="8">
        <f>IFERROR(__xludf.DUMMYFUNCTION("""COMPUTED_VALUE"""),0.0)</f>
        <v>0</v>
      </c>
      <c r="T47" s="8">
        <f>IFERROR(__xludf.DUMMYFUNCTION("""COMPUTED_VALUE"""),0.0)</f>
        <v>0</v>
      </c>
      <c r="U47" s="8">
        <f>IFERROR(__xludf.DUMMYFUNCTION("""COMPUTED_VALUE"""),0.0)</f>
        <v>0</v>
      </c>
      <c r="V47" s="8">
        <f>IFERROR(__xludf.DUMMYFUNCTION("""COMPUTED_VALUE"""),0.0)</f>
        <v>0</v>
      </c>
      <c r="W47" s="8">
        <f>IFERROR(__xludf.DUMMYFUNCTION("""COMPUTED_VALUE"""),0.0)</f>
        <v>0</v>
      </c>
      <c r="X47" s="8">
        <f>IFERROR(__xludf.DUMMYFUNCTION("""COMPUTED_VALUE"""),0.0)</f>
        <v>0</v>
      </c>
      <c r="Y47" s="8">
        <f>IFERROR(__xludf.DUMMYFUNCTION("""COMPUTED_VALUE"""),0.0)</f>
        <v>0</v>
      </c>
      <c r="Z47" s="8">
        <f>IFERROR(__xludf.DUMMYFUNCTION("""COMPUTED_VALUE"""),0.0)</f>
        <v>0</v>
      </c>
      <c r="AA47" s="8">
        <f>IFERROR(__xludf.DUMMYFUNCTION("""COMPUTED_VALUE"""),0.0)</f>
        <v>0</v>
      </c>
      <c r="AB47" s="8">
        <f>IFERROR(__xludf.DUMMYFUNCTION("""COMPUTED_VALUE"""),0.0)</f>
        <v>0</v>
      </c>
      <c r="AC47" s="8">
        <f>IFERROR(__xludf.DUMMYFUNCTION("""COMPUTED_VALUE"""),0.0)</f>
        <v>0</v>
      </c>
    </row>
    <row r="48" ht="15.75" customHeight="1">
      <c r="A48" s="6" t="str">
        <f>IFERROR(__xludf.DUMMYFUNCTION("""COMPUTED_VALUE"""),"248ba0ec55862a22dd7993c8b49d5f052ce03954")</f>
        <v>248ba0ec55862a22dd7993c8b49d5f052ce03954</v>
      </c>
      <c r="B48" s="6" t="str">
        <f>IFERROR(__xludf.DUMMYFUNCTION("""COMPUTED_VALUE"""),"The Silent Sovereign")</f>
        <v>The Silent Sovereign</v>
      </c>
      <c r="C48" s="6" t="str">
        <f>IFERROR(__xludf.DUMMYFUNCTION("""COMPUTED_VALUE"""),"Fantasy")</f>
        <v>Fantasy</v>
      </c>
      <c r="D48" s="11">
        <f>IFERROR(__xludf.DUMMYFUNCTION("""COMPUTED_VALUE"""),276.0)</f>
        <v>276</v>
      </c>
      <c r="E48" s="8">
        <f>IFERROR(__xludf.DUMMYFUNCTION("""COMPUTED_VALUE"""),0.945652173913043)</f>
        <v>0.9456521739</v>
      </c>
      <c r="F48" s="8">
        <f>IFERROR(__xludf.DUMMYFUNCTION("""COMPUTED_VALUE"""),0.638686131386861)</f>
        <v>0.6386861314</v>
      </c>
      <c r="G48" s="8">
        <f>IFERROR(__xludf.DUMMYFUNCTION("""COMPUTED_VALUE"""),0.575091575091575)</f>
        <v>0.5750915751</v>
      </c>
      <c r="H48" s="8">
        <f>IFERROR(__xludf.DUMMYFUNCTION("""COMPUTED_VALUE"""),0.53903345724907)</f>
        <v>0.5390334572</v>
      </c>
      <c r="I48" s="8">
        <f>IFERROR(__xludf.DUMMYFUNCTION("""COMPUTED_VALUE"""),0.466165413533834)</f>
        <v>0.4661654135</v>
      </c>
      <c r="J48" s="8">
        <f>IFERROR(__xludf.DUMMYFUNCTION("""COMPUTED_VALUE"""),0.422310756972111)</f>
        <v>0.422310757</v>
      </c>
      <c r="K48" s="8">
        <f>IFERROR(__xludf.DUMMYFUNCTION("""COMPUTED_VALUE"""),0.383966244725738)</f>
        <v>0.3839662447</v>
      </c>
      <c r="L48" s="8">
        <f>IFERROR(__xludf.DUMMYFUNCTION("""COMPUTED_VALUE"""),0.350877192982456)</f>
        <v>0.350877193</v>
      </c>
      <c r="M48" s="8">
        <f>IFERROR(__xludf.DUMMYFUNCTION("""COMPUTED_VALUE"""),0.330316742081447)</f>
        <v>0.3303167421</v>
      </c>
      <c r="N48" s="8">
        <f>IFERROR(__xludf.DUMMYFUNCTION("""COMPUTED_VALUE"""),0.29891304347826)</f>
        <v>0.2989130435</v>
      </c>
      <c r="O48" s="8">
        <f>IFERROR(__xludf.DUMMYFUNCTION("""COMPUTED_VALUE"""),0.227722772277227)</f>
        <v>0.2277227723</v>
      </c>
      <c r="P48" s="8">
        <f>IFERROR(__xludf.DUMMYFUNCTION("""COMPUTED_VALUE"""),0.185185185185185)</f>
        <v>0.1851851852</v>
      </c>
      <c r="Q48" s="8">
        <f>IFERROR(__xludf.DUMMYFUNCTION("""COMPUTED_VALUE"""),0.0)</f>
        <v>0</v>
      </c>
      <c r="R48" s="8">
        <f>IFERROR(__xludf.DUMMYFUNCTION("""COMPUTED_VALUE"""),0.0)</f>
        <v>0</v>
      </c>
      <c r="S48" s="8">
        <f>IFERROR(__xludf.DUMMYFUNCTION("""COMPUTED_VALUE"""),0.0)</f>
        <v>0</v>
      </c>
      <c r="T48" s="8">
        <f>IFERROR(__xludf.DUMMYFUNCTION("""COMPUTED_VALUE"""),0.0)</f>
        <v>0</v>
      </c>
      <c r="U48" s="8">
        <f>IFERROR(__xludf.DUMMYFUNCTION("""COMPUTED_VALUE"""),0.0)</f>
        <v>0</v>
      </c>
      <c r="V48" s="8">
        <f>IFERROR(__xludf.DUMMYFUNCTION("""COMPUTED_VALUE"""),0.0)</f>
        <v>0</v>
      </c>
      <c r="W48" s="8">
        <f>IFERROR(__xludf.DUMMYFUNCTION("""COMPUTED_VALUE"""),0.0)</f>
        <v>0</v>
      </c>
      <c r="X48" s="8">
        <f>IFERROR(__xludf.DUMMYFUNCTION("""COMPUTED_VALUE"""),0.0)</f>
        <v>0</v>
      </c>
      <c r="Y48" s="8">
        <f>IFERROR(__xludf.DUMMYFUNCTION("""COMPUTED_VALUE"""),0.0)</f>
        <v>0</v>
      </c>
      <c r="Z48" s="8">
        <f>IFERROR(__xludf.DUMMYFUNCTION("""COMPUTED_VALUE"""),0.0)</f>
        <v>0</v>
      </c>
      <c r="AA48" s="8">
        <f>IFERROR(__xludf.DUMMYFUNCTION("""COMPUTED_VALUE"""),0.0)</f>
        <v>0</v>
      </c>
      <c r="AB48" s="8">
        <f>IFERROR(__xludf.DUMMYFUNCTION("""COMPUTED_VALUE"""),0.0)</f>
        <v>0</v>
      </c>
      <c r="AC48" s="8">
        <f>IFERROR(__xludf.DUMMYFUNCTION("""COMPUTED_VALUE"""),0.0)</f>
        <v>0</v>
      </c>
    </row>
    <row r="49" ht="15.75" customHeight="1">
      <c r="A49" s="6" t="str">
        <f>IFERROR(__xludf.DUMMYFUNCTION("""COMPUTED_VALUE"""),"26e1fd07be016edcad6988356011ef8b49038bd1")</f>
        <v>26e1fd07be016edcad6988356011ef8b49038bd1</v>
      </c>
      <c r="B49" s="6" t="str">
        <f>IFERROR(__xludf.DUMMYFUNCTION("""COMPUTED_VALUE"""),"The Last Anniversary Lie")</f>
        <v>The Last Anniversary Lie</v>
      </c>
      <c r="C49" s="6" t="str">
        <f>IFERROR(__xludf.DUMMYFUNCTION("""COMPUTED_VALUE"""),"Romance")</f>
        <v>Romance</v>
      </c>
      <c r="D49" s="11">
        <f>IFERROR(__xludf.DUMMYFUNCTION("""COMPUTED_VALUE"""),1038.0)</f>
        <v>1038</v>
      </c>
      <c r="E49" s="8">
        <f>IFERROR(__xludf.DUMMYFUNCTION("""COMPUTED_VALUE"""),0.956605593056894)</f>
        <v>0.9566055931</v>
      </c>
      <c r="F49" s="8">
        <f>IFERROR(__xludf.DUMMYFUNCTION("""COMPUTED_VALUE"""),0.603682170542635)</f>
        <v>0.6036821705</v>
      </c>
      <c r="G49" s="8">
        <f>IFERROR(__xludf.DUMMYFUNCTION("""COMPUTED_VALUE"""),0.519883608147429)</f>
        <v>0.5198836081</v>
      </c>
      <c r="H49" s="8">
        <f>IFERROR(__xludf.DUMMYFUNCTION("""COMPUTED_VALUE"""),0.482960077896786)</f>
        <v>0.4829600779</v>
      </c>
      <c r="I49" s="8">
        <f>IFERROR(__xludf.DUMMYFUNCTION("""COMPUTED_VALUE"""),0.4296875)</f>
        <v>0.4296875</v>
      </c>
      <c r="J49" s="8">
        <f>IFERROR(__xludf.DUMMYFUNCTION("""COMPUTED_VALUE"""),0.407843137254901)</f>
        <v>0.4078431373</v>
      </c>
      <c r="K49" s="8">
        <f>IFERROR(__xludf.DUMMYFUNCTION("""COMPUTED_VALUE"""),0.37033398821218)</f>
        <v>0.3703339882</v>
      </c>
      <c r="L49" s="8">
        <f>IFERROR(__xludf.DUMMYFUNCTION("""COMPUTED_VALUE"""),0.371174728529121)</f>
        <v>0.3711747285</v>
      </c>
      <c r="M49" s="8">
        <f>IFERROR(__xludf.DUMMYFUNCTION("""COMPUTED_VALUE"""),0.377016129032258)</f>
        <v>0.377016129</v>
      </c>
      <c r="N49" s="8">
        <f>IFERROR(__xludf.DUMMYFUNCTION("""COMPUTED_VALUE"""),0.370136698212407)</f>
        <v>0.3701366982</v>
      </c>
      <c r="O49" s="8">
        <f>IFERROR(__xludf.DUMMYFUNCTION("""COMPUTED_VALUE"""),0.242248062015503)</f>
        <v>0.242248062</v>
      </c>
      <c r="P49" s="8">
        <f>IFERROR(__xludf.DUMMYFUNCTION("""COMPUTED_VALUE"""),0.2)</f>
        <v>0.2</v>
      </c>
      <c r="Q49" s="8">
        <f>IFERROR(__xludf.DUMMYFUNCTION("""COMPUTED_VALUE"""),0.0)</f>
        <v>0</v>
      </c>
      <c r="R49" s="8">
        <f>IFERROR(__xludf.DUMMYFUNCTION("""COMPUTED_VALUE"""),0.0)</f>
        <v>0</v>
      </c>
      <c r="S49" s="8">
        <f>IFERROR(__xludf.DUMMYFUNCTION("""COMPUTED_VALUE"""),0.0)</f>
        <v>0</v>
      </c>
      <c r="T49" s="8">
        <f>IFERROR(__xludf.DUMMYFUNCTION("""COMPUTED_VALUE"""),0.0)</f>
        <v>0</v>
      </c>
      <c r="U49" s="8">
        <f>IFERROR(__xludf.DUMMYFUNCTION("""COMPUTED_VALUE"""),0.0)</f>
        <v>0</v>
      </c>
      <c r="V49" s="8">
        <f>IFERROR(__xludf.DUMMYFUNCTION("""COMPUTED_VALUE"""),0.0)</f>
        <v>0</v>
      </c>
      <c r="W49" s="8">
        <f>IFERROR(__xludf.DUMMYFUNCTION("""COMPUTED_VALUE"""),0.0)</f>
        <v>0</v>
      </c>
      <c r="X49" s="8">
        <f>IFERROR(__xludf.DUMMYFUNCTION("""COMPUTED_VALUE"""),0.0)</f>
        <v>0</v>
      </c>
      <c r="Y49" s="8">
        <f>IFERROR(__xludf.DUMMYFUNCTION("""COMPUTED_VALUE"""),0.0)</f>
        <v>0</v>
      </c>
      <c r="Z49" s="8">
        <f>IFERROR(__xludf.DUMMYFUNCTION("""COMPUTED_VALUE"""),0.0)</f>
        <v>0</v>
      </c>
      <c r="AA49" s="8">
        <f>IFERROR(__xludf.DUMMYFUNCTION("""COMPUTED_VALUE"""),0.0)</f>
        <v>0</v>
      </c>
      <c r="AB49" s="8">
        <f>IFERROR(__xludf.DUMMYFUNCTION("""COMPUTED_VALUE"""),0.0)</f>
        <v>0</v>
      </c>
      <c r="AC49" s="8">
        <f>IFERROR(__xludf.DUMMYFUNCTION("""COMPUTED_VALUE"""),0.0)</f>
        <v>0</v>
      </c>
    </row>
    <row r="50" ht="15.75" customHeight="1">
      <c r="A50" s="6" t="str">
        <f>IFERROR(__xludf.DUMMYFUNCTION("""COMPUTED_VALUE"""),"2804c5c0d94ac97e4b67564cc852e784e64583e5")</f>
        <v>2804c5c0d94ac97e4b67564cc852e784e64583e5</v>
      </c>
      <c r="B50" s="6" t="str">
        <f>IFERROR(__xludf.DUMMYFUNCTION("""COMPUTED_VALUE"""),"Rebirth in Beauty")</f>
        <v>Rebirth in Beauty</v>
      </c>
      <c r="C50" s="6" t="str">
        <f>IFERROR(__xludf.DUMMYFUNCTION("""COMPUTED_VALUE"""),"Fantasy")</f>
        <v>Fantasy</v>
      </c>
      <c r="D50" s="11">
        <f>IFERROR(__xludf.DUMMYFUNCTION("""COMPUTED_VALUE"""),729.0)</f>
        <v>729</v>
      </c>
      <c r="E50" s="8">
        <f>IFERROR(__xludf.DUMMYFUNCTION("""COMPUTED_VALUE"""),0.962290502793296)</f>
        <v>0.9622905028</v>
      </c>
      <c r="F50" s="8">
        <f>IFERROR(__xludf.DUMMYFUNCTION("""COMPUTED_VALUE"""),0.577648766328011)</f>
        <v>0.5776487663</v>
      </c>
      <c r="G50" s="8">
        <f>IFERROR(__xludf.DUMMYFUNCTION("""COMPUTED_VALUE"""),0.509629629629629)</f>
        <v>0.5096296296</v>
      </c>
      <c r="H50" s="8">
        <f>IFERROR(__xludf.DUMMYFUNCTION("""COMPUTED_VALUE"""),0.464454976303317)</f>
        <v>0.4644549763</v>
      </c>
      <c r="I50" s="8">
        <f>IFERROR(__xludf.DUMMYFUNCTION("""COMPUTED_VALUE"""),0.411382113821138)</f>
        <v>0.4113821138</v>
      </c>
      <c r="J50" s="8">
        <f>IFERROR(__xludf.DUMMYFUNCTION("""COMPUTED_VALUE"""),0.387478849407783)</f>
        <v>0.3874788494</v>
      </c>
      <c r="K50" s="8">
        <f>IFERROR(__xludf.DUMMYFUNCTION("""COMPUTED_VALUE"""),0.361702127659574)</f>
        <v>0.3617021277</v>
      </c>
      <c r="L50" s="8">
        <f>IFERROR(__xludf.DUMMYFUNCTION("""COMPUTED_VALUE"""),0.337917485265225)</f>
        <v>0.3379174853</v>
      </c>
      <c r="M50" s="8">
        <f>IFERROR(__xludf.DUMMYFUNCTION("""COMPUTED_VALUE"""),0.334106728538283)</f>
        <v>0.3341067285</v>
      </c>
      <c r="N50" s="8">
        <f>IFERROR(__xludf.DUMMYFUNCTION("""COMPUTED_VALUE"""),0.280966767371601)</f>
        <v>0.2809667674</v>
      </c>
      <c r="O50" s="8">
        <f>IFERROR(__xludf.DUMMYFUNCTION("""COMPUTED_VALUE"""),0.125)</f>
        <v>0.125</v>
      </c>
      <c r="P50" s="8">
        <f>IFERROR(__xludf.DUMMYFUNCTION("""COMPUTED_VALUE"""),0.0)</f>
        <v>0</v>
      </c>
      <c r="Q50" s="8">
        <f>IFERROR(__xludf.DUMMYFUNCTION("""COMPUTED_VALUE"""),0.0)</f>
        <v>0</v>
      </c>
      <c r="R50" s="8">
        <f>IFERROR(__xludf.DUMMYFUNCTION("""COMPUTED_VALUE"""),0.0)</f>
        <v>0</v>
      </c>
      <c r="S50" s="8">
        <f>IFERROR(__xludf.DUMMYFUNCTION("""COMPUTED_VALUE"""),0.0)</f>
        <v>0</v>
      </c>
      <c r="T50" s="8">
        <f>IFERROR(__xludf.DUMMYFUNCTION("""COMPUTED_VALUE"""),0.0)</f>
        <v>0</v>
      </c>
      <c r="U50" s="8">
        <f>IFERROR(__xludf.DUMMYFUNCTION("""COMPUTED_VALUE"""),0.0)</f>
        <v>0</v>
      </c>
      <c r="V50" s="8">
        <f>IFERROR(__xludf.DUMMYFUNCTION("""COMPUTED_VALUE"""),0.0)</f>
        <v>0</v>
      </c>
      <c r="W50" s="8">
        <f>IFERROR(__xludf.DUMMYFUNCTION("""COMPUTED_VALUE"""),0.0)</f>
        <v>0</v>
      </c>
      <c r="X50" s="8">
        <f>IFERROR(__xludf.DUMMYFUNCTION("""COMPUTED_VALUE"""),0.0)</f>
        <v>0</v>
      </c>
      <c r="Y50" s="8">
        <f>IFERROR(__xludf.DUMMYFUNCTION("""COMPUTED_VALUE"""),0.0)</f>
        <v>0</v>
      </c>
      <c r="Z50" s="8">
        <f>IFERROR(__xludf.DUMMYFUNCTION("""COMPUTED_VALUE"""),0.0)</f>
        <v>0</v>
      </c>
      <c r="AA50" s="8">
        <f>IFERROR(__xludf.DUMMYFUNCTION("""COMPUTED_VALUE"""),0.0)</f>
        <v>0</v>
      </c>
      <c r="AB50" s="8">
        <f>IFERROR(__xludf.DUMMYFUNCTION("""COMPUTED_VALUE"""),0.0)</f>
        <v>0</v>
      </c>
      <c r="AC50" s="8">
        <f>IFERROR(__xludf.DUMMYFUNCTION("""COMPUTED_VALUE"""),0.0)</f>
        <v>0</v>
      </c>
    </row>
    <row r="51" ht="15.75" customHeight="1">
      <c r="A51" s="6" t="str">
        <f>IFERROR(__xludf.DUMMYFUNCTION("""COMPUTED_VALUE"""),"2969766ce2d0cd5c21da961666ea357622d5d073")</f>
        <v>2969766ce2d0cd5c21da961666ea357622d5d073</v>
      </c>
      <c r="B51" s="6" t="str">
        <f>IFERROR(__xludf.DUMMYFUNCTION("""COMPUTED_VALUE"""),"The Magical Mystic Master")</f>
        <v>The Magical Mystic Master</v>
      </c>
      <c r="C51" s="6" t="str">
        <f>IFERROR(__xludf.DUMMYFUNCTION("""COMPUTED_VALUE"""),"Fantasy")</f>
        <v>Fantasy</v>
      </c>
      <c r="D51" s="11">
        <f>IFERROR(__xludf.DUMMYFUNCTION("""COMPUTED_VALUE"""),593.0)</f>
        <v>593</v>
      </c>
      <c r="E51" s="8">
        <f>IFERROR(__xludf.DUMMYFUNCTION("""COMPUTED_VALUE"""),0.96964586846543)</f>
        <v>0.9696458685</v>
      </c>
      <c r="F51" s="8">
        <f>IFERROR(__xludf.DUMMYFUNCTION("""COMPUTED_VALUE"""),0.403716216216216)</f>
        <v>0.4037162162</v>
      </c>
      <c r="G51" s="8">
        <f>IFERROR(__xludf.DUMMYFUNCTION("""COMPUTED_VALUE"""),0.287162162162162)</f>
        <v>0.2871621622</v>
      </c>
      <c r="H51" s="8">
        <f>IFERROR(__xludf.DUMMYFUNCTION("""COMPUTED_VALUE"""),0.230118443316412)</f>
        <v>0.2301184433</v>
      </c>
      <c r="I51" s="8">
        <f>IFERROR(__xludf.DUMMYFUNCTION("""COMPUTED_VALUE"""),0.194915254237288)</f>
        <v>0.1949152542</v>
      </c>
      <c r="J51" s="8">
        <f>IFERROR(__xludf.DUMMYFUNCTION("""COMPUTED_VALUE"""),0.171186440677966)</f>
        <v>0.1711864407</v>
      </c>
      <c r="K51" s="8">
        <f>IFERROR(__xludf.DUMMYFUNCTION("""COMPUTED_VALUE"""),0.165247018739352)</f>
        <v>0.1652470187</v>
      </c>
      <c r="L51" s="8">
        <f>IFERROR(__xludf.DUMMYFUNCTION("""COMPUTED_VALUE"""),0.148972602739726)</f>
        <v>0.1489726027</v>
      </c>
      <c r="M51" s="8">
        <f>IFERROR(__xludf.DUMMYFUNCTION("""COMPUTED_VALUE"""),0.138698630136986)</f>
        <v>0.1386986301</v>
      </c>
      <c r="N51" s="8">
        <f>IFERROR(__xludf.DUMMYFUNCTION("""COMPUTED_VALUE"""),0.133561643835616)</f>
        <v>0.1335616438</v>
      </c>
      <c r="O51" s="8">
        <f>IFERROR(__xludf.DUMMYFUNCTION("""COMPUTED_VALUE"""),0.119691119691119)</f>
        <v>0.1196911197</v>
      </c>
      <c r="P51" s="8">
        <f>IFERROR(__xludf.DUMMYFUNCTION("""COMPUTED_VALUE"""),0.074656188605108)</f>
        <v>0.07465618861</v>
      </c>
      <c r="Q51" s="8">
        <f>IFERROR(__xludf.DUMMYFUNCTION("""COMPUTED_VALUE"""),0.0655339805825242)</f>
        <v>0.06553398058</v>
      </c>
      <c r="R51" s="8">
        <f>IFERROR(__xludf.DUMMYFUNCTION("""COMPUTED_VALUE"""),0.0259067357512953)</f>
        <v>0.02590673575</v>
      </c>
      <c r="S51" s="8">
        <f>IFERROR(__xludf.DUMMYFUNCTION("""COMPUTED_VALUE"""),0.0)</f>
        <v>0</v>
      </c>
      <c r="T51" s="8">
        <f>IFERROR(__xludf.DUMMYFUNCTION("""COMPUTED_VALUE"""),0.0)</f>
        <v>0</v>
      </c>
      <c r="U51" s="8">
        <f>IFERROR(__xludf.DUMMYFUNCTION("""COMPUTED_VALUE"""),0.0)</f>
        <v>0</v>
      </c>
      <c r="V51" s="8">
        <f>IFERROR(__xludf.DUMMYFUNCTION("""COMPUTED_VALUE"""),0.0)</f>
        <v>0</v>
      </c>
      <c r="W51" s="8">
        <f>IFERROR(__xludf.DUMMYFUNCTION("""COMPUTED_VALUE"""),0.0)</f>
        <v>0</v>
      </c>
      <c r="X51" s="8">
        <f>IFERROR(__xludf.DUMMYFUNCTION("""COMPUTED_VALUE"""),0.0)</f>
        <v>0</v>
      </c>
      <c r="Y51" s="8">
        <f>IFERROR(__xludf.DUMMYFUNCTION("""COMPUTED_VALUE"""),0.0)</f>
        <v>0</v>
      </c>
      <c r="Z51" s="8">
        <f>IFERROR(__xludf.DUMMYFUNCTION("""COMPUTED_VALUE"""),0.0)</f>
        <v>0</v>
      </c>
      <c r="AA51" s="8">
        <f>IFERROR(__xludf.DUMMYFUNCTION("""COMPUTED_VALUE"""),0.0)</f>
        <v>0</v>
      </c>
      <c r="AB51" s="8">
        <f>IFERROR(__xludf.DUMMYFUNCTION("""COMPUTED_VALUE"""),0.0)</f>
        <v>0</v>
      </c>
      <c r="AC51" s="8">
        <f>IFERROR(__xludf.DUMMYFUNCTION("""COMPUTED_VALUE"""),0.0)</f>
        <v>0</v>
      </c>
    </row>
    <row r="52" ht="15.75" customHeight="1">
      <c r="A52" s="6" t="str">
        <f>IFERROR(__xludf.DUMMYFUNCTION("""COMPUTED_VALUE"""),"29b6547143fa9e79e6e0d3e0463e7b79ac00c7fd")</f>
        <v>29b6547143fa9e79e6e0d3e0463e7b79ac00c7fd</v>
      </c>
      <c r="B52" s="6" t="str">
        <f>IFERROR(__xludf.DUMMYFUNCTION("""COMPUTED_VALUE"""),"Love, Revenge &amp; My Past")</f>
        <v>Love, Revenge &amp; My Past</v>
      </c>
      <c r="C52" s="6" t="str">
        <f>IFERROR(__xludf.DUMMYFUNCTION("""COMPUTED_VALUE"""),"Romance")</f>
        <v>Romance</v>
      </c>
      <c r="D52" s="11">
        <f>IFERROR(__xludf.DUMMYFUNCTION("""COMPUTED_VALUE"""),1404.0)</f>
        <v>1404</v>
      </c>
      <c r="E52" s="8">
        <f>IFERROR(__xludf.DUMMYFUNCTION("""COMPUTED_VALUE"""),0.959372772630078)</f>
        <v>0.9593727726</v>
      </c>
      <c r="F52" s="8">
        <f>IFERROR(__xludf.DUMMYFUNCTION("""COMPUTED_VALUE"""),0.42154065620542)</f>
        <v>0.4215406562</v>
      </c>
      <c r="G52" s="8">
        <f>IFERROR(__xludf.DUMMYFUNCTION("""COMPUTED_VALUE"""),0.38944365192582)</f>
        <v>0.3894436519</v>
      </c>
      <c r="H52" s="8">
        <f>IFERROR(__xludf.DUMMYFUNCTION("""COMPUTED_VALUE"""),0.358059914407988)</f>
        <v>0.3580599144</v>
      </c>
      <c r="I52" s="8">
        <f>IFERROR(__xludf.DUMMYFUNCTION("""COMPUTED_VALUE"""),0.337142857142857)</f>
        <v>0.3371428571</v>
      </c>
      <c r="J52" s="8">
        <f>IFERROR(__xludf.DUMMYFUNCTION("""COMPUTED_VALUE"""),0.305)</f>
        <v>0.305</v>
      </c>
      <c r="K52" s="8">
        <f>IFERROR(__xludf.DUMMYFUNCTION("""COMPUTED_VALUE"""),0.29)</f>
        <v>0.29</v>
      </c>
      <c r="L52" s="8">
        <f>IFERROR(__xludf.DUMMYFUNCTION("""COMPUTED_VALUE"""),0.272337383845604)</f>
        <v>0.2723373838</v>
      </c>
      <c r="M52" s="8">
        <f>IFERROR(__xludf.DUMMYFUNCTION("""COMPUTED_VALUE"""),0.256446991404011)</f>
        <v>0.2564469914</v>
      </c>
      <c r="N52" s="8">
        <f>IFERROR(__xludf.DUMMYFUNCTION("""COMPUTED_VALUE"""),0.241750358680057)</f>
        <v>0.2417503587</v>
      </c>
      <c r="O52" s="8">
        <f>IFERROR(__xludf.DUMMYFUNCTION("""COMPUTED_VALUE"""),0.167424242424242)</f>
        <v>0.1674242424</v>
      </c>
      <c r="P52" s="8">
        <f>IFERROR(__xludf.DUMMYFUNCTION("""COMPUTED_VALUE"""),0.124675324675324)</f>
        <v>0.1246753247</v>
      </c>
      <c r="Q52" s="8">
        <f>IFERROR(__xludf.DUMMYFUNCTION("""COMPUTED_VALUE"""),0.0648714810281517)</f>
        <v>0.06487148103</v>
      </c>
      <c r="R52" s="8">
        <f>IFERROR(__xludf.DUMMYFUNCTION("""COMPUTED_VALUE"""),0.0464480874316939)</f>
        <v>0.04644808743</v>
      </c>
      <c r="S52" s="8">
        <f>IFERROR(__xludf.DUMMYFUNCTION("""COMPUTED_VALUE"""),0.0357142857142857)</f>
        <v>0.03571428571</v>
      </c>
      <c r="T52" s="8">
        <f>IFERROR(__xludf.DUMMYFUNCTION("""COMPUTED_VALUE"""),0.0)</f>
        <v>0</v>
      </c>
      <c r="U52" s="8">
        <f>IFERROR(__xludf.DUMMYFUNCTION("""COMPUTED_VALUE"""),0.0)</f>
        <v>0</v>
      </c>
      <c r="V52" s="8">
        <f>IFERROR(__xludf.DUMMYFUNCTION("""COMPUTED_VALUE"""),0.0)</f>
        <v>0</v>
      </c>
      <c r="W52" s="8">
        <f>IFERROR(__xludf.DUMMYFUNCTION("""COMPUTED_VALUE"""),0.0)</f>
        <v>0</v>
      </c>
      <c r="X52" s="8">
        <f>IFERROR(__xludf.DUMMYFUNCTION("""COMPUTED_VALUE"""),0.0)</f>
        <v>0</v>
      </c>
      <c r="Y52" s="8">
        <f>IFERROR(__xludf.DUMMYFUNCTION("""COMPUTED_VALUE"""),0.0)</f>
        <v>0</v>
      </c>
      <c r="Z52" s="8">
        <f>IFERROR(__xludf.DUMMYFUNCTION("""COMPUTED_VALUE"""),0.0)</f>
        <v>0</v>
      </c>
      <c r="AA52" s="8">
        <f>IFERROR(__xludf.DUMMYFUNCTION("""COMPUTED_VALUE"""),0.0)</f>
        <v>0</v>
      </c>
      <c r="AB52" s="8">
        <f>IFERROR(__xludf.DUMMYFUNCTION("""COMPUTED_VALUE"""),0.0)</f>
        <v>0</v>
      </c>
      <c r="AC52" s="8">
        <f>IFERROR(__xludf.DUMMYFUNCTION("""COMPUTED_VALUE"""),0.0)</f>
        <v>0</v>
      </c>
    </row>
    <row r="53" ht="15.75" customHeight="1">
      <c r="A53" s="6" t="str">
        <f>IFERROR(__xludf.DUMMYFUNCTION("""COMPUTED_VALUE"""),"2a8120a20d0bebaa0f325746e4058859d5e610ee")</f>
        <v>2a8120a20d0bebaa0f325746e4058859d5e610ee</v>
      </c>
      <c r="B53" s="6" t="str">
        <f>IFERROR(__xludf.DUMMYFUNCTION("""COMPUTED_VALUE"""),"Cultivated Love")</f>
        <v>Cultivated Love</v>
      </c>
      <c r="C53" s="6" t="str">
        <f>IFERROR(__xludf.DUMMYFUNCTION("""COMPUTED_VALUE"""),"Romance")</f>
        <v>Romance</v>
      </c>
      <c r="D53" s="11">
        <f>IFERROR(__xludf.DUMMYFUNCTION("""COMPUTED_VALUE"""),339.0)</f>
        <v>339</v>
      </c>
      <c r="E53" s="8">
        <f>IFERROR(__xludf.DUMMYFUNCTION("""COMPUTED_VALUE"""),0.887573964497041)</f>
        <v>0.8875739645</v>
      </c>
      <c r="F53" s="8">
        <f>IFERROR(__xludf.DUMMYFUNCTION("""COMPUTED_VALUE"""),0.30473372781065)</f>
        <v>0.3047337278</v>
      </c>
      <c r="G53" s="8">
        <f>IFERROR(__xludf.DUMMYFUNCTION("""COMPUTED_VALUE"""),0.275964391691394)</f>
        <v>0.2759643917</v>
      </c>
      <c r="H53" s="8">
        <f>IFERROR(__xludf.DUMMYFUNCTION("""COMPUTED_VALUE"""),0.207831325301204)</f>
        <v>0.2078313253</v>
      </c>
      <c r="I53" s="8">
        <f>IFERROR(__xludf.DUMMYFUNCTION("""COMPUTED_VALUE"""),0.209726443768996)</f>
        <v>0.2097264438</v>
      </c>
      <c r="J53" s="8">
        <f>IFERROR(__xludf.DUMMYFUNCTION("""COMPUTED_VALUE"""),0.220496894409937)</f>
        <v>0.2204968944</v>
      </c>
      <c r="K53" s="8">
        <f>IFERROR(__xludf.DUMMYFUNCTION("""COMPUTED_VALUE"""),0.2125)</f>
        <v>0.2125</v>
      </c>
      <c r="L53" s="8">
        <f>IFERROR(__xludf.DUMMYFUNCTION("""COMPUTED_VALUE"""),0.200647249190938)</f>
        <v>0.2006472492</v>
      </c>
      <c r="M53" s="8">
        <f>IFERROR(__xludf.DUMMYFUNCTION("""COMPUTED_VALUE"""),0.211221122112211)</f>
        <v>0.2112211221</v>
      </c>
      <c r="N53" s="8">
        <f>IFERROR(__xludf.DUMMYFUNCTION("""COMPUTED_VALUE"""),0.182432432432432)</f>
        <v>0.1824324324</v>
      </c>
      <c r="O53" s="8">
        <f>IFERROR(__xludf.DUMMYFUNCTION("""COMPUTED_VALUE"""),0.209677419354838)</f>
        <v>0.2096774194</v>
      </c>
      <c r="P53" s="8">
        <f>IFERROR(__xludf.DUMMYFUNCTION("""COMPUTED_VALUE"""),0.186234817813765)</f>
        <v>0.1862348178</v>
      </c>
      <c r="Q53" s="8">
        <f>IFERROR(__xludf.DUMMYFUNCTION("""COMPUTED_VALUE"""),0.112745098039215)</f>
        <v>0.112745098</v>
      </c>
      <c r="R53" s="8">
        <f>IFERROR(__xludf.DUMMYFUNCTION("""COMPUTED_VALUE"""),0.0782608695652174)</f>
        <v>0.07826086957</v>
      </c>
      <c r="S53" s="8">
        <f>IFERROR(__xludf.DUMMYFUNCTION("""COMPUTED_VALUE"""),0.0352941176470588)</f>
        <v>0.03529411765</v>
      </c>
      <c r="T53" s="8">
        <f>IFERROR(__xludf.DUMMYFUNCTION("""COMPUTED_VALUE"""),0.0754716981132075)</f>
        <v>0.07547169811</v>
      </c>
      <c r="U53" s="8">
        <f>IFERROR(__xludf.DUMMYFUNCTION("""COMPUTED_VALUE"""),0.027027027027027)</f>
        <v>0.02702702703</v>
      </c>
      <c r="V53" s="8">
        <f>IFERROR(__xludf.DUMMYFUNCTION("""COMPUTED_VALUE"""),0.0)</f>
        <v>0</v>
      </c>
      <c r="W53" s="8">
        <f>IFERROR(__xludf.DUMMYFUNCTION("""COMPUTED_VALUE"""),0.0)</f>
        <v>0</v>
      </c>
      <c r="X53" s="8">
        <f>IFERROR(__xludf.DUMMYFUNCTION("""COMPUTED_VALUE"""),0.0)</f>
        <v>0</v>
      </c>
      <c r="Y53" s="8">
        <f>IFERROR(__xludf.DUMMYFUNCTION("""COMPUTED_VALUE"""),0.0)</f>
        <v>0</v>
      </c>
      <c r="Z53" s="8">
        <f>IFERROR(__xludf.DUMMYFUNCTION("""COMPUTED_VALUE"""),0.0)</f>
        <v>0</v>
      </c>
      <c r="AA53" s="8">
        <f>IFERROR(__xludf.DUMMYFUNCTION("""COMPUTED_VALUE"""),0.0)</f>
        <v>0</v>
      </c>
      <c r="AB53" s="8">
        <f>IFERROR(__xludf.DUMMYFUNCTION("""COMPUTED_VALUE"""),0.0)</f>
        <v>0</v>
      </c>
      <c r="AC53" s="8">
        <f>IFERROR(__xludf.DUMMYFUNCTION("""COMPUTED_VALUE"""),0.0)</f>
        <v>0</v>
      </c>
    </row>
    <row r="54" ht="15.75" customHeight="1">
      <c r="A54" s="6" t="str">
        <f>IFERROR(__xludf.DUMMYFUNCTION("""COMPUTED_VALUE"""),"2b967281ca19c941aa99d03c959adaf6349da9b3")</f>
        <v>2b967281ca19c941aa99d03c959adaf6349da9b3</v>
      </c>
      <c r="B54" s="6" t="str">
        <f>IFERROR(__xludf.DUMMYFUNCTION("""COMPUTED_VALUE"""),"The Unlikely Heiress")</f>
        <v>The Unlikely Heiress</v>
      </c>
      <c r="C54" s="6" t="str">
        <f>IFERROR(__xludf.DUMMYFUNCTION("""COMPUTED_VALUE"""),"Romance")</f>
        <v>Romance</v>
      </c>
      <c r="D54" s="11">
        <f>IFERROR(__xludf.DUMMYFUNCTION("""COMPUTED_VALUE"""),13972.0)</f>
        <v>13972</v>
      </c>
      <c r="E54" s="8">
        <f>IFERROR(__xludf.DUMMYFUNCTION("""COMPUTED_VALUE"""),0.936040681850737)</f>
        <v>0.9360406819</v>
      </c>
      <c r="F54" s="8">
        <f>IFERROR(__xludf.DUMMYFUNCTION("""COMPUTED_VALUE"""),0.478008179665638)</f>
        <v>0.4780081797</v>
      </c>
      <c r="G54" s="8">
        <f>IFERROR(__xludf.DUMMYFUNCTION("""COMPUTED_VALUE"""),0.449457575975285)</f>
        <v>0.449457576</v>
      </c>
      <c r="H54" s="8">
        <f>IFERROR(__xludf.DUMMYFUNCTION("""COMPUTED_VALUE"""),0.423350838069203)</f>
        <v>0.4233508381</v>
      </c>
      <c r="I54" s="8">
        <f>IFERROR(__xludf.DUMMYFUNCTION("""COMPUTED_VALUE"""),0.404785930517514)</f>
        <v>0.4047859305</v>
      </c>
      <c r="J54" s="8">
        <f>IFERROR(__xludf.DUMMYFUNCTION("""COMPUTED_VALUE"""),0.387520762620062)</f>
        <v>0.3875207626</v>
      </c>
      <c r="K54" s="8">
        <f>IFERROR(__xludf.DUMMYFUNCTION("""COMPUTED_VALUE"""),0.36850860697237)</f>
        <v>0.368508607</v>
      </c>
      <c r="L54" s="8">
        <f>IFERROR(__xludf.DUMMYFUNCTION("""COMPUTED_VALUE"""),0.353943171933893)</f>
        <v>0.3539431719</v>
      </c>
      <c r="M54" s="8">
        <f>IFERROR(__xludf.DUMMYFUNCTION("""COMPUTED_VALUE"""),0.34518356961105)</f>
        <v>0.3451835696</v>
      </c>
      <c r="N54" s="8">
        <f>IFERROR(__xludf.DUMMYFUNCTION("""COMPUTED_VALUE"""),0.342609455817003)</f>
        <v>0.3426094558</v>
      </c>
      <c r="O54" s="8">
        <f>IFERROR(__xludf.DUMMYFUNCTION("""COMPUTED_VALUE"""),0.30442464845763)</f>
        <v>0.3044246485</v>
      </c>
      <c r="P54" s="8">
        <f>IFERROR(__xludf.DUMMYFUNCTION("""COMPUTED_VALUE"""),0.243704365966323)</f>
        <v>0.243704366</v>
      </c>
      <c r="Q54" s="8">
        <f>IFERROR(__xludf.DUMMYFUNCTION("""COMPUTED_VALUE"""),0.161602852270965)</f>
        <v>0.1616028523</v>
      </c>
      <c r="R54" s="8">
        <f>IFERROR(__xludf.DUMMYFUNCTION("""COMPUTED_VALUE"""),0.143299460146078)</f>
        <v>0.1432994601</v>
      </c>
      <c r="S54" s="8">
        <f>IFERROR(__xludf.DUMMYFUNCTION("""COMPUTED_VALUE"""),0.114274757933084)</f>
        <v>0.1142747579</v>
      </c>
      <c r="T54" s="8">
        <f>IFERROR(__xludf.DUMMYFUNCTION("""COMPUTED_VALUE"""),0.0775023533103232)</f>
        <v>0.07750235331</v>
      </c>
      <c r="U54" s="8">
        <f>IFERROR(__xludf.DUMMYFUNCTION("""COMPUTED_VALUE"""),0.0214285714285714)</f>
        <v>0.02142857143</v>
      </c>
      <c r="V54" s="8">
        <f>IFERROR(__xludf.DUMMYFUNCTION("""COMPUTED_VALUE"""),0.0)</f>
        <v>0</v>
      </c>
      <c r="W54" s="8">
        <f>IFERROR(__xludf.DUMMYFUNCTION("""COMPUTED_VALUE"""),0.0)</f>
        <v>0</v>
      </c>
      <c r="X54" s="8">
        <f>IFERROR(__xludf.DUMMYFUNCTION("""COMPUTED_VALUE"""),0.0)</f>
        <v>0</v>
      </c>
      <c r="Y54" s="8">
        <f>IFERROR(__xludf.DUMMYFUNCTION("""COMPUTED_VALUE"""),0.0)</f>
        <v>0</v>
      </c>
      <c r="Z54" s="8">
        <f>IFERROR(__xludf.DUMMYFUNCTION("""COMPUTED_VALUE"""),0.0)</f>
        <v>0</v>
      </c>
      <c r="AA54" s="8">
        <f>IFERROR(__xludf.DUMMYFUNCTION("""COMPUTED_VALUE"""),0.0)</f>
        <v>0</v>
      </c>
      <c r="AB54" s="8">
        <f>IFERROR(__xludf.DUMMYFUNCTION("""COMPUTED_VALUE"""),0.0)</f>
        <v>0</v>
      </c>
      <c r="AC54" s="8">
        <f>IFERROR(__xludf.DUMMYFUNCTION("""COMPUTED_VALUE"""),0.0)</f>
        <v>0</v>
      </c>
    </row>
    <row r="55" ht="15.75" customHeight="1">
      <c r="A55" s="6" t="str">
        <f>IFERROR(__xludf.DUMMYFUNCTION("""COMPUTED_VALUE"""),"2fb79ac2c90574002aaeec2f842f6693eb8ff7c2")</f>
        <v>2fb79ac2c90574002aaeec2f842f6693eb8ff7c2</v>
      </c>
      <c r="B55" s="6" t="str">
        <f>IFERROR(__xludf.DUMMYFUNCTION("""COMPUTED_VALUE"""),"Dear Boss")</f>
        <v>Dear Boss</v>
      </c>
      <c r="C55" s="6" t="str">
        <f>IFERROR(__xludf.DUMMYFUNCTION("""COMPUTED_VALUE"""),"Romance")</f>
        <v>Romance</v>
      </c>
      <c r="D55" s="11">
        <f>IFERROR(__xludf.DUMMYFUNCTION("""COMPUTED_VALUE"""),1003.0)</f>
        <v>1003</v>
      </c>
      <c r="E55" s="8">
        <f>IFERROR(__xludf.DUMMYFUNCTION("""COMPUTED_VALUE"""),0.96996996996997)</f>
        <v>0.96996997</v>
      </c>
      <c r="F55" s="8">
        <f>IFERROR(__xludf.DUMMYFUNCTION("""COMPUTED_VALUE"""),0.545636910732196)</f>
        <v>0.5456369107</v>
      </c>
      <c r="G55" s="8">
        <f>IFERROR(__xludf.DUMMYFUNCTION("""COMPUTED_VALUE"""),0.480441323971915)</f>
        <v>0.480441324</v>
      </c>
      <c r="H55" s="8">
        <f>IFERROR(__xludf.DUMMYFUNCTION("""COMPUTED_VALUE"""),0.447129909365558)</f>
        <v>0.4471299094</v>
      </c>
      <c r="I55" s="8">
        <f>IFERROR(__xludf.DUMMYFUNCTION("""COMPUTED_VALUE"""),0.421370967741935)</f>
        <v>0.4213709677</v>
      </c>
      <c r="J55" s="8">
        <f>IFERROR(__xludf.DUMMYFUNCTION("""COMPUTED_VALUE"""),0.385567010309278)</f>
        <v>0.3855670103</v>
      </c>
      <c r="K55" s="8">
        <f>IFERROR(__xludf.DUMMYFUNCTION("""COMPUTED_VALUE"""),0.362394957983193)</f>
        <v>0.362394958</v>
      </c>
      <c r="L55" s="8">
        <f>IFERROR(__xludf.DUMMYFUNCTION("""COMPUTED_VALUE"""),0.342672413793103)</f>
        <v>0.3426724138</v>
      </c>
      <c r="M55" s="8">
        <f>IFERROR(__xludf.DUMMYFUNCTION("""COMPUTED_VALUE"""),0.327849588719153)</f>
        <v>0.3278495887</v>
      </c>
      <c r="N55" s="8">
        <f>IFERROR(__xludf.DUMMYFUNCTION("""COMPUTED_VALUE"""),0.331108144192256)</f>
        <v>0.3311081442</v>
      </c>
      <c r="O55" s="8">
        <f>IFERROR(__xludf.DUMMYFUNCTION("""COMPUTED_VALUE"""),0.29080118694362)</f>
        <v>0.2908011869</v>
      </c>
      <c r="P55" s="8">
        <f>IFERROR(__xludf.DUMMYFUNCTION("""COMPUTED_VALUE"""),0.240506329113924)</f>
        <v>0.2405063291</v>
      </c>
      <c r="Q55" s="8">
        <f>IFERROR(__xludf.DUMMYFUNCTION("""COMPUTED_VALUE"""),0.0)</f>
        <v>0</v>
      </c>
      <c r="R55" s="8">
        <f>IFERROR(__xludf.DUMMYFUNCTION("""COMPUTED_VALUE"""),0.0)</f>
        <v>0</v>
      </c>
      <c r="S55" s="8">
        <f>IFERROR(__xludf.DUMMYFUNCTION("""COMPUTED_VALUE"""),0.0)</f>
        <v>0</v>
      </c>
      <c r="T55" s="8">
        <f>IFERROR(__xludf.DUMMYFUNCTION("""COMPUTED_VALUE"""),0.0)</f>
        <v>0</v>
      </c>
      <c r="U55" s="8">
        <f>IFERROR(__xludf.DUMMYFUNCTION("""COMPUTED_VALUE"""),0.0)</f>
        <v>0</v>
      </c>
      <c r="V55" s="8">
        <f>IFERROR(__xludf.DUMMYFUNCTION("""COMPUTED_VALUE"""),0.0)</f>
        <v>0</v>
      </c>
      <c r="W55" s="8">
        <f>IFERROR(__xludf.DUMMYFUNCTION("""COMPUTED_VALUE"""),0.0)</f>
        <v>0</v>
      </c>
      <c r="X55" s="8">
        <f>IFERROR(__xludf.DUMMYFUNCTION("""COMPUTED_VALUE"""),0.0)</f>
        <v>0</v>
      </c>
      <c r="Y55" s="8">
        <f>IFERROR(__xludf.DUMMYFUNCTION("""COMPUTED_VALUE"""),0.0)</f>
        <v>0</v>
      </c>
      <c r="Z55" s="8">
        <f>IFERROR(__xludf.DUMMYFUNCTION("""COMPUTED_VALUE"""),0.0)</f>
        <v>0</v>
      </c>
      <c r="AA55" s="8">
        <f>IFERROR(__xludf.DUMMYFUNCTION("""COMPUTED_VALUE"""),0.0)</f>
        <v>0</v>
      </c>
      <c r="AB55" s="8">
        <f>IFERROR(__xludf.DUMMYFUNCTION("""COMPUTED_VALUE"""),0.0)</f>
        <v>0</v>
      </c>
      <c r="AC55" s="8">
        <f>IFERROR(__xludf.DUMMYFUNCTION("""COMPUTED_VALUE"""),0.0)</f>
        <v>0</v>
      </c>
    </row>
    <row r="56" ht="15.75" customHeight="1">
      <c r="A56" s="6" t="str">
        <f>IFERROR(__xludf.DUMMYFUNCTION("""COMPUTED_VALUE"""),"31b86ee5ffeadf52fab3148c3add083a2f90b442")</f>
        <v>31b86ee5ffeadf52fab3148c3add083a2f90b442</v>
      </c>
      <c r="B56" s="6" t="str">
        <f>IFERROR(__xludf.DUMMYFUNCTION("""COMPUTED_VALUE"""),"Enchanted by Blood ")</f>
        <v>Enchanted by Blood </v>
      </c>
      <c r="C56" s="6" t="str">
        <f>IFERROR(__xludf.DUMMYFUNCTION("""COMPUTED_VALUE"""),"Romantasy")</f>
        <v>Romantasy</v>
      </c>
      <c r="D56" s="11">
        <f>IFERROR(__xludf.DUMMYFUNCTION("""COMPUTED_VALUE"""),222.0)</f>
        <v>222</v>
      </c>
      <c r="E56" s="8">
        <f>IFERROR(__xludf.DUMMYFUNCTION("""COMPUTED_VALUE"""),0.971962616822429)</f>
        <v>0.9719626168</v>
      </c>
      <c r="F56" s="8">
        <f>IFERROR(__xludf.DUMMYFUNCTION("""COMPUTED_VALUE"""),0.322115384615384)</f>
        <v>0.3221153846</v>
      </c>
      <c r="G56" s="8">
        <f>IFERROR(__xludf.DUMMYFUNCTION("""COMPUTED_VALUE"""),0.24757281553398)</f>
        <v>0.2475728155</v>
      </c>
      <c r="H56" s="8">
        <f>IFERROR(__xludf.DUMMYFUNCTION("""COMPUTED_VALUE"""),0.22110552763819)</f>
        <v>0.2211055276</v>
      </c>
      <c r="I56" s="8">
        <f>IFERROR(__xludf.DUMMYFUNCTION("""COMPUTED_VALUE"""),0.195876288659793)</f>
        <v>0.1958762887</v>
      </c>
      <c r="J56" s="8">
        <f>IFERROR(__xludf.DUMMYFUNCTION("""COMPUTED_VALUE"""),0.143617021276595)</f>
        <v>0.1436170213</v>
      </c>
      <c r="K56" s="8">
        <f>IFERROR(__xludf.DUMMYFUNCTION("""COMPUTED_VALUE"""),0.131868131868131)</f>
        <v>0.1318681319</v>
      </c>
      <c r="L56" s="8">
        <f>IFERROR(__xludf.DUMMYFUNCTION("""COMPUTED_VALUE"""),0.11377245508982)</f>
        <v>0.1137724551</v>
      </c>
      <c r="M56" s="8">
        <f>IFERROR(__xludf.DUMMYFUNCTION("""COMPUTED_VALUE"""),0.0933333333333333)</f>
        <v>0.09333333333</v>
      </c>
      <c r="N56" s="8">
        <f>IFERROR(__xludf.DUMMYFUNCTION("""COMPUTED_VALUE"""),0.0827067669172932)</f>
        <v>0.08270676692</v>
      </c>
      <c r="O56" s="8">
        <f>IFERROR(__xludf.DUMMYFUNCTION("""COMPUTED_VALUE"""),0.119402985074626)</f>
        <v>0.1194029851</v>
      </c>
      <c r="P56" s="8">
        <f>IFERROR(__xludf.DUMMYFUNCTION("""COMPUTED_VALUE"""),0.119402985074626)</f>
        <v>0.1194029851</v>
      </c>
      <c r="Q56" s="8">
        <f>IFERROR(__xludf.DUMMYFUNCTION("""COMPUTED_VALUE"""),0.0983606557377049)</f>
        <v>0.09836065574</v>
      </c>
      <c r="R56" s="8">
        <f>IFERROR(__xludf.DUMMYFUNCTION("""COMPUTED_VALUE"""),0.0)</f>
        <v>0</v>
      </c>
      <c r="S56" s="8">
        <f>IFERROR(__xludf.DUMMYFUNCTION("""COMPUTED_VALUE"""),0.0)</f>
        <v>0</v>
      </c>
      <c r="T56" s="8">
        <f>IFERROR(__xludf.DUMMYFUNCTION("""COMPUTED_VALUE"""),0.0)</f>
        <v>0</v>
      </c>
      <c r="U56" s="8">
        <f>IFERROR(__xludf.DUMMYFUNCTION("""COMPUTED_VALUE"""),0.0)</f>
        <v>0</v>
      </c>
      <c r="V56" s="8">
        <f>IFERROR(__xludf.DUMMYFUNCTION("""COMPUTED_VALUE"""),0.0)</f>
        <v>0</v>
      </c>
      <c r="W56" s="8">
        <f>IFERROR(__xludf.DUMMYFUNCTION("""COMPUTED_VALUE"""),0.0)</f>
        <v>0</v>
      </c>
      <c r="X56" s="8">
        <f>IFERROR(__xludf.DUMMYFUNCTION("""COMPUTED_VALUE"""),0.0)</f>
        <v>0</v>
      </c>
      <c r="Y56" s="8">
        <f>IFERROR(__xludf.DUMMYFUNCTION("""COMPUTED_VALUE"""),0.0)</f>
        <v>0</v>
      </c>
      <c r="Z56" s="8">
        <f>IFERROR(__xludf.DUMMYFUNCTION("""COMPUTED_VALUE"""),0.0)</f>
        <v>0</v>
      </c>
      <c r="AA56" s="8">
        <f>IFERROR(__xludf.DUMMYFUNCTION("""COMPUTED_VALUE"""),0.0)</f>
        <v>0</v>
      </c>
      <c r="AB56" s="8">
        <f>IFERROR(__xludf.DUMMYFUNCTION("""COMPUTED_VALUE"""),0.0)</f>
        <v>0</v>
      </c>
      <c r="AC56" s="8">
        <f>IFERROR(__xludf.DUMMYFUNCTION("""COMPUTED_VALUE"""),0.0)</f>
        <v>0</v>
      </c>
    </row>
    <row r="57" ht="15.75" customHeight="1">
      <c r="A57" s="6" t="str">
        <f>IFERROR(__xludf.DUMMYFUNCTION("""COMPUTED_VALUE"""),"31e58f7ec421b1daaed1f4ac654ecd9eb855bc93")</f>
        <v>31e58f7ec421b1daaed1f4ac654ecd9eb855bc93</v>
      </c>
      <c r="B57" s="6" t="str">
        <f>IFERROR(__xludf.DUMMYFUNCTION("""COMPUTED_VALUE"""),"The Forsaken Path")</f>
        <v>The Forsaken Path</v>
      </c>
      <c r="C57" s="6" t="str">
        <f>IFERROR(__xludf.DUMMYFUNCTION("""COMPUTED_VALUE"""),"Fantasy")</f>
        <v>Fantasy</v>
      </c>
      <c r="D57" s="11">
        <f>IFERROR(__xludf.DUMMYFUNCTION("""COMPUTED_VALUE"""),764.0)</f>
        <v>764</v>
      </c>
      <c r="E57" s="8">
        <f>IFERROR(__xludf.DUMMYFUNCTION("""COMPUTED_VALUE"""),0.975130890052356)</f>
        <v>0.9751308901</v>
      </c>
      <c r="F57" s="8">
        <f>IFERROR(__xludf.DUMMYFUNCTION("""COMPUTED_VALUE"""),0.193717277486911)</f>
        <v>0.1937172775</v>
      </c>
      <c r="G57" s="8">
        <f>IFERROR(__xludf.DUMMYFUNCTION("""COMPUTED_VALUE"""),0.154652686762778)</f>
        <v>0.1546526868</v>
      </c>
      <c r="H57" s="8">
        <f>IFERROR(__xludf.DUMMYFUNCTION("""COMPUTED_VALUE"""),0.13517060367454)</f>
        <v>0.1351706037</v>
      </c>
      <c r="I57" s="8">
        <f>IFERROR(__xludf.DUMMYFUNCTION("""COMPUTED_VALUE"""),0.127296587926509)</f>
        <v>0.1272965879</v>
      </c>
      <c r="J57" s="8">
        <f>IFERROR(__xludf.DUMMYFUNCTION("""COMPUTED_VALUE"""),0.120211360634081)</f>
        <v>0.1202113606</v>
      </c>
      <c r="K57" s="8">
        <f>IFERROR(__xludf.DUMMYFUNCTION("""COMPUTED_VALUE"""),0.115691489361702)</f>
        <v>0.1156914894</v>
      </c>
      <c r="L57" s="8">
        <f>IFERROR(__xludf.DUMMYFUNCTION("""COMPUTED_VALUE"""),0.10738255033557)</f>
        <v>0.1073825503</v>
      </c>
      <c r="M57" s="8">
        <f>IFERROR(__xludf.DUMMYFUNCTION("""COMPUTED_VALUE"""),0.101351351351351)</f>
        <v>0.1013513514</v>
      </c>
      <c r="N57" s="8">
        <f>IFERROR(__xludf.DUMMYFUNCTION("""COMPUTED_VALUE"""),0.0876712328767123)</f>
        <v>0.08767123288</v>
      </c>
      <c r="O57" s="8">
        <f>IFERROR(__xludf.DUMMYFUNCTION("""COMPUTED_VALUE"""),0.0541727672035139)</f>
        <v>0.0541727672</v>
      </c>
      <c r="P57" s="8">
        <f>IFERROR(__xludf.DUMMYFUNCTION("""COMPUTED_VALUE"""),0.0328638497652582)</f>
        <v>0.03286384977</v>
      </c>
      <c r="Q57" s="8">
        <f>IFERROR(__xludf.DUMMYFUNCTION("""COMPUTED_VALUE"""),0.0105263157894736)</f>
        <v>0.01052631579</v>
      </c>
      <c r="R57" s="8">
        <f>IFERROR(__xludf.DUMMYFUNCTION("""COMPUTED_VALUE"""),0.2)</f>
        <v>0.2</v>
      </c>
      <c r="S57" s="8">
        <f>IFERROR(__xludf.DUMMYFUNCTION("""COMPUTED_VALUE"""),0.0)</f>
        <v>0</v>
      </c>
      <c r="T57" s="8">
        <f>IFERROR(__xludf.DUMMYFUNCTION("""COMPUTED_VALUE"""),0.0)</f>
        <v>0</v>
      </c>
      <c r="U57" s="8">
        <f>IFERROR(__xludf.DUMMYFUNCTION("""COMPUTED_VALUE"""),0.0)</f>
        <v>0</v>
      </c>
      <c r="V57" s="8">
        <f>IFERROR(__xludf.DUMMYFUNCTION("""COMPUTED_VALUE"""),0.0)</f>
        <v>0</v>
      </c>
      <c r="W57" s="8">
        <f>IFERROR(__xludf.DUMMYFUNCTION("""COMPUTED_VALUE"""),0.0)</f>
        <v>0</v>
      </c>
      <c r="X57" s="8">
        <f>IFERROR(__xludf.DUMMYFUNCTION("""COMPUTED_VALUE"""),0.0)</f>
        <v>0</v>
      </c>
      <c r="Y57" s="8">
        <f>IFERROR(__xludf.DUMMYFUNCTION("""COMPUTED_VALUE"""),0.0)</f>
        <v>0</v>
      </c>
      <c r="Z57" s="8">
        <f>IFERROR(__xludf.DUMMYFUNCTION("""COMPUTED_VALUE"""),0.0)</f>
        <v>0</v>
      </c>
      <c r="AA57" s="8">
        <f>IFERROR(__xludf.DUMMYFUNCTION("""COMPUTED_VALUE"""),0.0)</f>
        <v>0</v>
      </c>
      <c r="AB57" s="8">
        <f>IFERROR(__xludf.DUMMYFUNCTION("""COMPUTED_VALUE"""),0.0)</f>
        <v>0</v>
      </c>
      <c r="AC57" s="8">
        <f>IFERROR(__xludf.DUMMYFUNCTION("""COMPUTED_VALUE"""),0.0)</f>
        <v>0</v>
      </c>
    </row>
    <row r="58" ht="15.75" customHeight="1">
      <c r="A58" s="6" t="str">
        <f>IFERROR(__xludf.DUMMYFUNCTION("""COMPUTED_VALUE"""),"328a6c95d732271bc4717aa2abf3a7c15f89a25e")</f>
        <v>328a6c95d732271bc4717aa2abf3a7c15f89a25e</v>
      </c>
      <c r="B58" s="6" t="str">
        <f>IFERROR(__xludf.DUMMYFUNCTION("""COMPUTED_VALUE"""),"Braving the Rapid Waters")</f>
        <v>Braving the Rapid Waters</v>
      </c>
      <c r="C58" s="6" t="str">
        <f>IFERROR(__xludf.DUMMYFUNCTION("""COMPUTED_VALUE"""),"Romance")</f>
        <v>Romance</v>
      </c>
      <c r="D58" s="11">
        <f>IFERROR(__xludf.DUMMYFUNCTION("""COMPUTED_VALUE"""),892.0)</f>
        <v>892</v>
      </c>
      <c r="E58" s="8">
        <f>IFERROR(__xludf.DUMMYFUNCTION("""COMPUTED_VALUE"""),0.969696969696969)</f>
        <v>0.9696969697</v>
      </c>
      <c r="F58" s="8">
        <f>IFERROR(__xludf.DUMMYFUNCTION("""COMPUTED_VALUE"""),0.480359147025813)</f>
        <v>0.480359147</v>
      </c>
      <c r="G58" s="8">
        <f>IFERROR(__xludf.DUMMYFUNCTION("""COMPUTED_VALUE"""),0.404040404040404)</f>
        <v>0.404040404</v>
      </c>
      <c r="H58" s="8">
        <f>IFERROR(__xludf.DUMMYFUNCTION("""COMPUTED_VALUE"""),0.377104377104377)</f>
        <v>0.3771043771</v>
      </c>
      <c r="I58" s="8">
        <f>IFERROR(__xludf.DUMMYFUNCTION("""COMPUTED_VALUE"""),0.351290684624017)</f>
        <v>0.3512906846</v>
      </c>
      <c r="J58" s="8">
        <f>IFERROR(__xludf.DUMMYFUNCTION("""COMPUTED_VALUE"""),0.342696629213483)</f>
        <v>0.3426966292</v>
      </c>
      <c r="K58" s="8">
        <f>IFERROR(__xludf.DUMMYFUNCTION("""COMPUTED_VALUE"""),0.321709786276715)</f>
        <v>0.3217097863</v>
      </c>
      <c r="L58" s="8">
        <f>IFERROR(__xludf.DUMMYFUNCTION("""COMPUTED_VALUE"""),0.30518018018018)</f>
        <v>0.3051801802</v>
      </c>
      <c r="M58" s="8">
        <f>IFERROR(__xludf.DUMMYFUNCTION("""COMPUTED_VALUE"""),0.292792792792792)</f>
        <v>0.2927927928</v>
      </c>
      <c r="N58" s="8">
        <f>IFERROR(__xludf.DUMMYFUNCTION("""COMPUTED_VALUE"""),0.27027027027027)</f>
        <v>0.2702702703</v>
      </c>
      <c r="O58" s="8">
        <f>IFERROR(__xludf.DUMMYFUNCTION("""COMPUTED_VALUE"""),0.196511627906976)</f>
        <v>0.1965116279</v>
      </c>
      <c r="P58" s="8">
        <f>IFERROR(__xludf.DUMMYFUNCTION("""COMPUTED_VALUE"""),0.109429569266589)</f>
        <v>0.1094295693</v>
      </c>
      <c r="Q58" s="8">
        <f>IFERROR(__xludf.DUMMYFUNCTION("""COMPUTED_VALUE"""),0.0605564648117839)</f>
        <v>0.06055646481</v>
      </c>
      <c r="R58" s="8">
        <f>IFERROR(__xludf.DUMMYFUNCTION("""COMPUTED_VALUE"""),0.0241796200345423)</f>
        <v>0.02417962003</v>
      </c>
      <c r="S58" s="8">
        <f>IFERROR(__xludf.DUMMYFUNCTION("""COMPUTED_VALUE"""),0.0)</f>
        <v>0</v>
      </c>
      <c r="T58" s="8">
        <f>IFERROR(__xludf.DUMMYFUNCTION("""COMPUTED_VALUE"""),0.0)</f>
        <v>0</v>
      </c>
      <c r="U58" s="8">
        <f>IFERROR(__xludf.DUMMYFUNCTION("""COMPUTED_VALUE"""),0.0)</f>
        <v>0</v>
      </c>
      <c r="V58" s="8">
        <f>IFERROR(__xludf.DUMMYFUNCTION("""COMPUTED_VALUE"""),0.0)</f>
        <v>0</v>
      </c>
      <c r="W58" s="8">
        <f>IFERROR(__xludf.DUMMYFUNCTION("""COMPUTED_VALUE"""),0.0)</f>
        <v>0</v>
      </c>
      <c r="X58" s="8">
        <f>IFERROR(__xludf.DUMMYFUNCTION("""COMPUTED_VALUE"""),0.0)</f>
        <v>0</v>
      </c>
      <c r="Y58" s="8">
        <f>IFERROR(__xludf.DUMMYFUNCTION("""COMPUTED_VALUE"""),0.0)</f>
        <v>0</v>
      </c>
      <c r="Z58" s="8">
        <f>IFERROR(__xludf.DUMMYFUNCTION("""COMPUTED_VALUE"""),0.0)</f>
        <v>0</v>
      </c>
      <c r="AA58" s="8">
        <f>IFERROR(__xludf.DUMMYFUNCTION("""COMPUTED_VALUE"""),0.0)</f>
        <v>0</v>
      </c>
      <c r="AB58" s="8">
        <f>IFERROR(__xludf.DUMMYFUNCTION("""COMPUTED_VALUE"""),0.0)</f>
        <v>0</v>
      </c>
      <c r="AC58" s="8">
        <f>IFERROR(__xludf.DUMMYFUNCTION("""COMPUTED_VALUE"""),0.0)</f>
        <v>0</v>
      </c>
    </row>
    <row r="59" ht="15.75" customHeight="1">
      <c r="A59" s="6" t="str">
        <f>IFERROR(__xludf.DUMMYFUNCTION("""COMPUTED_VALUE"""),"328d4b017d5db890a886902acdade960088fb3d8")</f>
        <v>328d4b017d5db890a886902acdade960088fb3d8</v>
      </c>
      <c r="B59" s="6" t="str">
        <f>IFERROR(__xludf.DUMMYFUNCTION("""COMPUTED_VALUE"""),"Her Worthless Son-in-Law")</f>
        <v>Her Worthless Son-in-Law</v>
      </c>
      <c r="C59" s="6" t="str">
        <f>IFERROR(__xludf.DUMMYFUNCTION("""COMPUTED_VALUE"""),"System and Superpower")</f>
        <v>System and Superpower</v>
      </c>
      <c r="D59" s="11">
        <f>IFERROR(__xludf.DUMMYFUNCTION("""COMPUTED_VALUE"""),92.0)</f>
        <v>92</v>
      </c>
      <c r="E59" s="8">
        <f>IFERROR(__xludf.DUMMYFUNCTION("""COMPUTED_VALUE"""),0.9)</f>
        <v>0.9</v>
      </c>
      <c r="F59" s="8">
        <f>IFERROR(__xludf.DUMMYFUNCTION("""COMPUTED_VALUE"""),0.659090909090909)</f>
        <v>0.6590909091</v>
      </c>
      <c r="G59" s="8">
        <f>IFERROR(__xludf.DUMMYFUNCTION("""COMPUTED_VALUE"""),0.636363636363636)</f>
        <v>0.6363636364</v>
      </c>
      <c r="H59" s="8">
        <f>IFERROR(__xludf.DUMMYFUNCTION("""COMPUTED_VALUE"""),0.60919540229885)</f>
        <v>0.6091954023</v>
      </c>
      <c r="I59" s="8">
        <f>IFERROR(__xludf.DUMMYFUNCTION("""COMPUTED_VALUE"""),0.586206896551724)</f>
        <v>0.5862068966</v>
      </c>
      <c r="J59" s="8">
        <f>IFERROR(__xludf.DUMMYFUNCTION("""COMPUTED_VALUE"""),0.551724137931034)</f>
        <v>0.5517241379</v>
      </c>
      <c r="K59" s="8">
        <f>IFERROR(__xludf.DUMMYFUNCTION("""COMPUTED_VALUE"""),0.523255813953488)</f>
        <v>0.523255814</v>
      </c>
      <c r="L59" s="8">
        <f>IFERROR(__xludf.DUMMYFUNCTION("""COMPUTED_VALUE"""),0.511627906976744)</f>
        <v>0.511627907</v>
      </c>
      <c r="M59" s="8">
        <f>IFERROR(__xludf.DUMMYFUNCTION("""COMPUTED_VALUE"""),0.511627906976744)</f>
        <v>0.511627907</v>
      </c>
      <c r="N59" s="8">
        <f>IFERROR(__xludf.DUMMYFUNCTION("""COMPUTED_VALUE"""),0.441860465116279)</f>
        <v>0.4418604651</v>
      </c>
      <c r="O59" s="8">
        <f>IFERROR(__xludf.DUMMYFUNCTION("""COMPUTED_VALUE"""),0.36144578313253)</f>
        <v>0.3614457831</v>
      </c>
      <c r="P59" s="8">
        <f>IFERROR(__xludf.DUMMYFUNCTION("""COMPUTED_VALUE"""),0.276923076923076)</f>
        <v>0.2769230769</v>
      </c>
      <c r="Q59" s="8">
        <f>IFERROR(__xludf.DUMMYFUNCTION("""COMPUTED_VALUE"""),0.171428571428571)</f>
        <v>0.1714285714</v>
      </c>
      <c r="R59" s="8">
        <f>IFERROR(__xludf.DUMMYFUNCTION("""COMPUTED_VALUE"""),0.0)</f>
        <v>0</v>
      </c>
      <c r="S59" s="8">
        <f>IFERROR(__xludf.DUMMYFUNCTION("""COMPUTED_VALUE"""),0.0)</f>
        <v>0</v>
      </c>
      <c r="T59" s="8">
        <f>IFERROR(__xludf.DUMMYFUNCTION("""COMPUTED_VALUE"""),0.0)</f>
        <v>0</v>
      </c>
      <c r="U59" s="8">
        <f>IFERROR(__xludf.DUMMYFUNCTION("""COMPUTED_VALUE"""),0.0)</f>
        <v>0</v>
      </c>
      <c r="V59" s="8">
        <f>IFERROR(__xludf.DUMMYFUNCTION("""COMPUTED_VALUE"""),0.0)</f>
        <v>0</v>
      </c>
      <c r="W59" s="8">
        <f>IFERROR(__xludf.DUMMYFUNCTION("""COMPUTED_VALUE"""),0.0)</f>
        <v>0</v>
      </c>
      <c r="X59" s="8">
        <f>IFERROR(__xludf.DUMMYFUNCTION("""COMPUTED_VALUE"""),0.0)</f>
        <v>0</v>
      </c>
      <c r="Y59" s="8">
        <f>IFERROR(__xludf.DUMMYFUNCTION("""COMPUTED_VALUE"""),0.0)</f>
        <v>0</v>
      </c>
      <c r="Z59" s="8">
        <f>IFERROR(__xludf.DUMMYFUNCTION("""COMPUTED_VALUE"""),0.0)</f>
        <v>0</v>
      </c>
      <c r="AA59" s="8">
        <f>IFERROR(__xludf.DUMMYFUNCTION("""COMPUTED_VALUE"""),0.0)</f>
        <v>0</v>
      </c>
      <c r="AB59" s="8">
        <f>IFERROR(__xludf.DUMMYFUNCTION("""COMPUTED_VALUE"""),0.0)</f>
        <v>0</v>
      </c>
      <c r="AC59" s="8">
        <f>IFERROR(__xludf.DUMMYFUNCTION("""COMPUTED_VALUE"""),0.0)</f>
        <v>0</v>
      </c>
    </row>
    <row r="60" ht="15.75" customHeight="1">
      <c r="A60" s="6" t="str">
        <f>IFERROR(__xludf.DUMMYFUNCTION("""COMPUTED_VALUE"""),"33e8ab0db9ae32917785af78276932f16eac10c0")</f>
        <v>33e8ab0db9ae32917785af78276932f16eac10c0</v>
      </c>
      <c r="B60" s="6" t="str">
        <f>IFERROR(__xludf.DUMMYFUNCTION("""COMPUTED_VALUE"""),"The Crowns Selection")</f>
        <v>The Crowns Selection</v>
      </c>
      <c r="C60" s="6" t="str">
        <f>IFERROR(__xludf.DUMMYFUNCTION("""COMPUTED_VALUE"""),"Romance")</f>
        <v>Romance</v>
      </c>
      <c r="D60" s="11">
        <f>IFERROR(__xludf.DUMMYFUNCTION("""COMPUTED_VALUE"""),2624.0)</f>
        <v>2624</v>
      </c>
      <c r="E60" s="8">
        <f>IFERROR(__xludf.DUMMYFUNCTION("""COMPUTED_VALUE"""),0.976726440289965)</f>
        <v>0.9767264403</v>
      </c>
      <c r="F60" s="8">
        <f>IFERROR(__xludf.DUMMYFUNCTION("""COMPUTED_VALUE"""),0.456813819577735)</f>
        <v>0.4568138196</v>
      </c>
      <c r="G60" s="8">
        <f>IFERROR(__xludf.DUMMYFUNCTION("""COMPUTED_VALUE"""),0.402520677432059)</f>
        <v>0.4025206774</v>
      </c>
      <c r="H60" s="8">
        <f>IFERROR(__xludf.DUMMYFUNCTION("""COMPUTED_VALUE"""),0.368896183832581)</f>
        <v>0.3688961838</v>
      </c>
      <c r="I60" s="8">
        <f>IFERROR(__xludf.DUMMYFUNCTION("""COMPUTED_VALUE"""),0.299297230260438)</f>
        <v>0.2992972303</v>
      </c>
      <c r="J60" s="8">
        <f>IFERROR(__xludf.DUMMYFUNCTION("""COMPUTED_VALUE"""),0.274831649831649)</f>
        <v>0.2748316498</v>
      </c>
      <c r="K60" s="8">
        <f>IFERROR(__xludf.DUMMYFUNCTION("""COMPUTED_VALUE"""),0.252718573292735)</f>
        <v>0.2527185733</v>
      </c>
      <c r="L60" s="8">
        <f>IFERROR(__xludf.DUMMYFUNCTION("""COMPUTED_VALUE"""),0.236371760500446)</f>
        <v>0.2363717605</v>
      </c>
      <c r="M60" s="8">
        <f>IFERROR(__xludf.DUMMYFUNCTION("""COMPUTED_VALUE"""),0.218533886583679)</f>
        <v>0.2185338866</v>
      </c>
      <c r="N60" s="8">
        <f>IFERROR(__xludf.DUMMYFUNCTION("""COMPUTED_VALUE"""),0.203793774319066)</f>
        <v>0.2037937743</v>
      </c>
      <c r="O60" s="8">
        <f>IFERROR(__xludf.DUMMYFUNCTION("""COMPUTED_VALUE"""),0.167781155015197)</f>
        <v>0.167781155</v>
      </c>
      <c r="P60" s="8">
        <f>IFERROR(__xludf.DUMMYFUNCTION("""COMPUTED_VALUE"""),0.148576512455516)</f>
        <v>0.1485765125</v>
      </c>
      <c r="Q60" s="8">
        <f>IFERROR(__xludf.DUMMYFUNCTION("""COMPUTED_VALUE"""),0.3)</f>
        <v>0.3</v>
      </c>
      <c r="R60" s="8">
        <f>IFERROR(__xludf.DUMMYFUNCTION("""COMPUTED_VALUE"""),0.0)</f>
        <v>0</v>
      </c>
      <c r="S60" s="8">
        <f>IFERROR(__xludf.DUMMYFUNCTION("""COMPUTED_VALUE"""),0.0)</f>
        <v>0</v>
      </c>
      <c r="T60" s="8">
        <f>IFERROR(__xludf.DUMMYFUNCTION("""COMPUTED_VALUE"""),0.0)</f>
        <v>0</v>
      </c>
      <c r="U60" s="8">
        <f>IFERROR(__xludf.DUMMYFUNCTION("""COMPUTED_VALUE"""),0.0)</f>
        <v>0</v>
      </c>
      <c r="V60" s="8">
        <f>IFERROR(__xludf.DUMMYFUNCTION("""COMPUTED_VALUE"""),0.0)</f>
        <v>0</v>
      </c>
      <c r="W60" s="8">
        <f>IFERROR(__xludf.DUMMYFUNCTION("""COMPUTED_VALUE"""),0.0)</f>
        <v>0</v>
      </c>
      <c r="X60" s="8">
        <f>IFERROR(__xludf.DUMMYFUNCTION("""COMPUTED_VALUE"""),0.0)</f>
        <v>0</v>
      </c>
      <c r="Y60" s="8">
        <f>IFERROR(__xludf.DUMMYFUNCTION("""COMPUTED_VALUE"""),0.0)</f>
        <v>0</v>
      </c>
      <c r="Z60" s="8">
        <f>IFERROR(__xludf.DUMMYFUNCTION("""COMPUTED_VALUE"""),0.0)</f>
        <v>0</v>
      </c>
      <c r="AA60" s="8">
        <f>IFERROR(__xludf.DUMMYFUNCTION("""COMPUTED_VALUE"""),0.0)</f>
        <v>0</v>
      </c>
      <c r="AB60" s="8">
        <f>IFERROR(__xludf.DUMMYFUNCTION("""COMPUTED_VALUE"""),0.0)</f>
        <v>0</v>
      </c>
      <c r="AC60" s="8">
        <f>IFERROR(__xludf.DUMMYFUNCTION("""COMPUTED_VALUE"""),0.0)</f>
        <v>0</v>
      </c>
    </row>
    <row r="61" ht="15.75" customHeight="1">
      <c r="A61" s="6" t="str">
        <f>IFERROR(__xludf.DUMMYFUNCTION("""COMPUTED_VALUE"""),"344fcbb2ea419c5e240def842cb2949db59acee4")</f>
        <v>344fcbb2ea419c5e240def842cb2949db59acee4</v>
      </c>
      <c r="B61" s="6" t="str">
        <f>IFERROR(__xludf.DUMMYFUNCTION("""COMPUTED_VALUE"""),"Gate of Immortality")</f>
        <v>Gate of Immortality</v>
      </c>
      <c r="C61" s="6" t="str">
        <f>IFERROR(__xludf.DUMMYFUNCTION("""COMPUTED_VALUE"""),"Drama")</f>
        <v>Drama</v>
      </c>
      <c r="D61" s="11">
        <f>IFERROR(__xludf.DUMMYFUNCTION("""COMPUTED_VALUE"""),160.0)</f>
        <v>160</v>
      </c>
      <c r="E61" s="8">
        <f>IFERROR(__xludf.DUMMYFUNCTION("""COMPUTED_VALUE"""),0.955128205128205)</f>
        <v>0.9551282051</v>
      </c>
      <c r="F61" s="8">
        <f>IFERROR(__xludf.DUMMYFUNCTION("""COMPUTED_VALUE"""),0.326797385620915)</f>
        <v>0.3267973856</v>
      </c>
      <c r="G61" s="8">
        <f>IFERROR(__xludf.DUMMYFUNCTION("""COMPUTED_VALUE"""),0.26)</f>
        <v>0.26</v>
      </c>
      <c r="H61" s="8">
        <f>IFERROR(__xludf.DUMMYFUNCTION("""COMPUTED_VALUE"""),0.234042553191489)</f>
        <v>0.2340425532</v>
      </c>
      <c r="I61" s="8">
        <f>IFERROR(__xludf.DUMMYFUNCTION("""COMPUTED_VALUE"""),0.214814814814814)</f>
        <v>0.2148148148</v>
      </c>
      <c r="J61" s="8">
        <f>IFERROR(__xludf.DUMMYFUNCTION("""COMPUTED_VALUE"""),0.190839694656488)</f>
        <v>0.1908396947</v>
      </c>
      <c r="K61" s="8">
        <f>IFERROR(__xludf.DUMMYFUNCTION("""COMPUTED_VALUE"""),0.1796875)</f>
        <v>0.1796875</v>
      </c>
      <c r="L61" s="8">
        <f>IFERROR(__xludf.DUMMYFUNCTION("""COMPUTED_VALUE"""),0.178861788617886)</f>
        <v>0.1788617886</v>
      </c>
      <c r="M61" s="8">
        <f>IFERROR(__xludf.DUMMYFUNCTION("""COMPUTED_VALUE"""),0.172131147540983)</f>
        <v>0.1721311475</v>
      </c>
      <c r="N61" s="8">
        <f>IFERROR(__xludf.DUMMYFUNCTION("""COMPUTED_VALUE"""),0.159663865546218)</f>
        <v>0.1596638655</v>
      </c>
      <c r="O61" s="8">
        <f>IFERROR(__xludf.DUMMYFUNCTION("""COMPUTED_VALUE"""),0.12037037037037)</f>
        <v>0.1203703704</v>
      </c>
      <c r="P61" s="8">
        <f>IFERROR(__xludf.DUMMYFUNCTION("""COMPUTED_VALUE"""),0.0842105263157894)</f>
        <v>0.08421052632</v>
      </c>
      <c r="Q61" s="8">
        <f>IFERROR(__xludf.DUMMYFUNCTION("""COMPUTED_VALUE"""),0.0)</f>
        <v>0</v>
      </c>
      <c r="R61" s="8">
        <f>IFERROR(__xludf.DUMMYFUNCTION("""COMPUTED_VALUE"""),0.0)</f>
        <v>0</v>
      </c>
      <c r="S61" s="8">
        <f>IFERROR(__xludf.DUMMYFUNCTION("""COMPUTED_VALUE"""),0.0)</f>
        <v>0</v>
      </c>
      <c r="T61" s="8">
        <f>IFERROR(__xludf.DUMMYFUNCTION("""COMPUTED_VALUE"""),0.0)</f>
        <v>0</v>
      </c>
      <c r="U61" s="8">
        <f>IFERROR(__xludf.DUMMYFUNCTION("""COMPUTED_VALUE"""),0.0)</f>
        <v>0</v>
      </c>
      <c r="V61" s="8">
        <f>IFERROR(__xludf.DUMMYFUNCTION("""COMPUTED_VALUE"""),0.0)</f>
        <v>0</v>
      </c>
      <c r="W61" s="8">
        <f>IFERROR(__xludf.DUMMYFUNCTION("""COMPUTED_VALUE"""),0.0)</f>
        <v>0</v>
      </c>
      <c r="X61" s="8">
        <f>IFERROR(__xludf.DUMMYFUNCTION("""COMPUTED_VALUE"""),0.0)</f>
        <v>0</v>
      </c>
      <c r="Y61" s="8">
        <f>IFERROR(__xludf.DUMMYFUNCTION("""COMPUTED_VALUE"""),0.0)</f>
        <v>0</v>
      </c>
      <c r="Z61" s="8">
        <f>IFERROR(__xludf.DUMMYFUNCTION("""COMPUTED_VALUE"""),0.0)</f>
        <v>0</v>
      </c>
      <c r="AA61" s="8">
        <f>IFERROR(__xludf.DUMMYFUNCTION("""COMPUTED_VALUE"""),0.0)</f>
        <v>0</v>
      </c>
      <c r="AB61" s="8">
        <f>IFERROR(__xludf.DUMMYFUNCTION("""COMPUTED_VALUE"""),0.0)</f>
        <v>0</v>
      </c>
      <c r="AC61" s="8">
        <f>IFERROR(__xludf.DUMMYFUNCTION("""COMPUTED_VALUE"""),0.0)</f>
        <v>0</v>
      </c>
    </row>
    <row r="62" ht="15.75" customHeight="1">
      <c r="A62" s="6" t="str">
        <f>IFERROR(__xludf.DUMMYFUNCTION("""COMPUTED_VALUE"""),"34997bc4167305107b251e0bf8431553064ef3a5")</f>
        <v>34997bc4167305107b251e0bf8431553064ef3a5</v>
      </c>
      <c r="B62" s="6" t="str">
        <f>IFERROR(__xludf.DUMMYFUNCTION("""COMPUTED_VALUE"""),"The Ghost Heiress")</f>
        <v>The Ghost Heiress</v>
      </c>
      <c r="C62" s="6" t="str">
        <f>IFERROR(__xludf.DUMMYFUNCTION("""COMPUTED_VALUE"""),"Romance")</f>
        <v>Romance</v>
      </c>
      <c r="D62" s="11">
        <f>IFERROR(__xludf.DUMMYFUNCTION("""COMPUTED_VALUE"""),732.0)</f>
        <v>732</v>
      </c>
      <c r="E62" s="8">
        <f>IFERROR(__xludf.DUMMYFUNCTION("""COMPUTED_VALUE"""),0.959440559440559)</f>
        <v>0.9594405594</v>
      </c>
      <c r="F62" s="8">
        <f>IFERROR(__xludf.DUMMYFUNCTION("""COMPUTED_VALUE"""),0.532208588957055)</f>
        <v>0.532208589</v>
      </c>
      <c r="G62" s="8">
        <f>IFERROR(__xludf.DUMMYFUNCTION("""COMPUTED_VALUE"""),0.478260869565217)</f>
        <v>0.4782608696</v>
      </c>
      <c r="H62" s="8">
        <f>IFERROR(__xludf.DUMMYFUNCTION("""COMPUTED_VALUE"""),0.418402777777777)</f>
        <v>0.4184027778</v>
      </c>
      <c r="I62" s="8">
        <f>IFERROR(__xludf.DUMMYFUNCTION("""COMPUTED_VALUE"""),0.384476534296028)</f>
        <v>0.3844765343</v>
      </c>
      <c r="J62" s="8">
        <f>IFERROR(__xludf.DUMMYFUNCTION("""COMPUTED_VALUE"""),0.338374291115311)</f>
        <v>0.3383742911</v>
      </c>
      <c r="K62" s="8">
        <f>IFERROR(__xludf.DUMMYFUNCTION("""COMPUTED_VALUE"""),0.255905511811023)</f>
        <v>0.2559055118</v>
      </c>
      <c r="L62" s="8">
        <f>IFERROR(__xludf.DUMMYFUNCTION("""COMPUTED_VALUE"""),0.287946428571428)</f>
        <v>0.2879464286</v>
      </c>
      <c r="M62" s="8">
        <f>IFERROR(__xludf.DUMMYFUNCTION("""COMPUTED_VALUE"""),0.297101449275362)</f>
        <v>0.2971014493</v>
      </c>
      <c r="N62" s="8">
        <f>IFERROR(__xludf.DUMMYFUNCTION("""COMPUTED_VALUE"""),0.298666666666666)</f>
        <v>0.2986666667</v>
      </c>
      <c r="O62" s="8">
        <f>IFERROR(__xludf.DUMMYFUNCTION("""COMPUTED_VALUE"""),0.193798449612403)</f>
        <v>0.1937984496</v>
      </c>
      <c r="P62" s="8">
        <f>IFERROR(__xludf.DUMMYFUNCTION("""COMPUTED_VALUE"""),0.154205607476635)</f>
        <v>0.1542056075</v>
      </c>
      <c r="Q62" s="8">
        <f>IFERROR(__xludf.DUMMYFUNCTION("""COMPUTED_VALUE"""),0.333333333333333)</f>
        <v>0.3333333333</v>
      </c>
      <c r="R62" s="8">
        <f>IFERROR(__xludf.DUMMYFUNCTION("""COMPUTED_VALUE"""),0.0)</f>
        <v>0</v>
      </c>
      <c r="S62" s="8">
        <f>IFERROR(__xludf.DUMMYFUNCTION("""COMPUTED_VALUE"""),0.0)</f>
        <v>0</v>
      </c>
      <c r="T62" s="8">
        <f>IFERROR(__xludf.DUMMYFUNCTION("""COMPUTED_VALUE"""),0.0)</f>
        <v>0</v>
      </c>
      <c r="U62" s="8">
        <f>IFERROR(__xludf.DUMMYFUNCTION("""COMPUTED_VALUE"""),0.0)</f>
        <v>0</v>
      </c>
      <c r="V62" s="8">
        <f>IFERROR(__xludf.DUMMYFUNCTION("""COMPUTED_VALUE"""),0.0)</f>
        <v>0</v>
      </c>
      <c r="W62" s="8">
        <f>IFERROR(__xludf.DUMMYFUNCTION("""COMPUTED_VALUE"""),0.0)</f>
        <v>0</v>
      </c>
      <c r="X62" s="8">
        <f>IFERROR(__xludf.DUMMYFUNCTION("""COMPUTED_VALUE"""),0.0)</f>
        <v>0</v>
      </c>
      <c r="Y62" s="8">
        <f>IFERROR(__xludf.DUMMYFUNCTION("""COMPUTED_VALUE"""),0.0)</f>
        <v>0</v>
      </c>
      <c r="Z62" s="8">
        <f>IFERROR(__xludf.DUMMYFUNCTION("""COMPUTED_VALUE"""),0.0)</f>
        <v>0</v>
      </c>
      <c r="AA62" s="8">
        <f>IFERROR(__xludf.DUMMYFUNCTION("""COMPUTED_VALUE"""),0.0)</f>
        <v>0</v>
      </c>
      <c r="AB62" s="8">
        <f>IFERROR(__xludf.DUMMYFUNCTION("""COMPUTED_VALUE"""),0.0)</f>
        <v>0</v>
      </c>
      <c r="AC62" s="8">
        <f>IFERROR(__xludf.DUMMYFUNCTION("""COMPUTED_VALUE"""),0.0)</f>
        <v>0</v>
      </c>
    </row>
    <row r="63" ht="15.75" customHeight="1">
      <c r="A63" s="6" t="str">
        <f>IFERROR(__xludf.DUMMYFUNCTION("""COMPUTED_VALUE"""),"34f2f307c600eaadeadd185f5681a891034fb635")</f>
        <v>34f2f307c600eaadeadd185f5681a891034fb635</v>
      </c>
      <c r="B63" s="6" t="str">
        <f>IFERROR(__xludf.DUMMYFUNCTION("""COMPUTED_VALUE"""),"Complete Deception")</f>
        <v>Complete Deception</v>
      </c>
      <c r="C63" s="6" t="str">
        <f>IFERROR(__xludf.DUMMYFUNCTION("""COMPUTED_VALUE"""),"Romance")</f>
        <v>Romance</v>
      </c>
      <c r="D63" s="11">
        <f>IFERROR(__xludf.DUMMYFUNCTION("""COMPUTED_VALUE"""),843.0)</f>
        <v>843</v>
      </c>
      <c r="E63" s="8">
        <f>IFERROR(__xludf.DUMMYFUNCTION("""COMPUTED_VALUE"""),0.958432304038004)</f>
        <v>0.958432304</v>
      </c>
      <c r="F63" s="8">
        <f>IFERROR(__xludf.DUMMYFUNCTION("""COMPUTED_VALUE"""),0.521428571428571)</f>
        <v>0.5214285714</v>
      </c>
      <c r="G63" s="8">
        <f>IFERROR(__xludf.DUMMYFUNCTION("""COMPUTED_VALUE"""),0.418355184743742)</f>
        <v>0.4183551847</v>
      </c>
      <c r="H63" s="8">
        <f>IFERROR(__xludf.DUMMYFUNCTION("""COMPUTED_VALUE"""),0.379474940334128)</f>
        <v>0.3794749403</v>
      </c>
      <c r="I63" s="8">
        <f>IFERROR(__xludf.DUMMYFUNCTION("""COMPUTED_VALUE"""),0.384248210023866)</f>
        <v>0.38424821</v>
      </c>
      <c r="J63" s="8">
        <f>IFERROR(__xludf.DUMMYFUNCTION("""COMPUTED_VALUE"""),0.346062052505966)</f>
        <v>0.3460620525</v>
      </c>
      <c r="K63" s="8">
        <f>IFERROR(__xludf.DUMMYFUNCTION("""COMPUTED_VALUE"""),0.29868578255675)</f>
        <v>0.2986857826</v>
      </c>
      <c r="L63" s="8">
        <f>IFERROR(__xludf.DUMMYFUNCTION("""COMPUTED_VALUE"""),0.296163069544364)</f>
        <v>0.2961630695</v>
      </c>
      <c r="M63" s="8">
        <f>IFERROR(__xludf.DUMMYFUNCTION("""COMPUTED_VALUE"""),0.294685990338164)</f>
        <v>0.2946859903</v>
      </c>
      <c r="N63" s="8">
        <f>IFERROR(__xludf.DUMMYFUNCTION("""COMPUTED_VALUE"""),0.283018867924528)</f>
        <v>0.2830188679</v>
      </c>
      <c r="O63" s="8">
        <f>IFERROR(__xludf.DUMMYFUNCTION("""COMPUTED_VALUE"""),0.24673202614379)</f>
        <v>0.2467320261</v>
      </c>
      <c r="P63" s="8">
        <f>IFERROR(__xludf.DUMMYFUNCTION("""COMPUTED_VALUE"""),0.166666666666666)</f>
        <v>0.1666666667</v>
      </c>
      <c r="Q63" s="8">
        <f>IFERROR(__xludf.DUMMYFUNCTION("""COMPUTED_VALUE"""),0.0727272727272727)</f>
        <v>0.07272727273</v>
      </c>
      <c r="R63" s="8">
        <f>IFERROR(__xludf.DUMMYFUNCTION("""COMPUTED_VALUE"""),0.0455580865603644)</f>
        <v>0.04555808656</v>
      </c>
      <c r="S63" s="8">
        <f>IFERROR(__xludf.DUMMYFUNCTION("""COMPUTED_VALUE"""),0.0273972602739726)</f>
        <v>0.02739726027</v>
      </c>
      <c r="T63" s="8">
        <f>IFERROR(__xludf.DUMMYFUNCTION("""COMPUTED_VALUE"""),0.016867469879518)</f>
        <v>0.01686746988</v>
      </c>
      <c r="U63" s="8">
        <f>IFERROR(__xludf.DUMMYFUNCTION("""COMPUTED_VALUE"""),0.019543973941368)</f>
        <v>0.01954397394</v>
      </c>
      <c r="V63" s="8">
        <f>IFERROR(__xludf.DUMMYFUNCTION("""COMPUTED_VALUE"""),0.00520833333333333)</f>
        <v>0.005208333333</v>
      </c>
      <c r="W63" s="8">
        <f>IFERROR(__xludf.DUMMYFUNCTION("""COMPUTED_VALUE"""),0.0)</f>
        <v>0</v>
      </c>
      <c r="X63" s="8">
        <f>IFERROR(__xludf.DUMMYFUNCTION("""COMPUTED_VALUE"""),0.0)</f>
        <v>0</v>
      </c>
      <c r="Y63" s="8">
        <f>IFERROR(__xludf.DUMMYFUNCTION("""COMPUTED_VALUE"""),0.0)</f>
        <v>0</v>
      </c>
      <c r="Z63" s="8">
        <f>IFERROR(__xludf.DUMMYFUNCTION("""COMPUTED_VALUE"""),0.0)</f>
        <v>0</v>
      </c>
      <c r="AA63" s="8">
        <f>IFERROR(__xludf.DUMMYFUNCTION("""COMPUTED_VALUE"""),0.0)</f>
        <v>0</v>
      </c>
      <c r="AB63" s="8">
        <f>IFERROR(__xludf.DUMMYFUNCTION("""COMPUTED_VALUE"""),0.0)</f>
        <v>0</v>
      </c>
      <c r="AC63" s="8">
        <f>IFERROR(__xludf.DUMMYFUNCTION("""COMPUTED_VALUE"""),0.0)</f>
        <v>0</v>
      </c>
    </row>
    <row r="64" ht="15.75" customHeight="1">
      <c r="A64" s="6" t="str">
        <f>IFERROR(__xludf.DUMMYFUNCTION("""COMPUTED_VALUE"""),"362902a5f0edf9862b88e64b166bdf3fa44487fc")</f>
        <v>362902a5f0edf9862b88e64b166bdf3fa44487fc</v>
      </c>
      <c r="B64" s="6" t="str">
        <f>IFERROR(__xludf.DUMMYFUNCTION("""COMPUTED_VALUE"""),"Almighty Sword Domain")</f>
        <v>Almighty Sword Domain</v>
      </c>
      <c r="C64" s="6" t="str">
        <f>IFERROR(__xludf.DUMMYFUNCTION("""COMPUTED_VALUE"""),"Fantasy")</f>
        <v>Fantasy</v>
      </c>
      <c r="D64" s="11">
        <f>IFERROR(__xludf.DUMMYFUNCTION("""COMPUTED_VALUE"""),62.0)</f>
        <v>62</v>
      </c>
      <c r="E64" s="8">
        <f>IFERROR(__xludf.DUMMYFUNCTION("""COMPUTED_VALUE"""),0.982142857142857)</f>
        <v>0.9821428571</v>
      </c>
      <c r="F64" s="8">
        <f>IFERROR(__xludf.DUMMYFUNCTION("""COMPUTED_VALUE"""),0.365853658536585)</f>
        <v>0.3658536585</v>
      </c>
      <c r="G64" s="8">
        <f>IFERROR(__xludf.DUMMYFUNCTION("""COMPUTED_VALUE"""),0.4)</f>
        <v>0.4</v>
      </c>
      <c r="H64" s="8">
        <f>IFERROR(__xludf.DUMMYFUNCTION("""COMPUTED_VALUE"""),0.387096774193548)</f>
        <v>0.3870967742</v>
      </c>
      <c r="I64" s="8">
        <f>IFERROR(__xludf.DUMMYFUNCTION("""COMPUTED_VALUE"""),0.321428571428571)</f>
        <v>0.3214285714</v>
      </c>
      <c r="J64" s="8">
        <f>IFERROR(__xludf.DUMMYFUNCTION("""COMPUTED_VALUE"""),0.307692307692307)</f>
        <v>0.3076923077</v>
      </c>
      <c r="K64" s="8">
        <f>IFERROR(__xludf.DUMMYFUNCTION("""COMPUTED_VALUE"""),0.285714285714285)</f>
        <v>0.2857142857</v>
      </c>
      <c r="L64" s="8">
        <f>IFERROR(__xludf.DUMMYFUNCTION("""COMPUTED_VALUE"""),0.333333333333333)</f>
        <v>0.3333333333</v>
      </c>
      <c r="M64" s="8">
        <f>IFERROR(__xludf.DUMMYFUNCTION("""COMPUTED_VALUE"""),0.333333333333333)</f>
        <v>0.3333333333</v>
      </c>
      <c r="N64" s="8">
        <f>IFERROR(__xludf.DUMMYFUNCTION("""COMPUTED_VALUE"""),0.357142857142857)</f>
        <v>0.3571428571</v>
      </c>
      <c r="O64" s="8">
        <f>IFERROR(__xludf.DUMMYFUNCTION("""COMPUTED_VALUE"""),0.357142857142857)</f>
        <v>0.3571428571</v>
      </c>
      <c r="P64" s="8">
        <f>IFERROR(__xludf.DUMMYFUNCTION("""COMPUTED_VALUE"""),0.285714285714285)</f>
        <v>0.2857142857</v>
      </c>
      <c r="Q64" s="8">
        <f>IFERROR(__xludf.DUMMYFUNCTION("""COMPUTED_VALUE"""),0.357142857142857)</f>
        <v>0.3571428571</v>
      </c>
      <c r="R64" s="8">
        <f>IFERROR(__xludf.DUMMYFUNCTION("""COMPUTED_VALUE"""),0.214285714285714)</f>
        <v>0.2142857143</v>
      </c>
      <c r="S64" s="8">
        <f>IFERROR(__xludf.DUMMYFUNCTION("""COMPUTED_VALUE"""),0.153846153846153)</f>
        <v>0.1538461538</v>
      </c>
      <c r="T64" s="8">
        <f>IFERROR(__xludf.DUMMYFUNCTION("""COMPUTED_VALUE"""),0.125)</f>
        <v>0.125</v>
      </c>
      <c r="U64" s="8">
        <f>IFERROR(__xludf.DUMMYFUNCTION("""COMPUTED_VALUE"""),0.0)</f>
        <v>0</v>
      </c>
      <c r="V64" s="8">
        <f>IFERROR(__xludf.DUMMYFUNCTION("""COMPUTED_VALUE"""),0.0)</f>
        <v>0</v>
      </c>
      <c r="W64" s="8">
        <f>IFERROR(__xludf.DUMMYFUNCTION("""COMPUTED_VALUE"""),0.0)</f>
        <v>0</v>
      </c>
      <c r="X64" s="8">
        <f>IFERROR(__xludf.DUMMYFUNCTION("""COMPUTED_VALUE"""),0.0)</f>
        <v>0</v>
      </c>
      <c r="Y64" s="8">
        <f>IFERROR(__xludf.DUMMYFUNCTION("""COMPUTED_VALUE"""),0.0)</f>
        <v>0</v>
      </c>
      <c r="Z64" s="8">
        <f>IFERROR(__xludf.DUMMYFUNCTION("""COMPUTED_VALUE"""),0.0)</f>
        <v>0</v>
      </c>
      <c r="AA64" s="8">
        <f>IFERROR(__xludf.DUMMYFUNCTION("""COMPUTED_VALUE"""),0.0)</f>
        <v>0</v>
      </c>
      <c r="AB64" s="8">
        <f>IFERROR(__xludf.DUMMYFUNCTION("""COMPUTED_VALUE"""),0.0)</f>
        <v>0</v>
      </c>
      <c r="AC64" s="8">
        <f>IFERROR(__xludf.DUMMYFUNCTION("""COMPUTED_VALUE"""),0.0)</f>
        <v>0</v>
      </c>
    </row>
    <row r="65" ht="15.75" customHeight="1">
      <c r="A65" s="6" t="str">
        <f>IFERROR(__xludf.DUMMYFUNCTION("""COMPUTED_VALUE"""),"37a4619595e440ac361cdc0df4d1bd0a9bd5d60c")</f>
        <v>37a4619595e440ac361cdc0df4d1bd0a9bd5d60c</v>
      </c>
      <c r="B65" s="6" t="str">
        <f>IFERROR(__xludf.DUMMYFUNCTION("""COMPUTED_VALUE"""),"The Bloodline Copy System")</f>
        <v>The Bloodline Copy System</v>
      </c>
      <c r="C65" s="6" t="str">
        <f>IFERROR(__xludf.DUMMYFUNCTION("""COMPUTED_VALUE"""),"System and Superpower")</f>
        <v>System and Superpower</v>
      </c>
      <c r="D65" s="11">
        <f>IFERROR(__xludf.DUMMYFUNCTION("""COMPUTED_VALUE"""),239.0)</f>
        <v>239</v>
      </c>
      <c r="E65" s="8">
        <f>IFERROR(__xludf.DUMMYFUNCTION("""COMPUTED_VALUE"""),0.962025316455696)</f>
        <v>0.9620253165</v>
      </c>
      <c r="F65" s="8">
        <f>IFERROR(__xludf.DUMMYFUNCTION("""COMPUTED_VALUE"""),0.48728813559322)</f>
        <v>0.4872881356</v>
      </c>
      <c r="G65" s="8">
        <f>IFERROR(__xludf.DUMMYFUNCTION("""COMPUTED_VALUE"""),0.438297872340425)</f>
        <v>0.4382978723</v>
      </c>
      <c r="H65" s="8">
        <f>IFERROR(__xludf.DUMMYFUNCTION("""COMPUTED_VALUE"""),0.394849785407725)</f>
        <v>0.3948497854</v>
      </c>
      <c r="I65" s="8">
        <f>IFERROR(__xludf.DUMMYFUNCTION("""COMPUTED_VALUE"""),0.383620689655172)</f>
        <v>0.3836206897</v>
      </c>
      <c r="J65" s="8">
        <f>IFERROR(__xludf.DUMMYFUNCTION("""COMPUTED_VALUE"""),0.34051724137931)</f>
        <v>0.3405172414</v>
      </c>
      <c r="K65" s="8">
        <f>IFERROR(__xludf.DUMMYFUNCTION("""COMPUTED_VALUE"""),0.311688311688311)</f>
        <v>0.3116883117</v>
      </c>
      <c r="L65" s="8">
        <f>IFERROR(__xludf.DUMMYFUNCTION("""COMPUTED_VALUE"""),0.299559471365638)</f>
        <v>0.2995594714</v>
      </c>
      <c r="M65" s="8">
        <f>IFERROR(__xludf.DUMMYFUNCTION("""COMPUTED_VALUE"""),0.262222222222222)</f>
        <v>0.2622222222</v>
      </c>
      <c r="N65" s="8">
        <f>IFERROR(__xludf.DUMMYFUNCTION("""COMPUTED_VALUE"""),0.256756756756756)</f>
        <v>0.2567567568</v>
      </c>
      <c r="O65" s="8">
        <f>IFERROR(__xludf.DUMMYFUNCTION("""COMPUTED_VALUE"""),0.191919191919191)</f>
        <v>0.1919191919</v>
      </c>
      <c r="P65" s="8">
        <f>IFERROR(__xludf.DUMMYFUNCTION("""COMPUTED_VALUE"""),0.142105263157894)</f>
        <v>0.1421052632</v>
      </c>
      <c r="Q65" s="8">
        <f>IFERROR(__xludf.DUMMYFUNCTION("""COMPUTED_VALUE"""),0.0384615384615384)</f>
        <v>0.03846153846</v>
      </c>
      <c r="R65" s="8">
        <f>IFERROR(__xludf.DUMMYFUNCTION("""COMPUTED_VALUE"""),0.0555555555555555)</f>
        <v>0.05555555556</v>
      </c>
      <c r="S65" s="8">
        <f>IFERROR(__xludf.DUMMYFUNCTION("""COMPUTED_VALUE"""),0.0909090909090909)</f>
        <v>0.09090909091</v>
      </c>
      <c r="T65" s="8">
        <f>IFERROR(__xludf.DUMMYFUNCTION("""COMPUTED_VALUE"""),0.25)</f>
        <v>0.25</v>
      </c>
      <c r="U65" s="8">
        <f>IFERROR(__xludf.DUMMYFUNCTION("""COMPUTED_VALUE"""),0.0)</f>
        <v>0</v>
      </c>
      <c r="V65" s="8">
        <f>IFERROR(__xludf.DUMMYFUNCTION("""COMPUTED_VALUE"""),0.0)</f>
        <v>0</v>
      </c>
      <c r="W65" s="8">
        <f>IFERROR(__xludf.DUMMYFUNCTION("""COMPUTED_VALUE"""),0.0)</f>
        <v>0</v>
      </c>
      <c r="X65" s="8">
        <f>IFERROR(__xludf.DUMMYFUNCTION("""COMPUTED_VALUE"""),0.0)</f>
        <v>0</v>
      </c>
      <c r="Y65" s="8">
        <f>IFERROR(__xludf.DUMMYFUNCTION("""COMPUTED_VALUE"""),0.0)</f>
        <v>0</v>
      </c>
      <c r="Z65" s="8">
        <f>IFERROR(__xludf.DUMMYFUNCTION("""COMPUTED_VALUE"""),0.0)</f>
        <v>0</v>
      </c>
      <c r="AA65" s="8">
        <f>IFERROR(__xludf.DUMMYFUNCTION("""COMPUTED_VALUE"""),0.0)</f>
        <v>0</v>
      </c>
      <c r="AB65" s="8">
        <f>IFERROR(__xludf.DUMMYFUNCTION("""COMPUTED_VALUE"""),0.0)</f>
        <v>0</v>
      </c>
      <c r="AC65" s="8">
        <f>IFERROR(__xludf.DUMMYFUNCTION("""COMPUTED_VALUE"""),0.0)</f>
        <v>0</v>
      </c>
    </row>
    <row r="66" ht="15.75" customHeight="1">
      <c r="A66" s="6" t="str">
        <f>IFERROR(__xludf.DUMMYFUNCTION("""COMPUTED_VALUE"""),"381f2f23cfe6043e04a4a705bfde2d0832cb6847")</f>
        <v>381f2f23cfe6043e04a4a705bfde2d0832cb6847</v>
      </c>
      <c r="B66" s="6" t="str">
        <f>IFERROR(__xludf.DUMMYFUNCTION("""COMPUTED_VALUE"""),"The Personal Maid")</f>
        <v>The Personal Maid</v>
      </c>
      <c r="C66" s="6" t="str">
        <f>IFERROR(__xludf.DUMMYFUNCTION("""COMPUTED_VALUE"""),"Romance")</f>
        <v>Romance</v>
      </c>
      <c r="D66" s="11">
        <f>IFERROR(__xludf.DUMMYFUNCTION("""COMPUTED_VALUE"""),175.0)</f>
        <v>175</v>
      </c>
      <c r="E66" s="8">
        <f>IFERROR(__xludf.DUMMYFUNCTION("""COMPUTED_VALUE"""),0.942857142857142)</f>
        <v>0.9428571429</v>
      </c>
      <c r="F66" s="8">
        <f>IFERROR(__xludf.DUMMYFUNCTION("""COMPUTED_VALUE"""),0.497142857142857)</f>
        <v>0.4971428571</v>
      </c>
      <c r="G66" s="8">
        <f>IFERROR(__xludf.DUMMYFUNCTION("""COMPUTED_VALUE"""),0.382857142857142)</f>
        <v>0.3828571429</v>
      </c>
      <c r="H66" s="8">
        <f>IFERROR(__xludf.DUMMYFUNCTION("""COMPUTED_VALUE"""),0.371428571428571)</f>
        <v>0.3714285714</v>
      </c>
      <c r="I66" s="8">
        <f>IFERROR(__xludf.DUMMYFUNCTION("""COMPUTED_VALUE"""),0.365714285714285)</f>
        <v>0.3657142857</v>
      </c>
      <c r="J66" s="8">
        <f>IFERROR(__xludf.DUMMYFUNCTION("""COMPUTED_VALUE"""),0.331428571428571)</f>
        <v>0.3314285714</v>
      </c>
      <c r="K66" s="8">
        <f>IFERROR(__xludf.DUMMYFUNCTION("""COMPUTED_VALUE"""),0.285714285714285)</f>
        <v>0.2857142857</v>
      </c>
      <c r="L66" s="8">
        <f>IFERROR(__xludf.DUMMYFUNCTION("""COMPUTED_VALUE"""),0.257142857142857)</f>
        <v>0.2571428571</v>
      </c>
      <c r="M66" s="8">
        <f>IFERROR(__xludf.DUMMYFUNCTION("""COMPUTED_VALUE"""),0.217142857142857)</f>
        <v>0.2171428571</v>
      </c>
      <c r="N66" s="8">
        <f>IFERROR(__xludf.DUMMYFUNCTION("""COMPUTED_VALUE"""),0.2)</f>
        <v>0.2</v>
      </c>
      <c r="O66" s="8">
        <f>IFERROR(__xludf.DUMMYFUNCTION("""COMPUTED_VALUE"""),0.194285714285714)</f>
        <v>0.1942857143</v>
      </c>
      <c r="P66" s="8">
        <f>IFERROR(__xludf.DUMMYFUNCTION("""COMPUTED_VALUE"""),0.108571428571428)</f>
        <v>0.1085714286</v>
      </c>
      <c r="Q66" s="8">
        <f>IFERROR(__xludf.DUMMYFUNCTION("""COMPUTED_VALUE"""),0.0350877192982456)</f>
        <v>0.0350877193</v>
      </c>
      <c r="R66" s="8">
        <f>IFERROR(__xludf.DUMMYFUNCTION("""COMPUTED_VALUE"""),0.0)</f>
        <v>0</v>
      </c>
      <c r="S66" s="8">
        <f>IFERROR(__xludf.DUMMYFUNCTION("""COMPUTED_VALUE"""),0.0)</f>
        <v>0</v>
      </c>
      <c r="T66" s="8">
        <f>IFERROR(__xludf.DUMMYFUNCTION("""COMPUTED_VALUE"""),0.0)</f>
        <v>0</v>
      </c>
      <c r="U66" s="8">
        <f>IFERROR(__xludf.DUMMYFUNCTION("""COMPUTED_VALUE"""),0.0)</f>
        <v>0</v>
      </c>
      <c r="V66" s="8">
        <f>IFERROR(__xludf.DUMMYFUNCTION("""COMPUTED_VALUE"""),0.0)</f>
        <v>0</v>
      </c>
      <c r="W66" s="8">
        <f>IFERROR(__xludf.DUMMYFUNCTION("""COMPUTED_VALUE"""),0.0)</f>
        <v>0</v>
      </c>
      <c r="X66" s="8">
        <f>IFERROR(__xludf.DUMMYFUNCTION("""COMPUTED_VALUE"""),0.0)</f>
        <v>0</v>
      </c>
      <c r="Y66" s="8">
        <f>IFERROR(__xludf.DUMMYFUNCTION("""COMPUTED_VALUE"""),0.0)</f>
        <v>0</v>
      </c>
      <c r="Z66" s="8">
        <f>IFERROR(__xludf.DUMMYFUNCTION("""COMPUTED_VALUE"""),0.0)</f>
        <v>0</v>
      </c>
      <c r="AA66" s="8">
        <f>IFERROR(__xludf.DUMMYFUNCTION("""COMPUTED_VALUE"""),0.0)</f>
        <v>0</v>
      </c>
      <c r="AB66" s="8">
        <f>IFERROR(__xludf.DUMMYFUNCTION("""COMPUTED_VALUE"""),0.0)</f>
        <v>0</v>
      </c>
      <c r="AC66" s="8">
        <f>IFERROR(__xludf.DUMMYFUNCTION("""COMPUTED_VALUE"""),0.0)</f>
        <v>0</v>
      </c>
    </row>
    <row r="67" ht="15.75" customHeight="1">
      <c r="A67" s="6" t="str">
        <f>IFERROR(__xludf.DUMMYFUNCTION("""COMPUTED_VALUE"""),"3a6212d18e444c9585676ce7dba35b7111dd1613")</f>
        <v>3a6212d18e444c9585676ce7dba35b7111dd1613</v>
      </c>
      <c r="B67" s="6" t="str">
        <f>IFERROR(__xludf.DUMMYFUNCTION("""COMPUTED_VALUE"""),"King of Throne")</f>
        <v>King of Throne</v>
      </c>
      <c r="C67" s="6" t="str">
        <f>IFERROR(__xludf.DUMMYFUNCTION("""COMPUTED_VALUE"""),"Fantasy")</f>
        <v>Fantasy</v>
      </c>
      <c r="D67" s="11">
        <f>IFERROR(__xludf.DUMMYFUNCTION("""COMPUTED_VALUE"""),54.0)</f>
        <v>54</v>
      </c>
      <c r="E67" s="8">
        <f>IFERROR(__xludf.DUMMYFUNCTION("""COMPUTED_VALUE"""),0.942307692307692)</f>
        <v>0.9423076923</v>
      </c>
      <c r="F67" s="8">
        <f>IFERROR(__xludf.DUMMYFUNCTION("""COMPUTED_VALUE"""),0.391304347826087)</f>
        <v>0.3913043478</v>
      </c>
      <c r="G67" s="8">
        <f>IFERROR(__xludf.DUMMYFUNCTION("""COMPUTED_VALUE"""),0.305555555555555)</f>
        <v>0.3055555556</v>
      </c>
      <c r="H67" s="8">
        <f>IFERROR(__xludf.DUMMYFUNCTION("""COMPUTED_VALUE"""),0.354838709677419)</f>
        <v>0.3548387097</v>
      </c>
      <c r="I67" s="8">
        <f>IFERROR(__xludf.DUMMYFUNCTION("""COMPUTED_VALUE"""),0.290322580645161)</f>
        <v>0.2903225806</v>
      </c>
      <c r="J67" s="8">
        <f>IFERROR(__xludf.DUMMYFUNCTION("""COMPUTED_VALUE"""),0.304347826086956)</f>
        <v>0.3043478261</v>
      </c>
      <c r="K67" s="8">
        <f>IFERROR(__xludf.DUMMYFUNCTION("""COMPUTED_VALUE"""),0.2)</f>
        <v>0.2</v>
      </c>
      <c r="L67" s="8">
        <f>IFERROR(__xludf.DUMMYFUNCTION("""COMPUTED_VALUE"""),0.157894736842105)</f>
        <v>0.1578947368</v>
      </c>
      <c r="M67" s="8">
        <f>IFERROR(__xludf.DUMMYFUNCTION("""COMPUTED_VALUE"""),0.111111111111111)</f>
        <v>0.1111111111</v>
      </c>
      <c r="N67" s="8">
        <f>IFERROR(__xludf.DUMMYFUNCTION("""COMPUTED_VALUE"""),0.117647058823529)</f>
        <v>0.1176470588</v>
      </c>
      <c r="O67" s="8">
        <f>IFERROR(__xludf.DUMMYFUNCTION("""COMPUTED_VALUE"""),0.142857142857142)</f>
        <v>0.1428571429</v>
      </c>
      <c r="P67" s="8">
        <f>IFERROR(__xludf.DUMMYFUNCTION("""COMPUTED_VALUE"""),0.0)</f>
        <v>0</v>
      </c>
      <c r="Q67" s="8">
        <f>IFERROR(__xludf.DUMMYFUNCTION("""COMPUTED_VALUE"""),0.0)</f>
        <v>0</v>
      </c>
      <c r="R67" s="8">
        <f>IFERROR(__xludf.DUMMYFUNCTION("""COMPUTED_VALUE"""),0.0)</f>
        <v>0</v>
      </c>
      <c r="S67" s="8">
        <f>IFERROR(__xludf.DUMMYFUNCTION("""COMPUTED_VALUE"""),0.0)</f>
        <v>0</v>
      </c>
      <c r="T67" s="8">
        <f>IFERROR(__xludf.DUMMYFUNCTION("""COMPUTED_VALUE"""),0.0)</f>
        <v>0</v>
      </c>
      <c r="U67" s="8">
        <f>IFERROR(__xludf.DUMMYFUNCTION("""COMPUTED_VALUE"""),0.0)</f>
        <v>0</v>
      </c>
      <c r="V67" s="8">
        <f>IFERROR(__xludf.DUMMYFUNCTION("""COMPUTED_VALUE"""),0.0)</f>
        <v>0</v>
      </c>
      <c r="W67" s="8">
        <f>IFERROR(__xludf.DUMMYFUNCTION("""COMPUTED_VALUE"""),0.0)</f>
        <v>0</v>
      </c>
      <c r="X67" s="8">
        <f>IFERROR(__xludf.DUMMYFUNCTION("""COMPUTED_VALUE"""),0.0)</f>
        <v>0</v>
      </c>
      <c r="Y67" s="8">
        <f>IFERROR(__xludf.DUMMYFUNCTION("""COMPUTED_VALUE"""),0.0)</f>
        <v>0</v>
      </c>
      <c r="Z67" s="8">
        <f>IFERROR(__xludf.DUMMYFUNCTION("""COMPUTED_VALUE"""),0.0)</f>
        <v>0</v>
      </c>
      <c r="AA67" s="8">
        <f>IFERROR(__xludf.DUMMYFUNCTION("""COMPUTED_VALUE"""),0.0)</f>
        <v>0</v>
      </c>
      <c r="AB67" s="8">
        <f>IFERROR(__xludf.DUMMYFUNCTION("""COMPUTED_VALUE"""),0.0)</f>
        <v>0</v>
      </c>
      <c r="AC67" s="8">
        <f>IFERROR(__xludf.DUMMYFUNCTION("""COMPUTED_VALUE"""),0.0)</f>
        <v>0</v>
      </c>
    </row>
    <row r="68" ht="15.75" customHeight="1">
      <c r="A68" s="6" t="str">
        <f>IFERROR(__xludf.DUMMYFUNCTION("""COMPUTED_VALUE"""),"3b626e0d14c34edb82f4b215f3b8d2e50455bbdd")</f>
        <v>3b626e0d14c34edb82f4b215f3b8d2e50455bbdd</v>
      </c>
      <c r="B68" s="6" t="str">
        <f>IFERROR(__xludf.DUMMYFUNCTION("""COMPUTED_VALUE"""),"His Lady Boss Is a Mafia")</f>
        <v>His Lady Boss Is a Mafia</v>
      </c>
      <c r="C68" s="6" t="str">
        <f>IFERROR(__xludf.DUMMYFUNCTION("""COMPUTED_VALUE"""),"Romance")</f>
        <v>Romance</v>
      </c>
      <c r="D68" s="11">
        <f>IFERROR(__xludf.DUMMYFUNCTION("""COMPUTED_VALUE"""),1484.0)</f>
        <v>1484</v>
      </c>
      <c r="E68" s="8">
        <f>IFERROR(__xludf.DUMMYFUNCTION("""COMPUTED_VALUE"""),0.934503713706954)</f>
        <v>0.9345037137</v>
      </c>
      <c r="F68" s="8">
        <f>IFERROR(__xludf.DUMMYFUNCTION("""COMPUTED_VALUE"""),0.361224489795918)</f>
        <v>0.3612244898</v>
      </c>
      <c r="G68" s="8">
        <f>IFERROR(__xludf.DUMMYFUNCTION("""COMPUTED_VALUE"""),0.33837689133425)</f>
        <v>0.3383768913</v>
      </c>
      <c r="H68" s="8">
        <f>IFERROR(__xludf.DUMMYFUNCTION("""COMPUTED_VALUE"""),0.306094182825484)</f>
        <v>0.3060941828</v>
      </c>
      <c r="I68" s="8">
        <f>IFERROR(__xludf.DUMMYFUNCTION("""COMPUTED_VALUE"""),0.280223619846261)</f>
        <v>0.2802236198</v>
      </c>
      <c r="J68" s="8">
        <f>IFERROR(__xludf.DUMMYFUNCTION("""COMPUTED_VALUE"""),0.274454609429978)</f>
        <v>0.2744546094</v>
      </c>
      <c r="K68" s="8">
        <f>IFERROR(__xludf.DUMMYFUNCTION("""COMPUTED_VALUE"""),0.259731068648266)</f>
        <v>0.2597310686</v>
      </c>
      <c r="L68" s="8">
        <f>IFERROR(__xludf.DUMMYFUNCTION("""COMPUTED_VALUE"""),0.241992882562277)</f>
        <v>0.2419928826</v>
      </c>
      <c r="M68" s="8">
        <f>IFERROR(__xludf.DUMMYFUNCTION("""COMPUTED_VALUE"""),0.25107296137339)</f>
        <v>0.2510729614</v>
      </c>
      <c r="N68" s="8">
        <f>IFERROR(__xludf.DUMMYFUNCTION("""COMPUTED_VALUE"""),0.23771676300578)</f>
        <v>0.237716763</v>
      </c>
      <c r="O68" s="8">
        <f>IFERROR(__xludf.DUMMYFUNCTION("""COMPUTED_VALUE"""),0.209097578870139)</f>
        <v>0.2090975789</v>
      </c>
      <c r="P68" s="8">
        <f>IFERROR(__xludf.DUMMYFUNCTION("""COMPUTED_VALUE"""),0.181415929203539)</f>
        <v>0.1814159292</v>
      </c>
      <c r="Q68" s="8">
        <f>IFERROR(__xludf.DUMMYFUNCTION("""COMPUTED_VALUE"""),0.333333333333333)</f>
        <v>0.3333333333</v>
      </c>
      <c r="R68" s="8">
        <f>IFERROR(__xludf.DUMMYFUNCTION("""COMPUTED_VALUE"""),0.0)</f>
        <v>0</v>
      </c>
      <c r="S68" s="8">
        <f>IFERROR(__xludf.DUMMYFUNCTION("""COMPUTED_VALUE"""),0.0)</f>
        <v>0</v>
      </c>
      <c r="T68" s="8">
        <f>IFERROR(__xludf.DUMMYFUNCTION("""COMPUTED_VALUE"""),0.0)</f>
        <v>0</v>
      </c>
      <c r="U68" s="8">
        <f>IFERROR(__xludf.DUMMYFUNCTION("""COMPUTED_VALUE"""),0.0)</f>
        <v>0</v>
      </c>
      <c r="V68" s="8">
        <f>IFERROR(__xludf.DUMMYFUNCTION("""COMPUTED_VALUE"""),0.0)</f>
        <v>0</v>
      </c>
      <c r="W68" s="8">
        <f>IFERROR(__xludf.DUMMYFUNCTION("""COMPUTED_VALUE"""),0.0)</f>
        <v>0</v>
      </c>
      <c r="X68" s="8">
        <f>IFERROR(__xludf.DUMMYFUNCTION("""COMPUTED_VALUE"""),0.0)</f>
        <v>0</v>
      </c>
      <c r="Y68" s="8">
        <f>IFERROR(__xludf.DUMMYFUNCTION("""COMPUTED_VALUE"""),0.0)</f>
        <v>0</v>
      </c>
      <c r="Z68" s="8">
        <f>IFERROR(__xludf.DUMMYFUNCTION("""COMPUTED_VALUE"""),0.0)</f>
        <v>0</v>
      </c>
      <c r="AA68" s="8">
        <f>IFERROR(__xludf.DUMMYFUNCTION("""COMPUTED_VALUE"""),0.0)</f>
        <v>0</v>
      </c>
      <c r="AB68" s="8">
        <f>IFERROR(__xludf.DUMMYFUNCTION("""COMPUTED_VALUE"""),0.0)</f>
        <v>0</v>
      </c>
      <c r="AC68" s="8">
        <f>IFERROR(__xludf.DUMMYFUNCTION("""COMPUTED_VALUE"""),0.0)</f>
        <v>0</v>
      </c>
    </row>
    <row r="69" ht="15.75" customHeight="1">
      <c r="A69" s="6" t="str">
        <f>IFERROR(__xludf.DUMMYFUNCTION("""COMPUTED_VALUE"""),"3c57dd9bd6f929bdb36d8716aa9f261a72778e24")</f>
        <v>3c57dd9bd6f929bdb36d8716aa9f261a72778e24</v>
      </c>
      <c r="B69" s="6" t="str">
        <f>IFERROR(__xludf.DUMMYFUNCTION("""COMPUTED_VALUE"""),"Resurrected as a Secret Billionaire Liam Carson")</f>
        <v>Resurrected as a Secret Billionaire Liam Carson</v>
      </c>
      <c r="C69" s="6" t="str">
        <f>IFERROR(__xludf.DUMMYFUNCTION("""COMPUTED_VALUE"""),"Fantasy")</f>
        <v>Fantasy</v>
      </c>
      <c r="D69" s="11">
        <f>IFERROR(__xludf.DUMMYFUNCTION("""COMPUTED_VALUE"""),19647.0)</f>
        <v>19647</v>
      </c>
      <c r="E69" s="8">
        <f>IFERROR(__xludf.DUMMYFUNCTION("""COMPUTED_VALUE"""),0.920134467478225)</f>
        <v>0.9201344675</v>
      </c>
      <c r="F69" s="8">
        <f>IFERROR(__xludf.DUMMYFUNCTION("""COMPUTED_VALUE"""),0.359149543670014)</f>
        <v>0.3591495437</v>
      </c>
      <c r="G69" s="8">
        <f>IFERROR(__xludf.DUMMYFUNCTION("""COMPUTED_VALUE"""),0.310117863156283)</f>
        <v>0.3101178632</v>
      </c>
      <c r="H69" s="8">
        <f>IFERROR(__xludf.DUMMYFUNCTION("""COMPUTED_VALUE"""),0.287421480006128)</f>
        <v>0.28742148</v>
      </c>
      <c r="I69" s="8">
        <f>IFERROR(__xludf.DUMMYFUNCTION("""COMPUTED_VALUE"""),0.271128380796564)</f>
        <v>0.2711283808</v>
      </c>
      <c r="J69" s="8">
        <f>IFERROR(__xludf.DUMMYFUNCTION("""COMPUTED_VALUE"""),0.258267635916862)</f>
        <v>0.2582676359</v>
      </c>
      <c r="K69" s="8">
        <f>IFERROR(__xludf.DUMMYFUNCTION("""COMPUTED_VALUE"""),0.252383881882497)</f>
        <v>0.2523838819</v>
      </c>
      <c r="L69" s="8">
        <f>IFERROR(__xludf.DUMMYFUNCTION("""COMPUTED_VALUE"""),0.244827763232198)</f>
        <v>0.2448277632</v>
      </c>
      <c r="M69" s="8">
        <f>IFERROR(__xludf.DUMMYFUNCTION("""COMPUTED_VALUE"""),0.235681233933161)</f>
        <v>0.2356812339</v>
      </c>
      <c r="N69" s="8">
        <f>IFERROR(__xludf.DUMMYFUNCTION("""COMPUTED_VALUE"""),0.231486249871253)</f>
        <v>0.2314862499</v>
      </c>
      <c r="O69" s="8">
        <f>IFERROR(__xludf.DUMMYFUNCTION("""COMPUTED_VALUE"""),0.218473853830959)</f>
        <v>0.2184738538</v>
      </c>
      <c r="P69" s="8">
        <f>IFERROR(__xludf.DUMMYFUNCTION("""COMPUTED_VALUE"""),0.180761544125381)</f>
        <v>0.1807615441</v>
      </c>
      <c r="Q69" s="8">
        <f>IFERROR(__xludf.DUMMYFUNCTION("""COMPUTED_VALUE"""),0.137522038788267)</f>
        <v>0.1375220388</v>
      </c>
      <c r="R69" s="8">
        <f>IFERROR(__xludf.DUMMYFUNCTION("""COMPUTED_VALUE"""),0.115616911130284)</f>
        <v>0.1156169111</v>
      </c>
      <c r="S69" s="8">
        <f>IFERROR(__xludf.DUMMYFUNCTION("""COMPUTED_VALUE"""),0.0905436967030579)</f>
        <v>0.0905436967</v>
      </c>
      <c r="T69" s="8">
        <f>IFERROR(__xludf.DUMMYFUNCTION("""COMPUTED_VALUE"""),0.0760512483574244)</f>
        <v>0.07605124836</v>
      </c>
      <c r="U69" s="8">
        <f>IFERROR(__xludf.DUMMYFUNCTION("""COMPUTED_VALUE"""),0.0693947144075021)</f>
        <v>0.06939471441</v>
      </c>
      <c r="V69" s="8">
        <f>IFERROR(__xludf.DUMMYFUNCTION("""COMPUTED_VALUE"""),0.0650919259832212)</f>
        <v>0.06509192598</v>
      </c>
      <c r="W69" s="8">
        <f>IFERROR(__xludf.DUMMYFUNCTION("""COMPUTED_VALUE"""),0.0784332055716556)</f>
        <v>0.07843320557</v>
      </c>
      <c r="X69" s="8">
        <f>IFERROR(__xludf.DUMMYFUNCTION("""COMPUTED_VALUE"""),0.066827080826862)</f>
        <v>0.06682708083</v>
      </c>
      <c r="Y69" s="8">
        <f>IFERROR(__xludf.DUMMYFUNCTION("""COMPUTED_VALUE"""),0.0315329378707461)</f>
        <v>0.03153293787</v>
      </c>
      <c r="Z69" s="8">
        <f>IFERROR(__xludf.DUMMYFUNCTION("""COMPUTED_VALUE"""),0.0233117039173275)</f>
        <v>0.02331170392</v>
      </c>
      <c r="AA69" s="8">
        <f>IFERROR(__xludf.DUMMYFUNCTION("""COMPUTED_VALUE"""),0.0172972972972972)</f>
        <v>0.0172972973</v>
      </c>
      <c r="AB69" s="8">
        <f>IFERROR(__xludf.DUMMYFUNCTION("""COMPUTED_VALUE"""),0.0)</f>
        <v>0</v>
      </c>
      <c r="AC69" s="8">
        <f>IFERROR(__xludf.DUMMYFUNCTION("""COMPUTED_VALUE"""),0.0)</f>
        <v>0</v>
      </c>
    </row>
    <row r="70" ht="15.75" customHeight="1">
      <c r="A70" s="6" t="str">
        <f>IFERROR(__xludf.DUMMYFUNCTION("""COMPUTED_VALUE"""),"4010f733ac400156fd9f4d75852b8ebdeabe1689")</f>
        <v>4010f733ac400156fd9f4d75852b8ebdeabe1689</v>
      </c>
      <c r="B70" s="6" t="str">
        <f>IFERROR(__xludf.DUMMYFUNCTION("""COMPUTED_VALUE"""),"My Ceo Husband's Secret")</f>
        <v>My Ceo Husband's Secret</v>
      </c>
      <c r="C70" s="6" t="str">
        <f>IFERROR(__xludf.DUMMYFUNCTION("""COMPUTED_VALUE"""),"Romance")</f>
        <v>Romance</v>
      </c>
      <c r="D70" s="11">
        <f>IFERROR(__xludf.DUMMYFUNCTION("""COMPUTED_VALUE"""),1242.0)</f>
        <v>1242</v>
      </c>
      <c r="E70" s="8">
        <f>IFERROR(__xludf.DUMMYFUNCTION("""COMPUTED_VALUE"""),0.947622884770346)</f>
        <v>0.9476228848</v>
      </c>
      <c r="F70" s="8">
        <f>IFERROR(__xludf.DUMMYFUNCTION("""COMPUTED_VALUE"""),0.639450282942603)</f>
        <v>0.6394502829</v>
      </c>
      <c r="G70" s="8">
        <f>IFERROR(__xludf.DUMMYFUNCTION("""COMPUTED_VALUE"""),0.576860841423948)</f>
        <v>0.5768608414</v>
      </c>
      <c r="H70" s="8">
        <f>IFERROR(__xludf.DUMMYFUNCTION("""COMPUTED_VALUE"""),0.53160453808752)</f>
        <v>0.5316045381</v>
      </c>
      <c r="I70" s="8">
        <f>IFERROR(__xludf.DUMMYFUNCTION("""COMPUTED_VALUE"""),0.48661800486618)</f>
        <v>0.4866180049</v>
      </c>
      <c r="J70" s="8">
        <f>IFERROR(__xludf.DUMMYFUNCTION("""COMPUTED_VALUE"""),0.448780487804878)</f>
        <v>0.4487804878</v>
      </c>
      <c r="K70" s="8">
        <f>IFERROR(__xludf.DUMMYFUNCTION("""COMPUTED_VALUE"""),0.425549227013832)</f>
        <v>0.425549227</v>
      </c>
      <c r="L70" s="8">
        <f>IFERROR(__xludf.DUMMYFUNCTION("""COMPUTED_VALUE"""),0.395253682487725)</f>
        <v>0.3952536825</v>
      </c>
      <c r="M70" s="8">
        <f>IFERROR(__xludf.DUMMYFUNCTION("""COMPUTED_VALUE"""),0.368032786885245)</f>
        <v>0.3680327869</v>
      </c>
      <c r="N70" s="8">
        <f>IFERROR(__xludf.DUMMYFUNCTION("""COMPUTED_VALUE"""),0.336065573770491)</f>
        <v>0.3360655738</v>
      </c>
      <c r="O70" s="8">
        <f>IFERROR(__xludf.DUMMYFUNCTION("""COMPUTED_VALUE"""),0.286995515695067)</f>
        <v>0.2869955157</v>
      </c>
      <c r="P70" s="8">
        <f>IFERROR(__xludf.DUMMYFUNCTION("""COMPUTED_VALUE"""),0.253578732106339)</f>
        <v>0.2535787321</v>
      </c>
      <c r="Q70" s="8">
        <f>IFERROR(__xludf.DUMMYFUNCTION("""COMPUTED_VALUE"""),0.303715670436187)</f>
        <v>0.3037156704</v>
      </c>
      <c r="R70" s="8">
        <f>IFERROR(__xludf.DUMMYFUNCTION("""COMPUTED_VALUE"""),0.293046357615894)</f>
        <v>0.2930463576</v>
      </c>
      <c r="S70" s="8">
        <f>IFERROR(__xludf.DUMMYFUNCTION("""COMPUTED_VALUE"""),0.208436724565756)</f>
        <v>0.2084367246</v>
      </c>
      <c r="T70" s="8">
        <f>IFERROR(__xludf.DUMMYFUNCTION("""COMPUTED_VALUE"""),0.0991379310344827)</f>
        <v>0.09913793103</v>
      </c>
      <c r="U70" s="8">
        <f>IFERROR(__xludf.DUMMYFUNCTION("""COMPUTED_VALUE"""),0.0697674418604651)</f>
        <v>0.06976744186</v>
      </c>
      <c r="V70" s="8">
        <f>IFERROR(__xludf.DUMMYFUNCTION("""COMPUTED_VALUE"""),0.0)</f>
        <v>0</v>
      </c>
      <c r="W70" s="8">
        <f>IFERROR(__xludf.DUMMYFUNCTION("""COMPUTED_VALUE"""),0.0)</f>
        <v>0</v>
      </c>
      <c r="X70" s="8">
        <f>IFERROR(__xludf.DUMMYFUNCTION("""COMPUTED_VALUE"""),0.0)</f>
        <v>0</v>
      </c>
      <c r="Y70" s="8">
        <f>IFERROR(__xludf.DUMMYFUNCTION("""COMPUTED_VALUE"""),0.0)</f>
        <v>0</v>
      </c>
      <c r="Z70" s="8">
        <f>IFERROR(__xludf.DUMMYFUNCTION("""COMPUTED_VALUE"""),0.0)</f>
        <v>0</v>
      </c>
      <c r="AA70" s="8">
        <f>IFERROR(__xludf.DUMMYFUNCTION("""COMPUTED_VALUE"""),0.0)</f>
        <v>0</v>
      </c>
      <c r="AB70" s="8">
        <f>IFERROR(__xludf.DUMMYFUNCTION("""COMPUTED_VALUE"""),0.0)</f>
        <v>0</v>
      </c>
      <c r="AC70" s="8">
        <f>IFERROR(__xludf.DUMMYFUNCTION("""COMPUTED_VALUE"""),0.0)</f>
        <v>0</v>
      </c>
    </row>
    <row r="71" ht="15.75" customHeight="1">
      <c r="A71" s="6" t="str">
        <f>IFERROR(__xludf.DUMMYFUNCTION("""COMPUTED_VALUE"""),"4056d8e031445adbb80d52b1fd723609be585a3b")</f>
        <v>4056d8e031445adbb80d52b1fd723609be585a3b</v>
      </c>
      <c r="B71" s="6" t="str">
        <f>IFERROR(__xludf.DUMMYFUNCTION("""COMPUTED_VALUE"""),"Only Boy on the Bus")</f>
        <v>Only Boy on the Bus</v>
      </c>
      <c r="C71" s="6" t="str">
        <f>IFERROR(__xludf.DUMMYFUNCTION("""COMPUTED_VALUE"""),"Fantasy")</f>
        <v>Fantasy</v>
      </c>
      <c r="D71" s="11">
        <f>IFERROR(__xludf.DUMMYFUNCTION("""COMPUTED_VALUE"""),58.0)</f>
        <v>58</v>
      </c>
      <c r="E71" s="8">
        <f>IFERROR(__xludf.DUMMYFUNCTION("""COMPUTED_VALUE"""),0.948275862068965)</f>
        <v>0.9482758621</v>
      </c>
      <c r="F71" s="8">
        <f>IFERROR(__xludf.DUMMYFUNCTION("""COMPUTED_VALUE"""),0.293103448275862)</f>
        <v>0.2931034483</v>
      </c>
      <c r="G71" s="8">
        <f>IFERROR(__xludf.DUMMYFUNCTION("""COMPUTED_VALUE"""),0.293103448275862)</f>
        <v>0.2931034483</v>
      </c>
      <c r="H71" s="8">
        <f>IFERROR(__xludf.DUMMYFUNCTION("""COMPUTED_VALUE"""),0.310344827586206)</f>
        <v>0.3103448276</v>
      </c>
      <c r="I71" s="8">
        <f>IFERROR(__xludf.DUMMYFUNCTION("""COMPUTED_VALUE"""),0.206896551724137)</f>
        <v>0.2068965517</v>
      </c>
      <c r="J71" s="8">
        <f>IFERROR(__xludf.DUMMYFUNCTION("""COMPUTED_VALUE"""),0.196428571428571)</f>
        <v>0.1964285714</v>
      </c>
      <c r="K71" s="8">
        <f>IFERROR(__xludf.DUMMYFUNCTION("""COMPUTED_VALUE"""),0.160714285714285)</f>
        <v>0.1607142857</v>
      </c>
      <c r="L71" s="8">
        <f>IFERROR(__xludf.DUMMYFUNCTION("""COMPUTED_VALUE"""),0.145454545454545)</f>
        <v>0.1454545455</v>
      </c>
      <c r="M71" s="8">
        <f>IFERROR(__xludf.DUMMYFUNCTION("""COMPUTED_VALUE"""),0.148148148148148)</f>
        <v>0.1481481481</v>
      </c>
      <c r="N71" s="8">
        <f>IFERROR(__xludf.DUMMYFUNCTION("""COMPUTED_VALUE"""),0.148148148148148)</f>
        <v>0.1481481481</v>
      </c>
      <c r="O71" s="8">
        <f>IFERROR(__xludf.DUMMYFUNCTION("""COMPUTED_VALUE"""),0.18)</f>
        <v>0.18</v>
      </c>
      <c r="P71" s="8">
        <f>IFERROR(__xludf.DUMMYFUNCTION("""COMPUTED_VALUE"""),0.15)</f>
        <v>0.15</v>
      </c>
      <c r="Q71" s="8">
        <f>IFERROR(__xludf.DUMMYFUNCTION("""COMPUTED_VALUE"""),0.04)</f>
        <v>0.04</v>
      </c>
      <c r="R71" s="8">
        <f>IFERROR(__xludf.DUMMYFUNCTION("""COMPUTED_VALUE"""),0.0)</f>
        <v>0</v>
      </c>
      <c r="S71" s="8">
        <f>IFERROR(__xludf.DUMMYFUNCTION("""COMPUTED_VALUE"""),0.0)</f>
        <v>0</v>
      </c>
      <c r="T71" s="8">
        <f>IFERROR(__xludf.DUMMYFUNCTION("""COMPUTED_VALUE"""),0.0)</f>
        <v>0</v>
      </c>
      <c r="U71" s="8">
        <f>IFERROR(__xludf.DUMMYFUNCTION("""COMPUTED_VALUE"""),0.0)</f>
        <v>0</v>
      </c>
      <c r="V71" s="8">
        <f>IFERROR(__xludf.DUMMYFUNCTION("""COMPUTED_VALUE"""),0.0)</f>
        <v>0</v>
      </c>
      <c r="W71" s="8">
        <f>IFERROR(__xludf.DUMMYFUNCTION("""COMPUTED_VALUE"""),0.0)</f>
        <v>0</v>
      </c>
      <c r="X71" s="8">
        <f>IFERROR(__xludf.DUMMYFUNCTION("""COMPUTED_VALUE"""),0.0)</f>
        <v>0</v>
      </c>
      <c r="Y71" s="8">
        <f>IFERROR(__xludf.DUMMYFUNCTION("""COMPUTED_VALUE"""),0.0)</f>
        <v>0</v>
      </c>
      <c r="Z71" s="8">
        <f>IFERROR(__xludf.DUMMYFUNCTION("""COMPUTED_VALUE"""),0.0)</f>
        <v>0</v>
      </c>
      <c r="AA71" s="8">
        <f>IFERROR(__xludf.DUMMYFUNCTION("""COMPUTED_VALUE"""),0.0)</f>
        <v>0</v>
      </c>
      <c r="AB71" s="8">
        <f>IFERROR(__xludf.DUMMYFUNCTION("""COMPUTED_VALUE"""),0.0)</f>
        <v>0</v>
      </c>
      <c r="AC71" s="8">
        <f>IFERROR(__xludf.DUMMYFUNCTION("""COMPUTED_VALUE"""),0.0)</f>
        <v>0</v>
      </c>
    </row>
    <row r="72" ht="15.75" customHeight="1">
      <c r="A72" s="6" t="str">
        <f>IFERROR(__xludf.DUMMYFUNCTION("""COMPUTED_VALUE"""),"40e06046d3679811f910f8beed9306369f59c60e")</f>
        <v>40e06046d3679811f910f8beed9306369f59c60e</v>
      </c>
      <c r="B72" s="6" t="str">
        <f>IFERROR(__xludf.DUMMYFUNCTION("""COMPUTED_VALUE"""),"Lycan Unity Academy")</f>
        <v>Lycan Unity Academy</v>
      </c>
      <c r="C72" s="6" t="str">
        <f>IFERROR(__xludf.DUMMYFUNCTION("""COMPUTED_VALUE"""),"Romantasy")</f>
        <v>Romantasy</v>
      </c>
      <c r="D72" s="11">
        <f>IFERROR(__xludf.DUMMYFUNCTION("""COMPUTED_VALUE"""),2588.0)</f>
        <v>2588</v>
      </c>
      <c r="E72" s="8">
        <f>IFERROR(__xludf.DUMMYFUNCTION("""COMPUTED_VALUE"""),0.963608207510646)</f>
        <v>0.9636082075</v>
      </c>
      <c r="F72" s="8">
        <f>IFERROR(__xludf.DUMMYFUNCTION("""COMPUTED_VALUE"""),0.494765412950756)</f>
        <v>0.494765413</v>
      </c>
      <c r="G72" s="8">
        <f>IFERROR(__xludf.DUMMYFUNCTION("""COMPUTED_VALUE"""),0.430124223602484)</f>
        <v>0.4301242236</v>
      </c>
      <c r="H72" s="8">
        <f>IFERROR(__xludf.DUMMYFUNCTION("""COMPUTED_VALUE"""),0.394174757281553)</f>
        <v>0.3941747573</v>
      </c>
      <c r="I72" s="8">
        <f>IFERROR(__xludf.DUMMYFUNCTION("""COMPUTED_VALUE"""),0.361057131752817)</f>
        <v>0.3610571318</v>
      </c>
      <c r="J72" s="8">
        <f>IFERROR(__xludf.DUMMYFUNCTION("""COMPUTED_VALUE"""),0.349008938981733)</f>
        <v>0.349008939</v>
      </c>
      <c r="K72" s="8">
        <f>IFERROR(__xludf.DUMMYFUNCTION("""COMPUTED_VALUE"""),0.339563862928348)</f>
        <v>0.3395638629</v>
      </c>
      <c r="L72" s="8">
        <f>IFERROR(__xludf.DUMMYFUNCTION("""COMPUTED_VALUE"""),0.315255559890753)</f>
        <v>0.3152555599</v>
      </c>
      <c r="M72" s="8">
        <f>IFERROR(__xludf.DUMMYFUNCTION("""COMPUTED_VALUE"""),0.296875)</f>
        <v>0.296875</v>
      </c>
      <c r="N72" s="8">
        <f>IFERROR(__xludf.DUMMYFUNCTION("""COMPUTED_VALUE"""),0.290246768507638)</f>
        <v>0.2902467685</v>
      </c>
      <c r="O72" s="8">
        <f>IFERROR(__xludf.DUMMYFUNCTION("""COMPUTED_VALUE"""),0.250643776824034)</f>
        <v>0.2506437768</v>
      </c>
      <c r="P72" s="8">
        <f>IFERROR(__xludf.DUMMYFUNCTION("""COMPUTED_VALUE"""),0.197029270423765)</f>
        <v>0.1970292704</v>
      </c>
      <c r="Q72" s="8">
        <f>IFERROR(__xludf.DUMMYFUNCTION("""COMPUTED_VALUE"""),0.11860465116279)</f>
        <v>0.1186046512</v>
      </c>
      <c r="R72" s="8">
        <f>IFERROR(__xludf.DUMMYFUNCTION("""COMPUTED_VALUE"""),0.169230769230769)</f>
        <v>0.1692307692</v>
      </c>
      <c r="S72" s="8">
        <f>IFERROR(__xludf.DUMMYFUNCTION("""COMPUTED_VALUE"""),0.0)</f>
        <v>0</v>
      </c>
      <c r="T72" s="8">
        <f>IFERROR(__xludf.DUMMYFUNCTION("""COMPUTED_VALUE"""),0.0)</f>
        <v>0</v>
      </c>
      <c r="U72" s="8">
        <f>IFERROR(__xludf.DUMMYFUNCTION("""COMPUTED_VALUE"""),0.0)</f>
        <v>0</v>
      </c>
      <c r="V72" s="8">
        <f>IFERROR(__xludf.DUMMYFUNCTION("""COMPUTED_VALUE"""),0.0)</f>
        <v>0</v>
      </c>
      <c r="W72" s="8">
        <f>IFERROR(__xludf.DUMMYFUNCTION("""COMPUTED_VALUE"""),0.0)</f>
        <v>0</v>
      </c>
      <c r="X72" s="8">
        <f>IFERROR(__xludf.DUMMYFUNCTION("""COMPUTED_VALUE"""),0.0)</f>
        <v>0</v>
      </c>
      <c r="Y72" s="8">
        <f>IFERROR(__xludf.DUMMYFUNCTION("""COMPUTED_VALUE"""),0.0)</f>
        <v>0</v>
      </c>
      <c r="Z72" s="8">
        <f>IFERROR(__xludf.DUMMYFUNCTION("""COMPUTED_VALUE"""),0.0)</f>
        <v>0</v>
      </c>
      <c r="AA72" s="8">
        <f>IFERROR(__xludf.DUMMYFUNCTION("""COMPUTED_VALUE"""),0.0)</f>
        <v>0</v>
      </c>
      <c r="AB72" s="8">
        <f>IFERROR(__xludf.DUMMYFUNCTION("""COMPUTED_VALUE"""),0.0)</f>
        <v>0</v>
      </c>
      <c r="AC72" s="8">
        <f>IFERROR(__xludf.DUMMYFUNCTION("""COMPUTED_VALUE"""),0.0)</f>
        <v>0</v>
      </c>
    </row>
    <row r="73" ht="15.75" customHeight="1">
      <c r="A73" s="6" t="str">
        <f>IFERROR(__xludf.DUMMYFUNCTION("""COMPUTED_VALUE"""),"41afeacb4e481e249d618ae39936f1173864e026")</f>
        <v>41afeacb4e481e249d618ae39936f1173864e026</v>
      </c>
      <c r="B73" s="6" t="str">
        <f>IFERROR(__xludf.DUMMYFUNCTION("""COMPUTED_VALUE"""),"Disguised Successor")</f>
        <v>Disguised Successor</v>
      </c>
      <c r="C73" s="6" t="str">
        <f>IFERROR(__xludf.DUMMYFUNCTION("""COMPUTED_VALUE"""),"Drama")</f>
        <v>Drama</v>
      </c>
      <c r="D73" s="11">
        <f>IFERROR(__xludf.DUMMYFUNCTION("""COMPUTED_VALUE"""),327.0)</f>
        <v>327</v>
      </c>
      <c r="E73" s="8">
        <f>IFERROR(__xludf.DUMMYFUNCTION("""COMPUTED_VALUE"""),0.960244648318042)</f>
        <v>0.9602446483</v>
      </c>
      <c r="F73" s="8">
        <f>IFERROR(__xludf.DUMMYFUNCTION("""COMPUTED_VALUE"""),0.501529051987767)</f>
        <v>0.501529052</v>
      </c>
      <c r="G73" s="8">
        <f>IFERROR(__xludf.DUMMYFUNCTION("""COMPUTED_VALUE"""),0.452599388379204)</f>
        <v>0.4525993884</v>
      </c>
      <c r="H73" s="8">
        <f>IFERROR(__xludf.DUMMYFUNCTION("""COMPUTED_VALUE"""),0.37920489296636)</f>
        <v>0.379204893</v>
      </c>
      <c r="I73" s="8">
        <f>IFERROR(__xludf.DUMMYFUNCTION("""COMPUTED_VALUE"""),0.360856269113149)</f>
        <v>0.3608562691</v>
      </c>
      <c r="J73" s="8">
        <f>IFERROR(__xludf.DUMMYFUNCTION("""COMPUTED_VALUE"""),0.334355828220858)</f>
        <v>0.3343558282</v>
      </c>
      <c r="K73" s="8">
        <f>IFERROR(__xludf.DUMMYFUNCTION("""COMPUTED_VALUE"""),0.294478527607362)</f>
        <v>0.2944785276</v>
      </c>
      <c r="L73" s="8">
        <f>IFERROR(__xludf.DUMMYFUNCTION("""COMPUTED_VALUE"""),0.291411042944785)</f>
        <v>0.2914110429</v>
      </c>
      <c r="M73" s="8">
        <f>IFERROR(__xludf.DUMMYFUNCTION("""COMPUTED_VALUE"""),0.273006134969325)</f>
        <v>0.273006135</v>
      </c>
      <c r="N73" s="8">
        <f>IFERROR(__xludf.DUMMYFUNCTION("""COMPUTED_VALUE"""),0.239263803680981)</f>
        <v>0.2392638037</v>
      </c>
      <c r="O73" s="8">
        <f>IFERROR(__xludf.DUMMYFUNCTION("""COMPUTED_VALUE"""),0.182432432432432)</f>
        <v>0.1824324324</v>
      </c>
      <c r="P73" s="8">
        <f>IFERROR(__xludf.DUMMYFUNCTION("""COMPUTED_VALUE"""),0.143426294820717)</f>
        <v>0.1434262948</v>
      </c>
      <c r="Q73" s="8">
        <f>IFERROR(__xludf.DUMMYFUNCTION("""COMPUTED_VALUE"""),0.099009900990099)</f>
        <v>0.09900990099</v>
      </c>
      <c r="R73" s="8">
        <f>IFERROR(__xludf.DUMMYFUNCTION("""COMPUTED_VALUE"""),0.0458015267175572)</f>
        <v>0.04580152672</v>
      </c>
      <c r="S73" s="8">
        <f>IFERROR(__xludf.DUMMYFUNCTION("""COMPUTED_VALUE"""),0.0)</f>
        <v>0</v>
      </c>
      <c r="T73" s="8">
        <f>IFERROR(__xludf.DUMMYFUNCTION("""COMPUTED_VALUE"""),0.0)</f>
        <v>0</v>
      </c>
      <c r="U73" s="8">
        <f>IFERROR(__xludf.DUMMYFUNCTION("""COMPUTED_VALUE"""),0.0)</f>
        <v>0</v>
      </c>
      <c r="V73" s="8">
        <f>IFERROR(__xludf.DUMMYFUNCTION("""COMPUTED_VALUE"""),0.0)</f>
        <v>0</v>
      </c>
      <c r="W73" s="8">
        <f>IFERROR(__xludf.DUMMYFUNCTION("""COMPUTED_VALUE"""),0.0)</f>
        <v>0</v>
      </c>
      <c r="X73" s="8">
        <f>IFERROR(__xludf.DUMMYFUNCTION("""COMPUTED_VALUE"""),0.0)</f>
        <v>0</v>
      </c>
      <c r="Y73" s="8">
        <f>IFERROR(__xludf.DUMMYFUNCTION("""COMPUTED_VALUE"""),0.0)</f>
        <v>0</v>
      </c>
      <c r="Z73" s="8">
        <f>IFERROR(__xludf.DUMMYFUNCTION("""COMPUTED_VALUE"""),0.0)</f>
        <v>0</v>
      </c>
      <c r="AA73" s="8">
        <f>IFERROR(__xludf.DUMMYFUNCTION("""COMPUTED_VALUE"""),0.0)</f>
        <v>0</v>
      </c>
      <c r="AB73" s="8">
        <f>IFERROR(__xludf.DUMMYFUNCTION("""COMPUTED_VALUE"""),0.0)</f>
        <v>0</v>
      </c>
      <c r="AC73" s="8">
        <f>IFERROR(__xludf.DUMMYFUNCTION("""COMPUTED_VALUE"""),0.0)</f>
        <v>0</v>
      </c>
    </row>
    <row r="74" ht="15.75" customHeight="1">
      <c r="A74" s="6" t="str">
        <f>IFERROR(__xludf.DUMMYFUNCTION("""COMPUTED_VALUE"""),"41fe3152f98c34f655d93ac2fc85bf506eac3371")</f>
        <v>41fe3152f98c34f655d93ac2fc85bf506eac3371</v>
      </c>
      <c r="B74" s="6" t="str">
        <f>IFERROR(__xludf.DUMMYFUNCTION("""COMPUTED_VALUE"""),"Owen &amp; Liam")</f>
        <v>Owen &amp; Liam</v>
      </c>
      <c r="C74" s="6" t="str">
        <f>IFERROR(__xludf.DUMMYFUNCTION("""COMPUTED_VALUE"""),"Romance")</f>
        <v>Romance</v>
      </c>
      <c r="D74" s="11">
        <f>IFERROR(__xludf.DUMMYFUNCTION("""COMPUTED_VALUE"""),20008.0)</f>
        <v>20008</v>
      </c>
      <c r="E74" s="8">
        <f>IFERROR(__xludf.DUMMYFUNCTION("""COMPUTED_VALUE"""),0.906309369063093)</f>
        <v>0.9063093691</v>
      </c>
      <c r="F74" s="8">
        <f>IFERROR(__xludf.DUMMYFUNCTION("""COMPUTED_VALUE"""),0.504527490119565)</f>
        <v>0.5045274901</v>
      </c>
      <c r="G74" s="8">
        <f>IFERROR(__xludf.DUMMYFUNCTION("""COMPUTED_VALUE"""),0.42379498473397)</f>
        <v>0.4237949847</v>
      </c>
      <c r="H74" s="8">
        <f>IFERROR(__xludf.DUMMYFUNCTION("""COMPUTED_VALUE"""),0.382766735092374)</f>
        <v>0.3827667351</v>
      </c>
      <c r="I74" s="8">
        <f>IFERROR(__xludf.DUMMYFUNCTION("""COMPUTED_VALUE"""),0.356144481739391)</f>
        <v>0.3561444817</v>
      </c>
      <c r="J74" s="8">
        <f>IFERROR(__xludf.DUMMYFUNCTION("""COMPUTED_VALUE"""),0.340349822081892)</f>
        <v>0.3403498221</v>
      </c>
      <c r="K74" s="8">
        <f>IFERROR(__xludf.DUMMYFUNCTION("""COMPUTED_VALUE"""),0.320934429516743)</f>
        <v>0.3209344295</v>
      </c>
      <c r="L74" s="8">
        <f>IFERROR(__xludf.DUMMYFUNCTION("""COMPUTED_VALUE"""),0.311644007424873)</f>
        <v>0.3116440074</v>
      </c>
      <c r="M74" s="8">
        <f>IFERROR(__xludf.DUMMYFUNCTION("""COMPUTED_VALUE"""),0.303121549734015)</f>
        <v>0.3031215497</v>
      </c>
      <c r="N74" s="8">
        <f>IFERROR(__xludf.DUMMYFUNCTION("""COMPUTED_VALUE"""),0.292794376098418)</f>
        <v>0.2927943761</v>
      </c>
      <c r="O74" s="8">
        <f>IFERROR(__xludf.DUMMYFUNCTION("""COMPUTED_VALUE"""),0.267800533387007)</f>
        <v>0.2678005334</v>
      </c>
      <c r="P74" s="8">
        <f>IFERROR(__xludf.DUMMYFUNCTION("""COMPUTED_VALUE"""),0.240084771419921)</f>
        <v>0.2400847714</v>
      </c>
      <c r="Q74" s="8">
        <f>IFERROR(__xludf.DUMMYFUNCTION("""COMPUTED_VALUE"""),0.190285110876451)</f>
        <v>0.1902851109</v>
      </c>
      <c r="R74" s="8">
        <f>IFERROR(__xludf.DUMMYFUNCTION("""COMPUTED_VALUE"""),0.148107546734364)</f>
        <v>0.1481075467</v>
      </c>
      <c r="S74" s="8">
        <f>IFERROR(__xludf.DUMMYFUNCTION("""COMPUTED_VALUE"""),0.127505396238051)</f>
        <v>0.1275053962</v>
      </c>
      <c r="T74" s="8">
        <f>IFERROR(__xludf.DUMMYFUNCTION("""COMPUTED_VALUE"""),0.112666610780451)</f>
        <v>0.1126666108</v>
      </c>
      <c r="U74" s="8">
        <f>IFERROR(__xludf.DUMMYFUNCTION("""COMPUTED_VALUE"""),0.101084326552558)</f>
        <v>0.1010843266</v>
      </c>
      <c r="V74" s="8">
        <f>IFERROR(__xludf.DUMMYFUNCTION("""COMPUTED_VALUE"""),0.0912331406551059)</f>
        <v>0.09123314066</v>
      </c>
      <c r="W74" s="8">
        <f>IFERROR(__xludf.DUMMYFUNCTION("""COMPUTED_VALUE"""),0.079932864785482)</f>
        <v>0.07993286479</v>
      </c>
      <c r="X74" s="8">
        <f>IFERROR(__xludf.DUMMYFUNCTION("""COMPUTED_VALUE"""),0.0714285714285714)</f>
        <v>0.07142857143</v>
      </c>
      <c r="Y74" s="8">
        <f>IFERROR(__xludf.DUMMYFUNCTION("""COMPUTED_VALUE"""),0.070777088653776)</f>
        <v>0.07077708865</v>
      </c>
      <c r="Z74" s="8">
        <f>IFERROR(__xludf.DUMMYFUNCTION("""COMPUTED_VALUE"""),0.1)</f>
        <v>0.1</v>
      </c>
      <c r="AA74" s="8">
        <f>IFERROR(__xludf.DUMMYFUNCTION("""COMPUTED_VALUE"""),0.0)</f>
        <v>0</v>
      </c>
      <c r="AB74" s="8">
        <f>IFERROR(__xludf.DUMMYFUNCTION("""COMPUTED_VALUE"""),0.0)</f>
        <v>0</v>
      </c>
      <c r="AC74" s="8">
        <f>IFERROR(__xludf.DUMMYFUNCTION("""COMPUTED_VALUE"""),0.0)</f>
        <v>0</v>
      </c>
    </row>
    <row r="75" ht="15.75" customHeight="1">
      <c r="A75" s="6" t="str">
        <f>IFERROR(__xludf.DUMMYFUNCTION("""COMPUTED_VALUE"""),"424b450dc35cc4bf4fc088069830e978aa97884a")</f>
        <v>424b450dc35cc4bf4fc088069830e978aa97884a</v>
      </c>
      <c r="B75" s="6" t="str">
        <f>IFERROR(__xludf.DUMMYFUNCTION("""COMPUTED_VALUE"""),"The Alpha's Witch")</f>
        <v>The Alpha's Witch</v>
      </c>
      <c r="C75" s="6" t="str">
        <f>IFERROR(__xludf.DUMMYFUNCTION("""COMPUTED_VALUE"""),"Romantasy")</f>
        <v>Romantasy</v>
      </c>
      <c r="D75" s="11">
        <f>IFERROR(__xludf.DUMMYFUNCTION("""COMPUTED_VALUE"""),2247.0)</f>
        <v>2247</v>
      </c>
      <c r="E75" s="8">
        <f>IFERROR(__xludf.DUMMYFUNCTION("""COMPUTED_VALUE"""),0.981300089047195)</f>
        <v>0.981300089</v>
      </c>
      <c r="F75" s="8">
        <f>IFERROR(__xludf.DUMMYFUNCTION("""COMPUTED_VALUE"""),0.485968819599109)</f>
        <v>0.4859688196</v>
      </c>
      <c r="G75" s="8">
        <f>IFERROR(__xludf.DUMMYFUNCTION("""COMPUTED_VALUE"""),0.43207126948775)</f>
        <v>0.4320712695</v>
      </c>
      <c r="H75" s="8">
        <f>IFERROR(__xludf.DUMMYFUNCTION("""COMPUTED_VALUE"""),0.379233511586452)</f>
        <v>0.3792335116</v>
      </c>
      <c r="I75" s="8">
        <f>IFERROR(__xludf.DUMMYFUNCTION("""COMPUTED_VALUE"""),0.348951360999553)</f>
        <v>0.348951361</v>
      </c>
      <c r="J75" s="8">
        <f>IFERROR(__xludf.DUMMYFUNCTION("""COMPUTED_VALUE"""),0.325737265415549)</f>
        <v>0.3257372654</v>
      </c>
      <c r="K75" s="8">
        <f>IFERROR(__xludf.DUMMYFUNCTION("""COMPUTED_VALUE"""),0.313366115333035)</f>
        <v>0.3133661153</v>
      </c>
      <c r="L75" s="8">
        <f>IFERROR(__xludf.DUMMYFUNCTION("""COMPUTED_VALUE"""),0.306040268456375)</f>
        <v>0.3060402685</v>
      </c>
      <c r="M75" s="8">
        <f>IFERROR(__xludf.DUMMYFUNCTION("""COMPUTED_VALUE"""),0.298072613177947)</f>
        <v>0.2980726132</v>
      </c>
      <c r="N75" s="8">
        <f>IFERROR(__xludf.DUMMYFUNCTION("""COMPUTED_VALUE"""),0.28488111260655)</f>
        <v>0.2848811126</v>
      </c>
      <c r="O75" s="8">
        <f>IFERROR(__xludf.DUMMYFUNCTION("""COMPUTED_VALUE"""),0.180350553505535)</f>
        <v>0.1803505535</v>
      </c>
      <c r="P75" s="8">
        <f>IFERROR(__xludf.DUMMYFUNCTION("""COMPUTED_VALUE"""),0.158141962421711)</f>
        <v>0.1581419624</v>
      </c>
      <c r="Q75" s="8">
        <f>IFERROR(__xludf.DUMMYFUNCTION("""COMPUTED_VALUE"""),0.124610591900311)</f>
        <v>0.1246105919</v>
      </c>
      <c r="R75" s="8">
        <f>IFERROR(__xludf.DUMMYFUNCTION("""COMPUTED_VALUE"""),0.0984848484848484)</f>
        <v>0.09848484848</v>
      </c>
      <c r="S75" s="8">
        <f>IFERROR(__xludf.DUMMYFUNCTION("""COMPUTED_VALUE"""),0.0)</f>
        <v>0</v>
      </c>
      <c r="T75" s="8">
        <f>IFERROR(__xludf.DUMMYFUNCTION("""COMPUTED_VALUE"""),0.0)</f>
        <v>0</v>
      </c>
      <c r="U75" s="8">
        <f>IFERROR(__xludf.DUMMYFUNCTION("""COMPUTED_VALUE"""),0.0)</f>
        <v>0</v>
      </c>
      <c r="V75" s="8">
        <f>IFERROR(__xludf.DUMMYFUNCTION("""COMPUTED_VALUE"""),0.0)</f>
        <v>0</v>
      </c>
      <c r="W75" s="8">
        <f>IFERROR(__xludf.DUMMYFUNCTION("""COMPUTED_VALUE"""),0.0)</f>
        <v>0</v>
      </c>
      <c r="X75" s="8">
        <f>IFERROR(__xludf.DUMMYFUNCTION("""COMPUTED_VALUE"""),0.0)</f>
        <v>0</v>
      </c>
      <c r="Y75" s="8">
        <f>IFERROR(__xludf.DUMMYFUNCTION("""COMPUTED_VALUE"""),0.0)</f>
        <v>0</v>
      </c>
      <c r="Z75" s="8">
        <f>IFERROR(__xludf.DUMMYFUNCTION("""COMPUTED_VALUE"""),0.0)</f>
        <v>0</v>
      </c>
      <c r="AA75" s="8">
        <f>IFERROR(__xludf.DUMMYFUNCTION("""COMPUTED_VALUE"""),0.0)</f>
        <v>0</v>
      </c>
      <c r="AB75" s="8">
        <f>IFERROR(__xludf.DUMMYFUNCTION("""COMPUTED_VALUE"""),0.0)</f>
        <v>0</v>
      </c>
      <c r="AC75" s="8">
        <f>IFERROR(__xludf.DUMMYFUNCTION("""COMPUTED_VALUE"""),0.0)</f>
        <v>0</v>
      </c>
    </row>
    <row r="76" ht="15.75" customHeight="1">
      <c r="A76" s="6" t="str">
        <f>IFERROR(__xludf.DUMMYFUNCTION("""COMPUTED_VALUE"""),"42515091e7b47b7b2d2381d7512fdb9f9866aa1e")</f>
        <v>42515091e7b47b7b2d2381d7512fdb9f9866aa1e</v>
      </c>
      <c r="B76" s="6" t="str">
        <f>IFERROR(__xludf.DUMMYFUNCTION("""COMPUTED_VALUE"""),"The Tomboy Love Story")</f>
        <v>The Tomboy Love Story</v>
      </c>
      <c r="C76" s="6" t="str">
        <f>IFERROR(__xludf.DUMMYFUNCTION("""COMPUTED_VALUE"""),"Romance")</f>
        <v>Romance</v>
      </c>
      <c r="D76" s="11">
        <f>IFERROR(__xludf.DUMMYFUNCTION("""COMPUTED_VALUE"""),5571.0)</f>
        <v>5571</v>
      </c>
      <c r="E76" s="8">
        <f>IFERROR(__xludf.DUMMYFUNCTION("""COMPUTED_VALUE"""),0.960237495501979)</f>
        <v>0.9602374955</v>
      </c>
      <c r="F76" s="8">
        <f>IFERROR(__xludf.DUMMYFUNCTION("""COMPUTED_VALUE"""),0.546224544963056)</f>
        <v>0.546224545</v>
      </c>
      <c r="G76" s="8">
        <f>IFERROR(__xludf.DUMMYFUNCTION("""COMPUTED_VALUE"""),0.468530207394048)</f>
        <v>0.4685302074</v>
      </c>
      <c r="H76" s="8">
        <f>IFERROR(__xludf.DUMMYFUNCTION("""COMPUTED_VALUE"""),0.429499909730998)</f>
        <v>0.4294999097</v>
      </c>
      <c r="I76" s="8">
        <f>IFERROR(__xludf.DUMMYFUNCTION("""COMPUTED_VALUE"""),0.405527456647398)</f>
        <v>0.4055274566</v>
      </c>
      <c r="J76" s="8">
        <f>IFERROR(__xludf.DUMMYFUNCTION("""COMPUTED_VALUE"""),0.387131754924995)</f>
        <v>0.3871317549</v>
      </c>
      <c r="K76" s="8">
        <f>IFERROR(__xludf.DUMMYFUNCTION("""COMPUTED_VALUE"""),0.376130198915009)</f>
        <v>0.3761301989</v>
      </c>
      <c r="L76" s="8">
        <f>IFERROR(__xludf.DUMMYFUNCTION("""COMPUTED_VALUE"""),0.366153846153846)</f>
        <v>0.3661538462</v>
      </c>
      <c r="M76" s="8">
        <f>IFERROR(__xludf.DUMMYFUNCTION("""COMPUTED_VALUE"""),0.358203549438609)</f>
        <v>0.3582035494</v>
      </c>
      <c r="N76" s="8">
        <f>IFERROR(__xludf.DUMMYFUNCTION("""COMPUTED_VALUE"""),0.351566745154863)</f>
        <v>0.3515667452</v>
      </c>
      <c r="O76" s="8">
        <f>IFERROR(__xludf.DUMMYFUNCTION("""COMPUTED_VALUE"""),0.324225865209471)</f>
        <v>0.3242258652</v>
      </c>
      <c r="P76" s="8">
        <f>IFERROR(__xludf.DUMMYFUNCTION("""COMPUTED_VALUE"""),0.241420353104542)</f>
        <v>0.2414203531</v>
      </c>
      <c r="Q76" s="8">
        <f>IFERROR(__xludf.DUMMYFUNCTION("""COMPUTED_VALUE"""),0.164199192462987)</f>
        <v>0.1641991925</v>
      </c>
      <c r="R76" s="8">
        <f>IFERROR(__xludf.DUMMYFUNCTION("""COMPUTED_VALUE"""),0.129757785467128)</f>
        <v>0.1297577855</v>
      </c>
      <c r="S76" s="8">
        <f>IFERROR(__xludf.DUMMYFUNCTION("""COMPUTED_VALUE"""),0.1)</f>
        <v>0.1</v>
      </c>
      <c r="T76" s="8">
        <f>IFERROR(__xludf.DUMMYFUNCTION("""COMPUTED_VALUE"""),0.0)</f>
        <v>0</v>
      </c>
      <c r="U76" s="8">
        <f>IFERROR(__xludf.DUMMYFUNCTION("""COMPUTED_VALUE"""),0.0)</f>
        <v>0</v>
      </c>
      <c r="V76" s="8">
        <f>IFERROR(__xludf.DUMMYFUNCTION("""COMPUTED_VALUE"""),0.0)</f>
        <v>0</v>
      </c>
      <c r="W76" s="8">
        <f>IFERROR(__xludf.DUMMYFUNCTION("""COMPUTED_VALUE"""),0.0)</f>
        <v>0</v>
      </c>
      <c r="X76" s="8">
        <f>IFERROR(__xludf.DUMMYFUNCTION("""COMPUTED_VALUE"""),0.0)</f>
        <v>0</v>
      </c>
      <c r="Y76" s="8">
        <f>IFERROR(__xludf.DUMMYFUNCTION("""COMPUTED_VALUE"""),0.0)</f>
        <v>0</v>
      </c>
      <c r="Z76" s="8">
        <f>IFERROR(__xludf.DUMMYFUNCTION("""COMPUTED_VALUE"""),0.0)</f>
        <v>0</v>
      </c>
      <c r="AA76" s="8">
        <f>IFERROR(__xludf.DUMMYFUNCTION("""COMPUTED_VALUE"""),0.0)</f>
        <v>0</v>
      </c>
      <c r="AB76" s="8">
        <f>IFERROR(__xludf.DUMMYFUNCTION("""COMPUTED_VALUE"""),0.0)</f>
        <v>0</v>
      </c>
      <c r="AC76" s="8">
        <f>IFERROR(__xludf.DUMMYFUNCTION("""COMPUTED_VALUE"""),0.0)</f>
        <v>0</v>
      </c>
    </row>
    <row r="77" ht="15.75" customHeight="1">
      <c r="A77" s="6" t="str">
        <f>IFERROR(__xludf.DUMMYFUNCTION("""COMPUTED_VALUE"""),"4335258b71733375cbccc0fbf7ce0bf0975b095d")</f>
        <v>4335258b71733375cbccc0fbf7ce0bf0975b095d</v>
      </c>
      <c r="B77" s="6" t="str">
        <f>IFERROR(__xludf.DUMMYFUNCTION("""COMPUTED_VALUE"""),"Alex &amp; the Prison System")</f>
        <v>Alex &amp; the Prison System</v>
      </c>
      <c r="C77" s="6" t="str">
        <f>IFERROR(__xludf.DUMMYFUNCTION("""COMPUTED_VALUE"""),"System and Superpower")</f>
        <v>System and Superpower</v>
      </c>
      <c r="D77" s="11">
        <f>IFERROR(__xludf.DUMMYFUNCTION("""COMPUTED_VALUE"""),428.0)</f>
        <v>428</v>
      </c>
      <c r="E77" s="8">
        <f>IFERROR(__xludf.DUMMYFUNCTION("""COMPUTED_VALUE"""),0.950934579439252)</f>
        <v>0.9509345794</v>
      </c>
      <c r="F77" s="8">
        <f>IFERROR(__xludf.DUMMYFUNCTION("""COMPUTED_VALUE"""),0.518691588785046)</f>
        <v>0.5186915888</v>
      </c>
      <c r="G77" s="8">
        <f>IFERROR(__xludf.DUMMYFUNCTION("""COMPUTED_VALUE"""),0.442622950819672)</f>
        <v>0.4426229508</v>
      </c>
      <c r="H77" s="8">
        <f>IFERROR(__xludf.DUMMYFUNCTION("""COMPUTED_VALUE"""),0.427230046948356)</f>
        <v>0.4272300469</v>
      </c>
      <c r="I77" s="8">
        <f>IFERROR(__xludf.DUMMYFUNCTION("""COMPUTED_VALUE"""),0.411764705882352)</f>
        <v>0.4117647059</v>
      </c>
      <c r="J77" s="8">
        <f>IFERROR(__xludf.DUMMYFUNCTION("""COMPUTED_VALUE"""),0.397647058823529)</f>
        <v>0.3976470588</v>
      </c>
      <c r="K77" s="8">
        <f>IFERROR(__xludf.DUMMYFUNCTION("""COMPUTED_VALUE"""),0.392941176470588)</f>
        <v>0.3929411765</v>
      </c>
      <c r="L77" s="8">
        <f>IFERROR(__xludf.DUMMYFUNCTION("""COMPUTED_VALUE"""),0.389150943396226)</f>
        <v>0.3891509434</v>
      </c>
      <c r="M77" s="8">
        <f>IFERROR(__xludf.DUMMYFUNCTION("""COMPUTED_VALUE"""),0.367924528301886)</f>
        <v>0.3679245283</v>
      </c>
      <c r="N77" s="8">
        <f>IFERROR(__xludf.DUMMYFUNCTION("""COMPUTED_VALUE"""),0.368794326241134)</f>
        <v>0.3687943262</v>
      </c>
      <c r="O77" s="8">
        <f>IFERROR(__xludf.DUMMYFUNCTION("""COMPUTED_VALUE"""),0.280397022332506)</f>
        <v>0.2803970223</v>
      </c>
      <c r="P77" s="8">
        <f>IFERROR(__xludf.DUMMYFUNCTION("""COMPUTED_VALUE"""),0.23219814241486)</f>
        <v>0.2321981424</v>
      </c>
      <c r="Q77" s="8">
        <f>IFERROR(__xludf.DUMMYFUNCTION("""COMPUTED_VALUE"""),0.225352112676056)</f>
        <v>0.2253521127</v>
      </c>
      <c r="R77" s="8">
        <f>IFERROR(__xludf.DUMMYFUNCTION("""COMPUTED_VALUE"""),0.31578947368421)</f>
        <v>0.3157894737</v>
      </c>
      <c r="S77" s="8">
        <f>IFERROR(__xludf.DUMMYFUNCTION("""COMPUTED_VALUE"""),0.0)</f>
        <v>0</v>
      </c>
      <c r="T77" s="8">
        <f>IFERROR(__xludf.DUMMYFUNCTION("""COMPUTED_VALUE"""),0.0)</f>
        <v>0</v>
      </c>
      <c r="U77" s="8">
        <f>IFERROR(__xludf.DUMMYFUNCTION("""COMPUTED_VALUE"""),0.0)</f>
        <v>0</v>
      </c>
      <c r="V77" s="8">
        <f>IFERROR(__xludf.DUMMYFUNCTION("""COMPUTED_VALUE"""),0.0)</f>
        <v>0</v>
      </c>
      <c r="W77" s="8">
        <f>IFERROR(__xludf.DUMMYFUNCTION("""COMPUTED_VALUE"""),0.0)</f>
        <v>0</v>
      </c>
      <c r="X77" s="8">
        <f>IFERROR(__xludf.DUMMYFUNCTION("""COMPUTED_VALUE"""),0.0)</f>
        <v>0</v>
      </c>
      <c r="Y77" s="8">
        <f>IFERROR(__xludf.DUMMYFUNCTION("""COMPUTED_VALUE"""),0.0)</f>
        <v>0</v>
      </c>
      <c r="Z77" s="8">
        <f>IFERROR(__xludf.DUMMYFUNCTION("""COMPUTED_VALUE"""),0.0)</f>
        <v>0</v>
      </c>
      <c r="AA77" s="8">
        <f>IFERROR(__xludf.DUMMYFUNCTION("""COMPUTED_VALUE"""),0.0)</f>
        <v>0</v>
      </c>
      <c r="AB77" s="8">
        <f>IFERROR(__xludf.DUMMYFUNCTION("""COMPUTED_VALUE"""),0.0)</f>
        <v>0</v>
      </c>
      <c r="AC77" s="8">
        <f>IFERROR(__xludf.DUMMYFUNCTION("""COMPUTED_VALUE"""),0.0)</f>
        <v>0</v>
      </c>
    </row>
    <row r="78" ht="15.75" customHeight="1">
      <c r="A78" s="6" t="str">
        <f>IFERROR(__xludf.DUMMYFUNCTION("""COMPUTED_VALUE"""),"43de49339ed40a2c4d8acef5644870ce292f541e")</f>
        <v>43de49339ed40a2c4d8acef5644870ce292f541e</v>
      </c>
      <c r="B78" s="6" t="str">
        <f>IFERROR(__xludf.DUMMYFUNCTION("""COMPUTED_VALUE"""),"Second Chances: Reborn to Be a CEO’s Wife")</f>
        <v>Second Chances: Reborn to Be a CEO’s Wife</v>
      </c>
      <c r="C78" s="6" t="str">
        <f>IFERROR(__xludf.DUMMYFUNCTION("""COMPUTED_VALUE"""),"Romance")</f>
        <v>Romance</v>
      </c>
      <c r="D78" s="11">
        <f>IFERROR(__xludf.DUMMYFUNCTION("""COMPUTED_VALUE"""),2443.0)</f>
        <v>2443</v>
      </c>
      <c r="E78" s="8">
        <f>IFERROR(__xludf.DUMMYFUNCTION("""COMPUTED_VALUE"""),0.947174447174447)</f>
        <v>0.9471744472</v>
      </c>
      <c r="F78" s="8">
        <f>IFERROR(__xludf.DUMMYFUNCTION("""COMPUTED_VALUE"""),0.510045100451004)</f>
        <v>0.5100451005</v>
      </c>
      <c r="G78" s="8">
        <f>IFERROR(__xludf.DUMMYFUNCTION("""COMPUTED_VALUE"""),0.450061652281134)</f>
        <v>0.4500616523</v>
      </c>
      <c r="H78" s="8">
        <f>IFERROR(__xludf.DUMMYFUNCTION("""COMPUTED_VALUE"""),0.401399752984767)</f>
        <v>0.401399753</v>
      </c>
      <c r="I78" s="8">
        <f>IFERROR(__xludf.DUMMYFUNCTION("""COMPUTED_VALUE"""),0.371393239901071)</f>
        <v>0.3713932399</v>
      </c>
      <c r="J78" s="8">
        <f>IFERROR(__xludf.DUMMYFUNCTION("""COMPUTED_VALUE"""),0.339661576557985)</f>
        <v>0.3396615766</v>
      </c>
      <c r="K78" s="8">
        <f>IFERROR(__xludf.DUMMYFUNCTION("""COMPUTED_VALUE"""),0.325062034739454)</f>
        <v>0.3250620347</v>
      </c>
      <c r="L78" s="8">
        <f>IFERROR(__xludf.DUMMYFUNCTION("""COMPUTED_VALUE"""),0.304023226876814)</f>
        <v>0.3040232269</v>
      </c>
      <c r="M78" s="8">
        <f>IFERROR(__xludf.DUMMYFUNCTION("""COMPUTED_VALUE"""),0.273142382731423)</f>
        <v>0.2731423827</v>
      </c>
      <c r="N78" s="8">
        <f>IFERROR(__xludf.DUMMYFUNCTION("""COMPUTED_VALUE"""),0.252701579384871)</f>
        <v>0.2527015794</v>
      </c>
      <c r="O78" s="8">
        <f>IFERROR(__xludf.DUMMYFUNCTION("""COMPUTED_VALUE"""),0.221431561322729)</f>
        <v>0.2214315613</v>
      </c>
      <c r="P78" s="8">
        <f>IFERROR(__xludf.DUMMYFUNCTION("""COMPUTED_VALUE"""),0.107112616426756)</f>
        <v>0.1071126164</v>
      </c>
      <c r="Q78" s="8">
        <f>IFERROR(__xludf.DUMMYFUNCTION("""COMPUTED_VALUE"""),0.0228153250107619)</f>
        <v>0.02281532501</v>
      </c>
      <c r="R78" s="8">
        <f>IFERROR(__xludf.DUMMYFUNCTION("""COMPUTED_VALUE"""),0.0)</f>
        <v>0</v>
      </c>
      <c r="S78" s="8">
        <f>IFERROR(__xludf.DUMMYFUNCTION("""COMPUTED_VALUE"""),0.0)</f>
        <v>0</v>
      </c>
      <c r="T78" s="8">
        <f>IFERROR(__xludf.DUMMYFUNCTION("""COMPUTED_VALUE"""),0.0)</f>
        <v>0</v>
      </c>
      <c r="U78" s="8">
        <f>IFERROR(__xludf.DUMMYFUNCTION("""COMPUTED_VALUE"""),0.0)</f>
        <v>0</v>
      </c>
      <c r="V78" s="8">
        <f>IFERROR(__xludf.DUMMYFUNCTION("""COMPUTED_VALUE"""),0.0)</f>
        <v>0</v>
      </c>
      <c r="W78" s="8">
        <f>IFERROR(__xludf.DUMMYFUNCTION("""COMPUTED_VALUE"""),0.0)</f>
        <v>0</v>
      </c>
      <c r="X78" s="8">
        <f>IFERROR(__xludf.DUMMYFUNCTION("""COMPUTED_VALUE"""),0.0)</f>
        <v>0</v>
      </c>
      <c r="Y78" s="8">
        <f>IFERROR(__xludf.DUMMYFUNCTION("""COMPUTED_VALUE"""),0.0)</f>
        <v>0</v>
      </c>
      <c r="Z78" s="8">
        <f>IFERROR(__xludf.DUMMYFUNCTION("""COMPUTED_VALUE"""),0.0)</f>
        <v>0</v>
      </c>
      <c r="AA78" s="8">
        <f>IFERROR(__xludf.DUMMYFUNCTION("""COMPUTED_VALUE"""),0.0)</f>
        <v>0</v>
      </c>
      <c r="AB78" s="8">
        <f>IFERROR(__xludf.DUMMYFUNCTION("""COMPUTED_VALUE"""),0.0)</f>
        <v>0</v>
      </c>
      <c r="AC78" s="8">
        <f>IFERROR(__xludf.DUMMYFUNCTION("""COMPUTED_VALUE"""),0.0)</f>
        <v>0</v>
      </c>
    </row>
    <row r="79" ht="15.75" customHeight="1">
      <c r="A79" s="6" t="str">
        <f>IFERROR(__xludf.DUMMYFUNCTION("""COMPUTED_VALUE"""),"442d4dce8ca376c2bb4438209980daa53b761b51")</f>
        <v>442d4dce8ca376c2bb4438209980daa53b761b51</v>
      </c>
      <c r="B79" s="6" t="str">
        <f>IFERROR(__xludf.DUMMYFUNCTION("""COMPUTED_VALUE"""),"Rejected and Craved")</f>
        <v>Rejected and Craved</v>
      </c>
      <c r="C79" s="6" t="str">
        <f>IFERROR(__xludf.DUMMYFUNCTION("""COMPUTED_VALUE"""),"Romantasy")</f>
        <v>Romantasy</v>
      </c>
      <c r="D79" s="11">
        <f>IFERROR(__xludf.DUMMYFUNCTION("""COMPUTED_VALUE"""),1249.0)</f>
        <v>1249</v>
      </c>
      <c r="E79" s="8">
        <f>IFERROR(__xludf.DUMMYFUNCTION("""COMPUTED_VALUE"""),0.957566052842273)</f>
        <v>0.9575660528</v>
      </c>
      <c r="F79" s="8">
        <f>IFERROR(__xludf.DUMMYFUNCTION("""COMPUTED_VALUE"""),0.604166666666666)</f>
        <v>0.6041666667</v>
      </c>
      <c r="G79" s="8">
        <f>IFERROR(__xludf.DUMMYFUNCTION("""COMPUTED_VALUE"""),0.571428571428571)</f>
        <v>0.5714285714</v>
      </c>
      <c r="H79" s="8">
        <f>IFERROR(__xludf.DUMMYFUNCTION("""COMPUTED_VALUE"""),0.559839357429718)</f>
        <v>0.5598393574</v>
      </c>
      <c r="I79" s="8">
        <f>IFERROR(__xludf.DUMMYFUNCTION("""COMPUTED_VALUE"""),0.539516129032258)</f>
        <v>0.539516129</v>
      </c>
      <c r="J79" s="8">
        <f>IFERROR(__xludf.DUMMYFUNCTION("""COMPUTED_VALUE"""),0.508103727714748)</f>
        <v>0.5081037277</v>
      </c>
      <c r="K79" s="8">
        <f>IFERROR(__xludf.DUMMYFUNCTION("""COMPUTED_VALUE"""),0.491484184914841)</f>
        <v>0.4914841849</v>
      </c>
      <c r="L79" s="8">
        <f>IFERROR(__xludf.DUMMYFUNCTION("""COMPUTED_VALUE"""),0.476885644768856)</f>
        <v>0.4768856448</v>
      </c>
      <c r="M79" s="8">
        <f>IFERROR(__xludf.DUMMYFUNCTION("""COMPUTED_VALUE"""),0.482562854825628)</f>
        <v>0.4825628548</v>
      </c>
      <c r="N79" s="8">
        <f>IFERROR(__xludf.DUMMYFUNCTION("""COMPUTED_VALUE"""),0.456609894566098)</f>
        <v>0.4566098946</v>
      </c>
      <c r="O79" s="8">
        <f>IFERROR(__xludf.DUMMYFUNCTION("""COMPUTED_VALUE"""),0.384484228473998)</f>
        <v>0.3844842285</v>
      </c>
      <c r="P79" s="8">
        <f>IFERROR(__xludf.DUMMYFUNCTION("""COMPUTED_VALUE"""),0.261261261261261)</f>
        <v>0.2612612613</v>
      </c>
      <c r="Q79" s="8">
        <f>IFERROR(__xludf.DUMMYFUNCTION("""COMPUTED_VALUE"""),0.0830324909747292)</f>
        <v>0.08303249097</v>
      </c>
      <c r="R79" s="8">
        <f>IFERROR(__xludf.DUMMYFUNCTION("""COMPUTED_VALUE"""),0.0)</f>
        <v>0</v>
      </c>
      <c r="S79" s="8">
        <f>IFERROR(__xludf.DUMMYFUNCTION("""COMPUTED_VALUE"""),0.0)</f>
        <v>0</v>
      </c>
      <c r="T79" s="8">
        <f>IFERROR(__xludf.DUMMYFUNCTION("""COMPUTED_VALUE"""),0.0)</f>
        <v>0</v>
      </c>
      <c r="U79" s="8">
        <f>IFERROR(__xludf.DUMMYFUNCTION("""COMPUTED_VALUE"""),0.0)</f>
        <v>0</v>
      </c>
      <c r="V79" s="8">
        <f>IFERROR(__xludf.DUMMYFUNCTION("""COMPUTED_VALUE"""),0.0)</f>
        <v>0</v>
      </c>
      <c r="W79" s="8">
        <f>IFERROR(__xludf.DUMMYFUNCTION("""COMPUTED_VALUE"""),0.0)</f>
        <v>0</v>
      </c>
      <c r="X79" s="8">
        <f>IFERROR(__xludf.DUMMYFUNCTION("""COMPUTED_VALUE"""),0.0)</f>
        <v>0</v>
      </c>
      <c r="Y79" s="8">
        <f>IFERROR(__xludf.DUMMYFUNCTION("""COMPUTED_VALUE"""),0.0)</f>
        <v>0</v>
      </c>
      <c r="Z79" s="8">
        <f>IFERROR(__xludf.DUMMYFUNCTION("""COMPUTED_VALUE"""),0.0)</f>
        <v>0</v>
      </c>
      <c r="AA79" s="8">
        <f>IFERROR(__xludf.DUMMYFUNCTION("""COMPUTED_VALUE"""),0.0)</f>
        <v>0</v>
      </c>
      <c r="AB79" s="8">
        <f>IFERROR(__xludf.DUMMYFUNCTION("""COMPUTED_VALUE"""),0.0)</f>
        <v>0</v>
      </c>
      <c r="AC79" s="8">
        <f>IFERROR(__xludf.DUMMYFUNCTION("""COMPUTED_VALUE"""),0.0)</f>
        <v>0</v>
      </c>
    </row>
    <row r="80" ht="15.75" customHeight="1">
      <c r="A80" s="6" t="str">
        <f>IFERROR(__xludf.DUMMYFUNCTION("""COMPUTED_VALUE"""),"446d5769edafce0d5daf04c6cfc40515f289004f")</f>
        <v>446d5769edafce0d5daf04c6cfc40515f289004f</v>
      </c>
      <c r="B80" s="6" t="str">
        <f>IFERROR(__xludf.DUMMYFUNCTION("""COMPUTED_VALUE"""),"The Cloaked Mogul")</f>
        <v>The Cloaked Mogul</v>
      </c>
      <c r="C80" s="6" t="str">
        <f>IFERROR(__xludf.DUMMYFUNCTION("""COMPUTED_VALUE"""),"Drama")</f>
        <v>Drama</v>
      </c>
      <c r="D80" s="11">
        <f>IFERROR(__xludf.DUMMYFUNCTION("""COMPUTED_VALUE"""),3568.0)</f>
        <v>3568</v>
      </c>
      <c r="E80" s="8">
        <f>IFERROR(__xludf.DUMMYFUNCTION("""COMPUTED_VALUE"""),0.94020213363279)</f>
        <v>0.9402021336</v>
      </c>
      <c r="F80" s="8">
        <f>IFERROR(__xludf.DUMMYFUNCTION("""COMPUTED_VALUE"""),0.33840518455903)</f>
        <v>0.3384051846</v>
      </c>
      <c r="G80" s="8">
        <f>IFERROR(__xludf.DUMMYFUNCTION("""COMPUTED_VALUE"""),0.296013570822731)</f>
        <v>0.2960135708</v>
      </c>
      <c r="H80" s="8">
        <f>IFERROR(__xludf.DUMMYFUNCTION("""COMPUTED_VALUE"""),0.276420454545454)</f>
        <v>0.2764204545</v>
      </c>
      <c r="I80" s="8">
        <f>IFERROR(__xludf.DUMMYFUNCTION("""COMPUTED_VALUE"""),0.257485029940119)</f>
        <v>0.2574850299</v>
      </c>
      <c r="J80" s="8">
        <f>IFERROR(__xludf.DUMMYFUNCTION("""COMPUTED_VALUE"""),0.245619074978454)</f>
        <v>0.245619075</v>
      </c>
      <c r="K80" s="8">
        <f>IFERROR(__xludf.DUMMYFUNCTION("""COMPUTED_VALUE"""),0.238385598141695)</f>
        <v>0.2383855981</v>
      </c>
      <c r="L80" s="8">
        <f>IFERROR(__xludf.DUMMYFUNCTION("""COMPUTED_VALUE"""),0.235087719298245)</f>
        <v>0.2350877193</v>
      </c>
      <c r="M80" s="8">
        <f>IFERROR(__xludf.DUMMYFUNCTION("""COMPUTED_VALUE"""),0.230859489586388)</f>
        <v>0.2308594896</v>
      </c>
      <c r="N80" s="8">
        <f>IFERROR(__xludf.DUMMYFUNCTION("""COMPUTED_VALUE"""),0.226120283018867)</f>
        <v>0.226120283</v>
      </c>
      <c r="O80" s="8">
        <f>IFERROR(__xludf.DUMMYFUNCTION("""COMPUTED_VALUE"""),0.211034066927946)</f>
        <v>0.2110340669</v>
      </c>
      <c r="P80" s="8">
        <f>IFERROR(__xludf.DUMMYFUNCTION("""COMPUTED_VALUE"""),0.164298949969116)</f>
        <v>0.16429895</v>
      </c>
      <c r="Q80" s="8">
        <f>IFERROR(__xludf.DUMMYFUNCTION("""COMPUTED_VALUE"""),0.116962843295638)</f>
        <v>0.1169628433</v>
      </c>
      <c r="R80" s="8">
        <f>IFERROR(__xludf.DUMMYFUNCTION("""COMPUTED_VALUE"""),0.0808714918759231)</f>
        <v>0.08087149188</v>
      </c>
      <c r="S80" s="8">
        <f>IFERROR(__xludf.DUMMYFUNCTION("""COMPUTED_VALUE"""),0.0828877005347593)</f>
        <v>0.08288770053</v>
      </c>
      <c r="T80" s="8">
        <f>IFERROR(__xludf.DUMMYFUNCTION("""COMPUTED_VALUE"""),0.0875451263537906)</f>
        <v>0.08754512635</v>
      </c>
      <c r="U80" s="8">
        <f>IFERROR(__xludf.DUMMYFUNCTION("""COMPUTED_VALUE"""),0.0698869475847893)</f>
        <v>0.06988694758</v>
      </c>
      <c r="V80" s="8">
        <f>IFERROR(__xludf.DUMMYFUNCTION("""COMPUTED_VALUE"""),0.0546583850931677)</f>
        <v>0.05465838509</v>
      </c>
      <c r="W80" s="8">
        <f>IFERROR(__xludf.DUMMYFUNCTION("""COMPUTED_VALUE"""),0.0350877192982456)</f>
        <v>0.0350877193</v>
      </c>
      <c r="X80" s="8">
        <f>IFERROR(__xludf.DUMMYFUNCTION("""COMPUTED_VALUE"""),0.0)</f>
        <v>0</v>
      </c>
      <c r="Y80" s="8">
        <f>IFERROR(__xludf.DUMMYFUNCTION("""COMPUTED_VALUE"""),0.0)</f>
        <v>0</v>
      </c>
      <c r="Z80" s="8">
        <f>IFERROR(__xludf.DUMMYFUNCTION("""COMPUTED_VALUE"""),0.0)</f>
        <v>0</v>
      </c>
      <c r="AA80" s="8">
        <f>IFERROR(__xludf.DUMMYFUNCTION("""COMPUTED_VALUE"""),0.0)</f>
        <v>0</v>
      </c>
      <c r="AB80" s="8">
        <f>IFERROR(__xludf.DUMMYFUNCTION("""COMPUTED_VALUE"""),0.0)</f>
        <v>0</v>
      </c>
      <c r="AC80" s="8">
        <f>IFERROR(__xludf.DUMMYFUNCTION("""COMPUTED_VALUE"""),0.0)</f>
        <v>0</v>
      </c>
    </row>
    <row r="81" ht="15.75" customHeight="1">
      <c r="A81" s="6" t="str">
        <f>IFERROR(__xludf.DUMMYFUNCTION("""COMPUTED_VALUE"""),"44c616c59b6b2cd7fcb80263ece968b250ad9dbe")</f>
        <v>44c616c59b6b2cd7fcb80263ece968b250ad9dbe</v>
      </c>
      <c r="B81" s="6" t="str">
        <f>IFERROR(__xludf.DUMMYFUNCTION("""COMPUTED_VALUE"""),"Supreme Miracle Doctor")</f>
        <v>Supreme Miracle Doctor</v>
      </c>
      <c r="C81" s="6" t="str">
        <f>IFERROR(__xludf.DUMMYFUNCTION("""COMPUTED_VALUE"""),"Drama")</f>
        <v>Drama</v>
      </c>
      <c r="D81" s="11">
        <f>IFERROR(__xludf.DUMMYFUNCTION("""COMPUTED_VALUE"""),420.0)</f>
        <v>420</v>
      </c>
      <c r="E81" s="8">
        <f>IFERROR(__xludf.DUMMYFUNCTION("""COMPUTED_VALUE"""),0.985576923076923)</f>
        <v>0.9855769231</v>
      </c>
      <c r="F81" s="8">
        <f>IFERROR(__xludf.DUMMYFUNCTION("""COMPUTED_VALUE"""),0.482233502538071)</f>
        <v>0.4822335025</v>
      </c>
      <c r="G81" s="8">
        <f>IFERROR(__xludf.DUMMYFUNCTION("""COMPUTED_VALUE"""),0.421052631578947)</f>
        <v>0.4210526316</v>
      </c>
      <c r="H81" s="8">
        <f>IFERROR(__xludf.DUMMYFUNCTION("""COMPUTED_VALUE"""),0.368852459016393)</f>
        <v>0.368852459</v>
      </c>
      <c r="I81" s="8">
        <f>IFERROR(__xludf.DUMMYFUNCTION("""COMPUTED_VALUE"""),0.348314606741573)</f>
        <v>0.3483146067</v>
      </c>
      <c r="J81" s="8">
        <f>IFERROR(__xludf.DUMMYFUNCTION("""COMPUTED_VALUE"""),0.305637982195845)</f>
        <v>0.3056379822</v>
      </c>
      <c r="K81" s="8">
        <f>IFERROR(__xludf.DUMMYFUNCTION("""COMPUTED_VALUE"""),0.281818181818181)</f>
        <v>0.2818181818</v>
      </c>
      <c r="L81" s="8">
        <f>IFERROR(__xludf.DUMMYFUNCTION("""COMPUTED_VALUE"""),0.273615635179153)</f>
        <v>0.2736156352</v>
      </c>
      <c r="M81" s="8">
        <f>IFERROR(__xludf.DUMMYFUNCTION("""COMPUTED_VALUE"""),0.239864864864864)</f>
        <v>0.2398648649</v>
      </c>
      <c r="N81" s="8">
        <f>IFERROR(__xludf.DUMMYFUNCTION("""COMPUTED_VALUE"""),0.221052631578947)</f>
        <v>0.2210526316</v>
      </c>
      <c r="O81" s="8">
        <f>IFERROR(__xludf.DUMMYFUNCTION("""COMPUTED_VALUE"""),0.108597285067873)</f>
        <v>0.1085972851</v>
      </c>
      <c r="P81" s="8">
        <f>IFERROR(__xludf.DUMMYFUNCTION("""COMPUTED_VALUE"""),0.0620155038759689)</f>
        <v>0.06201550388</v>
      </c>
      <c r="Q81" s="8">
        <f>IFERROR(__xludf.DUMMYFUNCTION("""COMPUTED_VALUE"""),0.0)</f>
        <v>0</v>
      </c>
      <c r="R81" s="8">
        <f>IFERROR(__xludf.DUMMYFUNCTION("""COMPUTED_VALUE"""),0.0)</f>
        <v>0</v>
      </c>
      <c r="S81" s="8">
        <f>IFERROR(__xludf.DUMMYFUNCTION("""COMPUTED_VALUE"""),0.0)</f>
        <v>0</v>
      </c>
      <c r="T81" s="8">
        <f>IFERROR(__xludf.DUMMYFUNCTION("""COMPUTED_VALUE"""),0.0)</f>
        <v>0</v>
      </c>
      <c r="U81" s="8">
        <f>IFERROR(__xludf.DUMMYFUNCTION("""COMPUTED_VALUE"""),0.0)</f>
        <v>0</v>
      </c>
      <c r="V81" s="8">
        <f>IFERROR(__xludf.DUMMYFUNCTION("""COMPUTED_VALUE"""),0.0)</f>
        <v>0</v>
      </c>
      <c r="W81" s="8">
        <f>IFERROR(__xludf.DUMMYFUNCTION("""COMPUTED_VALUE"""),0.0)</f>
        <v>0</v>
      </c>
      <c r="X81" s="8">
        <f>IFERROR(__xludf.DUMMYFUNCTION("""COMPUTED_VALUE"""),0.0)</f>
        <v>0</v>
      </c>
      <c r="Y81" s="8">
        <f>IFERROR(__xludf.DUMMYFUNCTION("""COMPUTED_VALUE"""),0.0)</f>
        <v>0</v>
      </c>
      <c r="Z81" s="8">
        <f>IFERROR(__xludf.DUMMYFUNCTION("""COMPUTED_VALUE"""),0.0)</f>
        <v>0</v>
      </c>
      <c r="AA81" s="8">
        <f>IFERROR(__xludf.DUMMYFUNCTION("""COMPUTED_VALUE"""),0.0)</f>
        <v>0</v>
      </c>
      <c r="AB81" s="8">
        <f>IFERROR(__xludf.DUMMYFUNCTION("""COMPUTED_VALUE"""),0.0)</f>
        <v>0</v>
      </c>
      <c r="AC81" s="8">
        <f>IFERROR(__xludf.DUMMYFUNCTION("""COMPUTED_VALUE"""),0.0)</f>
        <v>0</v>
      </c>
    </row>
    <row r="82" ht="15.75" customHeight="1">
      <c r="A82" s="6" t="str">
        <f>IFERROR(__xludf.DUMMYFUNCTION("""COMPUTED_VALUE"""),"44f5a6fb4876567a5eec3722df1d0a3d436d8bdf")</f>
        <v>44f5a6fb4876567a5eec3722df1d0a3d436d8bdf</v>
      </c>
      <c r="B82" s="6" t="str">
        <f>IFERROR(__xludf.DUMMYFUNCTION("""COMPUTED_VALUE"""),"Alpha Kyros")</f>
        <v>Alpha Kyros</v>
      </c>
      <c r="C82" s="6" t="str">
        <f>IFERROR(__xludf.DUMMYFUNCTION("""COMPUTED_VALUE"""),"Romantasy")</f>
        <v>Romantasy</v>
      </c>
      <c r="D82" s="11">
        <f>IFERROR(__xludf.DUMMYFUNCTION("""COMPUTED_VALUE"""),7357.0)</f>
        <v>7357</v>
      </c>
      <c r="E82" s="8">
        <f>IFERROR(__xludf.DUMMYFUNCTION("""COMPUTED_VALUE"""),0.95890597360185)</f>
        <v>0.9589059736</v>
      </c>
      <c r="F82" s="8">
        <f>IFERROR(__xludf.DUMMYFUNCTION("""COMPUTED_VALUE"""),0.590141612200435)</f>
        <v>0.5901416122</v>
      </c>
      <c r="G82" s="8">
        <f>IFERROR(__xludf.DUMMYFUNCTION("""COMPUTED_VALUE"""),0.538346274349543)</f>
        <v>0.5383462743</v>
      </c>
      <c r="H82" s="8">
        <f>IFERROR(__xludf.DUMMYFUNCTION("""COMPUTED_VALUE"""),0.514854183701281)</f>
        <v>0.5148541837</v>
      </c>
      <c r="I82" s="8">
        <f>IFERROR(__xludf.DUMMYFUNCTION("""COMPUTED_VALUE"""),0.499113596072548)</f>
        <v>0.4991135961</v>
      </c>
      <c r="J82" s="8">
        <f>IFERROR(__xludf.DUMMYFUNCTION("""COMPUTED_VALUE"""),0.480354706684856)</f>
        <v>0.4803547067</v>
      </c>
      <c r="K82" s="8">
        <f>IFERROR(__xludf.DUMMYFUNCTION("""COMPUTED_VALUE"""),0.467376467376467)</f>
        <v>0.4673764674</v>
      </c>
      <c r="L82" s="8">
        <f>IFERROR(__xludf.DUMMYFUNCTION("""COMPUTED_VALUE"""),0.45790049207217)</f>
        <v>0.4579004921</v>
      </c>
      <c r="M82" s="8">
        <f>IFERROR(__xludf.DUMMYFUNCTION("""COMPUTED_VALUE"""),0.44567597153804)</f>
        <v>0.4456759715</v>
      </c>
      <c r="N82" s="8">
        <f>IFERROR(__xludf.DUMMYFUNCTION("""COMPUTED_VALUE"""),0.435647639956092)</f>
        <v>0.43564764</v>
      </c>
      <c r="O82" s="8">
        <f>IFERROR(__xludf.DUMMYFUNCTION("""COMPUTED_VALUE"""),0.38530670470756)</f>
        <v>0.3853067047</v>
      </c>
      <c r="P82" s="8">
        <f>IFERROR(__xludf.DUMMYFUNCTION("""COMPUTED_VALUE"""),0.322800194457948)</f>
        <v>0.3228001945</v>
      </c>
      <c r="Q82" s="8">
        <f>IFERROR(__xludf.DUMMYFUNCTION("""COMPUTED_VALUE"""),0.188181498417164)</f>
        <v>0.1881814984</v>
      </c>
      <c r="R82" s="8">
        <f>IFERROR(__xludf.DUMMYFUNCTION("""COMPUTED_VALUE"""),0.0645879732739421)</f>
        <v>0.06458797327</v>
      </c>
      <c r="S82" s="8">
        <f>IFERROR(__xludf.DUMMYFUNCTION("""COMPUTED_VALUE"""),0.0)</f>
        <v>0</v>
      </c>
      <c r="T82" s="8">
        <f>IFERROR(__xludf.DUMMYFUNCTION("""COMPUTED_VALUE"""),0.0)</f>
        <v>0</v>
      </c>
      <c r="U82" s="8">
        <f>IFERROR(__xludf.DUMMYFUNCTION("""COMPUTED_VALUE"""),0.0)</f>
        <v>0</v>
      </c>
      <c r="V82" s="8">
        <f>IFERROR(__xludf.DUMMYFUNCTION("""COMPUTED_VALUE"""),0.0)</f>
        <v>0</v>
      </c>
      <c r="W82" s="8">
        <f>IFERROR(__xludf.DUMMYFUNCTION("""COMPUTED_VALUE"""),0.0)</f>
        <v>0</v>
      </c>
      <c r="X82" s="8">
        <f>IFERROR(__xludf.DUMMYFUNCTION("""COMPUTED_VALUE"""),0.0)</f>
        <v>0</v>
      </c>
      <c r="Y82" s="8">
        <f>IFERROR(__xludf.DUMMYFUNCTION("""COMPUTED_VALUE"""),0.0)</f>
        <v>0</v>
      </c>
      <c r="Z82" s="8">
        <f>IFERROR(__xludf.DUMMYFUNCTION("""COMPUTED_VALUE"""),0.0)</f>
        <v>0</v>
      </c>
      <c r="AA82" s="8">
        <f>IFERROR(__xludf.DUMMYFUNCTION("""COMPUTED_VALUE"""),0.0)</f>
        <v>0</v>
      </c>
      <c r="AB82" s="8">
        <f>IFERROR(__xludf.DUMMYFUNCTION("""COMPUTED_VALUE"""),0.0)</f>
        <v>0</v>
      </c>
      <c r="AC82" s="8">
        <f>IFERROR(__xludf.DUMMYFUNCTION("""COMPUTED_VALUE"""),0.0)</f>
        <v>0</v>
      </c>
    </row>
    <row r="83" ht="15.75" customHeight="1">
      <c r="A83" s="6" t="str">
        <f>IFERROR(__xludf.DUMMYFUNCTION("""COMPUTED_VALUE"""),"462b561ac0c6d238fc5ed6d8ce632a9e6a2152d9")</f>
        <v>462b561ac0c6d238fc5ed6d8ce632a9e6a2152d9</v>
      </c>
      <c r="B83" s="6" t="str">
        <f>IFERROR(__xludf.DUMMYFUNCTION("""COMPUTED_VALUE"""),"My Billionaire System")</f>
        <v>My Billionaire System</v>
      </c>
      <c r="C83" s="6" t="str">
        <f>IFERROR(__xludf.DUMMYFUNCTION("""COMPUTED_VALUE"""),"System and Superpower")</f>
        <v>System and Superpower</v>
      </c>
      <c r="D83" s="11">
        <f>IFERROR(__xludf.DUMMYFUNCTION("""COMPUTED_VALUE"""),257.0)</f>
        <v>257</v>
      </c>
      <c r="E83" s="8">
        <f>IFERROR(__xludf.DUMMYFUNCTION("""COMPUTED_VALUE"""),0.9609375)</f>
        <v>0.9609375</v>
      </c>
      <c r="F83" s="8">
        <f>IFERROR(__xludf.DUMMYFUNCTION("""COMPUTED_VALUE"""),0.474509803921568)</f>
        <v>0.4745098039</v>
      </c>
      <c r="G83" s="8">
        <f>IFERROR(__xludf.DUMMYFUNCTION("""COMPUTED_VALUE"""),0.409448818897637)</f>
        <v>0.4094488189</v>
      </c>
      <c r="H83" s="8">
        <f>IFERROR(__xludf.DUMMYFUNCTION("""COMPUTED_VALUE"""),0.358267716535433)</f>
        <v>0.3582677165</v>
      </c>
      <c r="I83" s="8">
        <f>IFERROR(__xludf.DUMMYFUNCTION("""COMPUTED_VALUE"""),0.309523809523809)</f>
        <v>0.3095238095</v>
      </c>
      <c r="J83" s="8">
        <f>IFERROR(__xludf.DUMMYFUNCTION("""COMPUTED_VALUE"""),0.269076305220883)</f>
        <v>0.2690763052</v>
      </c>
      <c r="K83" s="8">
        <f>IFERROR(__xludf.DUMMYFUNCTION("""COMPUTED_VALUE"""),0.225806451612903)</f>
        <v>0.2258064516</v>
      </c>
      <c r="L83" s="8">
        <f>IFERROR(__xludf.DUMMYFUNCTION("""COMPUTED_VALUE"""),0.215189873417721)</f>
        <v>0.2151898734</v>
      </c>
      <c r="M83" s="8">
        <f>IFERROR(__xludf.DUMMYFUNCTION("""COMPUTED_VALUE"""),0.199134199134199)</f>
        <v>0.1991341991</v>
      </c>
      <c r="N83" s="8">
        <f>IFERROR(__xludf.DUMMYFUNCTION("""COMPUTED_VALUE"""),0.174757281553398)</f>
        <v>0.1747572816</v>
      </c>
      <c r="O83" s="8">
        <f>IFERROR(__xludf.DUMMYFUNCTION("""COMPUTED_VALUE"""),0.125874125874125)</f>
        <v>0.1258741259</v>
      </c>
      <c r="P83" s="8">
        <f>IFERROR(__xludf.DUMMYFUNCTION("""COMPUTED_VALUE"""),0.121621621621621)</f>
        <v>0.1216216216</v>
      </c>
      <c r="Q83" s="8">
        <f>IFERROR(__xludf.DUMMYFUNCTION("""COMPUTED_VALUE"""),0.0)</f>
        <v>0</v>
      </c>
      <c r="R83" s="8">
        <f>IFERROR(__xludf.DUMMYFUNCTION("""COMPUTED_VALUE"""),0.0)</f>
        <v>0</v>
      </c>
      <c r="S83" s="8">
        <f>IFERROR(__xludf.DUMMYFUNCTION("""COMPUTED_VALUE"""),0.0)</f>
        <v>0</v>
      </c>
      <c r="T83" s="8">
        <f>IFERROR(__xludf.DUMMYFUNCTION("""COMPUTED_VALUE"""),0.0)</f>
        <v>0</v>
      </c>
      <c r="U83" s="8">
        <f>IFERROR(__xludf.DUMMYFUNCTION("""COMPUTED_VALUE"""),0.0)</f>
        <v>0</v>
      </c>
      <c r="V83" s="8">
        <f>IFERROR(__xludf.DUMMYFUNCTION("""COMPUTED_VALUE"""),0.0)</f>
        <v>0</v>
      </c>
      <c r="W83" s="8">
        <f>IFERROR(__xludf.DUMMYFUNCTION("""COMPUTED_VALUE"""),0.0)</f>
        <v>0</v>
      </c>
      <c r="X83" s="8">
        <f>IFERROR(__xludf.DUMMYFUNCTION("""COMPUTED_VALUE"""),0.0)</f>
        <v>0</v>
      </c>
      <c r="Y83" s="8">
        <f>IFERROR(__xludf.DUMMYFUNCTION("""COMPUTED_VALUE"""),0.0)</f>
        <v>0</v>
      </c>
      <c r="Z83" s="8">
        <f>IFERROR(__xludf.DUMMYFUNCTION("""COMPUTED_VALUE"""),0.0)</f>
        <v>0</v>
      </c>
      <c r="AA83" s="8">
        <f>IFERROR(__xludf.DUMMYFUNCTION("""COMPUTED_VALUE"""),0.0)</f>
        <v>0</v>
      </c>
      <c r="AB83" s="8">
        <f>IFERROR(__xludf.DUMMYFUNCTION("""COMPUTED_VALUE"""),0.0)</f>
        <v>0</v>
      </c>
      <c r="AC83" s="8">
        <f>IFERROR(__xludf.DUMMYFUNCTION("""COMPUTED_VALUE"""),0.0)</f>
        <v>0</v>
      </c>
    </row>
    <row r="84" ht="15.75" customHeight="1">
      <c r="A84" s="6" t="str">
        <f>IFERROR(__xludf.DUMMYFUNCTION("""COMPUTED_VALUE"""),"46b27558432dbda1475a912729ae1e1dee8ac6fa")</f>
        <v>46b27558432dbda1475a912729ae1e1dee8ac6fa</v>
      </c>
      <c r="B84" s="6" t="str">
        <f>IFERROR(__xludf.DUMMYFUNCTION("""COMPUTED_VALUE"""),"Secrets of Thunder Eyes ")</f>
        <v>Secrets of Thunder Eyes </v>
      </c>
      <c r="C84" s="6" t="str">
        <f>IFERROR(__xludf.DUMMYFUNCTION("""COMPUTED_VALUE"""),"Fantasy")</f>
        <v>Fantasy</v>
      </c>
      <c r="D84" s="11">
        <f>IFERROR(__xludf.DUMMYFUNCTION("""COMPUTED_VALUE"""),85.0)</f>
        <v>85</v>
      </c>
      <c r="E84" s="8">
        <f>IFERROR(__xludf.DUMMYFUNCTION("""COMPUTED_VALUE"""),0.975)</f>
        <v>0.975</v>
      </c>
      <c r="F84" s="8">
        <f>IFERROR(__xludf.DUMMYFUNCTION("""COMPUTED_VALUE"""),0.25)</f>
        <v>0.25</v>
      </c>
      <c r="G84" s="8">
        <f>IFERROR(__xludf.DUMMYFUNCTION("""COMPUTED_VALUE"""),0.191780821917808)</f>
        <v>0.1917808219</v>
      </c>
      <c r="H84" s="8">
        <f>IFERROR(__xludf.DUMMYFUNCTION("""COMPUTED_VALUE"""),0.164179104477611)</f>
        <v>0.1641791045</v>
      </c>
      <c r="I84" s="8">
        <f>IFERROR(__xludf.DUMMYFUNCTION("""COMPUTED_VALUE"""),0.171875)</f>
        <v>0.171875</v>
      </c>
      <c r="J84" s="8">
        <f>IFERROR(__xludf.DUMMYFUNCTION("""COMPUTED_VALUE"""),0.161290322580645)</f>
        <v>0.1612903226</v>
      </c>
      <c r="K84" s="8">
        <f>IFERROR(__xludf.DUMMYFUNCTION("""COMPUTED_VALUE"""),0.133333333333333)</f>
        <v>0.1333333333</v>
      </c>
      <c r="L84" s="8">
        <f>IFERROR(__xludf.DUMMYFUNCTION("""COMPUTED_VALUE"""),0.0925925925925925)</f>
        <v>0.09259259259</v>
      </c>
      <c r="M84" s="8">
        <f>IFERROR(__xludf.DUMMYFUNCTION("""COMPUTED_VALUE"""),0.0769230769230769)</f>
        <v>0.07692307692</v>
      </c>
      <c r="N84" s="8">
        <f>IFERROR(__xludf.DUMMYFUNCTION("""COMPUTED_VALUE"""),0.0612244897959183)</f>
        <v>0.0612244898</v>
      </c>
      <c r="O84" s="8">
        <f>IFERROR(__xludf.DUMMYFUNCTION("""COMPUTED_VALUE"""),0.0571428571428571)</f>
        <v>0.05714285714</v>
      </c>
      <c r="P84" s="8">
        <f>IFERROR(__xludf.DUMMYFUNCTION("""COMPUTED_VALUE"""),0.0285714285714285)</f>
        <v>0.02857142857</v>
      </c>
      <c r="Q84" s="8">
        <f>IFERROR(__xludf.DUMMYFUNCTION("""COMPUTED_VALUE"""),0.0285714285714285)</f>
        <v>0.02857142857</v>
      </c>
      <c r="R84" s="8">
        <f>IFERROR(__xludf.DUMMYFUNCTION("""COMPUTED_VALUE"""),0.0285714285714285)</f>
        <v>0.02857142857</v>
      </c>
      <c r="S84" s="8">
        <f>IFERROR(__xludf.DUMMYFUNCTION("""COMPUTED_VALUE"""),0.0)</f>
        <v>0</v>
      </c>
      <c r="T84" s="8">
        <f>IFERROR(__xludf.DUMMYFUNCTION("""COMPUTED_VALUE"""),0.0)</f>
        <v>0</v>
      </c>
      <c r="U84" s="8">
        <f>IFERROR(__xludf.DUMMYFUNCTION("""COMPUTED_VALUE"""),0.0)</f>
        <v>0</v>
      </c>
      <c r="V84" s="8">
        <f>IFERROR(__xludf.DUMMYFUNCTION("""COMPUTED_VALUE"""),0.0)</f>
        <v>0</v>
      </c>
      <c r="W84" s="8">
        <f>IFERROR(__xludf.DUMMYFUNCTION("""COMPUTED_VALUE"""),0.0)</f>
        <v>0</v>
      </c>
      <c r="X84" s="8">
        <f>IFERROR(__xludf.DUMMYFUNCTION("""COMPUTED_VALUE"""),0.0)</f>
        <v>0</v>
      </c>
      <c r="Y84" s="8">
        <f>IFERROR(__xludf.DUMMYFUNCTION("""COMPUTED_VALUE"""),0.0)</f>
        <v>0</v>
      </c>
      <c r="Z84" s="8">
        <f>IFERROR(__xludf.DUMMYFUNCTION("""COMPUTED_VALUE"""),0.0)</f>
        <v>0</v>
      </c>
      <c r="AA84" s="8">
        <f>IFERROR(__xludf.DUMMYFUNCTION("""COMPUTED_VALUE"""),0.0)</f>
        <v>0</v>
      </c>
      <c r="AB84" s="8">
        <f>IFERROR(__xludf.DUMMYFUNCTION("""COMPUTED_VALUE"""),0.0)</f>
        <v>0</v>
      </c>
      <c r="AC84" s="8">
        <f>IFERROR(__xludf.DUMMYFUNCTION("""COMPUTED_VALUE"""),0.0)</f>
        <v>0</v>
      </c>
    </row>
    <row r="85" ht="15.75" customHeight="1">
      <c r="A85" s="6" t="str">
        <f>IFERROR(__xludf.DUMMYFUNCTION("""COMPUTED_VALUE"""),"48b422f2dbf0dc909fde9fadad832fde3d20f4a4")</f>
        <v>48b422f2dbf0dc909fde9fadad832fde3d20f4a4</v>
      </c>
      <c r="B85" s="6" t="str">
        <f>IFERROR(__xludf.DUMMYFUNCTION("""COMPUTED_VALUE"""),"Bride of the Ice Ceo")</f>
        <v>Bride of the Ice Ceo</v>
      </c>
      <c r="C85" s="6" t="str">
        <f>IFERROR(__xludf.DUMMYFUNCTION("""COMPUTED_VALUE"""),"Romance")</f>
        <v>Romance</v>
      </c>
      <c r="D85" s="11">
        <f>IFERROR(__xludf.DUMMYFUNCTION("""COMPUTED_VALUE"""),2065.0)</f>
        <v>2065</v>
      </c>
      <c r="E85" s="8">
        <f>IFERROR(__xludf.DUMMYFUNCTION("""COMPUTED_VALUE"""),0.953510895883777)</f>
        <v>0.9535108959</v>
      </c>
      <c r="F85" s="8">
        <f>IFERROR(__xludf.DUMMYFUNCTION("""COMPUTED_VALUE"""),0.651625424551188)</f>
        <v>0.6516254246</v>
      </c>
      <c r="G85" s="8">
        <f>IFERROR(__xludf.DUMMYFUNCTION("""COMPUTED_VALUE"""),0.589805825242718)</f>
        <v>0.5898058252</v>
      </c>
      <c r="H85" s="8">
        <f>IFERROR(__xludf.DUMMYFUNCTION("""COMPUTED_VALUE"""),0.558309037900874)</f>
        <v>0.5583090379</v>
      </c>
      <c r="I85" s="8">
        <f>IFERROR(__xludf.DUMMYFUNCTION("""COMPUTED_VALUE"""),0.518482490272373)</f>
        <v>0.5184824903</v>
      </c>
      <c r="J85" s="8">
        <f>IFERROR(__xludf.DUMMYFUNCTION("""COMPUTED_VALUE"""),0.496105160662122)</f>
        <v>0.4961051607</v>
      </c>
      <c r="K85" s="8">
        <f>IFERROR(__xludf.DUMMYFUNCTION("""COMPUTED_VALUE"""),0.470760233918128)</f>
        <v>0.4707602339</v>
      </c>
      <c r="L85" s="8">
        <f>IFERROR(__xludf.DUMMYFUNCTION("""COMPUTED_VALUE"""),0.462439024390243)</f>
        <v>0.4624390244</v>
      </c>
      <c r="M85" s="8">
        <f>IFERROR(__xludf.DUMMYFUNCTION("""COMPUTED_VALUE"""),0.451219512195121)</f>
        <v>0.4512195122</v>
      </c>
      <c r="N85" s="8">
        <f>IFERROR(__xludf.DUMMYFUNCTION("""COMPUTED_VALUE"""),0.424227562530652)</f>
        <v>0.4242275625</v>
      </c>
      <c r="O85" s="8">
        <f>IFERROR(__xludf.DUMMYFUNCTION("""COMPUTED_VALUE"""),0.372811534500514)</f>
        <v>0.3728115345</v>
      </c>
      <c r="P85" s="8">
        <f>IFERROR(__xludf.DUMMYFUNCTION("""COMPUTED_VALUE"""),0.299885974914481)</f>
        <v>0.2998859749</v>
      </c>
      <c r="Q85" s="8">
        <f>IFERROR(__xludf.DUMMYFUNCTION("""COMPUTED_VALUE"""),0.187370600414078)</f>
        <v>0.1873706004</v>
      </c>
      <c r="R85" s="8">
        <f>IFERROR(__xludf.DUMMYFUNCTION("""COMPUTED_VALUE"""),0.135922330097087)</f>
        <v>0.1359223301</v>
      </c>
      <c r="S85" s="8">
        <f>IFERROR(__xludf.DUMMYFUNCTION("""COMPUTED_VALUE"""),0.0)</f>
        <v>0</v>
      </c>
      <c r="T85" s="8">
        <f>IFERROR(__xludf.DUMMYFUNCTION("""COMPUTED_VALUE"""),0.0)</f>
        <v>0</v>
      </c>
      <c r="U85" s="8">
        <f>IFERROR(__xludf.DUMMYFUNCTION("""COMPUTED_VALUE"""),0.0)</f>
        <v>0</v>
      </c>
      <c r="V85" s="8">
        <f>IFERROR(__xludf.DUMMYFUNCTION("""COMPUTED_VALUE"""),0.0)</f>
        <v>0</v>
      </c>
      <c r="W85" s="8">
        <f>IFERROR(__xludf.DUMMYFUNCTION("""COMPUTED_VALUE"""),0.0)</f>
        <v>0</v>
      </c>
      <c r="X85" s="8">
        <f>IFERROR(__xludf.DUMMYFUNCTION("""COMPUTED_VALUE"""),0.0)</f>
        <v>0</v>
      </c>
      <c r="Y85" s="8">
        <f>IFERROR(__xludf.DUMMYFUNCTION("""COMPUTED_VALUE"""),0.0)</f>
        <v>0</v>
      </c>
      <c r="Z85" s="8">
        <f>IFERROR(__xludf.DUMMYFUNCTION("""COMPUTED_VALUE"""),0.0)</f>
        <v>0</v>
      </c>
      <c r="AA85" s="8">
        <f>IFERROR(__xludf.DUMMYFUNCTION("""COMPUTED_VALUE"""),0.0)</f>
        <v>0</v>
      </c>
      <c r="AB85" s="8">
        <f>IFERROR(__xludf.DUMMYFUNCTION("""COMPUTED_VALUE"""),0.0)</f>
        <v>0</v>
      </c>
      <c r="AC85" s="8">
        <f>IFERROR(__xludf.DUMMYFUNCTION("""COMPUTED_VALUE"""),0.0)</f>
        <v>0</v>
      </c>
    </row>
    <row r="86" ht="15.75" customHeight="1">
      <c r="A86" s="6" t="str">
        <f>IFERROR(__xludf.DUMMYFUNCTION("""COMPUTED_VALUE"""),"4a310051c4c56c2fab46c3a7f528a09901399ecd")</f>
        <v>4a310051c4c56c2fab46c3a7f528a09901399ecd</v>
      </c>
      <c r="B86" s="6" t="str">
        <f>IFERROR(__xludf.DUMMYFUNCTION("""COMPUTED_VALUE"""),"Strongest Warlock ")</f>
        <v>Strongest Warlock </v>
      </c>
      <c r="C86" s="6" t="str">
        <f>IFERROR(__xludf.DUMMYFUNCTION("""COMPUTED_VALUE"""),"Fantasy")</f>
        <v>Fantasy</v>
      </c>
      <c r="D86" s="11">
        <f>IFERROR(__xludf.DUMMYFUNCTION("""COMPUTED_VALUE"""),25814.0)</f>
        <v>25814</v>
      </c>
      <c r="E86" s="8">
        <f>IFERROR(__xludf.DUMMYFUNCTION("""COMPUTED_VALUE"""),0.93630994015699)</f>
        <v>0.9363099402</v>
      </c>
      <c r="F86" s="8">
        <f>IFERROR(__xludf.DUMMYFUNCTION("""COMPUTED_VALUE"""),0.466515942932875)</f>
        <v>0.4665159429</v>
      </c>
      <c r="G86" s="8">
        <f>IFERROR(__xludf.DUMMYFUNCTION("""COMPUTED_VALUE"""),0.419188365001172)</f>
        <v>0.419188365</v>
      </c>
      <c r="H86" s="8">
        <f>IFERROR(__xludf.DUMMYFUNCTION("""COMPUTED_VALUE"""),0.388046247305506)</f>
        <v>0.3880462473</v>
      </c>
      <c r="I86" s="8">
        <f>IFERROR(__xludf.DUMMYFUNCTION("""COMPUTED_VALUE"""),0.364326450344149)</f>
        <v>0.3643264503</v>
      </c>
      <c r="J86" s="8">
        <f>IFERROR(__xludf.DUMMYFUNCTION("""COMPUTED_VALUE"""),0.34841075794621)</f>
        <v>0.3484107579</v>
      </c>
      <c r="K86" s="8">
        <f>IFERROR(__xludf.DUMMYFUNCTION("""COMPUTED_VALUE"""),0.330420340859662)</f>
        <v>0.3304203409</v>
      </c>
      <c r="L86" s="8">
        <f>IFERROR(__xludf.DUMMYFUNCTION("""COMPUTED_VALUE"""),0.317716191534979)</f>
        <v>0.3177161915</v>
      </c>
      <c r="M86" s="8">
        <f>IFERROR(__xludf.DUMMYFUNCTION("""COMPUTED_VALUE"""),0.306905472636815)</f>
        <v>0.3069054726</v>
      </c>
      <c r="N86" s="8">
        <f>IFERROR(__xludf.DUMMYFUNCTION("""COMPUTED_VALUE"""),0.298395465793885)</f>
        <v>0.2983954658</v>
      </c>
      <c r="O86" s="8">
        <f>IFERROR(__xludf.DUMMYFUNCTION("""COMPUTED_VALUE"""),0.265901132014007)</f>
        <v>0.265901132</v>
      </c>
      <c r="P86" s="8">
        <f>IFERROR(__xludf.DUMMYFUNCTION("""COMPUTED_VALUE"""),0.231244005171191)</f>
        <v>0.2312440052</v>
      </c>
      <c r="Q86" s="8">
        <f>IFERROR(__xludf.DUMMYFUNCTION("""COMPUTED_VALUE"""),0.172138266458224)</f>
        <v>0.1721382665</v>
      </c>
      <c r="R86" s="8">
        <f>IFERROR(__xludf.DUMMYFUNCTION("""COMPUTED_VALUE"""),0.140409286633817)</f>
        <v>0.1404092866</v>
      </c>
      <c r="S86" s="8">
        <f>IFERROR(__xludf.DUMMYFUNCTION("""COMPUTED_VALUE"""),0.117886362609049)</f>
        <v>0.1178863626</v>
      </c>
      <c r="T86" s="8">
        <f>IFERROR(__xludf.DUMMYFUNCTION("""COMPUTED_VALUE"""),0.103195800331552)</f>
        <v>0.1031958003</v>
      </c>
      <c r="U86" s="8">
        <f>IFERROR(__xludf.DUMMYFUNCTION("""COMPUTED_VALUE"""),0.0942240648261566)</f>
        <v>0.09422406483</v>
      </c>
      <c r="V86" s="8">
        <f>IFERROR(__xludf.DUMMYFUNCTION("""COMPUTED_VALUE"""),0.0863680154142581)</f>
        <v>0.08636801541</v>
      </c>
      <c r="W86" s="8">
        <f>IFERROR(__xludf.DUMMYFUNCTION("""COMPUTED_VALUE"""),0.079004222724148)</f>
        <v>0.07900422272</v>
      </c>
      <c r="X86" s="8">
        <f>IFERROR(__xludf.DUMMYFUNCTION("""COMPUTED_VALUE"""),0.06789907569323)</f>
        <v>0.06789907569</v>
      </c>
      <c r="Y86" s="8">
        <f>IFERROR(__xludf.DUMMYFUNCTION("""COMPUTED_VALUE"""),0.0459220405224724)</f>
        <v>0.04592204052</v>
      </c>
      <c r="Z86" s="8">
        <f>IFERROR(__xludf.DUMMYFUNCTION("""COMPUTED_VALUE"""),0.00610736097717775)</f>
        <v>0.006107360977</v>
      </c>
      <c r="AA86" s="8">
        <f>IFERROR(__xludf.DUMMYFUNCTION("""COMPUTED_VALUE"""),0.0)</f>
        <v>0</v>
      </c>
      <c r="AB86" s="8">
        <f>IFERROR(__xludf.DUMMYFUNCTION("""COMPUTED_VALUE"""),0.0)</f>
        <v>0</v>
      </c>
      <c r="AC86" s="8">
        <f>IFERROR(__xludf.DUMMYFUNCTION("""COMPUTED_VALUE"""),0.0)</f>
        <v>0</v>
      </c>
    </row>
    <row r="87" ht="15.75" customHeight="1">
      <c r="A87" s="6" t="str">
        <f>IFERROR(__xludf.DUMMYFUNCTION("""COMPUTED_VALUE"""),"4b2d918a2f639175cf29754151e058356b36f273")</f>
        <v>4b2d918a2f639175cf29754151e058356b36f273</v>
      </c>
      <c r="B87" s="6" t="str">
        <f>IFERROR(__xludf.DUMMYFUNCTION("""COMPUTED_VALUE"""),"Surviving Zombies Rising")</f>
        <v>Surviving Zombies Rising</v>
      </c>
      <c r="C87" s="6" t="str">
        <f>IFERROR(__xludf.DUMMYFUNCTION("""COMPUTED_VALUE"""),"Sci-Fi")</f>
        <v>Sci-Fi</v>
      </c>
      <c r="D87" s="11">
        <f>IFERROR(__xludf.DUMMYFUNCTION("""COMPUTED_VALUE"""),329.0)</f>
        <v>329</v>
      </c>
      <c r="E87" s="8">
        <f>IFERROR(__xludf.DUMMYFUNCTION("""COMPUTED_VALUE"""),0.975384615384615)</f>
        <v>0.9753846154</v>
      </c>
      <c r="F87" s="8">
        <f>IFERROR(__xludf.DUMMYFUNCTION("""COMPUTED_VALUE"""),0.465408805031446)</f>
        <v>0.465408805</v>
      </c>
      <c r="G87" s="8">
        <f>IFERROR(__xludf.DUMMYFUNCTION("""COMPUTED_VALUE"""),0.360759493670886)</f>
        <v>0.3607594937</v>
      </c>
      <c r="H87" s="8">
        <f>IFERROR(__xludf.DUMMYFUNCTION("""COMPUTED_VALUE"""),0.292993630573248)</f>
        <v>0.2929936306</v>
      </c>
      <c r="I87" s="8">
        <f>IFERROR(__xludf.DUMMYFUNCTION("""COMPUTED_VALUE"""),0.260450160771704)</f>
        <v>0.2604501608</v>
      </c>
      <c r="J87" s="8">
        <f>IFERROR(__xludf.DUMMYFUNCTION("""COMPUTED_VALUE"""),0.24025974025974)</f>
        <v>0.2402597403</v>
      </c>
      <c r="K87" s="8">
        <f>IFERROR(__xludf.DUMMYFUNCTION("""COMPUTED_VALUE"""),0.237785016286644)</f>
        <v>0.2377850163</v>
      </c>
      <c r="L87" s="8">
        <f>IFERROR(__xludf.DUMMYFUNCTION("""COMPUTED_VALUE"""),0.21967213114754)</f>
        <v>0.2196721311</v>
      </c>
      <c r="M87" s="8">
        <f>IFERROR(__xludf.DUMMYFUNCTION("""COMPUTED_VALUE"""),0.220394736842105)</f>
        <v>0.2203947368</v>
      </c>
      <c r="N87" s="8">
        <f>IFERROR(__xludf.DUMMYFUNCTION("""COMPUTED_VALUE"""),0.207920792079207)</f>
        <v>0.2079207921</v>
      </c>
      <c r="O87" s="8">
        <f>IFERROR(__xludf.DUMMYFUNCTION("""COMPUTED_VALUE"""),0.166666666666666)</f>
        <v>0.1666666667</v>
      </c>
      <c r="P87" s="8">
        <f>IFERROR(__xludf.DUMMYFUNCTION("""COMPUTED_VALUE"""),0.135746606334841)</f>
        <v>0.1357466063</v>
      </c>
      <c r="Q87" s="8">
        <f>IFERROR(__xludf.DUMMYFUNCTION("""COMPUTED_VALUE"""),0.106060606060606)</f>
        <v>0.1060606061</v>
      </c>
      <c r="R87" s="8">
        <f>IFERROR(__xludf.DUMMYFUNCTION("""COMPUTED_VALUE"""),0.0)</f>
        <v>0</v>
      </c>
      <c r="S87" s="8">
        <f>IFERROR(__xludf.DUMMYFUNCTION("""COMPUTED_VALUE"""),0.0)</f>
        <v>0</v>
      </c>
      <c r="T87" s="8">
        <f>IFERROR(__xludf.DUMMYFUNCTION("""COMPUTED_VALUE"""),0.0)</f>
        <v>0</v>
      </c>
      <c r="U87" s="8">
        <f>IFERROR(__xludf.DUMMYFUNCTION("""COMPUTED_VALUE"""),0.0)</f>
        <v>0</v>
      </c>
      <c r="V87" s="8">
        <f>IFERROR(__xludf.DUMMYFUNCTION("""COMPUTED_VALUE"""),0.0)</f>
        <v>0</v>
      </c>
      <c r="W87" s="8">
        <f>IFERROR(__xludf.DUMMYFUNCTION("""COMPUTED_VALUE"""),0.0)</f>
        <v>0</v>
      </c>
      <c r="X87" s="8">
        <f>IFERROR(__xludf.DUMMYFUNCTION("""COMPUTED_VALUE"""),0.0)</f>
        <v>0</v>
      </c>
      <c r="Y87" s="8">
        <f>IFERROR(__xludf.DUMMYFUNCTION("""COMPUTED_VALUE"""),0.0)</f>
        <v>0</v>
      </c>
      <c r="Z87" s="8">
        <f>IFERROR(__xludf.DUMMYFUNCTION("""COMPUTED_VALUE"""),0.0)</f>
        <v>0</v>
      </c>
      <c r="AA87" s="8">
        <f>IFERROR(__xludf.DUMMYFUNCTION("""COMPUTED_VALUE"""),0.0)</f>
        <v>0</v>
      </c>
      <c r="AB87" s="8">
        <f>IFERROR(__xludf.DUMMYFUNCTION("""COMPUTED_VALUE"""),0.0)</f>
        <v>0</v>
      </c>
      <c r="AC87" s="8">
        <f>IFERROR(__xludf.DUMMYFUNCTION("""COMPUTED_VALUE"""),0.0)</f>
        <v>0</v>
      </c>
    </row>
    <row r="88" ht="15.75" customHeight="1">
      <c r="A88" s="6" t="str">
        <f>IFERROR(__xludf.DUMMYFUNCTION("""COMPUTED_VALUE"""),"4bb85319b3dd3ab4ec654bdd13098e3f37cb3e3b")</f>
        <v>4bb85319b3dd3ab4ec654bdd13098e3f37cb3e3b</v>
      </c>
      <c r="B88" s="6" t="str">
        <f>IFERROR(__xludf.DUMMYFUNCTION("""COMPUTED_VALUE"""),"Shadowed Wealth")</f>
        <v>Shadowed Wealth</v>
      </c>
      <c r="C88" s="6" t="str">
        <f>IFERROR(__xludf.DUMMYFUNCTION("""COMPUTED_VALUE"""),"System and Superpower")</f>
        <v>System and Superpower</v>
      </c>
      <c r="D88" s="11">
        <f>IFERROR(__xludf.DUMMYFUNCTION("""COMPUTED_VALUE"""),138.0)</f>
        <v>138</v>
      </c>
      <c r="E88" s="8">
        <f>IFERROR(__xludf.DUMMYFUNCTION("""COMPUTED_VALUE"""),0.905797101449275)</f>
        <v>0.9057971014</v>
      </c>
      <c r="F88" s="8">
        <f>IFERROR(__xludf.DUMMYFUNCTION("""COMPUTED_VALUE"""),0.401459854014598)</f>
        <v>0.401459854</v>
      </c>
      <c r="G88" s="8">
        <f>IFERROR(__xludf.DUMMYFUNCTION("""COMPUTED_VALUE"""),0.372262773722627)</f>
        <v>0.3722627737</v>
      </c>
      <c r="H88" s="8">
        <f>IFERROR(__xludf.DUMMYFUNCTION("""COMPUTED_VALUE"""),0.357664233576642)</f>
        <v>0.3576642336</v>
      </c>
      <c r="I88" s="8">
        <f>IFERROR(__xludf.DUMMYFUNCTION("""COMPUTED_VALUE"""),0.306569343065693)</f>
        <v>0.3065693431</v>
      </c>
      <c r="J88" s="8">
        <f>IFERROR(__xludf.DUMMYFUNCTION("""COMPUTED_VALUE"""),0.255474452554744)</f>
        <v>0.2554744526</v>
      </c>
      <c r="K88" s="8">
        <f>IFERROR(__xludf.DUMMYFUNCTION("""COMPUTED_VALUE"""),0.270072992700729)</f>
        <v>0.2700729927</v>
      </c>
      <c r="L88" s="8">
        <f>IFERROR(__xludf.DUMMYFUNCTION("""COMPUTED_VALUE"""),0.248175182481751)</f>
        <v>0.2481751825</v>
      </c>
      <c r="M88" s="8">
        <f>IFERROR(__xludf.DUMMYFUNCTION("""COMPUTED_VALUE"""),0.240875912408759)</f>
        <v>0.2408759124</v>
      </c>
      <c r="N88" s="8">
        <f>IFERROR(__xludf.DUMMYFUNCTION("""COMPUTED_VALUE"""),0.233576642335766)</f>
        <v>0.2335766423</v>
      </c>
      <c r="O88" s="8">
        <f>IFERROR(__xludf.DUMMYFUNCTION("""COMPUTED_VALUE"""),0.182481751824817)</f>
        <v>0.1824817518</v>
      </c>
      <c r="P88" s="8">
        <f>IFERROR(__xludf.DUMMYFUNCTION("""COMPUTED_VALUE"""),0.125)</f>
        <v>0.125</v>
      </c>
      <c r="Q88" s="8">
        <f>IFERROR(__xludf.DUMMYFUNCTION("""COMPUTED_VALUE"""),0.0592592592592592)</f>
        <v>0.05925925926</v>
      </c>
      <c r="R88" s="8">
        <f>IFERROR(__xludf.DUMMYFUNCTION("""COMPUTED_VALUE"""),0.0)</f>
        <v>0</v>
      </c>
      <c r="S88" s="8">
        <f>IFERROR(__xludf.DUMMYFUNCTION("""COMPUTED_VALUE"""),0.0)</f>
        <v>0</v>
      </c>
      <c r="T88" s="8">
        <f>IFERROR(__xludf.DUMMYFUNCTION("""COMPUTED_VALUE"""),0.0)</f>
        <v>0</v>
      </c>
      <c r="U88" s="8">
        <f>IFERROR(__xludf.DUMMYFUNCTION("""COMPUTED_VALUE"""),0.0)</f>
        <v>0</v>
      </c>
      <c r="V88" s="8">
        <f>IFERROR(__xludf.DUMMYFUNCTION("""COMPUTED_VALUE"""),0.0)</f>
        <v>0</v>
      </c>
      <c r="W88" s="8">
        <f>IFERROR(__xludf.DUMMYFUNCTION("""COMPUTED_VALUE"""),0.0)</f>
        <v>0</v>
      </c>
      <c r="X88" s="8">
        <f>IFERROR(__xludf.DUMMYFUNCTION("""COMPUTED_VALUE"""),0.0)</f>
        <v>0</v>
      </c>
      <c r="Y88" s="8">
        <f>IFERROR(__xludf.DUMMYFUNCTION("""COMPUTED_VALUE"""),0.0)</f>
        <v>0</v>
      </c>
      <c r="Z88" s="8">
        <f>IFERROR(__xludf.DUMMYFUNCTION("""COMPUTED_VALUE"""),0.0)</f>
        <v>0</v>
      </c>
      <c r="AA88" s="8">
        <f>IFERROR(__xludf.DUMMYFUNCTION("""COMPUTED_VALUE"""),0.0)</f>
        <v>0</v>
      </c>
      <c r="AB88" s="8">
        <f>IFERROR(__xludf.DUMMYFUNCTION("""COMPUTED_VALUE"""),0.0)</f>
        <v>0</v>
      </c>
      <c r="AC88" s="8">
        <f>IFERROR(__xludf.DUMMYFUNCTION("""COMPUTED_VALUE"""),0.0)</f>
        <v>0</v>
      </c>
    </row>
    <row r="89" ht="15.75" customHeight="1">
      <c r="A89" s="6" t="str">
        <f>IFERROR(__xludf.DUMMYFUNCTION("""COMPUTED_VALUE"""),"4c43207d3f7885c90d8aaafbb8952de80561f21d")</f>
        <v>4c43207d3f7885c90d8aaafbb8952de80561f21d</v>
      </c>
      <c r="B89" s="6" t="str">
        <f>IFERROR(__xludf.DUMMYFUNCTION("""COMPUTED_VALUE"""),"The Boss &amp; His Fake Wife")</f>
        <v>The Boss &amp; His Fake Wife</v>
      </c>
      <c r="C89" s="6" t="str">
        <f>IFERROR(__xludf.DUMMYFUNCTION("""COMPUTED_VALUE"""),"Romance")</f>
        <v>Romance</v>
      </c>
      <c r="D89" s="11">
        <f>IFERROR(__xludf.DUMMYFUNCTION("""COMPUTED_VALUE"""),1775.0)</f>
        <v>1775</v>
      </c>
      <c r="E89" s="8">
        <f>IFERROR(__xludf.DUMMYFUNCTION("""COMPUTED_VALUE"""),0.976923076923076)</f>
        <v>0.9769230769</v>
      </c>
      <c r="F89" s="8">
        <f>IFERROR(__xludf.DUMMYFUNCTION("""COMPUTED_VALUE"""),0.451788491446345)</f>
        <v>0.4517884914</v>
      </c>
      <c r="G89" s="8">
        <f>IFERROR(__xludf.DUMMYFUNCTION("""COMPUTED_VALUE"""),0.40859375)</f>
        <v>0.40859375</v>
      </c>
      <c r="H89" s="8">
        <f>IFERROR(__xludf.DUMMYFUNCTION("""COMPUTED_VALUE"""),0.397335423197492)</f>
        <v>0.3973354232</v>
      </c>
      <c r="I89" s="8">
        <f>IFERROR(__xludf.DUMMYFUNCTION("""COMPUTED_VALUE"""),0.378847671665351)</f>
        <v>0.3788476717</v>
      </c>
      <c r="J89" s="8">
        <f>IFERROR(__xludf.DUMMYFUNCTION("""COMPUTED_VALUE"""),0.365795724465558)</f>
        <v>0.3657957245</v>
      </c>
      <c r="K89" s="8">
        <f>IFERROR(__xludf.DUMMYFUNCTION("""COMPUTED_VALUE"""),0.352426412092283)</f>
        <v>0.3524264121</v>
      </c>
      <c r="L89" s="8">
        <f>IFERROR(__xludf.DUMMYFUNCTION("""COMPUTED_VALUE"""),0.3528)</f>
        <v>0.3528</v>
      </c>
      <c r="M89" s="8">
        <f>IFERROR(__xludf.DUMMYFUNCTION("""COMPUTED_VALUE"""),0.34881825590872)</f>
        <v>0.3488182559</v>
      </c>
      <c r="N89" s="8">
        <f>IFERROR(__xludf.DUMMYFUNCTION("""COMPUTED_VALUE"""),0.335515548281505)</f>
        <v>0.3355155483</v>
      </c>
      <c r="O89" s="8">
        <f>IFERROR(__xludf.DUMMYFUNCTION("""COMPUTED_VALUE"""),0.307116104868913)</f>
        <v>0.3071161049</v>
      </c>
      <c r="P89" s="8">
        <f>IFERROR(__xludf.DUMMYFUNCTION("""COMPUTED_VALUE"""),0.232758620689655)</f>
        <v>0.2327586207</v>
      </c>
      <c r="Q89" s="8">
        <f>IFERROR(__xludf.DUMMYFUNCTION("""COMPUTED_VALUE"""),0.0)</f>
        <v>0</v>
      </c>
      <c r="R89" s="8">
        <f>IFERROR(__xludf.DUMMYFUNCTION("""COMPUTED_VALUE"""),0.0)</f>
        <v>0</v>
      </c>
      <c r="S89" s="8">
        <f>IFERROR(__xludf.DUMMYFUNCTION("""COMPUTED_VALUE"""),0.0)</f>
        <v>0</v>
      </c>
      <c r="T89" s="8">
        <f>IFERROR(__xludf.DUMMYFUNCTION("""COMPUTED_VALUE"""),0.0)</f>
        <v>0</v>
      </c>
      <c r="U89" s="8">
        <f>IFERROR(__xludf.DUMMYFUNCTION("""COMPUTED_VALUE"""),0.0)</f>
        <v>0</v>
      </c>
      <c r="V89" s="8">
        <f>IFERROR(__xludf.DUMMYFUNCTION("""COMPUTED_VALUE"""),0.0)</f>
        <v>0</v>
      </c>
      <c r="W89" s="8">
        <f>IFERROR(__xludf.DUMMYFUNCTION("""COMPUTED_VALUE"""),0.0)</f>
        <v>0</v>
      </c>
      <c r="X89" s="8">
        <f>IFERROR(__xludf.DUMMYFUNCTION("""COMPUTED_VALUE"""),0.0)</f>
        <v>0</v>
      </c>
      <c r="Y89" s="8">
        <f>IFERROR(__xludf.DUMMYFUNCTION("""COMPUTED_VALUE"""),0.0)</f>
        <v>0</v>
      </c>
      <c r="Z89" s="8">
        <f>IFERROR(__xludf.DUMMYFUNCTION("""COMPUTED_VALUE"""),0.0)</f>
        <v>0</v>
      </c>
      <c r="AA89" s="8">
        <f>IFERROR(__xludf.DUMMYFUNCTION("""COMPUTED_VALUE"""),0.0)</f>
        <v>0</v>
      </c>
      <c r="AB89" s="8">
        <f>IFERROR(__xludf.DUMMYFUNCTION("""COMPUTED_VALUE"""),0.0)</f>
        <v>0</v>
      </c>
      <c r="AC89" s="8">
        <f>IFERROR(__xludf.DUMMYFUNCTION("""COMPUTED_VALUE"""),0.0)</f>
        <v>0</v>
      </c>
    </row>
    <row r="90" ht="15.75" customHeight="1">
      <c r="A90" s="6" t="str">
        <f>IFERROR(__xludf.DUMMYFUNCTION("""COMPUTED_VALUE"""),"4d01d84cdfff217f33b380cdb07a2a1c706749ea")</f>
        <v>4d01d84cdfff217f33b380cdb07a2a1c706749ea</v>
      </c>
      <c r="B90" s="6" t="str">
        <f>IFERROR(__xludf.DUMMYFUNCTION("""COMPUTED_VALUE"""),"The Fifth Bride")</f>
        <v>The Fifth Bride</v>
      </c>
      <c r="C90" s="6" t="str">
        <f>IFERROR(__xludf.DUMMYFUNCTION("""COMPUTED_VALUE"""),"Suspense or Thriller")</f>
        <v>Suspense or Thriller</v>
      </c>
      <c r="D90" s="11">
        <f>IFERROR(__xludf.DUMMYFUNCTION("""COMPUTED_VALUE"""),334.0)</f>
        <v>334</v>
      </c>
      <c r="E90" s="8">
        <f>IFERROR(__xludf.DUMMYFUNCTION("""COMPUTED_VALUE"""),0.92814371257485)</f>
        <v>0.9281437126</v>
      </c>
      <c r="F90" s="8">
        <f>IFERROR(__xludf.DUMMYFUNCTION("""COMPUTED_VALUE"""),0.494011976047904)</f>
        <v>0.494011976</v>
      </c>
      <c r="G90" s="8">
        <f>IFERROR(__xludf.DUMMYFUNCTION("""COMPUTED_VALUE"""),0.425149700598802)</f>
        <v>0.4251497006</v>
      </c>
      <c r="H90" s="8">
        <f>IFERROR(__xludf.DUMMYFUNCTION("""COMPUTED_VALUE"""),0.380239520958083)</f>
        <v>0.380239521</v>
      </c>
      <c r="I90" s="8">
        <f>IFERROR(__xludf.DUMMYFUNCTION("""COMPUTED_VALUE"""),0.377245508982035)</f>
        <v>0.377245509</v>
      </c>
      <c r="J90" s="8">
        <f>IFERROR(__xludf.DUMMYFUNCTION("""COMPUTED_VALUE"""),0.3562874251497)</f>
        <v>0.3562874251</v>
      </c>
      <c r="K90" s="8">
        <f>IFERROR(__xludf.DUMMYFUNCTION("""COMPUTED_VALUE"""),0.335329341317365)</f>
        <v>0.3353293413</v>
      </c>
      <c r="L90" s="8">
        <f>IFERROR(__xludf.DUMMYFUNCTION("""COMPUTED_VALUE"""),0.308383233532934)</f>
        <v>0.3083832335</v>
      </c>
      <c r="M90" s="8">
        <f>IFERROR(__xludf.DUMMYFUNCTION("""COMPUTED_VALUE"""),0.311377245508982)</f>
        <v>0.3113772455</v>
      </c>
      <c r="N90" s="8">
        <f>IFERROR(__xludf.DUMMYFUNCTION("""COMPUTED_VALUE"""),0.28443113772455)</f>
        <v>0.2844311377</v>
      </c>
      <c r="O90" s="8">
        <f>IFERROR(__xludf.DUMMYFUNCTION("""COMPUTED_VALUE"""),0.253012048192771)</f>
        <v>0.2530120482</v>
      </c>
      <c r="P90" s="8">
        <f>IFERROR(__xludf.DUMMYFUNCTION("""COMPUTED_VALUE"""),0.183734939759036)</f>
        <v>0.1837349398</v>
      </c>
      <c r="Q90" s="8">
        <f>IFERROR(__xludf.DUMMYFUNCTION("""COMPUTED_VALUE"""),0.073469387755102)</f>
        <v>0.07346938776</v>
      </c>
      <c r="R90" s="8">
        <f>IFERROR(__xludf.DUMMYFUNCTION("""COMPUTED_VALUE"""),0.0)</f>
        <v>0</v>
      </c>
      <c r="S90" s="8">
        <f>IFERROR(__xludf.DUMMYFUNCTION("""COMPUTED_VALUE"""),0.0)</f>
        <v>0</v>
      </c>
      <c r="T90" s="8">
        <f>IFERROR(__xludf.DUMMYFUNCTION("""COMPUTED_VALUE"""),0.0)</f>
        <v>0</v>
      </c>
      <c r="U90" s="8">
        <f>IFERROR(__xludf.DUMMYFUNCTION("""COMPUTED_VALUE"""),0.0)</f>
        <v>0</v>
      </c>
      <c r="V90" s="8">
        <f>IFERROR(__xludf.DUMMYFUNCTION("""COMPUTED_VALUE"""),0.0)</f>
        <v>0</v>
      </c>
      <c r="W90" s="8">
        <f>IFERROR(__xludf.DUMMYFUNCTION("""COMPUTED_VALUE"""),0.0)</f>
        <v>0</v>
      </c>
      <c r="X90" s="8">
        <f>IFERROR(__xludf.DUMMYFUNCTION("""COMPUTED_VALUE"""),0.0)</f>
        <v>0</v>
      </c>
      <c r="Y90" s="8">
        <f>IFERROR(__xludf.DUMMYFUNCTION("""COMPUTED_VALUE"""),0.0)</f>
        <v>0</v>
      </c>
      <c r="Z90" s="8">
        <f>IFERROR(__xludf.DUMMYFUNCTION("""COMPUTED_VALUE"""),0.0)</f>
        <v>0</v>
      </c>
      <c r="AA90" s="8">
        <f>IFERROR(__xludf.DUMMYFUNCTION("""COMPUTED_VALUE"""),0.0)</f>
        <v>0</v>
      </c>
      <c r="AB90" s="8">
        <f>IFERROR(__xludf.DUMMYFUNCTION("""COMPUTED_VALUE"""),0.0)</f>
        <v>0</v>
      </c>
      <c r="AC90" s="8">
        <f>IFERROR(__xludf.DUMMYFUNCTION("""COMPUTED_VALUE"""),0.0)</f>
        <v>0</v>
      </c>
    </row>
    <row r="91" ht="15.75" customHeight="1">
      <c r="A91" s="6" t="str">
        <f>IFERROR(__xludf.DUMMYFUNCTION("""COMPUTED_VALUE"""),"4d887dec2a071a00150fdcd6417f16bcaf5f02b0")</f>
        <v>4d887dec2a071a00150fdcd6417f16bcaf5f02b0</v>
      </c>
      <c r="B91" s="6" t="str">
        <f>IFERROR(__xludf.DUMMYFUNCTION("""COMPUTED_VALUE"""),"Loving Nathaniel Hawthorne: The Billionaire Playboy")</f>
        <v>Loving Nathaniel Hawthorne: The Billionaire Playboy</v>
      </c>
      <c r="C91" s="6" t="str">
        <f>IFERROR(__xludf.DUMMYFUNCTION("""COMPUTED_VALUE"""),"Romance")</f>
        <v>Romance</v>
      </c>
      <c r="D91" s="11">
        <f>IFERROR(__xludf.DUMMYFUNCTION("""COMPUTED_VALUE"""),28982.0)</f>
        <v>28982</v>
      </c>
      <c r="E91" s="8">
        <f>IFERROR(__xludf.DUMMYFUNCTION("""COMPUTED_VALUE"""),0.897532355478861)</f>
        <v>0.8975323555</v>
      </c>
      <c r="F91" s="8">
        <f>IFERROR(__xludf.DUMMYFUNCTION("""COMPUTED_VALUE"""),0.484772099447513)</f>
        <v>0.4847720994</v>
      </c>
      <c r="G91" s="8">
        <f>IFERROR(__xludf.DUMMYFUNCTION("""COMPUTED_VALUE"""),0.442817173845463)</f>
        <v>0.4428171738</v>
      </c>
      <c r="H91" s="8">
        <f>IFERROR(__xludf.DUMMYFUNCTION("""COMPUTED_VALUE"""),0.419044986524773)</f>
        <v>0.4190449865</v>
      </c>
      <c r="I91" s="8">
        <f>IFERROR(__xludf.DUMMYFUNCTION("""COMPUTED_VALUE"""),0.398652151373768)</f>
        <v>0.3986521514</v>
      </c>
      <c r="J91" s="8">
        <f>IFERROR(__xludf.DUMMYFUNCTION("""COMPUTED_VALUE"""),0.388226347263991)</f>
        <v>0.3882263473</v>
      </c>
      <c r="K91" s="8">
        <f>IFERROR(__xludf.DUMMYFUNCTION("""COMPUTED_VALUE"""),0.374092260875579)</f>
        <v>0.3740922609</v>
      </c>
      <c r="L91" s="8">
        <f>IFERROR(__xludf.DUMMYFUNCTION("""COMPUTED_VALUE"""),0.365869693090204)</f>
        <v>0.3658696931</v>
      </c>
      <c r="M91" s="8">
        <f>IFERROR(__xludf.DUMMYFUNCTION("""COMPUTED_VALUE"""),0.360964973002907)</f>
        <v>0.360964973</v>
      </c>
      <c r="N91" s="8">
        <f>IFERROR(__xludf.DUMMYFUNCTION("""COMPUTED_VALUE"""),0.355468614756084)</f>
        <v>0.3554686148</v>
      </c>
      <c r="O91" s="8">
        <f>IFERROR(__xludf.DUMMYFUNCTION("""COMPUTED_VALUE"""),0.334662874583795)</f>
        <v>0.3346628746</v>
      </c>
      <c r="P91" s="8">
        <f>IFERROR(__xludf.DUMMYFUNCTION("""COMPUTED_VALUE"""),0.276318532416093)</f>
        <v>0.2763185324</v>
      </c>
      <c r="Q91" s="8">
        <f>IFERROR(__xludf.DUMMYFUNCTION("""COMPUTED_VALUE"""),0.202224857023294)</f>
        <v>0.202224857</v>
      </c>
      <c r="R91" s="8">
        <f>IFERROR(__xludf.DUMMYFUNCTION("""COMPUTED_VALUE"""),0.160051753680456)</f>
        <v>0.1600517537</v>
      </c>
      <c r="S91" s="8">
        <f>IFERROR(__xludf.DUMMYFUNCTION("""COMPUTED_VALUE"""),0.138831446496792)</f>
        <v>0.1388314465</v>
      </c>
      <c r="T91" s="8">
        <f>IFERROR(__xludf.DUMMYFUNCTION("""COMPUTED_VALUE"""),0.12837006573166)</f>
        <v>0.1283700657</v>
      </c>
      <c r="U91" s="8">
        <f>IFERROR(__xludf.DUMMYFUNCTION("""COMPUTED_VALUE"""),0.120788302606484)</f>
        <v>0.1207883026</v>
      </c>
      <c r="V91" s="8">
        <f>IFERROR(__xludf.DUMMYFUNCTION("""COMPUTED_VALUE"""),0.113294113294113)</f>
        <v>0.1132941133</v>
      </c>
      <c r="W91" s="8">
        <f>IFERROR(__xludf.DUMMYFUNCTION("""COMPUTED_VALUE"""),0.104969913082237)</f>
        <v>0.1049699131</v>
      </c>
      <c r="X91" s="8">
        <f>IFERROR(__xludf.DUMMYFUNCTION("""COMPUTED_VALUE"""),0.101819884135993)</f>
        <v>0.1018198841</v>
      </c>
      <c r="Y91" s="8">
        <f>IFERROR(__xludf.DUMMYFUNCTION("""COMPUTED_VALUE"""),0.0907341772151898)</f>
        <v>0.09073417722</v>
      </c>
      <c r="Z91" s="8">
        <f>IFERROR(__xludf.DUMMYFUNCTION("""COMPUTED_VALUE"""),0.0674630107234966)</f>
        <v>0.06746301072</v>
      </c>
      <c r="AA91" s="8">
        <f>IFERROR(__xludf.DUMMYFUNCTION("""COMPUTED_VALUE"""),0.0)</f>
        <v>0</v>
      </c>
      <c r="AB91" s="8">
        <f>IFERROR(__xludf.DUMMYFUNCTION("""COMPUTED_VALUE"""),0.0)</f>
        <v>0</v>
      </c>
      <c r="AC91" s="8">
        <f>IFERROR(__xludf.DUMMYFUNCTION("""COMPUTED_VALUE"""),0.0)</f>
        <v>0</v>
      </c>
    </row>
    <row r="92" ht="15.75" customHeight="1">
      <c r="A92" s="6" t="str">
        <f>IFERROR(__xludf.DUMMYFUNCTION("""COMPUTED_VALUE"""),"4e3bbfc86993cf8c574bdebca34a49627f4a386a")</f>
        <v>4e3bbfc86993cf8c574bdebca34a49627f4a386a</v>
      </c>
      <c r="B92" s="6" t="str">
        <f>IFERROR(__xludf.DUMMYFUNCTION("""COMPUTED_VALUE"""),"Our Beloved Villains ")</f>
        <v>Our Beloved Villains </v>
      </c>
      <c r="C92" s="6" t="str">
        <f>IFERROR(__xludf.DUMMYFUNCTION("""COMPUTED_VALUE"""),"Fantasy")</f>
        <v>Fantasy</v>
      </c>
      <c r="D92" s="11">
        <f>IFERROR(__xludf.DUMMYFUNCTION("""COMPUTED_VALUE"""),167.0)</f>
        <v>167</v>
      </c>
      <c r="E92" s="8">
        <f>IFERROR(__xludf.DUMMYFUNCTION("""COMPUTED_VALUE"""),0.952095808383233)</f>
        <v>0.9520958084</v>
      </c>
      <c r="F92" s="8">
        <f>IFERROR(__xludf.DUMMYFUNCTION("""COMPUTED_VALUE"""),0.395209580838323)</f>
        <v>0.3952095808</v>
      </c>
      <c r="G92" s="8">
        <f>IFERROR(__xludf.DUMMYFUNCTION("""COMPUTED_VALUE"""),0.275449101796407)</f>
        <v>0.2754491018</v>
      </c>
      <c r="H92" s="8">
        <f>IFERROR(__xludf.DUMMYFUNCTION("""COMPUTED_VALUE"""),0.209580838323353)</f>
        <v>0.2095808383</v>
      </c>
      <c r="I92" s="8">
        <f>IFERROR(__xludf.DUMMYFUNCTION("""COMPUTED_VALUE"""),0.197604790419161)</f>
        <v>0.1976047904</v>
      </c>
      <c r="J92" s="8">
        <f>IFERROR(__xludf.DUMMYFUNCTION("""COMPUTED_VALUE"""),0.191616766467065)</f>
        <v>0.1916167665</v>
      </c>
      <c r="K92" s="8">
        <f>IFERROR(__xludf.DUMMYFUNCTION("""COMPUTED_VALUE"""),0.162650602409638)</f>
        <v>0.1626506024</v>
      </c>
      <c r="L92" s="8">
        <f>IFERROR(__xludf.DUMMYFUNCTION("""COMPUTED_VALUE"""),0.146341463414634)</f>
        <v>0.1463414634</v>
      </c>
      <c r="M92" s="8">
        <f>IFERROR(__xludf.DUMMYFUNCTION("""COMPUTED_VALUE"""),0.0975609756097561)</f>
        <v>0.09756097561</v>
      </c>
      <c r="N92" s="8">
        <f>IFERROR(__xludf.DUMMYFUNCTION("""COMPUTED_VALUE"""),0.0853658536585365)</f>
        <v>0.08536585366</v>
      </c>
      <c r="O92" s="8">
        <f>IFERROR(__xludf.DUMMYFUNCTION("""COMPUTED_VALUE"""),0.0642857142857142)</f>
        <v>0.06428571429</v>
      </c>
      <c r="P92" s="8">
        <f>IFERROR(__xludf.DUMMYFUNCTION("""COMPUTED_VALUE"""),0.0327868852459016)</f>
        <v>0.03278688525</v>
      </c>
      <c r="Q92" s="8">
        <f>IFERROR(__xludf.DUMMYFUNCTION("""COMPUTED_VALUE"""),0.0091743119266055)</f>
        <v>0.009174311927</v>
      </c>
      <c r="R92" s="8">
        <f>IFERROR(__xludf.DUMMYFUNCTION("""COMPUTED_VALUE"""),0.010752688172043)</f>
        <v>0.01075268817</v>
      </c>
      <c r="S92" s="8">
        <f>IFERROR(__xludf.DUMMYFUNCTION("""COMPUTED_VALUE"""),0.0)</f>
        <v>0</v>
      </c>
      <c r="T92" s="8">
        <f>IFERROR(__xludf.DUMMYFUNCTION("""COMPUTED_VALUE"""),0.0)</f>
        <v>0</v>
      </c>
      <c r="U92" s="8">
        <f>IFERROR(__xludf.DUMMYFUNCTION("""COMPUTED_VALUE"""),0.0)</f>
        <v>0</v>
      </c>
      <c r="V92" s="8">
        <f>IFERROR(__xludf.DUMMYFUNCTION("""COMPUTED_VALUE"""),0.0)</f>
        <v>0</v>
      </c>
      <c r="W92" s="8">
        <f>IFERROR(__xludf.DUMMYFUNCTION("""COMPUTED_VALUE"""),0.0)</f>
        <v>0</v>
      </c>
      <c r="X92" s="8">
        <f>IFERROR(__xludf.DUMMYFUNCTION("""COMPUTED_VALUE"""),0.0)</f>
        <v>0</v>
      </c>
      <c r="Y92" s="8">
        <f>IFERROR(__xludf.DUMMYFUNCTION("""COMPUTED_VALUE"""),0.0)</f>
        <v>0</v>
      </c>
      <c r="Z92" s="8">
        <f>IFERROR(__xludf.DUMMYFUNCTION("""COMPUTED_VALUE"""),0.0)</f>
        <v>0</v>
      </c>
      <c r="AA92" s="8">
        <f>IFERROR(__xludf.DUMMYFUNCTION("""COMPUTED_VALUE"""),0.0)</f>
        <v>0</v>
      </c>
      <c r="AB92" s="8">
        <f>IFERROR(__xludf.DUMMYFUNCTION("""COMPUTED_VALUE"""),0.0)</f>
        <v>0</v>
      </c>
      <c r="AC92" s="8">
        <f>IFERROR(__xludf.DUMMYFUNCTION("""COMPUTED_VALUE"""),0.0)</f>
        <v>0</v>
      </c>
    </row>
    <row r="93" ht="15.75" customHeight="1">
      <c r="A93" s="6" t="str">
        <f>IFERROR(__xludf.DUMMYFUNCTION("""COMPUTED_VALUE"""),"4e767fe3eae1eb30991fabcb73be16e9925ab124")</f>
        <v>4e767fe3eae1eb30991fabcb73be16e9925ab124</v>
      </c>
      <c r="B93" s="6" t="str">
        <f>IFERROR(__xludf.DUMMYFUNCTION("""COMPUTED_VALUE"""),"The Ill-Fated Aristocrat")</f>
        <v>The Ill-Fated Aristocrat</v>
      </c>
      <c r="C93" s="6" t="str">
        <f>IFERROR(__xludf.DUMMYFUNCTION("""COMPUTED_VALUE"""),"Romance")</f>
        <v>Romance</v>
      </c>
      <c r="D93" s="11">
        <f>IFERROR(__xludf.DUMMYFUNCTION("""COMPUTED_VALUE"""),1812.0)</f>
        <v>1812</v>
      </c>
      <c r="E93" s="8">
        <f>IFERROR(__xludf.DUMMYFUNCTION("""COMPUTED_VALUE"""),0.933149171270718)</f>
        <v>0.9331491713</v>
      </c>
      <c r="F93" s="8">
        <f>IFERROR(__xludf.DUMMYFUNCTION("""COMPUTED_VALUE"""),0.508606329816768)</f>
        <v>0.5086063298</v>
      </c>
      <c r="G93" s="8">
        <f>IFERROR(__xludf.DUMMYFUNCTION("""COMPUTED_VALUE"""),0.473273942093541)</f>
        <v>0.4732739421</v>
      </c>
      <c r="H93" s="8">
        <f>IFERROR(__xludf.DUMMYFUNCTION("""COMPUTED_VALUE"""),0.424665178571428)</f>
        <v>0.4246651786</v>
      </c>
      <c r="I93" s="8">
        <f>IFERROR(__xludf.DUMMYFUNCTION("""COMPUTED_VALUE"""),0.397987702627166)</f>
        <v>0.3979877026</v>
      </c>
      <c r="J93" s="8">
        <f>IFERROR(__xludf.DUMMYFUNCTION("""COMPUTED_VALUE"""),0.378635346756152)</f>
        <v>0.3786353468</v>
      </c>
      <c r="K93" s="8">
        <f>IFERROR(__xludf.DUMMYFUNCTION("""COMPUTED_VALUE"""),0.363738108561835)</f>
        <v>0.3637381086</v>
      </c>
      <c r="L93" s="8">
        <f>IFERROR(__xludf.DUMMYFUNCTION("""COMPUTED_VALUE"""),0.348628987129266)</f>
        <v>0.3486289871</v>
      </c>
      <c r="M93" s="8">
        <f>IFERROR(__xludf.DUMMYFUNCTION("""COMPUTED_VALUE"""),0.334079462786793)</f>
        <v>0.3340794628</v>
      </c>
      <c r="N93" s="8">
        <f>IFERROR(__xludf.DUMMYFUNCTION("""COMPUTED_VALUE"""),0.323447118074986)</f>
        <v>0.3234471181</v>
      </c>
      <c r="O93" s="8">
        <f>IFERROR(__xludf.DUMMYFUNCTION("""COMPUTED_VALUE"""),0.300954519932622)</f>
        <v>0.3009545199</v>
      </c>
      <c r="P93" s="8">
        <f>IFERROR(__xludf.DUMMYFUNCTION("""COMPUTED_VALUE"""),0.242937853107344)</f>
        <v>0.2429378531</v>
      </c>
      <c r="Q93" s="8">
        <f>IFERROR(__xludf.DUMMYFUNCTION("""COMPUTED_VALUE"""),0.169014084507042)</f>
        <v>0.1690140845</v>
      </c>
      <c r="R93" s="8">
        <f>IFERROR(__xludf.DUMMYFUNCTION("""COMPUTED_VALUE"""),0.113936927772126)</f>
        <v>0.1139369278</v>
      </c>
      <c r="S93" s="8">
        <f>IFERROR(__xludf.DUMMYFUNCTION("""COMPUTED_VALUE"""),0.107692307692307)</f>
        <v>0.1076923077</v>
      </c>
      <c r="T93" s="8">
        <f>IFERROR(__xludf.DUMMYFUNCTION("""COMPUTED_VALUE"""),0.0)</f>
        <v>0</v>
      </c>
      <c r="U93" s="8">
        <f>IFERROR(__xludf.DUMMYFUNCTION("""COMPUTED_VALUE"""),0.0)</f>
        <v>0</v>
      </c>
      <c r="V93" s="8">
        <f>IFERROR(__xludf.DUMMYFUNCTION("""COMPUTED_VALUE"""),0.0)</f>
        <v>0</v>
      </c>
      <c r="W93" s="8">
        <f>IFERROR(__xludf.DUMMYFUNCTION("""COMPUTED_VALUE"""),0.0)</f>
        <v>0</v>
      </c>
      <c r="X93" s="8">
        <f>IFERROR(__xludf.DUMMYFUNCTION("""COMPUTED_VALUE"""),0.0)</f>
        <v>0</v>
      </c>
      <c r="Y93" s="8">
        <f>IFERROR(__xludf.DUMMYFUNCTION("""COMPUTED_VALUE"""),0.0)</f>
        <v>0</v>
      </c>
      <c r="Z93" s="8">
        <f>IFERROR(__xludf.DUMMYFUNCTION("""COMPUTED_VALUE"""),0.0)</f>
        <v>0</v>
      </c>
      <c r="AA93" s="8">
        <f>IFERROR(__xludf.DUMMYFUNCTION("""COMPUTED_VALUE"""),0.0)</f>
        <v>0</v>
      </c>
      <c r="AB93" s="8">
        <f>IFERROR(__xludf.DUMMYFUNCTION("""COMPUTED_VALUE"""),0.0)</f>
        <v>0</v>
      </c>
      <c r="AC93" s="8">
        <f>IFERROR(__xludf.DUMMYFUNCTION("""COMPUTED_VALUE"""),0.0)</f>
        <v>0</v>
      </c>
    </row>
    <row r="94" ht="15.75" customHeight="1">
      <c r="A94" s="6" t="str">
        <f>IFERROR(__xludf.DUMMYFUNCTION("""COMPUTED_VALUE"""),"4e82e5be987e78daa5bb2bb67006b68256170925")</f>
        <v>4e82e5be987e78daa5bb2bb67006b68256170925</v>
      </c>
      <c r="B94" s="6" t="str">
        <f>IFERROR(__xludf.DUMMYFUNCTION("""COMPUTED_VALUE"""),"Machine Invasion")</f>
        <v>Machine Invasion</v>
      </c>
      <c r="C94" s="6" t="str">
        <f>IFERROR(__xludf.DUMMYFUNCTION("""COMPUTED_VALUE"""),"System and Superpower")</f>
        <v>System and Superpower</v>
      </c>
      <c r="D94" s="11">
        <f>IFERROR(__xludf.DUMMYFUNCTION("""COMPUTED_VALUE"""),520.0)</f>
        <v>520</v>
      </c>
      <c r="E94" s="8">
        <f>IFERROR(__xludf.DUMMYFUNCTION("""COMPUTED_VALUE"""),0.959615384615384)</f>
        <v>0.9596153846</v>
      </c>
      <c r="F94" s="8">
        <f>IFERROR(__xludf.DUMMYFUNCTION("""COMPUTED_VALUE"""),0.418111753371868)</f>
        <v>0.4181117534</v>
      </c>
      <c r="G94" s="8">
        <f>IFERROR(__xludf.DUMMYFUNCTION("""COMPUTED_VALUE"""),0.355212355212355)</f>
        <v>0.3552123552</v>
      </c>
      <c r="H94" s="8">
        <f>IFERROR(__xludf.DUMMYFUNCTION("""COMPUTED_VALUE"""),0.328820116054158)</f>
        <v>0.3288201161</v>
      </c>
      <c r="I94" s="8">
        <f>IFERROR(__xludf.DUMMYFUNCTION("""COMPUTED_VALUE"""),0.314563106796116)</f>
        <v>0.3145631068</v>
      </c>
      <c r="J94" s="8">
        <f>IFERROR(__xludf.DUMMYFUNCTION("""COMPUTED_VALUE"""),0.276264591439688)</f>
        <v>0.2762645914</v>
      </c>
      <c r="K94" s="8">
        <f>IFERROR(__xludf.DUMMYFUNCTION("""COMPUTED_VALUE"""),0.259259259259259)</f>
        <v>0.2592592593</v>
      </c>
      <c r="L94" s="8">
        <f>IFERROR(__xludf.DUMMYFUNCTION("""COMPUTED_VALUE"""),0.239685658153241)</f>
        <v>0.2396856582</v>
      </c>
      <c r="M94" s="8">
        <f>IFERROR(__xludf.DUMMYFUNCTION("""COMPUTED_VALUE"""),0.23076923076923)</f>
        <v>0.2307692308</v>
      </c>
      <c r="N94" s="8">
        <f>IFERROR(__xludf.DUMMYFUNCTION("""COMPUTED_VALUE"""),0.229249011857707)</f>
        <v>0.2292490119</v>
      </c>
      <c r="O94" s="8">
        <f>IFERROR(__xludf.DUMMYFUNCTION("""COMPUTED_VALUE"""),0.190064794816414)</f>
        <v>0.1900647948</v>
      </c>
      <c r="P94" s="8">
        <f>IFERROR(__xludf.DUMMYFUNCTION("""COMPUTED_VALUE"""),0.150602409638554)</f>
        <v>0.1506024096</v>
      </c>
      <c r="Q94" s="8">
        <f>IFERROR(__xludf.DUMMYFUNCTION("""COMPUTED_VALUE"""),0.159420289855072)</f>
        <v>0.1594202899</v>
      </c>
      <c r="R94" s="8">
        <f>IFERROR(__xludf.DUMMYFUNCTION("""COMPUTED_VALUE"""),0.0)</f>
        <v>0</v>
      </c>
      <c r="S94" s="8">
        <f>IFERROR(__xludf.DUMMYFUNCTION("""COMPUTED_VALUE"""),0.0)</f>
        <v>0</v>
      </c>
      <c r="T94" s="8">
        <f>IFERROR(__xludf.DUMMYFUNCTION("""COMPUTED_VALUE"""),0.0)</f>
        <v>0</v>
      </c>
      <c r="U94" s="8">
        <f>IFERROR(__xludf.DUMMYFUNCTION("""COMPUTED_VALUE"""),0.0)</f>
        <v>0</v>
      </c>
      <c r="V94" s="8">
        <f>IFERROR(__xludf.DUMMYFUNCTION("""COMPUTED_VALUE"""),0.0)</f>
        <v>0</v>
      </c>
      <c r="W94" s="8">
        <f>IFERROR(__xludf.DUMMYFUNCTION("""COMPUTED_VALUE"""),0.0)</f>
        <v>0</v>
      </c>
      <c r="X94" s="8">
        <f>IFERROR(__xludf.DUMMYFUNCTION("""COMPUTED_VALUE"""),0.0)</f>
        <v>0</v>
      </c>
      <c r="Y94" s="8">
        <f>IFERROR(__xludf.DUMMYFUNCTION("""COMPUTED_VALUE"""),0.0)</f>
        <v>0</v>
      </c>
      <c r="Z94" s="8">
        <f>IFERROR(__xludf.DUMMYFUNCTION("""COMPUTED_VALUE"""),0.0)</f>
        <v>0</v>
      </c>
      <c r="AA94" s="8">
        <f>IFERROR(__xludf.DUMMYFUNCTION("""COMPUTED_VALUE"""),0.0)</f>
        <v>0</v>
      </c>
      <c r="AB94" s="8">
        <f>IFERROR(__xludf.DUMMYFUNCTION("""COMPUTED_VALUE"""),0.0)</f>
        <v>0</v>
      </c>
      <c r="AC94" s="8">
        <f>IFERROR(__xludf.DUMMYFUNCTION("""COMPUTED_VALUE"""),0.0)</f>
        <v>0</v>
      </c>
    </row>
    <row r="95" ht="15.75" customHeight="1">
      <c r="A95" s="6" t="str">
        <f>IFERROR(__xludf.DUMMYFUNCTION("""COMPUTED_VALUE"""),"4e8fc1ec90ca0e70f873bdd45aea984fc56b5c89")</f>
        <v>4e8fc1ec90ca0e70f873bdd45aea984fc56b5c89</v>
      </c>
      <c r="B95" s="6" t="str">
        <f>IFERROR(__xludf.DUMMYFUNCTION("""COMPUTED_VALUE"""),"When Strangers Say I Do")</f>
        <v>When Strangers Say I Do</v>
      </c>
      <c r="C95" s="6" t="str">
        <f>IFERROR(__xludf.DUMMYFUNCTION("""COMPUTED_VALUE"""),"Drama")</f>
        <v>Drama</v>
      </c>
      <c r="D95" s="11">
        <f>IFERROR(__xludf.DUMMYFUNCTION("""COMPUTED_VALUE"""),689.0)</f>
        <v>689</v>
      </c>
      <c r="E95" s="8">
        <f>IFERROR(__xludf.DUMMYFUNCTION("""COMPUTED_VALUE"""),0.967976710334788)</f>
        <v>0.9679767103</v>
      </c>
      <c r="F95" s="8">
        <f>IFERROR(__xludf.DUMMYFUNCTION("""COMPUTED_VALUE"""),0.437956204379562)</f>
        <v>0.4379562044</v>
      </c>
      <c r="G95" s="8">
        <f>IFERROR(__xludf.DUMMYFUNCTION("""COMPUTED_VALUE"""),0.388563049853372)</f>
        <v>0.3885630499</v>
      </c>
      <c r="H95" s="8">
        <f>IFERROR(__xludf.DUMMYFUNCTION("""COMPUTED_VALUE"""),0.330396475770925)</f>
        <v>0.3303964758</v>
      </c>
      <c r="I95" s="8">
        <f>IFERROR(__xludf.DUMMYFUNCTION("""COMPUTED_VALUE"""),0.3)</f>
        <v>0.3</v>
      </c>
      <c r="J95" s="8">
        <f>IFERROR(__xludf.DUMMYFUNCTION("""COMPUTED_VALUE"""),0.27433628318584)</f>
        <v>0.2743362832</v>
      </c>
      <c r="K95" s="8">
        <f>IFERROR(__xludf.DUMMYFUNCTION("""COMPUTED_VALUE"""),0.264401772525849)</f>
        <v>0.2644017725</v>
      </c>
      <c r="L95" s="8">
        <f>IFERROR(__xludf.DUMMYFUNCTION("""COMPUTED_VALUE"""),0.25)</f>
        <v>0.25</v>
      </c>
      <c r="M95" s="8">
        <f>IFERROR(__xludf.DUMMYFUNCTION("""COMPUTED_VALUE"""),0.236255572065378)</f>
        <v>0.2362555721</v>
      </c>
      <c r="N95" s="8">
        <f>IFERROR(__xludf.DUMMYFUNCTION("""COMPUTED_VALUE"""),0.216867469879518)</f>
        <v>0.2168674699</v>
      </c>
      <c r="O95" s="8">
        <f>IFERROR(__xludf.DUMMYFUNCTION("""COMPUTED_VALUE"""),0.202146690518783)</f>
        <v>0.2021466905</v>
      </c>
      <c r="P95" s="8">
        <f>IFERROR(__xludf.DUMMYFUNCTION("""COMPUTED_VALUE"""),0.132897603485838)</f>
        <v>0.1328976035</v>
      </c>
      <c r="Q95" s="8">
        <f>IFERROR(__xludf.DUMMYFUNCTION("""COMPUTED_VALUE"""),0.0612745098039215)</f>
        <v>0.0612745098</v>
      </c>
      <c r="R95" s="8">
        <f>IFERROR(__xludf.DUMMYFUNCTION("""COMPUTED_VALUE"""),0.01)</f>
        <v>0.01</v>
      </c>
      <c r="S95" s="8">
        <f>IFERROR(__xludf.DUMMYFUNCTION("""COMPUTED_VALUE"""),0.0)</f>
        <v>0</v>
      </c>
      <c r="T95" s="8">
        <f>IFERROR(__xludf.DUMMYFUNCTION("""COMPUTED_VALUE"""),0.0)</f>
        <v>0</v>
      </c>
      <c r="U95" s="8">
        <f>IFERROR(__xludf.DUMMYFUNCTION("""COMPUTED_VALUE"""),0.0)</f>
        <v>0</v>
      </c>
      <c r="V95" s="8">
        <f>IFERROR(__xludf.DUMMYFUNCTION("""COMPUTED_VALUE"""),0.0)</f>
        <v>0</v>
      </c>
      <c r="W95" s="8">
        <f>IFERROR(__xludf.DUMMYFUNCTION("""COMPUTED_VALUE"""),0.0)</f>
        <v>0</v>
      </c>
      <c r="X95" s="8">
        <f>IFERROR(__xludf.DUMMYFUNCTION("""COMPUTED_VALUE"""),0.0)</f>
        <v>0</v>
      </c>
      <c r="Y95" s="8">
        <f>IFERROR(__xludf.DUMMYFUNCTION("""COMPUTED_VALUE"""),0.0)</f>
        <v>0</v>
      </c>
      <c r="Z95" s="8">
        <f>IFERROR(__xludf.DUMMYFUNCTION("""COMPUTED_VALUE"""),0.0)</f>
        <v>0</v>
      </c>
      <c r="AA95" s="8">
        <f>IFERROR(__xludf.DUMMYFUNCTION("""COMPUTED_VALUE"""),0.0)</f>
        <v>0</v>
      </c>
      <c r="AB95" s="8">
        <f>IFERROR(__xludf.DUMMYFUNCTION("""COMPUTED_VALUE"""),0.0)</f>
        <v>0</v>
      </c>
      <c r="AC95" s="8">
        <f>IFERROR(__xludf.DUMMYFUNCTION("""COMPUTED_VALUE"""),0.0)</f>
        <v>0</v>
      </c>
    </row>
    <row r="96" ht="15.75" customHeight="1">
      <c r="A96" s="6" t="str">
        <f>IFERROR(__xludf.DUMMYFUNCTION("""COMPUTED_VALUE"""),"4ef829b74ddfb2f550d1c5ceb22a6d68f5936dff")</f>
        <v>4ef829b74ddfb2f550d1c5ceb22a6d68f5936dff</v>
      </c>
      <c r="B96" s="6" t="str">
        <f>IFERROR(__xludf.DUMMYFUNCTION("""COMPUTED_VALUE"""),"The Mad Alpha’s True Luna")</f>
        <v>The Mad Alpha’s True Luna</v>
      </c>
      <c r="C96" s="6" t="str">
        <f>IFERROR(__xludf.DUMMYFUNCTION("""COMPUTED_VALUE"""),"Romantasy")</f>
        <v>Romantasy</v>
      </c>
      <c r="D96" s="11">
        <f>IFERROR(__xludf.DUMMYFUNCTION("""COMPUTED_VALUE"""),1287.0)</f>
        <v>1287</v>
      </c>
      <c r="E96" s="8">
        <f>IFERROR(__xludf.DUMMYFUNCTION("""COMPUTED_VALUE"""),0.96875)</f>
        <v>0.96875</v>
      </c>
      <c r="F96" s="8">
        <f>IFERROR(__xludf.DUMMYFUNCTION("""COMPUTED_VALUE"""),0.642857142857142)</f>
        <v>0.6428571429</v>
      </c>
      <c r="G96" s="8">
        <f>IFERROR(__xludf.DUMMYFUNCTION("""COMPUTED_VALUE"""),0.55233644859813)</f>
        <v>0.5523364486</v>
      </c>
      <c r="H96" s="8">
        <f>IFERROR(__xludf.DUMMYFUNCTION("""COMPUTED_VALUE"""),0.511677282377919)</f>
        <v>0.5116772824</v>
      </c>
      <c r="I96" s="8">
        <f>IFERROR(__xludf.DUMMYFUNCTION("""COMPUTED_VALUE"""),0.479591836734693)</f>
        <v>0.4795918367</v>
      </c>
      <c r="J96" s="8">
        <f>IFERROR(__xludf.DUMMYFUNCTION("""COMPUTED_VALUE"""),0.435406698564593)</f>
        <v>0.4354066986</v>
      </c>
      <c r="K96" s="8">
        <f>IFERROR(__xludf.DUMMYFUNCTION("""COMPUTED_VALUE"""),0.412859560067681)</f>
        <v>0.4128595601</v>
      </c>
      <c r="L96" s="8">
        <f>IFERROR(__xludf.DUMMYFUNCTION("""COMPUTED_VALUE"""),0.405451448040885)</f>
        <v>0.405451448</v>
      </c>
      <c r="M96" s="8">
        <f>IFERROR(__xludf.DUMMYFUNCTION("""COMPUTED_VALUE"""),0.371575342465753)</f>
        <v>0.3715753425</v>
      </c>
      <c r="N96" s="8">
        <f>IFERROR(__xludf.DUMMYFUNCTION("""COMPUTED_VALUE"""),0.358490566037735)</f>
        <v>0.358490566</v>
      </c>
      <c r="O96" s="8">
        <f>IFERROR(__xludf.DUMMYFUNCTION("""COMPUTED_VALUE"""),0.302777777777777)</f>
        <v>0.3027777778</v>
      </c>
      <c r="P96" s="8">
        <f>IFERROR(__xludf.DUMMYFUNCTION("""COMPUTED_VALUE"""),0.245762711864406)</f>
        <v>0.2457627119</v>
      </c>
      <c r="Q96" s="8">
        <f>IFERROR(__xludf.DUMMYFUNCTION("""COMPUTED_VALUE"""),0.0)</f>
        <v>0</v>
      </c>
      <c r="R96" s="8">
        <f>IFERROR(__xludf.DUMMYFUNCTION("""COMPUTED_VALUE"""),0.0)</f>
        <v>0</v>
      </c>
      <c r="S96" s="8">
        <f>IFERROR(__xludf.DUMMYFUNCTION("""COMPUTED_VALUE"""),0.0)</f>
        <v>0</v>
      </c>
      <c r="T96" s="8">
        <f>IFERROR(__xludf.DUMMYFUNCTION("""COMPUTED_VALUE"""),0.0)</f>
        <v>0</v>
      </c>
      <c r="U96" s="8">
        <f>IFERROR(__xludf.DUMMYFUNCTION("""COMPUTED_VALUE"""),0.0)</f>
        <v>0</v>
      </c>
      <c r="V96" s="8">
        <f>IFERROR(__xludf.DUMMYFUNCTION("""COMPUTED_VALUE"""),0.0)</f>
        <v>0</v>
      </c>
      <c r="W96" s="8">
        <f>IFERROR(__xludf.DUMMYFUNCTION("""COMPUTED_VALUE"""),0.0)</f>
        <v>0</v>
      </c>
      <c r="X96" s="8">
        <f>IFERROR(__xludf.DUMMYFUNCTION("""COMPUTED_VALUE"""),0.0)</f>
        <v>0</v>
      </c>
      <c r="Y96" s="8">
        <f>IFERROR(__xludf.DUMMYFUNCTION("""COMPUTED_VALUE"""),0.0)</f>
        <v>0</v>
      </c>
      <c r="Z96" s="8">
        <f>IFERROR(__xludf.DUMMYFUNCTION("""COMPUTED_VALUE"""),0.0)</f>
        <v>0</v>
      </c>
      <c r="AA96" s="8">
        <f>IFERROR(__xludf.DUMMYFUNCTION("""COMPUTED_VALUE"""),0.0)</f>
        <v>0</v>
      </c>
      <c r="AB96" s="8">
        <f>IFERROR(__xludf.DUMMYFUNCTION("""COMPUTED_VALUE"""),0.0)</f>
        <v>0</v>
      </c>
      <c r="AC96" s="8">
        <f>IFERROR(__xludf.DUMMYFUNCTION("""COMPUTED_VALUE"""),0.0)</f>
        <v>0</v>
      </c>
    </row>
    <row r="97" ht="15.75" customHeight="1">
      <c r="A97" s="6" t="str">
        <f>IFERROR(__xludf.DUMMYFUNCTION("""COMPUTED_VALUE"""),"4fed71af64877bcaf79252f171bf022a3b80e926")</f>
        <v>4fed71af64877bcaf79252f171bf022a3b80e926</v>
      </c>
      <c r="B97" s="6" t="str">
        <f>IFERROR(__xludf.DUMMYFUNCTION("""COMPUTED_VALUE"""),"Doomsday Hoarder")</f>
        <v>Doomsday Hoarder</v>
      </c>
      <c r="C97" s="6" t="str">
        <f>IFERROR(__xludf.DUMMYFUNCTION("""COMPUTED_VALUE"""),"Fantasy")</f>
        <v>Fantasy</v>
      </c>
      <c r="D97" s="11">
        <f>IFERROR(__xludf.DUMMYFUNCTION("""COMPUTED_VALUE"""),61.0)</f>
        <v>61</v>
      </c>
      <c r="E97" s="8">
        <f>IFERROR(__xludf.DUMMYFUNCTION("""COMPUTED_VALUE"""),0.901639344262295)</f>
        <v>0.9016393443</v>
      </c>
      <c r="F97" s="8">
        <f>IFERROR(__xludf.DUMMYFUNCTION("""COMPUTED_VALUE"""),0.737704918032786)</f>
        <v>0.737704918</v>
      </c>
      <c r="G97" s="8">
        <f>IFERROR(__xludf.DUMMYFUNCTION("""COMPUTED_VALUE"""),0.672131147540983)</f>
        <v>0.6721311475</v>
      </c>
      <c r="H97" s="8">
        <f>IFERROR(__xludf.DUMMYFUNCTION("""COMPUTED_VALUE"""),0.639344262295082)</f>
        <v>0.6393442623</v>
      </c>
      <c r="I97" s="8">
        <f>IFERROR(__xludf.DUMMYFUNCTION("""COMPUTED_VALUE"""),0.655737704918032)</f>
        <v>0.6557377049</v>
      </c>
      <c r="J97" s="8">
        <f>IFERROR(__xludf.DUMMYFUNCTION("""COMPUTED_VALUE"""),0.622950819672131)</f>
        <v>0.6229508197</v>
      </c>
      <c r="K97" s="8">
        <f>IFERROR(__xludf.DUMMYFUNCTION("""COMPUTED_VALUE"""),0.60655737704918)</f>
        <v>0.606557377</v>
      </c>
      <c r="L97" s="8">
        <f>IFERROR(__xludf.DUMMYFUNCTION("""COMPUTED_VALUE"""),0.616666666666666)</f>
        <v>0.6166666667</v>
      </c>
      <c r="M97" s="8">
        <f>IFERROR(__xludf.DUMMYFUNCTION("""COMPUTED_VALUE"""),0.6)</f>
        <v>0.6</v>
      </c>
      <c r="N97" s="8">
        <f>IFERROR(__xludf.DUMMYFUNCTION("""COMPUTED_VALUE"""),0.583333333333333)</f>
        <v>0.5833333333</v>
      </c>
      <c r="O97" s="8">
        <f>IFERROR(__xludf.DUMMYFUNCTION("""COMPUTED_VALUE"""),0.43103448275862)</f>
        <v>0.4310344828</v>
      </c>
      <c r="P97" s="8">
        <f>IFERROR(__xludf.DUMMYFUNCTION("""COMPUTED_VALUE"""),0.339622641509433)</f>
        <v>0.3396226415</v>
      </c>
      <c r="Q97" s="8">
        <f>IFERROR(__xludf.DUMMYFUNCTION("""COMPUTED_VALUE"""),0.233333333333333)</f>
        <v>0.2333333333</v>
      </c>
      <c r="R97" s="8">
        <f>IFERROR(__xludf.DUMMYFUNCTION("""COMPUTED_VALUE"""),0.0)</f>
        <v>0</v>
      </c>
      <c r="S97" s="8">
        <f>IFERROR(__xludf.DUMMYFUNCTION("""COMPUTED_VALUE"""),0.0)</f>
        <v>0</v>
      </c>
      <c r="T97" s="8">
        <f>IFERROR(__xludf.DUMMYFUNCTION("""COMPUTED_VALUE"""),0.0)</f>
        <v>0</v>
      </c>
      <c r="U97" s="8">
        <f>IFERROR(__xludf.DUMMYFUNCTION("""COMPUTED_VALUE"""),0.0)</f>
        <v>0</v>
      </c>
      <c r="V97" s="8">
        <f>IFERROR(__xludf.DUMMYFUNCTION("""COMPUTED_VALUE"""),0.0)</f>
        <v>0</v>
      </c>
      <c r="W97" s="8">
        <f>IFERROR(__xludf.DUMMYFUNCTION("""COMPUTED_VALUE"""),0.0)</f>
        <v>0</v>
      </c>
      <c r="X97" s="8">
        <f>IFERROR(__xludf.DUMMYFUNCTION("""COMPUTED_VALUE"""),0.0)</f>
        <v>0</v>
      </c>
      <c r="Y97" s="8">
        <f>IFERROR(__xludf.DUMMYFUNCTION("""COMPUTED_VALUE"""),0.0)</f>
        <v>0</v>
      </c>
      <c r="Z97" s="8">
        <f>IFERROR(__xludf.DUMMYFUNCTION("""COMPUTED_VALUE"""),0.0)</f>
        <v>0</v>
      </c>
      <c r="AA97" s="8">
        <f>IFERROR(__xludf.DUMMYFUNCTION("""COMPUTED_VALUE"""),0.0)</f>
        <v>0</v>
      </c>
      <c r="AB97" s="8">
        <f>IFERROR(__xludf.DUMMYFUNCTION("""COMPUTED_VALUE"""),0.0)</f>
        <v>0</v>
      </c>
      <c r="AC97" s="8">
        <f>IFERROR(__xludf.DUMMYFUNCTION("""COMPUTED_VALUE"""),0.0)</f>
        <v>0</v>
      </c>
    </row>
    <row r="98" ht="15.75" customHeight="1">
      <c r="A98" s="6" t="str">
        <f>IFERROR(__xludf.DUMMYFUNCTION("""COMPUTED_VALUE"""),"514efd834428337923e640a1254ea9d7477b18b3")</f>
        <v>514efd834428337923e640a1254ea9d7477b18b3</v>
      </c>
      <c r="B98" s="6" t="str">
        <f>IFERROR(__xludf.DUMMYFUNCTION("""COMPUTED_VALUE"""),"Bride of a Dragon")</f>
        <v>Bride of a Dragon</v>
      </c>
      <c r="C98" s="6" t="str">
        <f>IFERROR(__xludf.DUMMYFUNCTION("""COMPUTED_VALUE"""),"Romantasy")</f>
        <v>Romantasy</v>
      </c>
      <c r="D98" s="11">
        <f>IFERROR(__xludf.DUMMYFUNCTION("""COMPUTED_VALUE"""),9855.0)</f>
        <v>9855</v>
      </c>
      <c r="E98" s="8">
        <f>IFERROR(__xludf.DUMMYFUNCTION("""COMPUTED_VALUE"""),0.924511002444987)</f>
        <v>0.9245110024</v>
      </c>
      <c r="F98" s="8">
        <f>IFERROR(__xludf.DUMMYFUNCTION("""COMPUTED_VALUE"""),0.599611173641665)</f>
        <v>0.5996111736</v>
      </c>
      <c r="G98" s="8">
        <f>IFERROR(__xludf.DUMMYFUNCTION("""COMPUTED_VALUE"""),0.560147677161316)</f>
        <v>0.5601476772</v>
      </c>
      <c r="H98" s="8">
        <f>IFERROR(__xludf.DUMMYFUNCTION("""COMPUTED_VALUE"""),0.520625450056578)</f>
        <v>0.5206254501</v>
      </c>
      <c r="I98" s="8">
        <f>IFERROR(__xludf.DUMMYFUNCTION("""COMPUTED_VALUE"""),0.505115221659605)</f>
        <v>0.5051152217</v>
      </c>
      <c r="J98" s="8">
        <f>IFERROR(__xludf.DUMMYFUNCTION("""COMPUTED_VALUE"""),0.477588711350902)</f>
        <v>0.4775887114</v>
      </c>
      <c r="K98" s="8">
        <f>IFERROR(__xludf.DUMMYFUNCTION("""COMPUTED_VALUE"""),0.471863276365152)</f>
        <v>0.4718632764</v>
      </c>
      <c r="L98" s="8">
        <f>IFERROR(__xludf.DUMMYFUNCTION("""COMPUTED_VALUE"""),0.456202849958088)</f>
        <v>0.45620285</v>
      </c>
      <c r="M98" s="8">
        <f>IFERROR(__xludf.DUMMYFUNCTION("""COMPUTED_VALUE"""),0.446011366028204)</f>
        <v>0.446011366</v>
      </c>
      <c r="N98" s="8">
        <f>IFERROR(__xludf.DUMMYFUNCTION("""COMPUTED_VALUE"""),0.437902970087728)</f>
        <v>0.4379029701</v>
      </c>
      <c r="O98" s="8">
        <f>IFERROR(__xludf.DUMMYFUNCTION("""COMPUTED_VALUE"""),0.397680017509301)</f>
        <v>0.3976800175</v>
      </c>
      <c r="P98" s="8">
        <f>IFERROR(__xludf.DUMMYFUNCTION("""COMPUTED_VALUE"""),0.36316095293434)</f>
        <v>0.3631609529</v>
      </c>
      <c r="Q98" s="8">
        <f>IFERROR(__xludf.DUMMYFUNCTION("""COMPUTED_VALUE"""),0.317522321428571)</f>
        <v>0.3175223214</v>
      </c>
      <c r="R98" s="8">
        <f>IFERROR(__xludf.DUMMYFUNCTION("""COMPUTED_VALUE"""),0.281284123170998)</f>
        <v>0.2812841232</v>
      </c>
      <c r="S98" s="8">
        <f>IFERROR(__xludf.DUMMYFUNCTION("""COMPUTED_VALUE"""),0.224877020379479)</f>
        <v>0.2248770204</v>
      </c>
      <c r="T98" s="8">
        <f>IFERROR(__xludf.DUMMYFUNCTION("""COMPUTED_VALUE"""),0.11504424778761)</f>
        <v>0.1150442478</v>
      </c>
      <c r="U98" s="8">
        <f>IFERROR(__xludf.DUMMYFUNCTION("""COMPUTED_VALUE"""),0.0588235294117647)</f>
        <v>0.05882352941</v>
      </c>
      <c r="V98" s="8">
        <f>IFERROR(__xludf.DUMMYFUNCTION("""COMPUTED_VALUE"""),0.0)</f>
        <v>0</v>
      </c>
      <c r="W98" s="8">
        <f>IFERROR(__xludf.DUMMYFUNCTION("""COMPUTED_VALUE"""),0.0)</f>
        <v>0</v>
      </c>
      <c r="X98" s="8">
        <f>IFERROR(__xludf.DUMMYFUNCTION("""COMPUTED_VALUE"""),0.0)</f>
        <v>0</v>
      </c>
      <c r="Y98" s="8">
        <f>IFERROR(__xludf.DUMMYFUNCTION("""COMPUTED_VALUE"""),0.0)</f>
        <v>0</v>
      </c>
      <c r="Z98" s="8">
        <f>IFERROR(__xludf.DUMMYFUNCTION("""COMPUTED_VALUE"""),0.0)</f>
        <v>0</v>
      </c>
      <c r="AA98" s="8">
        <f>IFERROR(__xludf.DUMMYFUNCTION("""COMPUTED_VALUE"""),0.0)</f>
        <v>0</v>
      </c>
      <c r="AB98" s="8">
        <f>IFERROR(__xludf.DUMMYFUNCTION("""COMPUTED_VALUE"""),0.0)</f>
        <v>0</v>
      </c>
      <c r="AC98" s="8">
        <f>IFERROR(__xludf.DUMMYFUNCTION("""COMPUTED_VALUE"""),0.0)</f>
        <v>0</v>
      </c>
    </row>
    <row r="99" ht="15.75" customHeight="1">
      <c r="A99" s="6" t="str">
        <f>IFERROR(__xludf.DUMMYFUNCTION("""COMPUTED_VALUE"""),"5269f35d5665dd7c25aa81eac9fa9e452b693897")</f>
        <v>5269f35d5665dd7c25aa81eac9fa9e452b693897</v>
      </c>
      <c r="B99" s="6" t="str">
        <f>IFERROR(__xludf.DUMMYFUNCTION("""COMPUTED_VALUE"""),"Her Royal Vampire")</f>
        <v>Her Royal Vampire</v>
      </c>
      <c r="C99" s="6" t="str">
        <f>IFERROR(__xludf.DUMMYFUNCTION("""COMPUTED_VALUE"""),"Romantasy")</f>
        <v>Romantasy</v>
      </c>
      <c r="D99" s="11">
        <f>IFERROR(__xludf.DUMMYFUNCTION("""COMPUTED_VALUE"""),2737.0)</f>
        <v>2737</v>
      </c>
      <c r="E99" s="8">
        <f>IFERROR(__xludf.DUMMYFUNCTION("""COMPUTED_VALUE"""),0.959765910753474)</f>
        <v>0.9597659108</v>
      </c>
      <c r="F99" s="8">
        <f>IFERROR(__xludf.DUMMYFUNCTION("""COMPUTED_VALUE"""),0.588407923697725)</f>
        <v>0.5884079237</v>
      </c>
      <c r="G99" s="8">
        <f>IFERROR(__xludf.DUMMYFUNCTION("""COMPUTED_VALUE"""),0.525174568173465)</f>
        <v>0.5251745682</v>
      </c>
      <c r="H99" s="8">
        <f>IFERROR(__xludf.DUMMYFUNCTION("""COMPUTED_VALUE"""),0.486397058823529)</f>
        <v>0.4863970588</v>
      </c>
      <c r="I99" s="8">
        <f>IFERROR(__xludf.DUMMYFUNCTION("""COMPUTED_VALUE"""),0.455350553505535)</f>
        <v>0.4553505535</v>
      </c>
      <c r="J99" s="8">
        <f>IFERROR(__xludf.DUMMYFUNCTION("""COMPUTED_VALUE"""),0.434332223455419)</f>
        <v>0.4343322235</v>
      </c>
      <c r="K99" s="8">
        <f>IFERROR(__xludf.DUMMYFUNCTION("""COMPUTED_VALUE"""),0.420059215396002)</f>
        <v>0.4200592154</v>
      </c>
      <c r="L99" s="8">
        <f>IFERROR(__xludf.DUMMYFUNCTION("""COMPUTED_VALUE"""),0.41056154704351)</f>
        <v>0.410561547</v>
      </c>
      <c r="M99" s="8">
        <f>IFERROR(__xludf.DUMMYFUNCTION("""COMPUTED_VALUE"""),0.400597907324364)</f>
        <v>0.4005979073</v>
      </c>
      <c r="N99" s="8">
        <f>IFERROR(__xludf.DUMMYFUNCTION("""COMPUTED_VALUE"""),0.386440677966101)</f>
        <v>0.386440678</v>
      </c>
      <c r="O99" s="8">
        <f>IFERROR(__xludf.DUMMYFUNCTION("""COMPUTED_VALUE"""),0.326549929010885)</f>
        <v>0.326549929</v>
      </c>
      <c r="P99" s="8">
        <f>IFERROR(__xludf.DUMMYFUNCTION("""COMPUTED_VALUE"""),0.248995983935742)</f>
        <v>0.2489959839</v>
      </c>
      <c r="Q99" s="8">
        <f>IFERROR(__xludf.DUMMYFUNCTION("""COMPUTED_VALUE"""),0.1592005513439)</f>
        <v>0.1592005513</v>
      </c>
      <c r="R99" s="8">
        <f>IFERROR(__xludf.DUMMYFUNCTION("""COMPUTED_VALUE"""),0.0899419729206963)</f>
        <v>0.08994197292</v>
      </c>
      <c r="S99" s="8">
        <f>IFERROR(__xludf.DUMMYFUNCTION("""COMPUTED_VALUE"""),0.0666666666666666)</f>
        <v>0.06666666667</v>
      </c>
      <c r="T99" s="8">
        <f>IFERROR(__xludf.DUMMYFUNCTION("""COMPUTED_VALUE"""),0.0222222222222222)</f>
        <v>0.02222222222</v>
      </c>
      <c r="U99" s="8">
        <f>IFERROR(__xludf.DUMMYFUNCTION("""COMPUTED_VALUE"""),0.0)</f>
        <v>0</v>
      </c>
      <c r="V99" s="8">
        <f>IFERROR(__xludf.DUMMYFUNCTION("""COMPUTED_VALUE"""),0.0)</f>
        <v>0</v>
      </c>
      <c r="W99" s="8">
        <f>IFERROR(__xludf.DUMMYFUNCTION("""COMPUTED_VALUE"""),0.0)</f>
        <v>0</v>
      </c>
      <c r="X99" s="8">
        <f>IFERROR(__xludf.DUMMYFUNCTION("""COMPUTED_VALUE"""),0.0)</f>
        <v>0</v>
      </c>
      <c r="Y99" s="8">
        <f>IFERROR(__xludf.DUMMYFUNCTION("""COMPUTED_VALUE"""),0.0)</f>
        <v>0</v>
      </c>
      <c r="Z99" s="8">
        <f>IFERROR(__xludf.DUMMYFUNCTION("""COMPUTED_VALUE"""),0.0)</f>
        <v>0</v>
      </c>
      <c r="AA99" s="8">
        <f>IFERROR(__xludf.DUMMYFUNCTION("""COMPUTED_VALUE"""),0.0)</f>
        <v>0</v>
      </c>
      <c r="AB99" s="8">
        <f>IFERROR(__xludf.DUMMYFUNCTION("""COMPUTED_VALUE"""),0.0)</f>
        <v>0</v>
      </c>
      <c r="AC99" s="8">
        <f>IFERROR(__xludf.DUMMYFUNCTION("""COMPUTED_VALUE"""),0.0)</f>
        <v>0</v>
      </c>
    </row>
    <row r="100" ht="15.75" customHeight="1">
      <c r="A100" s="6" t="str">
        <f>IFERROR(__xludf.DUMMYFUNCTION("""COMPUTED_VALUE"""),"5276da779c8fe48836102d34eea2143d4421865c")</f>
        <v>5276da779c8fe48836102d34eea2143d4421865c</v>
      </c>
      <c r="B100" s="6" t="str">
        <f>IFERROR(__xludf.DUMMYFUNCTION("""COMPUTED_VALUE"""),"The Single Father's Surrender")</f>
        <v>The Single Father's Surrender</v>
      </c>
      <c r="C100" s="6" t="str">
        <f>IFERROR(__xludf.DUMMYFUNCTION("""COMPUTED_VALUE"""),"Romance")</f>
        <v>Romance</v>
      </c>
      <c r="D100" s="11">
        <f>IFERROR(__xludf.DUMMYFUNCTION("""COMPUTED_VALUE"""),1068.0)</f>
        <v>1068</v>
      </c>
      <c r="E100" s="8">
        <f>IFERROR(__xludf.DUMMYFUNCTION("""COMPUTED_VALUE"""),0.964184731385485)</f>
        <v>0.9641847314</v>
      </c>
      <c r="F100" s="8">
        <f>IFERROR(__xludf.DUMMYFUNCTION("""COMPUTED_VALUE"""),0.605887939221272)</f>
        <v>0.6058879392</v>
      </c>
      <c r="G100" s="8">
        <f>IFERROR(__xludf.DUMMYFUNCTION("""COMPUTED_VALUE"""),0.531041069723018)</f>
        <v>0.5310410697</v>
      </c>
      <c r="H100" s="8">
        <f>IFERROR(__xludf.DUMMYFUNCTION("""COMPUTED_VALUE"""),0.484149855907781)</f>
        <v>0.4841498559</v>
      </c>
      <c r="I100" s="8">
        <f>IFERROR(__xludf.DUMMYFUNCTION("""COMPUTED_VALUE"""),0.464147286821705)</f>
        <v>0.4641472868</v>
      </c>
      <c r="J100" s="8">
        <f>IFERROR(__xludf.DUMMYFUNCTION("""COMPUTED_VALUE"""),0.442156862745098)</f>
        <v>0.4421568627</v>
      </c>
      <c r="K100" s="8">
        <f>IFERROR(__xludf.DUMMYFUNCTION("""COMPUTED_VALUE"""),0.419740777666999)</f>
        <v>0.4197407777</v>
      </c>
      <c r="L100" s="8">
        <f>IFERROR(__xludf.DUMMYFUNCTION("""COMPUTED_VALUE"""),0.404343329886246)</f>
        <v>0.4043433299</v>
      </c>
      <c r="M100" s="8">
        <f>IFERROR(__xludf.DUMMYFUNCTION("""COMPUTED_VALUE"""),0.369936034115138)</f>
        <v>0.3699360341</v>
      </c>
      <c r="N100" s="8">
        <f>IFERROR(__xludf.DUMMYFUNCTION("""COMPUTED_VALUE"""),0.357705286839145)</f>
        <v>0.3577052868</v>
      </c>
      <c r="O100" s="8">
        <f>IFERROR(__xludf.DUMMYFUNCTION("""COMPUTED_VALUE"""),0.312803889789303)</f>
        <v>0.3128038898</v>
      </c>
      <c r="P100" s="8">
        <f>IFERROR(__xludf.DUMMYFUNCTION("""COMPUTED_VALUE"""),0.213075060532687)</f>
        <v>0.2130750605</v>
      </c>
      <c r="Q100" s="8">
        <f>IFERROR(__xludf.DUMMYFUNCTION("""COMPUTED_VALUE"""),0.075208913649025)</f>
        <v>0.07520891365</v>
      </c>
      <c r="R100" s="8">
        <f>IFERROR(__xludf.DUMMYFUNCTION("""COMPUTED_VALUE"""),0.023391812865497)</f>
        <v>0.02339181287</v>
      </c>
      <c r="S100" s="8">
        <f>IFERROR(__xludf.DUMMYFUNCTION("""COMPUTED_VALUE"""),0.0196078431372549)</f>
        <v>0.01960784314</v>
      </c>
      <c r="T100" s="8">
        <f>IFERROR(__xludf.DUMMYFUNCTION("""COMPUTED_VALUE"""),0.0)</f>
        <v>0</v>
      </c>
      <c r="U100" s="8">
        <f>IFERROR(__xludf.DUMMYFUNCTION("""COMPUTED_VALUE"""),0.0)</f>
        <v>0</v>
      </c>
      <c r="V100" s="8">
        <f>IFERROR(__xludf.DUMMYFUNCTION("""COMPUTED_VALUE"""),0.0)</f>
        <v>0</v>
      </c>
      <c r="W100" s="8">
        <f>IFERROR(__xludf.DUMMYFUNCTION("""COMPUTED_VALUE"""),0.0)</f>
        <v>0</v>
      </c>
      <c r="X100" s="8">
        <f>IFERROR(__xludf.DUMMYFUNCTION("""COMPUTED_VALUE"""),0.0)</f>
        <v>0</v>
      </c>
      <c r="Y100" s="8">
        <f>IFERROR(__xludf.DUMMYFUNCTION("""COMPUTED_VALUE"""),0.0)</f>
        <v>0</v>
      </c>
      <c r="Z100" s="8">
        <f>IFERROR(__xludf.DUMMYFUNCTION("""COMPUTED_VALUE"""),0.0)</f>
        <v>0</v>
      </c>
      <c r="AA100" s="8">
        <f>IFERROR(__xludf.DUMMYFUNCTION("""COMPUTED_VALUE"""),0.0)</f>
        <v>0</v>
      </c>
      <c r="AB100" s="8">
        <f>IFERROR(__xludf.DUMMYFUNCTION("""COMPUTED_VALUE"""),0.0)</f>
        <v>0</v>
      </c>
      <c r="AC100" s="8">
        <f>IFERROR(__xludf.DUMMYFUNCTION("""COMPUTED_VALUE"""),0.0)</f>
        <v>0</v>
      </c>
    </row>
    <row r="101" ht="15.75" customHeight="1">
      <c r="A101" s="6" t="str">
        <f>IFERROR(__xludf.DUMMYFUNCTION("""COMPUTED_VALUE"""),"53bd90147df4228136243c0a218345e3a338b8c1")</f>
        <v>53bd90147df4228136243c0a218345e3a338b8c1</v>
      </c>
      <c r="B101" s="6" t="str">
        <f>IFERROR(__xludf.DUMMYFUNCTION("""COMPUTED_VALUE"""),"His Abandoned Wife")</f>
        <v>His Abandoned Wife</v>
      </c>
      <c r="C101" s="6" t="str">
        <f>IFERROR(__xludf.DUMMYFUNCTION("""COMPUTED_VALUE"""),"Romance")</f>
        <v>Romance</v>
      </c>
      <c r="D101" s="11">
        <f>IFERROR(__xludf.DUMMYFUNCTION("""COMPUTED_VALUE"""),282.0)</f>
        <v>282</v>
      </c>
      <c r="E101" s="8">
        <f>IFERROR(__xludf.DUMMYFUNCTION("""COMPUTED_VALUE"""),0.974820143884892)</f>
        <v>0.9748201439</v>
      </c>
      <c r="F101" s="8">
        <f>IFERROR(__xludf.DUMMYFUNCTION("""COMPUTED_VALUE"""),0.556390977443609)</f>
        <v>0.5563909774</v>
      </c>
      <c r="G101" s="8">
        <f>IFERROR(__xludf.DUMMYFUNCTION("""COMPUTED_VALUE"""),0.492307692307692)</f>
        <v>0.4923076923</v>
      </c>
      <c r="H101" s="8">
        <f>IFERROR(__xludf.DUMMYFUNCTION("""COMPUTED_VALUE"""),0.448412698412698)</f>
        <v>0.4484126984</v>
      </c>
      <c r="I101" s="8">
        <f>IFERROR(__xludf.DUMMYFUNCTION("""COMPUTED_VALUE"""),0.417021276595744)</f>
        <v>0.4170212766</v>
      </c>
      <c r="J101" s="8">
        <f>IFERROR(__xludf.DUMMYFUNCTION("""COMPUTED_VALUE"""),0.387665198237885)</f>
        <v>0.3876651982</v>
      </c>
      <c r="K101" s="8">
        <f>IFERROR(__xludf.DUMMYFUNCTION("""COMPUTED_VALUE"""),0.367713004484304)</f>
        <v>0.3677130045</v>
      </c>
      <c r="L101" s="8">
        <f>IFERROR(__xludf.DUMMYFUNCTION("""COMPUTED_VALUE"""),0.340807174887892)</f>
        <v>0.3408071749</v>
      </c>
      <c r="M101" s="8">
        <f>IFERROR(__xludf.DUMMYFUNCTION("""COMPUTED_VALUE"""),0.295964125560538)</f>
        <v>0.2959641256</v>
      </c>
      <c r="N101" s="8">
        <f>IFERROR(__xludf.DUMMYFUNCTION("""COMPUTED_VALUE"""),0.266968325791855)</f>
        <v>0.2669683258</v>
      </c>
      <c r="O101" s="8">
        <f>IFERROR(__xludf.DUMMYFUNCTION("""COMPUTED_VALUE"""),0.215686274509803)</f>
        <v>0.2156862745</v>
      </c>
      <c r="P101" s="8">
        <f>IFERROR(__xludf.DUMMYFUNCTION("""COMPUTED_VALUE"""),0.2)</f>
        <v>0.2</v>
      </c>
      <c r="Q101" s="8">
        <f>IFERROR(__xludf.DUMMYFUNCTION("""COMPUTED_VALUE"""),0.0)</f>
        <v>0</v>
      </c>
      <c r="R101" s="8">
        <f>IFERROR(__xludf.DUMMYFUNCTION("""COMPUTED_VALUE"""),0.0)</f>
        <v>0</v>
      </c>
      <c r="S101" s="8">
        <f>IFERROR(__xludf.DUMMYFUNCTION("""COMPUTED_VALUE"""),0.0)</f>
        <v>0</v>
      </c>
      <c r="T101" s="8">
        <f>IFERROR(__xludf.DUMMYFUNCTION("""COMPUTED_VALUE"""),0.0)</f>
        <v>0</v>
      </c>
      <c r="U101" s="8">
        <f>IFERROR(__xludf.DUMMYFUNCTION("""COMPUTED_VALUE"""),0.0)</f>
        <v>0</v>
      </c>
      <c r="V101" s="8">
        <f>IFERROR(__xludf.DUMMYFUNCTION("""COMPUTED_VALUE"""),0.0)</f>
        <v>0</v>
      </c>
      <c r="W101" s="8">
        <f>IFERROR(__xludf.DUMMYFUNCTION("""COMPUTED_VALUE"""),0.0)</f>
        <v>0</v>
      </c>
      <c r="X101" s="8">
        <f>IFERROR(__xludf.DUMMYFUNCTION("""COMPUTED_VALUE"""),0.0)</f>
        <v>0</v>
      </c>
      <c r="Y101" s="8">
        <f>IFERROR(__xludf.DUMMYFUNCTION("""COMPUTED_VALUE"""),0.0)</f>
        <v>0</v>
      </c>
      <c r="Z101" s="8">
        <f>IFERROR(__xludf.DUMMYFUNCTION("""COMPUTED_VALUE"""),0.0)</f>
        <v>0</v>
      </c>
      <c r="AA101" s="8">
        <f>IFERROR(__xludf.DUMMYFUNCTION("""COMPUTED_VALUE"""),0.0)</f>
        <v>0</v>
      </c>
      <c r="AB101" s="8">
        <f>IFERROR(__xludf.DUMMYFUNCTION("""COMPUTED_VALUE"""),0.0)</f>
        <v>0</v>
      </c>
      <c r="AC101" s="8">
        <f>IFERROR(__xludf.DUMMYFUNCTION("""COMPUTED_VALUE"""),0.0)</f>
        <v>0</v>
      </c>
    </row>
    <row r="102" ht="15.75" customHeight="1">
      <c r="A102" s="6" t="str">
        <f>IFERROR(__xludf.DUMMYFUNCTION("""COMPUTED_VALUE"""),"54a2cb963cd2e93491b9f03d9cf379ed72d3271f")</f>
        <v>54a2cb963cd2e93491b9f03d9cf379ed72d3271f</v>
      </c>
      <c r="B102" s="6" t="str">
        <f>IFERROR(__xludf.DUMMYFUNCTION("""COMPUTED_VALUE"""),"The One He Can't Break")</f>
        <v>The One He Can't Break</v>
      </c>
      <c r="C102" s="6" t="str">
        <f>IFERROR(__xludf.DUMMYFUNCTION("""COMPUTED_VALUE"""),"Romance")</f>
        <v>Romance</v>
      </c>
      <c r="D102" s="11">
        <f>IFERROR(__xludf.DUMMYFUNCTION("""COMPUTED_VALUE"""),1796.0)</f>
        <v>1796</v>
      </c>
      <c r="E102" s="8">
        <f>IFERROR(__xludf.DUMMYFUNCTION("""COMPUTED_VALUE"""),0.955988857938718)</f>
        <v>0.9559888579</v>
      </c>
      <c r="F102" s="8">
        <f>IFERROR(__xludf.DUMMYFUNCTION("""COMPUTED_VALUE"""),0.556298773690078)</f>
        <v>0.5562987737</v>
      </c>
      <c r="G102" s="8">
        <f>IFERROR(__xludf.DUMMYFUNCTION("""COMPUTED_VALUE"""),0.48464544946957)</f>
        <v>0.4846454495</v>
      </c>
      <c r="H102" s="8">
        <f>IFERROR(__xludf.DUMMYFUNCTION("""COMPUTED_VALUE"""),0.422085201793722)</f>
        <v>0.4220852018</v>
      </c>
      <c r="I102" s="8">
        <f>IFERROR(__xludf.DUMMYFUNCTION("""COMPUTED_VALUE"""),0.394943820224719)</f>
        <v>0.3949438202</v>
      </c>
      <c r="J102" s="8">
        <f>IFERROR(__xludf.DUMMYFUNCTION("""COMPUTED_VALUE"""),0.357427433124644)</f>
        <v>0.3574274331</v>
      </c>
      <c r="K102" s="8">
        <f>IFERROR(__xludf.DUMMYFUNCTION("""COMPUTED_VALUE"""),0.342028985507246)</f>
        <v>0.3420289855</v>
      </c>
      <c r="L102" s="8">
        <f>IFERROR(__xludf.DUMMYFUNCTION("""COMPUTED_VALUE"""),0.306451612903225)</f>
        <v>0.3064516129</v>
      </c>
      <c r="M102" s="8">
        <f>IFERROR(__xludf.DUMMYFUNCTION("""COMPUTED_VALUE"""),0.302426882389545)</f>
        <v>0.3024268824</v>
      </c>
      <c r="N102" s="8">
        <f>IFERROR(__xludf.DUMMYFUNCTION("""COMPUTED_VALUE"""),0.273209549071618)</f>
        <v>0.2732095491</v>
      </c>
      <c r="O102" s="8">
        <f>IFERROR(__xludf.DUMMYFUNCTION("""COMPUTED_VALUE"""),0.213197969543147)</f>
        <v>0.2131979695</v>
      </c>
      <c r="P102" s="8">
        <f>IFERROR(__xludf.DUMMYFUNCTION("""COMPUTED_VALUE"""),0.110630942091616)</f>
        <v>0.1106309421</v>
      </c>
      <c r="Q102" s="8">
        <f>IFERROR(__xludf.DUMMYFUNCTION("""COMPUTED_VALUE"""),0.0680933852140077)</f>
        <v>0.06809338521</v>
      </c>
      <c r="R102" s="8">
        <f>IFERROR(__xludf.DUMMYFUNCTION("""COMPUTED_VALUE"""),0.0528)</f>
        <v>0.0528</v>
      </c>
      <c r="S102" s="8">
        <f>IFERROR(__xludf.DUMMYFUNCTION("""COMPUTED_VALUE"""),0.048780487804878)</f>
        <v>0.0487804878</v>
      </c>
      <c r="T102" s="8">
        <f>IFERROR(__xludf.DUMMYFUNCTION("""COMPUTED_VALUE"""),0.111111111111111)</f>
        <v>0.1111111111</v>
      </c>
      <c r="U102" s="8">
        <f>IFERROR(__xludf.DUMMYFUNCTION("""COMPUTED_VALUE"""),0.0)</f>
        <v>0</v>
      </c>
      <c r="V102" s="8">
        <f>IFERROR(__xludf.DUMMYFUNCTION("""COMPUTED_VALUE"""),0.0)</f>
        <v>0</v>
      </c>
      <c r="W102" s="8">
        <f>IFERROR(__xludf.DUMMYFUNCTION("""COMPUTED_VALUE"""),0.0)</f>
        <v>0</v>
      </c>
      <c r="X102" s="8">
        <f>IFERROR(__xludf.DUMMYFUNCTION("""COMPUTED_VALUE"""),0.0)</f>
        <v>0</v>
      </c>
      <c r="Y102" s="8">
        <f>IFERROR(__xludf.DUMMYFUNCTION("""COMPUTED_VALUE"""),0.0)</f>
        <v>0</v>
      </c>
      <c r="Z102" s="8">
        <f>IFERROR(__xludf.DUMMYFUNCTION("""COMPUTED_VALUE"""),0.0)</f>
        <v>0</v>
      </c>
      <c r="AA102" s="8">
        <f>IFERROR(__xludf.DUMMYFUNCTION("""COMPUTED_VALUE"""),0.0)</f>
        <v>0</v>
      </c>
      <c r="AB102" s="8">
        <f>IFERROR(__xludf.DUMMYFUNCTION("""COMPUTED_VALUE"""),0.0)</f>
        <v>0</v>
      </c>
      <c r="AC102" s="8">
        <f>IFERROR(__xludf.DUMMYFUNCTION("""COMPUTED_VALUE"""),0.0)</f>
        <v>0</v>
      </c>
    </row>
    <row r="103" ht="15.75" customHeight="1">
      <c r="A103" s="6" t="str">
        <f>IFERROR(__xludf.DUMMYFUNCTION("""COMPUTED_VALUE"""),"55254a77c40862bb825ededf69a85438157d664f")</f>
        <v>55254a77c40862bb825ededf69a85438157d664f</v>
      </c>
      <c r="B103" s="6" t="str">
        <f>IFERROR(__xludf.DUMMYFUNCTION("""COMPUTED_VALUE"""),"The Billionaire With Mask")</f>
        <v>The Billionaire With Mask</v>
      </c>
      <c r="C103" s="6" t="str">
        <f>IFERROR(__xludf.DUMMYFUNCTION("""COMPUTED_VALUE"""),"Drama")</f>
        <v>Drama</v>
      </c>
      <c r="D103" s="11">
        <f>IFERROR(__xludf.DUMMYFUNCTION("""COMPUTED_VALUE"""),538.0)</f>
        <v>538</v>
      </c>
      <c r="E103" s="8">
        <f>IFERROR(__xludf.DUMMYFUNCTION("""COMPUTED_VALUE"""),0.964485981308411)</f>
        <v>0.9644859813</v>
      </c>
      <c r="F103" s="8">
        <f>IFERROR(__xludf.DUMMYFUNCTION("""COMPUTED_VALUE"""),0.383177570093457)</f>
        <v>0.3831775701</v>
      </c>
      <c r="G103" s="8">
        <f>IFERROR(__xludf.DUMMYFUNCTION("""COMPUTED_VALUE"""),0.306542056074766)</f>
        <v>0.3065420561</v>
      </c>
      <c r="H103" s="8">
        <f>IFERROR(__xludf.DUMMYFUNCTION("""COMPUTED_VALUE"""),0.275280898876404)</f>
        <v>0.2752808989</v>
      </c>
      <c r="I103" s="8">
        <f>IFERROR(__xludf.DUMMYFUNCTION("""COMPUTED_VALUE"""),0.237827715355805)</f>
        <v>0.2378277154</v>
      </c>
      <c r="J103" s="8">
        <f>IFERROR(__xludf.DUMMYFUNCTION("""COMPUTED_VALUE"""),0.226591760299625)</f>
        <v>0.2265917603</v>
      </c>
      <c r="K103" s="8">
        <f>IFERROR(__xludf.DUMMYFUNCTION("""COMPUTED_VALUE"""),0.212406015037594)</f>
        <v>0.212406015</v>
      </c>
      <c r="L103" s="8">
        <f>IFERROR(__xludf.DUMMYFUNCTION("""COMPUTED_VALUE"""),0.19774011299435)</f>
        <v>0.197740113</v>
      </c>
      <c r="M103" s="8">
        <f>IFERROR(__xludf.DUMMYFUNCTION("""COMPUTED_VALUE"""),0.188323917137476)</f>
        <v>0.1883239171</v>
      </c>
      <c r="N103" s="8">
        <f>IFERROR(__xludf.DUMMYFUNCTION("""COMPUTED_VALUE"""),0.184557438794726)</f>
        <v>0.1845574388</v>
      </c>
      <c r="O103" s="8">
        <f>IFERROR(__xludf.DUMMYFUNCTION("""COMPUTED_VALUE"""),0.156308851224105)</f>
        <v>0.1563088512</v>
      </c>
      <c r="P103" s="8">
        <f>IFERROR(__xludf.DUMMYFUNCTION("""COMPUTED_VALUE"""),0.126923076923076)</f>
        <v>0.1269230769</v>
      </c>
      <c r="Q103" s="8">
        <f>IFERROR(__xludf.DUMMYFUNCTION("""COMPUTED_VALUE"""),0.0871670702179176)</f>
        <v>0.08716707022</v>
      </c>
      <c r="R103" s="8">
        <f>IFERROR(__xludf.DUMMYFUNCTION("""COMPUTED_VALUE"""),0.0533707865168539)</f>
        <v>0.05337078652</v>
      </c>
      <c r="S103" s="8">
        <f>IFERROR(__xludf.DUMMYFUNCTION("""COMPUTED_VALUE"""),0.0468227424749163)</f>
        <v>0.04682274247</v>
      </c>
      <c r="T103" s="8">
        <f>IFERROR(__xludf.DUMMYFUNCTION("""COMPUTED_VALUE"""),0.0)</f>
        <v>0</v>
      </c>
      <c r="U103" s="8">
        <f>IFERROR(__xludf.DUMMYFUNCTION("""COMPUTED_VALUE"""),0.0)</f>
        <v>0</v>
      </c>
      <c r="V103" s="8">
        <f>IFERROR(__xludf.DUMMYFUNCTION("""COMPUTED_VALUE"""),0.0)</f>
        <v>0</v>
      </c>
      <c r="W103" s="8">
        <f>IFERROR(__xludf.DUMMYFUNCTION("""COMPUTED_VALUE"""),0.0)</f>
        <v>0</v>
      </c>
      <c r="X103" s="8">
        <f>IFERROR(__xludf.DUMMYFUNCTION("""COMPUTED_VALUE"""),0.0)</f>
        <v>0</v>
      </c>
      <c r="Y103" s="8">
        <f>IFERROR(__xludf.DUMMYFUNCTION("""COMPUTED_VALUE"""),0.0)</f>
        <v>0</v>
      </c>
      <c r="Z103" s="8">
        <f>IFERROR(__xludf.DUMMYFUNCTION("""COMPUTED_VALUE"""),0.0)</f>
        <v>0</v>
      </c>
      <c r="AA103" s="8">
        <f>IFERROR(__xludf.DUMMYFUNCTION("""COMPUTED_VALUE"""),0.0)</f>
        <v>0</v>
      </c>
      <c r="AB103" s="8">
        <f>IFERROR(__xludf.DUMMYFUNCTION("""COMPUTED_VALUE"""),0.0)</f>
        <v>0</v>
      </c>
      <c r="AC103" s="8">
        <f>IFERROR(__xludf.DUMMYFUNCTION("""COMPUTED_VALUE"""),0.0)</f>
        <v>0</v>
      </c>
    </row>
    <row r="104" ht="15.75" customHeight="1">
      <c r="A104" s="6" t="str">
        <f>IFERROR(__xludf.DUMMYFUNCTION("""COMPUTED_VALUE"""),"559db21e99cf5bc0720a814784386a0617e020b9")</f>
        <v>559db21e99cf5bc0720a814784386a0617e020b9</v>
      </c>
      <c r="B104" s="6" t="str">
        <f>IFERROR(__xludf.DUMMYFUNCTION("""COMPUTED_VALUE"""),"The Reborn Sovereign")</f>
        <v>The Reborn Sovereign</v>
      </c>
      <c r="C104" s="6" t="str">
        <f>IFERROR(__xludf.DUMMYFUNCTION("""COMPUTED_VALUE"""),"Fantasy")</f>
        <v>Fantasy</v>
      </c>
      <c r="D104" s="11">
        <f>IFERROR(__xludf.DUMMYFUNCTION("""COMPUTED_VALUE"""),1452.0)</f>
        <v>1452</v>
      </c>
      <c r="E104" s="8">
        <f>IFERROR(__xludf.DUMMYFUNCTION("""COMPUTED_VALUE"""),0.951287404314544)</f>
        <v>0.9512874043</v>
      </c>
      <c r="F104" s="8">
        <f>IFERROR(__xludf.DUMMYFUNCTION("""COMPUTED_VALUE"""),0.393113342898134)</f>
        <v>0.3931133429</v>
      </c>
      <c r="G104" s="8">
        <f>IFERROR(__xludf.DUMMYFUNCTION("""COMPUTED_VALUE"""),0.358351729212656)</f>
        <v>0.3583517292</v>
      </c>
      <c r="H104" s="8">
        <f>IFERROR(__xludf.DUMMYFUNCTION("""COMPUTED_VALUE"""),0.335074626865671)</f>
        <v>0.3350746269</v>
      </c>
      <c r="I104" s="8">
        <f>IFERROR(__xludf.DUMMYFUNCTION("""COMPUTED_VALUE"""),0.31254752851711)</f>
        <v>0.3125475285</v>
      </c>
      <c r="J104" s="8">
        <f>IFERROR(__xludf.DUMMYFUNCTION("""COMPUTED_VALUE"""),0.292248062015503)</f>
        <v>0.292248062</v>
      </c>
      <c r="K104" s="8">
        <f>IFERROR(__xludf.DUMMYFUNCTION("""COMPUTED_VALUE"""),0.27561556791104)</f>
        <v>0.2756155679</v>
      </c>
      <c r="L104" s="8">
        <f>IFERROR(__xludf.DUMMYFUNCTION("""COMPUTED_VALUE"""),0.2714859437751)</f>
        <v>0.2714859438</v>
      </c>
      <c r="M104" s="8">
        <f>IFERROR(__xludf.DUMMYFUNCTION("""COMPUTED_VALUE"""),0.260340632603406)</f>
        <v>0.2603406326</v>
      </c>
      <c r="N104" s="8">
        <f>IFERROR(__xludf.DUMMYFUNCTION("""COMPUTED_VALUE"""),0.25328947368421)</f>
        <v>0.2532894737</v>
      </c>
      <c r="O104" s="8">
        <f>IFERROR(__xludf.DUMMYFUNCTION("""COMPUTED_VALUE"""),0.211375212224108)</f>
        <v>0.2113752122</v>
      </c>
      <c r="P104" s="8">
        <f>IFERROR(__xludf.DUMMYFUNCTION("""COMPUTED_VALUE"""),0.175557710960232)</f>
        <v>0.175557711</v>
      </c>
      <c r="Q104" s="8">
        <f>IFERROR(__xludf.DUMMYFUNCTION("""COMPUTED_VALUE"""),0.146174863387978)</f>
        <v>0.1461748634</v>
      </c>
      <c r="R104" s="8">
        <f>IFERROR(__xludf.DUMMYFUNCTION("""COMPUTED_VALUE"""),0.109243697478991)</f>
        <v>0.1092436975</v>
      </c>
      <c r="S104" s="8">
        <f>IFERROR(__xludf.DUMMYFUNCTION("""COMPUTED_VALUE"""),0.102362204724409)</f>
        <v>0.1023622047</v>
      </c>
      <c r="T104" s="8">
        <f>IFERROR(__xludf.DUMMYFUNCTION("""COMPUTED_VALUE"""),0.0)</f>
        <v>0</v>
      </c>
      <c r="U104" s="8">
        <f>IFERROR(__xludf.DUMMYFUNCTION("""COMPUTED_VALUE"""),0.0)</f>
        <v>0</v>
      </c>
      <c r="V104" s="8">
        <f>IFERROR(__xludf.DUMMYFUNCTION("""COMPUTED_VALUE"""),0.0)</f>
        <v>0</v>
      </c>
      <c r="W104" s="8">
        <f>IFERROR(__xludf.DUMMYFUNCTION("""COMPUTED_VALUE"""),0.0)</f>
        <v>0</v>
      </c>
      <c r="X104" s="8">
        <f>IFERROR(__xludf.DUMMYFUNCTION("""COMPUTED_VALUE"""),0.0)</f>
        <v>0</v>
      </c>
      <c r="Y104" s="8">
        <f>IFERROR(__xludf.DUMMYFUNCTION("""COMPUTED_VALUE"""),0.0)</f>
        <v>0</v>
      </c>
      <c r="Z104" s="8">
        <f>IFERROR(__xludf.DUMMYFUNCTION("""COMPUTED_VALUE"""),0.0)</f>
        <v>0</v>
      </c>
      <c r="AA104" s="8">
        <f>IFERROR(__xludf.DUMMYFUNCTION("""COMPUTED_VALUE"""),0.0)</f>
        <v>0</v>
      </c>
      <c r="AB104" s="8">
        <f>IFERROR(__xludf.DUMMYFUNCTION("""COMPUTED_VALUE"""),0.0)</f>
        <v>0</v>
      </c>
      <c r="AC104" s="8">
        <f>IFERROR(__xludf.DUMMYFUNCTION("""COMPUTED_VALUE"""),0.0)</f>
        <v>0</v>
      </c>
    </row>
    <row r="105" ht="15.75" customHeight="1">
      <c r="A105" s="6" t="str">
        <f>IFERROR(__xludf.DUMMYFUNCTION("""COMPUTED_VALUE"""),"562f725dcc83392df0b3d429b6d1ff538f81e71b")</f>
        <v>562f725dcc83392df0b3d429b6d1ff538f81e71b</v>
      </c>
      <c r="B105" s="6" t="str">
        <f>IFERROR(__xludf.DUMMYFUNCTION("""COMPUTED_VALUE"""),"Their Contracted Hearts")</f>
        <v>Their Contracted Hearts</v>
      </c>
      <c r="C105" s="6" t="str">
        <f>IFERROR(__xludf.DUMMYFUNCTION("""COMPUTED_VALUE"""),"Romance")</f>
        <v>Romance</v>
      </c>
      <c r="D105" s="11">
        <f>IFERROR(__xludf.DUMMYFUNCTION("""COMPUTED_VALUE"""),1345.0)</f>
        <v>1345</v>
      </c>
      <c r="E105" s="8">
        <f>IFERROR(__xludf.DUMMYFUNCTION("""COMPUTED_VALUE"""),0.955357142857142)</f>
        <v>0.9553571429</v>
      </c>
      <c r="F105" s="8">
        <f>IFERROR(__xludf.DUMMYFUNCTION("""COMPUTED_VALUE"""),0.582589285714285)</f>
        <v>0.5825892857</v>
      </c>
      <c r="G105" s="8">
        <f>IFERROR(__xludf.DUMMYFUNCTION("""COMPUTED_VALUE"""),0.587183308494784)</f>
        <v>0.5871833085</v>
      </c>
      <c r="H105" s="8">
        <f>IFERROR(__xludf.DUMMYFUNCTION("""COMPUTED_VALUE"""),0.548844146159582)</f>
        <v>0.5488441462</v>
      </c>
      <c r="I105" s="8">
        <f>IFERROR(__xludf.DUMMYFUNCTION("""COMPUTED_VALUE"""),0.542878448918717)</f>
        <v>0.5428784489</v>
      </c>
      <c r="J105" s="8">
        <f>IFERROR(__xludf.DUMMYFUNCTION("""COMPUTED_VALUE"""),0.484328358208955)</f>
        <v>0.4843283582</v>
      </c>
      <c r="K105" s="8">
        <f>IFERROR(__xludf.DUMMYFUNCTION("""COMPUTED_VALUE"""),0.448095593726661)</f>
        <v>0.4480955937</v>
      </c>
      <c r="L105" s="8">
        <f>IFERROR(__xludf.DUMMYFUNCTION("""COMPUTED_VALUE"""),0.465620328849028)</f>
        <v>0.4656203288</v>
      </c>
      <c r="M105" s="8">
        <f>IFERROR(__xludf.DUMMYFUNCTION("""COMPUTED_VALUE"""),0.435302916978309)</f>
        <v>0.435302917</v>
      </c>
      <c r="N105" s="8">
        <f>IFERROR(__xludf.DUMMYFUNCTION("""COMPUTED_VALUE"""),0.411676646706586)</f>
        <v>0.4116766467</v>
      </c>
      <c r="O105" s="8">
        <f>IFERROR(__xludf.DUMMYFUNCTION("""COMPUTED_VALUE"""),0.288324066719618)</f>
        <v>0.2883240667</v>
      </c>
      <c r="P105" s="8">
        <f>IFERROR(__xludf.DUMMYFUNCTION("""COMPUTED_VALUE"""),0.169535283993115)</f>
        <v>0.169535284</v>
      </c>
      <c r="Q105" s="8">
        <f>IFERROR(__xludf.DUMMYFUNCTION("""COMPUTED_VALUE"""),0.113964686998394)</f>
        <v>0.113964687</v>
      </c>
      <c r="R105" s="8">
        <f>IFERROR(__xludf.DUMMYFUNCTION("""COMPUTED_VALUE"""),0.0819964349376114)</f>
        <v>0.08199643494</v>
      </c>
      <c r="S105" s="8">
        <f>IFERROR(__xludf.DUMMYFUNCTION("""COMPUTED_VALUE"""),0.0273631840796019)</f>
        <v>0.02736318408</v>
      </c>
      <c r="T105" s="8">
        <f>IFERROR(__xludf.DUMMYFUNCTION("""COMPUTED_VALUE"""),0.0)</f>
        <v>0</v>
      </c>
      <c r="U105" s="8">
        <f>IFERROR(__xludf.DUMMYFUNCTION("""COMPUTED_VALUE"""),0.0)</f>
        <v>0</v>
      </c>
      <c r="V105" s="8">
        <f>IFERROR(__xludf.DUMMYFUNCTION("""COMPUTED_VALUE"""),0.0)</f>
        <v>0</v>
      </c>
      <c r="W105" s="8">
        <f>IFERROR(__xludf.DUMMYFUNCTION("""COMPUTED_VALUE"""),0.0)</f>
        <v>0</v>
      </c>
      <c r="X105" s="8">
        <f>IFERROR(__xludf.DUMMYFUNCTION("""COMPUTED_VALUE"""),0.0)</f>
        <v>0</v>
      </c>
      <c r="Y105" s="8">
        <f>IFERROR(__xludf.DUMMYFUNCTION("""COMPUTED_VALUE"""),0.0)</f>
        <v>0</v>
      </c>
      <c r="Z105" s="8">
        <f>IFERROR(__xludf.DUMMYFUNCTION("""COMPUTED_VALUE"""),0.0)</f>
        <v>0</v>
      </c>
      <c r="AA105" s="8">
        <f>IFERROR(__xludf.DUMMYFUNCTION("""COMPUTED_VALUE"""),0.0)</f>
        <v>0</v>
      </c>
      <c r="AB105" s="8">
        <f>IFERROR(__xludf.DUMMYFUNCTION("""COMPUTED_VALUE"""),0.0)</f>
        <v>0</v>
      </c>
      <c r="AC105" s="8">
        <f>IFERROR(__xludf.DUMMYFUNCTION("""COMPUTED_VALUE"""),0.0)</f>
        <v>0</v>
      </c>
    </row>
    <row r="106" ht="15.75" customHeight="1">
      <c r="A106" s="6" t="str">
        <f>IFERROR(__xludf.DUMMYFUNCTION("""COMPUTED_VALUE"""),"56fd2f13dbccca0c55f9b02f7334d302737ec3df")</f>
        <v>56fd2f13dbccca0c55f9b02f7334d302737ec3df</v>
      </c>
      <c r="B106" s="6" t="str">
        <f>IFERROR(__xludf.DUMMYFUNCTION("""COMPUTED_VALUE"""),"Heaven-Shaking Doctor")</f>
        <v>Heaven-Shaking Doctor</v>
      </c>
      <c r="C106" s="6" t="str">
        <f>IFERROR(__xludf.DUMMYFUNCTION("""COMPUTED_VALUE"""),"Drama")</f>
        <v>Drama</v>
      </c>
      <c r="D106" s="11">
        <f>IFERROR(__xludf.DUMMYFUNCTION("""COMPUTED_VALUE"""),381.0)</f>
        <v>381</v>
      </c>
      <c r="E106" s="8">
        <f>IFERROR(__xludf.DUMMYFUNCTION("""COMPUTED_VALUE"""),0.968503937007874)</f>
        <v>0.968503937</v>
      </c>
      <c r="F106" s="8">
        <f>IFERROR(__xludf.DUMMYFUNCTION("""COMPUTED_VALUE"""),0.406824146981627)</f>
        <v>0.406824147</v>
      </c>
      <c r="G106" s="8">
        <f>IFERROR(__xludf.DUMMYFUNCTION("""COMPUTED_VALUE"""),0.360526315789473)</f>
        <v>0.3605263158</v>
      </c>
      <c r="H106" s="8">
        <f>IFERROR(__xludf.DUMMYFUNCTION("""COMPUTED_VALUE"""),0.31578947368421)</f>
        <v>0.3157894737</v>
      </c>
      <c r="I106" s="8">
        <f>IFERROR(__xludf.DUMMYFUNCTION("""COMPUTED_VALUE"""),0.277044854881266)</f>
        <v>0.2770448549</v>
      </c>
      <c r="J106" s="8">
        <f>IFERROR(__xludf.DUMMYFUNCTION("""COMPUTED_VALUE"""),0.25065963060686)</f>
        <v>0.2506596306</v>
      </c>
      <c r="K106" s="8">
        <f>IFERROR(__xludf.DUMMYFUNCTION("""COMPUTED_VALUE"""),0.23015873015873)</f>
        <v>0.2301587302</v>
      </c>
      <c r="L106" s="8">
        <f>IFERROR(__xludf.DUMMYFUNCTION("""COMPUTED_VALUE"""),0.208994708994708)</f>
        <v>0.208994709</v>
      </c>
      <c r="M106" s="8">
        <f>IFERROR(__xludf.DUMMYFUNCTION("""COMPUTED_VALUE"""),0.180371352785145)</f>
        <v>0.1803713528</v>
      </c>
      <c r="N106" s="8">
        <f>IFERROR(__xludf.DUMMYFUNCTION("""COMPUTED_VALUE"""),0.167108753315649)</f>
        <v>0.1671087533</v>
      </c>
      <c r="O106" s="8">
        <f>IFERROR(__xludf.DUMMYFUNCTION("""COMPUTED_VALUE"""),0.115591397849462)</f>
        <v>0.1155913978</v>
      </c>
      <c r="P106" s="8">
        <f>IFERROR(__xludf.DUMMYFUNCTION("""COMPUTED_VALUE"""),0.0813953488372093)</f>
        <v>0.08139534884</v>
      </c>
      <c r="Q106" s="8">
        <f>IFERROR(__xludf.DUMMYFUNCTION("""COMPUTED_VALUE"""),0.0)</f>
        <v>0</v>
      </c>
      <c r="R106" s="8">
        <f>IFERROR(__xludf.DUMMYFUNCTION("""COMPUTED_VALUE"""),0.0)</f>
        <v>0</v>
      </c>
      <c r="S106" s="8">
        <f>IFERROR(__xludf.DUMMYFUNCTION("""COMPUTED_VALUE"""),0.0)</f>
        <v>0</v>
      </c>
      <c r="T106" s="8">
        <f>IFERROR(__xludf.DUMMYFUNCTION("""COMPUTED_VALUE"""),0.0)</f>
        <v>0</v>
      </c>
      <c r="U106" s="8">
        <f>IFERROR(__xludf.DUMMYFUNCTION("""COMPUTED_VALUE"""),0.0)</f>
        <v>0</v>
      </c>
      <c r="V106" s="8">
        <f>IFERROR(__xludf.DUMMYFUNCTION("""COMPUTED_VALUE"""),0.0)</f>
        <v>0</v>
      </c>
      <c r="W106" s="8">
        <f>IFERROR(__xludf.DUMMYFUNCTION("""COMPUTED_VALUE"""),0.0)</f>
        <v>0</v>
      </c>
      <c r="X106" s="8">
        <f>IFERROR(__xludf.DUMMYFUNCTION("""COMPUTED_VALUE"""),0.0)</f>
        <v>0</v>
      </c>
      <c r="Y106" s="8">
        <f>IFERROR(__xludf.DUMMYFUNCTION("""COMPUTED_VALUE"""),0.0)</f>
        <v>0</v>
      </c>
      <c r="Z106" s="8">
        <f>IFERROR(__xludf.DUMMYFUNCTION("""COMPUTED_VALUE"""),0.0)</f>
        <v>0</v>
      </c>
      <c r="AA106" s="8">
        <f>IFERROR(__xludf.DUMMYFUNCTION("""COMPUTED_VALUE"""),0.0)</f>
        <v>0</v>
      </c>
      <c r="AB106" s="8">
        <f>IFERROR(__xludf.DUMMYFUNCTION("""COMPUTED_VALUE"""),0.0)</f>
        <v>0</v>
      </c>
      <c r="AC106" s="8">
        <f>IFERROR(__xludf.DUMMYFUNCTION("""COMPUTED_VALUE"""),0.0)</f>
        <v>0</v>
      </c>
    </row>
    <row r="107" ht="15.75" customHeight="1">
      <c r="A107" s="6" t="str">
        <f>IFERROR(__xludf.DUMMYFUNCTION("""COMPUTED_VALUE"""),"5710ee62e2cd01947d8f11e6bcaaa653fd1281b2")</f>
        <v>5710ee62e2cd01947d8f11e6bcaaa653fd1281b2</v>
      </c>
      <c r="B107" s="6" t="str">
        <f>IFERROR(__xludf.DUMMYFUNCTION("""COMPUTED_VALUE"""),"The Greatest Son-in-Law")</f>
        <v>The Greatest Son-in-Law</v>
      </c>
      <c r="C107" s="6" t="str">
        <f>IFERROR(__xludf.DUMMYFUNCTION("""COMPUTED_VALUE"""),"Drama")</f>
        <v>Drama</v>
      </c>
      <c r="D107" s="11">
        <f>IFERROR(__xludf.DUMMYFUNCTION("""COMPUTED_VALUE"""),253.0)</f>
        <v>253</v>
      </c>
      <c r="E107" s="8">
        <f>IFERROR(__xludf.DUMMYFUNCTION("""COMPUTED_VALUE"""),0.96414342629482)</f>
        <v>0.9641434263</v>
      </c>
      <c r="F107" s="8">
        <f>IFERROR(__xludf.DUMMYFUNCTION("""COMPUTED_VALUE"""),0.513944223107569)</f>
        <v>0.5139442231</v>
      </c>
      <c r="G107" s="8">
        <f>IFERROR(__xludf.DUMMYFUNCTION("""COMPUTED_VALUE"""),0.384)</f>
        <v>0.384</v>
      </c>
      <c r="H107" s="8">
        <f>IFERROR(__xludf.DUMMYFUNCTION("""COMPUTED_VALUE"""),0.310204081632653)</f>
        <v>0.3102040816</v>
      </c>
      <c r="I107" s="8">
        <f>IFERROR(__xludf.DUMMYFUNCTION("""COMPUTED_VALUE"""),0.257383966244725)</f>
        <v>0.2573839662</v>
      </c>
      <c r="J107" s="8">
        <f>IFERROR(__xludf.DUMMYFUNCTION("""COMPUTED_VALUE"""),0.204545454545454)</f>
        <v>0.2045454545</v>
      </c>
      <c r="K107" s="8">
        <f>IFERROR(__xludf.DUMMYFUNCTION("""COMPUTED_VALUE"""),0.202898550724637)</f>
        <v>0.2028985507</v>
      </c>
      <c r="L107" s="8">
        <f>IFERROR(__xludf.DUMMYFUNCTION("""COMPUTED_VALUE"""),0.181818181818181)</f>
        <v>0.1818181818</v>
      </c>
      <c r="M107" s="8">
        <f>IFERROR(__xludf.DUMMYFUNCTION("""COMPUTED_VALUE"""),0.171270718232044)</f>
        <v>0.1712707182</v>
      </c>
      <c r="N107" s="8">
        <f>IFERROR(__xludf.DUMMYFUNCTION("""COMPUTED_VALUE"""),0.171597633136094)</f>
        <v>0.1715976331</v>
      </c>
      <c r="O107" s="8">
        <f>IFERROR(__xludf.DUMMYFUNCTION("""COMPUTED_VALUE"""),0.159420289855072)</f>
        <v>0.1594202899</v>
      </c>
      <c r="P107" s="8">
        <f>IFERROR(__xludf.DUMMYFUNCTION("""COMPUTED_VALUE"""),0.133858267716535)</f>
        <v>0.1338582677</v>
      </c>
      <c r="Q107" s="8">
        <f>IFERROR(__xludf.DUMMYFUNCTION("""COMPUTED_VALUE"""),0.0)</f>
        <v>0</v>
      </c>
      <c r="R107" s="8">
        <f>IFERROR(__xludf.DUMMYFUNCTION("""COMPUTED_VALUE"""),0.0)</f>
        <v>0</v>
      </c>
      <c r="S107" s="8">
        <f>IFERROR(__xludf.DUMMYFUNCTION("""COMPUTED_VALUE"""),0.0)</f>
        <v>0</v>
      </c>
      <c r="T107" s="8">
        <f>IFERROR(__xludf.DUMMYFUNCTION("""COMPUTED_VALUE"""),0.0)</f>
        <v>0</v>
      </c>
      <c r="U107" s="8">
        <f>IFERROR(__xludf.DUMMYFUNCTION("""COMPUTED_VALUE"""),0.0)</f>
        <v>0</v>
      </c>
      <c r="V107" s="8">
        <f>IFERROR(__xludf.DUMMYFUNCTION("""COMPUTED_VALUE"""),0.0)</f>
        <v>0</v>
      </c>
      <c r="W107" s="8">
        <f>IFERROR(__xludf.DUMMYFUNCTION("""COMPUTED_VALUE"""),0.0)</f>
        <v>0</v>
      </c>
      <c r="X107" s="8">
        <f>IFERROR(__xludf.DUMMYFUNCTION("""COMPUTED_VALUE"""),0.0)</f>
        <v>0</v>
      </c>
      <c r="Y107" s="8">
        <f>IFERROR(__xludf.DUMMYFUNCTION("""COMPUTED_VALUE"""),0.0)</f>
        <v>0</v>
      </c>
      <c r="Z107" s="8">
        <f>IFERROR(__xludf.DUMMYFUNCTION("""COMPUTED_VALUE"""),0.0)</f>
        <v>0</v>
      </c>
      <c r="AA107" s="8">
        <f>IFERROR(__xludf.DUMMYFUNCTION("""COMPUTED_VALUE"""),0.0)</f>
        <v>0</v>
      </c>
      <c r="AB107" s="8">
        <f>IFERROR(__xludf.DUMMYFUNCTION("""COMPUTED_VALUE"""),0.0)</f>
        <v>0</v>
      </c>
      <c r="AC107" s="8">
        <f>IFERROR(__xludf.DUMMYFUNCTION("""COMPUTED_VALUE"""),0.0)</f>
        <v>0</v>
      </c>
    </row>
    <row r="108" ht="15.75" customHeight="1">
      <c r="A108" s="6" t="str">
        <f>IFERROR(__xludf.DUMMYFUNCTION("""COMPUTED_VALUE"""),"57c4ad36d88c94c3d6132c931c371b08f21ab0e1")</f>
        <v>57c4ad36d88c94c3d6132c931c371b08f21ab0e1</v>
      </c>
      <c r="B108" s="6" t="str">
        <f>IFERROR(__xludf.DUMMYFUNCTION("""COMPUTED_VALUE"""),"Warlord of the Frozen Daw")</f>
        <v>Warlord of the Frozen Daw</v>
      </c>
      <c r="C108" s="6" t="str">
        <f>IFERROR(__xludf.DUMMYFUNCTION("""COMPUTED_VALUE"""),"Drama")</f>
        <v>Drama</v>
      </c>
      <c r="D108" s="11">
        <f>IFERROR(__xludf.DUMMYFUNCTION("""COMPUTED_VALUE"""),29.0)</f>
        <v>29</v>
      </c>
      <c r="E108" s="8">
        <f>IFERROR(__xludf.DUMMYFUNCTION("""COMPUTED_VALUE"""),0.96551724137931)</f>
        <v>0.9655172414</v>
      </c>
      <c r="F108" s="8">
        <f>IFERROR(__xludf.DUMMYFUNCTION("""COMPUTED_VALUE"""),0.620689655172413)</f>
        <v>0.6206896552</v>
      </c>
      <c r="G108" s="8">
        <f>IFERROR(__xludf.DUMMYFUNCTION("""COMPUTED_VALUE"""),0.482758620689655)</f>
        <v>0.4827586207</v>
      </c>
      <c r="H108" s="8">
        <f>IFERROR(__xludf.DUMMYFUNCTION("""COMPUTED_VALUE"""),0.379310344827586)</f>
        <v>0.3793103448</v>
      </c>
      <c r="I108" s="8">
        <f>IFERROR(__xludf.DUMMYFUNCTION("""COMPUTED_VALUE"""),0.344827586206896)</f>
        <v>0.3448275862</v>
      </c>
      <c r="J108" s="8">
        <f>IFERROR(__xludf.DUMMYFUNCTION("""COMPUTED_VALUE"""),0.344827586206896)</f>
        <v>0.3448275862</v>
      </c>
      <c r="K108" s="8">
        <f>IFERROR(__xludf.DUMMYFUNCTION("""COMPUTED_VALUE"""),0.310344827586206)</f>
        <v>0.3103448276</v>
      </c>
      <c r="L108" s="8">
        <f>IFERROR(__xludf.DUMMYFUNCTION("""COMPUTED_VALUE"""),0.285714285714285)</f>
        <v>0.2857142857</v>
      </c>
      <c r="M108" s="8">
        <f>IFERROR(__xludf.DUMMYFUNCTION("""COMPUTED_VALUE"""),0.285714285714285)</f>
        <v>0.2857142857</v>
      </c>
      <c r="N108" s="8">
        <f>IFERROR(__xludf.DUMMYFUNCTION("""COMPUTED_VALUE"""),0.285714285714285)</f>
        <v>0.2857142857</v>
      </c>
      <c r="O108" s="8">
        <f>IFERROR(__xludf.DUMMYFUNCTION("""COMPUTED_VALUE"""),0.296296296296296)</f>
        <v>0.2962962963</v>
      </c>
      <c r="P108" s="8">
        <f>IFERROR(__xludf.DUMMYFUNCTION("""COMPUTED_VALUE"""),0.166666666666666)</f>
        <v>0.1666666667</v>
      </c>
      <c r="Q108" s="8">
        <f>IFERROR(__xludf.DUMMYFUNCTION("""COMPUTED_VALUE"""),0.125)</f>
        <v>0.125</v>
      </c>
      <c r="R108" s="8">
        <f>IFERROR(__xludf.DUMMYFUNCTION("""COMPUTED_VALUE"""),0.0769230769230769)</f>
        <v>0.07692307692</v>
      </c>
      <c r="S108" s="8">
        <f>IFERROR(__xludf.DUMMYFUNCTION("""COMPUTED_VALUE"""),0.0)</f>
        <v>0</v>
      </c>
      <c r="T108" s="8">
        <f>IFERROR(__xludf.DUMMYFUNCTION("""COMPUTED_VALUE"""),0.0)</f>
        <v>0</v>
      </c>
      <c r="U108" s="8">
        <f>IFERROR(__xludf.DUMMYFUNCTION("""COMPUTED_VALUE"""),0.0)</f>
        <v>0</v>
      </c>
      <c r="V108" s="8">
        <f>IFERROR(__xludf.DUMMYFUNCTION("""COMPUTED_VALUE"""),0.0)</f>
        <v>0</v>
      </c>
      <c r="W108" s="8">
        <f>IFERROR(__xludf.DUMMYFUNCTION("""COMPUTED_VALUE"""),0.0)</f>
        <v>0</v>
      </c>
      <c r="X108" s="8">
        <f>IFERROR(__xludf.DUMMYFUNCTION("""COMPUTED_VALUE"""),0.0)</f>
        <v>0</v>
      </c>
      <c r="Y108" s="8">
        <f>IFERROR(__xludf.DUMMYFUNCTION("""COMPUTED_VALUE"""),0.0)</f>
        <v>0</v>
      </c>
      <c r="Z108" s="8">
        <f>IFERROR(__xludf.DUMMYFUNCTION("""COMPUTED_VALUE"""),0.0)</f>
        <v>0</v>
      </c>
      <c r="AA108" s="8">
        <f>IFERROR(__xludf.DUMMYFUNCTION("""COMPUTED_VALUE"""),0.0)</f>
        <v>0</v>
      </c>
      <c r="AB108" s="8">
        <f>IFERROR(__xludf.DUMMYFUNCTION("""COMPUTED_VALUE"""),0.0)</f>
        <v>0</v>
      </c>
      <c r="AC108" s="8">
        <f>IFERROR(__xludf.DUMMYFUNCTION("""COMPUTED_VALUE"""),0.0)</f>
        <v>0</v>
      </c>
    </row>
    <row r="109" ht="15.75" customHeight="1">
      <c r="A109" s="6" t="str">
        <f>IFERROR(__xludf.DUMMYFUNCTION("""COMPUTED_VALUE"""),"57e670da35fed12abf270953b1cf3cf942fc89e1")</f>
        <v>57e670da35fed12abf270953b1cf3cf942fc89e1</v>
      </c>
      <c r="B109" s="6" t="str">
        <f>IFERROR(__xludf.DUMMYFUNCTION("""COMPUTED_VALUE"""),"You Are Mine Alone, Love")</f>
        <v>You Are Mine Alone, Love</v>
      </c>
      <c r="C109" s="6" t="str">
        <f>IFERROR(__xludf.DUMMYFUNCTION("""COMPUTED_VALUE"""),"Romance")</f>
        <v>Romance</v>
      </c>
      <c r="D109" s="11">
        <f>IFERROR(__xludf.DUMMYFUNCTION("""COMPUTED_VALUE"""),736.0)</f>
        <v>736</v>
      </c>
      <c r="E109" s="8">
        <f>IFERROR(__xludf.DUMMYFUNCTION("""COMPUTED_VALUE"""),0.959128065395095)</f>
        <v>0.9591280654</v>
      </c>
      <c r="F109" s="8">
        <f>IFERROR(__xludf.DUMMYFUNCTION("""COMPUTED_VALUE"""),0.522696011004126)</f>
        <v>0.522696011</v>
      </c>
      <c r="G109" s="8">
        <f>IFERROR(__xludf.DUMMYFUNCTION("""COMPUTED_VALUE"""),0.449515905947441)</f>
        <v>0.4495159059</v>
      </c>
      <c r="H109" s="8">
        <f>IFERROR(__xludf.DUMMYFUNCTION("""COMPUTED_VALUE"""),0.383966244725738)</f>
        <v>0.3839662447</v>
      </c>
      <c r="I109" s="8">
        <f>IFERROR(__xludf.DUMMYFUNCTION("""COMPUTED_VALUE"""),0.353868194842406)</f>
        <v>0.3538681948</v>
      </c>
      <c r="J109" s="8">
        <f>IFERROR(__xludf.DUMMYFUNCTION("""COMPUTED_VALUE"""),0.323615160349854)</f>
        <v>0.3236151603</v>
      </c>
      <c r="K109" s="8">
        <f>IFERROR(__xludf.DUMMYFUNCTION("""COMPUTED_VALUE"""),0.289512555391432)</f>
        <v>0.2895125554</v>
      </c>
      <c r="L109" s="8">
        <f>IFERROR(__xludf.DUMMYFUNCTION("""COMPUTED_VALUE"""),0.274924471299093)</f>
        <v>0.2749244713</v>
      </c>
      <c r="M109" s="8">
        <f>IFERROR(__xludf.DUMMYFUNCTION("""COMPUTED_VALUE"""),0.246875)</f>
        <v>0.246875</v>
      </c>
      <c r="N109" s="8">
        <f>IFERROR(__xludf.DUMMYFUNCTION("""COMPUTED_VALUE"""),0.233387358184765)</f>
        <v>0.2333873582</v>
      </c>
      <c r="O109" s="8">
        <f>IFERROR(__xludf.DUMMYFUNCTION("""COMPUTED_VALUE"""),0.19538188277087)</f>
        <v>0.1953818828</v>
      </c>
      <c r="P109" s="8">
        <f>IFERROR(__xludf.DUMMYFUNCTION("""COMPUTED_VALUE"""),0.133971291866028)</f>
        <v>0.1339712919</v>
      </c>
      <c r="Q109" s="8">
        <f>IFERROR(__xludf.DUMMYFUNCTION("""COMPUTED_VALUE"""),0.0967741935483871)</f>
        <v>0.09677419355</v>
      </c>
      <c r="R109" s="8">
        <f>IFERROR(__xludf.DUMMYFUNCTION("""COMPUTED_VALUE"""),0.0)</f>
        <v>0</v>
      </c>
      <c r="S109" s="8">
        <f>IFERROR(__xludf.DUMMYFUNCTION("""COMPUTED_VALUE"""),0.0)</f>
        <v>0</v>
      </c>
      <c r="T109" s="8">
        <f>IFERROR(__xludf.DUMMYFUNCTION("""COMPUTED_VALUE"""),0.0)</f>
        <v>0</v>
      </c>
      <c r="U109" s="8">
        <f>IFERROR(__xludf.DUMMYFUNCTION("""COMPUTED_VALUE"""),0.0)</f>
        <v>0</v>
      </c>
      <c r="V109" s="8">
        <f>IFERROR(__xludf.DUMMYFUNCTION("""COMPUTED_VALUE"""),0.0)</f>
        <v>0</v>
      </c>
      <c r="W109" s="8">
        <f>IFERROR(__xludf.DUMMYFUNCTION("""COMPUTED_VALUE"""),0.0)</f>
        <v>0</v>
      </c>
      <c r="X109" s="8">
        <f>IFERROR(__xludf.DUMMYFUNCTION("""COMPUTED_VALUE"""),0.0)</f>
        <v>0</v>
      </c>
      <c r="Y109" s="8">
        <f>IFERROR(__xludf.DUMMYFUNCTION("""COMPUTED_VALUE"""),0.0)</f>
        <v>0</v>
      </c>
      <c r="Z109" s="8">
        <f>IFERROR(__xludf.DUMMYFUNCTION("""COMPUTED_VALUE"""),0.0)</f>
        <v>0</v>
      </c>
      <c r="AA109" s="8">
        <f>IFERROR(__xludf.DUMMYFUNCTION("""COMPUTED_VALUE"""),0.0)</f>
        <v>0</v>
      </c>
      <c r="AB109" s="8">
        <f>IFERROR(__xludf.DUMMYFUNCTION("""COMPUTED_VALUE"""),0.0)</f>
        <v>0</v>
      </c>
      <c r="AC109" s="8">
        <f>IFERROR(__xludf.DUMMYFUNCTION("""COMPUTED_VALUE"""),0.0)</f>
        <v>0</v>
      </c>
    </row>
    <row r="110" ht="15.75" customHeight="1">
      <c r="A110" s="6" t="str">
        <f>IFERROR(__xludf.DUMMYFUNCTION("""COMPUTED_VALUE"""),"57ebfa5b58a3257a521a5b9c12c5af19771e4403")</f>
        <v>57ebfa5b58a3257a521a5b9c12c5af19771e4403</v>
      </c>
      <c r="B110" s="6" t="str">
        <f>IFERROR(__xludf.DUMMYFUNCTION("""COMPUTED_VALUE"""),"Unmasking the Bride")</f>
        <v>Unmasking the Bride</v>
      </c>
      <c r="C110" s="6" t="str">
        <f>IFERROR(__xludf.DUMMYFUNCTION("""COMPUTED_VALUE"""),"Romance")</f>
        <v>Romance</v>
      </c>
      <c r="D110" s="11">
        <f>IFERROR(__xludf.DUMMYFUNCTION("""COMPUTED_VALUE"""),861.0)</f>
        <v>861</v>
      </c>
      <c r="E110" s="8">
        <f>IFERROR(__xludf.DUMMYFUNCTION("""COMPUTED_VALUE"""),0.774680603948896)</f>
        <v>0.7746806039</v>
      </c>
      <c r="F110" s="8">
        <f>IFERROR(__xludf.DUMMYFUNCTION("""COMPUTED_VALUE"""),0.389082462253194)</f>
        <v>0.3890824623</v>
      </c>
      <c r="G110" s="8">
        <f>IFERROR(__xludf.DUMMYFUNCTION("""COMPUTED_VALUE"""),0.336817653890824)</f>
        <v>0.3368176539</v>
      </c>
      <c r="H110" s="8">
        <f>IFERROR(__xludf.DUMMYFUNCTION("""COMPUTED_VALUE"""),0.306620209059233)</f>
        <v>0.3066202091</v>
      </c>
      <c r="I110" s="8">
        <f>IFERROR(__xludf.DUMMYFUNCTION("""COMPUTED_VALUE"""),0.283720930232558)</f>
        <v>0.2837209302</v>
      </c>
      <c r="J110" s="8">
        <f>IFERROR(__xludf.DUMMYFUNCTION("""COMPUTED_VALUE"""),0.277066356228172)</f>
        <v>0.2770663562</v>
      </c>
      <c r="K110" s="8">
        <f>IFERROR(__xludf.DUMMYFUNCTION("""COMPUTED_VALUE"""),0.257876312718786)</f>
        <v>0.2578763127</v>
      </c>
      <c r="L110" s="8">
        <f>IFERROR(__xludf.DUMMYFUNCTION("""COMPUTED_VALUE"""),0.243873978996499)</f>
        <v>0.243873979</v>
      </c>
      <c r="M110" s="8">
        <f>IFERROR(__xludf.DUMMYFUNCTION("""COMPUTED_VALUE"""),0.229239766081871)</f>
        <v>0.2292397661</v>
      </c>
      <c r="N110" s="8">
        <f>IFERROR(__xludf.DUMMYFUNCTION("""COMPUTED_VALUE"""),0.219483568075117)</f>
        <v>0.2194835681</v>
      </c>
      <c r="O110" s="8">
        <f>IFERROR(__xludf.DUMMYFUNCTION("""COMPUTED_VALUE"""),0.184210526315789)</f>
        <v>0.1842105263</v>
      </c>
      <c r="P110" s="8">
        <f>IFERROR(__xludf.DUMMYFUNCTION("""COMPUTED_VALUE"""),0.11038961038961)</f>
        <v>0.1103896104</v>
      </c>
      <c r="Q110" s="8">
        <f>IFERROR(__xludf.DUMMYFUNCTION("""COMPUTED_VALUE"""),0.0435510887772194)</f>
        <v>0.04355108878</v>
      </c>
      <c r="R110" s="8">
        <f>IFERROR(__xludf.DUMMYFUNCTION("""COMPUTED_VALUE"""),0.0)</f>
        <v>0</v>
      </c>
      <c r="S110" s="8">
        <f>IFERROR(__xludf.DUMMYFUNCTION("""COMPUTED_VALUE"""),0.0)</f>
        <v>0</v>
      </c>
      <c r="T110" s="8">
        <f>IFERROR(__xludf.DUMMYFUNCTION("""COMPUTED_VALUE"""),0.0)</f>
        <v>0</v>
      </c>
      <c r="U110" s="8">
        <f>IFERROR(__xludf.DUMMYFUNCTION("""COMPUTED_VALUE"""),0.0)</f>
        <v>0</v>
      </c>
      <c r="V110" s="8">
        <f>IFERROR(__xludf.DUMMYFUNCTION("""COMPUTED_VALUE"""),0.0)</f>
        <v>0</v>
      </c>
      <c r="W110" s="8">
        <f>IFERROR(__xludf.DUMMYFUNCTION("""COMPUTED_VALUE"""),0.0)</f>
        <v>0</v>
      </c>
      <c r="X110" s="8">
        <f>IFERROR(__xludf.DUMMYFUNCTION("""COMPUTED_VALUE"""),0.0)</f>
        <v>0</v>
      </c>
      <c r="Y110" s="8">
        <f>IFERROR(__xludf.DUMMYFUNCTION("""COMPUTED_VALUE"""),0.0)</f>
        <v>0</v>
      </c>
      <c r="Z110" s="8">
        <f>IFERROR(__xludf.DUMMYFUNCTION("""COMPUTED_VALUE"""),0.0)</f>
        <v>0</v>
      </c>
      <c r="AA110" s="8">
        <f>IFERROR(__xludf.DUMMYFUNCTION("""COMPUTED_VALUE"""),0.0)</f>
        <v>0</v>
      </c>
      <c r="AB110" s="8">
        <f>IFERROR(__xludf.DUMMYFUNCTION("""COMPUTED_VALUE"""),0.0)</f>
        <v>0</v>
      </c>
      <c r="AC110" s="8">
        <f>IFERROR(__xludf.DUMMYFUNCTION("""COMPUTED_VALUE"""),0.0)</f>
        <v>0</v>
      </c>
    </row>
    <row r="111" ht="15.75" customHeight="1">
      <c r="A111" s="6" t="str">
        <f>IFERROR(__xludf.DUMMYFUNCTION("""COMPUTED_VALUE"""),"5843f25ac24c8ba34301e2cfe9e73ddc0bfd8fc7")</f>
        <v>5843f25ac24c8ba34301e2cfe9e73ddc0bfd8fc7</v>
      </c>
      <c r="B111" s="6" t="str">
        <f>IFERROR(__xludf.DUMMYFUNCTION("""COMPUTED_VALUE"""),"The Fire Reborn Xavier")</f>
        <v>The Fire Reborn Xavier</v>
      </c>
      <c r="C111" s="6" t="str">
        <f>IFERROR(__xludf.DUMMYFUNCTION("""COMPUTED_VALUE"""),"System and Superpower")</f>
        <v>System and Superpower</v>
      </c>
      <c r="D111" s="11">
        <f>IFERROR(__xludf.DUMMYFUNCTION("""COMPUTED_VALUE"""),304.0)</f>
        <v>304</v>
      </c>
      <c r="E111" s="8">
        <f>IFERROR(__xludf.DUMMYFUNCTION("""COMPUTED_VALUE"""),0.967105263157894)</f>
        <v>0.9671052632</v>
      </c>
      <c r="F111" s="8">
        <f>IFERROR(__xludf.DUMMYFUNCTION("""COMPUTED_VALUE"""),0.394736842105263)</f>
        <v>0.3947368421</v>
      </c>
      <c r="G111" s="8">
        <f>IFERROR(__xludf.DUMMYFUNCTION("""COMPUTED_VALUE"""),0.31023102310231)</f>
        <v>0.3102310231</v>
      </c>
      <c r="H111" s="8">
        <f>IFERROR(__xludf.DUMMYFUNCTION("""COMPUTED_VALUE"""),0.26578073089701)</f>
        <v>0.2657807309</v>
      </c>
      <c r="I111" s="8">
        <f>IFERROR(__xludf.DUMMYFUNCTION("""COMPUTED_VALUE"""),0.232558139534883)</f>
        <v>0.2325581395</v>
      </c>
      <c r="J111" s="8">
        <f>IFERROR(__xludf.DUMMYFUNCTION("""COMPUTED_VALUE"""),0.196666666666666)</f>
        <v>0.1966666667</v>
      </c>
      <c r="K111" s="8">
        <f>IFERROR(__xludf.DUMMYFUNCTION("""COMPUTED_VALUE"""),0.171140939597315)</f>
        <v>0.1711409396</v>
      </c>
      <c r="L111" s="8">
        <f>IFERROR(__xludf.DUMMYFUNCTION("""COMPUTED_VALUE"""),0.160278745644599)</f>
        <v>0.1602787456</v>
      </c>
      <c r="M111" s="8">
        <f>IFERROR(__xludf.DUMMYFUNCTION("""COMPUTED_VALUE"""),0.154929577464788)</f>
        <v>0.1549295775</v>
      </c>
      <c r="N111" s="8">
        <f>IFERROR(__xludf.DUMMYFUNCTION("""COMPUTED_VALUE"""),0.135036496350364)</f>
        <v>0.1350364964</v>
      </c>
      <c r="O111" s="8">
        <f>IFERROR(__xludf.DUMMYFUNCTION("""COMPUTED_VALUE"""),0.0979591836734693)</f>
        <v>0.09795918367</v>
      </c>
      <c r="P111" s="8">
        <f>IFERROR(__xludf.DUMMYFUNCTION("""COMPUTED_VALUE"""),0.0753424657534246)</f>
        <v>0.07534246575</v>
      </c>
      <c r="Q111" s="8">
        <f>IFERROR(__xludf.DUMMYFUNCTION("""COMPUTED_VALUE"""),0.0625)</f>
        <v>0.0625</v>
      </c>
      <c r="R111" s="8">
        <f>IFERROR(__xludf.DUMMYFUNCTION("""COMPUTED_VALUE"""),0.0963855421686747)</f>
        <v>0.09638554217</v>
      </c>
      <c r="S111" s="8">
        <f>IFERROR(__xludf.DUMMYFUNCTION("""COMPUTED_VALUE"""),0.0384615384615384)</f>
        <v>0.03846153846</v>
      </c>
      <c r="T111" s="8">
        <f>IFERROR(__xludf.DUMMYFUNCTION("""COMPUTED_VALUE"""),0.0)</f>
        <v>0</v>
      </c>
      <c r="U111" s="8">
        <f>IFERROR(__xludf.DUMMYFUNCTION("""COMPUTED_VALUE"""),0.0)</f>
        <v>0</v>
      </c>
      <c r="V111" s="8">
        <f>IFERROR(__xludf.DUMMYFUNCTION("""COMPUTED_VALUE"""),0.0)</f>
        <v>0</v>
      </c>
      <c r="W111" s="8">
        <f>IFERROR(__xludf.DUMMYFUNCTION("""COMPUTED_VALUE"""),0.0)</f>
        <v>0</v>
      </c>
      <c r="X111" s="8">
        <f>IFERROR(__xludf.DUMMYFUNCTION("""COMPUTED_VALUE"""),0.0)</f>
        <v>0</v>
      </c>
      <c r="Y111" s="8">
        <f>IFERROR(__xludf.DUMMYFUNCTION("""COMPUTED_VALUE"""),0.0)</f>
        <v>0</v>
      </c>
      <c r="Z111" s="8">
        <f>IFERROR(__xludf.DUMMYFUNCTION("""COMPUTED_VALUE"""),0.0)</f>
        <v>0</v>
      </c>
      <c r="AA111" s="8">
        <f>IFERROR(__xludf.DUMMYFUNCTION("""COMPUTED_VALUE"""),0.0)</f>
        <v>0</v>
      </c>
      <c r="AB111" s="8">
        <f>IFERROR(__xludf.DUMMYFUNCTION("""COMPUTED_VALUE"""),0.0)</f>
        <v>0</v>
      </c>
      <c r="AC111" s="8">
        <f>IFERROR(__xludf.DUMMYFUNCTION("""COMPUTED_VALUE"""),0.0)</f>
        <v>0</v>
      </c>
    </row>
    <row r="112" ht="15.75" customHeight="1">
      <c r="A112" s="6" t="str">
        <f>IFERROR(__xludf.DUMMYFUNCTION("""COMPUTED_VALUE"""),"596d213162507bbf543b3c2a618f8bb54acd4623")</f>
        <v>596d213162507bbf543b3c2a618f8bb54acd4623</v>
      </c>
      <c r="B112" s="6" t="str">
        <f>IFERROR(__xludf.DUMMYFUNCTION("""COMPUTED_VALUE"""),"Echoes of Regrets")</f>
        <v>Echoes of Regrets</v>
      </c>
      <c r="C112" s="6" t="str">
        <f>IFERROR(__xludf.DUMMYFUNCTION("""COMPUTED_VALUE"""),"Romance")</f>
        <v>Romance</v>
      </c>
      <c r="D112" s="11">
        <f>IFERROR(__xludf.DUMMYFUNCTION("""COMPUTED_VALUE"""),633.0)</f>
        <v>633</v>
      </c>
      <c r="E112" s="8">
        <f>IFERROR(__xludf.DUMMYFUNCTION("""COMPUTED_VALUE"""),0.978618421052631)</f>
        <v>0.9786184211</v>
      </c>
      <c r="F112" s="8">
        <f>IFERROR(__xludf.DUMMYFUNCTION("""COMPUTED_VALUE"""),0.577540106951871)</f>
        <v>0.577540107</v>
      </c>
      <c r="G112" s="8">
        <f>IFERROR(__xludf.DUMMYFUNCTION("""COMPUTED_VALUE"""),0.446069469835466)</f>
        <v>0.4460694698</v>
      </c>
      <c r="H112" s="8">
        <f>IFERROR(__xludf.DUMMYFUNCTION("""COMPUTED_VALUE"""),0.321361058601134)</f>
        <v>0.3213610586</v>
      </c>
      <c r="I112" s="8">
        <f>IFERROR(__xludf.DUMMYFUNCTION("""COMPUTED_VALUE"""),0.264591439688715)</f>
        <v>0.2645914397</v>
      </c>
      <c r="J112" s="8">
        <f>IFERROR(__xludf.DUMMYFUNCTION("""COMPUTED_VALUE"""),0.225206611570247)</f>
        <v>0.2252066116</v>
      </c>
      <c r="K112" s="8">
        <f>IFERROR(__xludf.DUMMYFUNCTION("""COMPUTED_VALUE"""),0.20042194092827)</f>
        <v>0.2004219409</v>
      </c>
      <c r="L112" s="8">
        <f>IFERROR(__xludf.DUMMYFUNCTION("""COMPUTED_VALUE"""),0.189189189189189)</f>
        <v>0.1891891892</v>
      </c>
      <c r="M112" s="8">
        <f>IFERROR(__xludf.DUMMYFUNCTION("""COMPUTED_VALUE"""),0.166276346604215)</f>
        <v>0.1662763466</v>
      </c>
      <c r="N112" s="8">
        <f>IFERROR(__xludf.DUMMYFUNCTION("""COMPUTED_VALUE"""),0.11138014527845)</f>
        <v>0.1113801453</v>
      </c>
      <c r="O112" s="8">
        <f>IFERROR(__xludf.DUMMYFUNCTION("""COMPUTED_VALUE"""),0.0979899497487437)</f>
        <v>0.09798994975</v>
      </c>
      <c r="P112" s="8">
        <f>IFERROR(__xludf.DUMMYFUNCTION("""COMPUTED_VALUE"""),0.08816120906801)</f>
        <v>0.08816120907</v>
      </c>
      <c r="Q112" s="8">
        <f>IFERROR(__xludf.DUMMYFUNCTION("""COMPUTED_VALUE"""),0.0652818991097922)</f>
        <v>0.06528189911</v>
      </c>
      <c r="R112" s="8">
        <f>IFERROR(__xludf.DUMMYFUNCTION("""COMPUTED_VALUE"""),0.0172413793103448)</f>
        <v>0.01724137931</v>
      </c>
      <c r="S112" s="8">
        <f>IFERROR(__xludf.DUMMYFUNCTION("""COMPUTED_VALUE"""),0.0)</f>
        <v>0</v>
      </c>
      <c r="T112" s="8">
        <f>IFERROR(__xludf.DUMMYFUNCTION("""COMPUTED_VALUE"""),0.0)</f>
        <v>0</v>
      </c>
      <c r="U112" s="8">
        <f>IFERROR(__xludf.DUMMYFUNCTION("""COMPUTED_VALUE"""),0.0)</f>
        <v>0</v>
      </c>
      <c r="V112" s="8">
        <f>IFERROR(__xludf.DUMMYFUNCTION("""COMPUTED_VALUE"""),0.0)</f>
        <v>0</v>
      </c>
      <c r="W112" s="8">
        <f>IFERROR(__xludf.DUMMYFUNCTION("""COMPUTED_VALUE"""),0.0)</f>
        <v>0</v>
      </c>
      <c r="X112" s="8">
        <f>IFERROR(__xludf.DUMMYFUNCTION("""COMPUTED_VALUE"""),0.0)</f>
        <v>0</v>
      </c>
      <c r="Y112" s="8">
        <f>IFERROR(__xludf.DUMMYFUNCTION("""COMPUTED_VALUE"""),0.0)</f>
        <v>0</v>
      </c>
      <c r="Z112" s="8">
        <f>IFERROR(__xludf.DUMMYFUNCTION("""COMPUTED_VALUE"""),0.0)</f>
        <v>0</v>
      </c>
      <c r="AA112" s="8">
        <f>IFERROR(__xludf.DUMMYFUNCTION("""COMPUTED_VALUE"""),0.0)</f>
        <v>0</v>
      </c>
      <c r="AB112" s="8">
        <f>IFERROR(__xludf.DUMMYFUNCTION("""COMPUTED_VALUE"""),0.0)</f>
        <v>0</v>
      </c>
      <c r="AC112" s="8">
        <f>IFERROR(__xludf.DUMMYFUNCTION("""COMPUTED_VALUE"""),0.0)</f>
        <v>0</v>
      </c>
    </row>
    <row r="113" ht="15.75" customHeight="1">
      <c r="A113" s="6" t="str">
        <f>IFERROR(__xludf.DUMMYFUNCTION("""COMPUTED_VALUE"""),"5c0a4a3bda3c16a4ed94c8945bade52e165a2848")</f>
        <v>5c0a4a3bda3c16a4ed94c8945bade52e165a2848</v>
      </c>
      <c r="B113" s="6" t="str">
        <f>IFERROR(__xludf.DUMMYFUNCTION("""COMPUTED_VALUE"""),"Bound to Reclusive Alpha")</f>
        <v>Bound to Reclusive Alpha</v>
      </c>
      <c r="C113" s="6" t="str">
        <f>IFERROR(__xludf.DUMMYFUNCTION("""COMPUTED_VALUE"""),"Fantasy")</f>
        <v>Fantasy</v>
      </c>
      <c r="D113" s="11">
        <f>IFERROR(__xludf.DUMMYFUNCTION("""COMPUTED_VALUE"""),1883.0)</f>
        <v>1883</v>
      </c>
      <c r="E113" s="8">
        <f>IFERROR(__xludf.DUMMYFUNCTION("""COMPUTED_VALUE"""),0.975557917109458)</f>
        <v>0.9755579171</v>
      </c>
      <c r="F113" s="8">
        <f>IFERROR(__xludf.DUMMYFUNCTION("""COMPUTED_VALUE"""),0.476038338658147)</f>
        <v>0.4760383387</v>
      </c>
      <c r="G113" s="8">
        <f>IFERROR(__xludf.DUMMYFUNCTION("""COMPUTED_VALUE"""),0.403329752953813)</f>
        <v>0.403329753</v>
      </c>
      <c r="H113" s="8">
        <f>IFERROR(__xludf.DUMMYFUNCTION("""COMPUTED_VALUE"""),0.368248772504091)</f>
        <v>0.3682487725</v>
      </c>
      <c r="I113" s="8">
        <f>IFERROR(__xludf.DUMMYFUNCTION("""COMPUTED_VALUE"""),0.336070060207991)</f>
        <v>0.3360700602</v>
      </c>
      <c r="J113" s="8">
        <f>IFERROR(__xludf.DUMMYFUNCTION("""COMPUTED_VALUE"""),0.302209944751381)</f>
        <v>0.3022099448</v>
      </c>
      <c r="K113" s="8">
        <f>IFERROR(__xludf.DUMMYFUNCTION("""COMPUTED_VALUE"""),0.276206322795341)</f>
        <v>0.2762063228</v>
      </c>
      <c r="L113" s="8">
        <f>IFERROR(__xludf.DUMMYFUNCTION("""COMPUTED_VALUE"""),0.259820426487093)</f>
        <v>0.2598204265</v>
      </c>
      <c r="M113" s="8">
        <f>IFERROR(__xludf.DUMMYFUNCTION("""COMPUTED_VALUE"""),0.232183908045977)</f>
        <v>0.232183908</v>
      </c>
      <c r="N113" s="8">
        <f>IFERROR(__xludf.DUMMYFUNCTION("""COMPUTED_VALUE"""),0.208455666470933)</f>
        <v>0.2084556665</v>
      </c>
      <c r="O113" s="8">
        <f>IFERROR(__xludf.DUMMYFUNCTION("""COMPUTED_VALUE"""),0.16056338028169)</f>
        <v>0.1605633803</v>
      </c>
      <c r="P113" s="8">
        <f>IFERROR(__xludf.DUMMYFUNCTION("""COMPUTED_VALUE"""),0.127677100494233)</f>
        <v>0.1276771005</v>
      </c>
      <c r="Q113" s="8">
        <f>IFERROR(__xludf.DUMMYFUNCTION("""COMPUTED_VALUE"""),0.02106149957877)</f>
        <v>0.02106149958</v>
      </c>
      <c r="R113" s="8">
        <f>IFERROR(__xludf.DUMMYFUNCTION("""COMPUTED_VALUE"""),0.0351906158357771)</f>
        <v>0.03519061584</v>
      </c>
      <c r="S113" s="8">
        <f>IFERROR(__xludf.DUMMYFUNCTION("""COMPUTED_VALUE"""),0.0416666666666666)</f>
        <v>0.04166666667</v>
      </c>
      <c r="T113" s="8">
        <f>IFERROR(__xludf.DUMMYFUNCTION("""COMPUTED_VALUE"""),0.0)</f>
        <v>0</v>
      </c>
      <c r="U113" s="8">
        <f>IFERROR(__xludf.DUMMYFUNCTION("""COMPUTED_VALUE"""),0.0)</f>
        <v>0</v>
      </c>
      <c r="V113" s="8">
        <f>IFERROR(__xludf.DUMMYFUNCTION("""COMPUTED_VALUE"""),0.0)</f>
        <v>0</v>
      </c>
      <c r="W113" s="8">
        <f>IFERROR(__xludf.DUMMYFUNCTION("""COMPUTED_VALUE"""),0.0)</f>
        <v>0</v>
      </c>
      <c r="X113" s="8">
        <f>IFERROR(__xludf.DUMMYFUNCTION("""COMPUTED_VALUE"""),0.0)</f>
        <v>0</v>
      </c>
      <c r="Y113" s="8">
        <f>IFERROR(__xludf.DUMMYFUNCTION("""COMPUTED_VALUE"""),0.0)</f>
        <v>0</v>
      </c>
      <c r="Z113" s="8">
        <f>IFERROR(__xludf.DUMMYFUNCTION("""COMPUTED_VALUE"""),0.0)</f>
        <v>0</v>
      </c>
      <c r="AA113" s="8">
        <f>IFERROR(__xludf.DUMMYFUNCTION("""COMPUTED_VALUE"""),0.0)</f>
        <v>0</v>
      </c>
      <c r="AB113" s="8">
        <f>IFERROR(__xludf.DUMMYFUNCTION("""COMPUTED_VALUE"""),0.0)</f>
        <v>0</v>
      </c>
      <c r="AC113" s="8">
        <f>IFERROR(__xludf.DUMMYFUNCTION("""COMPUTED_VALUE"""),0.0)</f>
        <v>0</v>
      </c>
    </row>
    <row r="114" ht="15.75" customHeight="1">
      <c r="A114" s="6" t="str">
        <f>IFERROR(__xludf.DUMMYFUNCTION("""COMPUTED_VALUE"""),"5cf4b46f18d6bb7294440595874ef70922a2b9a3")</f>
        <v>5cf4b46f18d6bb7294440595874ef70922a2b9a3</v>
      </c>
      <c r="B114" s="6" t="str">
        <f>IFERROR(__xludf.DUMMYFUNCTION("""COMPUTED_VALUE"""),"Alabama Royal")</f>
        <v>Alabama Royal</v>
      </c>
      <c r="C114" s="6" t="str">
        <f>IFERROR(__xludf.DUMMYFUNCTION("""COMPUTED_VALUE"""),"Romance")</f>
        <v>Romance</v>
      </c>
      <c r="D114" s="11">
        <f>IFERROR(__xludf.DUMMYFUNCTION("""COMPUTED_VALUE"""),1186.0)</f>
        <v>1186</v>
      </c>
      <c r="E114" s="8">
        <f>IFERROR(__xludf.DUMMYFUNCTION("""COMPUTED_VALUE"""),0.977176669484361)</f>
        <v>0.9771766695</v>
      </c>
      <c r="F114" s="8">
        <f>IFERROR(__xludf.DUMMYFUNCTION("""COMPUTED_VALUE"""),0.432797971259509)</f>
        <v>0.4327979713</v>
      </c>
      <c r="G114" s="8">
        <f>IFERROR(__xludf.DUMMYFUNCTION("""COMPUTED_VALUE"""),0.379543533389687)</f>
        <v>0.3795435334</v>
      </c>
      <c r="H114" s="8">
        <f>IFERROR(__xludf.DUMMYFUNCTION("""COMPUTED_VALUE"""),0.351945854483925)</f>
        <v>0.3519458545</v>
      </c>
      <c r="I114" s="8">
        <f>IFERROR(__xludf.DUMMYFUNCTION("""COMPUTED_VALUE"""),0.327118644067796)</f>
        <v>0.3271186441</v>
      </c>
      <c r="J114" s="8">
        <f>IFERROR(__xludf.DUMMYFUNCTION("""COMPUTED_VALUE"""),0.292620865139949)</f>
        <v>0.2926208651</v>
      </c>
      <c r="K114" s="8">
        <f>IFERROR(__xludf.DUMMYFUNCTION("""COMPUTED_VALUE"""),0.281942078364565)</f>
        <v>0.2819420784</v>
      </c>
      <c r="L114" s="8">
        <f>IFERROR(__xludf.DUMMYFUNCTION("""COMPUTED_VALUE"""),0.265358361774744)</f>
        <v>0.2653583618</v>
      </c>
      <c r="M114" s="8">
        <f>IFERROR(__xludf.DUMMYFUNCTION("""COMPUTED_VALUE"""),0.252775405636208)</f>
        <v>0.2527754056</v>
      </c>
      <c r="N114" s="8">
        <f>IFERROR(__xludf.DUMMYFUNCTION("""COMPUTED_VALUE"""),0.2439446366782)</f>
        <v>0.2439446367</v>
      </c>
      <c r="O114" s="8">
        <f>IFERROR(__xludf.DUMMYFUNCTION("""COMPUTED_VALUE"""),0.206273764258555)</f>
        <v>0.2062737643</v>
      </c>
      <c r="P114" s="8">
        <f>IFERROR(__xludf.DUMMYFUNCTION("""COMPUTED_VALUE"""),0.186934673366834)</f>
        <v>0.1869346734</v>
      </c>
      <c r="Q114" s="8">
        <f>IFERROR(__xludf.DUMMYFUNCTION("""COMPUTED_VALUE"""),0.132897603485838)</f>
        <v>0.1328976035</v>
      </c>
      <c r="R114" s="8">
        <f>IFERROR(__xludf.DUMMYFUNCTION("""COMPUTED_VALUE"""),0.0)</f>
        <v>0</v>
      </c>
      <c r="S114" s="8">
        <f>IFERROR(__xludf.DUMMYFUNCTION("""COMPUTED_VALUE"""),0.0)</f>
        <v>0</v>
      </c>
      <c r="T114" s="8">
        <f>IFERROR(__xludf.DUMMYFUNCTION("""COMPUTED_VALUE"""),0.0)</f>
        <v>0</v>
      </c>
      <c r="U114" s="8">
        <f>IFERROR(__xludf.DUMMYFUNCTION("""COMPUTED_VALUE"""),0.0)</f>
        <v>0</v>
      </c>
      <c r="V114" s="8">
        <f>IFERROR(__xludf.DUMMYFUNCTION("""COMPUTED_VALUE"""),0.0)</f>
        <v>0</v>
      </c>
      <c r="W114" s="8">
        <f>IFERROR(__xludf.DUMMYFUNCTION("""COMPUTED_VALUE"""),0.0)</f>
        <v>0</v>
      </c>
      <c r="X114" s="8">
        <f>IFERROR(__xludf.DUMMYFUNCTION("""COMPUTED_VALUE"""),0.0)</f>
        <v>0</v>
      </c>
      <c r="Y114" s="8">
        <f>IFERROR(__xludf.DUMMYFUNCTION("""COMPUTED_VALUE"""),0.0)</f>
        <v>0</v>
      </c>
      <c r="Z114" s="8">
        <f>IFERROR(__xludf.DUMMYFUNCTION("""COMPUTED_VALUE"""),0.0)</f>
        <v>0</v>
      </c>
      <c r="AA114" s="8">
        <f>IFERROR(__xludf.DUMMYFUNCTION("""COMPUTED_VALUE"""),0.0)</f>
        <v>0</v>
      </c>
      <c r="AB114" s="8">
        <f>IFERROR(__xludf.DUMMYFUNCTION("""COMPUTED_VALUE"""),0.0)</f>
        <v>0</v>
      </c>
      <c r="AC114" s="8">
        <f>IFERROR(__xludf.DUMMYFUNCTION("""COMPUTED_VALUE"""),0.0)</f>
        <v>0</v>
      </c>
    </row>
    <row r="115" ht="15.75" customHeight="1">
      <c r="A115" s="6" t="str">
        <f>IFERROR(__xludf.DUMMYFUNCTION("""COMPUTED_VALUE"""),"5d4e7e8696e74e383e0ea0e4f4f535ba9758496a")</f>
        <v>5d4e7e8696e74e383e0ea0e4f4f535ba9758496a</v>
      </c>
      <c r="B115" s="6" t="str">
        <f>IFERROR(__xludf.DUMMYFUNCTION("""COMPUTED_VALUE"""),"Who Fathered My Twins")</f>
        <v>Who Fathered My Twins</v>
      </c>
      <c r="C115" s="6" t="str">
        <f>IFERROR(__xludf.DUMMYFUNCTION("""COMPUTED_VALUE"""),"Romance")</f>
        <v>Romance</v>
      </c>
      <c r="D115" s="11">
        <f>IFERROR(__xludf.DUMMYFUNCTION("""COMPUTED_VALUE"""),682.0)</f>
        <v>682</v>
      </c>
      <c r="E115" s="8">
        <f>IFERROR(__xludf.DUMMYFUNCTION("""COMPUTED_VALUE"""),0.945508100147275)</f>
        <v>0.9455081001</v>
      </c>
      <c r="F115" s="8">
        <f>IFERROR(__xludf.DUMMYFUNCTION("""COMPUTED_VALUE"""),0.528718703976435)</f>
        <v>0.528718704</v>
      </c>
      <c r="G115" s="8">
        <f>IFERROR(__xludf.DUMMYFUNCTION("""COMPUTED_VALUE"""),0.469026548672566)</f>
        <v>0.4690265487</v>
      </c>
      <c r="H115" s="8">
        <f>IFERROR(__xludf.DUMMYFUNCTION("""COMPUTED_VALUE"""),0.449554896142433)</f>
        <v>0.4495548961</v>
      </c>
      <c r="I115" s="8">
        <f>IFERROR(__xludf.DUMMYFUNCTION("""COMPUTED_VALUE"""),0.414561664190193)</f>
        <v>0.4145616642</v>
      </c>
      <c r="J115" s="8">
        <f>IFERROR(__xludf.DUMMYFUNCTION("""COMPUTED_VALUE"""),0.426448736998514)</f>
        <v>0.426448737</v>
      </c>
      <c r="K115" s="8">
        <f>IFERROR(__xludf.DUMMYFUNCTION("""COMPUTED_VALUE"""),0.395245170876671)</f>
        <v>0.3952451709</v>
      </c>
      <c r="L115" s="8">
        <f>IFERROR(__xludf.DUMMYFUNCTION("""COMPUTED_VALUE"""),0.37890044576523)</f>
        <v>0.3789004458</v>
      </c>
      <c r="M115" s="8">
        <f>IFERROR(__xludf.DUMMYFUNCTION("""COMPUTED_VALUE"""),0.364041604754829)</f>
        <v>0.3640416048</v>
      </c>
      <c r="N115" s="8">
        <f>IFERROR(__xludf.DUMMYFUNCTION("""COMPUTED_VALUE"""),0.383792048929663)</f>
        <v>0.3837920489</v>
      </c>
      <c r="O115" s="8">
        <f>IFERROR(__xludf.DUMMYFUNCTION("""COMPUTED_VALUE"""),0.294407894736842)</f>
        <v>0.2944078947</v>
      </c>
      <c r="P115" s="8">
        <f>IFERROR(__xludf.DUMMYFUNCTION("""COMPUTED_VALUE"""),0.187285223367697)</f>
        <v>0.1872852234</v>
      </c>
      <c r="Q115" s="8">
        <f>IFERROR(__xludf.DUMMYFUNCTION("""COMPUTED_VALUE"""),0.0737864077669902)</f>
        <v>0.07378640777</v>
      </c>
      <c r="R115" s="8">
        <f>IFERROR(__xludf.DUMMYFUNCTION("""COMPUTED_VALUE"""),0.0652173913043478)</f>
        <v>0.0652173913</v>
      </c>
      <c r="S115" s="8">
        <f>IFERROR(__xludf.DUMMYFUNCTION("""COMPUTED_VALUE"""),0.0)</f>
        <v>0</v>
      </c>
      <c r="T115" s="8">
        <f>IFERROR(__xludf.DUMMYFUNCTION("""COMPUTED_VALUE"""),0.0)</f>
        <v>0</v>
      </c>
      <c r="U115" s="8">
        <f>IFERROR(__xludf.DUMMYFUNCTION("""COMPUTED_VALUE"""),0.0)</f>
        <v>0</v>
      </c>
      <c r="V115" s="8">
        <f>IFERROR(__xludf.DUMMYFUNCTION("""COMPUTED_VALUE"""),0.0)</f>
        <v>0</v>
      </c>
      <c r="W115" s="8">
        <f>IFERROR(__xludf.DUMMYFUNCTION("""COMPUTED_VALUE"""),0.0)</f>
        <v>0</v>
      </c>
      <c r="X115" s="8">
        <f>IFERROR(__xludf.DUMMYFUNCTION("""COMPUTED_VALUE"""),0.0)</f>
        <v>0</v>
      </c>
      <c r="Y115" s="8">
        <f>IFERROR(__xludf.DUMMYFUNCTION("""COMPUTED_VALUE"""),0.0)</f>
        <v>0</v>
      </c>
      <c r="Z115" s="8">
        <f>IFERROR(__xludf.DUMMYFUNCTION("""COMPUTED_VALUE"""),0.0)</f>
        <v>0</v>
      </c>
      <c r="AA115" s="8">
        <f>IFERROR(__xludf.DUMMYFUNCTION("""COMPUTED_VALUE"""),0.0)</f>
        <v>0</v>
      </c>
      <c r="AB115" s="8">
        <f>IFERROR(__xludf.DUMMYFUNCTION("""COMPUTED_VALUE"""),0.0)</f>
        <v>0</v>
      </c>
      <c r="AC115" s="8">
        <f>IFERROR(__xludf.DUMMYFUNCTION("""COMPUTED_VALUE"""),0.0)</f>
        <v>0</v>
      </c>
    </row>
    <row r="116" ht="15.75" customHeight="1">
      <c r="A116" s="6" t="str">
        <f>IFERROR(__xludf.DUMMYFUNCTION("""COMPUTED_VALUE"""),"5e570d3fccfb5029774b4d9f9669429f580d0791")</f>
        <v>5e570d3fccfb5029774b4d9f9669429f580d0791</v>
      </c>
      <c r="B116" s="6" t="str">
        <f>IFERROR(__xludf.DUMMYFUNCTION("""COMPUTED_VALUE"""),"Princess Ebony &amp; the Silver Dragon")</f>
        <v>Princess Ebony &amp; the Silver Dragon</v>
      </c>
      <c r="C116" s="6" t="str">
        <f>IFERROR(__xludf.DUMMYFUNCTION("""COMPUTED_VALUE"""),"Fantasy")</f>
        <v>Fantasy</v>
      </c>
      <c r="D116" s="11">
        <f>IFERROR(__xludf.DUMMYFUNCTION("""COMPUTED_VALUE"""),3041.0)</f>
        <v>3041</v>
      </c>
      <c r="E116" s="8">
        <f>IFERROR(__xludf.DUMMYFUNCTION("""COMPUTED_VALUE"""),0.827631578947368)</f>
        <v>0.8276315789</v>
      </c>
      <c r="F116" s="8">
        <f>IFERROR(__xludf.DUMMYFUNCTION("""COMPUTED_VALUE"""),0.529993408042188)</f>
        <v>0.529993408</v>
      </c>
      <c r="G116" s="8">
        <f>IFERROR(__xludf.DUMMYFUNCTION("""COMPUTED_VALUE"""),0.473632168754119)</f>
        <v>0.4736321688</v>
      </c>
      <c r="H116" s="8">
        <f>IFERROR(__xludf.DUMMYFUNCTION("""COMPUTED_VALUE"""),0.445616348055372)</f>
        <v>0.4456163481</v>
      </c>
      <c r="I116" s="8">
        <f>IFERROR(__xludf.DUMMYFUNCTION("""COMPUTED_VALUE"""),0.435026385224274)</f>
        <v>0.4350263852</v>
      </c>
      <c r="J116" s="8">
        <f>IFERROR(__xludf.DUMMYFUNCTION("""COMPUTED_VALUE"""),0.421174142480211)</f>
        <v>0.4211741425</v>
      </c>
      <c r="K116" s="8">
        <f>IFERROR(__xludf.DUMMYFUNCTION("""COMPUTED_VALUE"""),0.401847575057736)</f>
        <v>0.4018475751</v>
      </c>
      <c r="L116" s="8">
        <f>IFERROR(__xludf.DUMMYFUNCTION("""COMPUTED_VALUE"""),0.388577088147903)</f>
        <v>0.3885770881</v>
      </c>
      <c r="M116" s="8">
        <f>IFERROR(__xludf.DUMMYFUNCTION("""COMPUTED_VALUE"""),0.379663255199735)</f>
        <v>0.3796632552</v>
      </c>
      <c r="N116" s="8">
        <f>IFERROR(__xludf.DUMMYFUNCTION("""COMPUTED_VALUE"""),0.37306041597887)</f>
        <v>0.373060416</v>
      </c>
      <c r="O116" s="8">
        <f>IFERROR(__xludf.DUMMYFUNCTION("""COMPUTED_VALUE"""),0.347323198942498)</f>
        <v>0.3473231989</v>
      </c>
      <c r="P116" s="8">
        <f>IFERROR(__xludf.DUMMYFUNCTION("""COMPUTED_VALUE"""),0.30403172504957)</f>
        <v>0.304031725</v>
      </c>
      <c r="Q116" s="8">
        <f>IFERROR(__xludf.DUMMYFUNCTION("""COMPUTED_VALUE"""),0.253899767673415)</f>
        <v>0.2538997677</v>
      </c>
      <c r="R116" s="8">
        <f>IFERROR(__xludf.DUMMYFUNCTION("""COMPUTED_VALUE"""),0.232558139534883)</f>
        <v>0.2325581395</v>
      </c>
      <c r="S116" s="8">
        <f>IFERROR(__xludf.DUMMYFUNCTION("""COMPUTED_VALUE"""),0.199534419687396)</f>
        <v>0.1995344197</v>
      </c>
      <c r="T116" s="8">
        <f>IFERROR(__xludf.DUMMYFUNCTION("""COMPUTED_VALUE"""),0.170934486198869)</f>
        <v>0.1709344862</v>
      </c>
      <c r="U116" s="8">
        <f>IFERROR(__xludf.DUMMYFUNCTION("""COMPUTED_VALUE"""),0.155775075987841)</f>
        <v>0.155775076</v>
      </c>
      <c r="V116" s="8">
        <f>IFERROR(__xludf.DUMMYFUNCTION("""COMPUTED_VALUE"""),0.141124586549062)</f>
        <v>0.1411245865</v>
      </c>
      <c r="W116" s="8">
        <f>IFERROR(__xludf.DUMMYFUNCTION("""COMPUTED_VALUE"""),0.123232323232323)</f>
        <v>0.1232323232</v>
      </c>
      <c r="X116" s="8">
        <f>IFERROR(__xludf.DUMMYFUNCTION("""COMPUTED_VALUE"""),0.0348432055749128)</f>
        <v>0.03484320557</v>
      </c>
      <c r="Y116" s="8">
        <f>IFERROR(__xludf.DUMMYFUNCTION("""COMPUTED_VALUE"""),0.108333333333333)</f>
        <v>0.1083333333</v>
      </c>
      <c r="Z116" s="8">
        <f>IFERROR(__xludf.DUMMYFUNCTION("""COMPUTED_VALUE"""),0.0)</f>
        <v>0</v>
      </c>
      <c r="AA116" s="8">
        <f>IFERROR(__xludf.DUMMYFUNCTION("""COMPUTED_VALUE"""),0.0)</f>
        <v>0</v>
      </c>
      <c r="AB116" s="8">
        <f>IFERROR(__xludf.DUMMYFUNCTION("""COMPUTED_VALUE"""),0.0)</f>
        <v>0</v>
      </c>
      <c r="AC116" s="8">
        <f>IFERROR(__xludf.DUMMYFUNCTION("""COMPUTED_VALUE"""),0.0)</f>
        <v>0</v>
      </c>
    </row>
    <row r="117" ht="15.75" customHeight="1">
      <c r="A117" s="6" t="str">
        <f>IFERROR(__xludf.DUMMYFUNCTION("""COMPUTED_VALUE"""),"600fd3dce36442cc62b42d3dc874d91d13e1d8e4")</f>
        <v>600fd3dce36442cc62b42d3dc874d91d13e1d8e4</v>
      </c>
      <c r="B117" s="6" t="str">
        <f>IFERROR(__xludf.DUMMYFUNCTION("""COMPUTED_VALUE"""),"Solo Leveling Respawn")</f>
        <v>Solo Leveling Respawn</v>
      </c>
      <c r="C117" s="6" t="str">
        <f>IFERROR(__xludf.DUMMYFUNCTION("""COMPUTED_VALUE"""),"System and Superpower")</f>
        <v>System and Superpower</v>
      </c>
      <c r="D117" s="11">
        <f>IFERROR(__xludf.DUMMYFUNCTION("""COMPUTED_VALUE"""),45.0)</f>
        <v>45</v>
      </c>
      <c r="E117" s="8">
        <f>IFERROR(__xludf.DUMMYFUNCTION("""COMPUTED_VALUE"""),1.0)</f>
        <v>1</v>
      </c>
      <c r="F117" s="8">
        <f>IFERROR(__xludf.DUMMYFUNCTION("""COMPUTED_VALUE"""),0.355555555555555)</f>
        <v>0.3555555556</v>
      </c>
      <c r="G117" s="8">
        <f>IFERROR(__xludf.DUMMYFUNCTION("""COMPUTED_VALUE"""),0.177777777777777)</f>
        <v>0.1777777778</v>
      </c>
      <c r="H117" s="8">
        <f>IFERROR(__xludf.DUMMYFUNCTION("""COMPUTED_VALUE"""),0.159090909090909)</f>
        <v>0.1590909091</v>
      </c>
      <c r="I117" s="8">
        <f>IFERROR(__xludf.DUMMYFUNCTION("""COMPUTED_VALUE"""),0.13953488372093)</f>
        <v>0.1395348837</v>
      </c>
      <c r="J117" s="8">
        <f>IFERROR(__xludf.DUMMYFUNCTION("""COMPUTED_VALUE"""),0.0930232558139534)</f>
        <v>0.09302325581</v>
      </c>
      <c r="K117" s="8">
        <f>IFERROR(__xludf.DUMMYFUNCTION("""COMPUTED_VALUE"""),0.0697674418604651)</f>
        <v>0.06976744186</v>
      </c>
      <c r="L117" s="8">
        <f>IFERROR(__xludf.DUMMYFUNCTION("""COMPUTED_VALUE"""),0.0697674418604651)</f>
        <v>0.06976744186</v>
      </c>
      <c r="M117" s="8">
        <f>IFERROR(__xludf.DUMMYFUNCTION("""COMPUTED_VALUE"""),0.0697674418604651)</f>
        <v>0.06976744186</v>
      </c>
      <c r="N117" s="8">
        <f>IFERROR(__xludf.DUMMYFUNCTION("""COMPUTED_VALUE"""),0.0714285714285714)</f>
        <v>0.07142857143</v>
      </c>
      <c r="O117" s="8">
        <f>IFERROR(__xludf.DUMMYFUNCTION("""COMPUTED_VALUE"""),0.032258064516129)</f>
        <v>0.03225806452</v>
      </c>
      <c r="P117" s="8">
        <f>IFERROR(__xludf.DUMMYFUNCTION("""COMPUTED_VALUE"""),0.0333333333333333)</f>
        <v>0.03333333333</v>
      </c>
      <c r="Q117" s="8">
        <f>IFERROR(__xludf.DUMMYFUNCTION("""COMPUTED_VALUE"""),0.0)</f>
        <v>0</v>
      </c>
      <c r="R117" s="8">
        <f>IFERROR(__xludf.DUMMYFUNCTION("""COMPUTED_VALUE"""),0.0)</f>
        <v>0</v>
      </c>
      <c r="S117" s="8">
        <f>IFERROR(__xludf.DUMMYFUNCTION("""COMPUTED_VALUE"""),0.0)</f>
        <v>0</v>
      </c>
      <c r="T117" s="8">
        <f>IFERROR(__xludf.DUMMYFUNCTION("""COMPUTED_VALUE"""),0.0)</f>
        <v>0</v>
      </c>
      <c r="U117" s="8">
        <f>IFERROR(__xludf.DUMMYFUNCTION("""COMPUTED_VALUE"""),0.0)</f>
        <v>0</v>
      </c>
      <c r="V117" s="8">
        <f>IFERROR(__xludf.DUMMYFUNCTION("""COMPUTED_VALUE"""),0.0)</f>
        <v>0</v>
      </c>
      <c r="W117" s="8">
        <f>IFERROR(__xludf.DUMMYFUNCTION("""COMPUTED_VALUE"""),0.0)</f>
        <v>0</v>
      </c>
      <c r="X117" s="8">
        <f>IFERROR(__xludf.DUMMYFUNCTION("""COMPUTED_VALUE"""),0.0)</f>
        <v>0</v>
      </c>
      <c r="Y117" s="8">
        <f>IFERROR(__xludf.DUMMYFUNCTION("""COMPUTED_VALUE"""),0.0)</f>
        <v>0</v>
      </c>
      <c r="Z117" s="8">
        <f>IFERROR(__xludf.DUMMYFUNCTION("""COMPUTED_VALUE"""),0.0)</f>
        <v>0</v>
      </c>
      <c r="AA117" s="8">
        <f>IFERROR(__xludf.DUMMYFUNCTION("""COMPUTED_VALUE"""),0.0)</f>
        <v>0</v>
      </c>
      <c r="AB117" s="8">
        <f>IFERROR(__xludf.DUMMYFUNCTION("""COMPUTED_VALUE"""),0.0)</f>
        <v>0</v>
      </c>
      <c r="AC117" s="8">
        <f>IFERROR(__xludf.DUMMYFUNCTION("""COMPUTED_VALUE"""),0.0)</f>
        <v>0</v>
      </c>
    </row>
    <row r="118" ht="15.75" customHeight="1">
      <c r="A118" s="6" t="str">
        <f>IFERROR(__xludf.DUMMYFUNCTION("""COMPUTED_VALUE"""),"607c0f609185406d26ef53f75ec53702dfb292d7")</f>
        <v>607c0f609185406d26ef53f75ec53702dfb292d7</v>
      </c>
      <c r="B118" s="6" t="str">
        <f>IFERROR(__xludf.DUMMYFUNCTION("""COMPUTED_VALUE"""),"The Chaosborn Child")</f>
        <v>The Chaosborn Child</v>
      </c>
      <c r="C118" s="6" t="str">
        <f>IFERROR(__xludf.DUMMYFUNCTION("""COMPUTED_VALUE"""),"Fantasy")</f>
        <v>Fantasy</v>
      </c>
      <c r="D118" s="11">
        <f>IFERROR(__xludf.DUMMYFUNCTION("""COMPUTED_VALUE"""),160.0)</f>
        <v>160</v>
      </c>
      <c r="E118" s="8">
        <f>IFERROR(__xludf.DUMMYFUNCTION("""COMPUTED_VALUE"""),0.9625)</f>
        <v>0.9625</v>
      </c>
      <c r="F118" s="8">
        <f>IFERROR(__xludf.DUMMYFUNCTION("""COMPUTED_VALUE"""),0.54375)</f>
        <v>0.54375</v>
      </c>
      <c r="G118" s="8">
        <f>IFERROR(__xludf.DUMMYFUNCTION("""COMPUTED_VALUE"""),0.371069182389937)</f>
        <v>0.3710691824</v>
      </c>
      <c r="H118" s="8">
        <f>IFERROR(__xludf.DUMMYFUNCTION("""COMPUTED_VALUE"""),0.371069182389937)</f>
        <v>0.3710691824</v>
      </c>
      <c r="I118" s="8">
        <f>IFERROR(__xludf.DUMMYFUNCTION("""COMPUTED_VALUE"""),0.320754716981132)</f>
        <v>0.320754717</v>
      </c>
      <c r="J118" s="8">
        <f>IFERROR(__xludf.DUMMYFUNCTION("""COMPUTED_VALUE"""),0.30817610062893)</f>
        <v>0.3081761006</v>
      </c>
      <c r="K118" s="8">
        <f>IFERROR(__xludf.DUMMYFUNCTION("""COMPUTED_VALUE"""),0.283018867924528)</f>
        <v>0.2830188679</v>
      </c>
      <c r="L118" s="8">
        <f>IFERROR(__xludf.DUMMYFUNCTION("""COMPUTED_VALUE"""),0.245283018867924)</f>
        <v>0.2452830189</v>
      </c>
      <c r="M118" s="8">
        <f>IFERROR(__xludf.DUMMYFUNCTION("""COMPUTED_VALUE"""),0.229299363057324)</f>
        <v>0.2292993631</v>
      </c>
      <c r="N118" s="8">
        <f>IFERROR(__xludf.DUMMYFUNCTION("""COMPUTED_VALUE"""),0.21656050955414)</f>
        <v>0.2165605096</v>
      </c>
      <c r="O118" s="8">
        <f>IFERROR(__xludf.DUMMYFUNCTION("""COMPUTED_VALUE"""),0.18348623853211)</f>
        <v>0.1834862385</v>
      </c>
      <c r="P118" s="8">
        <f>IFERROR(__xludf.DUMMYFUNCTION("""COMPUTED_VALUE"""),0.203703703703703)</f>
        <v>0.2037037037</v>
      </c>
      <c r="Q118" s="8">
        <f>IFERROR(__xludf.DUMMYFUNCTION("""COMPUTED_VALUE"""),0.114285714285714)</f>
        <v>0.1142857143</v>
      </c>
      <c r="R118" s="8">
        <f>IFERROR(__xludf.DUMMYFUNCTION("""COMPUTED_VALUE"""),0.0384615384615384)</f>
        <v>0.03846153846</v>
      </c>
      <c r="S118" s="8">
        <f>IFERROR(__xludf.DUMMYFUNCTION("""COMPUTED_VALUE"""),0.0)</f>
        <v>0</v>
      </c>
      <c r="T118" s="8">
        <f>IFERROR(__xludf.DUMMYFUNCTION("""COMPUTED_VALUE"""),0.0)</f>
        <v>0</v>
      </c>
      <c r="U118" s="8">
        <f>IFERROR(__xludf.DUMMYFUNCTION("""COMPUTED_VALUE"""),0.0)</f>
        <v>0</v>
      </c>
      <c r="V118" s="8">
        <f>IFERROR(__xludf.DUMMYFUNCTION("""COMPUTED_VALUE"""),0.0)</f>
        <v>0</v>
      </c>
      <c r="W118" s="8">
        <f>IFERROR(__xludf.DUMMYFUNCTION("""COMPUTED_VALUE"""),0.0)</f>
        <v>0</v>
      </c>
      <c r="X118" s="8">
        <f>IFERROR(__xludf.DUMMYFUNCTION("""COMPUTED_VALUE"""),0.0)</f>
        <v>0</v>
      </c>
      <c r="Y118" s="8">
        <f>IFERROR(__xludf.DUMMYFUNCTION("""COMPUTED_VALUE"""),0.0)</f>
        <v>0</v>
      </c>
      <c r="Z118" s="8">
        <f>IFERROR(__xludf.DUMMYFUNCTION("""COMPUTED_VALUE"""),0.0)</f>
        <v>0</v>
      </c>
      <c r="AA118" s="8">
        <f>IFERROR(__xludf.DUMMYFUNCTION("""COMPUTED_VALUE"""),0.0)</f>
        <v>0</v>
      </c>
      <c r="AB118" s="8">
        <f>IFERROR(__xludf.DUMMYFUNCTION("""COMPUTED_VALUE"""),0.0)</f>
        <v>0</v>
      </c>
      <c r="AC118" s="8">
        <f>IFERROR(__xludf.DUMMYFUNCTION("""COMPUTED_VALUE"""),0.0)</f>
        <v>0</v>
      </c>
    </row>
    <row r="119" ht="15.75" customHeight="1">
      <c r="A119" s="6" t="str">
        <f>IFERROR(__xludf.DUMMYFUNCTION("""COMPUTED_VALUE"""),"616431aa030a50bfb34a59a1919f5a8db0c29017")</f>
        <v>616431aa030a50bfb34a59a1919f5a8db0c29017</v>
      </c>
      <c r="B119" s="6" t="str">
        <f>IFERROR(__xludf.DUMMYFUNCTION("""COMPUTED_VALUE"""),"She Came Back Fabulous")</f>
        <v>She Came Back Fabulous</v>
      </c>
      <c r="C119" s="6" t="str">
        <f>IFERROR(__xludf.DUMMYFUNCTION("""COMPUTED_VALUE"""),"Romance")</f>
        <v>Romance</v>
      </c>
      <c r="D119" s="11">
        <f>IFERROR(__xludf.DUMMYFUNCTION("""COMPUTED_VALUE"""),1190.0)</f>
        <v>1190</v>
      </c>
      <c r="E119" s="8">
        <f>IFERROR(__xludf.DUMMYFUNCTION("""COMPUTED_VALUE"""),0.967932489451476)</f>
        <v>0.9679324895</v>
      </c>
      <c r="F119" s="8">
        <f>IFERROR(__xludf.DUMMYFUNCTION("""COMPUTED_VALUE"""),0.539249146757679)</f>
        <v>0.5392491468</v>
      </c>
      <c r="G119" s="8">
        <f>IFERROR(__xludf.DUMMYFUNCTION("""COMPUTED_VALUE"""),0.479793637145313)</f>
        <v>0.4797936371</v>
      </c>
      <c r="H119" s="8">
        <f>IFERROR(__xludf.DUMMYFUNCTION("""COMPUTED_VALUE"""),0.425347222222222)</f>
        <v>0.4253472222</v>
      </c>
      <c r="I119" s="8">
        <f>IFERROR(__xludf.DUMMYFUNCTION("""COMPUTED_VALUE"""),0.398245614035087)</f>
        <v>0.398245614</v>
      </c>
      <c r="J119" s="8">
        <f>IFERROR(__xludf.DUMMYFUNCTION("""COMPUTED_VALUE"""),0.361434977578475)</f>
        <v>0.3614349776</v>
      </c>
      <c r="K119" s="8">
        <f>IFERROR(__xludf.DUMMYFUNCTION("""COMPUTED_VALUE"""),0.344186046511627)</f>
        <v>0.3441860465</v>
      </c>
      <c r="L119" s="8">
        <f>IFERROR(__xludf.DUMMYFUNCTION("""COMPUTED_VALUE"""),0.305848513902205)</f>
        <v>0.3058485139</v>
      </c>
      <c r="M119" s="8">
        <f>IFERROR(__xludf.DUMMYFUNCTION("""COMPUTED_VALUE"""),0.311817279046673)</f>
        <v>0.311817279</v>
      </c>
      <c r="N119" s="8">
        <f>IFERROR(__xludf.DUMMYFUNCTION("""COMPUTED_VALUE"""),0.289948453608247)</f>
        <v>0.2899484536</v>
      </c>
      <c r="O119" s="8">
        <f>IFERROR(__xludf.DUMMYFUNCTION("""COMPUTED_VALUE"""),0.27008547008547)</f>
        <v>0.2700854701</v>
      </c>
      <c r="P119" s="8">
        <f>IFERROR(__xludf.DUMMYFUNCTION("""COMPUTED_VALUE"""),0.220417633410672)</f>
        <v>0.2204176334</v>
      </c>
      <c r="Q119" s="8">
        <f>IFERROR(__xludf.DUMMYFUNCTION("""COMPUTED_VALUE"""),0.15)</f>
        <v>0.15</v>
      </c>
      <c r="R119" s="8">
        <f>IFERROR(__xludf.DUMMYFUNCTION("""COMPUTED_VALUE"""),0.0)</f>
        <v>0</v>
      </c>
      <c r="S119" s="8">
        <f>IFERROR(__xludf.DUMMYFUNCTION("""COMPUTED_VALUE"""),0.0)</f>
        <v>0</v>
      </c>
      <c r="T119" s="8">
        <f>IFERROR(__xludf.DUMMYFUNCTION("""COMPUTED_VALUE"""),0.0)</f>
        <v>0</v>
      </c>
      <c r="U119" s="8">
        <f>IFERROR(__xludf.DUMMYFUNCTION("""COMPUTED_VALUE"""),0.0)</f>
        <v>0</v>
      </c>
      <c r="V119" s="8">
        <f>IFERROR(__xludf.DUMMYFUNCTION("""COMPUTED_VALUE"""),0.0)</f>
        <v>0</v>
      </c>
      <c r="W119" s="8">
        <f>IFERROR(__xludf.DUMMYFUNCTION("""COMPUTED_VALUE"""),0.0)</f>
        <v>0</v>
      </c>
      <c r="X119" s="8">
        <f>IFERROR(__xludf.DUMMYFUNCTION("""COMPUTED_VALUE"""),0.0)</f>
        <v>0</v>
      </c>
      <c r="Y119" s="8">
        <f>IFERROR(__xludf.DUMMYFUNCTION("""COMPUTED_VALUE"""),0.0)</f>
        <v>0</v>
      </c>
      <c r="Z119" s="8">
        <f>IFERROR(__xludf.DUMMYFUNCTION("""COMPUTED_VALUE"""),0.0)</f>
        <v>0</v>
      </c>
      <c r="AA119" s="8">
        <f>IFERROR(__xludf.DUMMYFUNCTION("""COMPUTED_VALUE"""),0.0)</f>
        <v>0</v>
      </c>
      <c r="AB119" s="8">
        <f>IFERROR(__xludf.DUMMYFUNCTION("""COMPUTED_VALUE"""),0.0)</f>
        <v>0</v>
      </c>
      <c r="AC119" s="8">
        <f>IFERROR(__xludf.DUMMYFUNCTION("""COMPUTED_VALUE"""),0.0)</f>
        <v>0</v>
      </c>
    </row>
    <row r="120" ht="15.75" customHeight="1">
      <c r="A120" s="6" t="str">
        <f>IFERROR(__xludf.DUMMYFUNCTION("""COMPUTED_VALUE"""),"6214ecac2801afde28aa63c555faf06203321c85")</f>
        <v>6214ecac2801afde28aa63c555faf06203321c85</v>
      </c>
      <c r="B120" s="6" t="str">
        <f>IFERROR(__xludf.DUMMYFUNCTION("""COMPUTED_VALUE"""),"Love Behind the Screen")</f>
        <v>Love Behind the Screen</v>
      </c>
      <c r="C120" s="6" t="str">
        <f>IFERROR(__xludf.DUMMYFUNCTION("""COMPUTED_VALUE"""),"Romance")</f>
        <v>Romance</v>
      </c>
      <c r="D120" s="11">
        <f>IFERROR(__xludf.DUMMYFUNCTION("""COMPUTED_VALUE"""),1686.0)</f>
        <v>1686</v>
      </c>
      <c r="E120" s="8">
        <f>IFERROR(__xludf.DUMMYFUNCTION("""COMPUTED_VALUE"""),0.952522255192878)</f>
        <v>0.9525222552</v>
      </c>
      <c r="F120" s="8">
        <f>IFERROR(__xludf.DUMMYFUNCTION("""COMPUTED_VALUE"""),0.507738095238095)</f>
        <v>0.5077380952</v>
      </c>
      <c r="G120" s="8">
        <f>IFERROR(__xludf.DUMMYFUNCTION("""COMPUTED_VALUE"""),0.446960667461263)</f>
        <v>0.4469606675</v>
      </c>
      <c r="H120" s="8">
        <f>IFERROR(__xludf.DUMMYFUNCTION("""COMPUTED_VALUE"""),0.42865671641791)</f>
        <v>0.4286567164</v>
      </c>
      <c r="I120" s="8">
        <f>IFERROR(__xludf.DUMMYFUNCTION("""COMPUTED_VALUE"""),0.384477611940298)</f>
        <v>0.3844776119</v>
      </c>
      <c r="J120" s="8">
        <f>IFERROR(__xludf.DUMMYFUNCTION("""COMPUTED_VALUE"""),0.368862275449101)</f>
        <v>0.3688622754</v>
      </c>
      <c r="K120" s="8">
        <f>IFERROR(__xludf.DUMMYFUNCTION("""COMPUTED_VALUE"""),0.352941176470588)</f>
        <v>0.3529411765</v>
      </c>
      <c r="L120" s="8">
        <f>IFERROR(__xludf.DUMMYFUNCTION("""COMPUTED_VALUE"""),0.336936936936936)</f>
        <v>0.3369369369</v>
      </c>
      <c r="M120" s="8">
        <f>IFERROR(__xludf.DUMMYFUNCTION("""COMPUTED_VALUE"""),0.326911499096929)</f>
        <v>0.3269114991</v>
      </c>
      <c r="N120" s="8">
        <f>IFERROR(__xludf.DUMMYFUNCTION("""COMPUTED_VALUE"""),0.317383403997577)</f>
        <v>0.317383404</v>
      </c>
      <c r="O120" s="8">
        <f>IFERROR(__xludf.DUMMYFUNCTION("""COMPUTED_VALUE"""),0.294880103694102)</f>
        <v>0.2948801037</v>
      </c>
      <c r="P120" s="8">
        <f>IFERROR(__xludf.DUMMYFUNCTION("""COMPUTED_VALUE"""),0.193006993006993)</f>
        <v>0.193006993</v>
      </c>
      <c r="Q120" s="8">
        <f>IFERROR(__xludf.DUMMYFUNCTION("""COMPUTED_VALUE"""),0.109735973597359)</f>
        <v>0.1097359736</v>
      </c>
      <c r="R120" s="8">
        <f>IFERROR(__xludf.DUMMYFUNCTION("""COMPUTED_VALUE"""),0.0899419729206963)</f>
        <v>0.08994197292</v>
      </c>
      <c r="S120" s="8">
        <f>IFERROR(__xludf.DUMMYFUNCTION("""COMPUTED_VALUE"""),0.0634517766497461)</f>
        <v>0.06345177665</v>
      </c>
      <c r="T120" s="8">
        <f>IFERROR(__xludf.DUMMYFUNCTION("""COMPUTED_VALUE"""),0.0285714285714285)</f>
        <v>0.02857142857</v>
      </c>
      <c r="U120" s="8">
        <f>IFERROR(__xludf.DUMMYFUNCTION("""COMPUTED_VALUE"""),0.0)</f>
        <v>0</v>
      </c>
      <c r="V120" s="8">
        <f>IFERROR(__xludf.DUMMYFUNCTION("""COMPUTED_VALUE"""),0.0)</f>
        <v>0</v>
      </c>
      <c r="W120" s="8">
        <f>IFERROR(__xludf.DUMMYFUNCTION("""COMPUTED_VALUE"""),0.0)</f>
        <v>0</v>
      </c>
      <c r="X120" s="8">
        <f>IFERROR(__xludf.DUMMYFUNCTION("""COMPUTED_VALUE"""),0.0)</f>
        <v>0</v>
      </c>
      <c r="Y120" s="8">
        <f>IFERROR(__xludf.DUMMYFUNCTION("""COMPUTED_VALUE"""),0.0)</f>
        <v>0</v>
      </c>
      <c r="Z120" s="8">
        <f>IFERROR(__xludf.DUMMYFUNCTION("""COMPUTED_VALUE"""),0.0)</f>
        <v>0</v>
      </c>
      <c r="AA120" s="8">
        <f>IFERROR(__xludf.DUMMYFUNCTION("""COMPUTED_VALUE"""),0.0)</f>
        <v>0</v>
      </c>
      <c r="AB120" s="8">
        <f>IFERROR(__xludf.DUMMYFUNCTION("""COMPUTED_VALUE"""),0.0)</f>
        <v>0</v>
      </c>
      <c r="AC120" s="8">
        <f>IFERROR(__xludf.DUMMYFUNCTION("""COMPUTED_VALUE"""),0.0)</f>
        <v>0</v>
      </c>
    </row>
    <row r="121" ht="15.75" customHeight="1">
      <c r="A121" s="6" t="str">
        <f>IFERROR(__xludf.DUMMYFUNCTION("""COMPUTED_VALUE"""),"622c96a576425047d6bff8447205921132d7f61c")</f>
        <v>622c96a576425047d6bff8447205921132d7f61c</v>
      </c>
      <c r="B121" s="6" t="str">
        <f>IFERROR(__xludf.DUMMYFUNCTION("""COMPUTED_VALUE"""),"The Exit Nobody Expected")</f>
        <v>The Exit Nobody Expected</v>
      </c>
      <c r="C121" s="6" t="str">
        <f>IFERROR(__xludf.DUMMYFUNCTION("""COMPUTED_VALUE"""),"Suspense or Thriller")</f>
        <v>Suspense or Thriller</v>
      </c>
      <c r="D121" s="11">
        <f>IFERROR(__xludf.DUMMYFUNCTION("""COMPUTED_VALUE"""),129.0)</f>
        <v>129</v>
      </c>
      <c r="E121" s="8">
        <f>IFERROR(__xludf.DUMMYFUNCTION("""COMPUTED_VALUE"""),0.943089430894309)</f>
        <v>0.9430894309</v>
      </c>
      <c r="F121" s="8">
        <f>IFERROR(__xludf.DUMMYFUNCTION("""COMPUTED_VALUE"""),0.418803418803418)</f>
        <v>0.4188034188</v>
      </c>
      <c r="G121" s="8">
        <f>IFERROR(__xludf.DUMMYFUNCTION("""COMPUTED_VALUE"""),0.403508771929824)</f>
        <v>0.4035087719</v>
      </c>
      <c r="H121" s="8">
        <f>IFERROR(__xludf.DUMMYFUNCTION("""COMPUTED_VALUE"""),0.387387387387387)</f>
        <v>0.3873873874</v>
      </c>
      <c r="I121" s="8">
        <f>IFERROR(__xludf.DUMMYFUNCTION("""COMPUTED_VALUE"""),0.311320754716981)</f>
        <v>0.3113207547</v>
      </c>
      <c r="J121" s="8">
        <f>IFERROR(__xludf.DUMMYFUNCTION("""COMPUTED_VALUE"""),0.31)</f>
        <v>0.31</v>
      </c>
      <c r="K121" s="8">
        <f>IFERROR(__xludf.DUMMYFUNCTION("""COMPUTED_VALUE"""),0.311827956989247)</f>
        <v>0.311827957</v>
      </c>
      <c r="L121" s="8">
        <f>IFERROR(__xludf.DUMMYFUNCTION("""COMPUTED_VALUE"""),0.302325581395348)</f>
        <v>0.3023255814</v>
      </c>
      <c r="M121" s="8">
        <f>IFERROR(__xludf.DUMMYFUNCTION("""COMPUTED_VALUE"""),0.280487804878048)</f>
        <v>0.2804878049</v>
      </c>
      <c r="N121" s="8">
        <f>IFERROR(__xludf.DUMMYFUNCTION("""COMPUTED_VALUE"""),0.265822784810126)</f>
        <v>0.2658227848</v>
      </c>
      <c r="O121" s="8">
        <f>IFERROR(__xludf.DUMMYFUNCTION("""COMPUTED_VALUE"""),0.171875)</f>
        <v>0.171875</v>
      </c>
      <c r="P121" s="8">
        <f>IFERROR(__xludf.DUMMYFUNCTION("""COMPUTED_VALUE"""),0.129629629629629)</f>
        <v>0.1296296296</v>
      </c>
      <c r="Q121" s="8">
        <f>IFERROR(__xludf.DUMMYFUNCTION("""COMPUTED_VALUE"""),0.134615384615384)</f>
        <v>0.1346153846</v>
      </c>
      <c r="R121" s="8">
        <f>IFERROR(__xludf.DUMMYFUNCTION("""COMPUTED_VALUE"""),0.0)</f>
        <v>0</v>
      </c>
      <c r="S121" s="8">
        <f>IFERROR(__xludf.DUMMYFUNCTION("""COMPUTED_VALUE"""),0.0)</f>
        <v>0</v>
      </c>
      <c r="T121" s="8">
        <f>IFERROR(__xludf.DUMMYFUNCTION("""COMPUTED_VALUE"""),0.0)</f>
        <v>0</v>
      </c>
      <c r="U121" s="8">
        <f>IFERROR(__xludf.DUMMYFUNCTION("""COMPUTED_VALUE"""),0.0)</f>
        <v>0</v>
      </c>
      <c r="V121" s="8">
        <f>IFERROR(__xludf.DUMMYFUNCTION("""COMPUTED_VALUE"""),0.0)</f>
        <v>0</v>
      </c>
      <c r="W121" s="8">
        <f>IFERROR(__xludf.DUMMYFUNCTION("""COMPUTED_VALUE"""),0.0)</f>
        <v>0</v>
      </c>
      <c r="X121" s="8">
        <f>IFERROR(__xludf.DUMMYFUNCTION("""COMPUTED_VALUE"""),0.0)</f>
        <v>0</v>
      </c>
      <c r="Y121" s="8">
        <f>IFERROR(__xludf.DUMMYFUNCTION("""COMPUTED_VALUE"""),0.0)</f>
        <v>0</v>
      </c>
      <c r="Z121" s="8">
        <f>IFERROR(__xludf.DUMMYFUNCTION("""COMPUTED_VALUE"""),0.0)</f>
        <v>0</v>
      </c>
      <c r="AA121" s="8">
        <f>IFERROR(__xludf.DUMMYFUNCTION("""COMPUTED_VALUE"""),0.0)</f>
        <v>0</v>
      </c>
      <c r="AB121" s="8">
        <f>IFERROR(__xludf.DUMMYFUNCTION("""COMPUTED_VALUE"""),0.0)</f>
        <v>0</v>
      </c>
      <c r="AC121" s="8">
        <f>IFERROR(__xludf.DUMMYFUNCTION("""COMPUTED_VALUE"""),0.0)</f>
        <v>0</v>
      </c>
    </row>
    <row r="122" ht="15.75" customHeight="1">
      <c r="A122" s="6" t="str">
        <f>IFERROR(__xludf.DUMMYFUNCTION("""COMPUTED_VALUE"""),"6346e154f10078de4f17cbc6268066519b02789f")</f>
        <v>6346e154f10078de4f17cbc6268066519b02789f</v>
      </c>
      <c r="B122" s="6" t="str">
        <f>IFERROR(__xludf.DUMMYFUNCTION("""COMPUTED_VALUE"""),"Doctor Young")</f>
        <v>Doctor Young</v>
      </c>
      <c r="C122" s="6" t="str">
        <f>IFERROR(__xludf.DUMMYFUNCTION("""COMPUTED_VALUE"""),"Suspense or Thriller")</f>
        <v>Suspense or Thriller</v>
      </c>
      <c r="D122" s="11">
        <f>IFERROR(__xludf.DUMMYFUNCTION("""COMPUTED_VALUE"""),286.0)</f>
        <v>286</v>
      </c>
      <c r="E122" s="8">
        <f>IFERROR(__xludf.DUMMYFUNCTION("""COMPUTED_VALUE"""),0.964912280701754)</f>
        <v>0.9649122807</v>
      </c>
      <c r="F122" s="8">
        <f>IFERROR(__xludf.DUMMYFUNCTION("""COMPUTED_VALUE"""),0.294736842105263)</f>
        <v>0.2947368421</v>
      </c>
      <c r="G122" s="8">
        <f>IFERROR(__xludf.DUMMYFUNCTION("""COMPUTED_VALUE"""),0.236749116607773)</f>
        <v>0.2367491166</v>
      </c>
      <c r="H122" s="8">
        <f>IFERROR(__xludf.DUMMYFUNCTION("""COMPUTED_VALUE"""),0.207142857142857)</f>
        <v>0.2071428571</v>
      </c>
      <c r="I122" s="8">
        <f>IFERROR(__xludf.DUMMYFUNCTION("""COMPUTED_VALUE"""),0.167857142857142)</f>
        <v>0.1678571429</v>
      </c>
      <c r="J122" s="8">
        <f>IFERROR(__xludf.DUMMYFUNCTION("""COMPUTED_VALUE"""),0.16546762589928)</f>
        <v>0.1654676259</v>
      </c>
      <c r="K122" s="8">
        <f>IFERROR(__xludf.DUMMYFUNCTION("""COMPUTED_VALUE"""),0.15884476534296)</f>
        <v>0.1588447653</v>
      </c>
      <c r="L122" s="8">
        <f>IFERROR(__xludf.DUMMYFUNCTION("""COMPUTED_VALUE"""),0.149090909090909)</f>
        <v>0.1490909091</v>
      </c>
      <c r="M122" s="8">
        <f>IFERROR(__xludf.DUMMYFUNCTION("""COMPUTED_VALUE"""),0.131386861313868)</f>
        <v>0.1313868613</v>
      </c>
      <c r="N122" s="8">
        <f>IFERROR(__xludf.DUMMYFUNCTION("""COMPUTED_VALUE"""),0.126394052044609)</f>
        <v>0.126394052</v>
      </c>
      <c r="O122" s="8">
        <f>IFERROR(__xludf.DUMMYFUNCTION("""COMPUTED_VALUE"""),0.110671936758893)</f>
        <v>0.1106719368</v>
      </c>
      <c r="P122" s="8">
        <f>IFERROR(__xludf.DUMMYFUNCTION("""COMPUTED_VALUE"""),0.084)</f>
        <v>0.084</v>
      </c>
      <c r="Q122" s="8">
        <f>IFERROR(__xludf.DUMMYFUNCTION("""COMPUTED_VALUE"""),0.0647773279352226)</f>
        <v>0.06477732794</v>
      </c>
      <c r="R122" s="8">
        <f>IFERROR(__xludf.DUMMYFUNCTION("""COMPUTED_VALUE"""),0.040650406504065)</f>
        <v>0.0406504065</v>
      </c>
      <c r="S122" s="8">
        <f>IFERROR(__xludf.DUMMYFUNCTION("""COMPUTED_VALUE"""),0.0)</f>
        <v>0</v>
      </c>
      <c r="T122" s="8">
        <f>IFERROR(__xludf.DUMMYFUNCTION("""COMPUTED_VALUE"""),0.0)</f>
        <v>0</v>
      </c>
      <c r="U122" s="8">
        <f>IFERROR(__xludf.DUMMYFUNCTION("""COMPUTED_VALUE"""),0.0)</f>
        <v>0</v>
      </c>
      <c r="V122" s="8">
        <f>IFERROR(__xludf.DUMMYFUNCTION("""COMPUTED_VALUE"""),0.0)</f>
        <v>0</v>
      </c>
      <c r="W122" s="8">
        <f>IFERROR(__xludf.DUMMYFUNCTION("""COMPUTED_VALUE"""),0.0)</f>
        <v>0</v>
      </c>
      <c r="X122" s="8">
        <f>IFERROR(__xludf.DUMMYFUNCTION("""COMPUTED_VALUE"""),0.0)</f>
        <v>0</v>
      </c>
      <c r="Y122" s="8">
        <f>IFERROR(__xludf.DUMMYFUNCTION("""COMPUTED_VALUE"""),0.0)</f>
        <v>0</v>
      </c>
      <c r="Z122" s="8">
        <f>IFERROR(__xludf.DUMMYFUNCTION("""COMPUTED_VALUE"""),0.0)</f>
        <v>0</v>
      </c>
      <c r="AA122" s="8">
        <f>IFERROR(__xludf.DUMMYFUNCTION("""COMPUTED_VALUE"""),0.0)</f>
        <v>0</v>
      </c>
      <c r="AB122" s="8">
        <f>IFERROR(__xludf.DUMMYFUNCTION("""COMPUTED_VALUE"""),0.0)</f>
        <v>0</v>
      </c>
      <c r="AC122" s="8">
        <f>IFERROR(__xludf.DUMMYFUNCTION("""COMPUTED_VALUE"""),0.0)</f>
        <v>0</v>
      </c>
    </row>
    <row r="123" ht="15.75" customHeight="1">
      <c r="A123" s="6" t="str">
        <f>IFERROR(__xludf.DUMMYFUNCTION("""COMPUTED_VALUE"""),"646112abf2d6a5c232155a853f029ad1737b504e")</f>
        <v>646112abf2d6a5c232155a853f029ad1737b504e</v>
      </c>
      <c r="B123" s="6" t="str">
        <f>IFERROR(__xludf.DUMMYFUNCTION("""COMPUTED_VALUE"""),"Gatebreak")</f>
        <v>Gatebreak</v>
      </c>
      <c r="C123" s="6" t="str">
        <f>IFERROR(__xludf.DUMMYFUNCTION("""COMPUTED_VALUE"""),"Fantasy")</f>
        <v>Fantasy</v>
      </c>
      <c r="D123" s="11">
        <f>IFERROR(__xludf.DUMMYFUNCTION("""COMPUTED_VALUE"""),133.0)</f>
        <v>133</v>
      </c>
      <c r="E123" s="8">
        <f>IFERROR(__xludf.DUMMYFUNCTION("""COMPUTED_VALUE"""),0.924242424242424)</f>
        <v>0.9242424242</v>
      </c>
      <c r="F123" s="8">
        <f>IFERROR(__xludf.DUMMYFUNCTION("""COMPUTED_VALUE"""),0.545454545454545)</f>
        <v>0.5454545455</v>
      </c>
      <c r="G123" s="8">
        <f>IFERROR(__xludf.DUMMYFUNCTION("""COMPUTED_VALUE"""),0.462121212121212)</f>
        <v>0.4621212121</v>
      </c>
      <c r="H123" s="8">
        <f>IFERROR(__xludf.DUMMYFUNCTION("""COMPUTED_VALUE"""),0.446153846153846)</f>
        <v>0.4461538462</v>
      </c>
      <c r="I123" s="8">
        <f>IFERROR(__xludf.DUMMYFUNCTION("""COMPUTED_VALUE"""),0.434108527131782)</f>
        <v>0.4341085271</v>
      </c>
      <c r="J123" s="8">
        <f>IFERROR(__xludf.DUMMYFUNCTION("""COMPUTED_VALUE"""),0.4296875)</f>
        <v>0.4296875</v>
      </c>
      <c r="K123" s="8">
        <f>IFERROR(__xludf.DUMMYFUNCTION("""COMPUTED_VALUE"""),0.3984375)</f>
        <v>0.3984375</v>
      </c>
      <c r="L123" s="8">
        <f>IFERROR(__xludf.DUMMYFUNCTION("""COMPUTED_VALUE"""),0.404761904761904)</f>
        <v>0.4047619048</v>
      </c>
      <c r="M123" s="8">
        <f>IFERROR(__xludf.DUMMYFUNCTION("""COMPUTED_VALUE"""),0.396825396825396)</f>
        <v>0.3968253968</v>
      </c>
      <c r="N123" s="8">
        <f>IFERROR(__xludf.DUMMYFUNCTION("""COMPUTED_VALUE"""),0.392)</f>
        <v>0.392</v>
      </c>
      <c r="O123" s="8">
        <f>IFERROR(__xludf.DUMMYFUNCTION("""COMPUTED_VALUE"""),0.291666666666666)</f>
        <v>0.2916666667</v>
      </c>
      <c r="P123" s="8">
        <f>IFERROR(__xludf.DUMMYFUNCTION("""COMPUTED_VALUE"""),0.235294117647058)</f>
        <v>0.2352941176</v>
      </c>
      <c r="Q123" s="8">
        <f>IFERROR(__xludf.DUMMYFUNCTION("""COMPUTED_VALUE"""),0.18348623853211)</f>
        <v>0.1834862385</v>
      </c>
      <c r="R123" s="8">
        <f>IFERROR(__xludf.DUMMYFUNCTION("""COMPUTED_VALUE"""),0.105882352941176)</f>
        <v>0.1058823529</v>
      </c>
      <c r="S123" s="8">
        <f>IFERROR(__xludf.DUMMYFUNCTION("""COMPUTED_VALUE"""),0.081081081081081)</f>
        <v>0.08108108108</v>
      </c>
      <c r="T123" s="8">
        <f>IFERROR(__xludf.DUMMYFUNCTION("""COMPUTED_VALUE"""),0.0571428571428571)</f>
        <v>0.05714285714</v>
      </c>
      <c r="U123" s="8">
        <f>IFERROR(__xludf.DUMMYFUNCTION("""COMPUTED_VALUE"""),0.0)</f>
        <v>0</v>
      </c>
      <c r="V123" s="8">
        <f>IFERROR(__xludf.DUMMYFUNCTION("""COMPUTED_VALUE"""),0.0)</f>
        <v>0</v>
      </c>
      <c r="W123" s="8">
        <f>IFERROR(__xludf.DUMMYFUNCTION("""COMPUTED_VALUE"""),0.0)</f>
        <v>0</v>
      </c>
      <c r="X123" s="8">
        <f>IFERROR(__xludf.DUMMYFUNCTION("""COMPUTED_VALUE"""),0.0)</f>
        <v>0</v>
      </c>
      <c r="Y123" s="8">
        <f>IFERROR(__xludf.DUMMYFUNCTION("""COMPUTED_VALUE"""),0.0)</f>
        <v>0</v>
      </c>
      <c r="Z123" s="8">
        <f>IFERROR(__xludf.DUMMYFUNCTION("""COMPUTED_VALUE"""),0.0)</f>
        <v>0</v>
      </c>
      <c r="AA123" s="8">
        <f>IFERROR(__xludf.DUMMYFUNCTION("""COMPUTED_VALUE"""),0.0)</f>
        <v>0</v>
      </c>
      <c r="AB123" s="8">
        <f>IFERROR(__xludf.DUMMYFUNCTION("""COMPUTED_VALUE"""),0.0)</f>
        <v>0</v>
      </c>
      <c r="AC123" s="8">
        <f>IFERROR(__xludf.DUMMYFUNCTION("""COMPUTED_VALUE"""),0.0)</f>
        <v>0</v>
      </c>
    </row>
    <row r="124" ht="15.75" customHeight="1">
      <c r="A124" s="6" t="str">
        <f>IFERROR(__xludf.DUMMYFUNCTION("""COMPUTED_VALUE"""),"6537ebcf99ebb2572c378cc92edd07b6d165b13b")</f>
        <v>6537ebcf99ebb2572c378cc92edd07b6d165b13b</v>
      </c>
      <c r="B124" s="6" t="str">
        <f>IFERROR(__xludf.DUMMYFUNCTION("""COMPUTED_VALUE"""),"The Legendary Beast Archi")</f>
        <v>The Legendary Beast Archi</v>
      </c>
      <c r="C124" s="6" t="str">
        <f>IFERROR(__xludf.DUMMYFUNCTION("""COMPUTED_VALUE"""),"Fantasy")</f>
        <v>Fantasy</v>
      </c>
      <c r="D124" s="11">
        <f>IFERROR(__xludf.DUMMYFUNCTION("""COMPUTED_VALUE"""),113.0)</f>
        <v>113</v>
      </c>
      <c r="E124" s="8">
        <f>IFERROR(__xludf.DUMMYFUNCTION("""COMPUTED_VALUE"""),0.955357142857142)</f>
        <v>0.9553571429</v>
      </c>
      <c r="F124" s="8">
        <f>IFERROR(__xludf.DUMMYFUNCTION("""COMPUTED_VALUE"""),0.455357142857142)</f>
        <v>0.4553571429</v>
      </c>
      <c r="G124" s="8">
        <f>IFERROR(__xludf.DUMMYFUNCTION("""COMPUTED_VALUE"""),0.405405405405405)</f>
        <v>0.4054054054</v>
      </c>
      <c r="H124" s="8">
        <f>IFERROR(__xludf.DUMMYFUNCTION("""COMPUTED_VALUE"""),0.378378378378378)</f>
        <v>0.3783783784</v>
      </c>
      <c r="I124" s="8">
        <f>IFERROR(__xludf.DUMMYFUNCTION("""COMPUTED_VALUE"""),0.339449541284403)</f>
        <v>0.3394495413</v>
      </c>
      <c r="J124" s="8">
        <f>IFERROR(__xludf.DUMMYFUNCTION("""COMPUTED_VALUE"""),0.298076923076923)</f>
        <v>0.2980769231</v>
      </c>
      <c r="K124" s="8">
        <f>IFERROR(__xludf.DUMMYFUNCTION("""COMPUTED_VALUE"""),0.266666666666666)</f>
        <v>0.2666666667</v>
      </c>
      <c r="L124" s="8">
        <f>IFERROR(__xludf.DUMMYFUNCTION("""COMPUTED_VALUE"""),0.208955223880597)</f>
        <v>0.2089552239</v>
      </c>
      <c r="M124" s="8">
        <f>IFERROR(__xludf.DUMMYFUNCTION("""COMPUTED_VALUE"""),0.2)</f>
        <v>0.2</v>
      </c>
      <c r="N124" s="8">
        <f>IFERROR(__xludf.DUMMYFUNCTION("""COMPUTED_VALUE"""),0.215686274509803)</f>
        <v>0.2156862745</v>
      </c>
      <c r="O124" s="8">
        <f>IFERROR(__xludf.DUMMYFUNCTION("""COMPUTED_VALUE"""),0.222222222222222)</f>
        <v>0.2222222222</v>
      </c>
      <c r="P124" s="8">
        <f>IFERROR(__xludf.DUMMYFUNCTION("""COMPUTED_VALUE"""),0.333333333333333)</f>
        <v>0.3333333333</v>
      </c>
      <c r="Q124" s="8">
        <f>IFERROR(__xludf.DUMMYFUNCTION("""COMPUTED_VALUE"""),0.0)</f>
        <v>0</v>
      </c>
      <c r="R124" s="8">
        <f>IFERROR(__xludf.DUMMYFUNCTION("""COMPUTED_VALUE"""),0.0)</f>
        <v>0</v>
      </c>
      <c r="S124" s="8">
        <f>IFERROR(__xludf.DUMMYFUNCTION("""COMPUTED_VALUE"""),0.0)</f>
        <v>0</v>
      </c>
      <c r="T124" s="8">
        <f>IFERROR(__xludf.DUMMYFUNCTION("""COMPUTED_VALUE"""),0.0)</f>
        <v>0</v>
      </c>
      <c r="U124" s="8">
        <f>IFERROR(__xludf.DUMMYFUNCTION("""COMPUTED_VALUE"""),0.0)</f>
        <v>0</v>
      </c>
      <c r="V124" s="8">
        <f>IFERROR(__xludf.DUMMYFUNCTION("""COMPUTED_VALUE"""),0.0)</f>
        <v>0</v>
      </c>
      <c r="W124" s="8">
        <f>IFERROR(__xludf.DUMMYFUNCTION("""COMPUTED_VALUE"""),0.0)</f>
        <v>0</v>
      </c>
      <c r="X124" s="8">
        <f>IFERROR(__xludf.DUMMYFUNCTION("""COMPUTED_VALUE"""),0.0)</f>
        <v>0</v>
      </c>
      <c r="Y124" s="8">
        <f>IFERROR(__xludf.DUMMYFUNCTION("""COMPUTED_VALUE"""),0.0)</f>
        <v>0</v>
      </c>
      <c r="Z124" s="8">
        <f>IFERROR(__xludf.DUMMYFUNCTION("""COMPUTED_VALUE"""),0.0)</f>
        <v>0</v>
      </c>
      <c r="AA124" s="8">
        <f>IFERROR(__xludf.DUMMYFUNCTION("""COMPUTED_VALUE"""),0.0)</f>
        <v>0</v>
      </c>
      <c r="AB124" s="8">
        <f>IFERROR(__xludf.DUMMYFUNCTION("""COMPUTED_VALUE"""),0.0)</f>
        <v>0</v>
      </c>
      <c r="AC124" s="8">
        <f>IFERROR(__xludf.DUMMYFUNCTION("""COMPUTED_VALUE"""),0.0)</f>
        <v>0</v>
      </c>
    </row>
    <row r="125" ht="15.75" customHeight="1">
      <c r="A125" s="6" t="str">
        <f>IFERROR(__xludf.DUMMYFUNCTION("""COMPUTED_VALUE"""),"66e5597d741c6d87c2bc8e35ec83065242c0e34d")</f>
        <v>66e5597d741c6d87c2bc8e35ec83065242c0e34d</v>
      </c>
      <c r="B125" s="6" t="str">
        <f>IFERROR(__xludf.DUMMYFUNCTION("""COMPUTED_VALUE"""),"Sky Lord")</f>
        <v>Sky Lord</v>
      </c>
      <c r="C125" s="6" t="str">
        <f>IFERROR(__xludf.DUMMYFUNCTION("""COMPUTED_VALUE"""),"Fantasy")</f>
        <v>Fantasy</v>
      </c>
      <c r="D125" s="11">
        <f>IFERROR(__xludf.DUMMYFUNCTION("""COMPUTED_VALUE"""),174.0)</f>
        <v>174</v>
      </c>
      <c r="E125" s="8">
        <f>IFERROR(__xludf.DUMMYFUNCTION("""COMPUTED_VALUE"""),0.929824561403508)</f>
        <v>0.9298245614</v>
      </c>
      <c r="F125" s="8">
        <f>IFERROR(__xludf.DUMMYFUNCTION("""COMPUTED_VALUE"""),0.543859649122807)</f>
        <v>0.5438596491</v>
      </c>
      <c r="G125" s="8">
        <f>IFERROR(__xludf.DUMMYFUNCTION("""COMPUTED_VALUE"""),0.502994011976047)</f>
        <v>0.502994012</v>
      </c>
      <c r="H125" s="8">
        <f>IFERROR(__xludf.DUMMYFUNCTION("""COMPUTED_VALUE"""),0.472727272727272)</f>
        <v>0.4727272727</v>
      </c>
      <c r="I125" s="8">
        <f>IFERROR(__xludf.DUMMYFUNCTION("""COMPUTED_VALUE"""),0.417177914110429)</f>
        <v>0.4171779141</v>
      </c>
      <c r="J125" s="8">
        <f>IFERROR(__xludf.DUMMYFUNCTION("""COMPUTED_VALUE"""),0.419753086419753)</f>
        <v>0.4197530864</v>
      </c>
      <c r="K125" s="8">
        <f>IFERROR(__xludf.DUMMYFUNCTION("""COMPUTED_VALUE"""),0.3875)</f>
        <v>0.3875</v>
      </c>
      <c r="L125" s="8">
        <f>IFERROR(__xludf.DUMMYFUNCTION("""COMPUTED_VALUE"""),0.374149659863945)</f>
        <v>0.3741496599</v>
      </c>
      <c r="M125" s="8">
        <f>IFERROR(__xludf.DUMMYFUNCTION("""COMPUTED_VALUE"""),0.335616438356164)</f>
        <v>0.3356164384</v>
      </c>
      <c r="N125" s="8">
        <f>IFERROR(__xludf.DUMMYFUNCTION("""COMPUTED_VALUE"""),0.330935251798561)</f>
        <v>0.3309352518</v>
      </c>
      <c r="O125" s="8">
        <f>IFERROR(__xludf.DUMMYFUNCTION("""COMPUTED_VALUE"""),0.289473684210526)</f>
        <v>0.2894736842</v>
      </c>
      <c r="P125" s="8">
        <f>IFERROR(__xludf.DUMMYFUNCTION("""COMPUTED_VALUE"""),0.125)</f>
        <v>0.125</v>
      </c>
      <c r="Q125" s="8">
        <f>IFERROR(__xludf.DUMMYFUNCTION("""COMPUTED_VALUE"""),0.0)</f>
        <v>0</v>
      </c>
      <c r="R125" s="8">
        <f>IFERROR(__xludf.DUMMYFUNCTION("""COMPUTED_VALUE"""),0.0)</f>
        <v>0</v>
      </c>
      <c r="S125" s="8">
        <f>IFERROR(__xludf.DUMMYFUNCTION("""COMPUTED_VALUE"""),0.0)</f>
        <v>0</v>
      </c>
      <c r="T125" s="8">
        <f>IFERROR(__xludf.DUMMYFUNCTION("""COMPUTED_VALUE"""),0.0)</f>
        <v>0</v>
      </c>
      <c r="U125" s="8">
        <f>IFERROR(__xludf.DUMMYFUNCTION("""COMPUTED_VALUE"""),0.0)</f>
        <v>0</v>
      </c>
      <c r="V125" s="8">
        <f>IFERROR(__xludf.DUMMYFUNCTION("""COMPUTED_VALUE"""),0.0)</f>
        <v>0</v>
      </c>
      <c r="W125" s="8">
        <f>IFERROR(__xludf.DUMMYFUNCTION("""COMPUTED_VALUE"""),0.0)</f>
        <v>0</v>
      </c>
      <c r="X125" s="8">
        <f>IFERROR(__xludf.DUMMYFUNCTION("""COMPUTED_VALUE"""),0.0)</f>
        <v>0</v>
      </c>
      <c r="Y125" s="8">
        <f>IFERROR(__xludf.DUMMYFUNCTION("""COMPUTED_VALUE"""),0.0)</f>
        <v>0</v>
      </c>
      <c r="Z125" s="8">
        <f>IFERROR(__xludf.DUMMYFUNCTION("""COMPUTED_VALUE"""),0.0)</f>
        <v>0</v>
      </c>
      <c r="AA125" s="8">
        <f>IFERROR(__xludf.DUMMYFUNCTION("""COMPUTED_VALUE"""),0.0)</f>
        <v>0</v>
      </c>
      <c r="AB125" s="8">
        <f>IFERROR(__xludf.DUMMYFUNCTION("""COMPUTED_VALUE"""),0.0)</f>
        <v>0</v>
      </c>
      <c r="AC125" s="8">
        <f>IFERROR(__xludf.DUMMYFUNCTION("""COMPUTED_VALUE"""),0.0)</f>
        <v>0</v>
      </c>
    </row>
    <row r="126" ht="15.75" customHeight="1">
      <c r="A126" s="6" t="str">
        <f>IFERROR(__xludf.DUMMYFUNCTION("""COMPUTED_VALUE"""),"69e29d606b65c300fffe9a9af149d4b81b170a78")</f>
        <v>69e29d606b65c300fffe9a9af149d4b81b170a78</v>
      </c>
      <c r="B126" s="6" t="str">
        <f>IFERROR(__xludf.DUMMYFUNCTION("""COMPUTED_VALUE"""),"Unexpectedly Entwined")</f>
        <v>Unexpectedly Entwined</v>
      </c>
      <c r="C126" s="6" t="str">
        <f>IFERROR(__xludf.DUMMYFUNCTION("""COMPUTED_VALUE"""),"Romance")</f>
        <v>Romance</v>
      </c>
      <c r="D126" s="11">
        <f>IFERROR(__xludf.DUMMYFUNCTION("""COMPUTED_VALUE"""),581.0)</f>
        <v>581</v>
      </c>
      <c r="E126" s="8">
        <f>IFERROR(__xludf.DUMMYFUNCTION("""COMPUTED_VALUE"""),0.958549222797927)</f>
        <v>0.9585492228</v>
      </c>
      <c r="F126" s="8">
        <f>IFERROR(__xludf.DUMMYFUNCTION("""COMPUTED_VALUE"""),0.442141623488773)</f>
        <v>0.4421416235</v>
      </c>
      <c r="G126" s="8">
        <f>IFERROR(__xludf.DUMMYFUNCTION("""COMPUTED_VALUE"""),0.378238341968911)</f>
        <v>0.378238342</v>
      </c>
      <c r="H126" s="8">
        <f>IFERROR(__xludf.DUMMYFUNCTION("""COMPUTED_VALUE"""),0.342013888888888)</f>
        <v>0.3420138889</v>
      </c>
      <c r="I126" s="8">
        <f>IFERROR(__xludf.DUMMYFUNCTION("""COMPUTED_VALUE"""),0.305555555555555)</f>
        <v>0.3055555556</v>
      </c>
      <c r="J126" s="8">
        <f>IFERROR(__xludf.DUMMYFUNCTION("""COMPUTED_VALUE"""),0.276041666666666)</f>
        <v>0.2760416667</v>
      </c>
      <c r="K126" s="8">
        <f>IFERROR(__xludf.DUMMYFUNCTION("""COMPUTED_VALUE"""),0.255652173913043)</f>
        <v>0.2556521739</v>
      </c>
      <c r="L126" s="8">
        <f>IFERROR(__xludf.DUMMYFUNCTION("""COMPUTED_VALUE"""),0.23170731707317)</f>
        <v>0.2317073171</v>
      </c>
      <c r="M126" s="8">
        <f>IFERROR(__xludf.DUMMYFUNCTION("""COMPUTED_VALUE"""),0.195121951219512)</f>
        <v>0.1951219512</v>
      </c>
      <c r="N126" s="8">
        <f>IFERROR(__xludf.DUMMYFUNCTION("""COMPUTED_VALUE"""),0.198606271777003)</f>
        <v>0.1986062718</v>
      </c>
      <c r="O126" s="8">
        <f>IFERROR(__xludf.DUMMYFUNCTION("""COMPUTED_VALUE"""),0.165170556552962)</f>
        <v>0.1651705566</v>
      </c>
      <c r="P126" s="8">
        <f>IFERROR(__xludf.DUMMYFUNCTION("""COMPUTED_VALUE"""),0.10110294117647)</f>
        <v>0.1011029412</v>
      </c>
      <c r="Q126" s="8">
        <f>IFERROR(__xludf.DUMMYFUNCTION("""COMPUTED_VALUE"""),0.0883116883116883)</f>
        <v>0.08831168831</v>
      </c>
      <c r="R126" s="8">
        <f>IFERROR(__xludf.DUMMYFUNCTION("""COMPUTED_VALUE"""),0.072289156626506)</f>
        <v>0.07228915663</v>
      </c>
      <c r="S126" s="8">
        <f>IFERROR(__xludf.DUMMYFUNCTION("""COMPUTED_VALUE"""),0.106796116504854)</f>
        <v>0.1067961165</v>
      </c>
      <c r="T126" s="8">
        <f>IFERROR(__xludf.DUMMYFUNCTION("""COMPUTED_VALUE"""),0.0338983050847457)</f>
        <v>0.03389830508</v>
      </c>
      <c r="U126" s="8">
        <f>IFERROR(__xludf.DUMMYFUNCTION("""COMPUTED_VALUE"""),0.0)</f>
        <v>0</v>
      </c>
      <c r="V126" s="8">
        <f>IFERROR(__xludf.DUMMYFUNCTION("""COMPUTED_VALUE"""),0.0)</f>
        <v>0</v>
      </c>
      <c r="W126" s="8">
        <f>IFERROR(__xludf.DUMMYFUNCTION("""COMPUTED_VALUE"""),0.0)</f>
        <v>0</v>
      </c>
      <c r="X126" s="8">
        <f>IFERROR(__xludf.DUMMYFUNCTION("""COMPUTED_VALUE"""),0.0)</f>
        <v>0</v>
      </c>
      <c r="Y126" s="8">
        <f>IFERROR(__xludf.DUMMYFUNCTION("""COMPUTED_VALUE"""),0.0)</f>
        <v>0</v>
      </c>
      <c r="Z126" s="8">
        <f>IFERROR(__xludf.DUMMYFUNCTION("""COMPUTED_VALUE"""),0.0)</f>
        <v>0</v>
      </c>
      <c r="AA126" s="8">
        <f>IFERROR(__xludf.DUMMYFUNCTION("""COMPUTED_VALUE"""),0.0)</f>
        <v>0</v>
      </c>
      <c r="AB126" s="8">
        <f>IFERROR(__xludf.DUMMYFUNCTION("""COMPUTED_VALUE"""),0.0)</f>
        <v>0</v>
      </c>
      <c r="AC126" s="8">
        <f>IFERROR(__xludf.DUMMYFUNCTION("""COMPUTED_VALUE"""),0.0)</f>
        <v>0</v>
      </c>
    </row>
    <row r="127" ht="15.75" customHeight="1">
      <c r="A127" s="6" t="str">
        <f>IFERROR(__xludf.DUMMYFUNCTION("""COMPUTED_VALUE"""),"69e2eb3772b49e749fed57ae96a86147dde154cb")</f>
        <v>69e2eb3772b49e749fed57ae96a86147dde154cb</v>
      </c>
      <c r="B127" s="6" t="str">
        <f>IFERROR(__xludf.DUMMYFUNCTION("""COMPUTED_VALUE"""),"The Alpha She Chose")</f>
        <v>The Alpha She Chose</v>
      </c>
      <c r="C127" s="6" t="str">
        <f>IFERROR(__xludf.DUMMYFUNCTION("""COMPUTED_VALUE"""),"Romantasy")</f>
        <v>Romantasy</v>
      </c>
      <c r="D127" s="11">
        <f>IFERROR(__xludf.DUMMYFUNCTION("""COMPUTED_VALUE"""),1777.0)</f>
        <v>1777</v>
      </c>
      <c r="E127" s="8">
        <f>IFERROR(__xludf.DUMMYFUNCTION("""COMPUTED_VALUE"""),0.952488687782805)</f>
        <v>0.9524886878</v>
      </c>
      <c r="F127" s="8">
        <f>IFERROR(__xludf.DUMMYFUNCTION("""COMPUTED_VALUE"""),0.562072892938496)</f>
        <v>0.5620728929</v>
      </c>
      <c r="G127" s="8">
        <f>IFERROR(__xludf.DUMMYFUNCTION("""COMPUTED_VALUE"""),0.520869068038879)</f>
        <v>0.520869068</v>
      </c>
      <c r="H127" s="8">
        <f>IFERROR(__xludf.DUMMYFUNCTION("""COMPUTED_VALUE"""),0.481332567489948)</f>
        <v>0.4813325675</v>
      </c>
      <c r="I127" s="8">
        <f>IFERROR(__xludf.DUMMYFUNCTION("""COMPUTED_VALUE"""),0.455069124423963)</f>
        <v>0.4550691244</v>
      </c>
      <c r="J127" s="8">
        <f>IFERROR(__xludf.DUMMYFUNCTION("""COMPUTED_VALUE"""),0.43568945538818)</f>
        <v>0.4356894554</v>
      </c>
      <c r="K127" s="8">
        <f>IFERROR(__xludf.DUMMYFUNCTION("""COMPUTED_VALUE"""),0.419203747072599)</f>
        <v>0.4192037471</v>
      </c>
      <c r="L127" s="8">
        <f>IFERROR(__xludf.DUMMYFUNCTION("""COMPUTED_VALUE"""),0.4037558685446)</f>
        <v>0.4037558685</v>
      </c>
      <c r="M127" s="8">
        <f>IFERROR(__xludf.DUMMYFUNCTION("""COMPUTED_VALUE"""),0.388459250446163)</f>
        <v>0.3884592504</v>
      </c>
      <c r="N127" s="8">
        <f>IFERROR(__xludf.DUMMYFUNCTION("""COMPUTED_VALUE"""),0.372064276885043)</f>
        <v>0.3720642769</v>
      </c>
      <c r="O127" s="8">
        <f>IFERROR(__xludf.DUMMYFUNCTION("""COMPUTED_VALUE"""),0.344803854094975)</f>
        <v>0.3448038541</v>
      </c>
      <c r="P127" s="8">
        <f>IFERROR(__xludf.DUMMYFUNCTION("""COMPUTED_VALUE"""),0.272925764192139)</f>
        <v>0.2729257642</v>
      </c>
      <c r="Q127" s="8">
        <f>IFERROR(__xludf.DUMMYFUNCTION("""COMPUTED_VALUE"""),0.226240538267451)</f>
        <v>0.2262405383</v>
      </c>
      <c r="R127" s="8">
        <f>IFERROR(__xludf.DUMMYFUNCTION("""COMPUTED_VALUE"""),0.192166462668298)</f>
        <v>0.1921664627</v>
      </c>
      <c r="S127" s="8">
        <f>IFERROR(__xludf.DUMMYFUNCTION("""COMPUTED_VALUE"""),0.12)</f>
        <v>0.12</v>
      </c>
      <c r="T127" s="8">
        <f>IFERROR(__xludf.DUMMYFUNCTION("""COMPUTED_VALUE"""),0.0)</f>
        <v>0</v>
      </c>
      <c r="U127" s="8">
        <f>IFERROR(__xludf.DUMMYFUNCTION("""COMPUTED_VALUE"""),0.0)</f>
        <v>0</v>
      </c>
      <c r="V127" s="8">
        <f>IFERROR(__xludf.DUMMYFUNCTION("""COMPUTED_VALUE"""),0.0)</f>
        <v>0</v>
      </c>
      <c r="W127" s="8">
        <f>IFERROR(__xludf.DUMMYFUNCTION("""COMPUTED_VALUE"""),0.0)</f>
        <v>0</v>
      </c>
      <c r="X127" s="8">
        <f>IFERROR(__xludf.DUMMYFUNCTION("""COMPUTED_VALUE"""),0.0)</f>
        <v>0</v>
      </c>
      <c r="Y127" s="8">
        <f>IFERROR(__xludf.DUMMYFUNCTION("""COMPUTED_VALUE"""),0.0)</f>
        <v>0</v>
      </c>
      <c r="Z127" s="8">
        <f>IFERROR(__xludf.DUMMYFUNCTION("""COMPUTED_VALUE"""),0.0)</f>
        <v>0</v>
      </c>
      <c r="AA127" s="8">
        <f>IFERROR(__xludf.DUMMYFUNCTION("""COMPUTED_VALUE"""),0.0)</f>
        <v>0</v>
      </c>
      <c r="AB127" s="8">
        <f>IFERROR(__xludf.DUMMYFUNCTION("""COMPUTED_VALUE"""),0.0)</f>
        <v>0</v>
      </c>
      <c r="AC127" s="8">
        <f>IFERROR(__xludf.DUMMYFUNCTION("""COMPUTED_VALUE"""),0.0)</f>
        <v>0</v>
      </c>
    </row>
    <row r="128" ht="15.75" customHeight="1">
      <c r="A128" s="6" t="str">
        <f>IFERROR(__xludf.DUMMYFUNCTION("""COMPUTED_VALUE"""),"6c13ac0e01a86e60a2d75bbcee5bb8f9be472700")</f>
        <v>6c13ac0e01a86e60a2d75bbcee5bb8f9be472700</v>
      </c>
      <c r="B128" s="6" t="str">
        <f>IFERROR(__xludf.DUMMYFUNCTION("""COMPUTED_VALUE"""),"Fated to You")</f>
        <v>Fated to You</v>
      </c>
      <c r="C128" s="6" t="str">
        <f>IFERROR(__xludf.DUMMYFUNCTION("""COMPUTED_VALUE"""),"Romance")</f>
        <v>Romance</v>
      </c>
      <c r="D128" s="11">
        <f>IFERROR(__xludf.DUMMYFUNCTION("""COMPUTED_VALUE"""),263.0)</f>
        <v>263</v>
      </c>
      <c r="E128" s="8">
        <f>IFERROR(__xludf.DUMMYFUNCTION("""COMPUTED_VALUE"""),0.456273764258555)</f>
        <v>0.4562737643</v>
      </c>
      <c r="F128" s="8">
        <f>IFERROR(__xludf.DUMMYFUNCTION("""COMPUTED_VALUE"""),0.264367816091954)</f>
        <v>0.2643678161</v>
      </c>
      <c r="G128" s="8">
        <f>IFERROR(__xludf.DUMMYFUNCTION("""COMPUTED_VALUE"""),0.256704980842911)</f>
        <v>0.2567049808</v>
      </c>
      <c r="H128" s="8">
        <f>IFERROR(__xludf.DUMMYFUNCTION("""COMPUTED_VALUE"""),0.226923076923076)</f>
        <v>0.2269230769</v>
      </c>
      <c r="I128" s="8">
        <f>IFERROR(__xludf.DUMMYFUNCTION("""COMPUTED_VALUE"""),0.203846153846153)</f>
        <v>0.2038461538</v>
      </c>
      <c r="J128" s="8">
        <f>IFERROR(__xludf.DUMMYFUNCTION("""COMPUTED_VALUE"""),0.189189189189189)</f>
        <v>0.1891891892</v>
      </c>
      <c r="K128" s="8">
        <f>IFERROR(__xludf.DUMMYFUNCTION("""COMPUTED_VALUE"""),0.173745173745173)</f>
        <v>0.1737451737</v>
      </c>
      <c r="L128" s="8">
        <f>IFERROR(__xludf.DUMMYFUNCTION("""COMPUTED_VALUE"""),0.185328185328185)</f>
        <v>0.1853281853</v>
      </c>
      <c r="M128" s="8">
        <f>IFERROR(__xludf.DUMMYFUNCTION("""COMPUTED_VALUE"""),0.182170542635658)</f>
        <v>0.1821705426</v>
      </c>
      <c r="N128" s="8">
        <f>IFERROR(__xludf.DUMMYFUNCTION("""COMPUTED_VALUE"""),0.202334630350194)</f>
        <v>0.2023346304</v>
      </c>
      <c r="O128" s="8">
        <f>IFERROR(__xludf.DUMMYFUNCTION("""COMPUTED_VALUE"""),0.154150197628458)</f>
        <v>0.1541501976</v>
      </c>
      <c r="P128" s="8">
        <f>IFERROR(__xludf.DUMMYFUNCTION("""COMPUTED_VALUE"""),0.162055335968379)</f>
        <v>0.162055336</v>
      </c>
      <c r="Q128" s="8">
        <f>IFERROR(__xludf.DUMMYFUNCTION("""COMPUTED_VALUE"""),0.0717131474103585)</f>
        <v>0.07171314741</v>
      </c>
      <c r="R128" s="8">
        <f>IFERROR(__xludf.DUMMYFUNCTION("""COMPUTED_VALUE"""),0.0483870967741935)</f>
        <v>0.04838709677</v>
      </c>
      <c r="S128" s="8">
        <f>IFERROR(__xludf.DUMMYFUNCTION("""COMPUTED_VALUE"""),0.0541871921182266)</f>
        <v>0.05418719212</v>
      </c>
      <c r="T128" s="8">
        <f>IFERROR(__xludf.DUMMYFUNCTION("""COMPUTED_VALUE"""),0.0328947368421052)</f>
        <v>0.03289473684</v>
      </c>
      <c r="U128" s="8">
        <f>IFERROR(__xludf.DUMMYFUNCTION("""COMPUTED_VALUE"""),0.0134228187919463)</f>
        <v>0.01342281879</v>
      </c>
      <c r="V128" s="8">
        <f>IFERROR(__xludf.DUMMYFUNCTION("""COMPUTED_VALUE"""),0.0204081632653061)</f>
        <v>0.02040816327</v>
      </c>
      <c r="W128" s="8">
        <f>IFERROR(__xludf.DUMMYFUNCTION("""COMPUTED_VALUE"""),0.0138888888888888)</f>
        <v>0.01388888889</v>
      </c>
      <c r="X128" s="8">
        <f>IFERROR(__xludf.DUMMYFUNCTION("""COMPUTED_VALUE"""),0.0141843971631205)</f>
        <v>0.01418439716</v>
      </c>
      <c r="Y128" s="8">
        <f>IFERROR(__xludf.DUMMYFUNCTION("""COMPUTED_VALUE"""),0.0)</f>
        <v>0</v>
      </c>
      <c r="Z128" s="8">
        <f>IFERROR(__xludf.DUMMYFUNCTION("""COMPUTED_VALUE"""),0.0333333333333333)</f>
        <v>0.03333333333</v>
      </c>
      <c r="AA128" s="8">
        <f>IFERROR(__xludf.DUMMYFUNCTION("""COMPUTED_VALUE"""),0.04)</f>
        <v>0.04</v>
      </c>
      <c r="AB128" s="8">
        <f>IFERROR(__xludf.DUMMYFUNCTION("""COMPUTED_VALUE"""),0.0)</f>
        <v>0</v>
      </c>
      <c r="AC128" s="8">
        <f>IFERROR(__xludf.DUMMYFUNCTION("""COMPUTED_VALUE"""),0.0)</f>
        <v>0</v>
      </c>
    </row>
    <row r="129" ht="15.75" customHeight="1">
      <c r="A129" s="6" t="str">
        <f>IFERROR(__xludf.DUMMYFUNCTION("""COMPUTED_VALUE"""),"6e9cd8b5ce597e73f12a6a180c18888a89f8aac3")</f>
        <v>6e9cd8b5ce597e73f12a6a180c18888a89f8aac3</v>
      </c>
      <c r="B129" s="6" t="str">
        <f>IFERROR(__xludf.DUMMYFUNCTION("""COMPUTED_VALUE"""),"Sovereign Retribution")</f>
        <v>Sovereign Retribution</v>
      </c>
      <c r="C129" s="6" t="str">
        <f>IFERROR(__xludf.DUMMYFUNCTION("""COMPUTED_VALUE"""),"Drama")</f>
        <v>Drama</v>
      </c>
      <c r="D129" s="11">
        <f>IFERROR(__xludf.DUMMYFUNCTION("""COMPUTED_VALUE"""),1070.0)</f>
        <v>1070</v>
      </c>
      <c r="E129" s="8">
        <f>IFERROR(__xludf.DUMMYFUNCTION("""COMPUTED_VALUE"""),0.941121495327102)</f>
        <v>0.9411214953</v>
      </c>
      <c r="F129" s="8">
        <f>IFERROR(__xludf.DUMMYFUNCTION("""COMPUTED_VALUE"""),0.594948550046772)</f>
        <v>0.59494855</v>
      </c>
      <c r="G129" s="8">
        <f>IFERROR(__xludf.DUMMYFUNCTION("""COMPUTED_VALUE"""),0.548175865294667)</f>
        <v>0.5481758653</v>
      </c>
      <c r="H129" s="8">
        <f>IFERROR(__xludf.DUMMYFUNCTION("""COMPUTED_VALUE"""),0.51356407857811)</f>
        <v>0.5135640786</v>
      </c>
      <c r="I129" s="8">
        <f>IFERROR(__xludf.DUMMYFUNCTION("""COMPUTED_VALUE"""),0.498596819457436)</f>
        <v>0.4985968195</v>
      </c>
      <c r="J129" s="8">
        <f>IFERROR(__xludf.DUMMYFUNCTION("""COMPUTED_VALUE"""),0.474719101123595)</f>
        <v>0.4747191011</v>
      </c>
      <c r="K129" s="8">
        <f>IFERROR(__xludf.DUMMYFUNCTION("""COMPUTED_VALUE"""),0.455992509363295)</f>
        <v>0.4559925094</v>
      </c>
      <c r="L129" s="8">
        <f>IFERROR(__xludf.DUMMYFUNCTION("""COMPUTED_VALUE"""),0.437441204139228)</f>
        <v>0.4374412041</v>
      </c>
      <c r="M129" s="8">
        <f>IFERROR(__xludf.DUMMYFUNCTION("""COMPUTED_VALUE"""),0.429650613786591)</f>
        <v>0.4296506138</v>
      </c>
      <c r="N129" s="8">
        <f>IFERROR(__xludf.DUMMYFUNCTION("""COMPUTED_VALUE"""),0.415165876777251)</f>
        <v>0.4151658768</v>
      </c>
      <c r="O129" s="8">
        <f>IFERROR(__xludf.DUMMYFUNCTION("""COMPUTED_VALUE"""),0.358684480986639)</f>
        <v>0.358684481</v>
      </c>
      <c r="P129" s="8">
        <f>IFERROR(__xludf.DUMMYFUNCTION("""COMPUTED_VALUE"""),0.263532763532763)</f>
        <v>0.2635327635</v>
      </c>
      <c r="Q129" s="8">
        <f>IFERROR(__xludf.DUMMYFUNCTION("""COMPUTED_VALUE"""),0.19723865877712)</f>
        <v>0.1972386588</v>
      </c>
      <c r="R129" s="8">
        <f>IFERROR(__xludf.DUMMYFUNCTION("""COMPUTED_VALUE"""),0.263157894736842)</f>
        <v>0.2631578947</v>
      </c>
      <c r="S129" s="8">
        <f>IFERROR(__xludf.DUMMYFUNCTION("""COMPUTED_VALUE"""),0.0833333333333333)</f>
        <v>0.08333333333</v>
      </c>
      <c r="T129" s="8">
        <f>IFERROR(__xludf.DUMMYFUNCTION("""COMPUTED_VALUE"""),0.0)</f>
        <v>0</v>
      </c>
      <c r="U129" s="8">
        <f>IFERROR(__xludf.DUMMYFUNCTION("""COMPUTED_VALUE"""),0.0)</f>
        <v>0</v>
      </c>
      <c r="V129" s="8">
        <f>IFERROR(__xludf.DUMMYFUNCTION("""COMPUTED_VALUE"""),0.0)</f>
        <v>0</v>
      </c>
      <c r="W129" s="8">
        <f>IFERROR(__xludf.DUMMYFUNCTION("""COMPUTED_VALUE"""),0.0)</f>
        <v>0</v>
      </c>
      <c r="X129" s="8">
        <f>IFERROR(__xludf.DUMMYFUNCTION("""COMPUTED_VALUE"""),0.0)</f>
        <v>0</v>
      </c>
      <c r="Y129" s="8">
        <f>IFERROR(__xludf.DUMMYFUNCTION("""COMPUTED_VALUE"""),0.0)</f>
        <v>0</v>
      </c>
      <c r="Z129" s="8">
        <f>IFERROR(__xludf.DUMMYFUNCTION("""COMPUTED_VALUE"""),0.0)</f>
        <v>0</v>
      </c>
      <c r="AA129" s="8">
        <f>IFERROR(__xludf.DUMMYFUNCTION("""COMPUTED_VALUE"""),0.0)</f>
        <v>0</v>
      </c>
      <c r="AB129" s="8">
        <f>IFERROR(__xludf.DUMMYFUNCTION("""COMPUTED_VALUE"""),0.0)</f>
        <v>0</v>
      </c>
      <c r="AC129" s="8">
        <f>IFERROR(__xludf.DUMMYFUNCTION("""COMPUTED_VALUE"""),0.0)</f>
        <v>0</v>
      </c>
    </row>
    <row r="130" ht="15.75" customHeight="1">
      <c r="A130" s="6" t="str">
        <f>IFERROR(__xludf.DUMMYFUNCTION("""COMPUTED_VALUE"""),"6f82cdfa2792a89aec9172918610c124246ad8bd")</f>
        <v>6f82cdfa2792a89aec9172918610c124246ad8bd</v>
      </c>
      <c r="B130" s="6" t="str">
        <f>IFERROR(__xludf.DUMMYFUNCTION("""COMPUTED_VALUE"""),"Hector's Rise to Power")</f>
        <v>Hector's Rise to Power</v>
      </c>
      <c r="C130" s="6" t="str">
        <f>IFERROR(__xludf.DUMMYFUNCTION("""COMPUTED_VALUE"""),"Drama")</f>
        <v>Drama</v>
      </c>
      <c r="D130" s="11">
        <f>IFERROR(__xludf.DUMMYFUNCTION("""COMPUTED_VALUE"""),160.0)</f>
        <v>160</v>
      </c>
      <c r="E130" s="8">
        <f>IFERROR(__xludf.DUMMYFUNCTION("""COMPUTED_VALUE"""),0.95625)</f>
        <v>0.95625</v>
      </c>
      <c r="F130" s="8">
        <f>IFERROR(__xludf.DUMMYFUNCTION("""COMPUTED_VALUE"""),0.34375)</f>
        <v>0.34375</v>
      </c>
      <c r="G130" s="8">
        <f>IFERROR(__xludf.DUMMYFUNCTION("""COMPUTED_VALUE"""),0.23125)</f>
        <v>0.23125</v>
      </c>
      <c r="H130" s="8">
        <f>IFERROR(__xludf.DUMMYFUNCTION("""COMPUTED_VALUE"""),0.19375)</f>
        <v>0.19375</v>
      </c>
      <c r="I130" s="8">
        <f>IFERROR(__xludf.DUMMYFUNCTION("""COMPUTED_VALUE"""),0.1875)</f>
        <v>0.1875</v>
      </c>
      <c r="J130" s="8">
        <f>IFERROR(__xludf.DUMMYFUNCTION("""COMPUTED_VALUE"""),0.16875)</f>
        <v>0.16875</v>
      </c>
      <c r="K130" s="8">
        <f>IFERROR(__xludf.DUMMYFUNCTION("""COMPUTED_VALUE"""),0.15625)</f>
        <v>0.15625</v>
      </c>
      <c r="L130" s="8">
        <f>IFERROR(__xludf.DUMMYFUNCTION("""COMPUTED_VALUE"""),0.125)</f>
        <v>0.125</v>
      </c>
      <c r="M130" s="8">
        <f>IFERROR(__xludf.DUMMYFUNCTION("""COMPUTED_VALUE"""),0.10625)</f>
        <v>0.10625</v>
      </c>
      <c r="N130" s="8">
        <f>IFERROR(__xludf.DUMMYFUNCTION("""COMPUTED_VALUE"""),0.113207547169811)</f>
        <v>0.1132075472</v>
      </c>
      <c r="O130" s="8">
        <f>IFERROR(__xludf.DUMMYFUNCTION("""COMPUTED_VALUE"""),0.104575163398692)</f>
        <v>0.1045751634</v>
      </c>
      <c r="P130" s="8">
        <f>IFERROR(__xludf.DUMMYFUNCTION("""COMPUTED_VALUE"""),0.0735294117647058)</f>
        <v>0.07352941176</v>
      </c>
      <c r="Q130" s="8">
        <f>IFERROR(__xludf.DUMMYFUNCTION("""COMPUTED_VALUE"""),0.125)</f>
        <v>0.125</v>
      </c>
      <c r="R130" s="8">
        <f>IFERROR(__xludf.DUMMYFUNCTION("""COMPUTED_VALUE"""),0.0)</f>
        <v>0</v>
      </c>
      <c r="S130" s="8">
        <f>IFERROR(__xludf.DUMMYFUNCTION("""COMPUTED_VALUE"""),0.0)</f>
        <v>0</v>
      </c>
      <c r="T130" s="8">
        <f>IFERROR(__xludf.DUMMYFUNCTION("""COMPUTED_VALUE"""),0.0)</f>
        <v>0</v>
      </c>
      <c r="U130" s="8">
        <f>IFERROR(__xludf.DUMMYFUNCTION("""COMPUTED_VALUE"""),0.0)</f>
        <v>0</v>
      </c>
      <c r="V130" s="8">
        <f>IFERROR(__xludf.DUMMYFUNCTION("""COMPUTED_VALUE"""),0.0)</f>
        <v>0</v>
      </c>
      <c r="W130" s="8">
        <f>IFERROR(__xludf.DUMMYFUNCTION("""COMPUTED_VALUE"""),0.0)</f>
        <v>0</v>
      </c>
      <c r="X130" s="8">
        <f>IFERROR(__xludf.DUMMYFUNCTION("""COMPUTED_VALUE"""),0.0)</f>
        <v>0</v>
      </c>
      <c r="Y130" s="8">
        <f>IFERROR(__xludf.DUMMYFUNCTION("""COMPUTED_VALUE"""),0.0)</f>
        <v>0</v>
      </c>
      <c r="Z130" s="8">
        <f>IFERROR(__xludf.DUMMYFUNCTION("""COMPUTED_VALUE"""),0.0)</f>
        <v>0</v>
      </c>
      <c r="AA130" s="8">
        <f>IFERROR(__xludf.DUMMYFUNCTION("""COMPUTED_VALUE"""),0.0)</f>
        <v>0</v>
      </c>
      <c r="AB130" s="8">
        <f>IFERROR(__xludf.DUMMYFUNCTION("""COMPUTED_VALUE"""),0.0)</f>
        <v>0</v>
      </c>
      <c r="AC130" s="8">
        <f>IFERROR(__xludf.DUMMYFUNCTION("""COMPUTED_VALUE"""),0.0)</f>
        <v>0</v>
      </c>
    </row>
    <row r="131" ht="15.75" customHeight="1">
      <c r="A131" s="6" t="str">
        <f>IFERROR(__xludf.DUMMYFUNCTION("""COMPUTED_VALUE"""),"6f907f1e2ab28d03dcc8246bf380f11b97d00c06")</f>
        <v>6f907f1e2ab28d03dcc8246bf380f11b97d00c06</v>
      </c>
      <c r="B131" s="6" t="str">
        <f>IFERROR(__xludf.DUMMYFUNCTION("""COMPUTED_VALUE"""),"CEO Inherited Bride ")</f>
        <v>CEO Inherited Bride </v>
      </c>
      <c r="C131" s="6" t="str">
        <f>IFERROR(__xludf.DUMMYFUNCTION("""COMPUTED_VALUE"""),"Romance")</f>
        <v>Romance</v>
      </c>
      <c r="D131" s="11">
        <f>IFERROR(__xludf.DUMMYFUNCTION("""COMPUTED_VALUE"""),602.0)</f>
        <v>602</v>
      </c>
      <c r="E131" s="8">
        <f>IFERROR(__xludf.DUMMYFUNCTION("""COMPUTED_VALUE"""),0.978405315614618)</f>
        <v>0.9784053156</v>
      </c>
      <c r="F131" s="8">
        <f>IFERROR(__xludf.DUMMYFUNCTION("""COMPUTED_VALUE"""),0.569767441860465)</f>
        <v>0.5697674419</v>
      </c>
      <c r="G131" s="8">
        <f>IFERROR(__xludf.DUMMYFUNCTION("""COMPUTED_VALUE"""),0.514950166112956)</f>
        <v>0.5149501661</v>
      </c>
      <c r="H131" s="8">
        <f>IFERROR(__xludf.DUMMYFUNCTION("""COMPUTED_VALUE"""),0.490033222591362)</f>
        <v>0.4900332226</v>
      </c>
      <c r="I131" s="8">
        <f>IFERROR(__xludf.DUMMYFUNCTION("""COMPUTED_VALUE"""),0.450915141430948)</f>
        <v>0.4509151414</v>
      </c>
      <c r="J131" s="8">
        <f>IFERROR(__xludf.DUMMYFUNCTION("""COMPUTED_VALUE"""),0.417637271214642)</f>
        <v>0.4176372712</v>
      </c>
      <c r="K131" s="8">
        <f>IFERROR(__xludf.DUMMYFUNCTION("""COMPUTED_VALUE"""),0.392678868552412)</f>
        <v>0.3926788686</v>
      </c>
      <c r="L131" s="8">
        <f>IFERROR(__xludf.DUMMYFUNCTION("""COMPUTED_VALUE"""),0.364392678868552)</f>
        <v>0.3643926789</v>
      </c>
      <c r="M131" s="8">
        <f>IFERROR(__xludf.DUMMYFUNCTION("""COMPUTED_VALUE"""),0.347753743760399)</f>
        <v>0.3477537438</v>
      </c>
      <c r="N131" s="8">
        <f>IFERROR(__xludf.DUMMYFUNCTION("""COMPUTED_VALUE"""),0.321131447587354)</f>
        <v>0.3211314476</v>
      </c>
      <c r="O131" s="8">
        <f>IFERROR(__xludf.DUMMYFUNCTION("""COMPUTED_VALUE"""),0.258119658119658)</f>
        <v>0.2581196581</v>
      </c>
      <c r="P131" s="8">
        <f>IFERROR(__xludf.DUMMYFUNCTION("""COMPUTED_VALUE"""),0.205172413793103)</f>
        <v>0.2051724138</v>
      </c>
      <c r="Q131" s="8">
        <f>IFERROR(__xludf.DUMMYFUNCTION("""COMPUTED_VALUE"""),0.11734693877551)</f>
        <v>0.1173469388</v>
      </c>
      <c r="R131" s="8">
        <f>IFERROR(__xludf.DUMMYFUNCTION("""COMPUTED_VALUE"""),0.0569948186528497)</f>
        <v>0.05699481865</v>
      </c>
      <c r="S131" s="8">
        <f>IFERROR(__xludf.DUMMYFUNCTION("""COMPUTED_VALUE"""),0.0331491712707182)</f>
        <v>0.03314917127</v>
      </c>
      <c r="T131" s="8">
        <f>IFERROR(__xludf.DUMMYFUNCTION("""COMPUTED_VALUE"""),0.0350877192982456)</f>
        <v>0.0350877193</v>
      </c>
      <c r="U131" s="8">
        <f>IFERROR(__xludf.DUMMYFUNCTION("""COMPUTED_VALUE"""),0.0)</f>
        <v>0</v>
      </c>
      <c r="V131" s="8">
        <f>IFERROR(__xludf.DUMMYFUNCTION("""COMPUTED_VALUE"""),0.0)</f>
        <v>0</v>
      </c>
      <c r="W131" s="8">
        <f>IFERROR(__xludf.DUMMYFUNCTION("""COMPUTED_VALUE"""),0.0)</f>
        <v>0</v>
      </c>
      <c r="X131" s="8">
        <f>IFERROR(__xludf.DUMMYFUNCTION("""COMPUTED_VALUE"""),0.0)</f>
        <v>0</v>
      </c>
      <c r="Y131" s="8">
        <f>IFERROR(__xludf.DUMMYFUNCTION("""COMPUTED_VALUE"""),0.0)</f>
        <v>0</v>
      </c>
      <c r="Z131" s="8">
        <f>IFERROR(__xludf.DUMMYFUNCTION("""COMPUTED_VALUE"""),0.0)</f>
        <v>0</v>
      </c>
      <c r="AA131" s="8">
        <f>IFERROR(__xludf.DUMMYFUNCTION("""COMPUTED_VALUE"""),0.0)</f>
        <v>0</v>
      </c>
      <c r="AB131" s="8">
        <f>IFERROR(__xludf.DUMMYFUNCTION("""COMPUTED_VALUE"""),0.0)</f>
        <v>0</v>
      </c>
      <c r="AC131" s="8">
        <f>IFERROR(__xludf.DUMMYFUNCTION("""COMPUTED_VALUE"""),0.0)</f>
        <v>0</v>
      </c>
    </row>
    <row r="132" ht="15.75" customHeight="1">
      <c r="A132" s="6" t="str">
        <f>IFERROR(__xludf.DUMMYFUNCTION("""COMPUTED_VALUE"""),"71bfacd374965f4c980894477e36ea695b41c609")</f>
        <v>71bfacd374965f4c980894477e36ea695b41c609</v>
      </c>
      <c r="B132" s="6" t="str">
        <f>IFERROR(__xludf.DUMMYFUNCTION("""COMPUTED_VALUE"""),"Bride Who Didn't Want Him")</f>
        <v>Bride Who Didn't Want Him</v>
      </c>
      <c r="C132" s="6" t="str">
        <f>IFERROR(__xludf.DUMMYFUNCTION("""COMPUTED_VALUE"""),"Romance")</f>
        <v>Romance</v>
      </c>
      <c r="D132" s="11">
        <f>IFERROR(__xludf.DUMMYFUNCTION("""COMPUTED_VALUE"""),1292.0)</f>
        <v>1292</v>
      </c>
      <c r="E132" s="8">
        <f>IFERROR(__xludf.DUMMYFUNCTION("""COMPUTED_VALUE"""),0.974398758727695)</f>
        <v>0.9743987587</v>
      </c>
      <c r="F132" s="8">
        <f>IFERROR(__xludf.DUMMYFUNCTION("""COMPUTED_VALUE"""),0.550038789759503)</f>
        <v>0.5500387898</v>
      </c>
      <c r="G132" s="8">
        <f>IFERROR(__xludf.DUMMYFUNCTION("""COMPUTED_VALUE"""),0.470131885182311)</f>
        <v>0.4701318852</v>
      </c>
      <c r="H132" s="8">
        <f>IFERROR(__xludf.DUMMYFUNCTION("""COMPUTED_VALUE"""),0.411947245927075)</f>
        <v>0.4119472459</v>
      </c>
      <c r="I132" s="8">
        <f>IFERROR(__xludf.DUMMYFUNCTION("""COMPUTED_VALUE"""),0.393328161365399)</f>
        <v>0.3933281614</v>
      </c>
      <c r="J132" s="8">
        <f>IFERROR(__xludf.DUMMYFUNCTION("""COMPUTED_VALUE"""),0.364696734059097)</f>
        <v>0.3646967341</v>
      </c>
      <c r="K132" s="8">
        <f>IFERROR(__xludf.DUMMYFUNCTION("""COMPUTED_VALUE"""),0.343190661478599)</f>
        <v>0.3431906615</v>
      </c>
      <c r="L132" s="8">
        <f>IFERROR(__xludf.DUMMYFUNCTION("""COMPUTED_VALUE"""),0.327357755261106)</f>
        <v>0.3273577553</v>
      </c>
      <c r="M132" s="8">
        <f>IFERROR(__xludf.DUMMYFUNCTION("""COMPUTED_VALUE"""),0.320592823712948)</f>
        <v>0.3205928237</v>
      </c>
      <c r="N132" s="8">
        <f>IFERROR(__xludf.DUMMYFUNCTION("""COMPUTED_VALUE"""),0.314597970335675)</f>
        <v>0.3145979703</v>
      </c>
      <c r="O132" s="8">
        <f>IFERROR(__xludf.DUMMYFUNCTION("""COMPUTED_VALUE"""),0.292527821939586)</f>
        <v>0.2925278219</v>
      </c>
      <c r="P132" s="8">
        <f>IFERROR(__xludf.DUMMYFUNCTION("""COMPUTED_VALUE"""),0.225340817963111)</f>
        <v>0.225340818</v>
      </c>
      <c r="Q132" s="8">
        <f>IFERROR(__xludf.DUMMYFUNCTION("""COMPUTED_VALUE"""),0.11937984496124)</f>
        <v>0.119379845</v>
      </c>
      <c r="R132" s="8">
        <f>IFERROR(__xludf.DUMMYFUNCTION("""COMPUTED_VALUE"""),0.0)</f>
        <v>0</v>
      </c>
      <c r="S132" s="8">
        <f>IFERROR(__xludf.DUMMYFUNCTION("""COMPUTED_VALUE"""),0.0)</f>
        <v>0</v>
      </c>
      <c r="T132" s="8">
        <f>IFERROR(__xludf.DUMMYFUNCTION("""COMPUTED_VALUE"""),0.0)</f>
        <v>0</v>
      </c>
      <c r="U132" s="8">
        <f>IFERROR(__xludf.DUMMYFUNCTION("""COMPUTED_VALUE"""),0.0)</f>
        <v>0</v>
      </c>
      <c r="V132" s="8">
        <f>IFERROR(__xludf.DUMMYFUNCTION("""COMPUTED_VALUE"""),0.0)</f>
        <v>0</v>
      </c>
      <c r="W132" s="8">
        <f>IFERROR(__xludf.DUMMYFUNCTION("""COMPUTED_VALUE"""),0.0)</f>
        <v>0</v>
      </c>
      <c r="X132" s="8">
        <f>IFERROR(__xludf.DUMMYFUNCTION("""COMPUTED_VALUE"""),0.0)</f>
        <v>0</v>
      </c>
      <c r="Y132" s="8">
        <f>IFERROR(__xludf.DUMMYFUNCTION("""COMPUTED_VALUE"""),0.0)</f>
        <v>0</v>
      </c>
      <c r="Z132" s="8">
        <f>IFERROR(__xludf.DUMMYFUNCTION("""COMPUTED_VALUE"""),0.0)</f>
        <v>0</v>
      </c>
      <c r="AA132" s="8">
        <f>IFERROR(__xludf.DUMMYFUNCTION("""COMPUTED_VALUE"""),0.0)</f>
        <v>0</v>
      </c>
      <c r="AB132" s="8">
        <f>IFERROR(__xludf.DUMMYFUNCTION("""COMPUTED_VALUE"""),0.0)</f>
        <v>0</v>
      </c>
      <c r="AC132" s="8">
        <f>IFERROR(__xludf.DUMMYFUNCTION("""COMPUTED_VALUE"""),0.0)</f>
        <v>0</v>
      </c>
    </row>
    <row r="133" ht="15.75" customHeight="1">
      <c r="A133" s="6" t="str">
        <f>IFERROR(__xludf.DUMMYFUNCTION("""COMPUTED_VALUE"""),"730a3d0d6b094f151aed0a3dff6794a1d2fedee3")</f>
        <v>730a3d0d6b094f151aed0a3dff6794a1d2fedee3</v>
      </c>
      <c r="B133" s="6" t="str">
        <f>IFERROR(__xludf.DUMMYFUNCTION("""COMPUTED_VALUE"""),"Her Beauty Is Reborn")</f>
        <v>Her Beauty Is Reborn</v>
      </c>
      <c r="C133" s="6" t="str">
        <f>IFERROR(__xludf.DUMMYFUNCTION("""COMPUTED_VALUE"""),"Romance")</f>
        <v>Romance</v>
      </c>
      <c r="D133" s="11">
        <f>IFERROR(__xludf.DUMMYFUNCTION("""COMPUTED_VALUE"""),9575.0)</f>
        <v>9575</v>
      </c>
      <c r="E133" s="8">
        <f>IFERROR(__xludf.DUMMYFUNCTION("""COMPUTED_VALUE"""),0.91351577188218)</f>
        <v>0.9135157719</v>
      </c>
      <c r="F133" s="8">
        <f>IFERROR(__xludf.DUMMYFUNCTION("""COMPUTED_VALUE"""),0.530868066436853)</f>
        <v>0.5308680664</v>
      </c>
      <c r="G133" s="8">
        <f>IFERROR(__xludf.DUMMYFUNCTION("""COMPUTED_VALUE"""),0.478324454194087)</f>
        <v>0.4783244542</v>
      </c>
      <c r="H133" s="8">
        <f>IFERROR(__xludf.DUMMYFUNCTION("""COMPUTED_VALUE"""),0.442598976287475)</f>
        <v>0.4425989763</v>
      </c>
      <c r="I133" s="8">
        <f>IFERROR(__xludf.DUMMYFUNCTION("""COMPUTED_VALUE"""),0.423004596740493)</f>
        <v>0.4230045967</v>
      </c>
      <c r="J133" s="8">
        <f>IFERROR(__xludf.DUMMYFUNCTION("""COMPUTED_VALUE"""),0.39943579563264)</f>
        <v>0.3994357956</v>
      </c>
      <c r="K133" s="8">
        <f>IFERROR(__xludf.DUMMYFUNCTION("""COMPUTED_VALUE"""),0.384052670080468)</f>
        <v>0.3840526701</v>
      </c>
      <c r="L133" s="8">
        <f>IFERROR(__xludf.DUMMYFUNCTION("""COMPUTED_VALUE"""),0.372448445514498)</f>
        <v>0.3724484455</v>
      </c>
      <c r="M133" s="8">
        <f>IFERROR(__xludf.DUMMYFUNCTION("""COMPUTED_VALUE"""),0.363769633507853)</f>
        <v>0.3637696335</v>
      </c>
      <c r="N133" s="8">
        <f>IFERROR(__xludf.DUMMYFUNCTION("""COMPUTED_VALUE"""),0.356581841030474)</f>
        <v>0.356581841</v>
      </c>
      <c r="O133" s="8">
        <f>IFERROR(__xludf.DUMMYFUNCTION("""COMPUTED_VALUE"""),0.327908441831163)</f>
        <v>0.3279084418</v>
      </c>
      <c r="P133" s="8">
        <f>IFERROR(__xludf.DUMMYFUNCTION("""COMPUTED_VALUE"""),0.284824163058401)</f>
        <v>0.2848241631</v>
      </c>
      <c r="Q133" s="8">
        <f>IFERROR(__xludf.DUMMYFUNCTION("""COMPUTED_VALUE"""),0.235758480904629)</f>
        <v>0.2357584809</v>
      </c>
      <c r="R133" s="8">
        <f>IFERROR(__xludf.DUMMYFUNCTION("""COMPUTED_VALUE"""),0.189897610921501)</f>
        <v>0.1898976109</v>
      </c>
      <c r="S133" s="8">
        <f>IFERROR(__xludf.DUMMYFUNCTION("""COMPUTED_VALUE"""),0.170823885109599)</f>
        <v>0.1708238851</v>
      </c>
      <c r="T133" s="8">
        <f>IFERROR(__xludf.DUMMYFUNCTION("""COMPUTED_VALUE"""),0.148257326166117)</f>
        <v>0.1482573262</v>
      </c>
      <c r="U133" s="8">
        <f>IFERROR(__xludf.DUMMYFUNCTION("""COMPUTED_VALUE"""),0.125311410064773)</f>
        <v>0.1253114101</v>
      </c>
      <c r="V133" s="8">
        <f>IFERROR(__xludf.DUMMYFUNCTION("""COMPUTED_VALUE"""),0.117836257309941)</f>
        <v>0.1178362573</v>
      </c>
      <c r="W133" s="8">
        <f>IFERROR(__xludf.DUMMYFUNCTION("""COMPUTED_VALUE"""),0.107224583197123)</f>
        <v>0.1072245832</v>
      </c>
      <c r="X133" s="8">
        <f>IFERROR(__xludf.DUMMYFUNCTION("""COMPUTED_VALUE"""),0.0930232558139534)</f>
        <v>0.09302325581</v>
      </c>
      <c r="Y133" s="8">
        <f>IFERROR(__xludf.DUMMYFUNCTION("""COMPUTED_VALUE"""),0.0242857142857142)</f>
        <v>0.02428571429</v>
      </c>
      <c r="Z133" s="8">
        <f>IFERROR(__xludf.DUMMYFUNCTION("""COMPUTED_VALUE"""),0.0)</f>
        <v>0</v>
      </c>
      <c r="AA133" s="8">
        <f>IFERROR(__xludf.DUMMYFUNCTION("""COMPUTED_VALUE"""),0.0)</f>
        <v>0</v>
      </c>
      <c r="AB133" s="8">
        <f>IFERROR(__xludf.DUMMYFUNCTION("""COMPUTED_VALUE"""),0.0)</f>
        <v>0</v>
      </c>
      <c r="AC133" s="8">
        <f>IFERROR(__xludf.DUMMYFUNCTION("""COMPUTED_VALUE"""),0.0)</f>
        <v>0</v>
      </c>
    </row>
    <row r="134" ht="15.75" customHeight="1">
      <c r="A134" s="6" t="str">
        <f>IFERROR(__xludf.DUMMYFUNCTION("""COMPUTED_VALUE"""),"7315dca13e406894d8407cd6d050c5d3b69eec10")</f>
        <v>7315dca13e406894d8407cd6d050c5d3b69eec10</v>
      </c>
      <c r="B134" s="6" t="str">
        <f>IFERROR(__xludf.DUMMYFUNCTION("""COMPUTED_VALUE"""),"The Uncle Who Chose Me")</f>
        <v>The Uncle Who Chose Me</v>
      </c>
      <c r="C134" s="6" t="str">
        <f>IFERROR(__xludf.DUMMYFUNCTION("""COMPUTED_VALUE"""),"Romance")</f>
        <v>Romance</v>
      </c>
      <c r="D134" s="11">
        <f>IFERROR(__xludf.DUMMYFUNCTION("""COMPUTED_VALUE"""),1393.0)</f>
        <v>1393</v>
      </c>
      <c r="E134" s="8">
        <f>IFERROR(__xludf.DUMMYFUNCTION("""COMPUTED_VALUE"""),0.969805895039539)</f>
        <v>0.969805895</v>
      </c>
      <c r="F134" s="8">
        <f>IFERROR(__xludf.DUMMYFUNCTION("""COMPUTED_VALUE"""),0.536690647482014)</f>
        <v>0.5366906475</v>
      </c>
      <c r="G134" s="8">
        <f>IFERROR(__xludf.DUMMYFUNCTION("""COMPUTED_VALUE"""),0.447482014388489)</f>
        <v>0.4474820144</v>
      </c>
      <c r="H134" s="8">
        <f>IFERROR(__xludf.DUMMYFUNCTION("""COMPUTED_VALUE"""),0.407354001441961)</f>
        <v>0.4073540014</v>
      </c>
      <c r="I134" s="8">
        <f>IFERROR(__xludf.DUMMYFUNCTION("""COMPUTED_VALUE"""),0.372294372294372)</f>
        <v>0.3722943723</v>
      </c>
      <c r="J134" s="8">
        <f>IFERROR(__xludf.DUMMYFUNCTION("""COMPUTED_VALUE"""),0.344155844155844)</f>
        <v>0.3441558442</v>
      </c>
      <c r="K134" s="8">
        <f>IFERROR(__xludf.DUMMYFUNCTION("""COMPUTED_VALUE"""),0.317196531791907)</f>
        <v>0.3171965318</v>
      </c>
      <c r="L134" s="8">
        <f>IFERROR(__xludf.DUMMYFUNCTION("""COMPUTED_VALUE"""),0.306686046511627)</f>
        <v>0.3066860465</v>
      </c>
      <c r="M134" s="8">
        <f>IFERROR(__xludf.DUMMYFUNCTION("""COMPUTED_VALUE"""),0.291848617176128)</f>
        <v>0.2918486172</v>
      </c>
      <c r="N134" s="8">
        <f>IFERROR(__xludf.DUMMYFUNCTION("""COMPUTED_VALUE"""),0.276037873270211)</f>
        <v>0.2760378733</v>
      </c>
      <c r="O134" s="8">
        <f>IFERROR(__xludf.DUMMYFUNCTION("""COMPUTED_VALUE"""),0.239002932551319)</f>
        <v>0.2390029326</v>
      </c>
      <c r="P134" s="8">
        <f>IFERROR(__xludf.DUMMYFUNCTION("""COMPUTED_VALUE"""),0.171817058096415)</f>
        <v>0.1718170581</v>
      </c>
      <c r="Q134" s="8">
        <f>IFERROR(__xludf.DUMMYFUNCTION("""COMPUTED_VALUE"""),0.0884955752212389)</f>
        <v>0.08849557522</v>
      </c>
      <c r="R134" s="8">
        <f>IFERROR(__xludf.DUMMYFUNCTION("""COMPUTED_VALUE"""),0.0)</f>
        <v>0</v>
      </c>
      <c r="S134" s="8">
        <f>IFERROR(__xludf.DUMMYFUNCTION("""COMPUTED_VALUE"""),0.0)</f>
        <v>0</v>
      </c>
      <c r="T134" s="8">
        <f>IFERROR(__xludf.DUMMYFUNCTION("""COMPUTED_VALUE"""),0.0)</f>
        <v>0</v>
      </c>
      <c r="U134" s="8">
        <f>IFERROR(__xludf.DUMMYFUNCTION("""COMPUTED_VALUE"""),0.0)</f>
        <v>0</v>
      </c>
      <c r="V134" s="8">
        <f>IFERROR(__xludf.DUMMYFUNCTION("""COMPUTED_VALUE"""),0.0)</f>
        <v>0</v>
      </c>
      <c r="W134" s="8">
        <f>IFERROR(__xludf.DUMMYFUNCTION("""COMPUTED_VALUE"""),0.0)</f>
        <v>0</v>
      </c>
      <c r="X134" s="8">
        <f>IFERROR(__xludf.DUMMYFUNCTION("""COMPUTED_VALUE"""),0.0)</f>
        <v>0</v>
      </c>
      <c r="Y134" s="8">
        <f>IFERROR(__xludf.DUMMYFUNCTION("""COMPUTED_VALUE"""),0.0)</f>
        <v>0</v>
      </c>
      <c r="Z134" s="8">
        <f>IFERROR(__xludf.DUMMYFUNCTION("""COMPUTED_VALUE"""),0.0)</f>
        <v>0</v>
      </c>
      <c r="AA134" s="8">
        <f>IFERROR(__xludf.DUMMYFUNCTION("""COMPUTED_VALUE"""),0.0)</f>
        <v>0</v>
      </c>
      <c r="AB134" s="8">
        <f>IFERROR(__xludf.DUMMYFUNCTION("""COMPUTED_VALUE"""),0.0)</f>
        <v>0</v>
      </c>
      <c r="AC134" s="8">
        <f>IFERROR(__xludf.DUMMYFUNCTION("""COMPUTED_VALUE"""),0.0)</f>
        <v>0</v>
      </c>
    </row>
    <row r="135" ht="15.75" customHeight="1">
      <c r="A135" s="6" t="str">
        <f>IFERROR(__xludf.DUMMYFUNCTION("""COMPUTED_VALUE"""),"749524eadbd429949b1a44242bd8fb3559f3626c")</f>
        <v>749524eadbd429949b1a44242bd8fb3559f3626c</v>
      </c>
      <c r="B135" s="6" t="str">
        <f>IFERROR(__xludf.DUMMYFUNCTION("""COMPUTED_VALUE"""),"Monarch of His Shadows")</f>
        <v>Monarch of His Shadows</v>
      </c>
      <c r="C135" s="6" t="str">
        <f>IFERROR(__xludf.DUMMYFUNCTION("""COMPUTED_VALUE"""),"Fantasy")</f>
        <v>Fantasy</v>
      </c>
      <c r="D135" s="11">
        <f>IFERROR(__xludf.DUMMYFUNCTION("""COMPUTED_VALUE"""),120.0)</f>
        <v>120</v>
      </c>
      <c r="E135" s="8">
        <f>IFERROR(__xludf.DUMMYFUNCTION("""COMPUTED_VALUE"""),0.991666666666666)</f>
        <v>0.9916666667</v>
      </c>
      <c r="F135" s="8">
        <f>IFERROR(__xludf.DUMMYFUNCTION("""COMPUTED_VALUE"""),0.533333333333333)</f>
        <v>0.5333333333</v>
      </c>
      <c r="G135" s="8">
        <f>IFERROR(__xludf.DUMMYFUNCTION("""COMPUTED_VALUE"""),0.491666666666666)</f>
        <v>0.4916666667</v>
      </c>
      <c r="H135" s="8">
        <f>IFERROR(__xludf.DUMMYFUNCTION("""COMPUTED_VALUE"""),0.457627118644067)</f>
        <v>0.4576271186</v>
      </c>
      <c r="I135" s="8">
        <f>IFERROR(__xludf.DUMMYFUNCTION("""COMPUTED_VALUE"""),0.415254237288135)</f>
        <v>0.4152542373</v>
      </c>
      <c r="J135" s="8">
        <f>IFERROR(__xludf.DUMMYFUNCTION("""COMPUTED_VALUE"""),0.381355932203389)</f>
        <v>0.3813559322</v>
      </c>
      <c r="K135" s="8">
        <f>IFERROR(__xludf.DUMMYFUNCTION("""COMPUTED_VALUE"""),0.367521367521367)</f>
        <v>0.3675213675</v>
      </c>
      <c r="L135" s="8">
        <f>IFERROR(__xludf.DUMMYFUNCTION("""COMPUTED_VALUE"""),0.358974358974359)</f>
        <v>0.358974359</v>
      </c>
      <c r="M135" s="8">
        <f>IFERROR(__xludf.DUMMYFUNCTION("""COMPUTED_VALUE"""),0.333333333333333)</f>
        <v>0.3333333333</v>
      </c>
      <c r="N135" s="8">
        <f>IFERROR(__xludf.DUMMYFUNCTION("""COMPUTED_VALUE"""),0.316239316239316)</f>
        <v>0.3162393162</v>
      </c>
      <c r="O135" s="8">
        <f>IFERROR(__xludf.DUMMYFUNCTION("""COMPUTED_VALUE"""),0.224137931034482)</f>
        <v>0.224137931</v>
      </c>
      <c r="P135" s="8">
        <f>IFERROR(__xludf.DUMMYFUNCTION("""COMPUTED_VALUE"""),0.087719298245614)</f>
        <v>0.08771929825</v>
      </c>
      <c r="Q135" s="8">
        <f>IFERROR(__xludf.DUMMYFUNCTION("""COMPUTED_VALUE"""),0.0)</f>
        <v>0</v>
      </c>
      <c r="R135" s="8">
        <f>IFERROR(__xludf.DUMMYFUNCTION("""COMPUTED_VALUE"""),0.0)</f>
        <v>0</v>
      </c>
      <c r="S135" s="8">
        <f>IFERROR(__xludf.DUMMYFUNCTION("""COMPUTED_VALUE"""),0.0)</f>
        <v>0</v>
      </c>
      <c r="T135" s="8">
        <f>IFERROR(__xludf.DUMMYFUNCTION("""COMPUTED_VALUE"""),0.0)</f>
        <v>0</v>
      </c>
      <c r="U135" s="8">
        <f>IFERROR(__xludf.DUMMYFUNCTION("""COMPUTED_VALUE"""),0.0)</f>
        <v>0</v>
      </c>
      <c r="V135" s="8">
        <f>IFERROR(__xludf.DUMMYFUNCTION("""COMPUTED_VALUE"""),0.0)</f>
        <v>0</v>
      </c>
      <c r="W135" s="8">
        <f>IFERROR(__xludf.DUMMYFUNCTION("""COMPUTED_VALUE"""),0.0)</f>
        <v>0</v>
      </c>
      <c r="X135" s="8">
        <f>IFERROR(__xludf.DUMMYFUNCTION("""COMPUTED_VALUE"""),0.0)</f>
        <v>0</v>
      </c>
      <c r="Y135" s="8">
        <f>IFERROR(__xludf.DUMMYFUNCTION("""COMPUTED_VALUE"""),0.0)</f>
        <v>0</v>
      </c>
      <c r="Z135" s="8">
        <f>IFERROR(__xludf.DUMMYFUNCTION("""COMPUTED_VALUE"""),0.0)</f>
        <v>0</v>
      </c>
      <c r="AA135" s="8">
        <f>IFERROR(__xludf.DUMMYFUNCTION("""COMPUTED_VALUE"""),0.0)</f>
        <v>0</v>
      </c>
      <c r="AB135" s="8">
        <f>IFERROR(__xludf.DUMMYFUNCTION("""COMPUTED_VALUE"""),0.0)</f>
        <v>0</v>
      </c>
      <c r="AC135" s="8">
        <f>IFERROR(__xludf.DUMMYFUNCTION("""COMPUTED_VALUE"""),0.0)</f>
        <v>0</v>
      </c>
    </row>
    <row r="136" ht="15.75" customHeight="1">
      <c r="A136" s="6" t="str">
        <f>IFERROR(__xludf.DUMMYFUNCTION("""COMPUTED_VALUE"""),"75537e31c1c79bdbb6ca1cd286c8e6bcb2697a51")</f>
        <v>75537e31c1c79bdbb6ca1cd286c8e6bcb2697a51</v>
      </c>
      <c r="B136" s="6" t="str">
        <f>IFERROR(__xludf.DUMMYFUNCTION("""COMPUTED_VALUE"""),"The Story of the CEO and the Heiress")</f>
        <v>The Story of the CEO and the Heiress</v>
      </c>
      <c r="C136" s="6" t="str">
        <f>IFERROR(__xludf.DUMMYFUNCTION("""COMPUTED_VALUE"""),"Romance")</f>
        <v>Romance</v>
      </c>
      <c r="D136" s="11">
        <f>IFERROR(__xludf.DUMMYFUNCTION("""COMPUTED_VALUE"""),16265.0)</f>
        <v>16265</v>
      </c>
      <c r="E136" s="8">
        <f>IFERROR(__xludf.DUMMYFUNCTION("""COMPUTED_VALUE"""),0.906481025135534)</f>
        <v>0.9064810251</v>
      </c>
      <c r="F136" s="8">
        <f>IFERROR(__xludf.DUMMYFUNCTION("""COMPUTED_VALUE"""),0.479851668726823)</f>
        <v>0.4798516687</v>
      </c>
      <c r="G136" s="8">
        <f>IFERROR(__xludf.DUMMYFUNCTION("""COMPUTED_VALUE"""),0.421959229196356)</f>
        <v>0.4219592292</v>
      </c>
      <c r="H136" s="8">
        <f>IFERROR(__xludf.DUMMYFUNCTION("""COMPUTED_VALUE"""),0.394215850555452)</f>
        <v>0.3942158506</v>
      </c>
      <c r="I136" s="8">
        <f>IFERROR(__xludf.DUMMYFUNCTION("""COMPUTED_VALUE"""),0.369937161699744)</f>
        <v>0.3699371617</v>
      </c>
      <c r="J136" s="8">
        <f>IFERROR(__xludf.DUMMYFUNCTION("""COMPUTED_VALUE"""),0.357191887675507)</f>
        <v>0.3571918877</v>
      </c>
      <c r="K136" s="8">
        <f>IFERROR(__xludf.DUMMYFUNCTION("""COMPUTED_VALUE"""),0.345314746514971)</f>
        <v>0.3453147465</v>
      </c>
      <c r="L136" s="8">
        <f>IFERROR(__xludf.DUMMYFUNCTION("""COMPUTED_VALUE"""),0.340348240010021)</f>
        <v>0.34034824</v>
      </c>
      <c r="M136" s="8">
        <f>IFERROR(__xludf.DUMMYFUNCTION("""COMPUTED_VALUE"""),0.329254518072289)</f>
        <v>0.3292545181</v>
      </c>
      <c r="N136" s="8">
        <f>IFERROR(__xludf.DUMMYFUNCTION("""COMPUTED_VALUE"""),0.32072389091366)</f>
        <v>0.3207238909</v>
      </c>
      <c r="O136" s="8">
        <f>IFERROR(__xludf.DUMMYFUNCTION("""COMPUTED_VALUE"""),0.318535527490751)</f>
        <v>0.3185355275</v>
      </c>
      <c r="P136" s="8">
        <f>IFERROR(__xludf.DUMMYFUNCTION("""COMPUTED_VALUE"""),0.280639546128553)</f>
        <v>0.2806395461</v>
      </c>
      <c r="Q136" s="8">
        <f>IFERROR(__xludf.DUMMYFUNCTION("""COMPUTED_VALUE"""),0.231108478146392)</f>
        <v>0.2311084781</v>
      </c>
      <c r="R136" s="8">
        <f>IFERROR(__xludf.DUMMYFUNCTION("""COMPUTED_VALUE"""),0.191661687578835)</f>
        <v>0.1916616876</v>
      </c>
      <c r="S136" s="8">
        <f>IFERROR(__xludf.DUMMYFUNCTION("""COMPUTED_VALUE"""),0.169889595182335)</f>
        <v>0.1698895952</v>
      </c>
      <c r="T136" s="8">
        <f>IFERROR(__xludf.DUMMYFUNCTION("""COMPUTED_VALUE"""),0.125068030913246)</f>
        <v>0.1250680309</v>
      </c>
      <c r="U136" s="8">
        <f>IFERROR(__xludf.DUMMYFUNCTION("""COMPUTED_VALUE"""),0.104232651885977)</f>
        <v>0.1042326519</v>
      </c>
      <c r="V136" s="8">
        <f>IFERROR(__xludf.DUMMYFUNCTION("""COMPUTED_VALUE"""),0.0835411471321695)</f>
        <v>0.08354114713</v>
      </c>
      <c r="W136" s="8">
        <f>IFERROR(__xludf.DUMMYFUNCTION("""COMPUTED_VALUE"""),0.0610030706243602)</f>
        <v>0.06100307062</v>
      </c>
      <c r="X136" s="8">
        <f>IFERROR(__xludf.DUMMYFUNCTION("""COMPUTED_VALUE"""),0.0)</f>
        <v>0</v>
      </c>
      <c r="Y136" s="8">
        <f>IFERROR(__xludf.DUMMYFUNCTION("""COMPUTED_VALUE"""),0.0)</f>
        <v>0</v>
      </c>
      <c r="Z136" s="8">
        <f>IFERROR(__xludf.DUMMYFUNCTION("""COMPUTED_VALUE"""),0.0)</f>
        <v>0</v>
      </c>
      <c r="AA136" s="8">
        <f>IFERROR(__xludf.DUMMYFUNCTION("""COMPUTED_VALUE"""),0.0)</f>
        <v>0</v>
      </c>
      <c r="AB136" s="8">
        <f>IFERROR(__xludf.DUMMYFUNCTION("""COMPUTED_VALUE"""),0.0)</f>
        <v>0</v>
      </c>
      <c r="AC136" s="8">
        <f>IFERROR(__xludf.DUMMYFUNCTION("""COMPUTED_VALUE"""),0.0)</f>
        <v>0</v>
      </c>
    </row>
    <row r="137" ht="15.75" customHeight="1">
      <c r="A137" s="6" t="str">
        <f>IFERROR(__xludf.DUMMYFUNCTION("""COMPUTED_VALUE"""),"767e135d338072c6a947db01691ead3f3174c6e1")</f>
        <v>767e135d338072c6a947db01691ead3f3174c6e1</v>
      </c>
      <c r="B137" s="6" t="str">
        <f>IFERROR(__xludf.DUMMYFUNCTION("""COMPUTED_VALUE"""),"The Hidden Heir Returns")</f>
        <v>The Hidden Heir Returns</v>
      </c>
      <c r="C137" s="6" t="str">
        <f>IFERROR(__xludf.DUMMYFUNCTION("""COMPUTED_VALUE"""),"Drama")</f>
        <v>Drama</v>
      </c>
      <c r="D137" s="11">
        <f>IFERROR(__xludf.DUMMYFUNCTION("""COMPUTED_VALUE"""),4370.0)</f>
        <v>4370</v>
      </c>
      <c r="E137" s="8">
        <f>IFERROR(__xludf.DUMMYFUNCTION("""COMPUTED_VALUE"""),0.883640552995391)</f>
        <v>0.883640553</v>
      </c>
      <c r="F137" s="8">
        <f>IFERROR(__xludf.DUMMYFUNCTION("""COMPUTED_VALUE"""),0.328898225957049)</f>
        <v>0.328898226</v>
      </c>
      <c r="G137" s="8">
        <f>IFERROR(__xludf.DUMMYFUNCTION("""COMPUTED_VALUE"""),0.284974093264248)</f>
        <v>0.2849740933</v>
      </c>
      <c r="H137" s="8">
        <f>IFERROR(__xludf.DUMMYFUNCTION("""COMPUTED_VALUE"""),0.246029864896895)</f>
        <v>0.2460298649</v>
      </c>
      <c r="I137" s="8">
        <f>IFERROR(__xludf.DUMMYFUNCTION("""COMPUTED_VALUE"""),0.223848368522072)</f>
        <v>0.2238483685</v>
      </c>
      <c r="J137" s="8">
        <f>IFERROR(__xludf.DUMMYFUNCTION("""COMPUTED_VALUE"""),0.195993241612358)</f>
        <v>0.1959932416</v>
      </c>
      <c r="K137" s="8">
        <f>IFERROR(__xludf.DUMMYFUNCTION("""COMPUTED_VALUE"""),0.188959143968871)</f>
        <v>0.188959144</v>
      </c>
      <c r="L137" s="8">
        <f>IFERROR(__xludf.DUMMYFUNCTION("""COMPUTED_VALUE"""),0.17621037109855)</f>
        <v>0.1762103711</v>
      </c>
      <c r="M137" s="8">
        <f>IFERROR(__xludf.DUMMYFUNCTION("""COMPUTED_VALUE"""),0.166336633663366)</f>
        <v>0.1663366337</v>
      </c>
      <c r="N137" s="8">
        <f>IFERROR(__xludf.DUMMYFUNCTION("""COMPUTED_VALUE"""),0.155206776283009)</f>
        <v>0.1552067763</v>
      </c>
      <c r="O137" s="8">
        <f>IFERROR(__xludf.DUMMYFUNCTION("""COMPUTED_VALUE"""),0.132750397456279)</f>
        <v>0.1327503975</v>
      </c>
      <c r="P137" s="8">
        <f>IFERROR(__xludf.DUMMYFUNCTION("""COMPUTED_VALUE"""),0.117497168742921)</f>
        <v>0.1174971687</v>
      </c>
      <c r="Q137" s="8">
        <f>IFERROR(__xludf.DUMMYFUNCTION("""COMPUTED_VALUE"""),0.0952229299363057)</f>
        <v>0.09522292994</v>
      </c>
      <c r="R137" s="8">
        <f>IFERROR(__xludf.DUMMYFUNCTION("""COMPUTED_VALUE"""),0.0642138146476917)</f>
        <v>0.06421381465</v>
      </c>
      <c r="S137" s="8">
        <f>IFERROR(__xludf.DUMMYFUNCTION("""COMPUTED_VALUE"""),0.0512059369202226)</f>
        <v>0.05120593692</v>
      </c>
      <c r="T137" s="8">
        <f>IFERROR(__xludf.DUMMYFUNCTION("""COMPUTED_VALUE"""),0.0413766434648105)</f>
        <v>0.04137664346</v>
      </c>
      <c r="U137" s="8">
        <f>IFERROR(__xludf.DUMMYFUNCTION("""COMPUTED_VALUE"""),0.036827195467422)</f>
        <v>0.03682719547</v>
      </c>
      <c r="V137" s="8">
        <f>IFERROR(__xludf.DUMMYFUNCTION("""COMPUTED_VALUE"""),0.0382978723404255)</f>
        <v>0.03829787234</v>
      </c>
      <c r="W137" s="8">
        <f>IFERROR(__xludf.DUMMYFUNCTION("""COMPUTED_VALUE"""),0.0373665480427046)</f>
        <v>0.03736654804</v>
      </c>
      <c r="X137" s="8">
        <f>IFERROR(__xludf.DUMMYFUNCTION("""COMPUTED_VALUE"""),0.0348144754924415)</f>
        <v>0.03481447549</v>
      </c>
      <c r="Y137" s="8">
        <f>IFERROR(__xludf.DUMMYFUNCTION("""COMPUTED_VALUE"""),0.0273119310014374)</f>
        <v>0.027311931</v>
      </c>
      <c r="Z137" s="8">
        <f>IFERROR(__xludf.DUMMYFUNCTION("""COMPUTED_VALUE"""),0.0280469148393676)</f>
        <v>0.02804691484</v>
      </c>
      <c r="AA137" s="8">
        <f>IFERROR(__xludf.DUMMYFUNCTION("""COMPUTED_VALUE"""),0.0209863588667366)</f>
        <v>0.02098635887</v>
      </c>
      <c r="AB137" s="8">
        <f>IFERROR(__xludf.DUMMYFUNCTION("""COMPUTED_VALUE"""),0.0104931794333683)</f>
        <v>0.01049317943</v>
      </c>
      <c r="AC137" s="8">
        <f>IFERROR(__xludf.DUMMYFUNCTION("""COMPUTED_VALUE"""),0.0)</f>
        <v>0</v>
      </c>
    </row>
    <row r="138" ht="15.75" customHeight="1">
      <c r="A138" s="6" t="str">
        <f>IFERROR(__xludf.DUMMYFUNCTION("""COMPUTED_VALUE"""),"778663539ccabc8ee781b66d2bf6ff6a7f527163")</f>
        <v>778663539ccabc8ee781b66d2bf6ff6a7f527163</v>
      </c>
      <c r="B138" s="6" t="str">
        <f>IFERROR(__xludf.DUMMYFUNCTION("""COMPUTED_VALUE"""),"The Lazuras Engine System")</f>
        <v>The Lazuras Engine System</v>
      </c>
      <c r="C138" s="6" t="str">
        <f>IFERROR(__xludf.DUMMYFUNCTION("""COMPUTED_VALUE"""),"System and Superpower")</f>
        <v>System and Superpower</v>
      </c>
      <c r="D138" s="11">
        <f>IFERROR(__xludf.DUMMYFUNCTION("""COMPUTED_VALUE"""),150.0)</f>
        <v>150</v>
      </c>
      <c r="E138" s="8">
        <f>IFERROR(__xludf.DUMMYFUNCTION("""COMPUTED_VALUE"""),0.993333333333333)</f>
        <v>0.9933333333</v>
      </c>
      <c r="F138" s="8">
        <f>IFERROR(__xludf.DUMMYFUNCTION("""COMPUTED_VALUE"""),0.346666666666666)</f>
        <v>0.3466666667</v>
      </c>
      <c r="G138" s="8">
        <f>IFERROR(__xludf.DUMMYFUNCTION("""COMPUTED_VALUE"""),0.233333333333333)</f>
        <v>0.2333333333</v>
      </c>
      <c r="H138" s="8">
        <f>IFERROR(__xludf.DUMMYFUNCTION("""COMPUTED_VALUE"""),0.206666666666666)</f>
        <v>0.2066666667</v>
      </c>
      <c r="I138" s="8">
        <f>IFERROR(__xludf.DUMMYFUNCTION("""COMPUTED_VALUE"""),0.2)</f>
        <v>0.2</v>
      </c>
      <c r="J138" s="8">
        <f>IFERROR(__xludf.DUMMYFUNCTION("""COMPUTED_VALUE"""),0.173333333333333)</f>
        <v>0.1733333333</v>
      </c>
      <c r="K138" s="8">
        <f>IFERROR(__xludf.DUMMYFUNCTION("""COMPUTED_VALUE"""),0.14)</f>
        <v>0.14</v>
      </c>
      <c r="L138" s="8">
        <f>IFERROR(__xludf.DUMMYFUNCTION("""COMPUTED_VALUE"""),0.12)</f>
        <v>0.12</v>
      </c>
      <c r="M138" s="8">
        <f>IFERROR(__xludf.DUMMYFUNCTION("""COMPUTED_VALUE"""),0.12)</f>
        <v>0.12</v>
      </c>
      <c r="N138" s="8">
        <f>IFERROR(__xludf.DUMMYFUNCTION("""COMPUTED_VALUE"""),0.113333333333333)</f>
        <v>0.1133333333</v>
      </c>
      <c r="O138" s="8">
        <f>IFERROR(__xludf.DUMMYFUNCTION("""COMPUTED_VALUE"""),0.0708661417322834)</f>
        <v>0.07086614173</v>
      </c>
      <c r="P138" s="8">
        <f>IFERROR(__xludf.DUMMYFUNCTION("""COMPUTED_VALUE"""),0.0491803278688524)</f>
        <v>0.04918032787</v>
      </c>
      <c r="Q138" s="8">
        <f>IFERROR(__xludf.DUMMYFUNCTION("""COMPUTED_VALUE"""),0.0198019801980198)</f>
        <v>0.0198019802</v>
      </c>
      <c r="R138" s="8">
        <f>IFERROR(__xludf.DUMMYFUNCTION("""COMPUTED_VALUE"""),0.0)</f>
        <v>0</v>
      </c>
      <c r="S138" s="8">
        <f>IFERROR(__xludf.DUMMYFUNCTION("""COMPUTED_VALUE"""),0.0)</f>
        <v>0</v>
      </c>
      <c r="T138" s="8">
        <f>IFERROR(__xludf.DUMMYFUNCTION("""COMPUTED_VALUE"""),0.0)</f>
        <v>0</v>
      </c>
      <c r="U138" s="8">
        <f>IFERROR(__xludf.DUMMYFUNCTION("""COMPUTED_VALUE"""),0.0)</f>
        <v>0</v>
      </c>
      <c r="V138" s="8">
        <f>IFERROR(__xludf.DUMMYFUNCTION("""COMPUTED_VALUE"""),0.0)</f>
        <v>0</v>
      </c>
      <c r="W138" s="8">
        <f>IFERROR(__xludf.DUMMYFUNCTION("""COMPUTED_VALUE"""),0.0)</f>
        <v>0</v>
      </c>
      <c r="X138" s="8">
        <f>IFERROR(__xludf.DUMMYFUNCTION("""COMPUTED_VALUE"""),0.0)</f>
        <v>0</v>
      </c>
      <c r="Y138" s="8">
        <f>IFERROR(__xludf.DUMMYFUNCTION("""COMPUTED_VALUE"""),0.0)</f>
        <v>0</v>
      </c>
      <c r="Z138" s="8">
        <f>IFERROR(__xludf.DUMMYFUNCTION("""COMPUTED_VALUE"""),0.0)</f>
        <v>0</v>
      </c>
      <c r="AA138" s="8">
        <f>IFERROR(__xludf.DUMMYFUNCTION("""COMPUTED_VALUE"""),0.0)</f>
        <v>0</v>
      </c>
      <c r="AB138" s="8">
        <f>IFERROR(__xludf.DUMMYFUNCTION("""COMPUTED_VALUE"""),0.0)</f>
        <v>0</v>
      </c>
      <c r="AC138" s="8">
        <f>IFERROR(__xludf.DUMMYFUNCTION("""COMPUTED_VALUE"""),0.0)</f>
        <v>0</v>
      </c>
    </row>
    <row r="139" ht="15.75" customHeight="1">
      <c r="A139" s="6" t="str">
        <f>IFERROR(__xludf.DUMMYFUNCTION("""COMPUTED_VALUE"""),"7b3a625b0f5bbaa9080a6795b2d70e994716f8a5")</f>
        <v>7b3a625b0f5bbaa9080a6795b2d70e994716f8a5</v>
      </c>
      <c r="B139" s="6" t="str">
        <f>IFERROR(__xludf.DUMMYFUNCTION("""COMPUTED_VALUE"""),"Unexpectedly Yours")</f>
        <v>Unexpectedly Yours</v>
      </c>
      <c r="C139" s="6" t="str">
        <f>IFERROR(__xludf.DUMMYFUNCTION("""COMPUTED_VALUE"""),"Romance")</f>
        <v>Romance</v>
      </c>
      <c r="D139" s="11">
        <f>IFERROR(__xludf.DUMMYFUNCTION("""COMPUTED_VALUE"""),374.0)</f>
        <v>374</v>
      </c>
      <c r="E139" s="8">
        <f>IFERROR(__xludf.DUMMYFUNCTION("""COMPUTED_VALUE"""),0.943502824858757)</f>
        <v>0.9435028249</v>
      </c>
      <c r="F139" s="8">
        <f>IFERROR(__xludf.DUMMYFUNCTION("""COMPUTED_VALUE"""),0.389240506329113)</f>
        <v>0.3892405063</v>
      </c>
      <c r="G139" s="8">
        <f>IFERROR(__xludf.DUMMYFUNCTION("""COMPUTED_VALUE"""),0.36734693877551)</f>
        <v>0.3673469388</v>
      </c>
      <c r="H139" s="8">
        <f>IFERROR(__xludf.DUMMYFUNCTION("""COMPUTED_VALUE"""),0.300411522633744)</f>
        <v>0.3004115226</v>
      </c>
      <c r="I139" s="8">
        <f>IFERROR(__xludf.DUMMYFUNCTION("""COMPUTED_VALUE"""),0.284518828451882)</f>
        <v>0.2845188285</v>
      </c>
      <c r="J139" s="8">
        <f>IFERROR(__xludf.DUMMYFUNCTION("""COMPUTED_VALUE"""),0.252293577981651)</f>
        <v>0.252293578</v>
      </c>
      <c r="K139" s="8">
        <f>IFERROR(__xludf.DUMMYFUNCTION("""COMPUTED_VALUE"""),0.222222222222222)</f>
        <v>0.2222222222</v>
      </c>
      <c r="L139" s="8">
        <f>IFERROR(__xludf.DUMMYFUNCTION("""COMPUTED_VALUE"""),0.221698113207547)</f>
        <v>0.2216981132</v>
      </c>
      <c r="M139" s="8">
        <f>IFERROR(__xludf.DUMMYFUNCTION("""COMPUTED_VALUE"""),0.2)</f>
        <v>0.2</v>
      </c>
      <c r="N139" s="8">
        <f>IFERROR(__xludf.DUMMYFUNCTION("""COMPUTED_VALUE"""),0.202970297029702)</f>
        <v>0.202970297</v>
      </c>
      <c r="O139" s="8">
        <f>IFERROR(__xludf.DUMMYFUNCTION("""COMPUTED_VALUE"""),0.160714285714285)</f>
        <v>0.1607142857</v>
      </c>
      <c r="P139" s="8">
        <f>IFERROR(__xludf.DUMMYFUNCTION("""COMPUTED_VALUE"""),0.146666666666666)</f>
        <v>0.1466666667</v>
      </c>
      <c r="Q139" s="8">
        <f>IFERROR(__xludf.DUMMYFUNCTION("""COMPUTED_VALUE"""),0.0)</f>
        <v>0</v>
      </c>
      <c r="R139" s="8">
        <f>IFERROR(__xludf.DUMMYFUNCTION("""COMPUTED_VALUE"""),0.0)</f>
        <v>0</v>
      </c>
      <c r="S139" s="8">
        <f>IFERROR(__xludf.DUMMYFUNCTION("""COMPUTED_VALUE"""),0.0)</f>
        <v>0</v>
      </c>
      <c r="T139" s="8">
        <f>IFERROR(__xludf.DUMMYFUNCTION("""COMPUTED_VALUE"""),0.0)</f>
        <v>0</v>
      </c>
      <c r="U139" s="8">
        <f>IFERROR(__xludf.DUMMYFUNCTION("""COMPUTED_VALUE"""),0.0)</f>
        <v>0</v>
      </c>
      <c r="V139" s="8">
        <f>IFERROR(__xludf.DUMMYFUNCTION("""COMPUTED_VALUE"""),0.0)</f>
        <v>0</v>
      </c>
      <c r="W139" s="8">
        <f>IFERROR(__xludf.DUMMYFUNCTION("""COMPUTED_VALUE"""),0.0)</f>
        <v>0</v>
      </c>
      <c r="X139" s="8">
        <f>IFERROR(__xludf.DUMMYFUNCTION("""COMPUTED_VALUE"""),0.0)</f>
        <v>0</v>
      </c>
      <c r="Y139" s="8">
        <f>IFERROR(__xludf.DUMMYFUNCTION("""COMPUTED_VALUE"""),0.0)</f>
        <v>0</v>
      </c>
      <c r="Z139" s="8">
        <f>IFERROR(__xludf.DUMMYFUNCTION("""COMPUTED_VALUE"""),0.0)</f>
        <v>0</v>
      </c>
      <c r="AA139" s="8">
        <f>IFERROR(__xludf.DUMMYFUNCTION("""COMPUTED_VALUE"""),0.0)</f>
        <v>0</v>
      </c>
      <c r="AB139" s="8">
        <f>IFERROR(__xludf.DUMMYFUNCTION("""COMPUTED_VALUE"""),0.0)</f>
        <v>0</v>
      </c>
      <c r="AC139" s="8">
        <f>IFERROR(__xludf.DUMMYFUNCTION("""COMPUTED_VALUE"""),0.0)</f>
        <v>0</v>
      </c>
    </row>
    <row r="140" ht="15.75" customHeight="1">
      <c r="A140" s="6" t="str">
        <f>IFERROR(__xludf.DUMMYFUNCTION("""COMPUTED_VALUE"""),"7c9e3c835e58a5ec8e21381910eaaf785ea5ddfc")</f>
        <v>7c9e3c835e58a5ec8e21381910eaaf785ea5ddfc</v>
      </c>
      <c r="B140" s="6" t="str">
        <f>IFERROR(__xludf.DUMMYFUNCTION("""COMPUTED_VALUE"""),"I Do ... Or Do I? ")</f>
        <v>I Do ... Or Do I? </v>
      </c>
      <c r="C140" s="6" t="str">
        <f>IFERROR(__xludf.DUMMYFUNCTION("""COMPUTED_VALUE"""),"Romance")</f>
        <v>Romance</v>
      </c>
      <c r="D140" s="11">
        <f>IFERROR(__xludf.DUMMYFUNCTION("""COMPUTED_VALUE"""),1156.0)</f>
        <v>1156</v>
      </c>
      <c r="E140" s="8">
        <f>IFERROR(__xludf.DUMMYFUNCTION("""COMPUTED_VALUE"""),0.952339688041594)</f>
        <v>0.952339688</v>
      </c>
      <c r="F140" s="8">
        <f>IFERROR(__xludf.DUMMYFUNCTION("""COMPUTED_VALUE"""),0.558644656820156)</f>
        <v>0.5586446568</v>
      </c>
      <c r="G140" s="8">
        <f>IFERROR(__xludf.DUMMYFUNCTION("""COMPUTED_VALUE"""),0.513066202090592)</f>
        <v>0.5130662021</v>
      </c>
      <c r="H140" s="8">
        <f>IFERROR(__xludf.DUMMYFUNCTION("""COMPUTED_VALUE"""),0.490699734278122)</f>
        <v>0.4906997343</v>
      </c>
      <c r="I140" s="8">
        <f>IFERROR(__xludf.DUMMYFUNCTION("""COMPUTED_VALUE"""),0.474014336917562)</f>
        <v>0.4740143369</v>
      </c>
      <c r="J140" s="8">
        <f>IFERROR(__xludf.DUMMYFUNCTION("""COMPUTED_VALUE"""),0.444545454545454)</f>
        <v>0.4445454545</v>
      </c>
      <c r="K140" s="8">
        <f>IFERROR(__xludf.DUMMYFUNCTION("""COMPUTED_VALUE"""),0.417592592592592)</f>
        <v>0.4175925926</v>
      </c>
      <c r="L140" s="8">
        <f>IFERROR(__xludf.DUMMYFUNCTION("""COMPUTED_VALUE"""),0.396030245746691)</f>
        <v>0.3960302457</v>
      </c>
      <c r="M140" s="8">
        <f>IFERROR(__xludf.DUMMYFUNCTION("""COMPUTED_VALUE"""),0.361867704280155)</f>
        <v>0.3618677043</v>
      </c>
      <c r="N140" s="8">
        <f>IFERROR(__xludf.DUMMYFUNCTION("""COMPUTED_VALUE"""),0.336745138178096)</f>
        <v>0.3367451382</v>
      </c>
      <c r="O140" s="8">
        <f>IFERROR(__xludf.DUMMYFUNCTION("""COMPUTED_VALUE"""),0.288154897494305)</f>
        <v>0.2881548975</v>
      </c>
      <c r="P140" s="8">
        <f>IFERROR(__xludf.DUMMYFUNCTION("""COMPUTED_VALUE"""),0.135084427767354)</f>
        <v>0.1350844278</v>
      </c>
      <c r="Q140" s="8">
        <f>IFERROR(__xludf.DUMMYFUNCTION("""COMPUTED_VALUE"""),0.0679611650485436)</f>
        <v>0.06796116505</v>
      </c>
      <c r="R140" s="8">
        <f>IFERROR(__xludf.DUMMYFUNCTION("""COMPUTED_VALUE"""),0.0)</f>
        <v>0</v>
      </c>
      <c r="S140" s="8">
        <f>IFERROR(__xludf.DUMMYFUNCTION("""COMPUTED_VALUE"""),0.0)</f>
        <v>0</v>
      </c>
      <c r="T140" s="8">
        <f>IFERROR(__xludf.DUMMYFUNCTION("""COMPUTED_VALUE"""),0.0)</f>
        <v>0</v>
      </c>
      <c r="U140" s="8">
        <f>IFERROR(__xludf.DUMMYFUNCTION("""COMPUTED_VALUE"""),0.0)</f>
        <v>0</v>
      </c>
      <c r="V140" s="8">
        <f>IFERROR(__xludf.DUMMYFUNCTION("""COMPUTED_VALUE"""),0.0)</f>
        <v>0</v>
      </c>
      <c r="W140" s="8">
        <f>IFERROR(__xludf.DUMMYFUNCTION("""COMPUTED_VALUE"""),0.0)</f>
        <v>0</v>
      </c>
      <c r="X140" s="8">
        <f>IFERROR(__xludf.DUMMYFUNCTION("""COMPUTED_VALUE"""),0.0)</f>
        <v>0</v>
      </c>
      <c r="Y140" s="8">
        <f>IFERROR(__xludf.DUMMYFUNCTION("""COMPUTED_VALUE"""),0.0)</f>
        <v>0</v>
      </c>
      <c r="Z140" s="8">
        <f>IFERROR(__xludf.DUMMYFUNCTION("""COMPUTED_VALUE"""),0.0)</f>
        <v>0</v>
      </c>
      <c r="AA140" s="8">
        <f>IFERROR(__xludf.DUMMYFUNCTION("""COMPUTED_VALUE"""),0.0)</f>
        <v>0</v>
      </c>
      <c r="AB140" s="8">
        <f>IFERROR(__xludf.DUMMYFUNCTION("""COMPUTED_VALUE"""),0.0)</f>
        <v>0</v>
      </c>
      <c r="AC140" s="8">
        <f>IFERROR(__xludf.DUMMYFUNCTION("""COMPUTED_VALUE"""),0.0)</f>
        <v>0</v>
      </c>
    </row>
    <row r="141" ht="15.75" customHeight="1">
      <c r="A141" s="6" t="str">
        <f>IFERROR(__xludf.DUMMYFUNCTION("""COMPUTED_VALUE"""),"7d18c26c9a61af0d543d74280e7328e01a907988")</f>
        <v>7d18c26c9a61af0d543d74280e7328e01a907988</v>
      </c>
      <c r="B141" s="6" t="str">
        <f>IFERROR(__xludf.DUMMYFUNCTION("""COMPUTED_VALUE"""),"Empire of Love and War")</f>
        <v>Empire of Love and War</v>
      </c>
      <c r="C141" s="6" t="str">
        <f>IFERROR(__xludf.DUMMYFUNCTION("""COMPUTED_VALUE"""),"Romance")</f>
        <v>Romance</v>
      </c>
      <c r="D141" s="11">
        <f>IFERROR(__xludf.DUMMYFUNCTION("""COMPUTED_VALUE"""),5688.0)</f>
        <v>5688</v>
      </c>
      <c r="E141" s="8">
        <f>IFERROR(__xludf.DUMMYFUNCTION("""COMPUTED_VALUE"""),0.974110602324762)</f>
        <v>0.9741106023</v>
      </c>
      <c r="F141" s="8">
        <f>IFERROR(__xludf.DUMMYFUNCTION("""COMPUTED_VALUE"""),0.515525758645024)</f>
        <v>0.5155257586</v>
      </c>
      <c r="G141" s="8">
        <f>IFERROR(__xludf.DUMMYFUNCTION("""COMPUTED_VALUE"""),0.464203641506098)</f>
        <v>0.4642036415</v>
      </c>
      <c r="H141" s="8">
        <f>IFERROR(__xludf.DUMMYFUNCTION("""COMPUTED_VALUE"""),0.411472207423193)</f>
        <v>0.4114722074</v>
      </c>
      <c r="I141" s="8">
        <f>IFERROR(__xludf.DUMMYFUNCTION("""COMPUTED_VALUE"""),0.374509103891467)</f>
        <v>0.3745091039</v>
      </c>
      <c r="J141" s="8">
        <f>IFERROR(__xludf.DUMMYFUNCTION("""COMPUTED_VALUE"""),0.342199856218547)</f>
        <v>0.3421998562</v>
      </c>
      <c r="K141" s="8">
        <f>IFERROR(__xludf.DUMMYFUNCTION("""COMPUTED_VALUE"""),0.320505871725383)</f>
        <v>0.3205058717</v>
      </c>
      <c r="L141" s="8">
        <f>IFERROR(__xludf.DUMMYFUNCTION("""COMPUTED_VALUE"""),0.296398382947445)</f>
        <v>0.2963983829</v>
      </c>
      <c r="M141" s="8">
        <f>IFERROR(__xludf.DUMMYFUNCTION("""COMPUTED_VALUE"""),0.282293986636971)</f>
        <v>0.2822939866</v>
      </c>
      <c r="N141" s="8">
        <f>IFERROR(__xludf.DUMMYFUNCTION("""COMPUTED_VALUE"""),0.262227238525206)</f>
        <v>0.2622272385</v>
      </c>
      <c r="O141" s="8">
        <f>IFERROR(__xludf.DUMMYFUNCTION("""COMPUTED_VALUE"""),0.180262634301631)</f>
        <v>0.1802626343</v>
      </c>
      <c r="P141" s="8">
        <f>IFERROR(__xludf.DUMMYFUNCTION("""COMPUTED_VALUE"""),0.113611213574326)</f>
        <v>0.1136112136</v>
      </c>
      <c r="Q141" s="8">
        <f>IFERROR(__xludf.DUMMYFUNCTION("""COMPUTED_VALUE"""),0.0712025316455696)</f>
        <v>0.07120253165</v>
      </c>
      <c r="R141" s="8">
        <f>IFERROR(__xludf.DUMMYFUNCTION("""COMPUTED_VALUE"""),0.0)</f>
        <v>0</v>
      </c>
      <c r="S141" s="8">
        <f>IFERROR(__xludf.DUMMYFUNCTION("""COMPUTED_VALUE"""),0.0)</f>
        <v>0</v>
      </c>
      <c r="T141" s="8">
        <f>IFERROR(__xludf.DUMMYFUNCTION("""COMPUTED_VALUE"""),0.0)</f>
        <v>0</v>
      </c>
      <c r="U141" s="8">
        <f>IFERROR(__xludf.DUMMYFUNCTION("""COMPUTED_VALUE"""),0.0)</f>
        <v>0</v>
      </c>
      <c r="V141" s="8">
        <f>IFERROR(__xludf.DUMMYFUNCTION("""COMPUTED_VALUE"""),0.0)</f>
        <v>0</v>
      </c>
      <c r="W141" s="8">
        <f>IFERROR(__xludf.DUMMYFUNCTION("""COMPUTED_VALUE"""),0.0)</f>
        <v>0</v>
      </c>
      <c r="X141" s="8">
        <f>IFERROR(__xludf.DUMMYFUNCTION("""COMPUTED_VALUE"""),0.0)</f>
        <v>0</v>
      </c>
      <c r="Y141" s="8">
        <f>IFERROR(__xludf.DUMMYFUNCTION("""COMPUTED_VALUE"""),0.0)</f>
        <v>0</v>
      </c>
      <c r="Z141" s="8">
        <f>IFERROR(__xludf.DUMMYFUNCTION("""COMPUTED_VALUE"""),0.0)</f>
        <v>0</v>
      </c>
      <c r="AA141" s="8">
        <f>IFERROR(__xludf.DUMMYFUNCTION("""COMPUTED_VALUE"""),0.0)</f>
        <v>0</v>
      </c>
      <c r="AB141" s="8">
        <f>IFERROR(__xludf.DUMMYFUNCTION("""COMPUTED_VALUE"""),0.0)</f>
        <v>0</v>
      </c>
      <c r="AC141" s="8">
        <f>IFERROR(__xludf.DUMMYFUNCTION("""COMPUTED_VALUE"""),0.0)</f>
        <v>0</v>
      </c>
    </row>
    <row r="142" ht="15.75" customHeight="1">
      <c r="A142" s="6" t="str">
        <f>IFERROR(__xludf.DUMMYFUNCTION("""COMPUTED_VALUE"""),"7dcd0d4c632448440b17285c811990532a31efec")</f>
        <v>7dcd0d4c632448440b17285c811990532a31efec</v>
      </c>
      <c r="B142" s="6" t="str">
        <f>IFERROR(__xludf.DUMMYFUNCTION("""COMPUTED_VALUE"""),"The Scentless Luna")</f>
        <v>The Scentless Luna</v>
      </c>
      <c r="C142" s="6" t="str">
        <f>IFERROR(__xludf.DUMMYFUNCTION("""COMPUTED_VALUE"""),"Romantasy")</f>
        <v>Romantasy</v>
      </c>
      <c r="D142" s="11">
        <f>IFERROR(__xludf.DUMMYFUNCTION("""COMPUTED_VALUE"""),1503.0)</f>
        <v>1503</v>
      </c>
      <c r="E142" s="8">
        <f>IFERROR(__xludf.DUMMYFUNCTION("""COMPUTED_VALUE"""),0.97911051212938)</f>
        <v>0.9791105121</v>
      </c>
      <c r="F142" s="8">
        <f>IFERROR(__xludf.DUMMYFUNCTION("""COMPUTED_VALUE"""),0.537959183673469)</f>
        <v>0.5379591837</v>
      </c>
      <c r="G142" s="8">
        <f>IFERROR(__xludf.DUMMYFUNCTION("""COMPUTED_VALUE"""),0.485687903970452)</f>
        <v>0.485687904</v>
      </c>
      <c r="H142" s="8">
        <f>IFERROR(__xludf.DUMMYFUNCTION("""COMPUTED_VALUE"""),0.416502946954813)</f>
        <v>0.416502947</v>
      </c>
      <c r="I142" s="8">
        <f>IFERROR(__xludf.DUMMYFUNCTION("""COMPUTED_VALUE"""),0.391944990176817)</f>
        <v>0.3919449902</v>
      </c>
      <c r="J142" s="8">
        <f>IFERROR(__xludf.DUMMYFUNCTION("""COMPUTED_VALUE"""),0.363188976377952)</f>
        <v>0.3631889764</v>
      </c>
      <c r="K142" s="8">
        <f>IFERROR(__xludf.DUMMYFUNCTION("""COMPUTED_VALUE"""),0.333661417322834)</f>
        <v>0.3336614173</v>
      </c>
      <c r="L142" s="8">
        <f>IFERROR(__xludf.DUMMYFUNCTION("""COMPUTED_VALUE"""),0.301181102362204)</f>
        <v>0.3011811024</v>
      </c>
      <c r="M142" s="8">
        <f>IFERROR(__xludf.DUMMYFUNCTION("""COMPUTED_VALUE"""),0.281496062992126)</f>
        <v>0.281496063</v>
      </c>
      <c r="N142" s="8">
        <f>IFERROR(__xludf.DUMMYFUNCTION("""COMPUTED_VALUE"""),0.257142857142857)</f>
        <v>0.2571428571</v>
      </c>
      <c r="O142" s="8">
        <f>IFERROR(__xludf.DUMMYFUNCTION("""COMPUTED_VALUE"""),0.174747474747474)</f>
        <v>0.1747474747</v>
      </c>
      <c r="P142" s="8">
        <f>IFERROR(__xludf.DUMMYFUNCTION("""COMPUTED_VALUE"""),0.0829068577277379)</f>
        <v>0.08290685773</v>
      </c>
      <c r="Q142" s="8">
        <f>IFERROR(__xludf.DUMMYFUNCTION("""COMPUTED_VALUE"""),0.0601719197707736)</f>
        <v>0.06017191977</v>
      </c>
      <c r="R142" s="8">
        <f>IFERROR(__xludf.DUMMYFUNCTION("""COMPUTED_VALUE"""),0.102564102564102)</f>
        <v>0.1025641026</v>
      </c>
      <c r="S142" s="8">
        <f>IFERROR(__xludf.DUMMYFUNCTION("""COMPUTED_VALUE"""),0.0)</f>
        <v>0</v>
      </c>
      <c r="T142" s="8">
        <f>IFERROR(__xludf.DUMMYFUNCTION("""COMPUTED_VALUE"""),0.0)</f>
        <v>0</v>
      </c>
      <c r="U142" s="8">
        <f>IFERROR(__xludf.DUMMYFUNCTION("""COMPUTED_VALUE"""),0.0)</f>
        <v>0</v>
      </c>
      <c r="V142" s="8">
        <f>IFERROR(__xludf.DUMMYFUNCTION("""COMPUTED_VALUE"""),0.0)</f>
        <v>0</v>
      </c>
      <c r="W142" s="8">
        <f>IFERROR(__xludf.DUMMYFUNCTION("""COMPUTED_VALUE"""),0.0)</f>
        <v>0</v>
      </c>
      <c r="X142" s="8">
        <f>IFERROR(__xludf.DUMMYFUNCTION("""COMPUTED_VALUE"""),0.0)</f>
        <v>0</v>
      </c>
      <c r="Y142" s="8">
        <f>IFERROR(__xludf.DUMMYFUNCTION("""COMPUTED_VALUE"""),0.0)</f>
        <v>0</v>
      </c>
      <c r="Z142" s="8">
        <f>IFERROR(__xludf.DUMMYFUNCTION("""COMPUTED_VALUE"""),0.0)</f>
        <v>0</v>
      </c>
      <c r="AA142" s="8">
        <f>IFERROR(__xludf.DUMMYFUNCTION("""COMPUTED_VALUE"""),0.0)</f>
        <v>0</v>
      </c>
      <c r="AB142" s="8">
        <f>IFERROR(__xludf.DUMMYFUNCTION("""COMPUTED_VALUE"""),0.0)</f>
        <v>0</v>
      </c>
      <c r="AC142" s="8">
        <f>IFERROR(__xludf.DUMMYFUNCTION("""COMPUTED_VALUE"""),0.0)</f>
        <v>0</v>
      </c>
    </row>
    <row r="143" ht="15.75" customHeight="1">
      <c r="A143" s="6" t="str">
        <f>IFERROR(__xludf.DUMMYFUNCTION("""COMPUTED_VALUE"""),"7fb3b080b1ad8976195f7a18e1df497bc23037fa")</f>
        <v>7fb3b080b1ad8976195f7a18e1df497bc23037fa</v>
      </c>
      <c r="B143" s="6" t="str">
        <f>IFERROR(__xludf.DUMMYFUNCTION("""COMPUTED_VALUE"""),"The Ghostwalker")</f>
        <v>The Ghostwalker</v>
      </c>
      <c r="C143" s="6" t="str">
        <f>IFERROR(__xludf.DUMMYFUNCTION("""COMPUTED_VALUE"""),"Suspense or Thriller")</f>
        <v>Suspense or Thriller</v>
      </c>
      <c r="D143" s="11">
        <f>IFERROR(__xludf.DUMMYFUNCTION("""COMPUTED_VALUE"""),1453.0)</f>
        <v>1453</v>
      </c>
      <c r="E143" s="8">
        <f>IFERROR(__xludf.DUMMYFUNCTION("""COMPUTED_VALUE"""),0.980582524271844)</f>
        <v>0.9805825243</v>
      </c>
      <c r="F143" s="8">
        <f>IFERROR(__xludf.DUMMYFUNCTION("""COMPUTED_VALUE"""),0.428270042194092)</f>
        <v>0.4282700422</v>
      </c>
      <c r="G143" s="8">
        <f>IFERROR(__xludf.DUMMYFUNCTION("""COMPUTED_VALUE"""),0.339462517680339)</f>
        <v>0.3394625177</v>
      </c>
      <c r="H143" s="8">
        <f>IFERROR(__xludf.DUMMYFUNCTION("""COMPUTED_VALUE"""),0.297374024130589)</f>
        <v>0.2973740241</v>
      </c>
      <c r="I143" s="8">
        <f>IFERROR(__xludf.DUMMYFUNCTION("""COMPUTED_VALUE"""),0.262857142857142)</f>
        <v>0.2628571429</v>
      </c>
      <c r="J143" s="8">
        <f>IFERROR(__xludf.DUMMYFUNCTION("""COMPUTED_VALUE"""),0.233859397417503)</f>
        <v>0.2338593974</v>
      </c>
      <c r="K143" s="8">
        <f>IFERROR(__xludf.DUMMYFUNCTION("""COMPUTED_VALUE"""),0.210982658959537)</f>
        <v>0.210982659</v>
      </c>
      <c r="L143" s="8">
        <f>IFERROR(__xludf.DUMMYFUNCTION("""COMPUTED_VALUE"""),0.197521865889212)</f>
        <v>0.1975218659</v>
      </c>
      <c r="M143" s="8">
        <f>IFERROR(__xludf.DUMMYFUNCTION("""COMPUTED_VALUE"""),0.178885630498533)</f>
        <v>0.1788856305</v>
      </c>
      <c r="N143" s="8">
        <f>IFERROR(__xludf.DUMMYFUNCTION("""COMPUTED_VALUE"""),0.166915052160953)</f>
        <v>0.1669150522</v>
      </c>
      <c r="O143" s="8">
        <f>IFERROR(__xludf.DUMMYFUNCTION("""COMPUTED_VALUE"""),0.127697841726618)</f>
        <v>0.1276978417</v>
      </c>
      <c r="P143" s="8">
        <f>IFERROR(__xludf.DUMMYFUNCTION("""COMPUTED_VALUE"""),0.0684931506849315)</f>
        <v>0.06849315068</v>
      </c>
      <c r="Q143" s="8">
        <f>IFERROR(__xludf.DUMMYFUNCTION("""COMPUTED_VALUE"""),0.0)</f>
        <v>0</v>
      </c>
      <c r="R143" s="8">
        <f>IFERROR(__xludf.DUMMYFUNCTION("""COMPUTED_VALUE"""),0.0)</f>
        <v>0</v>
      </c>
      <c r="S143" s="8">
        <f>IFERROR(__xludf.DUMMYFUNCTION("""COMPUTED_VALUE"""),0.0)</f>
        <v>0</v>
      </c>
      <c r="T143" s="8">
        <f>IFERROR(__xludf.DUMMYFUNCTION("""COMPUTED_VALUE"""),0.0)</f>
        <v>0</v>
      </c>
      <c r="U143" s="8">
        <f>IFERROR(__xludf.DUMMYFUNCTION("""COMPUTED_VALUE"""),0.0)</f>
        <v>0</v>
      </c>
      <c r="V143" s="8">
        <f>IFERROR(__xludf.DUMMYFUNCTION("""COMPUTED_VALUE"""),0.0)</f>
        <v>0</v>
      </c>
      <c r="W143" s="8">
        <f>IFERROR(__xludf.DUMMYFUNCTION("""COMPUTED_VALUE"""),0.0)</f>
        <v>0</v>
      </c>
      <c r="X143" s="8">
        <f>IFERROR(__xludf.DUMMYFUNCTION("""COMPUTED_VALUE"""),0.0)</f>
        <v>0</v>
      </c>
      <c r="Y143" s="8">
        <f>IFERROR(__xludf.DUMMYFUNCTION("""COMPUTED_VALUE"""),0.0)</f>
        <v>0</v>
      </c>
      <c r="Z143" s="8">
        <f>IFERROR(__xludf.DUMMYFUNCTION("""COMPUTED_VALUE"""),0.0)</f>
        <v>0</v>
      </c>
      <c r="AA143" s="8">
        <f>IFERROR(__xludf.DUMMYFUNCTION("""COMPUTED_VALUE"""),0.0)</f>
        <v>0</v>
      </c>
      <c r="AB143" s="8">
        <f>IFERROR(__xludf.DUMMYFUNCTION("""COMPUTED_VALUE"""),0.0)</f>
        <v>0</v>
      </c>
      <c r="AC143" s="8">
        <f>IFERROR(__xludf.DUMMYFUNCTION("""COMPUTED_VALUE"""),0.0)</f>
        <v>0</v>
      </c>
    </row>
    <row r="144" ht="15.75" customHeight="1">
      <c r="A144" s="6" t="str">
        <f>IFERROR(__xludf.DUMMYFUNCTION("""COMPUTED_VALUE"""),"7fd747e6520471a8653824ad1a2ba2ad33b91835")</f>
        <v>7fd747e6520471a8653824ad1a2ba2ad33b91835</v>
      </c>
      <c r="B144" s="6" t="str">
        <f>IFERROR(__xludf.DUMMYFUNCTION("""COMPUTED_VALUE"""),"Evolution Online")</f>
        <v>Evolution Online</v>
      </c>
      <c r="C144" s="6" t="str">
        <f>IFERROR(__xludf.DUMMYFUNCTION("""COMPUTED_VALUE"""),"Fantasy")</f>
        <v>Fantasy</v>
      </c>
      <c r="D144" s="11">
        <f>IFERROR(__xludf.DUMMYFUNCTION("""COMPUTED_VALUE"""),72.0)</f>
        <v>72</v>
      </c>
      <c r="E144" s="8">
        <f>IFERROR(__xludf.DUMMYFUNCTION("""COMPUTED_VALUE"""),0.972222222222222)</f>
        <v>0.9722222222</v>
      </c>
      <c r="F144" s="8">
        <f>IFERROR(__xludf.DUMMYFUNCTION("""COMPUTED_VALUE"""),0.416666666666666)</f>
        <v>0.4166666667</v>
      </c>
      <c r="G144" s="8">
        <f>IFERROR(__xludf.DUMMYFUNCTION("""COMPUTED_VALUE"""),0.222222222222222)</f>
        <v>0.2222222222</v>
      </c>
      <c r="H144" s="8">
        <f>IFERROR(__xludf.DUMMYFUNCTION("""COMPUTED_VALUE"""),0.211267605633802)</f>
        <v>0.2112676056</v>
      </c>
      <c r="I144" s="8">
        <f>IFERROR(__xludf.DUMMYFUNCTION("""COMPUTED_VALUE"""),0.183098591549295)</f>
        <v>0.1830985915</v>
      </c>
      <c r="J144" s="8">
        <f>IFERROR(__xludf.DUMMYFUNCTION("""COMPUTED_VALUE"""),0.154929577464788)</f>
        <v>0.1549295775</v>
      </c>
      <c r="K144" s="8">
        <f>IFERROR(__xludf.DUMMYFUNCTION("""COMPUTED_VALUE"""),0.126760563380281)</f>
        <v>0.1267605634</v>
      </c>
      <c r="L144" s="8">
        <f>IFERROR(__xludf.DUMMYFUNCTION("""COMPUTED_VALUE"""),0.126760563380281)</f>
        <v>0.1267605634</v>
      </c>
      <c r="M144" s="8">
        <f>IFERROR(__xludf.DUMMYFUNCTION("""COMPUTED_VALUE"""),0.112676056338028)</f>
        <v>0.1126760563</v>
      </c>
      <c r="N144" s="8">
        <f>IFERROR(__xludf.DUMMYFUNCTION("""COMPUTED_VALUE"""),0.0845070422535211)</f>
        <v>0.08450704225</v>
      </c>
      <c r="O144" s="8">
        <f>IFERROR(__xludf.DUMMYFUNCTION("""COMPUTED_VALUE"""),0.0735294117647058)</f>
        <v>0.07352941176</v>
      </c>
      <c r="P144" s="8">
        <f>IFERROR(__xludf.DUMMYFUNCTION("""COMPUTED_VALUE"""),0.0454545454545454)</f>
        <v>0.04545454545</v>
      </c>
      <c r="Q144" s="8">
        <f>IFERROR(__xludf.DUMMYFUNCTION("""COMPUTED_VALUE"""),0.0208333333333333)</f>
        <v>0.02083333333</v>
      </c>
      <c r="R144" s="8">
        <f>IFERROR(__xludf.DUMMYFUNCTION("""COMPUTED_VALUE"""),0.0)</f>
        <v>0</v>
      </c>
      <c r="S144" s="8">
        <f>IFERROR(__xludf.DUMMYFUNCTION("""COMPUTED_VALUE"""),0.0)</f>
        <v>0</v>
      </c>
      <c r="T144" s="8">
        <f>IFERROR(__xludf.DUMMYFUNCTION("""COMPUTED_VALUE"""),0.0)</f>
        <v>0</v>
      </c>
      <c r="U144" s="8">
        <f>IFERROR(__xludf.DUMMYFUNCTION("""COMPUTED_VALUE"""),0.0)</f>
        <v>0</v>
      </c>
      <c r="V144" s="8">
        <f>IFERROR(__xludf.DUMMYFUNCTION("""COMPUTED_VALUE"""),0.0)</f>
        <v>0</v>
      </c>
      <c r="W144" s="8">
        <f>IFERROR(__xludf.DUMMYFUNCTION("""COMPUTED_VALUE"""),0.0)</f>
        <v>0</v>
      </c>
      <c r="X144" s="8">
        <f>IFERROR(__xludf.DUMMYFUNCTION("""COMPUTED_VALUE"""),0.0)</f>
        <v>0</v>
      </c>
      <c r="Y144" s="8">
        <f>IFERROR(__xludf.DUMMYFUNCTION("""COMPUTED_VALUE"""),0.0)</f>
        <v>0</v>
      </c>
      <c r="Z144" s="8">
        <f>IFERROR(__xludf.DUMMYFUNCTION("""COMPUTED_VALUE"""),0.0)</f>
        <v>0</v>
      </c>
      <c r="AA144" s="8">
        <f>IFERROR(__xludf.DUMMYFUNCTION("""COMPUTED_VALUE"""),0.0)</f>
        <v>0</v>
      </c>
      <c r="AB144" s="8">
        <f>IFERROR(__xludf.DUMMYFUNCTION("""COMPUTED_VALUE"""),0.0)</f>
        <v>0</v>
      </c>
      <c r="AC144" s="8">
        <f>IFERROR(__xludf.DUMMYFUNCTION("""COMPUTED_VALUE"""),0.0)</f>
        <v>0</v>
      </c>
    </row>
    <row r="145" ht="15.75" customHeight="1">
      <c r="A145" s="6" t="str">
        <f>IFERROR(__xludf.DUMMYFUNCTION("""COMPUTED_VALUE"""),"80e6be6f7d165552c60a2fc7cbf39746d2ab2466")</f>
        <v>80e6be6f7d165552c60a2fc7cbf39746d2ab2466</v>
      </c>
      <c r="B145" s="6" t="str">
        <f>IFERROR(__xludf.DUMMYFUNCTION("""COMPUTED_VALUE"""),"Marked by Him: True Mate")</f>
        <v>Marked by Him: True Mate</v>
      </c>
      <c r="C145" s="6" t="str">
        <f>IFERROR(__xludf.DUMMYFUNCTION("""COMPUTED_VALUE"""),"Romantasy")</f>
        <v>Romantasy</v>
      </c>
      <c r="D145" s="11">
        <f>IFERROR(__xludf.DUMMYFUNCTION("""COMPUTED_VALUE"""),2226.0)</f>
        <v>2226</v>
      </c>
      <c r="E145" s="8">
        <f>IFERROR(__xludf.DUMMYFUNCTION("""COMPUTED_VALUE"""),0.964044943820224)</f>
        <v>0.9640449438</v>
      </c>
      <c r="F145" s="8">
        <f>IFERROR(__xludf.DUMMYFUNCTION("""COMPUTED_VALUE"""),0.554606741573033)</f>
        <v>0.5546067416</v>
      </c>
      <c r="G145" s="8">
        <f>IFERROR(__xludf.DUMMYFUNCTION("""COMPUTED_VALUE"""),0.503150315031503)</f>
        <v>0.503150315</v>
      </c>
      <c r="H145" s="8">
        <f>IFERROR(__xludf.DUMMYFUNCTION("""COMPUTED_VALUE"""),0.47074707470747)</f>
        <v>0.4707470747</v>
      </c>
      <c r="I145" s="8">
        <f>IFERROR(__xludf.DUMMYFUNCTION("""COMPUTED_VALUE"""),0.452166064981949)</f>
        <v>0.452166065</v>
      </c>
      <c r="J145" s="8">
        <f>IFERROR(__xludf.DUMMYFUNCTION("""COMPUTED_VALUE"""),0.427601809954751)</f>
        <v>0.42760181</v>
      </c>
      <c r="K145" s="8">
        <f>IFERROR(__xludf.DUMMYFUNCTION("""COMPUTED_VALUE"""),0.413983440662373)</f>
        <v>0.4139834407</v>
      </c>
      <c r="L145" s="8">
        <f>IFERROR(__xludf.DUMMYFUNCTION("""COMPUTED_VALUE"""),0.398113207547169)</f>
        <v>0.3981132075</v>
      </c>
      <c r="M145" s="8">
        <f>IFERROR(__xludf.DUMMYFUNCTION("""COMPUTED_VALUE"""),0.387205387205387)</f>
        <v>0.3872053872</v>
      </c>
      <c r="N145" s="8">
        <f>IFERROR(__xludf.DUMMYFUNCTION("""COMPUTED_VALUE"""),0.384122287968441)</f>
        <v>0.384122288</v>
      </c>
      <c r="O145" s="8">
        <f>IFERROR(__xludf.DUMMYFUNCTION("""COMPUTED_VALUE"""),0.358338499690018)</f>
        <v>0.3583384997</v>
      </c>
      <c r="P145" s="8">
        <f>IFERROR(__xludf.DUMMYFUNCTION("""COMPUTED_VALUE"""),0.287954830614805)</f>
        <v>0.2879548306</v>
      </c>
      <c r="Q145" s="8">
        <f>IFERROR(__xludf.DUMMYFUNCTION("""COMPUTED_VALUE"""),0.180124223602484)</f>
        <v>0.1801242236</v>
      </c>
      <c r="R145" s="8">
        <f>IFERROR(__xludf.DUMMYFUNCTION("""COMPUTED_VALUE"""),0.111111111111111)</f>
        <v>0.1111111111</v>
      </c>
      <c r="S145" s="8">
        <f>IFERROR(__xludf.DUMMYFUNCTION("""COMPUTED_VALUE"""),0.0)</f>
        <v>0</v>
      </c>
      <c r="T145" s="8">
        <f>IFERROR(__xludf.DUMMYFUNCTION("""COMPUTED_VALUE"""),0.0)</f>
        <v>0</v>
      </c>
      <c r="U145" s="8">
        <f>IFERROR(__xludf.DUMMYFUNCTION("""COMPUTED_VALUE"""),0.0)</f>
        <v>0</v>
      </c>
      <c r="V145" s="8">
        <f>IFERROR(__xludf.DUMMYFUNCTION("""COMPUTED_VALUE"""),0.0)</f>
        <v>0</v>
      </c>
      <c r="W145" s="8">
        <f>IFERROR(__xludf.DUMMYFUNCTION("""COMPUTED_VALUE"""),0.0)</f>
        <v>0</v>
      </c>
      <c r="X145" s="8">
        <f>IFERROR(__xludf.DUMMYFUNCTION("""COMPUTED_VALUE"""),0.0)</f>
        <v>0</v>
      </c>
      <c r="Y145" s="8">
        <f>IFERROR(__xludf.DUMMYFUNCTION("""COMPUTED_VALUE"""),0.0)</f>
        <v>0</v>
      </c>
      <c r="Z145" s="8">
        <f>IFERROR(__xludf.DUMMYFUNCTION("""COMPUTED_VALUE"""),0.0)</f>
        <v>0</v>
      </c>
      <c r="AA145" s="8">
        <f>IFERROR(__xludf.DUMMYFUNCTION("""COMPUTED_VALUE"""),0.0)</f>
        <v>0</v>
      </c>
      <c r="AB145" s="8">
        <f>IFERROR(__xludf.DUMMYFUNCTION("""COMPUTED_VALUE"""),0.0)</f>
        <v>0</v>
      </c>
      <c r="AC145" s="8">
        <f>IFERROR(__xludf.DUMMYFUNCTION("""COMPUTED_VALUE"""),0.0)</f>
        <v>0</v>
      </c>
    </row>
    <row r="146" ht="15.75" customHeight="1">
      <c r="A146" s="6" t="str">
        <f>IFERROR(__xludf.DUMMYFUNCTION("""COMPUTED_VALUE"""),"820e3a2951adfcd3997c3ea5696cb62bc975f0a0")</f>
        <v>820e3a2951adfcd3997c3ea5696cb62bc975f0a0</v>
      </c>
      <c r="B146" s="6" t="str">
        <f>IFERROR(__xludf.DUMMYFUNCTION("""COMPUTED_VALUE"""),"The Return of Master ")</f>
        <v>The Return of Master </v>
      </c>
      <c r="C146" s="6" t="str">
        <f>IFERROR(__xludf.DUMMYFUNCTION("""COMPUTED_VALUE"""),"Fantasy")</f>
        <v>Fantasy</v>
      </c>
      <c r="D146" s="11">
        <f>IFERROR(__xludf.DUMMYFUNCTION("""COMPUTED_VALUE"""),27.0)</f>
        <v>27</v>
      </c>
      <c r="E146" s="8">
        <f>IFERROR(__xludf.DUMMYFUNCTION("""COMPUTED_VALUE"""),0.851851851851851)</f>
        <v>0.8518518519</v>
      </c>
      <c r="F146" s="8">
        <f>IFERROR(__xludf.DUMMYFUNCTION("""COMPUTED_VALUE"""),0.592592592592592)</f>
        <v>0.5925925926</v>
      </c>
      <c r="G146" s="8">
        <f>IFERROR(__xludf.DUMMYFUNCTION("""COMPUTED_VALUE"""),0.555555555555555)</f>
        <v>0.5555555556</v>
      </c>
      <c r="H146" s="8">
        <f>IFERROR(__xludf.DUMMYFUNCTION("""COMPUTED_VALUE"""),0.592592592592592)</f>
        <v>0.5925925926</v>
      </c>
      <c r="I146" s="8">
        <f>IFERROR(__xludf.DUMMYFUNCTION("""COMPUTED_VALUE"""),0.518518518518518)</f>
        <v>0.5185185185</v>
      </c>
      <c r="J146" s="8">
        <f>IFERROR(__xludf.DUMMYFUNCTION("""COMPUTED_VALUE"""),0.481481481481481)</f>
        <v>0.4814814815</v>
      </c>
      <c r="K146" s="8">
        <f>IFERROR(__xludf.DUMMYFUNCTION("""COMPUTED_VALUE"""),0.444444444444444)</f>
        <v>0.4444444444</v>
      </c>
      <c r="L146" s="8">
        <f>IFERROR(__xludf.DUMMYFUNCTION("""COMPUTED_VALUE"""),0.333333333333333)</f>
        <v>0.3333333333</v>
      </c>
      <c r="M146" s="8">
        <f>IFERROR(__xludf.DUMMYFUNCTION("""COMPUTED_VALUE"""),0.269230769230769)</f>
        <v>0.2692307692</v>
      </c>
      <c r="N146" s="8">
        <f>IFERROR(__xludf.DUMMYFUNCTION("""COMPUTED_VALUE"""),0.23076923076923)</f>
        <v>0.2307692308</v>
      </c>
      <c r="O146" s="8">
        <f>IFERROR(__xludf.DUMMYFUNCTION("""COMPUTED_VALUE"""),0.153846153846153)</f>
        <v>0.1538461538</v>
      </c>
      <c r="P146" s="8">
        <f>IFERROR(__xludf.DUMMYFUNCTION("""COMPUTED_VALUE"""),0.04)</f>
        <v>0.04</v>
      </c>
      <c r="Q146" s="8">
        <f>IFERROR(__xludf.DUMMYFUNCTION("""COMPUTED_VALUE"""),0.0)</f>
        <v>0</v>
      </c>
      <c r="R146" s="8">
        <f>IFERROR(__xludf.DUMMYFUNCTION("""COMPUTED_VALUE"""),0.0)</f>
        <v>0</v>
      </c>
      <c r="S146" s="8">
        <f>IFERROR(__xludf.DUMMYFUNCTION("""COMPUTED_VALUE"""),0.0)</f>
        <v>0</v>
      </c>
      <c r="T146" s="8">
        <f>IFERROR(__xludf.DUMMYFUNCTION("""COMPUTED_VALUE"""),0.0)</f>
        <v>0</v>
      </c>
      <c r="U146" s="8">
        <f>IFERROR(__xludf.DUMMYFUNCTION("""COMPUTED_VALUE"""),0.0)</f>
        <v>0</v>
      </c>
      <c r="V146" s="8">
        <f>IFERROR(__xludf.DUMMYFUNCTION("""COMPUTED_VALUE"""),0.0)</f>
        <v>0</v>
      </c>
      <c r="W146" s="8">
        <f>IFERROR(__xludf.DUMMYFUNCTION("""COMPUTED_VALUE"""),0.0)</f>
        <v>0</v>
      </c>
      <c r="X146" s="8">
        <f>IFERROR(__xludf.DUMMYFUNCTION("""COMPUTED_VALUE"""),0.0)</f>
        <v>0</v>
      </c>
      <c r="Y146" s="8">
        <f>IFERROR(__xludf.DUMMYFUNCTION("""COMPUTED_VALUE"""),0.0)</f>
        <v>0</v>
      </c>
      <c r="Z146" s="8">
        <f>IFERROR(__xludf.DUMMYFUNCTION("""COMPUTED_VALUE"""),0.0)</f>
        <v>0</v>
      </c>
      <c r="AA146" s="8">
        <f>IFERROR(__xludf.DUMMYFUNCTION("""COMPUTED_VALUE"""),0.0)</f>
        <v>0</v>
      </c>
      <c r="AB146" s="8">
        <f>IFERROR(__xludf.DUMMYFUNCTION("""COMPUTED_VALUE"""),0.0)</f>
        <v>0</v>
      </c>
      <c r="AC146" s="8">
        <f>IFERROR(__xludf.DUMMYFUNCTION("""COMPUTED_VALUE"""),0.0)</f>
        <v>0</v>
      </c>
    </row>
    <row r="147" ht="15.75" customHeight="1">
      <c r="A147" s="6" t="str">
        <f>IFERROR(__xludf.DUMMYFUNCTION("""COMPUTED_VALUE"""),"82ff8ba01d1e1fbcea7c734b687b1a9ff858733d")</f>
        <v>82ff8ba01d1e1fbcea7c734b687b1a9ff858733d</v>
      </c>
      <c r="B147" s="6" t="str">
        <f>IFERROR(__xludf.DUMMYFUNCTION("""COMPUTED_VALUE"""),"Twin Realms Traveler")</f>
        <v>Twin Realms Traveler</v>
      </c>
      <c r="C147" s="6" t="str">
        <f>IFERROR(__xludf.DUMMYFUNCTION("""COMPUTED_VALUE"""),"System and Superpower")</f>
        <v>System and Superpower</v>
      </c>
      <c r="D147" s="11">
        <f>IFERROR(__xludf.DUMMYFUNCTION("""COMPUTED_VALUE"""),85.0)</f>
        <v>85</v>
      </c>
      <c r="E147" s="8">
        <f>IFERROR(__xludf.DUMMYFUNCTION("""COMPUTED_VALUE"""),0.988235294117647)</f>
        <v>0.9882352941</v>
      </c>
      <c r="F147" s="8">
        <f>IFERROR(__xludf.DUMMYFUNCTION("""COMPUTED_VALUE"""),0.235294117647058)</f>
        <v>0.2352941176</v>
      </c>
      <c r="G147" s="8">
        <f>IFERROR(__xludf.DUMMYFUNCTION("""COMPUTED_VALUE"""),0.2)</f>
        <v>0.2</v>
      </c>
      <c r="H147" s="8">
        <f>IFERROR(__xludf.DUMMYFUNCTION("""COMPUTED_VALUE"""),0.176470588235294)</f>
        <v>0.1764705882</v>
      </c>
      <c r="I147" s="8">
        <f>IFERROR(__xludf.DUMMYFUNCTION("""COMPUTED_VALUE"""),0.176470588235294)</f>
        <v>0.1764705882</v>
      </c>
      <c r="J147" s="8">
        <f>IFERROR(__xludf.DUMMYFUNCTION("""COMPUTED_VALUE"""),0.142857142857142)</f>
        <v>0.1428571429</v>
      </c>
      <c r="K147" s="8">
        <f>IFERROR(__xludf.DUMMYFUNCTION("""COMPUTED_VALUE"""),0.13095238095238)</f>
        <v>0.130952381</v>
      </c>
      <c r="L147" s="8">
        <f>IFERROR(__xludf.DUMMYFUNCTION("""COMPUTED_VALUE"""),0.0952380952380952)</f>
        <v>0.09523809524</v>
      </c>
      <c r="M147" s="8">
        <f>IFERROR(__xludf.DUMMYFUNCTION("""COMPUTED_VALUE"""),0.0952380952380952)</f>
        <v>0.09523809524</v>
      </c>
      <c r="N147" s="8">
        <f>IFERROR(__xludf.DUMMYFUNCTION("""COMPUTED_VALUE"""),0.0833333333333333)</f>
        <v>0.08333333333</v>
      </c>
      <c r="O147" s="8">
        <f>IFERROR(__xludf.DUMMYFUNCTION("""COMPUTED_VALUE"""),0.0476190476190476)</f>
        <v>0.04761904762</v>
      </c>
      <c r="P147" s="8">
        <f>IFERROR(__xludf.DUMMYFUNCTION("""COMPUTED_VALUE"""),0.0357142857142857)</f>
        <v>0.03571428571</v>
      </c>
      <c r="Q147" s="8">
        <f>IFERROR(__xludf.DUMMYFUNCTION("""COMPUTED_VALUE"""),0.037037037037037)</f>
        <v>0.03703703704</v>
      </c>
      <c r="R147" s="8">
        <f>IFERROR(__xludf.DUMMYFUNCTION("""COMPUTED_VALUE"""),0.0263157894736842)</f>
        <v>0.02631578947</v>
      </c>
      <c r="S147" s="8">
        <f>IFERROR(__xludf.DUMMYFUNCTION("""COMPUTED_VALUE"""),0.0)</f>
        <v>0</v>
      </c>
      <c r="T147" s="8">
        <f>IFERROR(__xludf.DUMMYFUNCTION("""COMPUTED_VALUE"""),0.0)</f>
        <v>0</v>
      </c>
      <c r="U147" s="8">
        <f>IFERROR(__xludf.DUMMYFUNCTION("""COMPUTED_VALUE"""),0.0)</f>
        <v>0</v>
      </c>
      <c r="V147" s="8">
        <f>IFERROR(__xludf.DUMMYFUNCTION("""COMPUTED_VALUE"""),0.0)</f>
        <v>0</v>
      </c>
      <c r="W147" s="8">
        <f>IFERROR(__xludf.DUMMYFUNCTION("""COMPUTED_VALUE"""),0.0)</f>
        <v>0</v>
      </c>
      <c r="X147" s="8">
        <f>IFERROR(__xludf.DUMMYFUNCTION("""COMPUTED_VALUE"""),0.0)</f>
        <v>0</v>
      </c>
      <c r="Y147" s="8">
        <f>IFERROR(__xludf.DUMMYFUNCTION("""COMPUTED_VALUE"""),0.0)</f>
        <v>0</v>
      </c>
      <c r="Z147" s="8">
        <f>IFERROR(__xludf.DUMMYFUNCTION("""COMPUTED_VALUE"""),0.0)</f>
        <v>0</v>
      </c>
      <c r="AA147" s="8">
        <f>IFERROR(__xludf.DUMMYFUNCTION("""COMPUTED_VALUE"""),0.0)</f>
        <v>0</v>
      </c>
      <c r="AB147" s="8">
        <f>IFERROR(__xludf.DUMMYFUNCTION("""COMPUTED_VALUE"""),0.0)</f>
        <v>0</v>
      </c>
      <c r="AC147" s="8">
        <f>IFERROR(__xludf.DUMMYFUNCTION("""COMPUTED_VALUE"""),0.0)</f>
        <v>0</v>
      </c>
    </row>
    <row r="148" ht="15.75" customHeight="1">
      <c r="A148" s="6" t="str">
        <f>IFERROR(__xludf.DUMMYFUNCTION("""COMPUTED_VALUE"""),"84289ce4a2b527c3aa47651760eaff877da6adad")</f>
        <v>84289ce4a2b527c3aa47651760eaff877da6adad</v>
      </c>
      <c r="B148" s="6" t="str">
        <f>IFERROR(__xludf.DUMMYFUNCTION("""COMPUTED_VALUE"""),"Contracted by Love")</f>
        <v>Contracted by Love</v>
      </c>
      <c r="C148" s="6" t="str">
        <f>IFERROR(__xludf.DUMMYFUNCTION("""COMPUTED_VALUE"""),"Romance")</f>
        <v>Romance</v>
      </c>
      <c r="D148" s="11">
        <f>IFERROR(__xludf.DUMMYFUNCTION("""COMPUTED_VALUE"""),1218.0)</f>
        <v>1218</v>
      </c>
      <c r="E148" s="8">
        <f>IFERROR(__xludf.DUMMYFUNCTION("""COMPUTED_VALUE"""),0.978653530377668)</f>
        <v>0.9786535304</v>
      </c>
      <c r="F148" s="8">
        <f>IFERROR(__xludf.DUMMYFUNCTION("""COMPUTED_VALUE"""),0.489711934156378)</f>
        <v>0.4897119342</v>
      </c>
      <c r="G148" s="8">
        <f>IFERROR(__xludf.DUMMYFUNCTION("""COMPUTED_VALUE"""),0.455070074196207)</f>
        <v>0.4550700742</v>
      </c>
      <c r="H148" s="8">
        <f>IFERROR(__xludf.DUMMYFUNCTION("""COMPUTED_VALUE"""),0.422442244224422)</f>
        <v>0.4224422442</v>
      </c>
      <c r="I148" s="8">
        <f>IFERROR(__xludf.DUMMYFUNCTION("""COMPUTED_VALUE"""),0.386138613861386)</f>
        <v>0.3861386139</v>
      </c>
      <c r="J148" s="8">
        <f>IFERROR(__xludf.DUMMYFUNCTION("""COMPUTED_VALUE"""),0.356198347107438)</f>
        <v>0.3561983471</v>
      </c>
      <c r="K148" s="8">
        <f>IFERROR(__xludf.DUMMYFUNCTION("""COMPUTED_VALUE"""),0.327543424317617)</f>
        <v>0.3275434243</v>
      </c>
      <c r="L148" s="8">
        <f>IFERROR(__xludf.DUMMYFUNCTION("""COMPUTED_VALUE"""),0.303734439834024)</f>
        <v>0.3037344398</v>
      </c>
      <c r="M148" s="8">
        <f>IFERROR(__xludf.DUMMYFUNCTION("""COMPUTED_VALUE"""),0.278015397775876)</f>
        <v>0.2780153978</v>
      </c>
      <c r="N148" s="8">
        <f>IFERROR(__xludf.DUMMYFUNCTION("""COMPUTED_VALUE"""),0.271681415929203)</f>
        <v>0.2716814159</v>
      </c>
      <c r="O148" s="8">
        <f>IFERROR(__xludf.DUMMYFUNCTION("""COMPUTED_VALUE"""),0.198402130492676)</f>
        <v>0.1984021305</v>
      </c>
      <c r="P148" s="8">
        <f>IFERROR(__xludf.DUMMYFUNCTION("""COMPUTED_VALUE"""),0.121693121693121)</f>
        <v>0.1216931217</v>
      </c>
      <c r="Q148" s="8">
        <f>IFERROR(__xludf.DUMMYFUNCTION("""COMPUTED_VALUE"""),0.032258064516129)</f>
        <v>0.03225806452</v>
      </c>
      <c r="R148" s="8">
        <f>IFERROR(__xludf.DUMMYFUNCTION("""COMPUTED_VALUE"""),0.0)</f>
        <v>0</v>
      </c>
      <c r="S148" s="8">
        <f>IFERROR(__xludf.DUMMYFUNCTION("""COMPUTED_VALUE"""),0.0)</f>
        <v>0</v>
      </c>
      <c r="T148" s="8">
        <f>IFERROR(__xludf.DUMMYFUNCTION("""COMPUTED_VALUE"""),0.0)</f>
        <v>0</v>
      </c>
      <c r="U148" s="8">
        <f>IFERROR(__xludf.DUMMYFUNCTION("""COMPUTED_VALUE"""),0.0)</f>
        <v>0</v>
      </c>
      <c r="V148" s="8">
        <f>IFERROR(__xludf.DUMMYFUNCTION("""COMPUTED_VALUE"""),0.0)</f>
        <v>0</v>
      </c>
      <c r="W148" s="8">
        <f>IFERROR(__xludf.DUMMYFUNCTION("""COMPUTED_VALUE"""),0.0)</f>
        <v>0</v>
      </c>
      <c r="X148" s="8">
        <f>IFERROR(__xludf.DUMMYFUNCTION("""COMPUTED_VALUE"""),0.0)</f>
        <v>0</v>
      </c>
      <c r="Y148" s="8">
        <f>IFERROR(__xludf.DUMMYFUNCTION("""COMPUTED_VALUE"""),0.0)</f>
        <v>0</v>
      </c>
      <c r="Z148" s="8">
        <f>IFERROR(__xludf.DUMMYFUNCTION("""COMPUTED_VALUE"""),0.0)</f>
        <v>0</v>
      </c>
      <c r="AA148" s="8">
        <f>IFERROR(__xludf.DUMMYFUNCTION("""COMPUTED_VALUE"""),0.0)</f>
        <v>0</v>
      </c>
      <c r="AB148" s="8">
        <f>IFERROR(__xludf.DUMMYFUNCTION("""COMPUTED_VALUE"""),0.0)</f>
        <v>0</v>
      </c>
      <c r="AC148" s="8">
        <f>IFERROR(__xludf.DUMMYFUNCTION("""COMPUTED_VALUE"""),0.0)</f>
        <v>0</v>
      </c>
    </row>
    <row r="149" ht="15.75" customHeight="1">
      <c r="A149" s="6" t="str">
        <f>IFERROR(__xludf.DUMMYFUNCTION("""COMPUTED_VALUE"""),"87b65acb9b6fcd4bc45f30d46f017fa847a0ce3c")</f>
        <v>87b65acb9b6fcd4bc45f30d46f017fa847a0ce3c</v>
      </c>
      <c r="B149" s="6" t="str">
        <f>IFERROR(__xludf.DUMMYFUNCTION("""COMPUTED_VALUE"""),"The Wife's Sweet Revenge")</f>
        <v>The Wife's Sweet Revenge</v>
      </c>
      <c r="C149" s="6" t="str">
        <f>IFERROR(__xludf.DUMMYFUNCTION("""COMPUTED_VALUE"""),"Romance")</f>
        <v>Romance</v>
      </c>
      <c r="D149" s="11">
        <f>IFERROR(__xludf.DUMMYFUNCTION("""COMPUTED_VALUE"""),401.0)</f>
        <v>401</v>
      </c>
      <c r="E149" s="8">
        <f>IFERROR(__xludf.DUMMYFUNCTION("""COMPUTED_VALUE"""),0.975232198142414)</f>
        <v>0.9752321981</v>
      </c>
      <c r="F149" s="8">
        <f>IFERROR(__xludf.DUMMYFUNCTION("""COMPUTED_VALUE"""),0.493055555555555)</f>
        <v>0.4930555556</v>
      </c>
      <c r="G149" s="8">
        <f>IFERROR(__xludf.DUMMYFUNCTION("""COMPUTED_VALUE"""),0.437788018433179)</f>
        <v>0.4377880184</v>
      </c>
      <c r="H149" s="8">
        <f>IFERROR(__xludf.DUMMYFUNCTION("""COMPUTED_VALUE"""),0.407407407407407)</f>
        <v>0.4074074074</v>
      </c>
      <c r="I149" s="8">
        <f>IFERROR(__xludf.DUMMYFUNCTION("""COMPUTED_VALUE"""),0.361842105263157)</f>
        <v>0.3618421053</v>
      </c>
      <c r="J149" s="8">
        <f>IFERROR(__xludf.DUMMYFUNCTION("""COMPUTED_VALUE"""),0.347457627118644)</f>
        <v>0.3474576271</v>
      </c>
      <c r="K149" s="8">
        <f>IFERROR(__xludf.DUMMYFUNCTION("""COMPUTED_VALUE"""),0.350877192982456)</f>
        <v>0.350877193</v>
      </c>
      <c r="L149" s="8">
        <f>IFERROR(__xludf.DUMMYFUNCTION("""COMPUTED_VALUE"""),0.384615384615384)</f>
        <v>0.3846153846</v>
      </c>
      <c r="M149" s="8">
        <f>IFERROR(__xludf.DUMMYFUNCTION("""COMPUTED_VALUE"""),0.583333333333333)</f>
        <v>0.5833333333</v>
      </c>
      <c r="N149" s="8">
        <f>IFERROR(__xludf.DUMMYFUNCTION("""COMPUTED_VALUE"""),0.5)</f>
        <v>0.5</v>
      </c>
      <c r="O149" s="8">
        <f>IFERROR(__xludf.DUMMYFUNCTION("""COMPUTED_VALUE"""),0.0)</f>
        <v>0</v>
      </c>
      <c r="P149" s="8">
        <f>IFERROR(__xludf.DUMMYFUNCTION("""COMPUTED_VALUE"""),0.0)</f>
        <v>0</v>
      </c>
      <c r="Q149" s="8">
        <f>IFERROR(__xludf.DUMMYFUNCTION("""COMPUTED_VALUE"""),0.0)</f>
        <v>0</v>
      </c>
      <c r="R149" s="8">
        <f>IFERROR(__xludf.DUMMYFUNCTION("""COMPUTED_VALUE"""),0.0)</f>
        <v>0</v>
      </c>
      <c r="S149" s="8">
        <f>IFERROR(__xludf.DUMMYFUNCTION("""COMPUTED_VALUE"""),0.0)</f>
        <v>0</v>
      </c>
      <c r="T149" s="8">
        <f>IFERROR(__xludf.DUMMYFUNCTION("""COMPUTED_VALUE"""),0.0)</f>
        <v>0</v>
      </c>
      <c r="U149" s="8">
        <f>IFERROR(__xludf.DUMMYFUNCTION("""COMPUTED_VALUE"""),0.0)</f>
        <v>0</v>
      </c>
      <c r="V149" s="8">
        <f>IFERROR(__xludf.DUMMYFUNCTION("""COMPUTED_VALUE"""),0.0)</f>
        <v>0</v>
      </c>
      <c r="W149" s="8">
        <f>IFERROR(__xludf.DUMMYFUNCTION("""COMPUTED_VALUE"""),0.0)</f>
        <v>0</v>
      </c>
      <c r="X149" s="8">
        <f>IFERROR(__xludf.DUMMYFUNCTION("""COMPUTED_VALUE"""),0.0)</f>
        <v>0</v>
      </c>
      <c r="Y149" s="8">
        <f>IFERROR(__xludf.DUMMYFUNCTION("""COMPUTED_VALUE"""),0.0)</f>
        <v>0</v>
      </c>
      <c r="Z149" s="8">
        <f>IFERROR(__xludf.DUMMYFUNCTION("""COMPUTED_VALUE"""),0.0)</f>
        <v>0</v>
      </c>
      <c r="AA149" s="8">
        <f>IFERROR(__xludf.DUMMYFUNCTION("""COMPUTED_VALUE"""),0.0)</f>
        <v>0</v>
      </c>
      <c r="AB149" s="8">
        <f>IFERROR(__xludf.DUMMYFUNCTION("""COMPUTED_VALUE"""),0.0)</f>
        <v>0</v>
      </c>
      <c r="AC149" s="8">
        <f>IFERROR(__xludf.DUMMYFUNCTION("""COMPUTED_VALUE"""),0.0)</f>
        <v>0</v>
      </c>
    </row>
    <row r="150" ht="15.75" customHeight="1">
      <c r="A150" s="6" t="str">
        <f>IFERROR(__xludf.DUMMYFUNCTION("""COMPUTED_VALUE"""),"8824fc43e4267c5a0e2b7acff644eae4b8b2222d")</f>
        <v>8824fc43e4267c5a0e2b7acff644eae4b8b2222d</v>
      </c>
      <c r="B150" s="6" t="str">
        <f>IFERROR(__xludf.DUMMYFUNCTION("""COMPUTED_VALUE"""),"Was It Only Lust?")</f>
        <v>Was It Only Lust?</v>
      </c>
      <c r="C150" s="6" t="str">
        <f>IFERROR(__xludf.DUMMYFUNCTION("""COMPUTED_VALUE"""),"Romance")</f>
        <v>Romance</v>
      </c>
      <c r="D150" s="11">
        <f>IFERROR(__xludf.DUMMYFUNCTION("""COMPUTED_VALUE"""),1594.0)</f>
        <v>1594</v>
      </c>
      <c r="E150" s="8">
        <f>IFERROR(__xludf.DUMMYFUNCTION("""COMPUTED_VALUE"""),0.964868255959849)</f>
        <v>0.964868256</v>
      </c>
      <c r="F150" s="8">
        <f>IFERROR(__xludf.DUMMYFUNCTION("""COMPUTED_VALUE"""),0.518844221105527)</f>
        <v>0.5188442211</v>
      </c>
      <c r="G150" s="8">
        <f>IFERROR(__xludf.DUMMYFUNCTION("""COMPUTED_VALUE"""),0.444723618090452)</f>
        <v>0.4447236181</v>
      </c>
      <c r="H150" s="8">
        <f>IFERROR(__xludf.DUMMYFUNCTION("""COMPUTED_VALUE"""),0.407663316582914)</f>
        <v>0.4076633166</v>
      </c>
      <c r="I150" s="8">
        <f>IFERROR(__xludf.DUMMYFUNCTION("""COMPUTED_VALUE"""),0.380503144654088)</f>
        <v>0.3805031447</v>
      </c>
      <c r="J150" s="8">
        <f>IFERROR(__xludf.DUMMYFUNCTION("""COMPUTED_VALUE"""),0.381371932032724)</f>
        <v>0.381371932</v>
      </c>
      <c r="K150" s="8">
        <f>IFERROR(__xludf.DUMMYFUNCTION("""COMPUTED_VALUE"""),0.360655737704918)</f>
        <v>0.3606557377</v>
      </c>
      <c r="L150" s="8">
        <f>IFERROR(__xludf.DUMMYFUNCTION("""COMPUTED_VALUE"""),0.315989847715736)</f>
        <v>0.3159898477</v>
      </c>
      <c r="M150" s="8">
        <f>IFERROR(__xludf.DUMMYFUNCTION("""COMPUTED_VALUE"""),0.304097311139564)</f>
        <v>0.3040973111</v>
      </c>
      <c r="N150" s="8">
        <f>IFERROR(__xludf.DUMMYFUNCTION("""COMPUTED_VALUE"""),0.286632390745501)</f>
        <v>0.2866323907</v>
      </c>
      <c r="O150" s="8">
        <f>IFERROR(__xludf.DUMMYFUNCTION("""COMPUTED_VALUE"""),0.195595854922279)</f>
        <v>0.1955958549</v>
      </c>
      <c r="P150" s="8">
        <f>IFERROR(__xludf.DUMMYFUNCTION("""COMPUTED_VALUE"""),0.124467178175618)</f>
        <v>0.1244671782</v>
      </c>
      <c r="Q150" s="8">
        <f>IFERROR(__xludf.DUMMYFUNCTION("""COMPUTED_VALUE"""),0.088235294117647)</f>
        <v>0.08823529412</v>
      </c>
      <c r="R150" s="8">
        <f>IFERROR(__xludf.DUMMYFUNCTION("""COMPUTED_VALUE"""),0.0)</f>
        <v>0</v>
      </c>
      <c r="S150" s="8">
        <f>IFERROR(__xludf.DUMMYFUNCTION("""COMPUTED_VALUE"""),0.0)</f>
        <v>0</v>
      </c>
      <c r="T150" s="8">
        <f>IFERROR(__xludf.DUMMYFUNCTION("""COMPUTED_VALUE"""),0.0)</f>
        <v>0</v>
      </c>
      <c r="U150" s="8">
        <f>IFERROR(__xludf.DUMMYFUNCTION("""COMPUTED_VALUE"""),0.0)</f>
        <v>0</v>
      </c>
      <c r="V150" s="8">
        <f>IFERROR(__xludf.DUMMYFUNCTION("""COMPUTED_VALUE"""),0.0)</f>
        <v>0</v>
      </c>
      <c r="W150" s="8">
        <f>IFERROR(__xludf.DUMMYFUNCTION("""COMPUTED_VALUE"""),0.0)</f>
        <v>0</v>
      </c>
      <c r="X150" s="8">
        <f>IFERROR(__xludf.DUMMYFUNCTION("""COMPUTED_VALUE"""),0.0)</f>
        <v>0</v>
      </c>
      <c r="Y150" s="8">
        <f>IFERROR(__xludf.DUMMYFUNCTION("""COMPUTED_VALUE"""),0.0)</f>
        <v>0</v>
      </c>
      <c r="Z150" s="8">
        <f>IFERROR(__xludf.DUMMYFUNCTION("""COMPUTED_VALUE"""),0.0)</f>
        <v>0</v>
      </c>
      <c r="AA150" s="8">
        <f>IFERROR(__xludf.DUMMYFUNCTION("""COMPUTED_VALUE"""),0.0)</f>
        <v>0</v>
      </c>
      <c r="AB150" s="8">
        <f>IFERROR(__xludf.DUMMYFUNCTION("""COMPUTED_VALUE"""),0.0)</f>
        <v>0</v>
      </c>
      <c r="AC150" s="8">
        <f>IFERROR(__xludf.DUMMYFUNCTION("""COMPUTED_VALUE"""),0.0)</f>
        <v>0</v>
      </c>
    </row>
    <row r="151" ht="15.75" customHeight="1">
      <c r="A151" s="6" t="str">
        <f>IFERROR(__xludf.DUMMYFUNCTION("""COMPUTED_VALUE"""),"8aab13cef66595bf85428c05007cefe16b733ba5")</f>
        <v>8aab13cef66595bf85428c05007cefe16b733ba5</v>
      </c>
      <c r="B151" s="6" t="str">
        <f>IFERROR(__xludf.DUMMYFUNCTION("""COMPUTED_VALUE"""),"Reborn Heartbeat")</f>
        <v>Reborn Heartbeat</v>
      </c>
      <c r="C151" s="6" t="str">
        <f>IFERROR(__xludf.DUMMYFUNCTION("""COMPUTED_VALUE"""),"Romance")</f>
        <v>Romance</v>
      </c>
      <c r="D151" s="11">
        <f>IFERROR(__xludf.DUMMYFUNCTION("""COMPUTED_VALUE"""),4580.0)</f>
        <v>4580</v>
      </c>
      <c r="E151" s="8">
        <f>IFERROR(__xludf.DUMMYFUNCTION("""COMPUTED_VALUE"""),0.910620629370629)</f>
        <v>0.9106206294</v>
      </c>
      <c r="F151" s="8">
        <f>IFERROR(__xludf.DUMMYFUNCTION("""COMPUTED_VALUE"""),0.579028021015761)</f>
        <v>0.579028021</v>
      </c>
      <c r="G151" s="8">
        <f>IFERROR(__xludf.DUMMYFUNCTION("""COMPUTED_VALUE"""),0.52881875958799)</f>
        <v>0.5288187596</v>
      </c>
      <c r="H151" s="8">
        <f>IFERROR(__xludf.DUMMYFUNCTION("""COMPUTED_VALUE"""),0.502302126726595)</f>
        <v>0.5023021267</v>
      </c>
      <c r="I151" s="8">
        <f>IFERROR(__xludf.DUMMYFUNCTION("""COMPUTED_VALUE"""),0.482221246707638)</f>
        <v>0.4822212467</v>
      </c>
      <c r="J151" s="8">
        <f>IFERROR(__xludf.DUMMYFUNCTION("""COMPUTED_VALUE"""),0.461149020471054)</f>
        <v>0.4611490205</v>
      </c>
      <c r="K151" s="8">
        <f>IFERROR(__xludf.DUMMYFUNCTION("""COMPUTED_VALUE"""),0.452680344142951)</f>
        <v>0.4526803441</v>
      </c>
      <c r="L151" s="8">
        <f>IFERROR(__xludf.DUMMYFUNCTION("""COMPUTED_VALUE"""),0.440362912148705)</f>
        <v>0.4403629121</v>
      </c>
      <c r="M151" s="8">
        <f>IFERROR(__xludf.DUMMYFUNCTION("""COMPUTED_VALUE"""),0.424423758865248)</f>
        <v>0.4244237589</v>
      </c>
      <c r="N151" s="8">
        <f>IFERROR(__xludf.DUMMYFUNCTION("""COMPUTED_VALUE"""),0.431712191872085)</f>
        <v>0.4317121919</v>
      </c>
      <c r="O151" s="8">
        <f>IFERROR(__xludf.DUMMYFUNCTION("""COMPUTED_VALUE"""),0.417713004484304)</f>
        <v>0.4177130045</v>
      </c>
      <c r="P151" s="8">
        <f>IFERROR(__xludf.DUMMYFUNCTION("""COMPUTED_VALUE"""),0.272010808376491)</f>
        <v>0.2720108084</v>
      </c>
      <c r="Q151" s="8">
        <f>IFERROR(__xludf.DUMMYFUNCTION("""COMPUTED_VALUE"""),0.202043132803632)</f>
        <v>0.2020431328</v>
      </c>
      <c r="R151" s="8">
        <f>IFERROR(__xludf.DUMMYFUNCTION("""COMPUTED_VALUE"""),0.0)</f>
        <v>0</v>
      </c>
      <c r="S151" s="8">
        <f>IFERROR(__xludf.DUMMYFUNCTION("""COMPUTED_VALUE"""),0.0)</f>
        <v>0</v>
      </c>
      <c r="T151" s="8">
        <f>IFERROR(__xludf.DUMMYFUNCTION("""COMPUTED_VALUE"""),0.0)</f>
        <v>0</v>
      </c>
      <c r="U151" s="8">
        <f>IFERROR(__xludf.DUMMYFUNCTION("""COMPUTED_VALUE"""),0.0)</f>
        <v>0</v>
      </c>
      <c r="V151" s="8">
        <f>IFERROR(__xludf.DUMMYFUNCTION("""COMPUTED_VALUE"""),0.0)</f>
        <v>0</v>
      </c>
      <c r="W151" s="8">
        <f>IFERROR(__xludf.DUMMYFUNCTION("""COMPUTED_VALUE"""),0.0)</f>
        <v>0</v>
      </c>
      <c r="X151" s="8">
        <f>IFERROR(__xludf.DUMMYFUNCTION("""COMPUTED_VALUE"""),0.0)</f>
        <v>0</v>
      </c>
      <c r="Y151" s="8">
        <f>IFERROR(__xludf.DUMMYFUNCTION("""COMPUTED_VALUE"""),0.0)</f>
        <v>0</v>
      </c>
      <c r="Z151" s="8">
        <f>IFERROR(__xludf.DUMMYFUNCTION("""COMPUTED_VALUE"""),0.0)</f>
        <v>0</v>
      </c>
      <c r="AA151" s="8">
        <f>IFERROR(__xludf.DUMMYFUNCTION("""COMPUTED_VALUE"""),0.0)</f>
        <v>0</v>
      </c>
      <c r="AB151" s="8">
        <f>IFERROR(__xludf.DUMMYFUNCTION("""COMPUTED_VALUE"""),0.0)</f>
        <v>0</v>
      </c>
      <c r="AC151" s="8">
        <f>IFERROR(__xludf.DUMMYFUNCTION("""COMPUTED_VALUE"""),0.0)</f>
        <v>0</v>
      </c>
    </row>
    <row r="152" ht="15.75" customHeight="1">
      <c r="A152" s="6" t="str">
        <f>IFERROR(__xludf.DUMMYFUNCTION("""COMPUTED_VALUE"""),"8b0fd7aa03d26e2de1586a0fe7c91505431575cc")</f>
        <v>8b0fd7aa03d26e2de1586a0fe7c91505431575cc</v>
      </c>
      <c r="B152" s="6" t="str">
        <f>IFERROR(__xludf.DUMMYFUNCTION("""COMPUTED_VALUE"""),"The Midnight Luna")</f>
        <v>The Midnight Luna</v>
      </c>
      <c r="C152" s="6" t="str">
        <f>IFERROR(__xludf.DUMMYFUNCTION("""COMPUTED_VALUE"""),"Romantasy")</f>
        <v>Romantasy</v>
      </c>
      <c r="D152" s="11">
        <f>IFERROR(__xludf.DUMMYFUNCTION("""COMPUTED_VALUE"""),1540.0)</f>
        <v>1540</v>
      </c>
      <c r="E152" s="8">
        <f>IFERROR(__xludf.DUMMYFUNCTION("""COMPUTED_VALUE"""),0.972584856396866)</f>
        <v>0.9725848564</v>
      </c>
      <c r="F152" s="8">
        <f>IFERROR(__xludf.DUMMYFUNCTION("""COMPUTED_VALUE"""),0.617218543046357)</f>
        <v>0.617218543</v>
      </c>
      <c r="G152" s="8">
        <f>IFERROR(__xludf.DUMMYFUNCTION("""COMPUTED_VALUE"""),0.556962025316455)</f>
        <v>0.5569620253</v>
      </c>
      <c r="H152" s="8">
        <f>IFERROR(__xludf.DUMMYFUNCTION("""COMPUTED_VALUE"""),0.513096037609133)</f>
        <v>0.5130960376</v>
      </c>
      <c r="I152" s="8">
        <f>IFERROR(__xludf.DUMMYFUNCTION("""COMPUTED_VALUE"""),0.485155195681511)</f>
        <v>0.4851551957</v>
      </c>
      <c r="J152" s="8">
        <f>IFERROR(__xludf.DUMMYFUNCTION("""COMPUTED_VALUE"""),0.466847090663058)</f>
        <v>0.4668470907</v>
      </c>
      <c r="K152" s="8">
        <f>IFERROR(__xludf.DUMMYFUNCTION("""COMPUTED_VALUE"""),0.448299319727891)</f>
        <v>0.4482993197</v>
      </c>
      <c r="L152" s="8">
        <f>IFERROR(__xludf.DUMMYFUNCTION("""COMPUTED_VALUE"""),0.423950447350309)</f>
        <v>0.4239504474</v>
      </c>
      <c r="M152" s="8">
        <f>IFERROR(__xludf.DUMMYFUNCTION("""COMPUTED_VALUE"""),0.412213740458015)</f>
        <v>0.4122137405</v>
      </c>
      <c r="N152" s="8">
        <f>IFERROR(__xludf.DUMMYFUNCTION("""COMPUTED_VALUE"""),0.402932960893854)</f>
        <v>0.4029329609</v>
      </c>
      <c r="O152" s="8">
        <f>IFERROR(__xludf.DUMMYFUNCTION("""COMPUTED_VALUE"""),0.367205542725173)</f>
        <v>0.3672055427</v>
      </c>
      <c r="P152" s="8">
        <f>IFERROR(__xludf.DUMMYFUNCTION("""COMPUTED_VALUE"""),0.3125)</f>
        <v>0.3125</v>
      </c>
      <c r="Q152" s="8">
        <f>IFERROR(__xludf.DUMMYFUNCTION("""COMPUTED_VALUE"""),0.0)</f>
        <v>0</v>
      </c>
      <c r="R152" s="8">
        <f>IFERROR(__xludf.DUMMYFUNCTION("""COMPUTED_VALUE"""),0.0)</f>
        <v>0</v>
      </c>
      <c r="S152" s="8">
        <f>IFERROR(__xludf.DUMMYFUNCTION("""COMPUTED_VALUE"""),0.0)</f>
        <v>0</v>
      </c>
      <c r="T152" s="8">
        <f>IFERROR(__xludf.DUMMYFUNCTION("""COMPUTED_VALUE"""),0.0)</f>
        <v>0</v>
      </c>
      <c r="U152" s="8">
        <f>IFERROR(__xludf.DUMMYFUNCTION("""COMPUTED_VALUE"""),0.0)</f>
        <v>0</v>
      </c>
      <c r="V152" s="8">
        <f>IFERROR(__xludf.DUMMYFUNCTION("""COMPUTED_VALUE"""),0.0)</f>
        <v>0</v>
      </c>
      <c r="W152" s="8">
        <f>IFERROR(__xludf.DUMMYFUNCTION("""COMPUTED_VALUE"""),0.0)</f>
        <v>0</v>
      </c>
      <c r="X152" s="8">
        <f>IFERROR(__xludf.DUMMYFUNCTION("""COMPUTED_VALUE"""),0.0)</f>
        <v>0</v>
      </c>
      <c r="Y152" s="8">
        <f>IFERROR(__xludf.DUMMYFUNCTION("""COMPUTED_VALUE"""),0.0)</f>
        <v>0</v>
      </c>
      <c r="Z152" s="8">
        <f>IFERROR(__xludf.DUMMYFUNCTION("""COMPUTED_VALUE"""),0.0)</f>
        <v>0</v>
      </c>
      <c r="AA152" s="8">
        <f>IFERROR(__xludf.DUMMYFUNCTION("""COMPUTED_VALUE"""),0.0)</f>
        <v>0</v>
      </c>
      <c r="AB152" s="8">
        <f>IFERROR(__xludf.DUMMYFUNCTION("""COMPUTED_VALUE"""),0.0)</f>
        <v>0</v>
      </c>
      <c r="AC152" s="8">
        <f>IFERROR(__xludf.DUMMYFUNCTION("""COMPUTED_VALUE"""),0.0)</f>
        <v>0</v>
      </c>
    </row>
    <row r="153" ht="15.75" customHeight="1">
      <c r="A153" s="6" t="str">
        <f>IFERROR(__xludf.DUMMYFUNCTION("""COMPUTED_VALUE"""),"8bba1c491698de2d4d33abe2f115e5d666e141b2")</f>
        <v>8bba1c491698de2d4d33abe2f115e5d666e141b2</v>
      </c>
      <c r="B153" s="6" t="str">
        <f>IFERROR(__xludf.DUMMYFUNCTION("""COMPUTED_VALUE"""),"Until He Remembers Me")</f>
        <v>Until He Remembers Me</v>
      </c>
      <c r="C153" s="6" t="str">
        <f>IFERROR(__xludf.DUMMYFUNCTION("""COMPUTED_VALUE"""),"Romance")</f>
        <v>Romance</v>
      </c>
      <c r="D153" s="11">
        <f>IFERROR(__xludf.DUMMYFUNCTION("""COMPUTED_VALUE"""),1212.0)</f>
        <v>1212</v>
      </c>
      <c r="E153" s="8">
        <f>IFERROR(__xludf.DUMMYFUNCTION("""COMPUTED_VALUE"""),0.959403479701739)</f>
        <v>0.9594034797</v>
      </c>
      <c r="F153" s="8">
        <f>IFERROR(__xludf.DUMMYFUNCTION("""COMPUTED_VALUE"""),0.46160267111853)</f>
        <v>0.4616026711</v>
      </c>
      <c r="G153" s="8">
        <f>IFERROR(__xludf.DUMMYFUNCTION("""COMPUTED_VALUE"""),0.409547738693467)</f>
        <v>0.4095477387</v>
      </c>
      <c r="H153" s="8">
        <f>IFERROR(__xludf.DUMMYFUNCTION("""COMPUTED_VALUE"""),0.366161616161616)</f>
        <v>0.3661616162</v>
      </c>
      <c r="I153" s="8">
        <f>IFERROR(__xludf.DUMMYFUNCTION("""COMPUTED_VALUE"""),0.342905405405405)</f>
        <v>0.3429054054</v>
      </c>
      <c r="J153" s="8">
        <f>IFERROR(__xludf.DUMMYFUNCTION("""COMPUTED_VALUE"""),0.322005097706032)</f>
        <v>0.3220050977</v>
      </c>
      <c r="K153" s="8">
        <f>IFERROR(__xludf.DUMMYFUNCTION("""COMPUTED_VALUE"""),0.305912596401028)</f>
        <v>0.3059125964</v>
      </c>
      <c r="L153" s="8">
        <f>IFERROR(__xludf.DUMMYFUNCTION("""COMPUTED_VALUE"""),0.283132530120481)</f>
        <v>0.2831325301</v>
      </c>
      <c r="M153" s="8">
        <f>IFERROR(__xludf.DUMMYFUNCTION("""COMPUTED_VALUE"""),0.268798617113223)</f>
        <v>0.2687986171</v>
      </c>
      <c r="N153" s="8">
        <f>IFERROR(__xludf.DUMMYFUNCTION("""COMPUTED_VALUE"""),0.264758497316636)</f>
        <v>0.2647584973</v>
      </c>
      <c r="O153" s="8">
        <f>IFERROR(__xludf.DUMMYFUNCTION("""COMPUTED_VALUE"""),0.219981668194317)</f>
        <v>0.2199816682</v>
      </c>
      <c r="P153" s="8">
        <f>IFERROR(__xludf.DUMMYFUNCTION("""COMPUTED_VALUE"""),0.149489322191272)</f>
        <v>0.1494893222</v>
      </c>
      <c r="Q153" s="8">
        <f>IFERROR(__xludf.DUMMYFUNCTION("""COMPUTED_VALUE"""),0.0)</f>
        <v>0</v>
      </c>
      <c r="R153" s="8">
        <f>IFERROR(__xludf.DUMMYFUNCTION("""COMPUTED_VALUE"""),0.0)</f>
        <v>0</v>
      </c>
      <c r="S153" s="8">
        <f>IFERROR(__xludf.DUMMYFUNCTION("""COMPUTED_VALUE"""),0.0)</f>
        <v>0</v>
      </c>
      <c r="T153" s="8">
        <f>IFERROR(__xludf.DUMMYFUNCTION("""COMPUTED_VALUE"""),0.0)</f>
        <v>0</v>
      </c>
      <c r="U153" s="8">
        <f>IFERROR(__xludf.DUMMYFUNCTION("""COMPUTED_VALUE"""),0.0)</f>
        <v>0</v>
      </c>
      <c r="V153" s="8">
        <f>IFERROR(__xludf.DUMMYFUNCTION("""COMPUTED_VALUE"""),0.0)</f>
        <v>0</v>
      </c>
      <c r="W153" s="8">
        <f>IFERROR(__xludf.DUMMYFUNCTION("""COMPUTED_VALUE"""),0.0)</f>
        <v>0</v>
      </c>
      <c r="X153" s="8">
        <f>IFERROR(__xludf.DUMMYFUNCTION("""COMPUTED_VALUE"""),0.0)</f>
        <v>0</v>
      </c>
      <c r="Y153" s="8">
        <f>IFERROR(__xludf.DUMMYFUNCTION("""COMPUTED_VALUE"""),0.0)</f>
        <v>0</v>
      </c>
      <c r="Z153" s="8">
        <f>IFERROR(__xludf.DUMMYFUNCTION("""COMPUTED_VALUE"""),0.0)</f>
        <v>0</v>
      </c>
      <c r="AA153" s="8">
        <f>IFERROR(__xludf.DUMMYFUNCTION("""COMPUTED_VALUE"""),0.0)</f>
        <v>0</v>
      </c>
      <c r="AB153" s="8">
        <f>IFERROR(__xludf.DUMMYFUNCTION("""COMPUTED_VALUE"""),0.0)</f>
        <v>0</v>
      </c>
      <c r="AC153" s="8">
        <f>IFERROR(__xludf.DUMMYFUNCTION("""COMPUTED_VALUE"""),0.0)</f>
        <v>0</v>
      </c>
    </row>
    <row r="154" ht="15.75" customHeight="1">
      <c r="A154" s="6" t="str">
        <f>IFERROR(__xludf.DUMMYFUNCTION("""COMPUTED_VALUE"""),"8bcd1b852cfa9d73ac3583317066946ad2b0abf7")</f>
        <v>8bcd1b852cfa9d73ac3583317066946ad2b0abf7</v>
      </c>
      <c r="B154" s="6" t="str">
        <f>IFERROR(__xludf.DUMMYFUNCTION("""COMPUTED_VALUE"""),"Heir to Draconic Dominion")</f>
        <v>Heir to Draconic Dominion</v>
      </c>
      <c r="C154" s="6" t="str">
        <f>IFERROR(__xludf.DUMMYFUNCTION("""COMPUTED_VALUE"""),"Fantasy")</f>
        <v>Fantasy</v>
      </c>
      <c r="D154" s="11">
        <f>IFERROR(__xludf.DUMMYFUNCTION("""COMPUTED_VALUE"""),571.0)</f>
        <v>571</v>
      </c>
      <c r="E154" s="8">
        <f>IFERROR(__xludf.DUMMYFUNCTION("""COMPUTED_VALUE"""),0.964912280701754)</f>
        <v>0.9649122807</v>
      </c>
      <c r="F154" s="8">
        <f>IFERROR(__xludf.DUMMYFUNCTION("""COMPUTED_VALUE"""),0.431338028169014)</f>
        <v>0.4313380282</v>
      </c>
      <c r="G154" s="8">
        <f>IFERROR(__xludf.DUMMYFUNCTION("""COMPUTED_VALUE"""),0.389770723104056)</f>
        <v>0.3897707231</v>
      </c>
      <c r="H154" s="8">
        <f>IFERROR(__xludf.DUMMYFUNCTION("""COMPUTED_VALUE"""),0.37389770723104)</f>
        <v>0.3738977072</v>
      </c>
      <c r="I154" s="8">
        <f>IFERROR(__xludf.DUMMYFUNCTION("""COMPUTED_VALUE"""),0.348056537102473)</f>
        <v>0.3480565371</v>
      </c>
      <c r="J154" s="8">
        <f>IFERROR(__xludf.DUMMYFUNCTION("""COMPUTED_VALUE"""),0.334513274336283)</f>
        <v>0.3345132743</v>
      </c>
      <c r="K154" s="8">
        <f>IFERROR(__xludf.DUMMYFUNCTION("""COMPUTED_VALUE"""),0.310834813499111)</f>
        <v>0.3108348135</v>
      </c>
      <c r="L154" s="8">
        <f>IFERROR(__xludf.DUMMYFUNCTION("""COMPUTED_VALUE"""),0.30550621669627)</f>
        <v>0.3055062167</v>
      </c>
      <c r="M154" s="8">
        <f>IFERROR(__xludf.DUMMYFUNCTION("""COMPUTED_VALUE"""),0.290035587188612)</f>
        <v>0.2900355872</v>
      </c>
      <c r="N154" s="8">
        <f>IFERROR(__xludf.DUMMYFUNCTION("""COMPUTED_VALUE"""),0.288014311270125)</f>
        <v>0.2880143113</v>
      </c>
      <c r="O154" s="8">
        <f>IFERROR(__xludf.DUMMYFUNCTION("""COMPUTED_VALUE"""),0.242307692307692)</f>
        <v>0.2423076923</v>
      </c>
      <c r="P154" s="8">
        <f>IFERROR(__xludf.DUMMYFUNCTION("""COMPUTED_VALUE"""),0.196936542669584)</f>
        <v>0.1969365427</v>
      </c>
      <c r="Q154" s="8">
        <f>IFERROR(__xludf.DUMMYFUNCTION("""COMPUTED_VALUE"""),0.121212121212121)</f>
        <v>0.1212121212</v>
      </c>
      <c r="R154" s="8">
        <f>IFERROR(__xludf.DUMMYFUNCTION("""COMPUTED_VALUE"""),1.0)</f>
        <v>1</v>
      </c>
      <c r="S154" s="8">
        <f>IFERROR(__xludf.DUMMYFUNCTION("""COMPUTED_VALUE"""),0.0)</f>
        <v>0</v>
      </c>
      <c r="T154" s="8">
        <f>IFERROR(__xludf.DUMMYFUNCTION("""COMPUTED_VALUE"""),0.0)</f>
        <v>0</v>
      </c>
      <c r="U154" s="8">
        <f>IFERROR(__xludf.DUMMYFUNCTION("""COMPUTED_VALUE"""),0.0)</f>
        <v>0</v>
      </c>
      <c r="V154" s="8">
        <f>IFERROR(__xludf.DUMMYFUNCTION("""COMPUTED_VALUE"""),0.0)</f>
        <v>0</v>
      </c>
      <c r="W154" s="8">
        <f>IFERROR(__xludf.DUMMYFUNCTION("""COMPUTED_VALUE"""),0.0)</f>
        <v>0</v>
      </c>
      <c r="X154" s="8">
        <f>IFERROR(__xludf.DUMMYFUNCTION("""COMPUTED_VALUE"""),0.0)</f>
        <v>0</v>
      </c>
      <c r="Y154" s="8">
        <f>IFERROR(__xludf.DUMMYFUNCTION("""COMPUTED_VALUE"""),0.0)</f>
        <v>0</v>
      </c>
      <c r="Z154" s="8">
        <f>IFERROR(__xludf.DUMMYFUNCTION("""COMPUTED_VALUE"""),0.0)</f>
        <v>0</v>
      </c>
      <c r="AA154" s="8">
        <f>IFERROR(__xludf.DUMMYFUNCTION("""COMPUTED_VALUE"""),0.0)</f>
        <v>0</v>
      </c>
      <c r="AB154" s="8">
        <f>IFERROR(__xludf.DUMMYFUNCTION("""COMPUTED_VALUE"""),0.0)</f>
        <v>0</v>
      </c>
      <c r="AC154" s="8">
        <f>IFERROR(__xludf.DUMMYFUNCTION("""COMPUTED_VALUE"""),0.0)</f>
        <v>0</v>
      </c>
    </row>
    <row r="155" ht="15.75" customHeight="1">
      <c r="A155" s="6" t="str">
        <f>IFERROR(__xludf.DUMMYFUNCTION("""COMPUTED_VALUE"""),"8e36a60de34dcee5a96156507eb902741b36cc77")</f>
        <v>8e36a60de34dcee5a96156507eb902741b36cc77</v>
      </c>
      <c r="B155" s="6" t="str">
        <f>IFERROR(__xludf.DUMMYFUNCTION("""COMPUTED_VALUE"""),"It's Crystal")</f>
        <v>It's Crystal</v>
      </c>
      <c r="C155" s="6" t="str">
        <f>IFERROR(__xludf.DUMMYFUNCTION("""COMPUTED_VALUE"""),"Romance")</f>
        <v>Romance</v>
      </c>
      <c r="D155" s="11">
        <f>IFERROR(__xludf.DUMMYFUNCTION("""COMPUTED_VALUE"""),1467.0)</f>
        <v>1467</v>
      </c>
      <c r="E155" s="8">
        <f>IFERROR(__xludf.DUMMYFUNCTION("""COMPUTED_VALUE"""),0.954328561690524)</f>
        <v>0.9543285617</v>
      </c>
      <c r="F155" s="8">
        <f>IFERROR(__xludf.DUMMYFUNCTION("""COMPUTED_VALUE"""),0.575034106412005)</f>
        <v>0.5750341064</v>
      </c>
      <c r="G155" s="8">
        <f>IFERROR(__xludf.DUMMYFUNCTION("""COMPUTED_VALUE"""),0.536202185792349)</f>
        <v>0.5362021858</v>
      </c>
      <c r="H155" s="8">
        <f>IFERROR(__xludf.DUMMYFUNCTION("""COMPUTED_VALUE"""),0.521857923497267)</f>
        <v>0.5218579235</v>
      </c>
      <c r="I155" s="8">
        <f>IFERROR(__xludf.DUMMYFUNCTION("""COMPUTED_VALUE"""),0.513328776486671)</f>
        <v>0.5133287765</v>
      </c>
      <c r="J155" s="8">
        <f>IFERROR(__xludf.DUMMYFUNCTION("""COMPUTED_VALUE"""),0.490088858509911)</f>
        <v>0.4900888585</v>
      </c>
      <c r="K155" s="8">
        <f>IFERROR(__xludf.DUMMYFUNCTION("""COMPUTED_VALUE"""),0.470144131777625)</f>
        <v>0.4701441318</v>
      </c>
      <c r="L155" s="8">
        <f>IFERROR(__xludf.DUMMYFUNCTION("""COMPUTED_VALUE"""),0.446735395189003)</f>
        <v>0.4467353952</v>
      </c>
      <c r="M155" s="8">
        <f>IFERROR(__xludf.DUMMYFUNCTION("""COMPUTED_VALUE"""),0.42680412371134)</f>
        <v>0.4268041237</v>
      </c>
      <c r="N155" s="8">
        <f>IFERROR(__xludf.DUMMYFUNCTION("""COMPUTED_VALUE"""),0.417182130584192)</f>
        <v>0.4171821306</v>
      </c>
      <c r="O155" s="8">
        <f>IFERROR(__xludf.DUMMYFUNCTION("""COMPUTED_VALUE"""),0.355823863636363)</f>
        <v>0.3558238636</v>
      </c>
      <c r="P155" s="8">
        <f>IFERROR(__xludf.DUMMYFUNCTION("""COMPUTED_VALUE"""),0.261675315048183)</f>
        <v>0.261675315</v>
      </c>
      <c r="Q155" s="8">
        <f>IFERROR(__xludf.DUMMYFUNCTION("""COMPUTED_VALUE"""),0.145544554455445)</f>
        <v>0.1455445545</v>
      </c>
      <c r="R155" s="8">
        <f>IFERROR(__xludf.DUMMYFUNCTION("""COMPUTED_VALUE"""),0.103225806451612)</f>
        <v>0.1032258065</v>
      </c>
      <c r="S155" s="8">
        <f>IFERROR(__xludf.DUMMYFUNCTION("""COMPUTED_VALUE"""),0.0)</f>
        <v>0</v>
      </c>
      <c r="T155" s="8">
        <f>IFERROR(__xludf.DUMMYFUNCTION("""COMPUTED_VALUE"""),0.0)</f>
        <v>0</v>
      </c>
      <c r="U155" s="8">
        <f>IFERROR(__xludf.DUMMYFUNCTION("""COMPUTED_VALUE"""),0.0)</f>
        <v>0</v>
      </c>
      <c r="V155" s="8">
        <f>IFERROR(__xludf.DUMMYFUNCTION("""COMPUTED_VALUE"""),0.0)</f>
        <v>0</v>
      </c>
      <c r="W155" s="8">
        <f>IFERROR(__xludf.DUMMYFUNCTION("""COMPUTED_VALUE"""),0.0)</f>
        <v>0</v>
      </c>
      <c r="X155" s="8">
        <f>IFERROR(__xludf.DUMMYFUNCTION("""COMPUTED_VALUE"""),0.0)</f>
        <v>0</v>
      </c>
      <c r="Y155" s="8">
        <f>IFERROR(__xludf.DUMMYFUNCTION("""COMPUTED_VALUE"""),0.0)</f>
        <v>0</v>
      </c>
      <c r="Z155" s="8">
        <f>IFERROR(__xludf.DUMMYFUNCTION("""COMPUTED_VALUE"""),0.0)</f>
        <v>0</v>
      </c>
      <c r="AA155" s="8">
        <f>IFERROR(__xludf.DUMMYFUNCTION("""COMPUTED_VALUE"""),0.0)</f>
        <v>0</v>
      </c>
      <c r="AB155" s="8">
        <f>IFERROR(__xludf.DUMMYFUNCTION("""COMPUTED_VALUE"""),0.0)</f>
        <v>0</v>
      </c>
      <c r="AC155" s="8">
        <f>IFERROR(__xludf.DUMMYFUNCTION("""COMPUTED_VALUE"""),0.0)</f>
        <v>0</v>
      </c>
    </row>
    <row r="156" ht="15.75" customHeight="1">
      <c r="A156" s="6" t="str">
        <f>IFERROR(__xludf.DUMMYFUNCTION("""COMPUTED_VALUE"""),"8e3c4698dede52f8548d10d283645c3e3f83c04a")</f>
        <v>8e3c4698dede52f8548d10d283645c3e3f83c04a</v>
      </c>
      <c r="B156" s="6" t="str">
        <f>IFERROR(__xludf.DUMMYFUNCTION("""COMPUTED_VALUE"""),"The Celestial God’s Heir")</f>
        <v>The Celestial God’s Heir</v>
      </c>
      <c r="C156" s="6" t="str">
        <f>IFERROR(__xludf.DUMMYFUNCTION("""COMPUTED_VALUE"""),"Fantasy")</f>
        <v>Fantasy</v>
      </c>
      <c r="D156" s="11">
        <f>IFERROR(__xludf.DUMMYFUNCTION("""COMPUTED_VALUE"""),9.0)</f>
        <v>9</v>
      </c>
      <c r="E156" s="8">
        <f>IFERROR(__xludf.DUMMYFUNCTION("""COMPUTED_VALUE"""),1.0)</f>
        <v>1</v>
      </c>
      <c r="F156" s="8">
        <f>IFERROR(__xludf.DUMMYFUNCTION("""COMPUTED_VALUE"""),0.333333333333333)</f>
        <v>0.3333333333</v>
      </c>
      <c r="G156" s="8">
        <f>IFERROR(__xludf.DUMMYFUNCTION("""COMPUTED_VALUE"""),0.333333333333333)</f>
        <v>0.3333333333</v>
      </c>
      <c r="H156" s="8">
        <f>IFERROR(__xludf.DUMMYFUNCTION("""COMPUTED_VALUE"""),0.333333333333333)</f>
        <v>0.3333333333</v>
      </c>
      <c r="I156" s="8">
        <f>IFERROR(__xludf.DUMMYFUNCTION("""COMPUTED_VALUE"""),0.222222222222222)</f>
        <v>0.2222222222</v>
      </c>
      <c r="J156" s="8">
        <f>IFERROR(__xludf.DUMMYFUNCTION("""COMPUTED_VALUE"""),0.125)</f>
        <v>0.125</v>
      </c>
      <c r="K156" s="8">
        <f>IFERROR(__xludf.DUMMYFUNCTION("""COMPUTED_VALUE"""),0.125)</f>
        <v>0.125</v>
      </c>
      <c r="L156" s="8">
        <f>IFERROR(__xludf.DUMMYFUNCTION("""COMPUTED_VALUE"""),0.125)</f>
        <v>0.125</v>
      </c>
      <c r="M156" s="8">
        <f>IFERROR(__xludf.DUMMYFUNCTION("""COMPUTED_VALUE"""),0.142857142857142)</f>
        <v>0.1428571429</v>
      </c>
      <c r="N156" s="8">
        <f>IFERROR(__xludf.DUMMYFUNCTION("""COMPUTED_VALUE"""),0.142857142857142)</f>
        <v>0.1428571429</v>
      </c>
      <c r="O156" s="8">
        <f>IFERROR(__xludf.DUMMYFUNCTION("""COMPUTED_VALUE"""),0.0)</f>
        <v>0</v>
      </c>
      <c r="P156" s="8">
        <f>IFERROR(__xludf.DUMMYFUNCTION("""COMPUTED_VALUE"""),0.0)</f>
        <v>0</v>
      </c>
      <c r="Q156" s="8">
        <f>IFERROR(__xludf.DUMMYFUNCTION("""COMPUTED_VALUE"""),0.0)</f>
        <v>0</v>
      </c>
      <c r="R156" s="8">
        <f>IFERROR(__xludf.DUMMYFUNCTION("""COMPUTED_VALUE"""),0.0)</f>
        <v>0</v>
      </c>
      <c r="S156" s="8">
        <f>IFERROR(__xludf.DUMMYFUNCTION("""COMPUTED_VALUE"""),0.0)</f>
        <v>0</v>
      </c>
      <c r="T156" s="8">
        <f>IFERROR(__xludf.DUMMYFUNCTION("""COMPUTED_VALUE"""),0.0)</f>
        <v>0</v>
      </c>
      <c r="U156" s="8">
        <f>IFERROR(__xludf.DUMMYFUNCTION("""COMPUTED_VALUE"""),0.0)</f>
        <v>0</v>
      </c>
      <c r="V156" s="8">
        <f>IFERROR(__xludf.DUMMYFUNCTION("""COMPUTED_VALUE"""),0.0)</f>
        <v>0</v>
      </c>
      <c r="W156" s="8">
        <f>IFERROR(__xludf.DUMMYFUNCTION("""COMPUTED_VALUE"""),0.0)</f>
        <v>0</v>
      </c>
      <c r="X156" s="8">
        <f>IFERROR(__xludf.DUMMYFUNCTION("""COMPUTED_VALUE"""),0.0)</f>
        <v>0</v>
      </c>
      <c r="Y156" s="8">
        <f>IFERROR(__xludf.DUMMYFUNCTION("""COMPUTED_VALUE"""),0.0)</f>
        <v>0</v>
      </c>
      <c r="Z156" s="8">
        <f>IFERROR(__xludf.DUMMYFUNCTION("""COMPUTED_VALUE"""),0.0)</f>
        <v>0</v>
      </c>
      <c r="AA156" s="8">
        <f>IFERROR(__xludf.DUMMYFUNCTION("""COMPUTED_VALUE"""),0.0)</f>
        <v>0</v>
      </c>
      <c r="AB156" s="8">
        <f>IFERROR(__xludf.DUMMYFUNCTION("""COMPUTED_VALUE"""),0.0)</f>
        <v>0</v>
      </c>
      <c r="AC156" s="8">
        <f>IFERROR(__xludf.DUMMYFUNCTION("""COMPUTED_VALUE"""),0.0)</f>
        <v>0</v>
      </c>
    </row>
    <row r="157" ht="15.75" customHeight="1">
      <c r="A157" s="6" t="str">
        <f>IFERROR(__xludf.DUMMYFUNCTION("""COMPUTED_VALUE"""),"8f0fa62650413483426bef0ac7d66ca7627ab11f")</f>
        <v>8f0fa62650413483426bef0ac7d66ca7627ab11f</v>
      </c>
      <c r="B157" s="6" t="str">
        <f>IFERROR(__xludf.DUMMYFUNCTION("""COMPUTED_VALUE"""),"The Mind Reader: A Son-in-Law’s Revenge")</f>
        <v>The Mind Reader: A Son-in-Law’s Revenge</v>
      </c>
      <c r="C157" s="6" t="str">
        <f>IFERROR(__xludf.DUMMYFUNCTION("""COMPUTED_VALUE"""),"Drama")</f>
        <v>Drama</v>
      </c>
      <c r="D157" s="11">
        <f>IFERROR(__xludf.DUMMYFUNCTION("""COMPUTED_VALUE"""),678.0)</f>
        <v>678</v>
      </c>
      <c r="E157" s="8">
        <f>IFERROR(__xludf.DUMMYFUNCTION("""COMPUTED_VALUE"""),0.918586789554531)</f>
        <v>0.9185867896</v>
      </c>
      <c r="F157" s="8">
        <f>IFERROR(__xludf.DUMMYFUNCTION("""COMPUTED_VALUE"""),0.509708737864077)</f>
        <v>0.5097087379</v>
      </c>
      <c r="G157" s="8">
        <f>IFERROR(__xludf.DUMMYFUNCTION("""COMPUTED_VALUE"""),0.38704318936877)</f>
        <v>0.3870431894</v>
      </c>
      <c r="H157" s="8">
        <f>IFERROR(__xludf.DUMMYFUNCTION("""COMPUTED_VALUE"""),0.356655290102389)</f>
        <v>0.3566552901</v>
      </c>
      <c r="I157" s="8">
        <f>IFERROR(__xludf.DUMMYFUNCTION("""COMPUTED_VALUE"""),0.308747855917667)</f>
        <v>0.3087478559</v>
      </c>
      <c r="J157" s="8">
        <f>IFERROR(__xludf.DUMMYFUNCTION("""COMPUTED_VALUE"""),0.279588336192109)</f>
        <v>0.2795883362</v>
      </c>
      <c r="K157" s="8">
        <f>IFERROR(__xludf.DUMMYFUNCTION("""COMPUTED_VALUE"""),0.261168384879725)</f>
        <v>0.2611683849</v>
      </c>
      <c r="L157" s="8">
        <f>IFERROR(__xludf.DUMMYFUNCTION("""COMPUTED_VALUE"""),0.24914089347079)</f>
        <v>0.2491408935</v>
      </c>
      <c r="M157" s="8">
        <f>IFERROR(__xludf.DUMMYFUNCTION("""COMPUTED_VALUE"""),0.247848537005163)</f>
        <v>0.247848537</v>
      </c>
      <c r="N157" s="8">
        <f>IFERROR(__xludf.DUMMYFUNCTION("""COMPUTED_VALUE"""),0.222030981067125)</f>
        <v>0.2220309811</v>
      </c>
      <c r="O157" s="8">
        <f>IFERROR(__xludf.DUMMYFUNCTION("""COMPUTED_VALUE"""),0.20034542314335)</f>
        <v>0.2003454231</v>
      </c>
      <c r="P157" s="8">
        <f>IFERROR(__xludf.DUMMYFUNCTION("""COMPUTED_VALUE"""),0.140381282495667)</f>
        <v>0.1403812825</v>
      </c>
      <c r="Q157" s="8">
        <f>IFERROR(__xludf.DUMMYFUNCTION("""COMPUTED_VALUE"""),0.0419580419580419)</f>
        <v>0.04195804196</v>
      </c>
      <c r="R157" s="8">
        <f>IFERROR(__xludf.DUMMYFUNCTION("""COMPUTED_VALUE"""),0.0298769771528998)</f>
        <v>0.02987697715</v>
      </c>
      <c r="S157" s="8">
        <f>IFERROR(__xludf.DUMMYFUNCTION("""COMPUTED_VALUE"""),0.0)</f>
        <v>0</v>
      </c>
      <c r="T157" s="8">
        <f>IFERROR(__xludf.DUMMYFUNCTION("""COMPUTED_VALUE"""),0.0)</f>
        <v>0</v>
      </c>
      <c r="U157" s="8">
        <f>IFERROR(__xludf.DUMMYFUNCTION("""COMPUTED_VALUE"""),0.0)</f>
        <v>0</v>
      </c>
      <c r="V157" s="8">
        <f>IFERROR(__xludf.DUMMYFUNCTION("""COMPUTED_VALUE"""),0.0)</f>
        <v>0</v>
      </c>
      <c r="W157" s="8">
        <f>IFERROR(__xludf.DUMMYFUNCTION("""COMPUTED_VALUE"""),0.0)</f>
        <v>0</v>
      </c>
      <c r="X157" s="8">
        <f>IFERROR(__xludf.DUMMYFUNCTION("""COMPUTED_VALUE"""),0.0)</f>
        <v>0</v>
      </c>
      <c r="Y157" s="8">
        <f>IFERROR(__xludf.DUMMYFUNCTION("""COMPUTED_VALUE"""),0.0)</f>
        <v>0</v>
      </c>
      <c r="Z157" s="8">
        <f>IFERROR(__xludf.DUMMYFUNCTION("""COMPUTED_VALUE"""),0.0)</f>
        <v>0</v>
      </c>
      <c r="AA157" s="8">
        <f>IFERROR(__xludf.DUMMYFUNCTION("""COMPUTED_VALUE"""),0.0)</f>
        <v>0</v>
      </c>
      <c r="AB157" s="8">
        <f>IFERROR(__xludf.DUMMYFUNCTION("""COMPUTED_VALUE"""),0.0)</f>
        <v>0</v>
      </c>
      <c r="AC157" s="8">
        <f>IFERROR(__xludf.DUMMYFUNCTION("""COMPUTED_VALUE"""),0.0)</f>
        <v>0</v>
      </c>
    </row>
    <row r="158" ht="15.75" customHeight="1">
      <c r="A158" s="6" t="str">
        <f>IFERROR(__xludf.DUMMYFUNCTION("""COMPUTED_VALUE"""),"8f9097f70a41e0a3a637a3eb2b6551e036eb16b7")</f>
        <v>8f9097f70a41e0a3a637a3eb2b6551e036eb16b7</v>
      </c>
      <c r="B158" s="6" t="str">
        <f>IFERROR(__xludf.DUMMYFUNCTION("""COMPUTED_VALUE"""),"The Devine Root")</f>
        <v>The Devine Root</v>
      </c>
      <c r="C158" s="6" t="str">
        <f>IFERROR(__xludf.DUMMYFUNCTION("""COMPUTED_VALUE"""),"Fantasy")</f>
        <v>Fantasy</v>
      </c>
      <c r="D158" s="11">
        <f>IFERROR(__xludf.DUMMYFUNCTION("""COMPUTED_VALUE"""),64.0)</f>
        <v>64</v>
      </c>
      <c r="E158" s="8">
        <f>IFERROR(__xludf.DUMMYFUNCTION("""COMPUTED_VALUE"""),1.0)</f>
        <v>1</v>
      </c>
      <c r="F158" s="8">
        <f>IFERROR(__xludf.DUMMYFUNCTION("""COMPUTED_VALUE"""),0.296296296296296)</f>
        <v>0.2962962963</v>
      </c>
      <c r="G158" s="8">
        <f>IFERROR(__xludf.DUMMYFUNCTION("""COMPUTED_VALUE"""),0.32)</f>
        <v>0.32</v>
      </c>
      <c r="H158" s="8">
        <f>IFERROR(__xludf.DUMMYFUNCTION("""COMPUTED_VALUE"""),0.304347826086956)</f>
        <v>0.3043478261</v>
      </c>
      <c r="I158" s="8">
        <f>IFERROR(__xludf.DUMMYFUNCTION("""COMPUTED_VALUE"""),0.318181818181818)</f>
        <v>0.3181818182</v>
      </c>
      <c r="J158" s="8">
        <f>IFERROR(__xludf.DUMMYFUNCTION("""COMPUTED_VALUE"""),0.227272727272727)</f>
        <v>0.2272727273</v>
      </c>
      <c r="K158" s="8">
        <f>IFERROR(__xludf.DUMMYFUNCTION("""COMPUTED_VALUE"""),0.2)</f>
        <v>0.2</v>
      </c>
      <c r="L158" s="8">
        <f>IFERROR(__xludf.DUMMYFUNCTION("""COMPUTED_VALUE"""),0.25)</f>
        <v>0.25</v>
      </c>
      <c r="M158" s="8">
        <f>IFERROR(__xludf.DUMMYFUNCTION("""COMPUTED_VALUE"""),0.25)</f>
        <v>0.25</v>
      </c>
      <c r="N158" s="8">
        <f>IFERROR(__xludf.DUMMYFUNCTION("""COMPUTED_VALUE"""),0.25)</f>
        <v>0.25</v>
      </c>
      <c r="O158" s="8">
        <f>IFERROR(__xludf.DUMMYFUNCTION("""COMPUTED_VALUE"""),0.125)</f>
        <v>0.125</v>
      </c>
      <c r="P158" s="8">
        <f>IFERROR(__xludf.DUMMYFUNCTION("""COMPUTED_VALUE"""),0.0)</f>
        <v>0</v>
      </c>
      <c r="Q158" s="8">
        <f>IFERROR(__xludf.DUMMYFUNCTION("""COMPUTED_VALUE"""),0.0)</f>
        <v>0</v>
      </c>
      <c r="R158" s="8">
        <f>IFERROR(__xludf.DUMMYFUNCTION("""COMPUTED_VALUE"""),0.0)</f>
        <v>0</v>
      </c>
      <c r="S158" s="8">
        <f>IFERROR(__xludf.DUMMYFUNCTION("""COMPUTED_VALUE"""),0.0)</f>
        <v>0</v>
      </c>
      <c r="T158" s="8">
        <f>IFERROR(__xludf.DUMMYFUNCTION("""COMPUTED_VALUE"""),0.0)</f>
        <v>0</v>
      </c>
      <c r="U158" s="8">
        <f>IFERROR(__xludf.DUMMYFUNCTION("""COMPUTED_VALUE"""),0.0)</f>
        <v>0</v>
      </c>
      <c r="V158" s="8">
        <f>IFERROR(__xludf.DUMMYFUNCTION("""COMPUTED_VALUE"""),0.0)</f>
        <v>0</v>
      </c>
      <c r="W158" s="8">
        <f>IFERROR(__xludf.DUMMYFUNCTION("""COMPUTED_VALUE"""),0.0)</f>
        <v>0</v>
      </c>
      <c r="X158" s="8">
        <f>IFERROR(__xludf.DUMMYFUNCTION("""COMPUTED_VALUE"""),0.0)</f>
        <v>0</v>
      </c>
      <c r="Y158" s="8">
        <f>IFERROR(__xludf.DUMMYFUNCTION("""COMPUTED_VALUE"""),0.0)</f>
        <v>0</v>
      </c>
      <c r="Z158" s="8">
        <f>IFERROR(__xludf.DUMMYFUNCTION("""COMPUTED_VALUE"""),0.0)</f>
        <v>0</v>
      </c>
      <c r="AA158" s="8">
        <f>IFERROR(__xludf.DUMMYFUNCTION("""COMPUTED_VALUE"""),0.0)</f>
        <v>0</v>
      </c>
      <c r="AB158" s="8">
        <f>IFERROR(__xludf.DUMMYFUNCTION("""COMPUTED_VALUE"""),0.0)</f>
        <v>0</v>
      </c>
      <c r="AC158" s="8">
        <f>IFERROR(__xludf.DUMMYFUNCTION("""COMPUTED_VALUE"""),0.0)</f>
        <v>0</v>
      </c>
    </row>
    <row r="159" ht="15.75" customHeight="1">
      <c r="A159" s="6" t="str">
        <f>IFERROR(__xludf.DUMMYFUNCTION("""COMPUTED_VALUE"""),"8fc0fc1659f3b419e6fa13d9cb59b0e57bfec096")</f>
        <v>8fc0fc1659f3b419e6fa13d9cb59b0e57bfec096</v>
      </c>
      <c r="B159" s="6" t="str">
        <f>IFERROR(__xludf.DUMMYFUNCTION("""COMPUTED_VALUE"""),"The Exiled Heir")</f>
        <v>The Exiled Heir</v>
      </c>
      <c r="C159" s="6" t="str">
        <f>IFERROR(__xludf.DUMMYFUNCTION("""COMPUTED_VALUE"""),"Drama")</f>
        <v>Drama</v>
      </c>
      <c r="D159" s="11">
        <f>IFERROR(__xludf.DUMMYFUNCTION("""COMPUTED_VALUE"""),3544.0)</f>
        <v>3544</v>
      </c>
      <c r="E159" s="8">
        <f>IFERROR(__xludf.DUMMYFUNCTION("""COMPUTED_VALUE"""),0.943941109852774)</f>
        <v>0.9439411099</v>
      </c>
      <c r="F159" s="8">
        <f>IFERROR(__xludf.DUMMYFUNCTION("""COMPUTED_VALUE"""),0.52466495580268)</f>
        <v>0.5246649558</v>
      </c>
      <c r="G159" s="8">
        <f>IFERROR(__xludf.DUMMYFUNCTION("""COMPUTED_VALUE"""),0.457700028677946)</f>
        <v>0.4577000287</v>
      </c>
      <c r="H159" s="8">
        <f>IFERROR(__xludf.DUMMYFUNCTION("""COMPUTED_VALUE"""),0.420051858254105)</f>
        <v>0.4200518583</v>
      </c>
      <c r="I159" s="8">
        <f>IFERROR(__xludf.DUMMYFUNCTION("""COMPUTED_VALUE"""),0.380244755244755)</f>
        <v>0.3802447552</v>
      </c>
      <c r="J159" s="8">
        <f>IFERROR(__xludf.DUMMYFUNCTION("""COMPUTED_VALUE"""),0.356056173200702)</f>
        <v>0.3560561732</v>
      </c>
      <c r="K159" s="8">
        <f>IFERROR(__xludf.DUMMYFUNCTION("""COMPUTED_VALUE"""),0.329318448883666)</f>
        <v>0.3293184489</v>
      </c>
      <c r="L159" s="8">
        <f>IFERROR(__xludf.DUMMYFUNCTION("""COMPUTED_VALUE"""),0.318141197497765)</f>
        <v>0.3181411975</v>
      </c>
      <c r="M159" s="8">
        <f>IFERROR(__xludf.DUMMYFUNCTION("""COMPUTED_VALUE"""),0.307162121666167)</f>
        <v>0.3071621217</v>
      </c>
      <c r="N159" s="8">
        <f>IFERROR(__xludf.DUMMYFUNCTION("""COMPUTED_VALUE"""),0.299578059071729)</f>
        <v>0.2995780591</v>
      </c>
      <c r="O159" s="8">
        <f>IFERROR(__xludf.DUMMYFUNCTION("""COMPUTED_VALUE"""),0.269206745783885)</f>
        <v>0.2692067458</v>
      </c>
      <c r="P159" s="8">
        <f>IFERROR(__xludf.DUMMYFUNCTION("""COMPUTED_VALUE"""),0.207694815780893)</f>
        <v>0.2076948158</v>
      </c>
      <c r="Q159" s="8">
        <f>IFERROR(__xludf.DUMMYFUNCTION("""COMPUTED_VALUE"""),0.144985465116279)</f>
        <v>0.1449854651</v>
      </c>
      <c r="R159" s="8">
        <f>IFERROR(__xludf.DUMMYFUNCTION("""COMPUTED_VALUE"""),0.106713232440822)</f>
        <v>0.1067132324</v>
      </c>
      <c r="S159" s="8">
        <f>IFERROR(__xludf.DUMMYFUNCTION("""COMPUTED_VALUE"""),0.0793905372894947)</f>
        <v>0.07939053729</v>
      </c>
      <c r="T159" s="8">
        <f>IFERROR(__xludf.DUMMYFUNCTION("""COMPUTED_VALUE"""),0.0458515283842794)</f>
        <v>0.04585152838</v>
      </c>
      <c r="U159" s="8">
        <f>IFERROR(__xludf.DUMMYFUNCTION("""COMPUTED_VALUE"""),0.0)</f>
        <v>0</v>
      </c>
      <c r="V159" s="8">
        <f>IFERROR(__xludf.DUMMYFUNCTION("""COMPUTED_VALUE"""),0.0)</f>
        <v>0</v>
      </c>
      <c r="W159" s="8">
        <f>IFERROR(__xludf.DUMMYFUNCTION("""COMPUTED_VALUE"""),0.0)</f>
        <v>0</v>
      </c>
      <c r="X159" s="8">
        <f>IFERROR(__xludf.DUMMYFUNCTION("""COMPUTED_VALUE"""),0.0)</f>
        <v>0</v>
      </c>
      <c r="Y159" s="8">
        <f>IFERROR(__xludf.DUMMYFUNCTION("""COMPUTED_VALUE"""),0.0)</f>
        <v>0</v>
      </c>
      <c r="Z159" s="8">
        <f>IFERROR(__xludf.DUMMYFUNCTION("""COMPUTED_VALUE"""),0.0)</f>
        <v>0</v>
      </c>
      <c r="AA159" s="8">
        <f>IFERROR(__xludf.DUMMYFUNCTION("""COMPUTED_VALUE"""),0.0)</f>
        <v>0</v>
      </c>
      <c r="AB159" s="8">
        <f>IFERROR(__xludf.DUMMYFUNCTION("""COMPUTED_VALUE"""),0.0)</f>
        <v>0</v>
      </c>
      <c r="AC159" s="8">
        <f>IFERROR(__xludf.DUMMYFUNCTION("""COMPUTED_VALUE"""),0.0)</f>
        <v>0</v>
      </c>
    </row>
    <row r="160" ht="15.75" customHeight="1">
      <c r="A160" s="6" t="str">
        <f>IFERROR(__xludf.DUMMYFUNCTION("""COMPUTED_VALUE"""),"9187815245dbab381e06e99b89e34db3f811e066")</f>
        <v>9187815245dbab381e06e99b89e34db3f811e066</v>
      </c>
      <c r="B160" s="6" t="str">
        <f>IFERROR(__xludf.DUMMYFUNCTION("""COMPUTED_VALUE"""),"Billionaire's Pursuit")</f>
        <v>Billionaire's Pursuit</v>
      </c>
      <c r="C160" s="6" t="str">
        <f>IFERROR(__xludf.DUMMYFUNCTION("""COMPUTED_VALUE"""),"Romance")</f>
        <v>Romance</v>
      </c>
      <c r="D160" s="11">
        <f>IFERROR(__xludf.DUMMYFUNCTION("""COMPUTED_VALUE"""),632.0)</f>
        <v>632</v>
      </c>
      <c r="E160" s="8">
        <f>IFERROR(__xludf.DUMMYFUNCTION("""COMPUTED_VALUE"""),0.924920127795527)</f>
        <v>0.9249201278</v>
      </c>
      <c r="F160" s="8">
        <f>IFERROR(__xludf.DUMMYFUNCTION("""COMPUTED_VALUE"""),0.488486842105263)</f>
        <v>0.4884868421</v>
      </c>
      <c r="G160" s="8">
        <f>IFERROR(__xludf.DUMMYFUNCTION("""COMPUTED_VALUE"""),0.420068027210884)</f>
        <v>0.4200680272</v>
      </c>
      <c r="H160" s="8">
        <f>IFERROR(__xludf.DUMMYFUNCTION("""COMPUTED_VALUE"""),0.356766256590509)</f>
        <v>0.3567662566</v>
      </c>
      <c r="I160" s="8">
        <f>IFERROR(__xludf.DUMMYFUNCTION("""COMPUTED_VALUE"""),0.296819787985865)</f>
        <v>0.296819788</v>
      </c>
      <c r="J160" s="8">
        <f>IFERROR(__xludf.DUMMYFUNCTION("""COMPUTED_VALUE"""),0.265486725663716)</f>
        <v>0.2654867257</v>
      </c>
      <c r="K160" s="8">
        <f>IFERROR(__xludf.DUMMYFUNCTION("""COMPUTED_VALUE"""),0.242477876106194)</f>
        <v>0.2424778761</v>
      </c>
      <c r="L160" s="8">
        <f>IFERROR(__xludf.DUMMYFUNCTION("""COMPUTED_VALUE"""),0.238938053097345)</f>
        <v>0.2389380531</v>
      </c>
      <c r="M160" s="8">
        <f>IFERROR(__xludf.DUMMYFUNCTION("""COMPUTED_VALUE"""),0.209591474245115)</f>
        <v>0.2095914742</v>
      </c>
      <c r="N160" s="8">
        <f>IFERROR(__xludf.DUMMYFUNCTION("""COMPUTED_VALUE"""),0.191829484902309)</f>
        <v>0.1918294849</v>
      </c>
      <c r="O160" s="8">
        <f>IFERROR(__xludf.DUMMYFUNCTION("""COMPUTED_VALUE"""),0.174157303370786)</f>
        <v>0.1741573034</v>
      </c>
      <c r="P160" s="8">
        <f>IFERROR(__xludf.DUMMYFUNCTION("""COMPUTED_VALUE"""),0.091254752851711)</f>
        <v>0.09125475285</v>
      </c>
      <c r="Q160" s="8">
        <f>IFERROR(__xludf.DUMMYFUNCTION("""COMPUTED_VALUE"""),0.0631578947368421)</f>
        <v>0.06315789474</v>
      </c>
      <c r="R160" s="8">
        <f>IFERROR(__xludf.DUMMYFUNCTION("""COMPUTED_VALUE"""),0.0)</f>
        <v>0</v>
      </c>
      <c r="S160" s="8">
        <f>IFERROR(__xludf.DUMMYFUNCTION("""COMPUTED_VALUE"""),0.0)</f>
        <v>0</v>
      </c>
      <c r="T160" s="8">
        <f>IFERROR(__xludf.DUMMYFUNCTION("""COMPUTED_VALUE"""),0.0)</f>
        <v>0</v>
      </c>
      <c r="U160" s="8">
        <f>IFERROR(__xludf.DUMMYFUNCTION("""COMPUTED_VALUE"""),0.0)</f>
        <v>0</v>
      </c>
      <c r="V160" s="8">
        <f>IFERROR(__xludf.DUMMYFUNCTION("""COMPUTED_VALUE"""),0.0)</f>
        <v>0</v>
      </c>
      <c r="W160" s="8">
        <f>IFERROR(__xludf.DUMMYFUNCTION("""COMPUTED_VALUE"""),0.0)</f>
        <v>0</v>
      </c>
      <c r="X160" s="8">
        <f>IFERROR(__xludf.DUMMYFUNCTION("""COMPUTED_VALUE"""),0.0)</f>
        <v>0</v>
      </c>
      <c r="Y160" s="8">
        <f>IFERROR(__xludf.DUMMYFUNCTION("""COMPUTED_VALUE"""),0.0)</f>
        <v>0</v>
      </c>
      <c r="Z160" s="8">
        <f>IFERROR(__xludf.DUMMYFUNCTION("""COMPUTED_VALUE"""),0.0)</f>
        <v>0</v>
      </c>
      <c r="AA160" s="8">
        <f>IFERROR(__xludf.DUMMYFUNCTION("""COMPUTED_VALUE"""),0.0)</f>
        <v>0</v>
      </c>
      <c r="AB160" s="8">
        <f>IFERROR(__xludf.DUMMYFUNCTION("""COMPUTED_VALUE"""),0.0)</f>
        <v>0</v>
      </c>
      <c r="AC160" s="8">
        <f>IFERROR(__xludf.DUMMYFUNCTION("""COMPUTED_VALUE"""),0.0)</f>
        <v>0</v>
      </c>
    </row>
    <row r="161" ht="15.75" customHeight="1">
      <c r="A161" s="6" t="str">
        <f>IFERROR(__xludf.DUMMYFUNCTION("""COMPUTED_VALUE"""),"91df72ab8ef7c2a2797ba2a98264b6e4037cebc4")</f>
        <v>91df72ab8ef7c2a2797ba2a98264b6e4037cebc4</v>
      </c>
      <c r="B161" s="6" t="str">
        <f>IFERROR(__xludf.DUMMYFUNCTION("""COMPUTED_VALUE"""),"The Upgrade Gamer")</f>
        <v>The Upgrade Gamer</v>
      </c>
      <c r="C161" s="6" t="str">
        <f>IFERROR(__xludf.DUMMYFUNCTION("""COMPUTED_VALUE"""),"System and Superpower")</f>
        <v>System and Superpower</v>
      </c>
      <c r="D161" s="11">
        <f>IFERROR(__xludf.DUMMYFUNCTION("""COMPUTED_VALUE"""),43.0)</f>
        <v>43</v>
      </c>
      <c r="E161" s="8">
        <f>IFERROR(__xludf.DUMMYFUNCTION("""COMPUTED_VALUE"""),0.953488372093023)</f>
        <v>0.9534883721</v>
      </c>
      <c r="F161" s="8">
        <f>IFERROR(__xludf.DUMMYFUNCTION("""COMPUTED_VALUE"""),0.512195121951219)</f>
        <v>0.512195122</v>
      </c>
      <c r="G161" s="8">
        <f>IFERROR(__xludf.DUMMYFUNCTION("""COMPUTED_VALUE"""),0.536585365853658)</f>
        <v>0.5365853659</v>
      </c>
      <c r="H161" s="8">
        <f>IFERROR(__xludf.DUMMYFUNCTION("""COMPUTED_VALUE"""),0.45)</f>
        <v>0.45</v>
      </c>
      <c r="I161" s="8">
        <f>IFERROR(__xludf.DUMMYFUNCTION("""COMPUTED_VALUE"""),0.41025641025641)</f>
        <v>0.4102564103</v>
      </c>
      <c r="J161" s="8">
        <f>IFERROR(__xludf.DUMMYFUNCTION("""COMPUTED_VALUE"""),0.405405405405405)</f>
        <v>0.4054054054</v>
      </c>
      <c r="K161" s="8">
        <f>IFERROR(__xludf.DUMMYFUNCTION("""COMPUTED_VALUE"""),0.361111111111111)</f>
        <v>0.3611111111</v>
      </c>
      <c r="L161" s="8">
        <f>IFERROR(__xludf.DUMMYFUNCTION("""COMPUTED_VALUE"""),0.4)</f>
        <v>0.4</v>
      </c>
      <c r="M161" s="8">
        <f>IFERROR(__xludf.DUMMYFUNCTION("""COMPUTED_VALUE"""),0.3125)</f>
        <v>0.3125</v>
      </c>
      <c r="N161" s="8">
        <f>IFERROR(__xludf.DUMMYFUNCTION("""COMPUTED_VALUE"""),0.318181818181818)</f>
        <v>0.3181818182</v>
      </c>
      <c r="O161" s="8">
        <f>IFERROR(__xludf.DUMMYFUNCTION("""COMPUTED_VALUE"""),0.153846153846153)</f>
        <v>0.1538461538</v>
      </c>
      <c r="P161" s="8">
        <f>IFERROR(__xludf.DUMMYFUNCTION("""COMPUTED_VALUE"""),0.1)</f>
        <v>0.1</v>
      </c>
      <c r="Q161" s="8">
        <f>IFERROR(__xludf.DUMMYFUNCTION("""COMPUTED_VALUE"""),0.0)</f>
        <v>0</v>
      </c>
      <c r="R161" s="8">
        <f>IFERROR(__xludf.DUMMYFUNCTION("""COMPUTED_VALUE"""),0.0)</f>
        <v>0</v>
      </c>
      <c r="S161" s="8">
        <f>IFERROR(__xludf.DUMMYFUNCTION("""COMPUTED_VALUE"""),0.0)</f>
        <v>0</v>
      </c>
      <c r="T161" s="8">
        <f>IFERROR(__xludf.DUMMYFUNCTION("""COMPUTED_VALUE"""),0.0)</f>
        <v>0</v>
      </c>
      <c r="U161" s="8">
        <f>IFERROR(__xludf.DUMMYFUNCTION("""COMPUTED_VALUE"""),0.0)</f>
        <v>0</v>
      </c>
      <c r="V161" s="8">
        <f>IFERROR(__xludf.DUMMYFUNCTION("""COMPUTED_VALUE"""),0.0)</f>
        <v>0</v>
      </c>
      <c r="W161" s="8">
        <f>IFERROR(__xludf.DUMMYFUNCTION("""COMPUTED_VALUE"""),0.0)</f>
        <v>0</v>
      </c>
      <c r="X161" s="8">
        <f>IFERROR(__xludf.DUMMYFUNCTION("""COMPUTED_VALUE"""),0.0)</f>
        <v>0</v>
      </c>
      <c r="Y161" s="8">
        <f>IFERROR(__xludf.DUMMYFUNCTION("""COMPUTED_VALUE"""),0.0)</f>
        <v>0</v>
      </c>
      <c r="Z161" s="8">
        <f>IFERROR(__xludf.DUMMYFUNCTION("""COMPUTED_VALUE"""),0.0)</f>
        <v>0</v>
      </c>
      <c r="AA161" s="8">
        <f>IFERROR(__xludf.DUMMYFUNCTION("""COMPUTED_VALUE"""),0.0)</f>
        <v>0</v>
      </c>
      <c r="AB161" s="8">
        <f>IFERROR(__xludf.DUMMYFUNCTION("""COMPUTED_VALUE"""),0.0)</f>
        <v>0</v>
      </c>
      <c r="AC161" s="8">
        <f>IFERROR(__xludf.DUMMYFUNCTION("""COMPUTED_VALUE"""),0.0)</f>
        <v>0</v>
      </c>
    </row>
    <row r="162" ht="15.75" customHeight="1">
      <c r="A162" s="6" t="str">
        <f>IFERROR(__xludf.DUMMYFUNCTION("""COMPUTED_VALUE"""),"9236a79ea4f06488372a41ebcc7a4f0fbfc7b1c3")</f>
        <v>9236a79ea4f06488372a41ebcc7a4f0fbfc7b1c3</v>
      </c>
      <c r="B162" s="6" t="str">
        <f>IFERROR(__xludf.DUMMYFUNCTION("""COMPUTED_VALUE"""),"King of Mercenaries")</f>
        <v>King of Mercenaries</v>
      </c>
      <c r="C162" s="6" t="str">
        <f>IFERROR(__xludf.DUMMYFUNCTION("""COMPUTED_VALUE"""),"Suspense or Thriller")</f>
        <v>Suspense or Thriller</v>
      </c>
      <c r="D162" s="11">
        <f>IFERROR(__xludf.DUMMYFUNCTION("""COMPUTED_VALUE"""),27.0)</f>
        <v>27</v>
      </c>
      <c r="E162" s="8">
        <f>IFERROR(__xludf.DUMMYFUNCTION("""COMPUTED_VALUE"""),1.0)</f>
        <v>1</v>
      </c>
      <c r="F162" s="8">
        <f>IFERROR(__xludf.DUMMYFUNCTION("""COMPUTED_VALUE"""),0.208333333333333)</f>
        <v>0.2083333333</v>
      </c>
      <c r="G162" s="8">
        <f>IFERROR(__xludf.DUMMYFUNCTION("""COMPUTED_VALUE"""),0.260869565217391)</f>
        <v>0.2608695652</v>
      </c>
      <c r="H162" s="8">
        <f>IFERROR(__xludf.DUMMYFUNCTION("""COMPUTED_VALUE"""),0.157894736842105)</f>
        <v>0.1578947368</v>
      </c>
      <c r="I162" s="8">
        <f>IFERROR(__xludf.DUMMYFUNCTION("""COMPUTED_VALUE"""),0.0555555555555555)</f>
        <v>0.05555555556</v>
      </c>
      <c r="J162" s="8">
        <f>IFERROR(__xludf.DUMMYFUNCTION("""COMPUTED_VALUE"""),0.0588235294117647)</f>
        <v>0.05882352941</v>
      </c>
      <c r="K162" s="8">
        <f>IFERROR(__xludf.DUMMYFUNCTION("""COMPUTED_VALUE"""),0.0714285714285714)</f>
        <v>0.07142857143</v>
      </c>
      <c r="L162" s="8">
        <f>IFERROR(__xludf.DUMMYFUNCTION("""COMPUTED_VALUE"""),0.0833333333333333)</f>
        <v>0.08333333333</v>
      </c>
      <c r="M162" s="8">
        <f>IFERROR(__xludf.DUMMYFUNCTION("""COMPUTED_VALUE"""),0.0909090909090909)</f>
        <v>0.09090909091</v>
      </c>
      <c r="N162" s="8">
        <f>IFERROR(__xludf.DUMMYFUNCTION("""COMPUTED_VALUE"""),0.1)</f>
        <v>0.1</v>
      </c>
      <c r="O162" s="8">
        <f>IFERROR(__xludf.DUMMYFUNCTION("""COMPUTED_VALUE"""),0.142857142857142)</f>
        <v>0.1428571429</v>
      </c>
      <c r="P162" s="8">
        <f>IFERROR(__xludf.DUMMYFUNCTION("""COMPUTED_VALUE"""),0.142857142857142)</f>
        <v>0.1428571429</v>
      </c>
      <c r="Q162" s="8">
        <f>IFERROR(__xludf.DUMMYFUNCTION("""COMPUTED_VALUE"""),0.142857142857142)</f>
        <v>0.1428571429</v>
      </c>
      <c r="R162" s="8">
        <f>IFERROR(__xludf.DUMMYFUNCTION("""COMPUTED_VALUE"""),0.0)</f>
        <v>0</v>
      </c>
      <c r="S162" s="8">
        <f>IFERROR(__xludf.DUMMYFUNCTION("""COMPUTED_VALUE"""),0.0)</f>
        <v>0</v>
      </c>
      <c r="T162" s="8">
        <f>IFERROR(__xludf.DUMMYFUNCTION("""COMPUTED_VALUE"""),0.0)</f>
        <v>0</v>
      </c>
      <c r="U162" s="8">
        <f>IFERROR(__xludf.DUMMYFUNCTION("""COMPUTED_VALUE"""),0.0)</f>
        <v>0</v>
      </c>
      <c r="V162" s="8">
        <f>IFERROR(__xludf.DUMMYFUNCTION("""COMPUTED_VALUE"""),0.0)</f>
        <v>0</v>
      </c>
      <c r="W162" s="8">
        <f>IFERROR(__xludf.DUMMYFUNCTION("""COMPUTED_VALUE"""),0.0)</f>
        <v>0</v>
      </c>
      <c r="X162" s="8">
        <f>IFERROR(__xludf.DUMMYFUNCTION("""COMPUTED_VALUE"""),0.0)</f>
        <v>0</v>
      </c>
      <c r="Y162" s="8">
        <f>IFERROR(__xludf.DUMMYFUNCTION("""COMPUTED_VALUE"""),0.0)</f>
        <v>0</v>
      </c>
      <c r="Z162" s="8">
        <f>IFERROR(__xludf.DUMMYFUNCTION("""COMPUTED_VALUE"""),0.0)</f>
        <v>0</v>
      </c>
      <c r="AA162" s="8">
        <f>IFERROR(__xludf.DUMMYFUNCTION("""COMPUTED_VALUE"""),0.0)</f>
        <v>0</v>
      </c>
      <c r="AB162" s="8">
        <f>IFERROR(__xludf.DUMMYFUNCTION("""COMPUTED_VALUE"""),0.0)</f>
        <v>0</v>
      </c>
      <c r="AC162" s="8">
        <f>IFERROR(__xludf.DUMMYFUNCTION("""COMPUTED_VALUE"""),0.0)</f>
        <v>0</v>
      </c>
    </row>
    <row r="163" ht="15.75" customHeight="1">
      <c r="A163" s="6" t="str">
        <f>IFERROR(__xludf.DUMMYFUNCTION("""COMPUTED_VALUE"""),"94d808231f41a64988f80a2739e6a748f1278c28")</f>
        <v>94d808231f41a64988f80a2739e6a748f1278c28</v>
      </c>
      <c r="B163" s="6" t="str">
        <f>IFERROR(__xludf.DUMMYFUNCTION("""COMPUTED_VALUE"""),"My Amazing Husband's Life")</f>
        <v>My Amazing Husband's Life</v>
      </c>
      <c r="C163" s="6" t="str">
        <f>IFERROR(__xludf.DUMMYFUNCTION("""COMPUTED_VALUE"""),"Drama")</f>
        <v>Drama</v>
      </c>
      <c r="D163" s="11">
        <f>IFERROR(__xludf.DUMMYFUNCTION("""COMPUTED_VALUE"""),211.0)</f>
        <v>211</v>
      </c>
      <c r="E163" s="8">
        <f>IFERROR(__xludf.DUMMYFUNCTION("""COMPUTED_VALUE"""),0.950738916256157)</f>
        <v>0.9507389163</v>
      </c>
      <c r="F163" s="8">
        <f>IFERROR(__xludf.DUMMYFUNCTION("""COMPUTED_VALUE"""),0.413265306122449)</f>
        <v>0.4132653061</v>
      </c>
      <c r="G163" s="8">
        <f>IFERROR(__xludf.DUMMYFUNCTION("""COMPUTED_VALUE"""),0.34020618556701)</f>
        <v>0.3402061856</v>
      </c>
      <c r="H163" s="8">
        <f>IFERROR(__xludf.DUMMYFUNCTION("""COMPUTED_VALUE"""),0.264864864864864)</f>
        <v>0.2648648649</v>
      </c>
      <c r="I163" s="8">
        <f>IFERROR(__xludf.DUMMYFUNCTION("""COMPUTED_VALUE"""),0.23728813559322)</f>
        <v>0.2372881356</v>
      </c>
      <c r="J163" s="8">
        <f>IFERROR(__xludf.DUMMYFUNCTION("""COMPUTED_VALUE"""),0.23076923076923)</f>
        <v>0.2307692308</v>
      </c>
      <c r="K163" s="8">
        <f>IFERROR(__xludf.DUMMYFUNCTION("""COMPUTED_VALUE"""),0.215568862275449)</f>
        <v>0.2155688623</v>
      </c>
      <c r="L163" s="8">
        <f>IFERROR(__xludf.DUMMYFUNCTION("""COMPUTED_VALUE"""),0.188311688311688)</f>
        <v>0.1883116883</v>
      </c>
      <c r="M163" s="8">
        <f>IFERROR(__xludf.DUMMYFUNCTION("""COMPUTED_VALUE"""),0.172185430463576)</f>
        <v>0.1721854305</v>
      </c>
      <c r="N163" s="8">
        <f>IFERROR(__xludf.DUMMYFUNCTION("""COMPUTED_VALUE"""),0.150684931506849)</f>
        <v>0.1506849315</v>
      </c>
      <c r="O163" s="8">
        <f>IFERROR(__xludf.DUMMYFUNCTION("""COMPUTED_VALUE"""),0.120300751879699)</f>
        <v>0.1203007519</v>
      </c>
      <c r="P163" s="8">
        <f>IFERROR(__xludf.DUMMYFUNCTION("""COMPUTED_VALUE"""),0.0827067669172932)</f>
        <v>0.08270676692</v>
      </c>
      <c r="Q163" s="8">
        <f>IFERROR(__xludf.DUMMYFUNCTION("""COMPUTED_VALUE"""),0.0)</f>
        <v>0</v>
      </c>
      <c r="R163" s="8">
        <f>IFERROR(__xludf.DUMMYFUNCTION("""COMPUTED_VALUE"""),0.0)</f>
        <v>0</v>
      </c>
      <c r="S163" s="8">
        <f>IFERROR(__xludf.DUMMYFUNCTION("""COMPUTED_VALUE"""),0.0)</f>
        <v>0</v>
      </c>
      <c r="T163" s="8">
        <f>IFERROR(__xludf.DUMMYFUNCTION("""COMPUTED_VALUE"""),0.0)</f>
        <v>0</v>
      </c>
      <c r="U163" s="8">
        <f>IFERROR(__xludf.DUMMYFUNCTION("""COMPUTED_VALUE"""),0.0)</f>
        <v>0</v>
      </c>
      <c r="V163" s="8">
        <f>IFERROR(__xludf.DUMMYFUNCTION("""COMPUTED_VALUE"""),0.0)</f>
        <v>0</v>
      </c>
      <c r="W163" s="8">
        <f>IFERROR(__xludf.DUMMYFUNCTION("""COMPUTED_VALUE"""),0.0)</f>
        <v>0</v>
      </c>
      <c r="X163" s="8">
        <f>IFERROR(__xludf.DUMMYFUNCTION("""COMPUTED_VALUE"""),0.0)</f>
        <v>0</v>
      </c>
      <c r="Y163" s="8">
        <f>IFERROR(__xludf.DUMMYFUNCTION("""COMPUTED_VALUE"""),0.0)</f>
        <v>0</v>
      </c>
      <c r="Z163" s="8">
        <f>IFERROR(__xludf.DUMMYFUNCTION("""COMPUTED_VALUE"""),0.0)</f>
        <v>0</v>
      </c>
      <c r="AA163" s="8">
        <f>IFERROR(__xludf.DUMMYFUNCTION("""COMPUTED_VALUE"""),0.0)</f>
        <v>0</v>
      </c>
      <c r="AB163" s="8">
        <f>IFERROR(__xludf.DUMMYFUNCTION("""COMPUTED_VALUE"""),0.0)</f>
        <v>0</v>
      </c>
      <c r="AC163" s="8">
        <f>IFERROR(__xludf.DUMMYFUNCTION("""COMPUTED_VALUE"""),0.0)</f>
        <v>0</v>
      </c>
    </row>
    <row r="164" ht="15.75" customHeight="1">
      <c r="A164" s="6" t="str">
        <f>IFERROR(__xludf.DUMMYFUNCTION("""COMPUTED_VALUE"""),"95cfee76565a1eb0481e08f4f0da75fa4a0cdb74")</f>
        <v>95cfee76565a1eb0481e08f4f0da75fa4a0cdb74</v>
      </c>
      <c r="B164" s="6" t="str">
        <f>IFERROR(__xludf.DUMMYFUNCTION("""COMPUTED_VALUE"""),"Revenge Called Athena")</f>
        <v>Revenge Called Athena</v>
      </c>
      <c r="C164" s="6" t="str">
        <f>IFERROR(__xludf.DUMMYFUNCTION("""COMPUTED_VALUE"""),"Drama")</f>
        <v>Drama</v>
      </c>
      <c r="D164" s="11">
        <f>IFERROR(__xludf.DUMMYFUNCTION("""COMPUTED_VALUE"""),1902.0)</f>
        <v>1902</v>
      </c>
      <c r="E164" s="8">
        <f>IFERROR(__xludf.DUMMYFUNCTION("""COMPUTED_VALUE"""),0.927406628090478)</f>
        <v>0.9274066281</v>
      </c>
      <c r="F164" s="8">
        <f>IFERROR(__xludf.DUMMYFUNCTION("""COMPUTED_VALUE"""),0.659641728134878)</f>
        <v>0.6596417281</v>
      </c>
      <c r="G164" s="8">
        <f>IFERROR(__xludf.DUMMYFUNCTION("""COMPUTED_VALUE"""),0.613396624472573)</f>
        <v>0.6133966245</v>
      </c>
      <c r="H164" s="8">
        <f>IFERROR(__xludf.DUMMYFUNCTION("""COMPUTED_VALUE"""),0.580253431890179)</f>
        <v>0.5802534319</v>
      </c>
      <c r="I164" s="8">
        <f>IFERROR(__xludf.DUMMYFUNCTION("""COMPUTED_VALUE"""),0.558963511369645)</f>
        <v>0.5589635114</v>
      </c>
      <c r="J164" s="8">
        <f>IFERROR(__xludf.DUMMYFUNCTION("""COMPUTED_VALUE"""),0.538992042440318)</f>
        <v>0.5389920424</v>
      </c>
      <c r="K164" s="8">
        <f>IFERROR(__xludf.DUMMYFUNCTION("""COMPUTED_VALUE"""),0.514941302027748)</f>
        <v>0.514941302</v>
      </c>
      <c r="L164" s="8">
        <f>IFERROR(__xludf.DUMMYFUNCTION("""COMPUTED_VALUE"""),0.493421052631578)</f>
        <v>0.4934210526</v>
      </c>
      <c r="M164" s="8">
        <f>IFERROR(__xludf.DUMMYFUNCTION("""COMPUTED_VALUE"""),0.486181613085166)</f>
        <v>0.4861816131</v>
      </c>
      <c r="N164" s="8">
        <f>IFERROR(__xludf.DUMMYFUNCTION("""COMPUTED_VALUE"""),0.477518497438816)</f>
        <v>0.4775184974</v>
      </c>
      <c r="O164" s="8">
        <f>IFERROR(__xludf.DUMMYFUNCTION("""COMPUTED_VALUE"""),0.439393939393939)</f>
        <v>0.4393939394</v>
      </c>
      <c r="P164" s="8">
        <f>IFERROR(__xludf.DUMMYFUNCTION("""COMPUTED_VALUE"""),0.354684512428298)</f>
        <v>0.3546845124</v>
      </c>
      <c r="Q164" s="8">
        <f>IFERROR(__xludf.DUMMYFUNCTION("""COMPUTED_VALUE"""),0.27076923076923)</f>
        <v>0.2707692308</v>
      </c>
      <c r="R164" s="8">
        <f>IFERROR(__xludf.DUMMYFUNCTION("""COMPUTED_VALUE"""),0.25531914893617)</f>
        <v>0.2553191489</v>
      </c>
      <c r="S164" s="8">
        <f>IFERROR(__xludf.DUMMYFUNCTION("""COMPUTED_VALUE"""),0.25)</f>
        <v>0.25</v>
      </c>
      <c r="T164" s="8">
        <f>IFERROR(__xludf.DUMMYFUNCTION("""COMPUTED_VALUE"""),0.0)</f>
        <v>0</v>
      </c>
      <c r="U164" s="8">
        <f>IFERROR(__xludf.DUMMYFUNCTION("""COMPUTED_VALUE"""),0.0)</f>
        <v>0</v>
      </c>
      <c r="V164" s="8">
        <f>IFERROR(__xludf.DUMMYFUNCTION("""COMPUTED_VALUE"""),0.0)</f>
        <v>0</v>
      </c>
      <c r="W164" s="8">
        <f>IFERROR(__xludf.DUMMYFUNCTION("""COMPUTED_VALUE"""),0.0)</f>
        <v>0</v>
      </c>
      <c r="X164" s="8">
        <f>IFERROR(__xludf.DUMMYFUNCTION("""COMPUTED_VALUE"""),0.0)</f>
        <v>0</v>
      </c>
      <c r="Y164" s="8">
        <f>IFERROR(__xludf.DUMMYFUNCTION("""COMPUTED_VALUE"""),0.0)</f>
        <v>0</v>
      </c>
      <c r="Z164" s="8">
        <f>IFERROR(__xludf.DUMMYFUNCTION("""COMPUTED_VALUE"""),0.0)</f>
        <v>0</v>
      </c>
      <c r="AA164" s="8">
        <f>IFERROR(__xludf.DUMMYFUNCTION("""COMPUTED_VALUE"""),0.0)</f>
        <v>0</v>
      </c>
      <c r="AB164" s="8">
        <f>IFERROR(__xludf.DUMMYFUNCTION("""COMPUTED_VALUE"""),0.0)</f>
        <v>0</v>
      </c>
      <c r="AC164" s="8">
        <f>IFERROR(__xludf.DUMMYFUNCTION("""COMPUTED_VALUE"""),0.0)</f>
        <v>0</v>
      </c>
    </row>
    <row r="165" ht="15.75" customHeight="1">
      <c r="A165" s="6" t="str">
        <f>IFERROR(__xludf.DUMMYFUNCTION("""COMPUTED_VALUE"""),"964c4dbd3e851f0d215e0fc68b9c364303676665")</f>
        <v>964c4dbd3e851f0d215e0fc68b9c364303676665</v>
      </c>
      <c r="B165" s="6" t="str">
        <f>IFERROR(__xludf.DUMMYFUNCTION("""COMPUTED_VALUE"""),"The Governor's Wife")</f>
        <v>The Governor's Wife</v>
      </c>
      <c r="C165" s="6" t="str">
        <f>IFERROR(__xludf.DUMMYFUNCTION("""COMPUTED_VALUE"""),"Romance")</f>
        <v>Romance</v>
      </c>
      <c r="D165" s="11">
        <f>IFERROR(__xludf.DUMMYFUNCTION("""COMPUTED_VALUE"""),912.0)</f>
        <v>912</v>
      </c>
      <c r="E165" s="8">
        <f>IFERROR(__xludf.DUMMYFUNCTION("""COMPUTED_VALUE"""),0.961024498886414)</f>
        <v>0.9610244989</v>
      </c>
      <c r="F165" s="8">
        <f>IFERROR(__xludf.DUMMYFUNCTION("""COMPUTED_VALUE"""),0.531890660592255)</f>
        <v>0.5318906606</v>
      </c>
      <c r="G165" s="8">
        <f>IFERROR(__xludf.DUMMYFUNCTION("""COMPUTED_VALUE"""),0.507602339181286)</f>
        <v>0.5076023392</v>
      </c>
      <c r="H165" s="8">
        <f>IFERROR(__xludf.DUMMYFUNCTION("""COMPUTED_VALUE"""),0.483213429256594)</f>
        <v>0.4832134293</v>
      </c>
      <c r="I165" s="8">
        <f>IFERROR(__xludf.DUMMYFUNCTION("""COMPUTED_VALUE"""),0.444993819530284)</f>
        <v>0.4449938195</v>
      </c>
      <c r="J165" s="8">
        <f>IFERROR(__xludf.DUMMYFUNCTION("""COMPUTED_VALUE"""),0.371173469387755)</f>
        <v>0.3711734694</v>
      </c>
      <c r="K165" s="8">
        <f>IFERROR(__xludf.DUMMYFUNCTION("""COMPUTED_VALUE"""),0.3359477124183)</f>
        <v>0.3359477124</v>
      </c>
      <c r="L165" s="8">
        <f>IFERROR(__xludf.DUMMYFUNCTION("""COMPUTED_VALUE"""),0.312841530054644)</f>
        <v>0.3128415301</v>
      </c>
      <c r="M165" s="8">
        <f>IFERROR(__xludf.DUMMYFUNCTION("""COMPUTED_VALUE"""),0.287339971550497)</f>
        <v>0.2873399716</v>
      </c>
      <c r="N165" s="8">
        <f>IFERROR(__xludf.DUMMYFUNCTION("""COMPUTED_VALUE"""),0.229041916167664)</f>
        <v>0.2290419162</v>
      </c>
      <c r="O165" s="8">
        <f>IFERROR(__xludf.DUMMYFUNCTION("""COMPUTED_VALUE"""),0.165820642978003)</f>
        <v>0.165820643</v>
      </c>
      <c r="P165" s="8">
        <f>IFERROR(__xludf.DUMMYFUNCTION("""COMPUTED_VALUE"""),0.0830039525691699)</f>
        <v>0.08300395257</v>
      </c>
      <c r="Q165" s="8">
        <f>IFERROR(__xludf.DUMMYFUNCTION("""COMPUTED_VALUE"""),0.0)</f>
        <v>0</v>
      </c>
      <c r="R165" s="8">
        <f>IFERROR(__xludf.DUMMYFUNCTION("""COMPUTED_VALUE"""),0.0)</f>
        <v>0</v>
      </c>
      <c r="S165" s="8">
        <f>IFERROR(__xludf.DUMMYFUNCTION("""COMPUTED_VALUE"""),0.0)</f>
        <v>0</v>
      </c>
      <c r="T165" s="8">
        <f>IFERROR(__xludf.DUMMYFUNCTION("""COMPUTED_VALUE"""),0.0)</f>
        <v>0</v>
      </c>
      <c r="U165" s="8">
        <f>IFERROR(__xludf.DUMMYFUNCTION("""COMPUTED_VALUE"""),0.0)</f>
        <v>0</v>
      </c>
      <c r="V165" s="8">
        <f>IFERROR(__xludf.DUMMYFUNCTION("""COMPUTED_VALUE"""),0.0)</f>
        <v>0</v>
      </c>
      <c r="W165" s="8">
        <f>IFERROR(__xludf.DUMMYFUNCTION("""COMPUTED_VALUE"""),0.0)</f>
        <v>0</v>
      </c>
      <c r="X165" s="8">
        <f>IFERROR(__xludf.DUMMYFUNCTION("""COMPUTED_VALUE"""),0.0)</f>
        <v>0</v>
      </c>
      <c r="Y165" s="8">
        <f>IFERROR(__xludf.DUMMYFUNCTION("""COMPUTED_VALUE"""),0.0)</f>
        <v>0</v>
      </c>
      <c r="Z165" s="8">
        <f>IFERROR(__xludf.DUMMYFUNCTION("""COMPUTED_VALUE"""),0.0)</f>
        <v>0</v>
      </c>
      <c r="AA165" s="8">
        <f>IFERROR(__xludf.DUMMYFUNCTION("""COMPUTED_VALUE"""),0.0)</f>
        <v>0</v>
      </c>
      <c r="AB165" s="8">
        <f>IFERROR(__xludf.DUMMYFUNCTION("""COMPUTED_VALUE"""),0.0)</f>
        <v>0</v>
      </c>
      <c r="AC165" s="8">
        <f>IFERROR(__xludf.DUMMYFUNCTION("""COMPUTED_VALUE"""),0.0)</f>
        <v>0</v>
      </c>
    </row>
    <row r="166" ht="15.75" customHeight="1">
      <c r="A166" s="6" t="str">
        <f>IFERROR(__xludf.DUMMYFUNCTION("""COMPUTED_VALUE"""),"96f6721dc499b730f42b02d86e640d682f4f665d")</f>
        <v>96f6721dc499b730f42b02d86e640d682f4f665d</v>
      </c>
      <c r="B166" s="6" t="str">
        <f>IFERROR(__xludf.DUMMYFUNCTION("""COMPUTED_VALUE"""),"Last Witch of Swendel")</f>
        <v>Last Witch of Swendel</v>
      </c>
      <c r="C166" s="6" t="str">
        <f>IFERROR(__xludf.DUMMYFUNCTION("""COMPUTED_VALUE"""),"Romantasy")</f>
        <v>Romantasy</v>
      </c>
      <c r="D166" s="11">
        <f>IFERROR(__xludf.DUMMYFUNCTION("""COMPUTED_VALUE"""),4347.0)</f>
        <v>4347</v>
      </c>
      <c r="E166" s="8">
        <f>IFERROR(__xludf.DUMMYFUNCTION("""COMPUTED_VALUE"""),0.946835443037974)</f>
        <v>0.946835443</v>
      </c>
      <c r="F166" s="8">
        <f>IFERROR(__xludf.DUMMYFUNCTION("""COMPUTED_VALUE"""),0.488023952095808)</f>
        <v>0.4880239521</v>
      </c>
      <c r="G166" s="8">
        <f>IFERROR(__xludf.DUMMYFUNCTION("""COMPUTED_VALUE"""),0.428900668356764)</f>
        <v>0.4289006684</v>
      </c>
      <c r="H166" s="8">
        <f>IFERROR(__xludf.DUMMYFUNCTION("""COMPUTED_VALUE"""),0.39515570934256)</f>
        <v>0.3951557093</v>
      </c>
      <c r="I166" s="8">
        <f>IFERROR(__xludf.DUMMYFUNCTION("""COMPUTED_VALUE"""),0.37277970011534)</f>
        <v>0.3727797001</v>
      </c>
      <c r="J166" s="8">
        <f>IFERROR(__xludf.DUMMYFUNCTION("""COMPUTED_VALUE"""),0.359944623904014)</f>
        <v>0.3599446239</v>
      </c>
      <c r="K166" s="8">
        <f>IFERROR(__xludf.DUMMYFUNCTION("""COMPUTED_VALUE"""),0.347334410339256)</f>
        <v>0.3473344103</v>
      </c>
      <c r="L166" s="8">
        <f>IFERROR(__xludf.DUMMYFUNCTION("""COMPUTED_VALUE"""),0.334564765643038)</f>
        <v>0.3345647656</v>
      </c>
      <c r="M166" s="8">
        <f>IFERROR(__xludf.DUMMYFUNCTION("""COMPUTED_VALUE"""),0.32463634264604)</f>
        <v>0.3246363426</v>
      </c>
      <c r="N166" s="8">
        <f>IFERROR(__xludf.DUMMYFUNCTION("""COMPUTED_VALUE"""),0.317845584835876)</f>
        <v>0.3178455848</v>
      </c>
      <c r="O166" s="8">
        <f>IFERROR(__xludf.DUMMYFUNCTION("""COMPUTED_VALUE"""),0.295591647331786)</f>
        <v>0.2955916473</v>
      </c>
      <c r="P166" s="8">
        <f>IFERROR(__xludf.DUMMYFUNCTION("""COMPUTED_VALUE"""),0.239074550128534)</f>
        <v>0.2390745501</v>
      </c>
      <c r="Q166" s="8">
        <f>IFERROR(__xludf.DUMMYFUNCTION("""COMPUTED_VALUE"""),0.20372581800812)</f>
        <v>0.203725818</v>
      </c>
      <c r="R166" s="8">
        <f>IFERROR(__xludf.DUMMYFUNCTION("""COMPUTED_VALUE"""),0.152450090744101)</f>
        <v>0.1524500907</v>
      </c>
      <c r="S166" s="8">
        <f>IFERROR(__xludf.DUMMYFUNCTION("""COMPUTED_VALUE"""),0.108426966292134)</f>
        <v>0.1084269663</v>
      </c>
      <c r="T166" s="8">
        <f>IFERROR(__xludf.DUMMYFUNCTION("""COMPUTED_VALUE"""),0.0782548476454293)</f>
        <v>0.07825484765</v>
      </c>
      <c r="U166" s="8">
        <f>IFERROR(__xludf.DUMMYFUNCTION("""COMPUTED_VALUE"""),0.0583333333333333)</f>
        <v>0.05833333333</v>
      </c>
      <c r="V166" s="8">
        <f>IFERROR(__xludf.DUMMYFUNCTION("""COMPUTED_VALUE"""),0.075075075075075)</f>
        <v>0.07507507508</v>
      </c>
      <c r="W166" s="8">
        <f>IFERROR(__xludf.DUMMYFUNCTION("""COMPUTED_VALUE"""),0.0746268656716417)</f>
        <v>0.07462686567</v>
      </c>
      <c r="X166" s="8">
        <f>IFERROR(__xludf.DUMMYFUNCTION("""COMPUTED_VALUE"""),0.0)</f>
        <v>0</v>
      </c>
      <c r="Y166" s="8">
        <f>IFERROR(__xludf.DUMMYFUNCTION("""COMPUTED_VALUE"""),0.0)</f>
        <v>0</v>
      </c>
      <c r="Z166" s="8">
        <f>IFERROR(__xludf.DUMMYFUNCTION("""COMPUTED_VALUE"""),0.0)</f>
        <v>0</v>
      </c>
      <c r="AA166" s="8">
        <f>IFERROR(__xludf.DUMMYFUNCTION("""COMPUTED_VALUE"""),0.0)</f>
        <v>0</v>
      </c>
      <c r="AB166" s="8">
        <f>IFERROR(__xludf.DUMMYFUNCTION("""COMPUTED_VALUE"""),0.0)</f>
        <v>0</v>
      </c>
      <c r="AC166" s="8">
        <f>IFERROR(__xludf.DUMMYFUNCTION("""COMPUTED_VALUE"""),0.0)</f>
        <v>0</v>
      </c>
    </row>
    <row r="167" ht="15.75" customHeight="1">
      <c r="A167" s="6" t="str">
        <f>IFERROR(__xludf.DUMMYFUNCTION("""COMPUTED_VALUE"""),"97bf3d3427830d8b1bc0c5929b0c0832cbf02a25")</f>
        <v>97bf3d3427830d8b1bc0c5929b0c0832cbf02a25</v>
      </c>
      <c r="B167" s="6" t="str">
        <f>IFERROR(__xludf.DUMMYFUNCTION("""COMPUTED_VALUE"""),"The Miraculous Physician")</f>
        <v>The Miraculous Physician</v>
      </c>
      <c r="C167" s="6" t="str">
        <f>IFERROR(__xludf.DUMMYFUNCTION("""COMPUTED_VALUE"""),"System and Superpower")</f>
        <v>System and Superpower</v>
      </c>
      <c r="D167" s="11">
        <f>IFERROR(__xludf.DUMMYFUNCTION("""COMPUTED_VALUE"""),130.0)</f>
        <v>130</v>
      </c>
      <c r="E167" s="8">
        <f>IFERROR(__xludf.DUMMYFUNCTION("""COMPUTED_VALUE"""),0.944881889763779)</f>
        <v>0.9448818898</v>
      </c>
      <c r="F167" s="8">
        <f>IFERROR(__xludf.DUMMYFUNCTION("""COMPUTED_VALUE"""),0.552)</f>
        <v>0.552</v>
      </c>
      <c r="G167" s="8">
        <f>IFERROR(__xludf.DUMMYFUNCTION("""COMPUTED_VALUE"""),0.429752066115702)</f>
        <v>0.4297520661</v>
      </c>
      <c r="H167" s="8">
        <f>IFERROR(__xludf.DUMMYFUNCTION("""COMPUTED_VALUE"""),0.369747899159663)</f>
        <v>0.3697478992</v>
      </c>
      <c r="I167" s="8">
        <f>IFERROR(__xludf.DUMMYFUNCTION("""COMPUTED_VALUE"""),0.370689655172413)</f>
        <v>0.3706896552</v>
      </c>
      <c r="J167" s="8">
        <f>IFERROR(__xludf.DUMMYFUNCTION("""COMPUTED_VALUE"""),0.333333333333333)</f>
        <v>0.3333333333</v>
      </c>
      <c r="K167" s="8">
        <f>IFERROR(__xludf.DUMMYFUNCTION("""COMPUTED_VALUE"""),0.30188679245283)</f>
        <v>0.3018867925</v>
      </c>
      <c r="L167" s="8">
        <f>IFERROR(__xludf.DUMMYFUNCTION("""COMPUTED_VALUE"""),0.3)</f>
        <v>0.3</v>
      </c>
      <c r="M167" s="8">
        <f>IFERROR(__xludf.DUMMYFUNCTION("""COMPUTED_VALUE"""),0.261904761904761)</f>
        <v>0.2619047619</v>
      </c>
      <c r="N167" s="8">
        <f>IFERROR(__xludf.DUMMYFUNCTION("""COMPUTED_VALUE"""),0.246153846153846)</f>
        <v>0.2461538462</v>
      </c>
      <c r="O167" s="8">
        <f>IFERROR(__xludf.DUMMYFUNCTION("""COMPUTED_VALUE"""),0.25)</f>
        <v>0.25</v>
      </c>
      <c r="P167" s="8">
        <f>IFERROR(__xludf.DUMMYFUNCTION("""COMPUTED_VALUE"""),1.0)</f>
        <v>1</v>
      </c>
      <c r="Q167" s="8">
        <f>IFERROR(__xludf.DUMMYFUNCTION("""COMPUTED_VALUE"""),0.0)</f>
        <v>0</v>
      </c>
      <c r="R167" s="8">
        <f>IFERROR(__xludf.DUMMYFUNCTION("""COMPUTED_VALUE"""),0.0)</f>
        <v>0</v>
      </c>
      <c r="S167" s="8">
        <f>IFERROR(__xludf.DUMMYFUNCTION("""COMPUTED_VALUE"""),0.0)</f>
        <v>0</v>
      </c>
      <c r="T167" s="8">
        <f>IFERROR(__xludf.DUMMYFUNCTION("""COMPUTED_VALUE"""),0.0)</f>
        <v>0</v>
      </c>
      <c r="U167" s="8">
        <f>IFERROR(__xludf.DUMMYFUNCTION("""COMPUTED_VALUE"""),0.0)</f>
        <v>0</v>
      </c>
      <c r="V167" s="8">
        <f>IFERROR(__xludf.DUMMYFUNCTION("""COMPUTED_VALUE"""),0.0)</f>
        <v>0</v>
      </c>
      <c r="W167" s="8">
        <f>IFERROR(__xludf.DUMMYFUNCTION("""COMPUTED_VALUE"""),0.0)</f>
        <v>0</v>
      </c>
      <c r="X167" s="8">
        <f>IFERROR(__xludf.DUMMYFUNCTION("""COMPUTED_VALUE"""),0.0)</f>
        <v>0</v>
      </c>
      <c r="Y167" s="8">
        <f>IFERROR(__xludf.DUMMYFUNCTION("""COMPUTED_VALUE"""),0.0)</f>
        <v>0</v>
      </c>
      <c r="Z167" s="8">
        <f>IFERROR(__xludf.DUMMYFUNCTION("""COMPUTED_VALUE"""),0.0)</f>
        <v>0</v>
      </c>
      <c r="AA167" s="8">
        <f>IFERROR(__xludf.DUMMYFUNCTION("""COMPUTED_VALUE"""),0.0)</f>
        <v>0</v>
      </c>
      <c r="AB167" s="8">
        <f>IFERROR(__xludf.DUMMYFUNCTION("""COMPUTED_VALUE"""),0.0)</f>
        <v>0</v>
      </c>
      <c r="AC167" s="8">
        <f>IFERROR(__xludf.DUMMYFUNCTION("""COMPUTED_VALUE"""),0.0)</f>
        <v>0</v>
      </c>
    </row>
    <row r="168" ht="15.75" customHeight="1">
      <c r="A168" s="6" t="str">
        <f>IFERROR(__xludf.DUMMYFUNCTION("""COMPUTED_VALUE"""),"97d2593a35303e42da5da630e9d8848fa086fc93")</f>
        <v>97d2593a35303e42da5da630e9d8848fa086fc93</v>
      </c>
      <c r="B168" s="6" t="str">
        <f>IFERROR(__xludf.DUMMYFUNCTION("""COMPUTED_VALUE"""),"Spying on My Rebel Alpha")</f>
        <v>Spying on My Rebel Alpha</v>
      </c>
      <c r="C168" s="6" t="str">
        <f>IFERROR(__xludf.DUMMYFUNCTION("""COMPUTED_VALUE"""),"Romantasy")</f>
        <v>Romantasy</v>
      </c>
      <c r="D168" s="11">
        <f>IFERROR(__xludf.DUMMYFUNCTION("""COMPUTED_VALUE"""),2719.0)</f>
        <v>2719</v>
      </c>
      <c r="E168" s="8">
        <f>IFERROR(__xludf.DUMMYFUNCTION("""COMPUTED_VALUE"""),0.96980854197349)</f>
        <v>0.969808542</v>
      </c>
      <c r="F168" s="8">
        <f>IFERROR(__xludf.DUMMYFUNCTION("""COMPUTED_VALUE"""),0.456794682422451)</f>
        <v>0.4567946824</v>
      </c>
      <c r="G168" s="8">
        <f>IFERROR(__xludf.DUMMYFUNCTION("""COMPUTED_VALUE"""),0.38580931263858)</f>
        <v>0.3858093126</v>
      </c>
      <c r="H168" s="8">
        <f>IFERROR(__xludf.DUMMYFUNCTION("""COMPUTED_VALUE"""),0.349852071005917)</f>
        <v>0.349852071</v>
      </c>
      <c r="I168" s="8">
        <f>IFERROR(__xludf.DUMMYFUNCTION("""COMPUTED_VALUE"""),0.319156804733727)</f>
        <v>0.3191568047</v>
      </c>
      <c r="J168" s="8">
        <f>IFERROR(__xludf.DUMMYFUNCTION("""COMPUTED_VALUE"""),0.297477744807121)</f>
        <v>0.2974777448</v>
      </c>
      <c r="K168" s="8">
        <f>IFERROR(__xludf.DUMMYFUNCTION("""COMPUTED_VALUE"""),0.282955811362792)</f>
        <v>0.2829558114</v>
      </c>
      <c r="L168" s="8">
        <f>IFERROR(__xludf.DUMMYFUNCTION("""COMPUTED_VALUE"""),0.270592620201267)</f>
        <v>0.2705926202</v>
      </c>
      <c r="M168" s="8">
        <f>IFERROR(__xludf.DUMMYFUNCTION("""COMPUTED_VALUE"""),0.260165662650602)</f>
        <v>0.2601656627</v>
      </c>
      <c r="N168" s="8">
        <f>IFERROR(__xludf.DUMMYFUNCTION("""COMPUTED_VALUE"""),0.256653992395437)</f>
        <v>0.2566539924</v>
      </c>
      <c r="O168" s="8">
        <f>IFERROR(__xludf.DUMMYFUNCTION("""COMPUTED_VALUE"""),0.220563847429519)</f>
        <v>0.2205638474</v>
      </c>
      <c r="P168" s="8">
        <f>IFERROR(__xludf.DUMMYFUNCTION("""COMPUTED_VALUE"""),0.171823568136932)</f>
        <v>0.1718235681</v>
      </c>
      <c r="Q168" s="8">
        <f>IFERROR(__xludf.DUMMYFUNCTION("""COMPUTED_VALUE"""),0.129032258064516)</f>
        <v>0.1290322581</v>
      </c>
      <c r="R168" s="8">
        <f>IFERROR(__xludf.DUMMYFUNCTION("""COMPUTED_VALUE"""),0.0)</f>
        <v>0</v>
      </c>
      <c r="S168" s="8">
        <f>IFERROR(__xludf.DUMMYFUNCTION("""COMPUTED_VALUE"""),0.0)</f>
        <v>0</v>
      </c>
      <c r="T168" s="8">
        <f>IFERROR(__xludf.DUMMYFUNCTION("""COMPUTED_VALUE"""),0.0)</f>
        <v>0</v>
      </c>
      <c r="U168" s="8">
        <f>IFERROR(__xludf.DUMMYFUNCTION("""COMPUTED_VALUE"""),0.0)</f>
        <v>0</v>
      </c>
      <c r="V168" s="8">
        <f>IFERROR(__xludf.DUMMYFUNCTION("""COMPUTED_VALUE"""),0.0)</f>
        <v>0</v>
      </c>
      <c r="W168" s="8">
        <f>IFERROR(__xludf.DUMMYFUNCTION("""COMPUTED_VALUE"""),0.0)</f>
        <v>0</v>
      </c>
      <c r="X168" s="8">
        <f>IFERROR(__xludf.DUMMYFUNCTION("""COMPUTED_VALUE"""),0.0)</f>
        <v>0</v>
      </c>
      <c r="Y168" s="8">
        <f>IFERROR(__xludf.DUMMYFUNCTION("""COMPUTED_VALUE"""),0.0)</f>
        <v>0</v>
      </c>
      <c r="Z168" s="8">
        <f>IFERROR(__xludf.DUMMYFUNCTION("""COMPUTED_VALUE"""),0.0)</f>
        <v>0</v>
      </c>
      <c r="AA168" s="8">
        <f>IFERROR(__xludf.DUMMYFUNCTION("""COMPUTED_VALUE"""),0.0)</f>
        <v>0</v>
      </c>
      <c r="AB168" s="8">
        <f>IFERROR(__xludf.DUMMYFUNCTION("""COMPUTED_VALUE"""),0.0)</f>
        <v>0</v>
      </c>
      <c r="AC168" s="8">
        <f>IFERROR(__xludf.DUMMYFUNCTION("""COMPUTED_VALUE"""),0.0)</f>
        <v>0</v>
      </c>
    </row>
    <row r="169" ht="15.75" customHeight="1">
      <c r="A169" s="6" t="str">
        <f>IFERROR(__xludf.DUMMYFUNCTION("""COMPUTED_VALUE"""),"9897c34ca7143cb319fd56943504e8f8be1550c2")</f>
        <v>9897c34ca7143cb319fd56943504e8f8be1550c2</v>
      </c>
      <c r="B169" s="6" t="str">
        <f>IFERROR(__xludf.DUMMYFUNCTION("""COMPUTED_VALUE"""),"Priced Royal Kiss")</f>
        <v>Priced Royal Kiss</v>
      </c>
      <c r="C169" s="6" t="str">
        <f>IFERROR(__xludf.DUMMYFUNCTION("""COMPUTED_VALUE"""),"Drama")</f>
        <v>Drama</v>
      </c>
      <c r="D169" s="11">
        <f>IFERROR(__xludf.DUMMYFUNCTION("""COMPUTED_VALUE"""),568.0)</f>
        <v>568</v>
      </c>
      <c r="E169" s="8">
        <f>IFERROR(__xludf.DUMMYFUNCTION("""COMPUTED_VALUE"""),0.946428571428571)</f>
        <v>0.9464285714</v>
      </c>
      <c r="F169" s="8">
        <f>IFERROR(__xludf.DUMMYFUNCTION("""COMPUTED_VALUE"""),0.539426523297491)</f>
        <v>0.5394265233</v>
      </c>
      <c r="G169" s="8">
        <f>IFERROR(__xludf.DUMMYFUNCTION("""COMPUTED_VALUE"""),0.47841726618705)</f>
        <v>0.4784172662</v>
      </c>
      <c r="H169" s="8">
        <f>IFERROR(__xludf.DUMMYFUNCTION("""COMPUTED_VALUE"""),0.452079566003616)</f>
        <v>0.452079566</v>
      </c>
      <c r="I169" s="8">
        <f>IFERROR(__xludf.DUMMYFUNCTION("""COMPUTED_VALUE"""),0.435897435897435)</f>
        <v>0.4358974359</v>
      </c>
      <c r="J169" s="8">
        <f>IFERROR(__xludf.DUMMYFUNCTION("""COMPUTED_VALUE"""),0.389513108614232)</f>
        <v>0.3895131086</v>
      </c>
      <c r="K169" s="8">
        <f>IFERROR(__xludf.DUMMYFUNCTION("""COMPUTED_VALUE"""),0.387947269303201)</f>
        <v>0.3879472693</v>
      </c>
      <c r="L169" s="8">
        <f>IFERROR(__xludf.DUMMYFUNCTION("""COMPUTED_VALUE"""),0.392720306513409)</f>
        <v>0.3927203065</v>
      </c>
      <c r="M169" s="8">
        <f>IFERROR(__xludf.DUMMYFUNCTION("""COMPUTED_VALUE"""),0.390384615384615)</f>
        <v>0.3903846154</v>
      </c>
      <c r="N169" s="8">
        <f>IFERROR(__xludf.DUMMYFUNCTION("""COMPUTED_VALUE"""),0.385518590998043)</f>
        <v>0.385518591</v>
      </c>
      <c r="O169" s="8">
        <f>IFERROR(__xludf.DUMMYFUNCTION("""COMPUTED_VALUE"""),0.30835734870317)</f>
        <v>0.3083573487</v>
      </c>
      <c r="P169" s="8">
        <f>IFERROR(__xludf.DUMMYFUNCTION("""COMPUTED_VALUE"""),0.258169934640522)</f>
        <v>0.2581699346</v>
      </c>
      <c r="Q169" s="8">
        <f>IFERROR(__xludf.DUMMYFUNCTION("""COMPUTED_VALUE"""),0.161654135338345)</f>
        <v>0.1616541353</v>
      </c>
      <c r="R169" s="8">
        <f>IFERROR(__xludf.DUMMYFUNCTION("""COMPUTED_VALUE"""),0.125560538116591)</f>
        <v>0.1255605381</v>
      </c>
      <c r="S169" s="8">
        <f>IFERROR(__xludf.DUMMYFUNCTION("""COMPUTED_VALUE"""),0.111801242236024)</f>
        <v>0.1118012422</v>
      </c>
      <c r="T169" s="8">
        <f>IFERROR(__xludf.DUMMYFUNCTION("""COMPUTED_VALUE"""),0.0842105263157894)</f>
        <v>0.08421052632</v>
      </c>
      <c r="U169" s="8">
        <f>IFERROR(__xludf.DUMMYFUNCTION("""COMPUTED_VALUE"""),0.0571428571428571)</f>
        <v>0.05714285714</v>
      </c>
      <c r="V169" s="8">
        <f>IFERROR(__xludf.DUMMYFUNCTION("""COMPUTED_VALUE"""),0.0)</f>
        <v>0</v>
      </c>
      <c r="W169" s="8">
        <f>IFERROR(__xludf.DUMMYFUNCTION("""COMPUTED_VALUE"""),0.0)</f>
        <v>0</v>
      </c>
      <c r="X169" s="8">
        <f>IFERROR(__xludf.DUMMYFUNCTION("""COMPUTED_VALUE"""),0.0)</f>
        <v>0</v>
      </c>
      <c r="Y169" s="8">
        <f>IFERROR(__xludf.DUMMYFUNCTION("""COMPUTED_VALUE"""),0.0)</f>
        <v>0</v>
      </c>
      <c r="Z169" s="8">
        <f>IFERROR(__xludf.DUMMYFUNCTION("""COMPUTED_VALUE"""),0.0)</f>
        <v>0</v>
      </c>
      <c r="AA169" s="8">
        <f>IFERROR(__xludf.DUMMYFUNCTION("""COMPUTED_VALUE"""),0.0)</f>
        <v>0</v>
      </c>
      <c r="AB169" s="8">
        <f>IFERROR(__xludf.DUMMYFUNCTION("""COMPUTED_VALUE"""),0.0)</f>
        <v>0</v>
      </c>
      <c r="AC169" s="8">
        <f>IFERROR(__xludf.DUMMYFUNCTION("""COMPUTED_VALUE"""),0.0)</f>
        <v>0</v>
      </c>
    </row>
    <row r="170" ht="15.75" customHeight="1">
      <c r="A170" s="6" t="str">
        <f>IFERROR(__xludf.DUMMYFUNCTION("""COMPUTED_VALUE"""),"9b25cb8fec3919f6398cf69f6cec44382a44749e")</f>
        <v>9b25cb8fec3919f6398cf69f6cec44382a44749e</v>
      </c>
      <c r="B170" s="6" t="str">
        <f>IFERROR(__xludf.DUMMYFUNCTION("""COMPUTED_VALUE"""),"The Immortal's Mark")</f>
        <v>The Immortal's Mark</v>
      </c>
      <c r="C170" s="6" t="str">
        <f>IFERROR(__xludf.DUMMYFUNCTION("""COMPUTED_VALUE"""),"Romantasy")</f>
        <v>Romantasy</v>
      </c>
      <c r="D170" s="11">
        <f>IFERROR(__xludf.DUMMYFUNCTION("""COMPUTED_VALUE"""),3687.0)</f>
        <v>3687</v>
      </c>
      <c r="E170" s="8">
        <f>IFERROR(__xludf.DUMMYFUNCTION("""COMPUTED_VALUE"""),0.96609242548537)</f>
        <v>0.9660924255</v>
      </c>
      <c r="F170" s="8">
        <f>IFERROR(__xludf.DUMMYFUNCTION("""COMPUTED_VALUE"""),0.477900552486187)</f>
        <v>0.4779005525</v>
      </c>
      <c r="G170" s="8">
        <f>IFERROR(__xludf.DUMMYFUNCTION("""COMPUTED_VALUE"""),0.401225968236277)</f>
        <v>0.4012259682</v>
      </c>
      <c r="H170" s="8">
        <f>IFERROR(__xludf.DUMMYFUNCTION("""COMPUTED_VALUE"""),0.337268128161888)</f>
        <v>0.3372681282</v>
      </c>
      <c r="I170" s="8">
        <f>IFERROR(__xludf.DUMMYFUNCTION("""COMPUTED_VALUE"""),0.304916169366297)</f>
        <v>0.3049161694</v>
      </c>
      <c r="J170" s="8">
        <f>IFERROR(__xludf.DUMMYFUNCTION("""COMPUTED_VALUE"""),0.282006920415224)</f>
        <v>0.2820069204</v>
      </c>
      <c r="K170" s="8">
        <f>IFERROR(__xludf.DUMMYFUNCTION("""COMPUTED_VALUE"""),0.260250072695551)</f>
        <v>0.2602500727</v>
      </c>
      <c r="L170" s="8">
        <f>IFERROR(__xludf.DUMMYFUNCTION("""COMPUTED_VALUE"""),0.246898995865327)</f>
        <v>0.2468989959</v>
      </c>
      <c r="M170" s="8">
        <f>IFERROR(__xludf.DUMMYFUNCTION("""COMPUTED_VALUE"""),0.236048940614741)</f>
        <v>0.2360489406</v>
      </c>
      <c r="N170" s="8">
        <f>IFERROR(__xludf.DUMMYFUNCTION("""COMPUTED_VALUE"""),0.2209162145871)</f>
        <v>0.2209162146</v>
      </c>
      <c r="O170" s="8">
        <f>IFERROR(__xludf.DUMMYFUNCTION("""COMPUTED_VALUE"""),0.190242305173542)</f>
        <v>0.1902423052</v>
      </c>
      <c r="P170" s="8">
        <f>IFERROR(__xludf.DUMMYFUNCTION("""COMPUTED_VALUE"""),0.148300336197235)</f>
        <v>0.1483003362</v>
      </c>
      <c r="Q170" s="8">
        <f>IFERROR(__xludf.DUMMYFUNCTION("""COMPUTED_VALUE"""),0.11073336571151)</f>
        <v>0.1107333657</v>
      </c>
      <c r="R170" s="8">
        <f>IFERROR(__xludf.DUMMYFUNCTION("""COMPUTED_VALUE"""),0.0824865511057979)</f>
        <v>0.08248655111</v>
      </c>
      <c r="S170" s="8">
        <f>IFERROR(__xludf.DUMMYFUNCTION("""COMPUTED_VALUE"""),0.0540752351097178)</f>
        <v>0.05407523511</v>
      </c>
      <c r="T170" s="8">
        <f>IFERROR(__xludf.DUMMYFUNCTION("""COMPUTED_VALUE"""),0.072289156626506)</f>
        <v>0.07228915663</v>
      </c>
      <c r="U170" s="8">
        <f>IFERROR(__xludf.DUMMYFUNCTION("""COMPUTED_VALUE"""),0.121212121212121)</f>
        <v>0.1212121212</v>
      </c>
      <c r="V170" s="8">
        <f>IFERROR(__xludf.DUMMYFUNCTION("""COMPUTED_VALUE"""),0.0)</f>
        <v>0</v>
      </c>
      <c r="W170" s="8">
        <f>IFERROR(__xludf.DUMMYFUNCTION("""COMPUTED_VALUE"""),0.0)</f>
        <v>0</v>
      </c>
      <c r="X170" s="8">
        <f>IFERROR(__xludf.DUMMYFUNCTION("""COMPUTED_VALUE"""),0.0)</f>
        <v>0</v>
      </c>
      <c r="Y170" s="8">
        <f>IFERROR(__xludf.DUMMYFUNCTION("""COMPUTED_VALUE"""),0.0)</f>
        <v>0</v>
      </c>
      <c r="Z170" s="8">
        <f>IFERROR(__xludf.DUMMYFUNCTION("""COMPUTED_VALUE"""),0.0)</f>
        <v>0</v>
      </c>
      <c r="AA170" s="8">
        <f>IFERROR(__xludf.DUMMYFUNCTION("""COMPUTED_VALUE"""),0.0)</f>
        <v>0</v>
      </c>
      <c r="AB170" s="8">
        <f>IFERROR(__xludf.DUMMYFUNCTION("""COMPUTED_VALUE"""),0.0)</f>
        <v>0</v>
      </c>
      <c r="AC170" s="8">
        <f>IFERROR(__xludf.DUMMYFUNCTION("""COMPUTED_VALUE"""),0.0)</f>
        <v>0</v>
      </c>
    </row>
    <row r="171" ht="15.75" customHeight="1">
      <c r="A171" s="6" t="str">
        <f>IFERROR(__xludf.DUMMYFUNCTION("""COMPUTED_VALUE"""),"9c5a320e8591b0aad996347bc17f53479097ac00")</f>
        <v>9c5a320e8591b0aad996347bc17f53479097ac00</v>
      </c>
      <c r="B171" s="6" t="str">
        <f>IFERROR(__xludf.DUMMYFUNCTION("""COMPUTED_VALUE"""),"Dad's a Billionaire")</f>
        <v>Dad's a Billionaire</v>
      </c>
      <c r="C171" s="6" t="str">
        <f>IFERROR(__xludf.DUMMYFUNCTION("""COMPUTED_VALUE"""),"Romance")</f>
        <v>Romance</v>
      </c>
      <c r="D171" s="11">
        <f>IFERROR(__xludf.DUMMYFUNCTION("""COMPUTED_VALUE"""),376.0)</f>
        <v>376</v>
      </c>
      <c r="E171" s="8">
        <f>IFERROR(__xludf.DUMMYFUNCTION("""COMPUTED_VALUE"""),0.971988795518207)</f>
        <v>0.9719887955</v>
      </c>
      <c r="F171" s="8">
        <f>IFERROR(__xludf.DUMMYFUNCTION("""COMPUTED_VALUE"""),0.56957928802589)</f>
        <v>0.569579288</v>
      </c>
      <c r="G171" s="8">
        <f>IFERROR(__xludf.DUMMYFUNCTION("""COMPUTED_VALUE"""),0.482758620689655)</f>
        <v>0.4827586207</v>
      </c>
      <c r="H171" s="8">
        <f>IFERROR(__xludf.DUMMYFUNCTION("""COMPUTED_VALUE"""),0.448148148148148)</f>
        <v>0.4481481481</v>
      </c>
      <c r="I171" s="8">
        <f>IFERROR(__xludf.DUMMYFUNCTION("""COMPUTED_VALUE"""),0.400763358778625)</f>
        <v>0.4007633588</v>
      </c>
      <c r="J171" s="8">
        <f>IFERROR(__xludf.DUMMYFUNCTION("""COMPUTED_VALUE"""),0.361702127659574)</f>
        <v>0.3617021277</v>
      </c>
      <c r="K171" s="8">
        <f>IFERROR(__xludf.DUMMYFUNCTION("""COMPUTED_VALUE"""),0.327188940092165)</f>
        <v>0.3271889401</v>
      </c>
      <c r="L171" s="8">
        <f>IFERROR(__xludf.DUMMYFUNCTION("""COMPUTED_VALUE"""),0.352331606217616)</f>
        <v>0.3523316062</v>
      </c>
      <c r="M171" s="8">
        <f>IFERROR(__xludf.DUMMYFUNCTION("""COMPUTED_VALUE"""),0.347368421052631)</f>
        <v>0.3473684211</v>
      </c>
      <c r="N171" s="8">
        <f>IFERROR(__xludf.DUMMYFUNCTION("""COMPUTED_VALUE"""),0.294736842105263)</f>
        <v>0.2947368421</v>
      </c>
      <c r="O171" s="8">
        <f>IFERROR(__xludf.DUMMYFUNCTION("""COMPUTED_VALUE"""),0.308108108108108)</f>
        <v>0.3081081081</v>
      </c>
      <c r="P171" s="8">
        <f>IFERROR(__xludf.DUMMYFUNCTION("""COMPUTED_VALUE"""),0.203592814371257)</f>
        <v>0.2035928144</v>
      </c>
      <c r="Q171" s="8">
        <f>IFERROR(__xludf.DUMMYFUNCTION("""COMPUTED_VALUE"""),0.0)</f>
        <v>0</v>
      </c>
      <c r="R171" s="8">
        <f>IFERROR(__xludf.DUMMYFUNCTION("""COMPUTED_VALUE"""),0.0)</f>
        <v>0</v>
      </c>
      <c r="S171" s="8">
        <f>IFERROR(__xludf.DUMMYFUNCTION("""COMPUTED_VALUE"""),0.0)</f>
        <v>0</v>
      </c>
      <c r="T171" s="8">
        <f>IFERROR(__xludf.DUMMYFUNCTION("""COMPUTED_VALUE"""),0.0)</f>
        <v>0</v>
      </c>
      <c r="U171" s="8">
        <f>IFERROR(__xludf.DUMMYFUNCTION("""COMPUTED_VALUE"""),0.0)</f>
        <v>0</v>
      </c>
      <c r="V171" s="8">
        <f>IFERROR(__xludf.DUMMYFUNCTION("""COMPUTED_VALUE"""),0.0)</f>
        <v>0</v>
      </c>
      <c r="W171" s="8">
        <f>IFERROR(__xludf.DUMMYFUNCTION("""COMPUTED_VALUE"""),0.0)</f>
        <v>0</v>
      </c>
      <c r="X171" s="8">
        <f>IFERROR(__xludf.DUMMYFUNCTION("""COMPUTED_VALUE"""),0.0)</f>
        <v>0</v>
      </c>
      <c r="Y171" s="8">
        <f>IFERROR(__xludf.DUMMYFUNCTION("""COMPUTED_VALUE"""),0.0)</f>
        <v>0</v>
      </c>
      <c r="Z171" s="8">
        <f>IFERROR(__xludf.DUMMYFUNCTION("""COMPUTED_VALUE"""),0.0)</f>
        <v>0</v>
      </c>
      <c r="AA171" s="8">
        <f>IFERROR(__xludf.DUMMYFUNCTION("""COMPUTED_VALUE"""),0.0)</f>
        <v>0</v>
      </c>
      <c r="AB171" s="8">
        <f>IFERROR(__xludf.DUMMYFUNCTION("""COMPUTED_VALUE"""),0.0)</f>
        <v>0</v>
      </c>
      <c r="AC171" s="8">
        <f>IFERROR(__xludf.DUMMYFUNCTION("""COMPUTED_VALUE"""),0.0)</f>
        <v>0</v>
      </c>
    </row>
    <row r="172" ht="15.75" customHeight="1">
      <c r="A172" s="6" t="str">
        <f>IFERROR(__xludf.DUMMYFUNCTION("""COMPUTED_VALUE"""),"9d3f3024e967ac2c104ada98aa10c481cd0f9e38")</f>
        <v>9d3f3024e967ac2c104ada98aa10c481cd0f9e38</v>
      </c>
      <c r="B172" s="6" t="str">
        <f>IFERROR(__xludf.DUMMYFUNCTION("""COMPUTED_VALUE"""),"The Wrong Mrs. Carter")</f>
        <v>The Wrong Mrs. Carter</v>
      </c>
      <c r="C172" s="6" t="str">
        <f>IFERROR(__xludf.DUMMYFUNCTION("""COMPUTED_VALUE"""),"Romance")</f>
        <v>Romance</v>
      </c>
      <c r="D172" s="11">
        <f>IFERROR(__xludf.DUMMYFUNCTION("""COMPUTED_VALUE"""),751.0)</f>
        <v>751</v>
      </c>
      <c r="E172" s="8">
        <f>IFERROR(__xludf.DUMMYFUNCTION("""COMPUTED_VALUE"""),0.931884057971014)</f>
        <v>0.931884058</v>
      </c>
      <c r="F172" s="8">
        <f>IFERROR(__xludf.DUMMYFUNCTION("""COMPUTED_VALUE"""),0.621138211382113)</f>
        <v>0.6211382114</v>
      </c>
      <c r="G172" s="8">
        <f>IFERROR(__xludf.DUMMYFUNCTION("""COMPUTED_VALUE"""),0.582491582491582)</f>
        <v>0.5824915825</v>
      </c>
      <c r="H172" s="8">
        <f>IFERROR(__xludf.DUMMYFUNCTION("""COMPUTED_VALUE"""),0.541446208112874)</f>
        <v>0.5414462081</v>
      </c>
      <c r="I172" s="8">
        <f>IFERROR(__xludf.DUMMYFUNCTION("""COMPUTED_VALUE"""),0.513227513227513)</f>
        <v>0.5132275132</v>
      </c>
      <c r="J172" s="8">
        <f>IFERROR(__xludf.DUMMYFUNCTION("""COMPUTED_VALUE"""),0.498233215547703)</f>
        <v>0.4982332155</v>
      </c>
      <c r="K172" s="8">
        <f>IFERROR(__xludf.DUMMYFUNCTION("""COMPUTED_VALUE"""),0.47787610619469)</f>
        <v>0.4778761062</v>
      </c>
      <c r="L172" s="8">
        <f>IFERROR(__xludf.DUMMYFUNCTION("""COMPUTED_VALUE"""),0.43716814159292)</f>
        <v>0.4371681416</v>
      </c>
      <c r="M172" s="8">
        <f>IFERROR(__xludf.DUMMYFUNCTION("""COMPUTED_VALUE"""),0.404021937842778)</f>
        <v>0.4040219378</v>
      </c>
      <c r="N172" s="8">
        <f>IFERROR(__xludf.DUMMYFUNCTION("""COMPUTED_VALUE"""),0.391544117647058)</f>
        <v>0.3915441176</v>
      </c>
      <c r="O172" s="8">
        <f>IFERROR(__xludf.DUMMYFUNCTION("""COMPUTED_VALUE"""),0.220883534136546)</f>
        <v>0.2208835341</v>
      </c>
      <c r="P172" s="8">
        <f>IFERROR(__xludf.DUMMYFUNCTION("""COMPUTED_VALUE"""),0.128421052631578)</f>
        <v>0.1284210526</v>
      </c>
      <c r="Q172" s="8">
        <f>IFERROR(__xludf.DUMMYFUNCTION("""COMPUTED_VALUE"""),0.0549738219895288)</f>
        <v>0.05497382199</v>
      </c>
      <c r="R172" s="8">
        <f>IFERROR(__xludf.DUMMYFUNCTION("""COMPUTED_VALUE"""),0.0350877192982456)</f>
        <v>0.0350877193</v>
      </c>
      <c r="S172" s="8">
        <f>IFERROR(__xludf.DUMMYFUNCTION("""COMPUTED_VALUE"""),0.0)</f>
        <v>0</v>
      </c>
      <c r="T172" s="8">
        <f>IFERROR(__xludf.DUMMYFUNCTION("""COMPUTED_VALUE"""),0.0)</f>
        <v>0</v>
      </c>
      <c r="U172" s="8">
        <f>IFERROR(__xludf.DUMMYFUNCTION("""COMPUTED_VALUE"""),0.0)</f>
        <v>0</v>
      </c>
      <c r="V172" s="8">
        <f>IFERROR(__xludf.DUMMYFUNCTION("""COMPUTED_VALUE"""),0.0)</f>
        <v>0</v>
      </c>
      <c r="W172" s="8">
        <f>IFERROR(__xludf.DUMMYFUNCTION("""COMPUTED_VALUE"""),0.0)</f>
        <v>0</v>
      </c>
      <c r="X172" s="8">
        <f>IFERROR(__xludf.DUMMYFUNCTION("""COMPUTED_VALUE"""),0.0)</f>
        <v>0</v>
      </c>
      <c r="Y172" s="8">
        <f>IFERROR(__xludf.DUMMYFUNCTION("""COMPUTED_VALUE"""),0.0)</f>
        <v>0</v>
      </c>
      <c r="Z172" s="8">
        <f>IFERROR(__xludf.DUMMYFUNCTION("""COMPUTED_VALUE"""),0.0)</f>
        <v>0</v>
      </c>
      <c r="AA172" s="8">
        <f>IFERROR(__xludf.DUMMYFUNCTION("""COMPUTED_VALUE"""),0.0)</f>
        <v>0</v>
      </c>
      <c r="AB172" s="8">
        <f>IFERROR(__xludf.DUMMYFUNCTION("""COMPUTED_VALUE"""),0.0)</f>
        <v>0</v>
      </c>
      <c r="AC172" s="8">
        <f>IFERROR(__xludf.DUMMYFUNCTION("""COMPUTED_VALUE"""),0.0)</f>
        <v>0</v>
      </c>
    </row>
    <row r="173" ht="15.75" customHeight="1">
      <c r="A173" s="6" t="str">
        <f>IFERROR(__xludf.DUMMYFUNCTION("""COMPUTED_VALUE"""),"9eb4932b6e7663416bee5ea2d2dd1b2ced5727be")</f>
        <v>9eb4932b6e7663416bee5ea2d2dd1b2ced5727be</v>
      </c>
      <c r="B173" s="6" t="str">
        <f>IFERROR(__xludf.DUMMYFUNCTION("""COMPUTED_VALUE"""),"Rise of the God Mage")</f>
        <v>Rise of the God Mage</v>
      </c>
      <c r="C173" s="6" t="str">
        <f>IFERROR(__xludf.DUMMYFUNCTION("""COMPUTED_VALUE"""),"Fantasy")</f>
        <v>Fantasy</v>
      </c>
      <c r="D173" s="11">
        <f>IFERROR(__xludf.DUMMYFUNCTION("""COMPUTED_VALUE"""),135.0)</f>
        <v>135</v>
      </c>
      <c r="E173" s="8">
        <f>IFERROR(__xludf.DUMMYFUNCTION("""COMPUTED_VALUE"""),0.992592592592592)</f>
        <v>0.9925925926</v>
      </c>
      <c r="F173" s="8">
        <f>IFERROR(__xludf.DUMMYFUNCTION("""COMPUTED_VALUE"""),0.515151515151515)</f>
        <v>0.5151515152</v>
      </c>
      <c r="G173" s="8">
        <f>IFERROR(__xludf.DUMMYFUNCTION("""COMPUTED_VALUE"""),0.439393939393939)</f>
        <v>0.4393939394</v>
      </c>
      <c r="H173" s="8">
        <f>IFERROR(__xludf.DUMMYFUNCTION("""COMPUTED_VALUE"""),0.409090909090909)</f>
        <v>0.4090909091</v>
      </c>
      <c r="I173" s="8">
        <f>IFERROR(__xludf.DUMMYFUNCTION("""COMPUTED_VALUE"""),0.364341085271317)</f>
        <v>0.3643410853</v>
      </c>
      <c r="J173" s="8">
        <f>IFERROR(__xludf.DUMMYFUNCTION("""COMPUTED_VALUE"""),0.317460317460317)</f>
        <v>0.3174603175</v>
      </c>
      <c r="K173" s="8">
        <f>IFERROR(__xludf.DUMMYFUNCTION("""COMPUTED_VALUE"""),0.316239316239316)</f>
        <v>0.3162393162</v>
      </c>
      <c r="L173" s="8">
        <f>IFERROR(__xludf.DUMMYFUNCTION("""COMPUTED_VALUE"""),0.289719626168224)</f>
        <v>0.2897196262</v>
      </c>
      <c r="M173" s="8">
        <f>IFERROR(__xludf.DUMMYFUNCTION("""COMPUTED_VALUE"""),0.273584905660377)</f>
        <v>0.2735849057</v>
      </c>
      <c r="N173" s="8">
        <f>IFERROR(__xludf.DUMMYFUNCTION("""COMPUTED_VALUE"""),0.284210526315789)</f>
        <v>0.2842105263</v>
      </c>
      <c r="O173" s="8">
        <f>IFERROR(__xludf.DUMMYFUNCTION("""COMPUTED_VALUE"""),0.272727272727272)</f>
        <v>0.2727272727</v>
      </c>
      <c r="P173" s="8">
        <f>IFERROR(__xludf.DUMMYFUNCTION("""COMPUTED_VALUE"""),0.258064516129032)</f>
        <v>0.2580645161</v>
      </c>
      <c r="Q173" s="8">
        <f>IFERROR(__xludf.DUMMYFUNCTION("""COMPUTED_VALUE"""),0.0)</f>
        <v>0</v>
      </c>
      <c r="R173" s="8">
        <f>IFERROR(__xludf.DUMMYFUNCTION("""COMPUTED_VALUE"""),0.0)</f>
        <v>0</v>
      </c>
      <c r="S173" s="8">
        <f>IFERROR(__xludf.DUMMYFUNCTION("""COMPUTED_VALUE"""),0.0)</f>
        <v>0</v>
      </c>
      <c r="T173" s="8">
        <f>IFERROR(__xludf.DUMMYFUNCTION("""COMPUTED_VALUE"""),0.0)</f>
        <v>0</v>
      </c>
      <c r="U173" s="8">
        <f>IFERROR(__xludf.DUMMYFUNCTION("""COMPUTED_VALUE"""),0.0)</f>
        <v>0</v>
      </c>
      <c r="V173" s="8">
        <f>IFERROR(__xludf.DUMMYFUNCTION("""COMPUTED_VALUE"""),0.0)</f>
        <v>0</v>
      </c>
      <c r="W173" s="8">
        <f>IFERROR(__xludf.DUMMYFUNCTION("""COMPUTED_VALUE"""),0.0)</f>
        <v>0</v>
      </c>
      <c r="X173" s="8">
        <f>IFERROR(__xludf.DUMMYFUNCTION("""COMPUTED_VALUE"""),0.0)</f>
        <v>0</v>
      </c>
      <c r="Y173" s="8">
        <f>IFERROR(__xludf.DUMMYFUNCTION("""COMPUTED_VALUE"""),0.0)</f>
        <v>0</v>
      </c>
      <c r="Z173" s="8">
        <f>IFERROR(__xludf.DUMMYFUNCTION("""COMPUTED_VALUE"""),0.0)</f>
        <v>0</v>
      </c>
      <c r="AA173" s="8">
        <f>IFERROR(__xludf.DUMMYFUNCTION("""COMPUTED_VALUE"""),0.0)</f>
        <v>0</v>
      </c>
      <c r="AB173" s="8">
        <f>IFERROR(__xludf.DUMMYFUNCTION("""COMPUTED_VALUE"""),0.0)</f>
        <v>0</v>
      </c>
      <c r="AC173" s="8">
        <f>IFERROR(__xludf.DUMMYFUNCTION("""COMPUTED_VALUE"""),0.0)</f>
        <v>0</v>
      </c>
    </row>
    <row r="174" ht="15.75" customHeight="1">
      <c r="A174" s="6" t="str">
        <f>IFERROR(__xludf.DUMMYFUNCTION("""COMPUTED_VALUE"""),"9f288c1b7bcd6e6181338579ca44a178a5b21573")</f>
        <v>9f288c1b7bcd6e6181338579ca44a178a5b21573</v>
      </c>
      <c r="B174" s="6" t="str">
        <f>IFERROR(__xludf.DUMMYFUNCTION("""COMPUTED_VALUE"""),"Vows of Blood &amp; Diamonds")</f>
        <v>Vows of Blood &amp; Diamonds</v>
      </c>
      <c r="C174" s="6" t="str">
        <f>IFERROR(__xludf.DUMMYFUNCTION("""COMPUTED_VALUE"""),"Romance")</f>
        <v>Romance</v>
      </c>
      <c r="D174" s="11">
        <f>IFERROR(__xludf.DUMMYFUNCTION("""COMPUTED_VALUE"""),380.0)</f>
        <v>380</v>
      </c>
      <c r="E174" s="8">
        <f>IFERROR(__xludf.DUMMYFUNCTION("""COMPUTED_VALUE"""),0.973333333333333)</f>
        <v>0.9733333333</v>
      </c>
      <c r="F174" s="8">
        <f>IFERROR(__xludf.DUMMYFUNCTION("""COMPUTED_VALUE"""),0.376344086021505)</f>
        <v>0.376344086</v>
      </c>
      <c r="G174" s="8">
        <f>IFERROR(__xludf.DUMMYFUNCTION("""COMPUTED_VALUE"""),0.309782608695652)</f>
        <v>0.3097826087</v>
      </c>
      <c r="H174" s="8">
        <f>IFERROR(__xludf.DUMMYFUNCTION("""COMPUTED_VALUE"""),0.304469273743016)</f>
        <v>0.3044692737</v>
      </c>
      <c r="I174" s="8">
        <f>IFERROR(__xludf.DUMMYFUNCTION("""COMPUTED_VALUE"""),0.286931818181818)</f>
        <v>0.2869318182</v>
      </c>
      <c r="J174" s="8">
        <f>IFERROR(__xludf.DUMMYFUNCTION("""COMPUTED_VALUE"""),0.262390670553935)</f>
        <v>0.2623906706</v>
      </c>
      <c r="K174" s="8">
        <f>IFERROR(__xludf.DUMMYFUNCTION("""COMPUTED_VALUE"""),0.236526946107784)</f>
        <v>0.2365269461</v>
      </c>
      <c r="L174" s="8">
        <f>IFERROR(__xludf.DUMMYFUNCTION("""COMPUTED_VALUE"""),0.230061349693251)</f>
        <v>0.2300613497</v>
      </c>
      <c r="M174" s="8">
        <f>IFERROR(__xludf.DUMMYFUNCTION("""COMPUTED_VALUE"""),0.217391304347826)</f>
        <v>0.2173913043</v>
      </c>
      <c r="N174" s="8">
        <f>IFERROR(__xludf.DUMMYFUNCTION("""COMPUTED_VALUE"""),0.198083067092651)</f>
        <v>0.1980830671</v>
      </c>
      <c r="O174" s="8">
        <f>IFERROR(__xludf.DUMMYFUNCTION("""COMPUTED_VALUE"""),0.167286245353159)</f>
        <v>0.1672862454</v>
      </c>
      <c r="P174" s="8">
        <f>IFERROR(__xludf.DUMMYFUNCTION("""COMPUTED_VALUE"""),0.128205128205128)</f>
        <v>0.1282051282</v>
      </c>
      <c r="Q174" s="8">
        <f>IFERROR(__xludf.DUMMYFUNCTION("""COMPUTED_VALUE"""),0.0491803278688524)</f>
        <v>0.04918032787</v>
      </c>
      <c r="R174" s="8">
        <f>IFERROR(__xludf.DUMMYFUNCTION("""COMPUTED_VALUE"""),0.05)</f>
        <v>0.05</v>
      </c>
      <c r="S174" s="8">
        <f>IFERROR(__xludf.DUMMYFUNCTION("""COMPUTED_VALUE"""),0.0)</f>
        <v>0</v>
      </c>
      <c r="T174" s="8">
        <f>IFERROR(__xludf.DUMMYFUNCTION("""COMPUTED_VALUE"""),0.0)</f>
        <v>0</v>
      </c>
      <c r="U174" s="8">
        <f>IFERROR(__xludf.DUMMYFUNCTION("""COMPUTED_VALUE"""),0.0)</f>
        <v>0</v>
      </c>
      <c r="V174" s="8">
        <f>IFERROR(__xludf.DUMMYFUNCTION("""COMPUTED_VALUE"""),0.0)</f>
        <v>0</v>
      </c>
      <c r="W174" s="8">
        <f>IFERROR(__xludf.DUMMYFUNCTION("""COMPUTED_VALUE"""),0.0)</f>
        <v>0</v>
      </c>
      <c r="X174" s="8">
        <f>IFERROR(__xludf.DUMMYFUNCTION("""COMPUTED_VALUE"""),0.0)</f>
        <v>0</v>
      </c>
      <c r="Y174" s="8">
        <f>IFERROR(__xludf.DUMMYFUNCTION("""COMPUTED_VALUE"""),0.0)</f>
        <v>0</v>
      </c>
      <c r="Z174" s="8">
        <f>IFERROR(__xludf.DUMMYFUNCTION("""COMPUTED_VALUE"""),0.0)</f>
        <v>0</v>
      </c>
      <c r="AA174" s="8">
        <f>IFERROR(__xludf.DUMMYFUNCTION("""COMPUTED_VALUE"""),0.0)</f>
        <v>0</v>
      </c>
      <c r="AB174" s="8">
        <f>IFERROR(__xludf.DUMMYFUNCTION("""COMPUTED_VALUE"""),0.0)</f>
        <v>0</v>
      </c>
      <c r="AC174" s="8">
        <f>IFERROR(__xludf.DUMMYFUNCTION("""COMPUTED_VALUE"""),0.0)</f>
        <v>0</v>
      </c>
    </row>
    <row r="175" ht="15.75" customHeight="1">
      <c r="A175" s="6" t="str">
        <f>IFERROR(__xludf.DUMMYFUNCTION("""COMPUTED_VALUE"""),"a028c06a528d6bc1425340cbedd71880abd4ad2b")</f>
        <v>a028c06a528d6bc1425340cbedd71880abd4ad2b</v>
      </c>
      <c r="B175" s="6" t="str">
        <f>IFERROR(__xludf.DUMMYFUNCTION("""COMPUTED_VALUE"""),"Rejected Luna's Secret")</f>
        <v>Rejected Luna's Secret</v>
      </c>
      <c r="C175" s="6" t="str">
        <f>IFERROR(__xludf.DUMMYFUNCTION("""COMPUTED_VALUE"""),"Romantasy")</f>
        <v>Romantasy</v>
      </c>
      <c r="D175" s="11">
        <f>IFERROR(__xludf.DUMMYFUNCTION("""COMPUTED_VALUE"""),767.0)</f>
        <v>767</v>
      </c>
      <c r="E175" s="8">
        <f>IFERROR(__xludf.DUMMYFUNCTION("""COMPUTED_VALUE"""),0.982704402515723)</f>
        <v>0.9827044025</v>
      </c>
      <c r="F175" s="8">
        <f>IFERROR(__xludf.DUMMYFUNCTION("""COMPUTED_VALUE"""),0.647754137115839)</f>
        <v>0.6477541371</v>
      </c>
      <c r="G175" s="8">
        <f>IFERROR(__xludf.DUMMYFUNCTION("""COMPUTED_VALUE"""),0.54)</f>
        <v>0.54</v>
      </c>
      <c r="H175" s="8">
        <f>IFERROR(__xludf.DUMMYFUNCTION("""COMPUTED_VALUE"""),0.504983388704318)</f>
        <v>0.5049833887</v>
      </c>
      <c r="I175" s="8">
        <f>IFERROR(__xludf.DUMMYFUNCTION("""COMPUTED_VALUE"""),0.45819397993311)</f>
        <v>0.4581939799</v>
      </c>
      <c r="J175" s="8">
        <f>IFERROR(__xludf.DUMMYFUNCTION("""COMPUTED_VALUE"""),0.428093645484949)</f>
        <v>0.4280936455</v>
      </c>
      <c r="K175" s="8">
        <f>IFERROR(__xludf.DUMMYFUNCTION("""COMPUTED_VALUE"""),0.37037037037037)</f>
        <v>0.3703703704</v>
      </c>
      <c r="L175" s="8">
        <f>IFERROR(__xludf.DUMMYFUNCTION("""COMPUTED_VALUE"""),0.314189189189189)</f>
        <v>0.3141891892</v>
      </c>
      <c r="M175" s="8">
        <f>IFERROR(__xludf.DUMMYFUNCTION("""COMPUTED_VALUE"""),0.298611111111111)</f>
        <v>0.2986111111</v>
      </c>
      <c r="N175" s="8">
        <f>IFERROR(__xludf.DUMMYFUNCTION("""COMPUTED_VALUE"""),0.275985663082437)</f>
        <v>0.2759856631</v>
      </c>
      <c r="O175" s="8">
        <f>IFERROR(__xludf.DUMMYFUNCTION("""COMPUTED_VALUE"""),0.2)</f>
        <v>0.2</v>
      </c>
      <c r="P175" s="8">
        <f>IFERROR(__xludf.DUMMYFUNCTION("""COMPUTED_VALUE"""),0.0)</f>
        <v>0</v>
      </c>
      <c r="Q175" s="8">
        <f>IFERROR(__xludf.DUMMYFUNCTION("""COMPUTED_VALUE"""),0.0)</f>
        <v>0</v>
      </c>
      <c r="R175" s="8">
        <f>IFERROR(__xludf.DUMMYFUNCTION("""COMPUTED_VALUE"""),0.0)</f>
        <v>0</v>
      </c>
      <c r="S175" s="8">
        <f>IFERROR(__xludf.DUMMYFUNCTION("""COMPUTED_VALUE"""),0.0)</f>
        <v>0</v>
      </c>
      <c r="T175" s="8">
        <f>IFERROR(__xludf.DUMMYFUNCTION("""COMPUTED_VALUE"""),0.0)</f>
        <v>0</v>
      </c>
      <c r="U175" s="8">
        <f>IFERROR(__xludf.DUMMYFUNCTION("""COMPUTED_VALUE"""),0.0)</f>
        <v>0</v>
      </c>
      <c r="V175" s="8">
        <f>IFERROR(__xludf.DUMMYFUNCTION("""COMPUTED_VALUE"""),0.0)</f>
        <v>0</v>
      </c>
      <c r="W175" s="8">
        <f>IFERROR(__xludf.DUMMYFUNCTION("""COMPUTED_VALUE"""),0.0)</f>
        <v>0</v>
      </c>
      <c r="X175" s="8">
        <f>IFERROR(__xludf.DUMMYFUNCTION("""COMPUTED_VALUE"""),0.0)</f>
        <v>0</v>
      </c>
      <c r="Y175" s="8">
        <f>IFERROR(__xludf.DUMMYFUNCTION("""COMPUTED_VALUE"""),0.0)</f>
        <v>0</v>
      </c>
      <c r="Z175" s="8">
        <f>IFERROR(__xludf.DUMMYFUNCTION("""COMPUTED_VALUE"""),0.0)</f>
        <v>0</v>
      </c>
      <c r="AA175" s="8">
        <f>IFERROR(__xludf.DUMMYFUNCTION("""COMPUTED_VALUE"""),0.0)</f>
        <v>0</v>
      </c>
      <c r="AB175" s="8">
        <f>IFERROR(__xludf.DUMMYFUNCTION("""COMPUTED_VALUE"""),0.0)</f>
        <v>0</v>
      </c>
      <c r="AC175" s="8">
        <f>IFERROR(__xludf.DUMMYFUNCTION("""COMPUTED_VALUE"""),0.0)</f>
        <v>0</v>
      </c>
    </row>
    <row r="176" ht="15.75" customHeight="1">
      <c r="A176" s="6" t="str">
        <f>IFERROR(__xludf.DUMMYFUNCTION("""COMPUTED_VALUE"""),"a09fd281233c0dee7a45d32647f68bb0142a3b96")</f>
        <v>a09fd281233c0dee7a45d32647f68bb0142a3b96</v>
      </c>
      <c r="B176" s="6" t="str">
        <f>IFERROR(__xludf.DUMMYFUNCTION("""COMPUTED_VALUE"""),"The Comatose Billionaire")</f>
        <v>The Comatose Billionaire</v>
      </c>
      <c r="C176" s="6" t="str">
        <f>IFERROR(__xludf.DUMMYFUNCTION("""COMPUTED_VALUE"""),"Romance")</f>
        <v>Romance</v>
      </c>
      <c r="D176" s="11">
        <f>IFERROR(__xludf.DUMMYFUNCTION("""COMPUTED_VALUE"""),1381.0)</f>
        <v>1381</v>
      </c>
      <c r="E176" s="8">
        <f>IFERROR(__xludf.DUMMYFUNCTION("""COMPUTED_VALUE"""),0.943478260869565)</f>
        <v>0.9434782609</v>
      </c>
      <c r="F176" s="8">
        <f>IFERROR(__xludf.DUMMYFUNCTION("""COMPUTED_VALUE"""),0.608695652173913)</f>
        <v>0.6086956522</v>
      </c>
      <c r="G176" s="8">
        <f>IFERROR(__xludf.DUMMYFUNCTION("""COMPUTED_VALUE"""),0.554426705370101)</f>
        <v>0.5544267054</v>
      </c>
      <c r="H176" s="8">
        <f>IFERROR(__xludf.DUMMYFUNCTION("""COMPUTED_VALUE"""),0.525090909090909)</f>
        <v>0.5250909091</v>
      </c>
      <c r="I176" s="8">
        <f>IFERROR(__xludf.DUMMYFUNCTION("""COMPUTED_VALUE"""),0.506569343065693)</f>
        <v>0.5065693431</v>
      </c>
      <c r="J176" s="8">
        <f>IFERROR(__xludf.DUMMYFUNCTION("""COMPUTED_VALUE"""),0.489408327246165)</f>
        <v>0.4894083272</v>
      </c>
      <c r="K176" s="8">
        <f>IFERROR(__xludf.DUMMYFUNCTION("""COMPUTED_VALUE"""),0.465201465201465)</f>
        <v>0.4652014652</v>
      </c>
      <c r="L176" s="8">
        <f>IFERROR(__xludf.DUMMYFUNCTION("""COMPUTED_VALUE"""),0.423020527859237)</f>
        <v>0.4230205279</v>
      </c>
      <c r="M176" s="8">
        <f>IFERROR(__xludf.DUMMYFUNCTION("""COMPUTED_VALUE"""),0.390762463343108)</f>
        <v>0.3907624633</v>
      </c>
      <c r="N176" s="8">
        <f>IFERROR(__xludf.DUMMYFUNCTION("""COMPUTED_VALUE"""),0.346774193548387)</f>
        <v>0.3467741935</v>
      </c>
      <c r="O176" s="8">
        <f>IFERROR(__xludf.DUMMYFUNCTION("""COMPUTED_VALUE"""),0.295057034220532)</f>
        <v>0.2950570342</v>
      </c>
      <c r="P176" s="8">
        <f>IFERROR(__xludf.DUMMYFUNCTION("""COMPUTED_VALUE"""),0.177539223781998)</f>
        <v>0.1775392238</v>
      </c>
      <c r="Q176" s="8">
        <f>IFERROR(__xludf.DUMMYFUNCTION("""COMPUTED_VALUE"""),0.104651162790697)</f>
        <v>0.1046511628</v>
      </c>
      <c r="R176" s="8">
        <f>IFERROR(__xludf.DUMMYFUNCTION("""COMPUTED_VALUE"""),0.0629629629629629)</f>
        <v>0.06296296296</v>
      </c>
      <c r="S176" s="8">
        <f>IFERROR(__xludf.DUMMYFUNCTION("""COMPUTED_VALUE"""),0.0)</f>
        <v>0</v>
      </c>
      <c r="T176" s="8">
        <f>IFERROR(__xludf.DUMMYFUNCTION("""COMPUTED_VALUE"""),0.0)</f>
        <v>0</v>
      </c>
      <c r="U176" s="8">
        <f>IFERROR(__xludf.DUMMYFUNCTION("""COMPUTED_VALUE"""),0.0)</f>
        <v>0</v>
      </c>
      <c r="V176" s="8">
        <f>IFERROR(__xludf.DUMMYFUNCTION("""COMPUTED_VALUE"""),0.0)</f>
        <v>0</v>
      </c>
      <c r="W176" s="8">
        <f>IFERROR(__xludf.DUMMYFUNCTION("""COMPUTED_VALUE"""),0.0)</f>
        <v>0</v>
      </c>
      <c r="X176" s="8">
        <f>IFERROR(__xludf.DUMMYFUNCTION("""COMPUTED_VALUE"""),0.0)</f>
        <v>0</v>
      </c>
      <c r="Y176" s="8">
        <f>IFERROR(__xludf.DUMMYFUNCTION("""COMPUTED_VALUE"""),0.0)</f>
        <v>0</v>
      </c>
      <c r="Z176" s="8">
        <f>IFERROR(__xludf.DUMMYFUNCTION("""COMPUTED_VALUE"""),0.0)</f>
        <v>0</v>
      </c>
      <c r="AA176" s="8">
        <f>IFERROR(__xludf.DUMMYFUNCTION("""COMPUTED_VALUE"""),0.0)</f>
        <v>0</v>
      </c>
      <c r="AB176" s="8">
        <f>IFERROR(__xludf.DUMMYFUNCTION("""COMPUTED_VALUE"""),0.0)</f>
        <v>0</v>
      </c>
      <c r="AC176" s="8">
        <f>IFERROR(__xludf.DUMMYFUNCTION("""COMPUTED_VALUE"""),0.0)</f>
        <v>0</v>
      </c>
    </row>
    <row r="177" ht="15.75" customHeight="1">
      <c r="A177" s="6" t="str">
        <f>IFERROR(__xludf.DUMMYFUNCTION("""COMPUTED_VALUE"""),"a0f8c5bd5bdb02bdaa499febc39e36611127769b")</f>
        <v>a0f8c5bd5bdb02bdaa499febc39e36611127769b</v>
      </c>
      <c r="B177" s="6" t="str">
        <f>IFERROR(__xludf.DUMMYFUNCTION("""COMPUTED_VALUE"""),"The Wedding He Stole")</f>
        <v>The Wedding He Stole</v>
      </c>
      <c r="C177" s="6" t="str">
        <f>IFERROR(__xludf.DUMMYFUNCTION("""COMPUTED_VALUE"""),"Romance")</f>
        <v>Romance</v>
      </c>
      <c r="D177" s="11">
        <f>IFERROR(__xludf.DUMMYFUNCTION("""COMPUTED_VALUE"""),1098.0)</f>
        <v>1098</v>
      </c>
      <c r="E177" s="8">
        <f>IFERROR(__xludf.DUMMYFUNCTION("""COMPUTED_VALUE"""),0.956284153005464)</f>
        <v>0.956284153</v>
      </c>
      <c r="F177" s="8">
        <f>IFERROR(__xludf.DUMMYFUNCTION("""COMPUTED_VALUE"""),0.623175182481751)</f>
        <v>0.6231751825</v>
      </c>
      <c r="G177" s="8">
        <f>IFERROR(__xludf.DUMMYFUNCTION("""COMPUTED_VALUE"""),0.595433789954337)</f>
        <v>0.59543379</v>
      </c>
      <c r="H177" s="8">
        <f>IFERROR(__xludf.DUMMYFUNCTION("""COMPUTED_VALUE"""),0.571952337305224)</f>
        <v>0.5719523373</v>
      </c>
      <c r="I177" s="8">
        <f>IFERROR(__xludf.DUMMYFUNCTION("""COMPUTED_VALUE"""),0.529843893480257)</f>
        <v>0.5298438935</v>
      </c>
      <c r="J177" s="8">
        <f>IFERROR(__xludf.DUMMYFUNCTION("""COMPUTED_VALUE"""),0.449862005519779)</f>
        <v>0.4498620055</v>
      </c>
      <c r="K177" s="8">
        <f>IFERROR(__xludf.DUMMYFUNCTION("""COMPUTED_VALUE"""),0.40184331797235)</f>
        <v>0.401843318</v>
      </c>
      <c r="L177" s="8">
        <f>IFERROR(__xludf.DUMMYFUNCTION("""COMPUTED_VALUE"""),0.383194829178208)</f>
        <v>0.3831948292</v>
      </c>
      <c r="M177" s="8">
        <f>IFERROR(__xludf.DUMMYFUNCTION("""COMPUTED_VALUE"""),0.325301204819277)</f>
        <v>0.3253012048</v>
      </c>
      <c r="N177" s="8">
        <f>IFERROR(__xludf.DUMMYFUNCTION("""COMPUTED_VALUE"""),0.301115241635687)</f>
        <v>0.3011152416</v>
      </c>
      <c r="O177" s="8">
        <f>IFERROR(__xludf.DUMMYFUNCTION("""COMPUTED_VALUE"""),0.225206611570247)</f>
        <v>0.2252066116</v>
      </c>
      <c r="P177" s="8">
        <f>IFERROR(__xludf.DUMMYFUNCTION("""COMPUTED_VALUE"""),0.106382978723404)</f>
        <v>0.1063829787</v>
      </c>
      <c r="Q177" s="8">
        <f>IFERROR(__xludf.DUMMYFUNCTION("""COMPUTED_VALUE"""),0.0)</f>
        <v>0</v>
      </c>
      <c r="R177" s="8">
        <f>IFERROR(__xludf.DUMMYFUNCTION("""COMPUTED_VALUE"""),0.0)</f>
        <v>0</v>
      </c>
      <c r="S177" s="8">
        <f>IFERROR(__xludf.DUMMYFUNCTION("""COMPUTED_VALUE"""),0.0)</f>
        <v>0</v>
      </c>
      <c r="T177" s="8">
        <f>IFERROR(__xludf.DUMMYFUNCTION("""COMPUTED_VALUE"""),0.0)</f>
        <v>0</v>
      </c>
      <c r="U177" s="8">
        <f>IFERROR(__xludf.DUMMYFUNCTION("""COMPUTED_VALUE"""),0.0)</f>
        <v>0</v>
      </c>
      <c r="V177" s="8">
        <f>IFERROR(__xludf.DUMMYFUNCTION("""COMPUTED_VALUE"""),0.0)</f>
        <v>0</v>
      </c>
      <c r="W177" s="8">
        <f>IFERROR(__xludf.DUMMYFUNCTION("""COMPUTED_VALUE"""),0.0)</f>
        <v>0</v>
      </c>
      <c r="X177" s="8">
        <f>IFERROR(__xludf.DUMMYFUNCTION("""COMPUTED_VALUE"""),0.0)</f>
        <v>0</v>
      </c>
      <c r="Y177" s="8">
        <f>IFERROR(__xludf.DUMMYFUNCTION("""COMPUTED_VALUE"""),0.0)</f>
        <v>0</v>
      </c>
      <c r="Z177" s="8">
        <f>IFERROR(__xludf.DUMMYFUNCTION("""COMPUTED_VALUE"""),0.0)</f>
        <v>0</v>
      </c>
      <c r="AA177" s="8">
        <f>IFERROR(__xludf.DUMMYFUNCTION("""COMPUTED_VALUE"""),0.0)</f>
        <v>0</v>
      </c>
      <c r="AB177" s="8">
        <f>IFERROR(__xludf.DUMMYFUNCTION("""COMPUTED_VALUE"""),0.0)</f>
        <v>0</v>
      </c>
      <c r="AC177" s="8">
        <f>IFERROR(__xludf.DUMMYFUNCTION("""COMPUTED_VALUE"""),0.0)</f>
        <v>0</v>
      </c>
    </row>
    <row r="178" ht="15.75" customHeight="1">
      <c r="A178" s="6" t="str">
        <f>IFERROR(__xludf.DUMMYFUNCTION("""COMPUTED_VALUE"""),"a20d15b2c087672afecf4c46baa7e9368a4cbb9f")</f>
        <v>a20d15b2c087672afecf4c46baa7e9368a4cbb9f</v>
      </c>
      <c r="B178" s="6" t="str">
        <f>IFERROR(__xludf.DUMMYFUNCTION("""COMPUTED_VALUE"""),"Secrets and Bloodline")</f>
        <v>Secrets and Bloodline</v>
      </c>
      <c r="C178" s="6" t="str">
        <f>IFERROR(__xludf.DUMMYFUNCTION("""COMPUTED_VALUE"""),"Romance")</f>
        <v>Romance</v>
      </c>
      <c r="D178" s="11">
        <f>IFERROR(__xludf.DUMMYFUNCTION("""COMPUTED_VALUE"""),206.0)</f>
        <v>206</v>
      </c>
      <c r="E178" s="8">
        <f>IFERROR(__xludf.DUMMYFUNCTION("""COMPUTED_VALUE"""),0.930348258706467)</f>
        <v>0.9303482587</v>
      </c>
      <c r="F178" s="8">
        <f>IFERROR(__xludf.DUMMYFUNCTION("""COMPUTED_VALUE"""),0.523076923076923)</f>
        <v>0.5230769231</v>
      </c>
      <c r="G178" s="8">
        <f>IFERROR(__xludf.DUMMYFUNCTION("""COMPUTED_VALUE"""),0.497326203208556)</f>
        <v>0.4973262032</v>
      </c>
      <c r="H178" s="8">
        <f>IFERROR(__xludf.DUMMYFUNCTION("""COMPUTED_VALUE"""),0.425414364640884)</f>
        <v>0.4254143646</v>
      </c>
      <c r="I178" s="8">
        <f>IFERROR(__xludf.DUMMYFUNCTION("""COMPUTED_VALUE"""),0.422857142857142)</f>
        <v>0.4228571429</v>
      </c>
      <c r="J178" s="8">
        <f>IFERROR(__xludf.DUMMYFUNCTION("""COMPUTED_VALUE"""),0.355828220858895)</f>
        <v>0.3558282209</v>
      </c>
      <c r="K178" s="8">
        <f>IFERROR(__xludf.DUMMYFUNCTION("""COMPUTED_VALUE"""),0.327044025157232)</f>
        <v>0.3270440252</v>
      </c>
      <c r="L178" s="8">
        <f>IFERROR(__xludf.DUMMYFUNCTION("""COMPUTED_VALUE"""),0.304054054054054)</f>
        <v>0.3040540541</v>
      </c>
      <c r="M178" s="8">
        <f>IFERROR(__xludf.DUMMYFUNCTION("""COMPUTED_VALUE"""),0.328671328671328)</f>
        <v>0.3286713287</v>
      </c>
      <c r="N178" s="8">
        <f>IFERROR(__xludf.DUMMYFUNCTION("""COMPUTED_VALUE"""),0.314285714285714)</f>
        <v>0.3142857143</v>
      </c>
      <c r="O178" s="8">
        <f>IFERROR(__xludf.DUMMYFUNCTION("""COMPUTED_VALUE"""),0.321428571428571)</f>
        <v>0.3214285714</v>
      </c>
      <c r="P178" s="8">
        <f>IFERROR(__xludf.DUMMYFUNCTION("""COMPUTED_VALUE"""),0.245454545454545)</f>
        <v>0.2454545455</v>
      </c>
      <c r="Q178" s="8">
        <f>IFERROR(__xludf.DUMMYFUNCTION("""COMPUTED_VALUE"""),0.129629629629629)</f>
        <v>0.1296296296</v>
      </c>
      <c r="R178" s="8">
        <f>IFERROR(__xludf.DUMMYFUNCTION("""COMPUTED_VALUE"""),0.0)</f>
        <v>0</v>
      </c>
      <c r="S178" s="8">
        <f>IFERROR(__xludf.DUMMYFUNCTION("""COMPUTED_VALUE"""),0.0)</f>
        <v>0</v>
      </c>
      <c r="T178" s="8">
        <f>IFERROR(__xludf.DUMMYFUNCTION("""COMPUTED_VALUE"""),0.0)</f>
        <v>0</v>
      </c>
      <c r="U178" s="8">
        <f>IFERROR(__xludf.DUMMYFUNCTION("""COMPUTED_VALUE"""),0.0)</f>
        <v>0</v>
      </c>
      <c r="V178" s="8">
        <f>IFERROR(__xludf.DUMMYFUNCTION("""COMPUTED_VALUE"""),0.0)</f>
        <v>0</v>
      </c>
      <c r="W178" s="8">
        <f>IFERROR(__xludf.DUMMYFUNCTION("""COMPUTED_VALUE"""),0.0)</f>
        <v>0</v>
      </c>
      <c r="X178" s="8">
        <f>IFERROR(__xludf.DUMMYFUNCTION("""COMPUTED_VALUE"""),0.0)</f>
        <v>0</v>
      </c>
      <c r="Y178" s="8">
        <f>IFERROR(__xludf.DUMMYFUNCTION("""COMPUTED_VALUE"""),0.0)</f>
        <v>0</v>
      </c>
      <c r="Z178" s="8">
        <f>IFERROR(__xludf.DUMMYFUNCTION("""COMPUTED_VALUE"""),0.0)</f>
        <v>0</v>
      </c>
      <c r="AA178" s="8">
        <f>IFERROR(__xludf.DUMMYFUNCTION("""COMPUTED_VALUE"""),0.0)</f>
        <v>0</v>
      </c>
      <c r="AB178" s="8">
        <f>IFERROR(__xludf.DUMMYFUNCTION("""COMPUTED_VALUE"""),0.0)</f>
        <v>0</v>
      </c>
      <c r="AC178" s="8">
        <f>IFERROR(__xludf.DUMMYFUNCTION("""COMPUTED_VALUE"""),0.0)</f>
        <v>0</v>
      </c>
    </row>
    <row r="179" ht="15.75" customHeight="1">
      <c r="A179" s="6" t="str">
        <f>IFERROR(__xludf.DUMMYFUNCTION("""COMPUTED_VALUE"""),"a3d40a3745a853e245e802a317e3934318836a28")</f>
        <v>a3d40a3745a853e245e802a317e3934318836a28</v>
      </c>
      <c r="B179" s="6" t="str">
        <f>IFERROR(__xludf.DUMMYFUNCTION("""COMPUTED_VALUE"""),"The Amazing Idiot Man")</f>
        <v>The Amazing Idiot Man</v>
      </c>
      <c r="C179" s="6" t="str">
        <f>IFERROR(__xludf.DUMMYFUNCTION("""COMPUTED_VALUE"""),"Drama")</f>
        <v>Drama</v>
      </c>
      <c r="D179" s="11">
        <f>IFERROR(__xludf.DUMMYFUNCTION("""COMPUTED_VALUE"""),357.0)</f>
        <v>357</v>
      </c>
      <c r="E179" s="8">
        <f>IFERROR(__xludf.DUMMYFUNCTION("""COMPUTED_VALUE"""),0.957983193277311)</f>
        <v>0.9579831933</v>
      </c>
      <c r="F179" s="8">
        <f>IFERROR(__xludf.DUMMYFUNCTION("""COMPUTED_VALUE"""),0.369014084507042)</f>
        <v>0.3690140845</v>
      </c>
      <c r="G179" s="8">
        <f>IFERROR(__xludf.DUMMYFUNCTION("""COMPUTED_VALUE"""),0.315492957746478)</f>
        <v>0.3154929577</v>
      </c>
      <c r="H179" s="8">
        <f>IFERROR(__xludf.DUMMYFUNCTION("""COMPUTED_VALUE"""),0.295774647887323)</f>
        <v>0.2957746479</v>
      </c>
      <c r="I179" s="8">
        <f>IFERROR(__xludf.DUMMYFUNCTION("""COMPUTED_VALUE"""),0.267605633802816)</f>
        <v>0.2676056338</v>
      </c>
      <c r="J179" s="8">
        <f>IFERROR(__xludf.DUMMYFUNCTION("""COMPUTED_VALUE"""),0.242937853107344)</f>
        <v>0.2429378531</v>
      </c>
      <c r="K179" s="8">
        <f>IFERROR(__xludf.DUMMYFUNCTION("""COMPUTED_VALUE"""),0.228813559322033)</f>
        <v>0.2288135593</v>
      </c>
      <c r="L179" s="8">
        <f>IFERROR(__xludf.DUMMYFUNCTION("""COMPUTED_VALUE"""),0.225988700564971)</f>
        <v>0.2259887006</v>
      </c>
      <c r="M179" s="8">
        <f>IFERROR(__xludf.DUMMYFUNCTION("""COMPUTED_VALUE"""),0.215297450424929)</f>
        <v>0.2152974504</v>
      </c>
      <c r="N179" s="8">
        <f>IFERROR(__xludf.DUMMYFUNCTION("""COMPUTED_VALUE"""),0.198863636363636)</f>
        <v>0.1988636364</v>
      </c>
      <c r="O179" s="8">
        <f>IFERROR(__xludf.DUMMYFUNCTION("""COMPUTED_VALUE"""),0.148997134670487)</f>
        <v>0.1489971347</v>
      </c>
      <c r="P179" s="8">
        <f>IFERROR(__xludf.DUMMYFUNCTION("""COMPUTED_VALUE"""),0.113564668769716)</f>
        <v>0.1135646688</v>
      </c>
      <c r="Q179" s="8">
        <f>IFERROR(__xludf.DUMMYFUNCTION("""COMPUTED_VALUE"""),0.0)</f>
        <v>0</v>
      </c>
      <c r="R179" s="8">
        <f>IFERROR(__xludf.DUMMYFUNCTION("""COMPUTED_VALUE"""),0.0)</f>
        <v>0</v>
      </c>
      <c r="S179" s="8">
        <f>IFERROR(__xludf.DUMMYFUNCTION("""COMPUTED_VALUE"""),0.0)</f>
        <v>0</v>
      </c>
      <c r="T179" s="8">
        <f>IFERROR(__xludf.DUMMYFUNCTION("""COMPUTED_VALUE"""),0.0)</f>
        <v>0</v>
      </c>
      <c r="U179" s="8">
        <f>IFERROR(__xludf.DUMMYFUNCTION("""COMPUTED_VALUE"""),0.0)</f>
        <v>0</v>
      </c>
      <c r="V179" s="8">
        <f>IFERROR(__xludf.DUMMYFUNCTION("""COMPUTED_VALUE"""),0.0)</f>
        <v>0</v>
      </c>
      <c r="W179" s="8">
        <f>IFERROR(__xludf.DUMMYFUNCTION("""COMPUTED_VALUE"""),0.0)</f>
        <v>0</v>
      </c>
      <c r="X179" s="8">
        <f>IFERROR(__xludf.DUMMYFUNCTION("""COMPUTED_VALUE"""),0.0)</f>
        <v>0</v>
      </c>
      <c r="Y179" s="8">
        <f>IFERROR(__xludf.DUMMYFUNCTION("""COMPUTED_VALUE"""),0.0)</f>
        <v>0</v>
      </c>
      <c r="Z179" s="8">
        <f>IFERROR(__xludf.DUMMYFUNCTION("""COMPUTED_VALUE"""),0.0)</f>
        <v>0</v>
      </c>
      <c r="AA179" s="8">
        <f>IFERROR(__xludf.DUMMYFUNCTION("""COMPUTED_VALUE"""),0.0)</f>
        <v>0</v>
      </c>
      <c r="AB179" s="8">
        <f>IFERROR(__xludf.DUMMYFUNCTION("""COMPUTED_VALUE"""),0.0)</f>
        <v>0</v>
      </c>
      <c r="AC179" s="8">
        <f>IFERROR(__xludf.DUMMYFUNCTION("""COMPUTED_VALUE"""),0.0)</f>
        <v>0</v>
      </c>
    </row>
    <row r="180" ht="15.75" customHeight="1">
      <c r="A180" s="6" t="str">
        <f>IFERROR(__xludf.DUMMYFUNCTION("""COMPUTED_VALUE"""),"a48f5e77f994307c8a39968302f28c62b0c654af")</f>
        <v>a48f5e77f994307c8a39968302f28c62b0c654af</v>
      </c>
      <c r="B180" s="6" t="str">
        <f>IFERROR(__xludf.DUMMYFUNCTION("""COMPUTED_VALUE"""),"Battle Master")</f>
        <v>Battle Master</v>
      </c>
      <c r="C180" s="6" t="str">
        <f>IFERROR(__xludf.DUMMYFUNCTION("""COMPUTED_VALUE"""),"Fantasy")</f>
        <v>Fantasy</v>
      </c>
      <c r="D180" s="11">
        <f>IFERROR(__xludf.DUMMYFUNCTION("""COMPUTED_VALUE"""),84.0)</f>
        <v>84</v>
      </c>
      <c r="E180" s="8">
        <f>IFERROR(__xludf.DUMMYFUNCTION("""COMPUTED_VALUE"""),0.985507246376811)</f>
        <v>0.9855072464</v>
      </c>
      <c r="F180" s="8">
        <f>IFERROR(__xludf.DUMMYFUNCTION("""COMPUTED_VALUE"""),0.553571428571428)</f>
        <v>0.5535714286</v>
      </c>
      <c r="G180" s="8">
        <f>IFERROR(__xludf.DUMMYFUNCTION("""COMPUTED_VALUE"""),0.5)</f>
        <v>0.5</v>
      </c>
      <c r="H180" s="8">
        <f>IFERROR(__xludf.DUMMYFUNCTION("""COMPUTED_VALUE"""),0.448275862068965)</f>
        <v>0.4482758621</v>
      </c>
      <c r="I180" s="8">
        <f>IFERROR(__xludf.DUMMYFUNCTION("""COMPUTED_VALUE"""),0.407407407407407)</f>
        <v>0.4074074074</v>
      </c>
      <c r="J180" s="8">
        <f>IFERROR(__xludf.DUMMYFUNCTION("""COMPUTED_VALUE"""),0.35)</f>
        <v>0.35</v>
      </c>
      <c r="K180" s="8">
        <f>IFERROR(__xludf.DUMMYFUNCTION("""COMPUTED_VALUE"""),0.3125)</f>
        <v>0.3125</v>
      </c>
      <c r="L180" s="8">
        <f>IFERROR(__xludf.DUMMYFUNCTION("""COMPUTED_VALUE"""),0.272727272727272)</f>
        <v>0.2727272727</v>
      </c>
      <c r="M180" s="8">
        <f>IFERROR(__xludf.DUMMYFUNCTION("""COMPUTED_VALUE"""),0.25)</f>
        <v>0.25</v>
      </c>
      <c r="N180" s="8">
        <f>IFERROR(__xludf.DUMMYFUNCTION("""COMPUTED_VALUE"""),0.25)</f>
        <v>0.25</v>
      </c>
      <c r="O180" s="8">
        <f>IFERROR(__xludf.DUMMYFUNCTION("""COMPUTED_VALUE"""),0.0)</f>
        <v>0</v>
      </c>
      <c r="P180" s="8">
        <f>IFERROR(__xludf.DUMMYFUNCTION("""COMPUTED_VALUE"""),0.0)</f>
        <v>0</v>
      </c>
      <c r="Q180" s="8">
        <f>IFERROR(__xludf.DUMMYFUNCTION("""COMPUTED_VALUE"""),0.0)</f>
        <v>0</v>
      </c>
      <c r="R180" s="8">
        <f>IFERROR(__xludf.DUMMYFUNCTION("""COMPUTED_VALUE"""),0.0)</f>
        <v>0</v>
      </c>
      <c r="S180" s="8">
        <f>IFERROR(__xludf.DUMMYFUNCTION("""COMPUTED_VALUE"""),0.0)</f>
        <v>0</v>
      </c>
      <c r="T180" s="8">
        <f>IFERROR(__xludf.DUMMYFUNCTION("""COMPUTED_VALUE"""),0.0)</f>
        <v>0</v>
      </c>
      <c r="U180" s="8">
        <f>IFERROR(__xludf.DUMMYFUNCTION("""COMPUTED_VALUE"""),0.0)</f>
        <v>0</v>
      </c>
      <c r="V180" s="8">
        <f>IFERROR(__xludf.DUMMYFUNCTION("""COMPUTED_VALUE"""),0.0)</f>
        <v>0</v>
      </c>
      <c r="W180" s="8">
        <f>IFERROR(__xludf.DUMMYFUNCTION("""COMPUTED_VALUE"""),0.0)</f>
        <v>0</v>
      </c>
      <c r="X180" s="8">
        <f>IFERROR(__xludf.DUMMYFUNCTION("""COMPUTED_VALUE"""),0.0)</f>
        <v>0</v>
      </c>
      <c r="Y180" s="8">
        <f>IFERROR(__xludf.DUMMYFUNCTION("""COMPUTED_VALUE"""),0.0)</f>
        <v>0</v>
      </c>
      <c r="Z180" s="8">
        <f>IFERROR(__xludf.DUMMYFUNCTION("""COMPUTED_VALUE"""),0.0)</f>
        <v>0</v>
      </c>
      <c r="AA180" s="8">
        <f>IFERROR(__xludf.DUMMYFUNCTION("""COMPUTED_VALUE"""),0.0)</f>
        <v>0</v>
      </c>
      <c r="AB180" s="8">
        <f>IFERROR(__xludf.DUMMYFUNCTION("""COMPUTED_VALUE"""),0.0)</f>
        <v>0</v>
      </c>
      <c r="AC180" s="8">
        <f>IFERROR(__xludf.DUMMYFUNCTION("""COMPUTED_VALUE"""),0.0)</f>
        <v>0</v>
      </c>
    </row>
    <row r="181" ht="15.75" customHeight="1">
      <c r="A181" s="6" t="str">
        <f>IFERROR(__xludf.DUMMYFUNCTION("""COMPUTED_VALUE"""),"a4dd4053a025d38e2c0410dbcf348862c41c4c5b")</f>
        <v>a4dd4053a025d38e2c0410dbcf348862c41c4c5b</v>
      </c>
      <c r="B181" s="6" t="str">
        <f>IFERROR(__xludf.DUMMYFUNCTION("""COMPUTED_VALUE"""),"Twin Betrayal, Enemy Love")</f>
        <v>Twin Betrayal, Enemy Love</v>
      </c>
      <c r="C181" s="6" t="str">
        <f>IFERROR(__xludf.DUMMYFUNCTION("""COMPUTED_VALUE"""),"Romance")</f>
        <v>Romance</v>
      </c>
      <c r="D181" s="11">
        <f>IFERROR(__xludf.DUMMYFUNCTION("""COMPUTED_VALUE"""),2068.0)</f>
        <v>2068</v>
      </c>
      <c r="E181" s="8">
        <f>IFERROR(__xludf.DUMMYFUNCTION("""COMPUTED_VALUE"""),0.948259187620889)</f>
        <v>0.9482591876</v>
      </c>
      <c r="F181" s="8">
        <f>IFERROR(__xludf.DUMMYFUNCTION("""COMPUTED_VALUE"""),0.514755684567005)</f>
        <v>0.5147556846</v>
      </c>
      <c r="G181" s="8">
        <f>IFERROR(__xludf.DUMMYFUNCTION("""COMPUTED_VALUE"""),0.451815980629539)</f>
        <v>0.4518159806</v>
      </c>
      <c r="H181" s="8">
        <f>IFERROR(__xludf.DUMMYFUNCTION("""COMPUTED_VALUE"""),0.429748062015503)</f>
        <v>0.429748062</v>
      </c>
      <c r="I181" s="8">
        <f>IFERROR(__xludf.DUMMYFUNCTION("""COMPUTED_VALUE"""),0.414563106796116)</f>
        <v>0.4145631068</v>
      </c>
      <c r="J181" s="8">
        <f>IFERROR(__xludf.DUMMYFUNCTION("""COMPUTED_VALUE"""),0.377918287937743)</f>
        <v>0.3779182879</v>
      </c>
      <c r="K181" s="8">
        <f>IFERROR(__xludf.DUMMYFUNCTION("""COMPUTED_VALUE"""),0.351653696498054)</f>
        <v>0.3516536965</v>
      </c>
      <c r="L181" s="8">
        <f>IFERROR(__xludf.DUMMYFUNCTION("""COMPUTED_VALUE"""),0.336908824963432)</f>
        <v>0.336908825</v>
      </c>
      <c r="M181" s="8">
        <f>IFERROR(__xludf.DUMMYFUNCTION("""COMPUTED_VALUE"""),0.316585365853658)</f>
        <v>0.3165853659</v>
      </c>
      <c r="N181" s="8">
        <f>IFERROR(__xludf.DUMMYFUNCTION("""COMPUTED_VALUE"""),0.290731707317073)</f>
        <v>0.2907317073</v>
      </c>
      <c r="O181" s="8">
        <f>IFERROR(__xludf.DUMMYFUNCTION("""COMPUTED_VALUE"""),0.259478089611029)</f>
        <v>0.2594780896</v>
      </c>
      <c r="P181" s="8">
        <f>IFERROR(__xludf.DUMMYFUNCTION("""COMPUTED_VALUE"""),0.224102564102564)</f>
        <v>0.2241025641</v>
      </c>
      <c r="Q181" s="8">
        <f>IFERROR(__xludf.DUMMYFUNCTION("""COMPUTED_VALUE"""),0.174221736755871)</f>
        <v>0.1742217368</v>
      </c>
      <c r="R181" s="8">
        <f>IFERROR(__xludf.DUMMYFUNCTION("""COMPUTED_VALUE"""),0.100956429330499)</f>
        <v>0.1009564293</v>
      </c>
      <c r="S181" s="8">
        <f>IFERROR(__xludf.DUMMYFUNCTION("""COMPUTED_VALUE"""),0.0603112840466926)</f>
        <v>0.06031128405</v>
      </c>
      <c r="T181" s="8">
        <f>IFERROR(__xludf.DUMMYFUNCTION("""COMPUTED_VALUE"""),0.0)</f>
        <v>0</v>
      </c>
      <c r="U181" s="8">
        <f>IFERROR(__xludf.DUMMYFUNCTION("""COMPUTED_VALUE"""),0.0)</f>
        <v>0</v>
      </c>
      <c r="V181" s="8">
        <f>IFERROR(__xludf.DUMMYFUNCTION("""COMPUTED_VALUE"""),0.0)</f>
        <v>0</v>
      </c>
      <c r="W181" s="8">
        <f>IFERROR(__xludf.DUMMYFUNCTION("""COMPUTED_VALUE"""),0.0)</f>
        <v>0</v>
      </c>
      <c r="X181" s="8">
        <f>IFERROR(__xludf.DUMMYFUNCTION("""COMPUTED_VALUE"""),0.0)</f>
        <v>0</v>
      </c>
      <c r="Y181" s="8">
        <f>IFERROR(__xludf.DUMMYFUNCTION("""COMPUTED_VALUE"""),0.0)</f>
        <v>0</v>
      </c>
      <c r="Z181" s="8">
        <f>IFERROR(__xludf.DUMMYFUNCTION("""COMPUTED_VALUE"""),0.0)</f>
        <v>0</v>
      </c>
      <c r="AA181" s="8">
        <f>IFERROR(__xludf.DUMMYFUNCTION("""COMPUTED_VALUE"""),0.0)</f>
        <v>0</v>
      </c>
      <c r="AB181" s="8">
        <f>IFERROR(__xludf.DUMMYFUNCTION("""COMPUTED_VALUE"""),0.0)</f>
        <v>0</v>
      </c>
      <c r="AC181" s="8">
        <f>IFERROR(__xludf.DUMMYFUNCTION("""COMPUTED_VALUE"""),0.0)</f>
        <v>0</v>
      </c>
    </row>
    <row r="182" ht="15.75" customHeight="1">
      <c r="A182" s="6" t="str">
        <f>IFERROR(__xludf.DUMMYFUNCTION("""COMPUTED_VALUE"""),"a58a0944241952550b248f5ed8bc3d2647482fe5")</f>
        <v>a58a0944241952550b248f5ed8bc3d2647482fe5</v>
      </c>
      <c r="B182" s="6" t="str">
        <f>IFERROR(__xludf.DUMMYFUNCTION("""COMPUTED_VALUE"""),"Miraculous Eyes")</f>
        <v>Miraculous Eyes</v>
      </c>
      <c r="C182" s="6" t="str">
        <f>IFERROR(__xludf.DUMMYFUNCTION("""COMPUTED_VALUE"""),"Drama")</f>
        <v>Drama</v>
      </c>
      <c r="D182" s="11">
        <f>IFERROR(__xludf.DUMMYFUNCTION("""COMPUTED_VALUE"""),369.0)</f>
        <v>369</v>
      </c>
      <c r="E182" s="8">
        <f>IFERROR(__xludf.DUMMYFUNCTION("""COMPUTED_VALUE"""),0.967479674796748)</f>
        <v>0.9674796748</v>
      </c>
      <c r="F182" s="8">
        <f>IFERROR(__xludf.DUMMYFUNCTION("""COMPUTED_VALUE"""),0.447154471544715)</f>
        <v>0.4471544715</v>
      </c>
      <c r="G182" s="8">
        <f>IFERROR(__xludf.DUMMYFUNCTION("""COMPUTED_VALUE"""),0.371273712737127)</f>
        <v>0.3712737127</v>
      </c>
      <c r="H182" s="8">
        <f>IFERROR(__xludf.DUMMYFUNCTION("""COMPUTED_VALUE"""),0.338753387533875)</f>
        <v>0.3387533875</v>
      </c>
      <c r="I182" s="8">
        <f>IFERROR(__xludf.DUMMYFUNCTION("""COMPUTED_VALUE"""),0.311653116531165)</f>
        <v>0.3116531165</v>
      </c>
      <c r="J182" s="8">
        <f>IFERROR(__xludf.DUMMYFUNCTION("""COMPUTED_VALUE"""),0.2710027100271)</f>
        <v>0.27100271</v>
      </c>
      <c r="K182" s="8">
        <f>IFERROR(__xludf.DUMMYFUNCTION("""COMPUTED_VALUE"""),0.254742547425474)</f>
        <v>0.2547425474</v>
      </c>
      <c r="L182" s="8">
        <f>IFERROR(__xludf.DUMMYFUNCTION("""COMPUTED_VALUE"""),0.24390243902439)</f>
        <v>0.243902439</v>
      </c>
      <c r="M182" s="8">
        <f>IFERROR(__xludf.DUMMYFUNCTION("""COMPUTED_VALUE"""),0.21680216802168)</f>
        <v>0.216802168</v>
      </c>
      <c r="N182" s="8">
        <f>IFERROR(__xludf.DUMMYFUNCTION("""COMPUTED_VALUE"""),0.206521739130434)</f>
        <v>0.2065217391</v>
      </c>
      <c r="O182" s="8">
        <f>IFERROR(__xludf.DUMMYFUNCTION("""COMPUTED_VALUE"""),0.160326086956521)</f>
        <v>0.160326087</v>
      </c>
      <c r="P182" s="8">
        <f>IFERROR(__xludf.DUMMYFUNCTION("""COMPUTED_VALUE"""),0.0879120879120879)</f>
        <v>0.08791208791</v>
      </c>
      <c r="Q182" s="8">
        <f>IFERROR(__xludf.DUMMYFUNCTION("""COMPUTED_VALUE"""),0.0434782608695652)</f>
        <v>0.04347826087</v>
      </c>
      <c r="R182" s="8">
        <f>IFERROR(__xludf.DUMMYFUNCTION("""COMPUTED_VALUE"""),0.0)</f>
        <v>0</v>
      </c>
      <c r="S182" s="8">
        <f>IFERROR(__xludf.DUMMYFUNCTION("""COMPUTED_VALUE"""),0.0)</f>
        <v>0</v>
      </c>
      <c r="T182" s="8">
        <f>IFERROR(__xludf.DUMMYFUNCTION("""COMPUTED_VALUE"""),0.0)</f>
        <v>0</v>
      </c>
      <c r="U182" s="8">
        <f>IFERROR(__xludf.DUMMYFUNCTION("""COMPUTED_VALUE"""),0.0)</f>
        <v>0</v>
      </c>
      <c r="V182" s="8">
        <f>IFERROR(__xludf.DUMMYFUNCTION("""COMPUTED_VALUE"""),0.0)</f>
        <v>0</v>
      </c>
      <c r="W182" s="8">
        <f>IFERROR(__xludf.DUMMYFUNCTION("""COMPUTED_VALUE"""),0.0)</f>
        <v>0</v>
      </c>
      <c r="X182" s="8">
        <f>IFERROR(__xludf.DUMMYFUNCTION("""COMPUTED_VALUE"""),0.0)</f>
        <v>0</v>
      </c>
      <c r="Y182" s="8">
        <f>IFERROR(__xludf.DUMMYFUNCTION("""COMPUTED_VALUE"""),0.0)</f>
        <v>0</v>
      </c>
      <c r="Z182" s="8">
        <f>IFERROR(__xludf.DUMMYFUNCTION("""COMPUTED_VALUE"""),0.0)</f>
        <v>0</v>
      </c>
      <c r="AA182" s="8">
        <f>IFERROR(__xludf.DUMMYFUNCTION("""COMPUTED_VALUE"""),0.0)</f>
        <v>0</v>
      </c>
      <c r="AB182" s="8">
        <f>IFERROR(__xludf.DUMMYFUNCTION("""COMPUTED_VALUE"""),0.0)</f>
        <v>0</v>
      </c>
      <c r="AC182" s="8">
        <f>IFERROR(__xludf.DUMMYFUNCTION("""COMPUTED_VALUE"""),0.0)</f>
        <v>0</v>
      </c>
    </row>
    <row r="183" ht="15.75" customHeight="1">
      <c r="A183" s="6" t="str">
        <f>IFERROR(__xludf.DUMMYFUNCTION("""COMPUTED_VALUE"""),"a6268ee1800866a09bab6b47c61f885556992b45")</f>
        <v>a6268ee1800866a09bab6b47c61f885556992b45</v>
      </c>
      <c r="B183" s="6" t="str">
        <f>IFERROR(__xludf.DUMMYFUNCTION("""COMPUTED_VALUE"""),"The System Creation: Intergalactic Entry")</f>
        <v>The System Creation: Intergalactic Entry</v>
      </c>
      <c r="C183" s="6" t="str">
        <f>IFERROR(__xludf.DUMMYFUNCTION("""COMPUTED_VALUE"""),"System and Superpower")</f>
        <v>System and Superpower</v>
      </c>
      <c r="D183" s="11">
        <f>IFERROR(__xludf.DUMMYFUNCTION("""COMPUTED_VALUE"""),5338.0)</f>
        <v>5338</v>
      </c>
      <c r="E183" s="8">
        <f>IFERROR(__xludf.DUMMYFUNCTION("""COMPUTED_VALUE"""),0.932982917214191)</f>
        <v>0.9329829172</v>
      </c>
      <c r="F183" s="8">
        <f>IFERROR(__xludf.DUMMYFUNCTION("""COMPUTED_VALUE"""),0.340497737556561)</f>
        <v>0.3404977376</v>
      </c>
      <c r="G183" s="8">
        <f>IFERROR(__xludf.DUMMYFUNCTION("""COMPUTED_VALUE"""),0.2743312464428)</f>
        <v>0.2743312464</v>
      </c>
      <c r="H183" s="8">
        <f>IFERROR(__xludf.DUMMYFUNCTION("""COMPUTED_VALUE"""),0.234992401215805)</f>
        <v>0.2349924012</v>
      </c>
      <c r="I183" s="8">
        <f>IFERROR(__xludf.DUMMYFUNCTION("""COMPUTED_VALUE"""),0.217573221757322)</f>
        <v>0.2175732218</v>
      </c>
      <c r="J183" s="8">
        <f>IFERROR(__xludf.DUMMYFUNCTION("""COMPUTED_VALUE"""),0.199429115128449)</f>
        <v>0.1994291151</v>
      </c>
      <c r="K183" s="8">
        <f>IFERROR(__xludf.DUMMYFUNCTION("""COMPUTED_VALUE"""),0.188262195121951)</f>
        <v>0.1882621951</v>
      </c>
      <c r="L183" s="8">
        <f>IFERROR(__xludf.DUMMYFUNCTION("""COMPUTED_VALUE"""),0.178612495208892)</f>
        <v>0.1786124952</v>
      </c>
      <c r="M183" s="8">
        <f>IFERROR(__xludf.DUMMYFUNCTION("""COMPUTED_VALUE"""),0.167947732513451)</f>
        <v>0.1679477325</v>
      </c>
      <c r="N183" s="8">
        <f>IFERROR(__xludf.DUMMYFUNCTION("""COMPUTED_VALUE"""),0.155255544840887)</f>
        <v>0.1552555448</v>
      </c>
      <c r="O183" s="8">
        <f>IFERROR(__xludf.DUMMYFUNCTION("""COMPUTED_VALUE"""),0.141679748822605)</f>
        <v>0.1416797488</v>
      </c>
      <c r="P183" s="8">
        <f>IFERROR(__xludf.DUMMYFUNCTION("""COMPUTED_VALUE"""),0.113987557696166)</f>
        <v>0.1139875577</v>
      </c>
      <c r="Q183" s="8">
        <f>IFERROR(__xludf.DUMMYFUNCTION("""COMPUTED_VALUE"""),0.0884883244571896)</f>
        <v>0.08848832446</v>
      </c>
      <c r="R183" s="8">
        <f>IFERROR(__xludf.DUMMYFUNCTION("""COMPUTED_VALUE"""),0.0763643909524797)</f>
        <v>0.07636439095</v>
      </c>
      <c r="S183" s="8">
        <f>IFERROR(__xludf.DUMMYFUNCTION("""COMPUTED_VALUE"""),0.0639632107023411)</f>
        <v>0.0639632107</v>
      </c>
      <c r="T183" s="8">
        <f>IFERROR(__xludf.DUMMYFUNCTION("""COMPUTED_VALUE"""),0.0544689800210305)</f>
        <v>0.05446898002</v>
      </c>
      <c r="U183" s="8">
        <f>IFERROR(__xludf.DUMMYFUNCTION("""COMPUTED_VALUE"""),0.0512820512820512)</f>
        <v>0.05128205128</v>
      </c>
      <c r="V183" s="8">
        <f>IFERROR(__xludf.DUMMYFUNCTION("""COMPUTED_VALUE"""),0.0471215351812366)</f>
        <v>0.04712153518</v>
      </c>
      <c r="W183" s="8">
        <f>IFERROR(__xludf.DUMMYFUNCTION("""COMPUTED_VALUE"""),0.0449076063601203)</f>
        <v>0.04490760636</v>
      </c>
      <c r="X183" s="8">
        <f>IFERROR(__xludf.DUMMYFUNCTION("""COMPUTED_VALUE"""),0.0432338953739731)</f>
        <v>0.04323389537</v>
      </c>
      <c r="Y183" s="8">
        <f>IFERROR(__xludf.DUMMYFUNCTION("""COMPUTED_VALUE"""),0.0314903846153846)</f>
        <v>0.03149038462</v>
      </c>
      <c r="Z183" s="8">
        <f>IFERROR(__xludf.DUMMYFUNCTION("""COMPUTED_VALUE"""),0.0306291390728476)</f>
        <v>0.03062913907</v>
      </c>
      <c r="AA183" s="8">
        <f>IFERROR(__xludf.DUMMYFUNCTION("""COMPUTED_VALUE"""),0.0267188009123493)</f>
        <v>0.02671880091</v>
      </c>
      <c r="AB183" s="8">
        <f>IFERROR(__xludf.DUMMYFUNCTION("""COMPUTED_VALUE"""),0.0217306946061311)</f>
        <v>0.02173069461</v>
      </c>
      <c r="AC183" s="8">
        <f>IFERROR(__xludf.DUMMYFUNCTION("""COMPUTED_VALUE"""),0.0170327207530255)</f>
        <v>0.01703272075</v>
      </c>
    </row>
    <row r="184" ht="15.75" customHeight="1">
      <c r="A184" s="6" t="str">
        <f>IFERROR(__xludf.DUMMYFUNCTION("""COMPUTED_VALUE"""),"a6f94887cb30090252bc97e34a7a53c7a6555b8d")</f>
        <v>a6f94887cb30090252bc97e34a7a53c7a6555b8d</v>
      </c>
      <c r="B184" s="6" t="str">
        <f>IFERROR(__xludf.DUMMYFUNCTION("""COMPUTED_VALUE"""),"A Surrogate Bride for a Paralyzed Ceo")</f>
        <v>A Surrogate Bride for a Paralyzed Ceo</v>
      </c>
      <c r="C184" s="6" t="str">
        <f>IFERROR(__xludf.DUMMYFUNCTION("""COMPUTED_VALUE"""),"Drama")</f>
        <v>Drama</v>
      </c>
      <c r="D184" s="11">
        <f>IFERROR(__xludf.DUMMYFUNCTION("""COMPUTED_VALUE"""),20304.0)</f>
        <v>20304</v>
      </c>
      <c r="E184" s="8">
        <f>IFERROR(__xludf.DUMMYFUNCTION("""COMPUTED_VALUE"""),0.84350825326435)</f>
        <v>0.8435082533</v>
      </c>
      <c r="F184" s="8">
        <f>IFERROR(__xludf.DUMMYFUNCTION("""COMPUTED_VALUE"""),0.502390693547592)</f>
        <v>0.5023906935</v>
      </c>
      <c r="G184" s="8">
        <f>IFERROR(__xludf.DUMMYFUNCTION("""COMPUTED_VALUE"""),0.450998766954377)</f>
        <v>0.450998767</v>
      </c>
      <c r="H184" s="8">
        <f>IFERROR(__xludf.DUMMYFUNCTION("""COMPUTED_VALUE"""),0.418200661303854)</f>
        <v>0.4182006613</v>
      </c>
      <c r="I184" s="8">
        <f>IFERROR(__xludf.DUMMYFUNCTION("""COMPUTED_VALUE"""),0.40175793787961)</f>
        <v>0.4017579379</v>
      </c>
      <c r="J184" s="8">
        <f>IFERROR(__xludf.DUMMYFUNCTION("""COMPUTED_VALUE"""),0.383638788717087)</f>
        <v>0.3836387887</v>
      </c>
      <c r="K184" s="8">
        <f>IFERROR(__xludf.DUMMYFUNCTION("""COMPUTED_VALUE"""),0.368722815342032)</f>
        <v>0.3687228153</v>
      </c>
      <c r="L184" s="8">
        <f>IFERROR(__xludf.DUMMYFUNCTION("""COMPUTED_VALUE"""),0.350346191889218)</f>
        <v>0.3503461919</v>
      </c>
      <c r="M184" s="8">
        <f>IFERROR(__xludf.DUMMYFUNCTION("""COMPUTED_VALUE"""),0.336450447775963)</f>
        <v>0.3364504478</v>
      </c>
      <c r="N184" s="8">
        <f>IFERROR(__xludf.DUMMYFUNCTION("""COMPUTED_VALUE"""),0.325248725436816)</f>
        <v>0.3252487254</v>
      </c>
      <c r="O184" s="8">
        <f>IFERROR(__xludf.DUMMYFUNCTION("""COMPUTED_VALUE"""),0.293227486975936)</f>
        <v>0.293227487</v>
      </c>
      <c r="P184" s="8">
        <f>IFERROR(__xludf.DUMMYFUNCTION("""COMPUTED_VALUE"""),0.265163954819127)</f>
        <v>0.2651639548</v>
      </c>
      <c r="Q184" s="8">
        <f>IFERROR(__xludf.DUMMYFUNCTION("""COMPUTED_VALUE"""),0.220943613348676)</f>
        <v>0.2209436133</v>
      </c>
      <c r="R184" s="8">
        <f>IFERROR(__xludf.DUMMYFUNCTION("""COMPUTED_VALUE"""),0.188055207026348)</f>
        <v>0.188055207</v>
      </c>
      <c r="S184" s="8">
        <f>IFERROR(__xludf.DUMMYFUNCTION("""COMPUTED_VALUE"""),0.163041289023162)</f>
        <v>0.163041289</v>
      </c>
      <c r="T184" s="8">
        <f>IFERROR(__xludf.DUMMYFUNCTION("""COMPUTED_VALUE"""),0.139882757226601)</f>
        <v>0.1398827572</v>
      </c>
      <c r="U184" s="8">
        <f>IFERROR(__xludf.DUMMYFUNCTION("""COMPUTED_VALUE"""),0.125971058644325)</f>
        <v>0.1259710586</v>
      </c>
      <c r="V184" s="8">
        <f>IFERROR(__xludf.DUMMYFUNCTION("""COMPUTED_VALUE"""),0.110777970648571)</f>
        <v>0.1107779706</v>
      </c>
      <c r="W184" s="8">
        <f>IFERROR(__xludf.DUMMYFUNCTION("""COMPUTED_VALUE"""),0.101986293413869)</f>
        <v>0.1019862934</v>
      </c>
      <c r="X184" s="8">
        <f>IFERROR(__xludf.DUMMYFUNCTION("""COMPUTED_VALUE"""),0.0976254921259842)</f>
        <v>0.09762549213</v>
      </c>
      <c r="Y184" s="8">
        <f>IFERROR(__xludf.DUMMYFUNCTION("""COMPUTED_VALUE"""),0.0686852589641434)</f>
        <v>0.06868525896</v>
      </c>
      <c r="Z184" s="8">
        <f>IFERROR(__xludf.DUMMYFUNCTION("""COMPUTED_VALUE"""),0.0534800656434018)</f>
        <v>0.05348006564</v>
      </c>
      <c r="AA184" s="8">
        <f>IFERROR(__xludf.DUMMYFUNCTION("""COMPUTED_VALUE"""),0.0420321221095796)</f>
        <v>0.04203212211</v>
      </c>
      <c r="AB184" s="8">
        <f>IFERROR(__xludf.DUMMYFUNCTION("""COMPUTED_VALUE"""),0.0307852856770153)</f>
        <v>0.03078528568</v>
      </c>
      <c r="AC184" s="8">
        <f>IFERROR(__xludf.DUMMYFUNCTION("""COMPUTED_VALUE"""),0.0176600441501103)</f>
        <v>0.01766004415</v>
      </c>
    </row>
    <row r="185" ht="15.75" customHeight="1">
      <c r="A185" s="6" t="str">
        <f>IFERROR(__xludf.DUMMYFUNCTION("""COMPUTED_VALUE"""),"a830c3a71510f0594792edb43a5e99b9da02d7e7")</f>
        <v>a830c3a71510f0594792edb43a5e99b9da02d7e7</v>
      </c>
      <c r="B185" s="6" t="str">
        <f>IFERROR(__xludf.DUMMYFUNCTION("""COMPUTED_VALUE"""),"Married to a Dying Prince")</f>
        <v>Married to a Dying Prince</v>
      </c>
      <c r="C185" s="6" t="str">
        <f>IFERROR(__xludf.DUMMYFUNCTION("""COMPUTED_VALUE"""),"Romantasy")</f>
        <v>Romantasy</v>
      </c>
      <c r="D185" s="11">
        <f>IFERROR(__xludf.DUMMYFUNCTION("""COMPUTED_VALUE"""),942.0)</f>
        <v>942</v>
      </c>
      <c r="E185" s="8">
        <f>IFERROR(__xludf.DUMMYFUNCTION("""COMPUTED_VALUE"""),0.958598726114649)</f>
        <v>0.9585987261</v>
      </c>
      <c r="F185" s="8">
        <f>IFERROR(__xludf.DUMMYFUNCTION("""COMPUTED_VALUE"""),0.50212314225053)</f>
        <v>0.5021231423</v>
      </c>
      <c r="G185" s="8">
        <f>IFERROR(__xludf.DUMMYFUNCTION("""COMPUTED_VALUE"""),0.450373532550693)</f>
        <v>0.4503735326</v>
      </c>
      <c r="H185" s="8">
        <f>IFERROR(__xludf.DUMMYFUNCTION("""COMPUTED_VALUE"""),0.386752136752136)</f>
        <v>0.3867521368</v>
      </c>
      <c r="I185" s="8">
        <f>IFERROR(__xludf.DUMMYFUNCTION("""COMPUTED_VALUE"""),0.383458646616541)</f>
        <v>0.3834586466</v>
      </c>
      <c r="J185" s="8">
        <f>IFERROR(__xludf.DUMMYFUNCTION("""COMPUTED_VALUE"""),0.370967741935483)</f>
        <v>0.3709677419</v>
      </c>
      <c r="K185" s="8">
        <f>IFERROR(__xludf.DUMMYFUNCTION("""COMPUTED_VALUE"""),0.357373519913885)</f>
        <v>0.3573735199</v>
      </c>
      <c r="L185" s="8">
        <f>IFERROR(__xludf.DUMMYFUNCTION("""COMPUTED_VALUE"""),0.353513513513513)</f>
        <v>0.3535135135</v>
      </c>
      <c r="M185" s="8">
        <f>IFERROR(__xludf.DUMMYFUNCTION("""COMPUTED_VALUE"""),0.340195016251354)</f>
        <v>0.3401950163</v>
      </c>
      <c r="N185" s="8">
        <f>IFERROR(__xludf.DUMMYFUNCTION("""COMPUTED_VALUE"""),0.331147540983606)</f>
        <v>0.331147541</v>
      </c>
      <c r="O185" s="8">
        <f>IFERROR(__xludf.DUMMYFUNCTION("""COMPUTED_VALUE"""),0.304250559284116)</f>
        <v>0.3042505593</v>
      </c>
      <c r="P185" s="8">
        <f>IFERROR(__xludf.DUMMYFUNCTION("""COMPUTED_VALUE"""),0.24235294117647)</f>
        <v>0.2423529412</v>
      </c>
      <c r="Q185" s="8">
        <f>IFERROR(__xludf.DUMMYFUNCTION("""COMPUTED_VALUE"""),0.226824457593688)</f>
        <v>0.2268244576</v>
      </c>
      <c r="R185" s="8">
        <f>IFERROR(__xludf.DUMMYFUNCTION("""COMPUTED_VALUE"""),0.125)</f>
        <v>0.125</v>
      </c>
      <c r="S185" s="8">
        <f>IFERROR(__xludf.DUMMYFUNCTION("""COMPUTED_VALUE"""),0.0)</f>
        <v>0</v>
      </c>
      <c r="T185" s="8">
        <f>IFERROR(__xludf.DUMMYFUNCTION("""COMPUTED_VALUE"""),0.0)</f>
        <v>0</v>
      </c>
      <c r="U185" s="8">
        <f>IFERROR(__xludf.DUMMYFUNCTION("""COMPUTED_VALUE"""),0.0)</f>
        <v>0</v>
      </c>
      <c r="V185" s="8">
        <f>IFERROR(__xludf.DUMMYFUNCTION("""COMPUTED_VALUE"""),0.0)</f>
        <v>0</v>
      </c>
      <c r="W185" s="8">
        <f>IFERROR(__xludf.DUMMYFUNCTION("""COMPUTED_VALUE"""),0.0)</f>
        <v>0</v>
      </c>
      <c r="X185" s="8">
        <f>IFERROR(__xludf.DUMMYFUNCTION("""COMPUTED_VALUE"""),0.0)</f>
        <v>0</v>
      </c>
      <c r="Y185" s="8">
        <f>IFERROR(__xludf.DUMMYFUNCTION("""COMPUTED_VALUE"""),0.0)</f>
        <v>0</v>
      </c>
      <c r="Z185" s="8">
        <f>IFERROR(__xludf.DUMMYFUNCTION("""COMPUTED_VALUE"""),0.0)</f>
        <v>0</v>
      </c>
      <c r="AA185" s="8">
        <f>IFERROR(__xludf.DUMMYFUNCTION("""COMPUTED_VALUE"""),0.0)</f>
        <v>0</v>
      </c>
      <c r="AB185" s="8">
        <f>IFERROR(__xludf.DUMMYFUNCTION("""COMPUTED_VALUE"""),0.0)</f>
        <v>0</v>
      </c>
      <c r="AC185" s="8">
        <f>IFERROR(__xludf.DUMMYFUNCTION("""COMPUTED_VALUE"""),0.0)</f>
        <v>0</v>
      </c>
    </row>
    <row r="186" ht="15.75" customHeight="1">
      <c r="A186" s="6" t="str">
        <f>IFERROR(__xludf.DUMMYFUNCTION("""COMPUTED_VALUE"""),"a877c7bd8a3facfb24f79b876674d1437dd52fb5")</f>
        <v>a877c7bd8a3facfb24f79b876674d1437dd52fb5</v>
      </c>
      <c r="B186" s="6" t="str">
        <f>IFERROR(__xludf.DUMMYFUNCTION("""COMPUTED_VALUE"""),"Dragon System Awakening")</f>
        <v>Dragon System Awakening</v>
      </c>
      <c r="C186" s="6" t="str">
        <f>IFERROR(__xludf.DUMMYFUNCTION("""COMPUTED_VALUE"""),"System and Superpower")</f>
        <v>System and Superpower</v>
      </c>
      <c r="D186" s="11">
        <f>IFERROR(__xludf.DUMMYFUNCTION("""COMPUTED_VALUE"""),8296.0)</f>
        <v>8296</v>
      </c>
      <c r="E186" s="8">
        <f>IFERROR(__xludf.DUMMYFUNCTION("""COMPUTED_VALUE"""),0.935717738037699)</f>
        <v>0.935717738</v>
      </c>
      <c r="F186" s="8">
        <f>IFERROR(__xludf.DUMMYFUNCTION("""COMPUTED_VALUE"""),0.455250090832021)</f>
        <v>0.4552500908</v>
      </c>
      <c r="G186" s="8">
        <f>IFERROR(__xludf.DUMMYFUNCTION("""COMPUTED_VALUE"""),0.391077706388653)</f>
        <v>0.3910777064</v>
      </c>
      <c r="H186" s="8">
        <f>IFERROR(__xludf.DUMMYFUNCTION("""COMPUTED_VALUE"""),0.362257281553398)</f>
        <v>0.3622572816</v>
      </c>
      <c r="I186" s="8">
        <f>IFERROR(__xludf.DUMMYFUNCTION("""COMPUTED_VALUE"""),0.334389085150444)</f>
        <v>0.3343890852</v>
      </c>
      <c r="J186" s="8">
        <f>IFERROR(__xludf.DUMMYFUNCTION("""COMPUTED_VALUE"""),0.316540619663332)</f>
        <v>0.3165406197</v>
      </c>
      <c r="K186" s="8">
        <f>IFERROR(__xludf.DUMMYFUNCTION("""COMPUTED_VALUE"""),0.303975535168195)</f>
        <v>0.3039755352</v>
      </c>
      <c r="L186" s="8">
        <f>IFERROR(__xludf.DUMMYFUNCTION("""COMPUTED_VALUE"""),0.291917085735312)</f>
        <v>0.2919170857</v>
      </c>
      <c r="M186" s="8">
        <f>IFERROR(__xludf.DUMMYFUNCTION("""COMPUTED_VALUE"""),0.279975429975429)</f>
        <v>0.27997543</v>
      </c>
      <c r="N186" s="8">
        <f>IFERROR(__xludf.DUMMYFUNCTION("""COMPUTED_VALUE"""),0.271541112752338)</f>
        <v>0.2715411128</v>
      </c>
      <c r="O186" s="8">
        <f>IFERROR(__xludf.DUMMYFUNCTION("""COMPUTED_VALUE"""),0.235696517412935)</f>
        <v>0.2356965174</v>
      </c>
      <c r="P186" s="8">
        <f>IFERROR(__xludf.DUMMYFUNCTION("""COMPUTED_VALUE"""),0.19119687224114)</f>
        <v>0.1911968722</v>
      </c>
      <c r="Q186" s="8">
        <f>IFERROR(__xludf.DUMMYFUNCTION("""COMPUTED_VALUE"""),0.14104092173222)</f>
        <v>0.1410409217</v>
      </c>
      <c r="R186" s="8">
        <f>IFERROR(__xludf.DUMMYFUNCTION("""COMPUTED_VALUE"""),0.123704309874522)</f>
        <v>0.1237043099</v>
      </c>
      <c r="S186" s="8">
        <f>IFERROR(__xludf.DUMMYFUNCTION("""COMPUTED_VALUE"""),0.106598984771573)</f>
        <v>0.1065989848</v>
      </c>
      <c r="T186" s="8">
        <f>IFERROR(__xludf.DUMMYFUNCTION("""COMPUTED_VALUE"""),0.1004)</f>
        <v>0.1004</v>
      </c>
      <c r="U186" s="8">
        <f>IFERROR(__xludf.DUMMYFUNCTION("""COMPUTED_VALUE"""),0.0931554237706943)</f>
        <v>0.09315542377</v>
      </c>
      <c r="V186" s="8">
        <f>IFERROR(__xludf.DUMMYFUNCTION("""COMPUTED_VALUE"""),0.0821917808219178)</f>
        <v>0.08219178082</v>
      </c>
      <c r="W186" s="8">
        <f>IFERROR(__xludf.DUMMYFUNCTION("""COMPUTED_VALUE"""),0.0746521886664404)</f>
        <v>0.07465218867</v>
      </c>
      <c r="X186" s="8">
        <f>IFERROR(__xludf.DUMMYFUNCTION("""COMPUTED_VALUE"""),0.0669160432252701)</f>
        <v>0.06691604323</v>
      </c>
      <c r="Y186" s="8">
        <f>IFERROR(__xludf.DUMMYFUNCTION("""COMPUTED_VALUE"""),0.044382801664355)</f>
        <v>0.04438280166</v>
      </c>
      <c r="Z186" s="8">
        <f>IFERROR(__xludf.DUMMYFUNCTION("""COMPUTED_VALUE"""),0.0)</f>
        <v>0</v>
      </c>
      <c r="AA186" s="8">
        <f>IFERROR(__xludf.DUMMYFUNCTION("""COMPUTED_VALUE"""),0.0)</f>
        <v>0</v>
      </c>
      <c r="AB186" s="8">
        <f>IFERROR(__xludf.DUMMYFUNCTION("""COMPUTED_VALUE"""),0.0)</f>
        <v>0</v>
      </c>
      <c r="AC186" s="8">
        <f>IFERROR(__xludf.DUMMYFUNCTION("""COMPUTED_VALUE"""),0.0)</f>
        <v>0</v>
      </c>
    </row>
    <row r="187" ht="15.75" customHeight="1">
      <c r="A187" s="6" t="str">
        <f>IFERROR(__xludf.DUMMYFUNCTION("""COMPUTED_VALUE"""),"a901618b218023453e7ca53e9fa1d9940b094e69")</f>
        <v>a901618b218023453e7ca53e9fa1d9940b094e69</v>
      </c>
      <c r="B187" s="6" t="str">
        <f>IFERROR(__xludf.DUMMYFUNCTION("""COMPUTED_VALUE"""),"The Devil's New Assistant")</f>
        <v>The Devil's New Assistant</v>
      </c>
      <c r="C187" s="6" t="str">
        <f>IFERROR(__xludf.DUMMYFUNCTION("""COMPUTED_VALUE"""),"Romance")</f>
        <v>Romance</v>
      </c>
      <c r="D187" s="11">
        <f>IFERROR(__xludf.DUMMYFUNCTION("""COMPUTED_VALUE"""),509.0)</f>
        <v>509</v>
      </c>
      <c r="E187" s="8">
        <f>IFERROR(__xludf.DUMMYFUNCTION("""COMPUTED_VALUE"""),0.94553376906318)</f>
        <v>0.9455337691</v>
      </c>
      <c r="F187" s="8">
        <f>IFERROR(__xludf.DUMMYFUNCTION("""COMPUTED_VALUE"""),0.390374331550802)</f>
        <v>0.3903743316</v>
      </c>
      <c r="G187" s="8">
        <f>IFERROR(__xludf.DUMMYFUNCTION("""COMPUTED_VALUE"""),0.355685131195335)</f>
        <v>0.3556851312</v>
      </c>
      <c r="H187" s="8">
        <f>IFERROR(__xludf.DUMMYFUNCTION("""COMPUTED_VALUE"""),0.316993464052287)</f>
        <v>0.3169934641</v>
      </c>
      <c r="I187" s="8">
        <f>IFERROR(__xludf.DUMMYFUNCTION("""COMPUTED_VALUE"""),0.313333333333333)</f>
        <v>0.3133333333</v>
      </c>
      <c r="J187" s="8">
        <f>IFERROR(__xludf.DUMMYFUNCTION("""COMPUTED_VALUE"""),0.301038062283737)</f>
        <v>0.3010380623</v>
      </c>
      <c r="K187" s="8">
        <f>IFERROR(__xludf.DUMMYFUNCTION("""COMPUTED_VALUE"""),0.279720279720279)</f>
        <v>0.2797202797</v>
      </c>
      <c r="L187" s="8">
        <f>IFERROR(__xludf.DUMMYFUNCTION("""COMPUTED_VALUE"""),0.281021897810218)</f>
        <v>0.2810218978</v>
      </c>
      <c r="M187" s="8">
        <f>IFERROR(__xludf.DUMMYFUNCTION("""COMPUTED_VALUE"""),0.262773722627737)</f>
        <v>0.2627737226</v>
      </c>
      <c r="N187" s="8">
        <f>IFERROR(__xludf.DUMMYFUNCTION("""COMPUTED_VALUE"""),0.25735294117647)</f>
        <v>0.2573529412</v>
      </c>
      <c r="O187" s="8">
        <f>IFERROR(__xludf.DUMMYFUNCTION("""COMPUTED_VALUE"""),0.224390243902439)</f>
        <v>0.2243902439</v>
      </c>
      <c r="P187" s="8">
        <f>IFERROR(__xludf.DUMMYFUNCTION("""COMPUTED_VALUE"""),0.273504273504273)</f>
        <v>0.2735042735</v>
      </c>
      <c r="Q187" s="8">
        <f>IFERROR(__xludf.DUMMYFUNCTION("""COMPUTED_VALUE"""),0.0)</f>
        <v>0</v>
      </c>
      <c r="R187" s="8">
        <f>IFERROR(__xludf.DUMMYFUNCTION("""COMPUTED_VALUE"""),0.0)</f>
        <v>0</v>
      </c>
      <c r="S187" s="8">
        <f>IFERROR(__xludf.DUMMYFUNCTION("""COMPUTED_VALUE"""),0.0)</f>
        <v>0</v>
      </c>
      <c r="T187" s="8">
        <f>IFERROR(__xludf.DUMMYFUNCTION("""COMPUTED_VALUE"""),0.0)</f>
        <v>0</v>
      </c>
      <c r="U187" s="8">
        <f>IFERROR(__xludf.DUMMYFUNCTION("""COMPUTED_VALUE"""),0.0)</f>
        <v>0</v>
      </c>
      <c r="V187" s="8">
        <f>IFERROR(__xludf.DUMMYFUNCTION("""COMPUTED_VALUE"""),0.0)</f>
        <v>0</v>
      </c>
      <c r="W187" s="8">
        <f>IFERROR(__xludf.DUMMYFUNCTION("""COMPUTED_VALUE"""),0.0)</f>
        <v>0</v>
      </c>
      <c r="X187" s="8">
        <f>IFERROR(__xludf.DUMMYFUNCTION("""COMPUTED_VALUE"""),0.0)</f>
        <v>0</v>
      </c>
      <c r="Y187" s="8">
        <f>IFERROR(__xludf.DUMMYFUNCTION("""COMPUTED_VALUE"""),0.0)</f>
        <v>0</v>
      </c>
      <c r="Z187" s="8">
        <f>IFERROR(__xludf.DUMMYFUNCTION("""COMPUTED_VALUE"""),0.0)</f>
        <v>0</v>
      </c>
      <c r="AA187" s="8">
        <f>IFERROR(__xludf.DUMMYFUNCTION("""COMPUTED_VALUE"""),0.0)</f>
        <v>0</v>
      </c>
      <c r="AB187" s="8">
        <f>IFERROR(__xludf.DUMMYFUNCTION("""COMPUTED_VALUE"""),0.0)</f>
        <v>0</v>
      </c>
      <c r="AC187" s="8">
        <f>IFERROR(__xludf.DUMMYFUNCTION("""COMPUTED_VALUE"""),0.0)</f>
        <v>0</v>
      </c>
    </row>
    <row r="188" ht="15.75" customHeight="1">
      <c r="A188" s="6" t="str">
        <f>IFERROR(__xludf.DUMMYFUNCTION("""COMPUTED_VALUE"""),"a92aaf29dca1833b578f42a2abbcdab8db2ff12e")</f>
        <v>a92aaf29dca1833b578f42a2abbcdab8db2ff12e</v>
      </c>
      <c r="B188" s="6" t="str">
        <f>IFERROR(__xludf.DUMMYFUNCTION("""COMPUTED_VALUE"""),"Bought for the Ice Ceo")</f>
        <v>Bought for the Ice Ceo</v>
      </c>
      <c r="C188" s="6" t="str">
        <f>IFERROR(__xludf.DUMMYFUNCTION("""COMPUTED_VALUE"""),"Romance")</f>
        <v>Romance</v>
      </c>
      <c r="D188" s="11">
        <f>IFERROR(__xludf.DUMMYFUNCTION("""COMPUTED_VALUE"""),1111.0)</f>
        <v>1111</v>
      </c>
      <c r="E188" s="8">
        <f>IFERROR(__xludf.DUMMYFUNCTION("""COMPUTED_VALUE"""),0.961226330027051)</f>
        <v>0.96122633</v>
      </c>
      <c r="F188" s="8">
        <f>IFERROR(__xludf.DUMMYFUNCTION("""COMPUTED_VALUE"""),0.657039711191335)</f>
        <v>0.6570397112</v>
      </c>
      <c r="G188" s="8">
        <f>IFERROR(__xludf.DUMMYFUNCTION("""COMPUTED_VALUE"""),0.59927797833935)</f>
        <v>0.5992779783</v>
      </c>
      <c r="H188" s="8">
        <f>IFERROR(__xludf.DUMMYFUNCTION("""COMPUTED_VALUE"""),0.544715447154471)</f>
        <v>0.5447154472</v>
      </c>
      <c r="I188" s="8">
        <f>IFERROR(__xludf.DUMMYFUNCTION("""COMPUTED_VALUE"""),0.507233273056057)</f>
        <v>0.5072332731</v>
      </c>
      <c r="J188" s="8">
        <f>IFERROR(__xludf.DUMMYFUNCTION("""COMPUTED_VALUE"""),0.479601087941976)</f>
        <v>0.4796010879</v>
      </c>
      <c r="K188" s="8">
        <f>IFERROR(__xludf.DUMMYFUNCTION("""COMPUTED_VALUE"""),0.458748866727107)</f>
        <v>0.4587488667</v>
      </c>
      <c r="L188" s="8">
        <f>IFERROR(__xludf.DUMMYFUNCTION("""COMPUTED_VALUE"""),0.435176790571169)</f>
        <v>0.4351767906</v>
      </c>
      <c r="M188" s="8">
        <f>IFERROR(__xludf.DUMMYFUNCTION("""COMPUTED_VALUE"""),0.428441203281677)</f>
        <v>0.4284412033</v>
      </c>
      <c r="N188" s="8">
        <f>IFERROR(__xludf.DUMMYFUNCTION("""COMPUTED_VALUE"""),0.405651777575205)</f>
        <v>0.4056517776</v>
      </c>
      <c r="O188" s="8">
        <f>IFERROR(__xludf.DUMMYFUNCTION("""COMPUTED_VALUE"""),0.349721706864564)</f>
        <v>0.3497217069</v>
      </c>
      <c r="P188" s="8">
        <f>IFERROR(__xludf.DUMMYFUNCTION("""COMPUTED_VALUE"""),0.215339233038348)</f>
        <v>0.215339233</v>
      </c>
      <c r="Q188" s="8">
        <f>IFERROR(__xludf.DUMMYFUNCTION("""COMPUTED_VALUE"""),0.087797619047619)</f>
        <v>0.08779761905</v>
      </c>
      <c r="R188" s="8">
        <f>IFERROR(__xludf.DUMMYFUNCTION("""COMPUTED_VALUE"""),0.0)</f>
        <v>0</v>
      </c>
      <c r="S188" s="8">
        <f>IFERROR(__xludf.DUMMYFUNCTION("""COMPUTED_VALUE"""),0.0)</f>
        <v>0</v>
      </c>
      <c r="T188" s="8">
        <f>IFERROR(__xludf.DUMMYFUNCTION("""COMPUTED_VALUE"""),0.0)</f>
        <v>0</v>
      </c>
      <c r="U188" s="8">
        <f>IFERROR(__xludf.DUMMYFUNCTION("""COMPUTED_VALUE"""),0.0)</f>
        <v>0</v>
      </c>
      <c r="V188" s="8">
        <f>IFERROR(__xludf.DUMMYFUNCTION("""COMPUTED_VALUE"""),0.0)</f>
        <v>0</v>
      </c>
      <c r="W188" s="8">
        <f>IFERROR(__xludf.DUMMYFUNCTION("""COMPUTED_VALUE"""),0.0)</f>
        <v>0</v>
      </c>
      <c r="X188" s="8">
        <f>IFERROR(__xludf.DUMMYFUNCTION("""COMPUTED_VALUE"""),0.0)</f>
        <v>0</v>
      </c>
      <c r="Y188" s="8">
        <f>IFERROR(__xludf.DUMMYFUNCTION("""COMPUTED_VALUE"""),0.0)</f>
        <v>0</v>
      </c>
      <c r="Z188" s="8">
        <f>IFERROR(__xludf.DUMMYFUNCTION("""COMPUTED_VALUE"""),0.0)</f>
        <v>0</v>
      </c>
      <c r="AA188" s="8">
        <f>IFERROR(__xludf.DUMMYFUNCTION("""COMPUTED_VALUE"""),0.0)</f>
        <v>0</v>
      </c>
      <c r="AB188" s="8">
        <f>IFERROR(__xludf.DUMMYFUNCTION("""COMPUTED_VALUE"""),0.0)</f>
        <v>0</v>
      </c>
      <c r="AC188" s="8">
        <f>IFERROR(__xludf.DUMMYFUNCTION("""COMPUTED_VALUE"""),0.0)</f>
        <v>0</v>
      </c>
    </row>
    <row r="189" ht="15.75" customHeight="1">
      <c r="A189" s="6" t="str">
        <f>IFERROR(__xludf.DUMMYFUNCTION("""COMPUTED_VALUE"""),"a978831eb87b7d63024465fa4df9a779feeaaf5a")</f>
        <v>a978831eb87b7d63024465fa4df9a779feeaaf5a</v>
      </c>
      <c r="B189" s="6" t="str">
        <f>IFERROR(__xludf.DUMMYFUNCTION("""COMPUTED_VALUE"""),"Extreme Medical Sage")</f>
        <v>Extreme Medical Sage</v>
      </c>
      <c r="C189" s="6" t="str">
        <f>IFERROR(__xludf.DUMMYFUNCTION("""COMPUTED_VALUE"""),"Fantasy")</f>
        <v>Fantasy</v>
      </c>
      <c r="D189" s="11">
        <f>IFERROR(__xludf.DUMMYFUNCTION("""COMPUTED_VALUE"""),295.0)</f>
        <v>295</v>
      </c>
      <c r="E189" s="8">
        <f>IFERROR(__xludf.DUMMYFUNCTION("""COMPUTED_VALUE"""),0.952054794520548)</f>
        <v>0.9520547945</v>
      </c>
      <c r="F189" s="8">
        <f>IFERROR(__xludf.DUMMYFUNCTION("""COMPUTED_VALUE"""),0.543554006968641)</f>
        <v>0.543554007</v>
      </c>
      <c r="G189" s="8">
        <f>IFERROR(__xludf.DUMMYFUNCTION("""COMPUTED_VALUE"""),0.471428571428571)</f>
        <v>0.4714285714</v>
      </c>
      <c r="H189" s="8">
        <f>IFERROR(__xludf.DUMMYFUNCTION("""COMPUTED_VALUE"""),0.44074074074074)</f>
        <v>0.4407407407</v>
      </c>
      <c r="I189" s="8">
        <f>IFERROR(__xludf.DUMMYFUNCTION("""COMPUTED_VALUE"""),0.412213740458015)</f>
        <v>0.4122137405</v>
      </c>
      <c r="J189" s="8">
        <f>IFERROR(__xludf.DUMMYFUNCTION("""COMPUTED_VALUE"""),0.386454183266932)</f>
        <v>0.3864541833</v>
      </c>
      <c r="K189" s="8">
        <f>IFERROR(__xludf.DUMMYFUNCTION("""COMPUTED_VALUE"""),0.355102040816326)</f>
        <v>0.3551020408</v>
      </c>
      <c r="L189" s="8">
        <f>IFERROR(__xludf.DUMMYFUNCTION("""COMPUTED_VALUE"""),0.324894514767932)</f>
        <v>0.3248945148</v>
      </c>
      <c r="M189" s="8">
        <f>IFERROR(__xludf.DUMMYFUNCTION("""COMPUTED_VALUE"""),0.297872340425531)</f>
        <v>0.2978723404</v>
      </c>
      <c r="N189" s="8">
        <f>IFERROR(__xludf.DUMMYFUNCTION("""COMPUTED_VALUE"""),0.281385281385281)</f>
        <v>0.2813852814</v>
      </c>
      <c r="O189" s="8">
        <f>IFERROR(__xludf.DUMMYFUNCTION("""COMPUTED_VALUE"""),0.236966824644549)</f>
        <v>0.2369668246</v>
      </c>
      <c r="P189" s="8">
        <f>IFERROR(__xludf.DUMMYFUNCTION("""COMPUTED_VALUE"""),0.166666666666666)</f>
        <v>0.1666666667</v>
      </c>
      <c r="Q189" s="8">
        <f>IFERROR(__xludf.DUMMYFUNCTION("""COMPUTED_VALUE"""),0.0816326530612244)</f>
        <v>0.08163265306</v>
      </c>
      <c r="R189" s="8">
        <f>IFERROR(__xludf.DUMMYFUNCTION("""COMPUTED_VALUE"""),0.0638297872340425)</f>
        <v>0.06382978723</v>
      </c>
      <c r="S189" s="8">
        <f>IFERROR(__xludf.DUMMYFUNCTION("""COMPUTED_VALUE"""),0.0454545454545454)</f>
        <v>0.04545454545</v>
      </c>
      <c r="T189" s="8">
        <f>IFERROR(__xludf.DUMMYFUNCTION("""COMPUTED_VALUE"""),0.0454545454545454)</f>
        <v>0.04545454545</v>
      </c>
      <c r="U189" s="8">
        <f>IFERROR(__xludf.DUMMYFUNCTION("""COMPUTED_VALUE"""),0.0512820512820512)</f>
        <v>0.05128205128</v>
      </c>
      <c r="V189" s="8">
        <f>IFERROR(__xludf.DUMMYFUNCTION("""COMPUTED_VALUE"""),0.027027027027027)</f>
        <v>0.02702702703</v>
      </c>
      <c r="W189" s="8">
        <f>IFERROR(__xludf.DUMMYFUNCTION("""COMPUTED_VALUE"""),0.03125)</f>
        <v>0.03125</v>
      </c>
      <c r="X189" s="8">
        <f>IFERROR(__xludf.DUMMYFUNCTION("""COMPUTED_VALUE"""),0.032258064516129)</f>
        <v>0.03225806452</v>
      </c>
      <c r="Y189" s="8">
        <f>IFERROR(__xludf.DUMMYFUNCTION("""COMPUTED_VALUE"""),0.0416666666666666)</f>
        <v>0.04166666667</v>
      </c>
      <c r="Z189" s="8">
        <f>IFERROR(__xludf.DUMMYFUNCTION("""COMPUTED_VALUE"""),0.0588235294117647)</f>
        <v>0.05882352941</v>
      </c>
      <c r="AA189" s="8">
        <f>IFERROR(__xludf.DUMMYFUNCTION("""COMPUTED_VALUE"""),0.0833333333333333)</f>
        <v>0.08333333333</v>
      </c>
      <c r="AB189" s="8">
        <f>IFERROR(__xludf.DUMMYFUNCTION("""COMPUTED_VALUE"""),0.0909090909090909)</f>
        <v>0.09090909091</v>
      </c>
      <c r="AC189" s="8">
        <f>IFERROR(__xludf.DUMMYFUNCTION("""COMPUTED_VALUE"""),0.0909090909090909)</f>
        <v>0.09090909091</v>
      </c>
    </row>
    <row r="190" ht="15.75" customHeight="1">
      <c r="A190" s="6" t="str">
        <f>IFERROR(__xludf.DUMMYFUNCTION("""COMPUTED_VALUE"""),"a9dd2d51d9347ce1a50ee64d1a38a6c33539ebc1")</f>
        <v>a9dd2d51d9347ce1a50ee64d1a38a6c33539ebc1</v>
      </c>
      <c r="B190" s="6" t="str">
        <f>IFERROR(__xludf.DUMMYFUNCTION("""COMPUTED_VALUE"""),"Billionaires Love Me")</f>
        <v>Billionaires Love Me</v>
      </c>
      <c r="C190" s="6" t="str">
        <f>IFERROR(__xludf.DUMMYFUNCTION("""COMPUTED_VALUE"""),"Romance")</f>
        <v>Romance</v>
      </c>
      <c r="D190" s="11">
        <f>IFERROR(__xludf.DUMMYFUNCTION("""COMPUTED_VALUE"""),920.0)</f>
        <v>920</v>
      </c>
      <c r="E190" s="8">
        <f>IFERROR(__xludf.DUMMYFUNCTION("""COMPUTED_VALUE"""),0.961748633879781)</f>
        <v>0.9617486339</v>
      </c>
      <c r="F190" s="8">
        <f>IFERROR(__xludf.DUMMYFUNCTION("""COMPUTED_VALUE"""),0.613009922822491)</f>
        <v>0.6130099228</v>
      </c>
      <c r="G190" s="8">
        <f>IFERROR(__xludf.DUMMYFUNCTION("""COMPUTED_VALUE"""),0.465116279069767)</f>
        <v>0.4651162791</v>
      </c>
      <c r="H190" s="8">
        <f>IFERROR(__xludf.DUMMYFUNCTION("""COMPUTED_VALUE"""),0.384820239680426)</f>
        <v>0.3848202397</v>
      </c>
      <c r="I190" s="8">
        <f>IFERROR(__xludf.DUMMYFUNCTION("""COMPUTED_VALUE"""),0.350574712643678)</f>
        <v>0.3505747126</v>
      </c>
      <c r="J190" s="8">
        <f>IFERROR(__xludf.DUMMYFUNCTION("""COMPUTED_VALUE"""),0.334770114942528)</f>
        <v>0.3347701149</v>
      </c>
      <c r="K190" s="8">
        <f>IFERROR(__xludf.DUMMYFUNCTION("""COMPUTED_VALUE"""),0.316091954022988)</f>
        <v>0.316091954</v>
      </c>
      <c r="L190" s="8">
        <f>IFERROR(__xludf.DUMMYFUNCTION("""COMPUTED_VALUE"""),0.278735632183908)</f>
        <v>0.2787356322</v>
      </c>
      <c r="M190" s="8">
        <f>IFERROR(__xludf.DUMMYFUNCTION("""COMPUTED_VALUE"""),0.25920471281296)</f>
        <v>0.2592047128</v>
      </c>
      <c r="N190" s="8">
        <f>IFERROR(__xludf.DUMMYFUNCTION("""COMPUTED_VALUE"""),0.237113402061855)</f>
        <v>0.2371134021</v>
      </c>
      <c r="O190" s="8">
        <f>IFERROR(__xludf.DUMMYFUNCTION("""COMPUTED_VALUE"""),0.222222222222222)</f>
        <v>0.2222222222</v>
      </c>
      <c r="P190" s="8">
        <f>IFERROR(__xludf.DUMMYFUNCTION("""COMPUTED_VALUE"""),0.116564417177914)</f>
        <v>0.1165644172</v>
      </c>
      <c r="Q190" s="8">
        <f>IFERROR(__xludf.DUMMYFUNCTION("""COMPUTED_VALUE"""),0.0889621087314662)</f>
        <v>0.08896210873</v>
      </c>
      <c r="R190" s="8">
        <f>IFERROR(__xludf.DUMMYFUNCTION("""COMPUTED_VALUE"""),0.0788177339901477)</f>
        <v>0.07881773399</v>
      </c>
      <c r="S190" s="8">
        <f>IFERROR(__xludf.DUMMYFUNCTION("""COMPUTED_VALUE"""),0.0)</f>
        <v>0</v>
      </c>
      <c r="T190" s="8">
        <f>IFERROR(__xludf.DUMMYFUNCTION("""COMPUTED_VALUE"""),0.0)</f>
        <v>0</v>
      </c>
      <c r="U190" s="8">
        <f>IFERROR(__xludf.DUMMYFUNCTION("""COMPUTED_VALUE"""),0.0)</f>
        <v>0</v>
      </c>
      <c r="V190" s="8">
        <f>IFERROR(__xludf.DUMMYFUNCTION("""COMPUTED_VALUE"""),0.0)</f>
        <v>0</v>
      </c>
      <c r="W190" s="8">
        <f>IFERROR(__xludf.DUMMYFUNCTION("""COMPUTED_VALUE"""),0.0)</f>
        <v>0</v>
      </c>
      <c r="X190" s="8">
        <f>IFERROR(__xludf.DUMMYFUNCTION("""COMPUTED_VALUE"""),0.0)</f>
        <v>0</v>
      </c>
      <c r="Y190" s="8">
        <f>IFERROR(__xludf.DUMMYFUNCTION("""COMPUTED_VALUE"""),0.0)</f>
        <v>0</v>
      </c>
      <c r="Z190" s="8">
        <f>IFERROR(__xludf.DUMMYFUNCTION("""COMPUTED_VALUE"""),0.0)</f>
        <v>0</v>
      </c>
      <c r="AA190" s="8">
        <f>IFERROR(__xludf.DUMMYFUNCTION("""COMPUTED_VALUE"""),0.0)</f>
        <v>0</v>
      </c>
      <c r="AB190" s="8">
        <f>IFERROR(__xludf.DUMMYFUNCTION("""COMPUTED_VALUE"""),0.0)</f>
        <v>0</v>
      </c>
      <c r="AC190" s="8">
        <f>IFERROR(__xludf.DUMMYFUNCTION("""COMPUTED_VALUE"""),0.0)</f>
        <v>0</v>
      </c>
    </row>
    <row r="191" ht="15.75" customHeight="1">
      <c r="A191" s="6" t="str">
        <f>IFERROR(__xludf.DUMMYFUNCTION("""COMPUTED_VALUE"""),"aaa698f296d8b031a8ae9b94897fb07edda92f97")</f>
        <v>aaa698f296d8b031a8ae9b94897fb07edda92f97</v>
      </c>
      <c r="B191" s="6" t="str">
        <f>IFERROR(__xludf.DUMMYFUNCTION("""COMPUTED_VALUE"""),"A Heart Divided")</f>
        <v>A Heart Divided</v>
      </c>
      <c r="C191" s="6" t="str">
        <f>IFERROR(__xludf.DUMMYFUNCTION("""COMPUTED_VALUE"""),"Romance")</f>
        <v>Romance</v>
      </c>
      <c r="D191" s="11">
        <f>IFERROR(__xludf.DUMMYFUNCTION("""COMPUTED_VALUE"""),388.0)</f>
        <v>388</v>
      </c>
      <c r="E191" s="8">
        <f>IFERROR(__xludf.DUMMYFUNCTION("""COMPUTED_VALUE"""),0.904639175257732)</f>
        <v>0.9046391753</v>
      </c>
      <c r="F191" s="8">
        <f>IFERROR(__xludf.DUMMYFUNCTION("""COMPUTED_VALUE"""),0.649484536082474)</f>
        <v>0.6494845361</v>
      </c>
      <c r="G191" s="8">
        <f>IFERROR(__xludf.DUMMYFUNCTION("""COMPUTED_VALUE"""),0.607235142118863)</f>
        <v>0.6072351421</v>
      </c>
      <c r="H191" s="8">
        <f>IFERROR(__xludf.DUMMYFUNCTION("""COMPUTED_VALUE"""),0.556994818652849)</f>
        <v>0.5569948187</v>
      </c>
      <c r="I191" s="8">
        <f>IFERROR(__xludf.DUMMYFUNCTION("""COMPUTED_VALUE"""),0.535064935064935)</f>
        <v>0.5350649351</v>
      </c>
      <c r="J191" s="8">
        <f>IFERROR(__xludf.DUMMYFUNCTION("""COMPUTED_VALUE"""),0.511688311688311)</f>
        <v>0.5116883117</v>
      </c>
      <c r="K191" s="8">
        <f>IFERROR(__xludf.DUMMYFUNCTION("""COMPUTED_VALUE"""),0.483116883116883)</f>
        <v>0.4831168831</v>
      </c>
      <c r="L191" s="8">
        <f>IFERROR(__xludf.DUMMYFUNCTION("""COMPUTED_VALUE"""),0.4453125)</f>
        <v>0.4453125</v>
      </c>
      <c r="M191" s="8">
        <f>IFERROR(__xludf.DUMMYFUNCTION("""COMPUTED_VALUE"""),0.40625)</f>
        <v>0.40625</v>
      </c>
      <c r="N191" s="8">
        <f>IFERROR(__xludf.DUMMYFUNCTION("""COMPUTED_VALUE"""),0.3671875)</f>
        <v>0.3671875</v>
      </c>
      <c r="O191" s="8">
        <f>IFERROR(__xludf.DUMMYFUNCTION("""COMPUTED_VALUE"""),0.327225130890052)</f>
        <v>0.3272251309</v>
      </c>
      <c r="P191" s="8">
        <f>IFERROR(__xludf.DUMMYFUNCTION("""COMPUTED_VALUE"""),0.221635883905013)</f>
        <v>0.2216358839</v>
      </c>
      <c r="Q191" s="8">
        <f>IFERROR(__xludf.DUMMYFUNCTION("""COMPUTED_VALUE"""),0.106666666666666)</f>
        <v>0.1066666667</v>
      </c>
      <c r="R191" s="8">
        <f>IFERROR(__xludf.DUMMYFUNCTION("""COMPUTED_VALUE"""),0.0935828877005347)</f>
        <v>0.0935828877</v>
      </c>
      <c r="S191" s="8">
        <f>IFERROR(__xludf.DUMMYFUNCTION("""COMPUTED_VALUE"""),0.0)</f>
        <v>0</v>
      </c>
      <c r="T191" s="8">
        <f>IFERROR(__xludf.DUMMYFUNCTION("""COMPUTED_VALUE"""),0.0)</f>
        <v>0</v>
      </c>
      <c r="U191" s="8">
        <f>IFERROR(__xludf.DUMMYFUNCTION("""COMPUTED_VALUE"""),0.0)</f>
        <v>0</v>
      </c>
      <c r="V191" s="8">
        <f>IFERROR(__xludf.DUMMYFUNCTION("""COMPUTED_VALUE"""),0.0)</f>
        <v>0</v>
      </c>
      <c r="W191" s="8">
        <f>IFERROR(__xludf.DUMMYFUNCTION("""COMPUTED_VALUE"""),0.0)</f>
        <v>0</v>
      </c>
      <c r="X191" s="8">
        <f>IFERROR(__xludf.DUMMYFUNCTION("""COMPUTED_VALUE"""),0.0)</f>
        <v>0</v>
      </c>
      <c r="Y191" s="8">
        <f>IFERROR(__xludf.DUMMYFUNCTION("""COMPUTED_VALUE"""),0.0)</f>
        <v>0</v>
      </c>
      <c r="Z191" s="8">
        <f>IFERROR(__xludf.DUMMYFUNCTION("""COMPUTED_VALUE"""),0.0)</f>
        <v>0</v>
      </c>
      <c r="AA191" s="8">
        <f>IFERROR(__xludf.DUMMYFUNCTION("""COMPUTED_VALUE"""),0.0)</f>
        <v>0</v>
      </c>
      <c r="AB191" s="8">
        <f>IFERROR(__xludf.DUMMYFUNCTION("""COMPUTED_VALUE"""),0.0)</f>
        <v>0</v>
      </c>
      <c r="AC191" s="8">
        <f>IFERROR(__xludf.DUMMYFUNCTION("""COMPUTED_VALUE"""),0.0)</f>
        <v>0</v>
      </c>
    </row>
    <row r="192" ht="15.75" customHeight="1">
      <c r="A192" s="6" t="str">
        <f>IFERROR(__xludf.DUMMYFUNCTION("""COMPUTED_VALUE"""),"aab4996493c32f1ec5e010a7e9b25c3e280e1445")</f>
        <v>aab4996493c32f1ec5e010a7e9b25c3e280e1445</v>
      </c>
      <c r="B192" s="6" t="str">
        <f>IFERROR(__xludf.DUMMYFUNCTION("""COMPUTED_VALUE"""),"Love Forever")</f>
        <v>Love Forever</v>
      </c>
      <c r="C192" s="6" t="str">
        <f>IFERROR(__xludf.DUMMYFUNCTION("""COMPUTED_VALUE"""),"Romance")</f>
        <v>Romance</v>
      </c>
      <c r="D192" s="11">
        <f>IFERROR(__xludf.DUMMYFUNCTION("""COMPUTED_VALUE"""),199.0)</f>
        <v>199</v>
      </c>
      <c r="E192" s="8">
        <f>IFERROR(__xludf.DUMMYFUNCTION("""COMPUTED_VALUE"""),0.909547738693467)</f>
        <v>0.9095477387</v>
      </c>
      <c r="F192" s="8">
        <f>IFERROR(__xludf.DUMMYFUNCTION("""COMPUTED_VALUE"""),0.547738693467336)</f>
        <v>0.5477386935</v>
      </c>
      <c r="G192" s="8">
        <f>IFERROR(__xludf.DUMMYFUNCTION("""COMPUTED_VALUE"""),0.50251256281407)</f>
        <v>0.5025125628</v>
      </c>
      <c r="H192" s="8">
        <f>IFERROR(__xludf.DUMMYFUNCTION("""COMPUTED_VALUE"""),0.4321608040201)</f>
        <v>0.432160804</v>
      </c>
      <c r="I192" s="8">
        <f>IFERROR(__xludf.DUMMYFUNCTION("""COMPUTED_VALUE"""),0.422110552763819)</f>
        <v>0.4221105528</v>
      </c>
      <c r="J192" s="8">
        <f>IFERROR(__xludf.DUMMYFUNCTION("""COMPUTED_VALUE"""),0.396984924623115)</f>
        <v>0.3969849246</v>
      </c>
      <c r="K192" s="8">
        <f>IFERROR(__xludf.DUMMYFUNCTION("""COMPUTED_VALUE"""),0.371859296482412)</f>
        <v>0.3718592965</v>
      </c>
      <c r="L192" s="8">
        <f>IFERROR(__xludf.DUMMYFUNCTION("""COMPUTED_VALUE"""),0.366834170854271)</f>
        <v>0.3668341709</v>
      </c>
      <c r="M192" s="8">
        <f>IFERROR(__xludf.DUMMYFUNCTION("""COMPUTED_VALUE"""),0.383838383838383)</f>
        <v>0.3838383838</v>
      </c>
      <c r="N192" s="8">
        <f>IFERROR(__xludf.DUMMYFUNCTION("""COMPUTED_VALUE"""),0.343434343434343)</f>
        <v>0.3434343434</v>
      </c>
      <c r="O192" s="8">
        <f>IFERROR(__xludf.DUMMYFUNCTION("""COMPUTED_VALUE"""),0.343434343434343)</f>
        <v>0.3434343434</v>
      </c>
      <c r="P192" s="8">
        <f>IFERROR(__xludf.DUMMYFUNCTION("""COMPUTED_VALUE"""),0.203045685279187)</f>
        <v>0.2030456853</v>
      </c>
      <c r="Q192" s="8">
        <f>IFERROR(__xludf.DUMMYFUNCTION("""COMPUTED_VALUE"""),0.0876288659793814)</f>
        <v>0.08762886598</v>
      </c>
      <c r="R192" s="8">
        <f>IFERROR(__xludf.DUMMYFUNCTION("""COMPUTED_VALUE"""),0.056701030927835)</f>
        <v>0.05670103093</v>
      </c>
      <c r="S192" s="8">
        <f>IFERROR(__xludf.DUMMYFUNCTION("""COMPUTED_VALUE"""),0.0)</f>
        <v>0</v>
      </c>
      <c r="T192" s="8">
        <f>IFERROR(__xludf.DUMMYFUNCTION("""COMPUTED_VALUE"""),0.0)</f>
        <v>0</v>
      </c>
      <c r="U192" s="8">
        <f>IFERROR(__xludf.DUMMYFUNCTION("""COMPUTED_VALUE"""),0.0)</f>
        <v>0</v>
      </c>
      <c r="V192" s="8">
        <f>IFERROR(__xludf.DUMMYFUNCTION("""COMPUTED_VALUE"""),0.0)</f>
        <v>0</v>
      </c>
      <c r="W192" s="8">
        <f>IFERROR(__xludf.DUMMYFUNCTION("""COMPUTED_VALUE"""),0.0)</f>
        <v>0</v>
      </c>
      <c r="X192" s="8">
        <f>IFERROR(__xludf.DUMMYFUNCTION("""COMPUTED_VALUE"""),0.0)</f>
        <v>0</v>
      </c>
      <c r="Y192" s="8">
        <f>IFERROR(__xludf.DUMMYFUNCTION("""COMPUTED_VALUE"""),0.0)</f>
        <v>0</v>
      </c>
      <c r="Z192" s="8">
        <f>IFERROR(__xludf.DUMMYFUNCTION("""COMPUTED_VALUE"""),0.0)</f>
        <v>0</v>
      </c>
      <c r="AA192" s="8">
        <f>IFERROR(__xludf.DUMMYFUNCTION("""COMPUTED_VALUE"""),0.0)</f>
        <v>0</v>
      </c>
      <c r="AB192" s="8">
        <f>IFERROR(__xludf.DUMMYFUNCTION("""COMPUTED_VALUE"""),0.0)</f>
        <v>0</v>
      </c>
      <c r="AC192" s="8">
        <f>IFERROR(__xludf.DUMMYFUNCTION("""COMPUTED_VALUE"""),0.0)</f>
        <v>0</v>
      </c>
    </row>
    <row r="193" ht="15.75" customHeight="1">
      <c r="A193" s="6" t="str">
        <f>IFERROR(__xludf.DUMMYFUNCTION("""COMPUTED_VALUE"""),"ab0abb1b032efe35c0bd9be9cb6f80f8738dc1c9")</f>
        <v>ab0abb1b032efe35c0bd9be9cb6f80f8738dc1c9</v>
      </c>
      <c r="B193" s="6" t="str">
        <f>IFERROR(__xludf.DUMMYFUNCTION("""COMPUTED_VALUE"""),"Kaizen Aritoku Rise")</f>
        <v>Kaizen Aritoku Rise</v>
      </c>
      <c r="C193" s="6" t="str">
        <f>IFERROR(__xludf.DUMMYFUNCTION("""COMPUTED_VALUE"""),"System and Superpower")</f>
        <v>System and Superpower</v>
      </c>
      <c r="D193" s="11">
        <f>IFERROR(__xludf.DUMMYFUNCTION("""COMPUTED_VALUE"""),24.0)</f>
        <v>24</v>
      </c>
      <c r="E193" s="8">
        <f>IFERROR(__xludf.DUMMYFUNCTION("""COMPUTED_VALUE"""),0.958333333333333)</f>
        <v>0.9583333333</v>
      </c>
      <c r="F193" s="8">
        <f>IFERROR(__xludf.DUMMYFUNCTION("""COMPUTED_VALUE"""),0.5)</f>
        <v>0.5</v>
      </c>
      <c r="G193" s="8">
        <f>IFERROR(__xludf.DUMMYFUNCTION("""COMPUTED_VALUE"""),0.416666666666666)</f>
        <v>0.4166666667</v>
      </c>
      <c r="H193" s="8">
        <f>IFERROR(__xludf.DUMMYFUNCTION("""COMPUTED_VALUE"""),0.333333333333333)</f>
        <v>0.3333333333</v>
      </c>
      <c r="I193" s="8">
        <f>IFERROR(__xludf.DUMMYFUNCTION("""COMPUTED_VALUE"""),0.208333333333333)</f>
        <v>0.2083333333</v>
      </c>
      <c r="J193" s="8">
        <f>IFERROR(__xludf.DUMMYFUNCTION("""COMPUTED_VALUE"""),0.166666666666666)</f>
        <v>0.1666666667</v>
      </c>
      <c r="K193" s="8">
        <f>IFERROR(__xludf.DUMMYFUNCTION("""COMPUTED_VALUE"""),0.166666666666666)</f>
        <v>0.1666666667</v>
      </c>
      <c r="L193" s="8">
        <f>IFERROR(__xludf.DUMMYFUNCTION("""COMPUTED_VALUE"""),0.125)</f>
        <v>0.125</v>
      </c>
      <c r="M193" s="8">
        <f>IFERROR(__xludf.DUMMYFUNCTION("""COMPUTED_VALUE"""),0.125)</f>
        <v>0.125</v>
      </c>
      <c r="N193" s="8">
        <f>IFERROR(__xludf.DUMMYFUNCTION("""COMPUTED_VALUE"""),0.166666666666666)</f>
        <v>0.1666666667</v>
      </c>
      <c r="O193" s="8">
        <f>IFERROR(__xludf.DUMMYFUNCTION("""COMPUTED_VALUE"""),0.0416666666666666)</f>
        <v>0.04166666667</v>
      </c>
      <c r="P193" s="8">
        <f>IFERROR(__xludf.DUMMYFUNCTION("""COMPUTED_VALUE"""),0.0416666666666666)</f>
        <v>0.04166666667</v>
      </c>
      <c r="Q193" s="8">
        <f>IFERROR(__xludf.DUMMYFUNCTION("""COMPUTED_VALUE"""),0.0)</f>
        <v>0</v>
      </c>
      <c r="R193" s="8">
        <f>IFERROR(__xludf.DUMMYFUNCTION("""COMPUTED_VALUE"""),0.0)</f>
        <v>0</v>
      </c>
      <c r="S193" s="8">
        <f>IFERROR(__xludf.DUMMYFUNCTION("""COMPUTED_VALUE"""),0.0)</f>
        <v>0</v>
      </c>
      <c r="T193" s="8">
        <f>IFERROR(__xludf.DUMMYFUNCTION("""COMPUTED_VALUE"""),0.0)</f>
        <v>0</v>
      </c>
      <c r="U193" s="8">
        <f>IFERROR(__xludf.DUMMYFUNCTION("""COMPUTED_VALUE"""),0.0)</f>
        <v>0</v>
      </c>
      <c r="V193" s="8">
        <f>IFERROR(__xludf.DUMMYFUNCTION("""COMPUTED_VALUE"""),0.0)</f>
        <v>0</v>
      </c>
      <c r="W193" s="8">
        <f>IFERROR(__xludf.DUMMYFUNCTION("""COMPUTED_VALUE"""),0.0)</f>
        <v>0</v>
      </c>
      <c r="X193" s="8">
        <f>IFERROR(__xludf.DUMMYFUNCTION("""COMPUTED_VALUE"""),0.0)</f>
        <v>0</v>
      </c>
      <c r="Y193" s="8">
        <f>IFERROR(__xludf.DUMMYFUNCTION("""COMPUTED_VALUE"""),0.0)</f>
        <v>0</v>
      </c>
      <c r="Z193" s="8">
        <f>IFERROR(__xludf.DUMMYFUNCTION("""COMPUTED_VALUE"""),0.0)</f>
        <v>0</v>
      </c>
      <c r="AA193" s="8">
        <f>IFERROR(__xludf.DUMMYFUNCTION("""COMPUTED_VALUE"""),0.0)</f>
        <v>0</v>
      </c>
      <c r="AB193" s="8">
        <f>IFERROR(__xludf.DUMMYFUNCTION("""COMPUTED_VALUE"""),0.0)</f>
        <v>0</v>
      </c>
      <c r="AC193" s="8">
        <f>IFERROR(__xludf.DUMMYFUNCTION("""COMPUTED_VALUE"""),0.0)</f>
        <v>0</v>
      </c>
    </row>
    <row r="194" ht="15.75" customHeight="1">
      <c r="A194" s="6" t="str">
        <f>IFERROR(__xludf.DUMMYFUNCTION("""COMPUTED_VALUE"""),"abe99e0d615e9d7ebbf5d941810842cf64a74c6c")</f>
        <v>abe99e0d615e9d7ebbf5d941810842cf64a74c6c</v>
      </c>
      <c r="B194" s="6" t="str">
        <f>IFERROR(__xludf.DUMMYFUNCTION("""COMPUTED_VALUE"""),"Forgetting You, Lily")</f>
        <v>Forgetting You, Lily</v>
      </c>
      <c r="C194" s="6" t="str">
        <f>IFERROR(__xludf.DUMMYFUNCTION("""COMPUTED_VALUE"""),"Romance")</f>
        <v>Romance</v>
      </c>
      <c r="D194" s="11">
        <f>IFERROR(__xludf.DUMMYFUNCTION("""COMPUTED_VALUE"""),576.0)</f>
        <v>576</v>
      </c>
      <c r="E194" s="8">
        <f>IFERROR(__xludf.DUMMYFUNCTION("""COMPUTED_VALUE"""),0.978761061946902)</f>
        <v>0.9787610619</v>
      </c>
      <c r="F194" s="8">
        <f>IFERROR(__xludf.DUMMYFUNCTION("""COMPUTED_VALUE"""),0.497307001795332)</f>
        <v>0.4973070018</v>
      </c>
      <c r="G194" s="8">
        <f>IFERROR(__xludf.DUMMYFUNCTION("""COMPUTED_VALUE"""),0.382940108892921)</f>
        <v>0.3829401089</v>
      </c>
      <c r="H194" s="8">
        <f>IFERROR(__xludf.DUMMYFUNCTION("""COMPUTED_VALUE"""),0.340110905730129)</f>
        <v>0.3401109057</v>
      </c>
      <c r="I194" s="8">
        <f>IFERROR(__xludf.DUMMYFUNCTION("""COMPUTED_VALUE"""),0.314126394052044)</f>
        <v>0.3141263941</v>
      </c>
      <c r="J194" s="8">
        <f>IFERROR(__xludf.DUMMYFUNCTION("""COMPUTED_VALUE"""),0.277985074626865)</f>
        <v>0.2779850746</v>
      </c>
      <c r="K194" s="8">
        <f>IFERROR(__xludf.DUMMYFUNCTION("""COMPUTED_VALUE"""),0.25)</f>
        <v>0.25</v>
      </c>
      <c r="L194" s="8">
        <f>IFERROR(__xludf.DUMMYFUNCTION("""COMPUTED_VALUE"""),0.230326295585412)</f>
        <v>0.2303262956</v>
      </c>
      <c r="M194" s="8">
        <f>IFERROR(__xludf.DUMMYFUNCTION("""COMPUTED_VALUE"""),0.198039215686274)</f>
        <v>0.1980392157</v>
      </c>
      <c r="N194" s="8">
        <f>IFERROR(__xludf.DUMMYFUNCTION("""COMPUTED_VALUE"""),0.167330677290836)</f>
        <v>0.1673306773</v>
      </c>
      <c r="O194" s="8">
        <f>IFERROR(__xludf.DUMMYFUNCTION("""COMPUTED_VALUE"""),0.0852534562211981)</f>
        <v>0.08525345622</v>
      </c>
      <c r="P194" s="8">
        <f>IFERROR(__xludf.DUMMYFUNCTION("""COMPUTED_VALUE"""),0.0643086816720257)</f>
        <v>0.06430868167</v>
      </c>
      <c r="Q194" s="8">
        <f>IFERROR(__xludf.DUMMYFUNCTION("""COMPUTED_VALUE"""),0.0)</f>
        <v>0</v>
      </c>
      <c r="R194" s="8">
        <f>IFERROR(__xludf.DUMMYFUNCTION("""COMPUTED_VALUE"""),0.0)</f>
        <v>0</v>
      </c>
      <c r="S194" s="8">
        <f>IFERROR(__xludf.DUMMYFUNCTION("""COMPUTED_VALUE"""),0.0)</f>
        <v>0</v>
      </c>
      <c r="T194" s="8">
        <f>IFERROR(__xludf.DUMMYFUNCTION("""COMPUTED_VALUE"""),0.0)</f>
        <v>0</v>
      </c>
      <c r="U194" s="8">
        <f>IFERROR(__xludf.DUMMYFUNCTION("""COMPUTED_VALUE"""),0.0)</f>
        <v>0</v>
      </c>
      <c r="V194" s="8">
        <f>IFERROR(__xludf.DUMMYFUNCTION("""COMPUTED_VALUE"""),0.0)</f>
        <v>0</v>
      </c>
      <c r="W194" s="8">
        <f>IFERROR(__xludf.DUMMYFUNCTION("""COMPUTED_VALUE"""),0.0)</f>
        <v>0</v>
      </c>
      <c r="X194" s="8">
        <f>IFERROR(__xludf.DUMMYFUNCTION("""COMPUTED_VALUE"""),0.0)</f>
        <v>0</v>
      </c>
      <c r="Y194" s="8">
        <f>IFERROR(__xludf.DUMMYFUNCTION("""COMPUTED_VALUE"""),0.0)</f>
        <v>0</v>
      </c>
      <c r="Z194" s="8">
        <f>IFERROR(__xludf.DUMMYFUNCTION("""COMPUTED_VALUE"""),0.0)</f>
        <v>0</v>
      </c>
      <c r="AA194" s="8">
        <f>IFERROR(__xludf.DUMMYFUNCTION("""COMPUTED_VALUE"""),0.0)</f>
        <v>0</v>
      </c>
      <c r="AB194" s="8">
        <f>IFERROR(__xludf.DUMMYFUNCTION("""COMPUTED_VALUE"""),0.0)</f>
        <v>0</v>
      </c>
      <c r="AC194" s="8">
        <f>IFERROR(__xludf.DUMMYFUNCTION("""COMPUTED_VALUE"""),0.0)</f>
        <v>0</v>
      </c>
    </row>
    <row r="195" ht="15.75" customHeight="1">
      <c r="A195" s="6" t="str">
        <f>IFERROR(__xludf.DUMMYFUNCTION("""COMPUTED_VALUE"""),"ac20da1af1ee60dd2020e8ff294c8c9dcf5be7ba")</f>
        <v>ac20da1af1ee60dd2020e8ff294c8c9dcf5be7ba</v>
      </c>
      <c r="B195" s="6" t="str">
        <f>IFERROR(__xludf.DUMMYFUNCTION("""COMPUTED_VALUE"""),"General Drake")</f>
        <v>General Drake</v>
      </c>
      <c r="C195" s="6" t="str">
        <f>IFERROR(__xludf.DUMMYFUNCTION("""COMPUTED_VALUE"""),"Suspense or Thriller")</f>
        <v>Suspense or Thriller</v>
      </c>
      <c r="D195" s="11">
        <f>IFERROR(__xludf.DUMMYFUNCTION("""COMPUTED_VALUE"""),186.0)</f>
        <v>186</v>
      </c>
      <c r="E195" s="8">
        <f>IFERROR(__xludf.DUMMYFUNCTION("""COMPUTED_VALUE"""),0.946236559139785)</f>
        <v>0.9462365591</v>
      </c>
      <c r="F195" s="8">
        <f>IFERROR(__xludf.DUMMYFUNCTION("""COMPUTED_VALUE"""),0.473118279569892)</f>
        <v>0.4731182796</v>
      </c>
      <c r="G195" s="8">
        <f>IFERROR(__xludf.DUMMYFUNCTION("""COMPUTED_VALUE"""),0.387096774193548)</f>
        <v>0.3870967742</v>
      </c>
      <c r="H195" s="8">
        <f>IFERROR(__xludf.DUMMYFUNCTION("""COMPUTED_VALUE"""),0.349462365591397)</f>
        <v>0.3494623656</v>
      </c>
      <c r="I195" s="8">
        <f>IFERROR(__xludf.DUMMYFUNCTION("""COMPUTED_VALUE"""),0.290322580645161)</f>
        <v>0.2903225806</v>
      </c>
      <c r="J195" s="8">
        <f>IFERROR(__xludf.DUMMYFUNCTION("""COMPUTED_VALUE"""),0.284946236559139)</f>
        <v>0.2849462366</v>
      </c>
      <c r="K195" s="8">
        <f>IFERROR(__xludf.DUMMYFUNCTION("""COMPUTED_VALUE"""),0.274193548387096)</f>
        <v>0.2741935484</v>
      </c>
      <c r="L195" s="8">
        <f>IFERROR(__xludf.DUMMYFUNCTION("""COMPUTED_VALUE"""),0.227777777777777)</f>
        <v>0.2277777778</v>
      </c>
      <c r="M195" s="8">
        <f>IFERROR(__xludf.DUMMYFUNCTION("""COMPUTED_VALUE"""),0.205555555555555)</f>
        <v>0.2055555556</v>
      </c>
      <c r="N195" s="8">
        <f>IFERROR(__xludf.DUMMYFUNCTION("""COMPUTED_VALUE"""),0.194444444444444)</f>
        <v>0.1944444444</v>
      </c>
      <c r="O195" s="8">
        <f>IFERROR(__xludf.DUMMYFUNCTION("""COMPUTED_VALUE"""),0.145348837209302)</f>
        <v>0.1453488372</v>
      </c>
      <c r="P195" s="8">
        <f>IFERROR(__xludf.DUMMYFUNCTION("""COMPUTED_VALUE"""),0.0576923076923076)</f>
        <v>0.05769230769</v>
      </c>
      <c r="Q195" s="8">
        <f>IFERROR(__xludf.DUMMYFUNCTION("""COMPUTED_VALUE"""),0.0641025641025641)</f>
        <v>0.0641025641</v>
      </c>
      <c r="R195" s="8">
        <f>IFERROR(__xludf.DUMMYFUNCTION("""COMPUTED_VALUE"""),0.0)</f>
        <v>0</v>
      </c>
      <c r="S195" s="8">
        <f>IFERROR(__xludf.DUMMYFUNCTION("""COMPUTED_VALUE"""),0.0)</f>
        <v>0</v>
      </c>
      <c r="T195" s="8">
        <f>IFERROR(__xludf.DUMMYFUNCTION("""COMPUTED_VALUE"""),0.0)</f>
        <v>0</v>
      </c>
      <c r="U195" s="8">
        <f>IFERROR(__xludf.DUMMYFUNCTION("""COMPUTED_VALUE"""),0.0)</f>
        <v>0</v>
      </c>
      <c r="V195" s="8">
        <f>IFERROR(__xludf.DUMMYFUNCTION("""COMPUTED_VALUE"""),0.0)</f>
        <v>0</v>
      </c>
      <c r="W195" s="8">
        <f>IFERROR(__xludf.DUMMYFUNCTION("""COMPUTED_VALUE"""),0.0)</f>
        <v>0</v>
      </c>
      <c r="X195" s="8">
        <f>IFERROR(__xludf.DUMMYFUNCTION("""COMPUTED_VALUE"""),0.0)</f>
        <v>0</v>
      </c>
      <c r="Y195" s="8">
        <f>IFERROR(__xludf.DUMMYFUNCTION("""COMPUTED_VALUE"""),0.0)</f>
        <v>0</v>
      </c>
      <c r="Z195" s="8">
        <f>IFERROR(__xludf.DUMMYFUNCTION("""COMPUTED_VALUE"""),0.0)</f>
        <v>0</v>
      </c>
      <c r="AA195" s="8">
        <f>IFERROR(__xludf.DUMMYFUNCTION("""COMPUTED_VALUE"""),0.0)</f>
        <v>0</v>
      </c>
      <c r="AB195" s="8">
        <f>IFERROR(__xludf.DUMMYFUNCTION("""COMPUTED_VALUE"""),0.0)</f>
        <v>0</v>
      </c>
      <c r="AC195" s="8">
        <f>IFERROR(__xludf.DUMMYFUNCTION("""COMPUTED_VALUE"""),0.0)</f>
        <v>0</v>
      </c>
    </row>
    <row r="196" ht="15.75" customHeight="1">
      <c r="A196" s="6" t="str">
        <f>IFERROR(__xludf.DUMMYFUNCTION("""COMPUTED_VALUE"""),"ad2e8d85f798bb8f66e9add56b1e29d7018e06fb")</f>
        <v>ad2e8d85f798bb8f66e9add56b1e29d7018e06fb</v>
      </c>
      <c r="B196" s="6" t="str">
        <f>IFERROR(__xludf.DUMMYFUNCTION("""COMPUTED_VALUE"""),"Embezzling Simp Funds")</f>
        <v>Embezzling Simp Funds</v>
      </c>
      <c r="C196" s="6" t="str">
        <f>IFERROR(__xludf.DUMMYFUNCTION("""COMPUTED_VALUE"""),"System and Superpower")</f>
        <v>System and Superpower</v>
      </c>
      <c r="D196" s="11">
        <f>IFERROR(__xludf.DUMMYFUNCTION("""COMPUTED_VALUE"""),224.0)</f>
        <v>224</v>
      </c>
      <c r="E196" s="8">
        <f>IFERROR(__xludf.DUMMYFUNCTION("""COMPUTED_VALUE"""),0.986547085201793)</f>
        <v>0.9865470852</v>
      </c>
      <c r="F196" s="8">
        <f>IFERROR(__xludf.DUMMYFUNCTION("""COMPUTED_VALUE"""),0.354260089686098)</f>
        <v>0.3542600897</v>
      </c>
      <c r="G196" s="8">
        <f>IFERROR(__xludf.DUMMYFUNCTION("""COMPUTED_VALUE"""),0.295964125560538)</f>
        <v>0.2959641256</v>
      </c>
      <c r="H196" s="8">
        <f>IFERROR(__xludf.DUMMYFUNCTION("""COMPUTED_VALUE"""),0.260089686098654)</f>
        <v>0.2600896861</v>
      </c>
      <c r="I196" s="8">
        <f>IFERROR(__xludf.DUMMYFUNCTION("""COMPUTED_VALUE"""),0.2152466367713)</f>
        <v>0.2152466368</v>
      </c>
      <c r="J196" s="8">
        <f>IFERROR(__xludf.DUMMYFUNCTION("""COMPUTED_VALUE"""),0.206278026905829)</f>
        <v>0.2062780269</v>
      </c>
      <c r="K196" s="8">
        <f>IFERROR(__xludf.DUMMYFUNCTION("""COMPUTED_VALUE"""),0.201793721973094)</f>
        <v>0.201793722</v>
      </c>
      <c r="L196" s="8">
        <f>IFERROR(__xludf.DUMMYFUNCTION("""COMPUTED_VALUE"""),0.189189189189189)</f>
        <v>0.1891891892</v>
      </c>
      <c r="M196" s="8">
        <f>IFERROR(__xludf.DUMMYFUNCTION("""COMPUTED_VALUE"""),0.18552036199095)</f>
        <v>0.185520362</v>
      </c>
      <c r="N196" s="8">
        <f>IFERROR(__xludf.DUMMYFUNCTION("""COMPUTED_VALUE"""),0.180995475113122)</f>
        <v>0.1809954751</v>
      </c>
      <c r="O196" s="8">
        <f>IFERROR(__xludf.DUMMYFUNCTION("""COMPUTED_VALUE"""),0.106796116504854)</f>
        <v>0.1067961165</v>
      </c>
      <c r="P196" s="8">
        <f>IFERROR(__xludf.DUMMYFUNCTION("""COMPUTED_VALUE"""),0.0833333333333333)</f>
        <v>0.08333333333</v>
      </c>
      <c r="Q196" s="8">
        <f>IFERROR(__xludf.DUMMYFUNCTION("""COMPUTED_VALUE"""),0.0648148148148148)</f>
        <v>0.06481481481</v>
      </c>
      <c r="R196" s="8">
        <f>IFERROR(__xludf.DUMMYFUNCTION("""COMPUTED_VALUE"""),0.0510204081632653)</f>
        <v>0.05102040816</v>
      </c>
      <c r="S196" s="8">
        <f>IFERROR(__xludf.DUMMYFUNCTION("""COMPUTED_VALUE"""),0.0425531914893617)</f>
        <v>0.04255319149</v>
      </c>
      <c r="T196" s="8">
        <f>IFERROR(__xludf.DUMMYFUNCTION("""COMPUTED_VALUE"""),0.0253164556962025)</f>
        <v>0.0253164557</v>
      </c>
      <c r="U196" s="8">
        <f>IFERROR(__xludf.DUMMYFUNCTION("""COMPUTED_VALUE"""),0.04)</f>
        <v>0.04</v>
      </c>
      <c r="V196" s="8">
        <f>IFERROR(__xludf.DUMMYFUNCTION("""COMPUTED_VALUE"""),0.0425531914893617)</f>
        <v>0.04255319149</v>
      </c>
      <c r="W196" s="8">
        <f>IFERROR(__xludf.DUMMYFUNCTION("""COMPUTED_VALUE"""),0.0344827586206896)</f>
        <v>0.03448275862</v>
      </c>
      <c r="X196" s="8">
        <f>IFERROR(__xludf.DUMMYFUNCTION("""COMPUTED_VALUE"""),0.0)</f>
        <v>0</v>
      </c>
      <c r="Y196" s="8">
        <f>IFERROR(__xludf.DUMMYFUNCTION("""COMPUTED_VALUE"""),0.0)</f>
        <v>0</v>
      </c>
      <c r="Z196" s="8">
        <f>IFERROR(__xludf.DUMMYFUNCTION("""COMPUTED_VALUE"""),0.0)</f>
        <v>0</v>
      </c>
      <c r="AA196" s="8">
        <f>IFERROR(__xludf.DUMMYFUNCTION("""COMPUTED_VALUE"""),0.0)</f>
        <v>0</v>
      </c>
      <c r="AB196" s="8">
        <f>IFERROR(__xludf.DUMMYFUNCTION("""COMPUTED_VALUE"""),0.0)</f>
        <v>0</v>
      </c>
      <c r="AC196" s="8">
        <f>IFERROR(__xludf.DUMMYFUNCTION("""COMPUTED_VALUE"""),0.0)</f>
        <v>0</v>
      </c>
    </row>
    <row r="197" ht="15.75" customHeight="1">
      <c r="A197" s="6" t="str">
        <f>IFERROR(__xludf.DUMMYFUNCTION("""COMPUTED_VALUE"""),"ad877b024bb7b2c30b52737ab2d9d8d49cc89f77")</f>
        <v>ad877b024bb7b2c30b52737ab2d9d8d49cc89f77</v>
      </c>
      <c r="B197" s="6" t="str">
        <f>IFERROR(__xludf.DUMMYFUNCTION("""COMPUTED_VALUE"""),"The Master at Heart Work ")</f>
        <v>The Master at Heart Work </v>
      </c>
      <c r="C197" s="6" t="str">
        <f>IFERROR(__xludf.DUMMYFUNCTION("""COMPUTED_VALUE"""),"System and Superpower")</f>
        <v>System and Superpower</v>
      </c>
      <c r="D197" s="11">
        <f>IFERROR(__xludf.DUMMYFUNCTION("""COMPUTED_VALUE"""),385.0)</f>
        <v>385</v>
      </c>
      <c r="E197" s="8">
        <f>IFERROR(__xludf.DUMMYFUNCTION("""COMPUTED_VALUE"""),0.927272727272727)</f>
        <v>0.9272727273</v>
      </c>
      <c r="F197" s="8">
        <f>IFERROR(__xludf.DUMMYFUNCTION("""COMPUTED_VALUE"""),0.488311688311688)</f>
        <v>0.4883116883</v>
      </c>
      <c r="G197" s="8">
        <f>IFERROR(__xludf.DUMMYFUNCTION("""COMPUTED_VALUE"""),0.418181818181818)</f>
        <v>0.4181818182</v>
      </c>
      <c r="H197" s="8">
        <f>IFERROR(__xludf.DUMMYFUNCTION("""COMPUTED_VALUE"""),0.375)</f>
        <v>0.375</v>
      </c>
      <c r="I197" s="8">
        <f>IFERROR(__xludf.DUMMYFUNCTION("""COMPUTED_VALUE"""),0.348958333333333)</f>
        <v>0.3489583333</v>
      </c>
      <c r="J197" s="8">
        <f>IFERROR(__xludf.DUMMYFUNCTION("""COMPUTED_VALUE"""),0.325520833333333)</f>
        <v>0.3255208333</v>
      </c>
      <c r="K197" s="8">
        <f>IFERROR(__xludf.DUMMYFUNCTION("""COMPUTED_VALUE"""),0.299479166666666)</f>
        <v>0.2994791667</v>
      </c>
      <c r="L197" s="8">
        <f>IFERROR(__xludf.DUMMYFUNCTION("""COMPUTED_VALUE"""),0.299479166666666)</f>
        <v>0.2994791667</v>
      </c>
      <c r="M197" s="8">
        <f>IFERROR(__xludf.DUMMYFUNCTION("""COMPUTED_VALUE"""),0.283854166666666)</f>
        <v>0.2838541667</v>
      </c>
      <c r="N197" s="8">
        <f>IFERROR(__xludf.DUMMYFUNCTION("""COMPUTED_VALUE"""),0.266318537859007)</f>
        <v>0.2663185379</v>
      </c>
      <c r="O197" s="8">
        <f>IFERROR(__xludf.DUMMYFUNCTION("""COMPUTED_VALUE"""),0.197889182058047)</f>
        <v>0.1978891821</v>
      </c>
      <c r="P197" s="8">
        <f>IFERROR(__xludf.DUMMYFUNCTION("""COMPUTED_VALUE"""),0.128686327077748)</f>
        <v>0.1286863271</v>
      </c>
      <c r="Q197" s="8">
        <f>IFERROR(__xludf.DUMMYFUNCTION("""COMPUTED_VALUE"""),0.146464646464646)</f>
        <v>0.1464646465</v>
      </c>
      <c r="R197" s="8">
        <f>IFERROR(__xludf.DUMMYFUNCTION("""COMPUTED_VALUE"""),0.125)</f>
        <v>0.125</v>
      </c>
      <c r="S197" s="8">
        <f>IFERROR(__xludf.DUMMYFUNCTION("""COMPUTED_VALUE"""),0.11377245508982)</f>
        <v>0.1137724551</v>
      </c>
      <c r="T197" s="8">
        <f>IFERROR(__xludf.DUMMYFUNCTION("""COMPUTED_VALUE"""),0.0633802816901408)</f>
        <v>0.06338028169</v>
      </c>
      <c r="U197" s="8">
        <f>IFERROR(__xludf.DUMMYFUNCTION("""COMPUTED_VALUE"""),0.0515463917525773)</f>
        <v>0.05154639175</v>
      </c>
      <c r="V197" s="8">
        <f>IFERROR(__xludf.DUMMYFUNCTION("""COMPUTED_VALUE"""),0.0649350649350649)</f>
        <v>0.06493506494</v>
      </c>
      <c r="W197" s="8">
        <f>IFERROR(__xludf.DUMMYFUNCTION("""COMPUTED_VALUE"""),0.0483870967741935)</f>
        <v>0.04838709677</v>
      </c>
      <c r="X197" s="8">
        <f>IFERROR(__xludf.DUMMYFUNCTION("""COMPUTED_VALUE"""),0.0588235294117647)</f>
        <v>0.05882352941</v>
      </c>
      <c r="Y197" s="8">
        <f>IFERROR(__xludf.DUMMYFUNCTION("""COMPUTED_VALUE"""),0.0)</f>
        <v>0</v>
      </c>
      <c r="Z197" s="8">
        <f>IFERROR(__xludf.DUMMYFUNCTION("""COMPUTED_VALUE"""),0.0)</f>
        <v>0</v>
      </c>
      <c r="AA197" s="8">
        <f>IFERROR(__xludf.DUMMYFUNCTION("""COMPUTED_VALUE"""),0.0)</f>
        <v>0</v>
      </c>
      <c r="AB197" s="8">
        <f>IFERROR(__xludf.DUMMYFUNCTION("""COMPUTED_VALUE"""),0.0)</f>
        <v>0</v>
      </c>
      <c r="AC197" s="8">
        <f>IFERROR(__xludf.DUMMYFUNCTION("""COMPUTED_VALUE"""),0.0)</f>
        <v>0</v>
      </c>
    </row>
    <row r="198" ht="15.75" customHeight="1">
      <c r="A198" s="6" t="str">
        <f>IFERROR(__xludf.DUMMYFUNCTION("""COMPUTED_VALUE"""),"afc4914ba536580c6c21a79231a73b9e6dc67e1a")</f>
        <v>afc4914ba536580c6c21a79231a73b9e6dc67e1a</v>
      </c>
      <c r="B198" s="6" t="str">
        <f>IFERROR(__xludf.DUMMYFUNCTION("""COMPUTED_VALUE"""),"Her Cupid Curse")</f>
        <v>Her Cupid Curse</v>
      </c>
      <c r="C198" s="6" t="str">
        <f>IFERROR(__xludf.DUMMYFUNCTION("""COMPUTED_VALUE"""),"Romance")</f>
        <v>Romance</v>
      </c>
      <c r="D198" s="11">
        <f>IFERROR(__xludf.DUMMYFUNCTION("""COMPUTED_VALUE"""),865.0)</f>
        <v>865</v>
      </c>
      <c r="E198" s="8">
        <f>IFERROR(__xludf.DUMMYFUNCTION("""COMPUTED_VALUE"""),0.962790697674418)</f>
        <v>0.9627906977</v>
      </c>
      <c r="F198" s="8">
        <f>IFERROR(__xludf.DUMMYFUNCTION("""COMPUTED_VALUE"""),0.59047619047619)</f>
        <v>0.5904761905</v>
      </c>
      <c r="G198" s="8">
        <f>IFERROR(__xludf.DUMMYFUNCTION("""COMPUTED_VALUE"""),0.544554455445544)</f>
        <v>0.5445544554</v>
      </c>
      <c r="H198" s="8">
        <f>IFERROR(__xludf.DUMMYFUNCTION("""COMPUTED_VALUE"""),0.48041775456919)</f>
        <v>0.4804177546</v>
      </c>
      <c r="I198" s="8">
        <f>IFERROR(__xludf.DUMMYFUNCTION("""COMPUTED_VALUE"""),0.446268656716417)</f>
        <v>0.4462686567</v>
      </c>
      <c r="J198" s="8">
        <f>IFERROR(__xludf.DUMMYFUNCTION("""COMPUTED_VALUE"""),0.391803278688524)</f>
        <v>0.3918032787</v>
      </c>
      <c r="K198" s="8">
        <f>IFERROR(__xludf.DUMMYFUNCTION("""COMPUTED_VALUE"""),0.369685767097966)</f>
        <v>0.3696857671</v>
      </c>
      <c r="L198" s="8">
        <f>IFERROR(__xludf.DUMMYFUNCTION("""COMPUTED_VALUE"""),0.32904884318766)</f>
        <v>0.3290488432</v>
      </c>
      <c r="M198" s="8">
        <f>IFERROR(__xludf.DUMMYFUNCTION("""COMPUTED_VALUE"""),0.282894736842105)</f>
        <v>0.2828947368</v>
      </c>
      <c r="N198" s="8">
        <f>IFERROR(__xludf.DUMMYFUNCTION("""COMPUTED_VALUE"""),0.210526315789473)</f>
        <v>0.2105263158</v>
      </c>
      <c r="O198" s="8">
        <f>IFERROR(__xludf.DUMMYFUNCTION("""COMPUTED_VALUE"""),0.243697478991596)</f>
        <v>0.243697479</v>
      </c>
      <c r="P198" s="8">
        <f>IFERROR(__xludf.DUMMYFUNCTION("""COMPUTED_VALUE"""),0.285714285714285)</f>
        <v>0.2857142857</v>
      </c>
      <c r="Q198" s="8">
        <f>IFERROR(__xludf.DUMMYFUNCTION("""COMPUTED_VALUE"""),0.0)</f>
        <v>0</v>
      </c>
      <c r="R198" s="8">
        <f>IFERROR(__xludf.DUMMYFUNCTION("""COMPUTED_VALUE"""),0.0)</f>
        <v>0</v>
      </c>
      <c r="S198" s="8">
        <f>IFERROR(__xludf.DUMMYFUNCTION("""COMPUTED_VALUE"""),0.0)</f>
        <v>0</v>
      </c>
      <c r="T198" s="8">
        <f>IFERROR(__xludf.DUMMYFUNCTION("""COMPUTED_VALUE"""),0.0)</f>
        <v>0</v>
      </c>
      <c r="U198" s="8">
        <f>IFERROR(__xludf.DUMMYFUNCTION("""COMPUTED_VALUE"""),0.0)</f>
        <v>0</v>
      </c>
      <c r="V198" s="8">
        <f>IFERROR(__xludf.DUMMYFUNCTION("""COMPUTED_VALUE"""),0.0)</f>
        <v>0</v>
      </c>
      <c r="W198" s="8">
        <f>IFERROR(__xludf.DUMMYFUNCTION("""COMPUTED_VALUE"""),0.0)</f>
        <v>0</v>
      </c>
      <c r="X198" s="8">
        <f>IFERROR(__xludf.DUMMYFUNCTION("""COMPUTED_VALUE"""),0.0)</f>
        <v>0</v>
      </c>
      <c r="Y198" s="8">
        <f>IFERROR(__xludf.DUMMYFUNCTION("""COMPUTED_VALUE"""),0.0)</f>
        <v>0</v>
      </c>
      <c r="Z198" s="8">
        <f>IFERROR(__xludf.DUMMYFUNCTION("""COMPUTED_VALUE"""),0.0)</f>
        <v>0</v>
      </c>
      <c r="AA198" s="8">
        <f>IFERROR(__xludf.DUMMYFUNCTION("""COMPUTED_VALUE"""),0.0)</f>
        <v>0</v>
      </c>
      <c r="AB198" s="8">
        <f>IFERROR(__xludf.DUMMYFUNCTION("""COMPUTED_VALUE"""),0.0)</f>
        <v>0</v>
      </c>
      <c r="AC198" s="8">
        <f>IFERROR(__xludf.DUMMYFUNCTION("""COMPUTED_VALUE"""),0.0)</f>
        <v>0</v>
      </c>
    </row>
    <row r="199" ht="15.75" customHeight="1">
      <c r="A199" s="6" t="str">
        <f>IFERROR(__xludf.DUMMYFUNCTION("""COMPUTED_VALUE"""),"b035f182bb6d36439bba21081e89b0cb80ad7d57")</f>
        <v>b035f182bb6d36439bba21081e89b0cb80ad7d57</v>
      </c>
      <c r="B199" s="6" t="str">
        <f>IFERROR(__xludf.DUMMYFUNCTION("""COMPUTED_VALUE"""),"Glory After Loss")</f>
        <v>Glory After Loss</v>
      </c>
      <c r="C199" s="6" t="str">
        <f>IFERROR(__xludf.DUMMYFUNCTION("""COMPUTED_VALUE"""),"System and Superpower")</f>
        <v>System and Superpower</v>
      </c>
      <c r="D199" s="11">
        <f>IFERROR(__xludf.DUMMYFUNCTION("""COMPUTED_VALUE"""),231.0)</f>
        <v>231</v>
      </c>
      <c r="E199" s="8">
        <f>IFERROR(__xludf.DUMMYFUNCTION("""COMPUTED_VALUE"""),0.969696969696969)</f>
        <v>0.9696969697</v>
      </c>
      <c r="F199" s="8">
        <f>IFERROR(__xludf.DUMMYFUNCTION("""COMPUTED_VALUE"""),0.502164502164502)</f>
        <v>0.5021645022</v>
      </c>
      <c r="G199" s="8">
        <f>IFERROR(__xludf.DUMMYFUNCTION("""COMPUTED_VALUE"""),0.415584415584415)</f>
        <v>0.4155844156</v>
      </c>
      <c r="H199" s="8">
        <f>IFERROR(__xludf.DUMMYFUNCTION("""COMPUTED_VALUE"""),0.359307359307359)</f>
        <v>0.3593073593</v>
      </c>
      <c r="I199" s="8">
        <f>IFERROR(__xludf.DUMMYFUNCTION("""COMPUTED_VALUE"""),0.329004329004329)</f>
        <v>0.329004329</v>
      </c>
      <c r="J199" s="8">
        <f>IFERROR(__xludf.DUMMYFUNCTION("""COMPUTED_VALUE"""),0.307359307359307)</f>
        <v>0.3073593074</v>
      </c>
      <c r="K199" s="8">
        <f>IFERROR(__xludf.DUMMYFUNCTION("""COMPUTED_VALUE"""),0.281385281385281)</f>
        <v>0.2813852814</v>
      </c>
      <c r="L199" s="8">
        <f>IFERROR(__xludf.DUMMYFUNCTION("""COMPUTED_VALUE"""),0.283842794759825)</f>
        <v>0.2838427948</v>
      </c>
      <c r="M199" s="8">
        <f>IFERROR(__xludf.DUMMYFUNCTION("""COMPUTED_VALUE"""),0.276315789473684)</f>
        <v>0.2763157895</v>
      </c>
      <c r="N199" s="8">
        <f>IFERROR(__xludf.DUMMYFUNCTION("""COMPUTED_VALUE"""),0.258771929824561)</f>
        <v>0.2587719298</v>
      </c>
      <c r="O199" s="8">
        <f>IFERROR(__xludf.DUMMYFUNCTION("""COMPUTED_VALUE"""),0.199115044247787)</f>
        <v>0.1991150442</v>
      </c>
      <c r="P199" s="8">
        <f>IFERROR(__xludf.DUMMYFUNCTION("""COMPUTED_VALUE"""),0.130044843049327)</f>
        <v>0.130044843</v>
      </c>
      <c r="Q199" s="8">
        <f>IFERROR(__xludf.DUMMYFUNCTION("""COMPUTED_VALUE"""),0.0914285714285714)</f>
        <v>0.09142857143</v>
      </c>
      <c r="R199" s="8">
        <f>IFERROR(__xludf.DUMMYFUNCTION("""COMPUTED_VALUE"""),0.0)</f>
        <v>0</v>
      </c>
      <c r="S199" s="8">
        <f>IFERROR(__xludf.DUMMYFUNCTION("""COMPUTED_VALUE"""),0.0)</f>
        <v>0</v>
      </c>
      <c r="T199" s="8">
        <f>IFERROR(__xludf.DUMMYFUNCTION("""COMPUTED_VALUE"""),0.0)</f>
        <v>0</v>
      </c>
      <c r="U199" s="8">
        <f>IFERROR(__xludf.DUMMYFUNCTION("""COMPUTED_VALUE"""),0.0)</f>
        <v>0</v>
      </c>
      <c r="V199" s="8">
        <f>IFERROR(__xludf.DUMMYFUNCTION("""COMPUTED_VALUE"""),0.0)</f>
        <v>0</v>
      </c>
      <c r="W199" s="8">
        <f>IFERROR(__xludf.DUMMYFUNCTION("""COMPUTED_VALUE"""),0.0)</f>
        <v>0</v>
      </c>
      <c r="X199" s="8">
        <f>IFERROR(__xludf.DUMMYFUNCTION("""COMPUTED_VALUE"""),0.0)</f>
        <v>0</v>
      </c>
      <c r="Y199" s="8">
        <f>IFERROR(__xludf.DUMMYFUNCTION("""COMPUTED_VALUE"""),0.0)</f>
        <v>0</v>
      </c>
      <c r="Z199" s="8">
        <f>IFERROR(__xludf.DUMMYFUNCTION("""COMPUTED_VALUE"""),0.0)</f>
        <v>0</v>
      </c>
      <c r="AA199" s="8">
        <f>IFERROR(__xludf.DUMMYFUNCTION("""COMPUTED_VALUE"""),0.0)</f>
        <v>0</v>
      </c>
      <c r="AB199" s="8">
        <f>IFERROR(__xludf.DUMMYFUNCTION("""COMPUTED_VALUE"""),0.0)</f>
        <v>0</v>
      </c>
      <c r="AC199" s="8">
        <f>IFERROR(__xludf.DUMMYFUNCTION("""COMPUTED_VALUE"""),0.0)</f>
        <v>0</v>
      </c>
    </row>
    <row r="200" ht="15.75" customHeight="1">
      <c r="A200" s="6" t="str">
        <f>IFERROR(__xludf.DUMMYFUNCTION("""COMPUTED_VALUE"""),"b0cb1a15751b32389e6dc5643df14e64f65a78e6")</f>
        <v>b0cb1a15751b32389e6dc5643df14e64f65a78e6</v>
      </c>
      <c r="B200" s="6" t="str">
        <f>IFERROR(__xludf.DUMMYFUNCTION("""COMPUTED_VALUE"""),"Desire of the Billionaire")</f>
        <v>Desire of the Billionaire</v>
      </c>
      <c r="C200" s="6" t="str">
        <f>IFERROR(__xludf.DUMMYFUNCTION("""COMPUTED_VALUE"""),"Romance")</f>
        <v>Romance</v>
      </c>
      <c r="D200" s="11">
        <f>IFERROR(__xludf.DUMMYFUNCTION("""COMPUTED_VALUE"""),331.0)</f>
        <v>331</v>
      </c>
      <c r="E200" s="8">
        <f>IFERROR(__xludf.DUMMYFUNCTION("""COMPUTED_VALUE"""),0.945619335347432)</f>
        <v>0.9456193353</v>
      </c>
      <c r="F200" s="8">
        <f>IFERROR(__xludf.DUMMYFUNCTION("""COMPUTED_VALUE"""),0.487878787878787)</f>
        <v>0.4878787879</v>
      </c>
      <c r="G200" s="8">
        <f>IFERROR(__xludf.DUMMYFUNCTION("""COMPUTED_VALUE"""),0.472727272727272)</f>
        <v>0.4727272727</v>
      </c>
      <c r="H200" s="8">
        <f>IFERROR(__xludf.DUMMYFUNCTION("""COMPUTED_VALUE"""),0.439393939393939)</f>
        <v>0.4393939394</v>
      </c>
      <c r="I200" s="8">
        <f>IFERROR(__xludf.DUMMYFUNCTION("""COMPUTED_VALUE"""),0.41337386018237)</f>
        <v>0.4133738602</v>
      </c>
      <c r="J200" s="8">
        <f>IFERROR(__xludf.DUMMYFUNCTION("""COMPUTED_VALUE"""),0.407294832826747)</f>
        <v>0.4072948328</v>
      </c>
      <c r="K200" s="8">
        <f>IFERROR(__xludf.DUMMYFUNCTION("""COMPUTED_VALUE"""),0.364516129032258)</f>
        <v>0.364516129</v>
      </c>
      <c r="L200" s="8">
        <f>IFERROR(__xludf.DUMMYFUNCTION("""COMPUTED_VALUE"""),0.334415584415584)</f>
        <v>0.3344155844</v>
      </c>
      <c r="M200" s="8">
        <f>IFERROR(__xludf.DUMMYFUNCTION("""COMPUTED_VALUE"""),0.359477124183006)</f>
        <v>0.3594771242</v>
      </c>
      <c r="N200" s="8">
        <f>IFERROR(__xludf.DUMMYFUNCTION("""COMPUTED_VALUE"""),0.336601307189542)</f>
        <v>0.3366013072</v>
      </c>
      <c r="O200" s="8">
        <f>IFERROR(__xludf.DUMMYFUNCTION("""COMPUTED_VALUE"""),0.265993265993266)</f>
        <v>0.265993266</v>
      </c>
      <c r="P200" s="8">
        <f>IFERROR(__xludf.DUMMYFUNCTION("""COMPUTED_VALUE"""),0.193415637860082)</f>
        <v>0.1934156379</v>
      </c>
      <c r="Q200" s="8">
        <f>IFERROR(__xludf.DUMMYFUNCTION("""COMPUTED_VALUE"""),0.073170731707317)</f>
        <v>0.07317073171</v>
      </c>
      <c r="R200" s="8">
        <f>IFERROR(__xludf.DUMMYFUNCTION("""COMPUTED_VALUE"""),0.0)</f>
        <v>0</v>
      </c>
      <c r="S200" s="8">
        <f>IFERROR(__xludf.DUMMYFUNCTION("""COMPUTED_VALUE"""),0.0)</f>
        <v>0</v>
      </c>
      <c r="T200" s="8">
        <f>IFERROR(__xludf.DUMMYFUNCTION("""COMPUTED_VALUE"""),0.0)</f>
        <v>0</v>
      </c>
      <c r="U200" s="8">
        <f>IFERROR(__xludf.DUMMYFUNCTION("""COMPUTED_VALUE"""),0.0)</f>
        <v>0</v>
      </c>
      <c r="V200" s="8">
        <f>IFERROR(__xludf.DUMMYFUNCTION("""COMPUTED_VALUE"""),0.0)</f>
        <v>0</v>
      </c>
      <c r="W200" s="8">
        <f>IFERROR(__xludf.DUMMYFUNCTION("""COMPUTED_VALUE"""),0.0)</f>
        <v>0</v>
      </c>
      <c r="X200" s="8">
        <f>IFERROR(__xludf.DUMMYFUNCTION("""COMPUTED_VALUE"""),0.0)</f>
        <v>0</v>
      </c>
      <c r="Y200" s="8">
        <f>IFERROR(__xludf.DUMMYFUNCTION("""COMPUTED_VALUE"""),0.0)</f>
        <v>0</v>
      </c>
      <c r="Z200" s="8">
        <f>IFERROR(__xludf.DUMMYFUNCTION("""COMPUTED_VALUE"""),0.0)</f>
        <v>0</v>
      </c>
      <c r="AA200" s="8">
        <f>IFERROR(__xludf.DUMMYFUNCTION("""COMPUTED_VALUE"""),0.0)</f>
        <v>0</v>
      </c>
      <c r="AB200" s="8">
        <f>IFERROR(__xludf.DUMMYFUNCTION("""COMPUTED_VALUE"""),0.0)</f>
        <v>0</v>
      </c>
      <c r="AC200" s="8">
        <f>IFERROR(__xludf.DUMMYFUNCTION("""COMPUTED_VALUE"""),0.0)</f>
        <v>0</v>
      </c>
    </row>
    <row r="201" ht="15.75" customHeight="1">
      <c r="A201" s="6" t="str">
        <f>IFERROR(__xludf.DUMMYFUNCTION("""COMPUTED_VALUE"""),"b164057dc6b8df1ba1289d383220147f237b7dfa")</f>
        <v>b164057dc6b8df1ba1289d383220147f237b7dfa</v>
      </c>
      <c r="B201" s="6" t="str">
        <f>IFERROR(__xludf.DUMMYFUNCTION("""COMPUTED_VALUE"""),"Rush Marriage")</f>
        <v>Rush Marriage</v>
      </c>
      <c r="C201" s="6" t="str">
        <f>IFERROR(__xludf.DUMMYFUNCTION("""COMPUTED_VALUE"""),"Romance")</f>
        <v>Romance</v>
      </c>
      <c r="D201" s="11">
        <f>IFERROR(__xludf.DUMMYFUNCTION("""COMPUTED_VALUE"""),1779.0)</f>
        <v>1779</v>
      </c>
      <c r="E201" s="8">
        <f>IFERROR(__xludf.DUMMYFUNCTION("""COMPUTED_VALUE"""),0.962338392355255)</f>
        <v>0.9623383924</v>
      </c>
      <c r="F201" s="8">
        <f>IFERROR(__xludf.DUMMYFUNCTION("""COMPUTED_VALUE"""),0.577052868391451)</f>
        <v>0.5770528684</v>
      </c>
      <c r="G201" s="8">
        <f>IFERROR(__xludf.DUMMYFUNCTION("""COMPUTED_VALUE"""),0.456130483689538)</f>
        <v>0.4561304837</v>
      </c>
      <c r="H201" s="8">
        <f>IFERROR(__xludf.DUMMYFUNCTION("""COMPUTED_VALUE"""),0.39527027027027)</f>
        <v>0.3952702703</v>
      </c>
      <c r="I201" s="8">
        <f>IFERROR(__xludf.DUMMYFUNCTION("""COMPUTED_VALUE"""),0.369577464788732)</f>
        <v>0.3695774648</v>
      </c>
      <c r="J201" s="8">
        <f>IFERROR(__xludf.DUMMYFUNCTION("""COMPUTED_VALUE"""),0.367024280067758)</f>
        <v>0.3670242801</v>
      </c>
      <c r="K201" s="8">
        <f>IFERROR(__xludf.DUMMYFUNCTION("""COMPUTED_VALUE"""),0.327868852459016)</f>
        <v>0.3278688525</v>
      </c>
      <c r="L201" s="8">
        <f>IFERROR(__xludf.DUMMYFUNCTION("""COMPUTED_VALUE"""),0.290888511601584)</f>
        <v>0.2908885116</v>
      </c>
      <c r="M201" s="8">
        <f>IFERROR(__xludf.DUMMYFUNCTION("""COMPUTED_VALUE"""),0.276643990929705)</f>
        <v>0.2766439909</v>
      </c>
      <c r="N201" s="8">
        <f>IFERROR(__xludf.DUMMYFUNCTION("""COMPUTED_VALUE"""),0.272263187748156)</f>
        <v>0.2722631877</v>
      </c>
      <c r="O201" s="8">
        <f>IFERROR(__xludf.DUMMYFUNCTION("""COMPUTED_VALUE"""),0.241438356164383)</f>
        <v>0.2414383562</v>
      </c>
      <c r="P201" s="8">
        <f>IFERROR(__xludf.DUMMYFUNCTION("""COMPUTED_VALUE"""),0.16656571774682)</f>
        <v>0.1665657177</v>
      </c>
      <c r="Q201" s="8">
        <f>IFERROR(__xludf.DUMMYFUNCTION("""COMPUTED_VALUE"""),0.0977653631284916)</f>
        <v>0.09776536313</v>
      </c>
      <c r="R201" s="8">
        <f>IFERROR(__xludf.DUMMYFUNCTION("""COMPUTED_VALUE"""),0.0677966101694915)</f>
        <v>0.06779661017</v>
      </c>
      <c r="S201" s="8">
        <f>IFERROR(__xludf.DUMMYFUNCTION("""COMPUTED_VALUE"""),0.05)</f>
        <v>0.05</v>
      </c>
      <c r="T201" s="8">
        <f>IFERROR(__xludf.DUMMYFUNCTION("""COMPUTED_VALUE"""),0.0481540930979133)</f>
        <v>0.0481540931</v>
      </c>
      <c r="U201" s="8">
        <f>IFERROR(__xludf.DUMMYFUNCTION("""COMPUTED_VALUE"""),0.0317725752508361)</f>
        <v>0.03177257525</v>
      </c>
      <c r="V201" s="8">
        <f>IFERROR(__xludf.DUMMYFUNCTION("""COMPUTED_VALUE"""),0.0193321616871704)</f>
        <v>0.01933216169</v>
      </c>
      <c r="W201" s="8">
        <f>IFERROR(__xludf.DUMMYFUNCTION("""COMPUTED_VALUE"""),0.0191204588910133)</f>
        <v>0.01912045889</v>
      </c>
      <c r="X201" s="8">
        <f>IFERROR(__xludf.DUMMYFUNCTION("""COMPUTED_VALUE"""),0.00898876404494382)</f>
        <v>0.008988764045</v>
      </c>
      <c r="Y201" s="8">
        <f>IFERROR(__xludf.DUMMYFUNCTION("""COMPUTED_VALUE"""),0.00458715596330275)</f>
        <v>0.004587155963</v>
      </c>
      <c r="Z201" s="8">
        <f>IFERROR(__xludf.DUMMYFUNCTION("""COMPUTED_VALUE"""),0.0)</f>
        <v>0</v>
      </c>
      <c r="AA201" s="8">
        <f>IFERROR(__xludf.DUMMYFUNCTION("""COMPUTED_VALUE"""),0.0)</f>
        <v>0</v>
      </c>
      <c r="AB201" s="8">
        <f>IFERROR(__xludf.DUMMYFUNCTION("""COMPUTED_VALUE"""),0.0)</f>
        <v>0</v>
      </c>
      <c r="AC201" s="8">
        <f>IFERROR(__xludf.DUMMYFUNCTION("""COMPUTED_VALUE"""),0.0)</f>
        <v>0</v>
      </c>
    </row>
    <row r="202" ht="15.75" customHeight="1">
      <c r="A202" s="6" t="str">
        <f>IFERROR(__xludf.DUMMYFUNCTION("""COMPUTED_VALUE"""),"b26d8e5052a2beb1af4ffc462d31141bb635a5b5")</f>
        <v>b26d8e5052a2beb1af4ffc462d31141bb635a5b5</v>
      </c>
      <c r="B202" s="6" t="str">
        <f>IFERROR(__xludf.DUMMYFUNCTION("""COMPUTED_VALUE"""),"The Revenge Marriage")</f>
        <v>The Revenge Marriage</v>
      </c>
      <c r="C202" s="6" t="str">
        <f>IFERROR(__xludf.DUMMYFUNCTION("""COMPUTED_VALUE"""),"Romance")</f>
        <v>Romance</v>
      </c>
      <c r="D202" s="11">
        <f>IFERROR(__xludf.DUMMYFUNCTION("""COMPUTED_VALUE"""),2561.0)</f>
        <v>2561</v>
      </c>
      <c r="E202" s="8">
        <f>IFERROR(__xludf.DUMMYFUNCTION("""COMPUTED_VALUE"""),0.959765625)</f>
        <v>0.959765625</v>
      </c>
      <c r="F202" s="8">
        <f>IFERROR(__xludf.DUMMYFUNCTION("""COMPUTED_VALUE"""),0.578700078308535)</f>
        <v>0.5787000783</v>
      </c>
      <c r="G202" s="8">
        <f>IFERROR(__xludf.DUMMYFUNCTION("""COMPUTED_VALUE"""),0.516255385820603)</f>
        <v>0.5162553858</v>
      </c>
      <c r="H202" s="8">
        <f>IFERROR(__xludf.DUMMYFUNCTION("""COMPUTED_VALUE"""),0.465882352941176)</f>
        <v>0.4658823529</v>
      </c>
      <c r="I202" s="8">
        <f>IFERROR(__xludf.DUMMYFUNCTION("""COMPUTED_VALUE"""),0.427226363279717)</f>
        <v>0.4272263633</v>
      </c>
      <c r="J202" s="8">
        <f>IFERROR(__xludf.DUMMYFUNCTION("""COMPUTED_VALUE"""),0.398894154818325)</f>
        <v>0.3988941548</v>
      </c>
      <c r="K202" s="8">
        <f>IFERROR(__xludf.DUMMYFUNCTION("""COMPUTED_VALUE"""),0.370546318289786)</f>
        <v>0.3705463183</v>
      </c>
      <c r="L202" s="8">
        <f>IFERROR(__xludf.DUMMYFUNCTION("""COMPUTED_VALUE"""),0.353943717796274)</f>
        <v>0.3539437178</v>
      </c>
      <c r="M202" s="8">
        <f>IFERROR(__xludf.DUMMYFUNCTION("""COMPUTED_VALUE"""),0.335055643879173)</f>
        <v>0.3350556439</v>
      </c>
      <c r="N202" s="8">
        <f>IFERROR(__xludf.DUMMYFUNCTION("""COMPUTED_VALUE"""),0.324033479473894)</f>
        <v>0.3240334795</v>
      </c>
      <c r="O202" s="8">
        <f>IFERROR(__xludf.DUMMYFUNCTION("""COMPUTED_VALUE"""),0.270859538784067)</f>
        <v>0.2708595388</v>
      </c>
      <c r="P202" s="8">
        <f>IFERROR(__xludf.DUMMYFUNCTION("""COMPUTED_VALUE"""),0.206333973128598)</f>
        <v>0.2063339731</v>
      </c>
      <c r="Q202" s="8">
        <f>IFERROR(__xludf.DUMMYFUNCTION("""COMPUTED_VALUE"""),0.147058823529411)</f>
        <v>0.1470588235</v>
      </c>
      <c r="R202" s="8">
        <f>IFERROR(__xludf.DUMMYFUNCTION("""COMPUTED_VALUE"""),0.0803324099722991)</f>
        <v>0.08033240997</v>
      </c>
      <c r="S202" s="8">
        <f>IFERROR(__xludf.DUMMYFUNCTION("""COMPUTED_VALUE"""),0.06282722513089)</f>
        <v>0.06282722513</v>
      </c>
      <c r="T202" s="8">
        <f>IFERROR(__xludf.DUMMYFUNCTION("""COMPUTED_VALUE"""),0.0)</f>
        <v>0</v>
      </c>
      <c r="U202" s="8">
        <f>IFERROR(__xludf.DUMMYFUNCTION("""COMPUTED_VALUE"""),0.0)</f>
        <v>0</v>
      </c>
      <c r="V202" s="8">
        <f>IFERROR(__xludf.DUMMYFUNCTION("""COMPUTED_VALUE"""),0.0)</f>
        <v>0</v>
      </c>
      <c r="W202" s="8">
        <f>IFERROR(__xludf.DUMMYFUNCTION("""COMPUTED_VALUE"""),0.0)</f>
        <v>0</v>
      </c>
      <c r="X202" s="8">
        <f>IFERROR(__xludf.DUMMYFUNCTION("""COMPUTED_VALUE"""),0.0)</f>
        <v>0</v>
      </c>
      <c r="Y202" s="8">
        <f>IFERROR(__xludf.DUMMYFUNCTION("""COMPUTED_VALUE"""),0.0)</f>
        <v>0</v>
      </c>
      <c r="Z202" s="8">
        <f>IFERROR(__xludf.DUMMYFUNCTION("""COMPUTED_VALUE"""),0.0)</f>
        <v>0</v>
      </c>
      <c r="AA202" s="8">
        <f>IFERROR(__xludf.DUMMYFUNCTION("""COMPUTED_VALUE"""),0.0)</f>
        <v>0</v>
      </c>
      <c r="AB202" s="8">
        <f>IFERROR(__xludf.DUMMYFUNCTION("""COMPUTED_VALUE"""),0.0)</f>
        <v>0</v>
      </c>
      <c r="AC202" s="8">
        <f>IFERROR(__xludf.DUMMYFUNCTION("""COMPUTED_VALUE"""),0.0)</f>
        <v>0</v>
      </c>
    </row>
    <row r="203" ht="15.75" customHeight="1">
      <c r="A203" s="6" t="str">
        <f>IFERROR(__xludf.DUMMYFUNCTION("""COMPUTED_VALUE"""),"b2e0e008665e30068057a1556346d5473a8ed579")</f>
        <v>b2e0e008665e30068057a1556346d5473a8ed579</v>
      </c>
      <c r="B203" s="6" t="str">
        <f>IFERROR(__xludf.DUMMYFUNCTION("""COMPUTED_VALUE"""),"Legend of Cursed Blood ")</f>
        <v>Legend of Cursed Blood </v>
      </c>
      <c r="C203" s="6" t="str">
        <f>IFERROR(__xludf.DUMMYFUNCTION("""COMPUTED_VALUE"""),"Fantasy")</f>
        <v>Fantasy</v>
      </c>
      <c r="D203" s="11">
        <f>IFERROR(__xludf.DUMMYFUNCTION("""COMPUTED_VALUE"""),308.0)</f>
        <v>308</v>
      </c>
      <c r="E203" s="8">
        <f>IFERROR(__xludf.DUMMYFUNCTION("""COMPUTED_VALUE"""),0.957516339869281)</f>
        <v>0.9575163399</v>
      </c>
      <c r="F203" s="8">
        <f>IFERROR(__xludf.DUMMYFUNCTION("""COMPUTED_VALUE"""),0.376666666666666)</f>
        <v>0.3766666667</v>
      </c>
      <c r="G203" s="8">
        <f>IFERROR(__xludf.DUMMYFUNCTION("""COMPUTED_VALUE"""),0.31438127090301)</f>
        <v>0.3143812709</v>
      </c>
      <c r="H203" s="8">
        <f>IFERROR(__xludf.DUMMYFUNCTION("""COMPUTED_VALUE"""),0.269360269360269)</f>
        <v>0.2693602694</v>
      </c>
      <c r="I203" s="8">
        <f>IFERROR(__xludf.DUMMYFUNCTION("""COMPUTED_VALUE"""),0.235494880546075)</f>
        <v>0.2354948805</v>
      </c>
      <c r="J203" s="8">
        <f>IFERROR(__xludf.DUMMYFUNCTION("""COMPUTED_VALUE"""),0.178694158075601)</f>
        <v>0.1786941581</v>
      </c>
      <c r="K203" s="8">
        <f>IFERROR(__xludf.DUMMYFUNCTION("""COMPUTED_VALUE"""),0.160278745644599)</f>
        <v>0.1602787456</v>
      </c>
      <c r="L203" s="8">
        <f>IFERROR(__xludf.DUMMYFUNCTION("""COMPUTED_VALUE"""),0.176678445229681)</f>
        <v>0.1766784452</v>
      </c>
      <c r="M203" s="8">
        <f>IFERROR(__xludf.DUMMYFUNCTION("""COMPUTED_VALUE"""),0.146428571428571)</f>
        <v>0.1464285714</v>
      </c>
      <c r="N203" s="8">
        <f>IFERROR(__xludf.DUMMYFUNCTION("""COMPUTED_VALUE"""),0.134057971014492)</f>
        <v>0.134057971</v>
      </c>
      <c r="O203" s="8">
        <f>IFERROR(__xludf.DUMMYFUNCTION("""COMPUTED_VALUE"""),0.104247104247104)</f>
        <v>0.1042471042</v>
      </c>
      <c r="P203" s="8">
        <f>IFERROR(__xludf.DUMMYFUNCTION("""COMPUTED_VALUE"""),0.0476190476190476)</f>
        <v>0.04761904762</v>
      </c>
      <c r="Q203" s="8">
        <f>IFERROR(__xludf.DUMMYFUNCTION("""COMPUTED_VALUE"""),0.0349344978165938)</f>
        <v>0.03493449782</v>
      </c>
      <c r="R203" s="8">
        <f>IFERROR(__xludf.DUMMYFUNCTION("""COMPUTED_VALUE"""),0.0241545893719806)</f>
        <v>0.02415458937</v>
      </c>
      <c r="S203" s="8">
        <f>IFERROR(__xludf.DUMMYFUNCTION("""COMPUTED_VALUE"""),0.0267379679144385)</f>
        <v>0.02673796791</v>
      </c>
      <c r="T203" s="8">
        <f>IFERROR(__xludf.DUMMYFUNCTION("""COMPUTED_VALUE"""),0.0182926829268292)</f>
        <v>0.01829268293</v>
      </c>
      <c r="U203" s="8">
        <f>IFERROR(__xludf.DUMMYFUNCTION("""COMPUTED_VALUE"""),0.00735294117647058)</f>
        <v>0.007352941176</v>
      </c>
      <c r="V203" s="8">
        <f>IFERROR(__xludf.DUMMYFUNCTION("""COMPUTED_VALUE"""),0.0)</f>
        <v>0</v>
      </c>
      <c r="W203" s="8">
        <f>IFERROR(__xludf.DUMMYFUNCTION("""COMPUTED_VALUE"""),0.0)</f>
        <v>0</v>
      </c>
      <c r="X203" s="8">
        <f>IFERROR(__xludf.DUMMYFUNCTION("""COMPUTED_VALUE"""),0.0)</f>
        <v>0</v>
      </c>
      <c r="Y203" s="8">
        <f>IFERROR(__xludf.DUMMYFUNCTION("""COMPUTED_VALUE"""),0.0)</f>
        <v>0</v>
      </c>
      <c r="Z203" s="8">
        <f>IFERROR(__xludf.DUMMYFUNCTION("""COMPUTED_VALUE"""),0.0)</f>
        <v>0</v>
      </c>
      <c r="AA203" s="8">
        <f>IFERROR(__xludf.DUMMYFUNCTION("""COMPUTED_VALUE"""),0.0)</f>
        <v>0</v>
      </c>
      <c r="AB203" s="8">
        <f>IFERROR(__xludf.DUMMYFUNCTION("""COMPUTED_VALUE"""),0.0)</f>
        <v>0</v>
      </c>
      <c r="AC203" s="8">
        <f>IFERROR(__xludf.DUMMYFUNCTION("""COMPUTED_VALUE"""),0.0)</f>
        <v>0</v>
      </c>
    </row>
    <row r="204" ht="15.75" customHeight="1">
      <c r="A204" s="6" t="str">
        <f>IFERROR(__xludf.DUMMYFUNCTION("""COMPUTED_VALUE"""),"b4357a596922bd37b47ec2573cd92ac18997c713")</f>
        <v>b4357a596922bd37b47ec2573cd92ac18997c713</v>
      </c>
      <c r="B204" s="6" t="str">
        <f>IFERROR(__xludf.DUMMYFUNCTION("""COMPUTED_VALUE"""),"Immortal Ascension")</f>
        <v>Immortal Ascension</v>
      </c>
      <c r="C204" s="6" t="str">
        <f>IFERROR(__xludf.DUMMYFUNCTION("""COMPUTED_VALUE"""),"System and Superpower")</f>
        <v>System and Superpower</v>
      </c>
      <c r="D204" s="11">
        <f>IFERROR(__xludf.DUMMYFUNCTION("""COMPUTED_VALUE"""),99.0)</f>
        <v>99</v>
      </c>
      <c r="E204" s="8">
        <f>IFERROR(__xludf.DUMMYFUNCTION("""COMPUTED_VALUE"""),0.979797979797979)</f>
        <v>0.9797979798</v>
      </c>
      <c r="F204" s="8">
        <f>IFERROR(__xludf.DUMMYFUNCTION("""COMPUTED_VALUE"""),0.424242424242424)</f>
        <v>0.4242424242</v>
      </c>
      <c r="G204" s="8">
        <f>IFERROR(__xludf.DUMMYFUNCTION("""COMPUTED_VALUE"""),0.323232323232323)</f>
        <v>0.3232323232</v>
      </c>
      <c r="H204" s="8">
        <f>IFERROR(__xludf.DUMMYFUNCTION("""COMPUTED_VALUE"""),0.272727272727272)</f>
        <v>0.2727272727</v>
      </c>
      <c r="I204" s="8">
        <f>IFERROR(__xludf.DUMMYFUNCTION("""COMPUTED_VALUE"""),0.242424242424242)</f>
        <v>0.2424242424</v>
      </c>
      <c r="J204" s="8">
        <f>IFERROR(__xludf.DUMMYFUNCTION("""COMPUTED_VALUE"""),0.232323232323232)</f>
        <v>0.2323232323</v>
      </c>
      <c r="K204" s="8">
        <f>IFERROR(__xludf.DUMMYFUNCTION("""COMPUTED_VALUE"""),0.222222222222222)</f>
        <v>0.2222222222</v>
      </c>
      <c r="L204" s="8">
        <f>IFERROR(__xludf.DUMMYFUNCTION("""COMPUTED_VALUE"""),0.181818181818181)</f>
        <v>0.1818181818</v>
      </c>
      <c r="M204" s="8">
        <f>IFERROR(__xludf.DUMMYFUNCTION("""COMPUTED_VALUE"""),0.181818181818181)</f>
        <v>0.1818181818</v>
      </c>
      <c r="N204" s="8">
        <f>IFERROR(__xludf.DUMMYFUNCTION("""COMPUTED_VALUE"""),0.153061224489795)</f>
        <v>0.1530612245</v>
      </c>
      <c r="O204" s="8">
        <f>IFERROR(__xludf.DUMMYFUNCTION("""COMPUTED_VALUE"""),0.135416666666666)</f>
        <v>0.1354166667</v>
      </c>
      <c r="P204" s="8">
        <f>IFERROR(__xludf.DUMMYFUNCTION("""COMPUTED_VALUE"""),0.036144578313253)</f>
        <v>0.03614457831</v>
      </c>
      <c r="Q204" s="8">
        <f>IFERROR(__xludf.DUMMYFUNCTION("""COMPUTED_VALUE"""),0.0)</f>
        <v>0</v>
      </c>
      <c r="R204" s="8">
        <f>IFERROR(__xludf.DUMMYFUNCTION("""COMPUTED_VALUE"""),0.0)</f>
        <v>0</v>
      </c>
      <c r="S204" s="8">
        <f>IFERROR(__xludf.DUMMYFUNCTION("""COMPUTED_VALUE"""),0.0)</f>
        <v>0</v>
      </c>
      <c r="T204" s="8">
        <f>IFERROR(__xludf.DUMMYFUNCTION("""COMPUTED_VALUE"""),0.0)</f>
        <v>0</v>
      </c>
      <c r="U204" s="8">
        <f>IFERROR(__xludf.DUMMYFUNCTION("""COMPUTED_VALUE"""),0.0)</f>
        <v>0</v>
      </c>
      <c r="V204" s="8">
        <f>IFERROR(__xludf.DUMMYFUNCTION("""COMPUTED_VALUE"""),0.0)</f>
        <v>0</v>
      </c>
      <c r="W204" s="8">
        <f>IFERROR(__xludf.DUMMYFUNCTION("""COMPUTED_VALUE"""),0.0)</f>
        <v>0</v>
      </c>
      <c r="X204" s="8">
        <f>IFERROR(__xludf.DUMMYFUNCTION("""COMPUTED_VALUE"""),0.0)</f>
        <v>0</v>
      </c>
      <c r="Y204" s="8">
        <f>IFERROR(__xludf.DUMMYFUNCTION("""COMPUTED_VALUE"""),0.0)</f>
        <v>0</v>
      </c>
      <c r="Z204" s="8">
        <f>IFERROR(__xludf.DUMMYFUNCTION("""COMPUTED_VALUE"""),0.0)</f>
        <v>0</v>
      </c>
      <c r="AA204" s="8">
        <f>IFERROR(__xludf.DUMMYFUNCTION("""COMPUTED_VALUE"""),0.0)</f>
        <v>0</v>
      </c>
      <c r="AB204" s="8">
        <f>IFERROR(__xludf.DUMMYFUNCTION("""COMPUTED_VALUE"""),0.0)</f>
        <v>0</v>
      </c>
      <c r="AC204" s="8">
        <f>IFERROR(__xludf.DUMMYFUNCTION("""COMPUTED_VALUE"""),0.0)</f>
        <v>0</v>
      </c>
    </row>
    <row r="205" ht="15.75" customHeight="1">
      <c r="A205" s="6" t="str">
        <f>IFERROR(__xludf.DUMMYFUNCTION("""COMPUTED_VALUE"""),"b4ba67822e15bf23c0044676b09f1aeb405d154f")</f>
        <v>b4ba67822e15bf23c0044676b09f1aeb405d154f</v>
      </c>
      <c r="B205" s="6" t="str">
        <f>IFERROR(__xludf.DUMMYFUNCTION("""COMPUTED_VALUE"""),"The Twin Affair")</f>
        <v>The Twin Affair</v>
      </c>
      <c r="C205" s="6" t="str">
        <f>IFERROR(__xludf.DUMMYFUNCTION("""COMPUTED_VALUE"""),"Romantasy")</f>
        <v>Romantasy</v>
      </c>
      <c r="D205" s="11">
        <f>IFERROR(__xludf.DUMMYFUNCTION("""COMPUTED_VALUE"""),3997.0)</f>
        <v>3997</v>
      </c>
      <c r="E205" s="8">
        <f>IFERROR(__xludf.DUMMYFUNCTION("""COMPUTED_VALUE"""),0.929697272954716)</f>
        <v>0.929697273</v>
      </c>
      <c r="F205" s="8">
        <f>IFERROR(__xludf.DUMMYFUNCTION("""COMPUTED_VALUE"""),0.595142714071106)</f>
        <v>0.5951427141</v>
      </c>
      <c r="G205" s="8">
        <f>IFERROR(__xludf.DUMMYFUNCTION("""COMPUTED_VALUE"""),0.551827741612418)</f>
        <v>0.5518277416</v>
      </c>
      <c r="H205" s="8">
        <f>IFERROR(__xludf.DUMMYFUNCTION("""COMPUTED_VALUE"""),0.519779669504256)</f>
        <v>0.5197796695</v>
      </c>
      <c r="I205" s="8">
        <f>IFERROR(__xludf.DUMMYFUNCTION("""COMPUTED_VALUE"""),0.495493239859789)</f>
        <v>0.4954932399</v>
      </c>
      <c r="J205" s="8">
        <f>IFERROR(__xludf.DUMMYFUNCTION("""COMPUTED_VALUE"""),0.474211316975463)</f>
        <v>0.474211317</v>
      </c>
      <c r="K205" s="8">
        <f>IFERROR(__xludf.DUMMYFUNCTION("""COMPUTED_VALUE"""),0.462694041061592)</f>
        <v>0.4626940411</v>
      </c>
      <c r="L205" s="8">
        <f>IFERROR(__xludf.DUMMYFUNCTION("""COMPUTED_VALUE"""),0.439409113670505)</f>
        <v>0.4394091137</v>
      </c>
      <c r="M205" s="8">
        <f>IFERROR(__xludf.DUMMYFUNCTION("""COMPUTED_VALUE"""),0.427140711066599)</f>
        <v>0.4271407111</v>
      </c>
      <c r="N205" s="8">
        <f>IFERROR(__xludf.DUMMYFUNCTION("""COMPUTED_VALUE"""),0.410866299449173)</f>
        <v>0.4108662994</v>
      </c>
      <c r="O205" s="8">
        <f>IFERROR(__xludf.DUMMYFUNCTION("""COMPUTED_VALUE"""),0.389181066867017)</f>
        <v>0.3891810669</v>
      </c>
      <c r="P205" s="8">
        <f>IFERROR(__xludf.DUMMYFUNCTION("""COMPUTED_VALUE"""),0.358182730923694)</f>
        <v>0.3581827309</v>
      </c>
      <c r="Q205" s="8">
        <f>IFERROR(__xludf.DUMMYFUNCTION("""COMPUTED_VALUE"""),0.235561160151324)</f>
        <v>0.2355611602</v>
      </c>
      <c r="R205" s="8">
        <f>IFERROR(__xludf.DUMMYFUNCTION("""COMPUTED_VALUE"""),0.15625)</f>
        <v>0.15625</v>
      </c>
      <c r="S205" s="8">
        <f>IFERROR(__xludf.DUMMYFUNCTION("""COMPUTED_VALUE"""),0.0)</f>
        <v>0</v>
      </c>
      <c r="T205" s="8">
        <f>IFERROR(__xludf.DUMMYFUNCTION("""COMPUTED_VALUE"""),0.0)</f>
        <v>0</v>
      </c>
      <c r="U205" s="8">
        <f>IFERROR(__xludf.DUMMYFUNCTION("""COMPUTED_VALUE"""),0.0)</f>
        <v>0</v>
      </c>
      <c r="V205" s="8">
        <f>IFERROR(__xludf.DUMMYFUNCTION("""COMPUTED_VALUE"""),0.0)</f>
        <v>0</v>
      </c>
      <c r="W205" s="8">
        <f>IFERROR(__xludf.DUMMYFUNCTION("""COMPUTED_VALUE"""),0.0)</f>
        <v>0</v>
      </c>
      <c r="X205" s="8">
        <f>IFERROR(__xludf.DUMMYFUNCTION("""COMPUTED_VALUE"""),0.0)</f>
        <v>0</v>
      </c>
      <c r="Y205" s="8">
        <f>IFERROR(__xludf.DUMMYFUNCTION("""COMPUTED_VALUE"""),0.0)</f>
        <v>0</v>
      </c>
      <c r="Z205" s="8">
        <f>IFERROR(__xludf.DUMMYFUNCTION("""COMPUTED_VALUE"""),0.0)</f>
        <v>0</v>
      </c>
      <c r="AA205" s="8">
        <f>IFERROR(__xludf.DUMMYFUNCTION("""COMPUTED_VALUE"""),0.0)</f>
        <v>0</v>
      </c>
      <c r="AB205" s="8">
        <f>IFERROR(__xludf.DUMMYFUNCTION("""COMPUTED_VALUE"""),0.0)</f>
        <v>0</v>
      </c>
      <c r="AC205" s="8">
        <f>IFERROR(__xludf.DUMMYFUNCTION("""COMPUTED_VALUE"""),0.0)</f>
        <v>0</v>
      </c>
    </row>
    <row r="206" ht="15.75" customHeight="1">
      <c r="A206" s="6" t="str">
        <f>IFERROR(__xludf.DUMMYFUNCTION("""COMPUTED_VALUE"""),"b6ceacf9ec08a19cb30826c8277260c2339da0b3")</f>
        <v>b6ceacf9ec08a19cb30826c8277260c2339da0b3</v>
      </c>
      <c r="B206" s="6" t="str">
        <f>IFERROR(__xludf.DUMMYFUNCTION("""COMPUTED_VALUE"""),"Ruthless Betrayal ")</f>
        <v>Ruthless Betrayal </v>
      </c>
      <c r="C206" s="6" t="str">
        <f>IFERROR(__xludf.DUMMYFUNCTION("""COMPUTED_VALUE"""),"Romance")</f>
        <v>Romance</v>
      </c>
      <c r="D206" s="11">
        <f>IFERROR(__xludf.DUMMYFUNCTION("""COMPUTED_VALUE"""),786.0)</f>
        <v>786</v>
      </c>
      <c r="E206" s="8">
        <f>IFERROR(__xludf.DUMMYFUNCTION("""COMPUTED_VALUE"""),0.946153846153846)</f>
        <v>0.9461538462</v>
      </c>
      <c r="F206" s="8">
        <f>IFERROR(__xludf.DUMMYFUNCTION("""COMPUTED_VALUE"""),0.474025974025974)</f>
        <v>0.474025974</v>
      </c>
      <c r="G206" s="8">
        <f>IFERROR(__xludf.DUMMYFUNCTION("""COMPUTED_VALUE"""),0.382007822685788)</f>
        <v>0.3820078227</v>
      </c>
      <c r="H206" s="8">
        <f>IFERROR(__xludf.DUMMYFUNCTION("""COMPUTED_VALUE"""),0.343381389252948)</f>
        <v>0.3433813893</v>
      </c>
      <c r="I206" s="8">
        <f>IFERROR(__xludf.DUMMYFUNCTION("""COMPUTED_VALUE"""),0.331143232588699)</f>
        <v>0.3311432326</v>
      </c>
      <c r="J206" s="8">
        <f>IFERROR(__xludf.DUMMYFUNCTION("""COMPUTED_VALUE"""),0.298013245033112)</f>
        <v>0.298013245</v>
      </c>
      <c r="K206" s="8">
        <f>IFERROR(__xludf.DUMMYFUNCTION("""COMPUTED_VALUE"""),0.273333333333333)</f>
        <v>0.2733333333</v>
      </c>
      <c r="L206" s="8">
        <f>IFERROR(__xludf.DUMMYFUNCTION("""COMPUTED_VALUE"""),0.24320652173913)</f>
        <v>0.2432065217</v>
      </c>
      <c r="M206" s="8">
        <f>IFERROR(__xludf.DUMMYFUNCTION("""COMPUTED_VALUE"""),0.250684931506849)</f>
        <v>0.2506849315</v>
      </c>
      <c r="N206" s="8">
        <f>IFERROR(__xludf.DUMMYFUNCTION("""COMPUTED_VALUE"""),0.22284122562674)</f>
        <v>0.2228412256</v>
      </c>
      <c r="O206" s="8">
        <f>IFERROR(__xludf.DUMMYFUNCTION("""COMPUTED_VALUE"""),0.193832599118942)</f>
        <v>0.1938325991</v>
      </c>
      <c r="P206" s="8">
        <f>IFERROR(__xludf.DUMMYFUNCTION("""COMPUTED_VALUE"""),0.102719033232628)</f>
        <v>0.1027190332</v>
      </c>
      <c r="Q206" s="8">
        <f>IFERROR(__xludf.DUMMYFUNCTION("""COMPUTED_VALUE"""),0.075812274368231)</f>
        <v>0.07581227437</v>
      </c>
      <c r="R206" s="8">
        <f>IFERROR(__xludf.DUMMYFUNCTION("""COMPUTED_VALUE"""),0.0)</f>
        <v>0</v>
      </c>
      <c r="S206" s="8">
        <f>IFERROR(__xludf.DUMMYFUNCTION("""COMPUTED_VALUE"""),0.0)</f>
        <v>0</v>
      </c>
      <c r="T206" s="8">
        <f>IFERROR(__xludf.DUMMYFUNCTION("""COMPUTED_VALUE"""),0.0)</f>
        <v>0</v>
      </c>
      <c r="U206" s="8">
        <f>IFERROR(__xludf.DUMMYFUNCTION("""COMPUTED_VALUE"""),0.0)</f>
        <v>0</v>
      </c>
      <c r="V206" s="8">
        <f>IFERROR(__xludf.DUMMYFUNCTION("""COMPUTED_VALUE"""),0.0)</f>
        <v>0</v>
      </c>
      <c r="W206" s="8">
        <f>IFERROR(__xludf.DUMMYFUNCTION("""COMPUTED_VALUE"""),0.0)</f>
        <v>0</v>
      </c>
      <c r="X206" s="8">
        <f>IFERROR(__xludf.DUMMYFUNCTION("""COMPUTED_VALUE"""),0.0)</f>
        <v>0</v>
      </c>
      <c r="Y206" s="8">
        <f>IFERROR(__xludf.DUMMYFUNCTION("""COMPUTED_VALUE"""),0.0)</f>
        <v>0</v>
      </c>
      <c r="Z206" s="8">
        <f>IFERROR(__xludf.DUMMYFUNCTION("""COMPUTED_VALUE"""),0.0)</f>
        <v>0</v>
      </c>
      <c r="AA206" s="8">
        <f>IFERROR(__xludf.DUMMYFUNCTION("""COMPUTED_VALUE"""),0.0)</f>
        <v>0</v>
      </c>
      <c r="AB206" s="8">
        <f>IFERROR(__xludf.DUMMYFUNCTION("""COMPUTED_VALUE"""),0.0)</f>
        <v>0</v>
      </c>
      <c r="AC206" s="8">
        <f>IFERROR(__xludf.DUMMYFUNCTION("""COMPUTED_VALUE"""),0.0)</f>
        <v>0</v>
      </c>
    </row>
    <row r="207" ht="15.75" customHeight="1">
      <c r="A207" s="6" t="str">
        <f>IFERROR(__xludf.DUMMYFUNCTION("""COMPUTED_VALUE"""),"b6dcffd8fcb56899f1036740aa43dcb9b648ffe5")</f>
        <v>b6dcffd8fcb56899f1036740aa43dcb9b648ffe5</v>
      </c>
      <c r="B207" s="6" t="str">
        <f>IFERROR(__xludf.DUMMYFUNCTION("""COMPUTED_VALUE"""),"His Zealous Years Ahead")</f>
        <v>His Zealous Years Ahead</v>
      </c>
      <c r="C207" s="6" t="str">
        <f>IFERROR(__xludf.DUMMYFUNCTION("""COMPUTED_VALUE"""),"Fantasy")</f>
        <v>Fantasy</v>
      </c>
      <c r="D207" s="11">
        <f>IFERROR(__xludf.DUMMYFUNCTION("""COMPUTED_VALUE"""),153.0)</f>
        <v>153</v>
      </c>
      <c r="E207" s="8">
        <f>IFERROR(__xludf.DUMMYFUNCTION("""COMPUTED_VALUE"""),0.953333333333333)</f>
        <v>0.9533333333</v>
      </c>
      <c r="F207" s="8">
        <f>IFERROR(__xludf.DUMMYFUNCTION("""COMPUTED_VALUE"""),0.46)</f>
        <v>0.46</v>
      </c>
      <c r="G207" s="8">
        <f>IFERROR(__xludf.DUMMYFUNCTION("""COMPUTED_VALUE"""),0.4)</f>
        <v>0.4</v>
      </c>
      <c r="H207" s="8">
        <f>IFERROR(__xludf.DUMMYFUNCTION("""COMPUTED_VALUE"""),0.36734693877551)</f>
        <v>0.3673469388</v>
      </c>
      <c r="I207" s="8">
        <f>IFERROR(__xludf.DUMMYFUNCTION("""COMPUTED_VALUE"""),0.307692307692307)</f>
        <v>0.3076923077</v>
      </c>
      <c r="J207" s="8">
        <f>IFERROR(__xludf.DUMMYFUNCTION("""COMPUTED_VALUE"""),0.31159420289855)</f>
        <v>0.3115942029</v>
      </c>
      <c r="K207" s="8">
        <f>IFERROR(__xludf.DUMMYFUNCTION("""COMPUTED_VALUE"""),0.321167883211678)</f>
        <v>0.3211678832</v>
      </c>
      <c r="L207" s="8">
        <f>IFERROR(__xludf.DUMMYFUNCTION("""COMPUTED_VALUE"""),0.285714285714285)</f>
        <v>0.2857142857</v>
      </c>
      <c r="M207" s="8">
        <f>IFERROR(__xludf.DUMMYFUNCTION("""COMPUTED_VALUE"""),0.219696969696969)</f>
        <v>0.2196969697</v>
      </c>
      <c r="N207" s="8">
        <f>IFERROR(__xludf.DUMMYFUNCTION("""COMPUTED_VALUE"""),0.193548387096774)</f>
        <v>0.1935483871</v>
      </c>
      <c r="O207" s="8">
        <f>IFERROR(__xludf.DUMMYFUNCTION("""COMPUTED_VALUE"""),0.198198198198198)</f>
        <v>0.1981981982</v>
      </c>
      <c r="P207" s="8">
        <f>IFERROR(__xludf.DUMMYFUNCTION("""COMPUTED_VALUE"""),0.148648648648648)</f>
        <v>0.1486486486</v>
      </c>
      <c r="Q207" s="8">
        <f>IFERROR(__xludf.DUMMYFUNCTION("""COMPUTED_VALUE"""),0.0)</f>
        <v>0</v>
      </c>
      <c r="R207" s="8">
        <f>IFERROR(__xludf.DUMMYFUNCTION("""COMPUTED_VALUE"""),0.0)</f>
        <v>0</v>
      </c>
      <c r="S207" s="8">
        <f>IFERROR(__xludf.DUMMYFUNCTION("""COMPUTED_VALUE"""),0.0)</f>
        <v>0</v>
      </c>
      <c r="T207" s="8">
        <f>IFERROR(__xludf.DUMMYFUNCTION("""COMPUTED_VALUE"""),0.0)</f>
        <v>0</v>
      </c>
      <c r="U207" s="8">
        <f>IFERROR(__xludf.DUMMYFUNCTION("""COMPUTED_VALUE"""),0.0)</f>
        <v>0</v>
      </c>
      <c r="V207" s="8">
        <f>IFERROR(__xludf.DUMMYFUNCTION("""COMPUTED_VALUE"""),0.0)</f>
        <v>0</v>
      </c>
      <c r="W207" s="8">
        <f>IFERROR(__xludf.DUMMYFUNCTION("""COMPUTED_VALUE"""),0.0)</f>
        <v>0</v>
      </c>
      <c r="X207" s="8">
        <f>IFERROR(__xludf.DUMMYFUNCTION("""COMPUTED_VALUE"""),0.0)</f>
        <v>0</v>
      </c>
      <c r="Y207" s="8">
        <f>IFERROR(__xludf.DUMMYFUNCTION("""COMPUTED_VALUE"""),0.0)</f>
        <v>0</v>
      </c>
      <c r="Z207" s="8">
        <f>IFERROR(__xludf.DUMMYFUNCTION("""COMPUTED_VALUE"""),0.0)</f>
        <v>0</v>
      </c>
      <c r="AA207" s="8">
        <f>IFERROR(__xludf.DUMMYFUNCTION("""COMPUTED_VALUE"""),0.0)</f>
        <v>0</v>
      </c>
      <c r="AB207" s="8">
        <f>IFERROR(__xludf.DUMMYFUNCTION("""COMPUTED_VALUE"""),0.0)</f>
        <v>0</v>
      </c>
      <c r="AC207" s="8">
        <f>IFERROR(__xludf.DUMMYFUNCTION("""COMPUTED_VALUE"""),0.0)</f>
        <v>0</v>
      </c>
    </row>
    <row r="208" ht="15.75" customHeight="1">
      <c r="A208" s="6" t="str">
        <f>IFERROR(__xludf.DUMMYFUNCTION("""COMPUTED_VALUE"""),"b7410aeb19f92f7df4ccab821b5a28bfd7d73027")</f>
        <v>b7410aeb19f92f7df4ccab821b5a28bfd7d73027</v>
      </c>
      <c r="B208" s="6" t="str">
        <f>IFERROR(__xludf.DUMMYFUNCTION("""COMPUTED_VALUE"""),"Alpha Regulus")</f>
        <v>Alpha Regulus</v>
      </c>
      <c r="C208" s="6" t="str">
        <f>IFERROR(__xludf.DUMMYFUNCTION("""COMPUTED_VALUE"""),"Romantasy")</f>
        <v>Romantasy</v>
      </c>
      <c r="D208" s="11">
        <f>IFERROR(__xludf.DUMMYFUNCTION("""COMPUTED_VALUE"""),1904.0)</f>
        <v>1904</v>
      </c>
      <c r="E208" s="8">
        <f>IFERROR(__xludf.DUMMYFUNCTION("""COMPUTED_VALUE"""),0.96953781512605)</f>
        <v>0.9695378151</v>
      </c>
      <c r="F208" s="8">
        <f>IFERROR(__xludf.DUMMYFUNCTION("""COMPUTED_VALUE"""),0.456601788532351)</f>
        <v>0.4566017885</v>
      </c>
      <c r="G208" s="8">
        <f>IFERROR(__xludf.DUMMYFUNCTION("""COMPUTED_VALUE"""),0.361052631578947)</f>
        <v>0.3610526316</v>
      </c>
      <c r="H208" s="8">
        <f>IFERROR(__xludf.DUMMYFUNCTION("""COMPUTED_VALUE"""),0.305950500263296)</f>
        <v>0.3059505003</v>
      </c>
      <c r="I208" s="8">
        <f>IFERROR(__xludf.DUMMYFUNCTION("""COMPUTED_VALUE"""),0.258693361433087)</f>
        <v>0.2586933614</v>
      </c>
      <c r="J208" s="8">
        <f>IFERROR(__xludf.DUMMYFUNCTION("""COMPUTED_VALUE"""),0.236564805057955)</f>
        <v>0.2365648051</v>
      </c>
      <c r="K208" s="8">
        <f>IFERROR(__xludf.DUMMYFUNCTION("""COMPUTED_VALUE"""),0.219704952581664)</f>
        <v>0.2197049526</v>
      </c>
      <c r="L208" s="8">
        <f>IFERROR(__xludf.DUMMYFUNCTION("""COMPUTED_VALUE"""),0.193888303477344)</f>
        <v>0.1938883035</v>
      </c>
      <c r="M208" s="8">
        <f>IFERROR(__xludf.DUMMYFUNCTION("""COMPUTED_VALUE"""),0.179662802950474)</f>
        <v>0.179662803</v>
      </c>
      <c r="N208" s="8">
        <f>IFERROR(__xludf.DUMMYFUNCTION("""COMPUTED_VALUE"""),0.167810026385224)</f>
        <v>0.1678100264</v>
      </c>
      <c r="O208" s="8">
        <f>IFERROR(__xludf.DUMMYFUNCTION("""COMPUTED_VALUE"""),0.135574229691876)</f>
        <v>0.1355742297</v>
      </c>
      <c r="P208" s="8">
        <f>IFERROR(__xludf.DUMMYFUNCTION("""COMPUTED_VALUE"""),0.11843027330063)</f>
        <v>0.1184302733</v>
      </c>
      <c r="Q208" s="8">
        <f>IFERROR(__xludf.DUMMYFUNCTION("""COMPUTED_VALUE"""),0.0845070422535211)</f>
        <v>0.08450704225</v>
      </c>
      <c r="R208" s="8">
        <f>IFERROR(__xludf.DUMMYFUNCTION("""COMPUTED_VALUE"""),0.0632911392405063)</f>
        <v>0.06329113924</v>
      </c>
      <c r="S208" s="8">
        <f>IFERROR(__xludf.DUMMYFUNCTION("""COMPUTED_VALUE"""),0.056669572798605)</f>
        <v>0.0566695728</v>
      </c>
      <c r="T208" s="8">
        <f>IFERROR(__xludf.DUMMYFUNCTION("""COMPUTED_VALUE"""),0.055045871559633)</f>
        <v>0.05504587156</v>
      </c>
      <c r="U208" s="8">
        <f>IFERROR(__xludf.DUMMYFUNCTION("""COMPUTED_VALUE"""),0.0390295358649789)</f>
        <v>0.03902953586</v>
      </c>
      <c r="V208" s="8">
        <f>IFERROR(__xludf.DUMMYFUNCTION("""COMPUTED_VALUE"""),0.0272034820457018)</f>
        <v>0.02720348205</v>
      </c>
      <c r="W208" s="8">
        <f>IFERROR(__xludf.DUMMYFUNCTION("""COMPUTED_VALUE"""),0.0272020725388601)</f>
        <v>0.02720207254</v>
      </c>
      <c r="X208" s="8">
        <f>IFERROR(__xludf.DUMMYFUNCTION("""COMPUTED_VALUE"""),0.023088023088023)</f>
        <v>0.02308802309</v>
      </c>
      <c r="Y208" s="8">
        <f>IFERROR(__xludf.DUMMYFUNCTION("""COMPUTED_VALUE"""),0.0)</f>
        <v>0</v>
      </c>
      <c r="Z208" s="8">
        <f>IFERROR(__xludf.DUMMYFUNCTION("""COMPUTED_VALUE"""),0.0)</f>
        <v>0</v>
      </c>
      <c r="AA208" s="8">
        <f>IFERROR(__xludf.DUMMYFUNCTION("""COMPUTED_VALUE"""),0.0)</f>
        <v>0</v>
      </c>
      <c r="AB208" s="8">
        <f>IFERROR(__xludf.DUMMYFUNCTION("""COMPUTED_VALUE"""),0.0)</f>
        <v>0</v>
      </c>
      <c r="AC208" s="8">
        <f>IFERROR(__xludf.DUMMYFUNCTION("""COMPUTED_VALUE"""),0.0)</f>
        <v>0</v>
      </c>
    </row>
    <row r="209" ht="15.75" customHeight="1">
      <c r="A209" s="6" t="str">
        <f>IFERROR(__xludf.DUMMYFUNCTION("""COMPUTED_VALUE"""),"b7e62e1ec65efcef334c2161afd00edf7b5a2b09")</f>
        <v>b7e62e1ec65efcef334c2161afd00edf7b5a2b09</v>
      </c>
      <c r="B209" s="6" t="str">
        <f>IFERROR(__xludf.DUMMYFUNCTION("""COMPUTED_VALUE"""),"Thrones and Passion")</f>
        <v>Thrones and Passion</v>
      </c>
      <c r="C209" s="6" t="str">
        <f>IFERROR(__xludf.DUMMYFUNCTION("""COMPUTED_VALUE"""),"Romance")</f>
        <v>Romance</v>
      </c>
      <c r="D209" s="11">
        <f>IFERROR(__xludf.DUMMYFUNCTION("""COMPUTED_VALUE"""),2139.0)</f>
        <v>2139</v>
      </c>
      <c r="E209" s="8">
        <f>IFERROR(__xludf.DUMMYFUNCTION("""COMPUTED_VALUE"""),0.976633285646161)</f>
        <v>0.9766332856</v>
      </c>
      <c r="F209" s="8">
        <f>IFERROR(__xludf.DUMMYFUNCTION("""COMPUTED_VALUE"""),0.341293532338308)</f>
        <v>0.3412935323</v>
      </c>
      <c r="G209" s="8">
        <f>IFERROR(__xludf.DUMMYFUNCTION("""COMPUTED_VALUE"""),0.280870445344129)</f>
        <v>0.2808704453</v>
      </c>
      <c r="H209" s="8">
        <f>IFERROR(__xludf.DUMMYFUNCTION("""COMPUTED_VALUE"""),0.260379292670425)</f>
        <v>0.2603792927</v>
      </c>
      <c r="I209" s="8">
        <f>IFERROR(__xludf.DUMMYFUNCTION("""COMPUTED_VALUE"""),0.242768595041322)</f>
        <v>0.242768595</v>
      </c>
      <c r="J209" s="8">
        <f>IFERROR(__xludf.DUMMYFUNCTION("""COMPUTED_VALUE"""),0.231617647058823)</f>
        <v>0.2316176471</v>
      </c>
      <c r="K209" s="8">
        <f>IFERROR(__xludf.DUMMYFUNCTION("""COMPUTED_VALUE"""),0.220905172413793)</f>
        <v>0.2209051724</v>
      </c>
      <c r="L209" s="8">
        <f>IFERROR(__xludf.DUMMYFUNCTION("""COMPUTED_VALUE"""),0.207792207792207)</f>
        <v>0.2077922078</v>
      </c>
      <c r="M209" s="8">
        <f>IFERROR(__xludf.DUMMYFUNCTION("""COMPUTED_VALUE"""),0.192152336987882)</f>
        <v>0.192152337</v>
      </c>
      <c r="N209" s="8">
        <f>IFERROR(__xludf.DUMMYFUNCTION("""COMPUTED_VALUE"""),0.174096385542168)</f>
        <v>0.1740963855</v>
      </c>
      <c r="O209" s="8">
        <f>IFERROR(__xludf.DUMMYFUNCTION("""COMPUTED_VALUE"""),0.150436046511627)</f>
        <v>0.1504360465</v>
      </c>
      <c r="P209" s="8">
        <f>IFERROR(__xludf.DUMMYFUNCTION("""COMPUTED_VALUE"""),0.147113594040968)</f>
        <v>0.147113594</v>
      </c>
      <c r="Q209" s="8">
        <f>IFERROR(__xludf.DUMMYFUNCTION("""COMPUTED_VALUE"""),0.10752688172043)</f>
        <v>0.1075268817</v>
      </c>
      <c r="R209" s="8">
        <f>IFERROR(__xludf.DUMMYFUNCTION("""COMPUTED_VALUE"""),0.0)</f>
        <v>0</v>
      </c>
      <c r="S209" s="8">
        <f>IFERROR(__xludf.DUMMYFUNCTION("""COMPUTED_VALUE"""),0.0)</f>
        <v>0</v>
      </c>
      <c r="T209" s="8">
        <f>IFERROR(__xludf.DUMMYFUNCTION("""COMPUTED_VALUE"""),0.0)</f>
        <v>0</v>
      </c>
      <c r="U209" s="8">
        <f>IFERROR(__xludf.DUMMYFUNCTION("""COMPUTED_VALUE"""),0.0)</f>
        <v>0</v>
      </c>
      <c r="V209" s="8">
        <f>IFERROR(__xludf.DUMMYFUNCTION("""COMPUTED_VALUE"""),0.0)</f>
        <v>0</v>
      </c>
      <c r="W209" s="8">
        <f>IFERROR(__xludf.DUMMYFUNCTION("""COMPUTED_VALUE"""),0.0)</f>
        <v>0</v>
      </c>
      <c r="X209" s="8">
        <f>IFERROR(__xludf.DUMMYFUNCTION("""COMPUTED_VALUE"""),0.0)</f>
        <v>0</v>
      </c>
      <c r="Y209" s="8">
        <f>IFERROR(__xludf.DUMMYFUNCTION("""COMPUTED_VALUE"""),0.0)</f>
        <v>0</v>
      </c>
      <c r="Z209" s="8">
        <f>IFERROR(__xludf.DUMMYFUNCTION("""COMPUTED_VALUE"""),0.0)</f>
        <v>0</v>
      </c>
      <c r="AA209" s="8">
        <f>IFERROR(__xludf.DUMMYFUNCTION("""COMPUTED_VALUE"""),0.0)</f>
        <v>0</v>
      </c>
      <c r="AB209" s="8">
        <f>IFERROR(__xludf.DUMMYFUNCTION("""COMPUTED_VALUE"""),0.0)</f>
        <v>0</v>
      </c>
      <c r="AC209" s="8">
        <f>IFERROR(__xludf.DUMMYFUNCTION("""COMPUTED_VALUE"""),0.0)</f>
        <v>0</v>
      </c>
    </row>
    <row r="210" ht="15.75" customHeight="1">
      <c r="A210" s="6" t="str">
        <f>IFERROR(__xludf.DUMMYFUNCTION("""COMPUTED_VALUE"""),"ba0633322d2e3b1f5dc385fdef11110ad663eca3")</f>
        <v>ba0633322d2e3b1f5dc385fdef11110ad663eca3</v>
      </c>
      <c r="B210" s="6" t="str">
        <f>IFERROR(__xludf.DUMMYFUNCTION("""COMPUTED_VALUE"""),"Fated Billionaire Love")</f>
        <v>Fated Billionaire Love</v>
      </c>
      <c r="C210" s="6" t="str">
        <f>IFERROR(__xludf.DUMMYFUNCTION("""COMPUTED_VALUE"""),"Romance")</f>
        <v>Romance</v>
      </c>
      <c r="D210" s="11">
        <f>IFERROR(__xludf.DUMMYFUNCTION("""COMPUTED_VALUE"""),427.0)</f>
        <v>427</v>
      </c>
      <c r="E210" s="8">
        <f>IFERROR(__xludf.DUMMYFUNCTION("""COMPUTED_VALUE"""),0.950704225352112)</f>
        <v>0.9507042254</v>
      </c>
      <c r="F210" s="8">
        <f>IFERROR(__xludf.DUMMYFUNCTION("""COMPUTED_VALUE"""),0.635294117647058)</f>
        <v>0.6352941176</v>
      </c>
      <c r="G210" s="8">
        <f>IFERROR(__xludf.DUMMYFUNCTION("""COMPUTED_VALUE"""),0.505882352941176)</f>
        <v>0.5058823529</v>
      </c>
      <c r="H210" s="8">
        <f>IFERROR(__xludf.DUMMYFUNCTION("""COMPUTED_VALUE"""),0.416470588235294)</f>
        <v>0.4164705882</v>
      </c>
      <c r="I210" s="8">
        <f>IFERROR(__xludf.DUMMYFUNCTION("""COMPUTED_VALUE"""),0.365566037735849)</f>
        <v>0.3655660377</v>
      </c>
      <c r="J210" s="8">
        <f>IFERROR(__xludf.DUMMYFUNCTION("""COMPUTED_VALUE"""),0.33254716981132)</f>
        <v>0.3325471698</v>
      </c>
      <c r="K210" s="8">
        <f>IFERROR(__xludf.DUMMYFUNCTION("""COMPUTED_VALUE"""),0.316784869976359)</f>
        <v>0.31678487</v>
      </c>
      <c r="L210" s="8">
        <f>IFERROR(__xludf.DUMMYFUNCTION("""COMPUTED_VALUE"""),0.287410926365795)</f>
        <v>0.2874109264</v>
      </c>
      <c r="M210" s="8">
        <f>IFERROR(__xludf.DUMMYFUNCTION("""COMPUTED_VALUE"""),0.285035629453681)</f>
        <v>0.2850356295</v>
      </c>
      <c r="N210" s="8">
        <f>IFERROR(__xludf.DUMMYFUNCTION("""COMPUTED_VALUE"""),0.277511961722488)</f>
        <v>0.2775119617</v>
      </c>
      <c r="O210" s="8">
        <f>IFERROR(__xludf.DUMMYFUNCTION("""COMPUTED_VALUE"""),0.233009708737864)</f>
        <v>0.2330097087</v>
      </c>
      <c r="P210" s="8">
        <f>IFERROR(__xludf.DUMMYFUNCTION("""COMPUTED_VALUE"""),0.17829457364341)</f>
        <v>0.1782945736</v>
      </c>
      <c r="Q210" s="8">
        <f>IFERROR(__xludf.DUMMYFUNCTION("""COMPUTED_VALUE"""),0.107266435986159)</f>
        <v>0.107266436</v>
      </c>
      <c r="R210" s="8">
        <f>IFERROR(__xludf.DUMMYFUNCTION("""COMPUTED_VALUE"""),0.0)</f>
        <v>0</v>
      </c>
      <c r="S210" s="8">
        <f>IFERROR(__xludf.DUMMYFUNCTION("""COMPUTED_VALUE"""),0.0)</f>
        <v>0</v>
      </c>
      <c r="T210" s="8">
        <f>IFERROR(__xludf.DUMMYFUNCTION("""COMPUTED_VALUE"""),0.0)</f>
        <v>0</v>
      </c>
      <c r="U210" s="8">
        <f>IFERROR(__xludf.DUMMYFUNCTION("""COMPUTED_VALUE"""),0.0)</f>
        <v>0</v>
      </c>
      <c r="V210" s="8">
        <f>IFERROR(__xludf.DUMMYFUNCTION("""COMPUTED_VALUE"""),0.0)</f>
        <v>0</v>
      </c>
      <c r="W210" s="8">
        <f>IFERROR(__xludf.DUMMYFUNCTION("""COMPUTED_VALUE"""),0.0)</f>
        <v>0</v>
      </c>
      <c r="X210" s="8">
        <f>IFERROR(__xludf.DUMMYFUNCTION("""COMPUTED_VALUE"""),0.0)</f>
        <v>0</v>
      </c>
      <c r="Y210" s="8">
        <f>IFERROR(__xludf.DUMMYFUNCTION("""COMPUTED_VALUE"""),0.0)</f>
        <v>0</v>
      </c>
      <c r="Z210" s="8">
        <f>IFERROR(__xludf.DUMMYFUNCTION("""COMPUTED_VALUE"""),0.0)</f>
        <v>0</v>
      </c>
      <c r="AA210" s="8">
        <f>IFERROR(__xludf.DUMMYFUNCTION("""COMPUTED_VALUE"""),0.0)</f>
        <v>0</v>
      </c>
      <c r="AB210" s="8">
        <f>IFERROR(__xludf.DUMMYFUNCTION("""COMPUTED_VALUE"""),0.0)</f>
        <v>0</v>
      </c>
      <c r="AC210" s="8">
        <f>IFERROR(__xludf.DUMMYFUNCTION("""COMPUTED_VALUE"""),0.0)</f>
        <v>0</v>
      </c>
    </row>
    <row r="211" ht="15.75" customHeight="1">
      <c r="A211" s="6" t="str">
        <f>IFERROR(__xludf.DUMMYFUNCTION("""COMPUTED_VALUE"""),"ba1065d04424754ef65327a97989402f6a123e5a")</f>
        <v>ba1065d04424754ef65327a97989402f6a123e5a</v>
      </c>
      <c r="B211" s="6" t="str">
        <f>IFERROR(__xludf.DUMMYFUNCTION("""COMPUTED_VALUE"""),"Yours by Accident")</f>
        <v>Yours by Accident</v>
      </c>
      <c r="C211" s="6" t="str">
        <f>IFERROR(__xludf.DUMMYFUNCTION("""COMPUTED_VALUE"""),"Romance")</f>
        <v>Romance</v>
      </c>
      <c r="D211" s="11">
        <f>IFERROR(__xludf.DUMMYFUNCTION("""COMPUTED_VALUE"""),685.0)</f>
        <v>685</v>
      </c>
      <c r="E211" s="8">
        <f>IFERROR(__xludf.DUMMYFUNCTION("""COMPUTED_VALUE"""),0.961651917404129)</f>
        <v>0.9616519174</v>
      </c>
      <c r="F211" s="8">
        <f>IFERROR(__xludf.DUMMYFUNCTION("""COMPUTED_VALUE"""),0.543154761904761)</f>
        <v>0.5431547619</v>
      </c>
      <c r="G211" s="8">
        <f>IFERROR(__xludf.DUMMYFUNCTION("""COMPUTED_VALUE"""),0.43562874251497)</f>
        <v>0.4356287425</v>
      </c>
      <c r="H211" s="8">
        <f>IFERROR(__xludf.DUMMYFUNCTION("""COMPUTED_VALUE"""),0.39366515837104)</f>
        <v>0.3936651584</v>
      </c>
      <c r="I211" s="8">
        <f>IFERROR(__xludf.DUMMYFUNCTION("""COMPUTED_VALUE"""),0.308042488619119)</f>
        <v>0.3080424886</v>
      </c>
      <c r="J211" s="8">
        <f>IFERROR(__xludf.DUMMYFUNCTION("""COMPUTED_VALUE"""),0.264525993883792)</f>
        <v>0.2645259939</v>
      </c>
      <c r="K211" s="8">
        <f>IFERROR(__xludf.DUMMYFUNCTION("""COMPUTED_VALUE"""),0.233846153846153)</f>
        <v>0.2338461538</v>
      </c>
      <c r="L211" s="8">
        <f>IFERROR(__xludf.DUMMYFUNCTION("""COMPUTED_VALUE"""),0.205928237129485)</f>
        <v>0.2059282371</v>
      </c>
      <c r="M211" s="8">
        <f>IFERROR(__xludf.DUMMYFUNCTION("""COMPUTED_VALUE"""),0.195618153364632)</f>
        <v>0.1956181534</v>
      </c>
      <c r="N211" s="8">
        <f>IFERROR(__xludf.DUMMYFUNCTION("""COMPUTED_VALUE"""),0.184419713831478)</f>
        <v>0.1844197138</v>
      </c>
      <c r="O211" s="8">
        <f>IFERROR(__xludf.DUMMYFUNCTION("""COMPUTED_VALUE"""),0.157119476268412)</f>
        <v>0.1571194763</v>
      </c>
      <c r="P211" s="8">
        <f>IFERROR(__xludf.DUMMYFUNCTION("""COMPUTED_VALUE"""),0.0738255033557047)</f>
        <v>0.07382550336</v>
      </c>
      <c r="Q211" s="8">
        <f>IFERROR(__xludf.DUMMYFUNCTION("""COMPUTED_VALUE"""),0.0546697038724373)</f>
        <v>0.05466970387</v>
      </c>
      <c r="R211" s="8">
        <f>IFERROR(__xludf.DUMMYFUNCTION("""COMPUTED_VALUE"""),0.0272277227722772)</f>
        <v>0.02722772277</v>
      </c>
      <c r="S211" s="8">
        <f>IFERROR(__xludf.DUMMYFUNCTION("""COMPUTED_VALUE"""),0.0153846153846153)</f>
        <v>0.01538461538</v>
      </c>
      <c r="T211" s="8">
        <f>IFERROR(__xludf.DUMMYFUNCTION("""COMPUTED_VALUE"""),0.0056338028169014)</f>
        <v>0.005633802817</v>
      </c>
      <c r="U211" s="8">
        <f>IFERROR(__xludf.DUMMYFUNCTION("""COMPUTED_VALUE"""),0.0)</f>
        <v>0</v>
      </c>
      <c r="V211" s="8">
        <f>IFERROR(__xludf.DUMMYFUNCTION("""COMPUTED_VALUE"""),0.0)</f>
        <v>0</v>
      </c>
      <c r="W211" s="8">
        <f>IFERROR(__xludf.DUMMYFUNCTION("""COMPUTED_VALUE"""),0.0)</f>
        <v>0</v>
      </c>
      <c r="X211" s="8">
        <f>IFERROR(__xludf.DUMMYFUNCTION("""COMPUTED_VALUE"""),0.0)</f>
        <v>0</v>
      </c>
      <c r="Y211" s="8">
        <f>IFERROR(__xludf.DUMMYFUNCTION("""COMPUTED_VALUE"""),0.0)</f>
        <v>0</v>
      </c>
      <c r="Z211" s="8">
        <f>IFERROR(__xludf.DUMMYFUNCTION("""COMPUTED_VALUE"""),0.0)</f>
        <v>0</v>
      </c>
      <c r="AA211" s="8">
        <f>IFERROR(__xludf.DUMMYFUNCTION("""COMPUTED_VALUE"""),0.0)</f>
        <v>0</v>
      </c>
      <c r="AB211" s="8">
        <f>IFERROR(__xludf.DUMMYFUNCTION("""COMPUTED_VALUE"""),0.0)</f>
        <v>0</v>
      </c>
      <c r="AC211" s="8">
        <f>IFERROR(__xludf.DUMMYFUNCTION("""COMPUTED_VALUE"""),0.0)</f>
        <v>0</v>
      </c>
    </row>
    <row r="212" ht="15.75" customHeight="1">
      <c r="A212" s="6" t="str">
        <f>IFERROR(__xludf.DUMMYFUNCTION("""COMPUTED_VALUE"""),"bb2f281964ff5fb7528074b3b2b73409bbf91d2a")</f>
        <v>bb2f281964ff5fb7528074b3b2b73409bbf91d2a</v>
      </c>
      <c r="B212" s="6" t="str">
        <f>IFERROR(__xludf.DUMMYFUNCTION("""COMPUTED_VALUE"""),"My Money Minting System")</f>
        <v>My Money Minting System</v>
      </c>
      <c r="C212" s="6" t="str">
        <f>IFERROR(__xludf.DUMMYFUNCTION("""COMPUTED_VALUE"""),"System and Superpower")</f>
        <v>System and Superpower</v>
      </c>
      <c r="D212" s="11">
        <f>IFERROR(__xludf.DUMMYFUNCTION("""COMPUTED_VALUE"""),245.0)</f>
        <v>245</v>
      </c>
      <c r="E212" s="8">
        <f>IFERROR(__xludf.DUMMYFUNCTION("""COMPUTED_VALUE"""),0.942148760330578)</f>
        <v>0.9421487603</v>
      </c>
      <c r="F212" s="8">
        <f>IFERROR(__xludf.DUMMYFUNCTION("""COMPUTED_VALUE"""),0.641921397379912)</f>
        <v>0.6419213974</v>
      </c>
      <c r="G212" s="8">
        <f>IFERROR(__xludf.DUMMYFUNCTION("""COMPUTED_VALUE"""),0.529411764705882)</f>
        <v>0.5294117647</v>
      </c>
      <c r="H212" s="8">
        <f>IFERROR(__xludf.DUMMYFUNCTION("""COMPUTED_VALUE"""),0.44)</f>
        <v>0.44</v>
      </c>
      <c r="I212" s="8">
        <f>IFERROR(__xludf.DUMMYFUNCTION("""COMPUTED_VALUE"""),0.390625)</f>
        <v>0.390625</v>
      </c>
      <c r="J212" s="8">
        <f>IFERROR(__xludf.DUMMYFUNCTION("""COMPUTED_VALUE"""),0.327868852459016)</f>
        <v>0.3278688525</v>
      </c>
      <c r="K212" s="8">
        <f>IFERROR(__xludf.DUMMYFUNCTION("""COMPUTED_VALUE"""),0.247252747252747)</f>
        <v>0.2472527473</v>
      </c>
      <c r="L212" s="8">
        <f>IFERROR(__xludf.DUMMYFUNCTION("""COMPUTED_VALUE"""),0.208791208791208)</f>
        <v>0.2087912088</v>
      </c>
      <c r="M212" s="8">
        <f>IFERROR(__xludf.DUMMYFUNCTION("""COMPUTED_VALUE"""),0.220994475138121)</f>
        <v>0.2209944751</v>
      </c>
      <c r="N212" s="8">
        <f>IFERROR(__xludf.DUMMYFUNCTION("""COMPUTED_VALUE"""),0.217877094972067)</f>
        <v>0.217877095</v>
      </c>
      <c r="O212" s="8">
        <f>IFERROR(__xludf.DUMMYFUNCTION("""COMPUTED_VALUE"""),0.126436781609195)</f>
        <v>0.1264367816</v>
      </c>
      <c r="P212" s="8">
        <f>IFERROR(__xludf.DUMMYFUNCTION("""COMPUTED_VALUE"""),0.056910569105691)</f>
        <v>0.05691056911</v>
      </c>
      <c r="Q212" s="8">
        <f>IFERROR(__xludf.DUMMYFUNCTION("""COMPUTED_VALUE"""),0.0181818181818181)</f>
        <v>0.01818181818</v>
      </c>
      <c r="R212" s="8">
        <f>IFERROR(__xludf.DUMMYFUNCTION("""COMPUTED_VALUE"""),0.0)</f>
        <v>0</v>
      </c>
      <c r="S212" s="8">
        <f>IFERROR(__xludf.DUMMYFUNCTION("""COMPUTED_VALUE"""),0.0)</f>
        <v>0</v>
      </c>
      <c r="T212" s="8">
        <f>IFERROR(__xludf.DUMMYFUNCTION("""COMPUTED_VALUE"""),0.0)</f>
        <v>0</v>
      </c>
      <c r="U212" s="8">
        <f>IFERROR(__xludf.DUMMYFUNCTION("""COMPUTED_VALUE"""),0.0)</f>
        <v>0</v>
      </c>
      <c r="V212" s="8">
        <f>IFERROR(__xludf.DUMMYFUNCTION("""COMPUTED_VALUE"""),0.0)</f>
        <v>0</v>
      </c>
      <c r="W212" s="8">
        <f>IFERROR(__xludf.DUMMYFUNCTION("""COMPUTED_VALUE"""),0.0)</f>
        <v>0</v>
      </c>
      <c r="X212" s="8">
        <f>IFERROR(__xludf.DUMMYFUNCTION("""COMPUTED_VALUE"""),0.0)</f>
        <v>0</v>
      </c>
      <c r="Y212" s="8">
        <f>IFERROR(__xludf.DUMMYFUNCTION("""COMPUTED_VALUE"""),0.0)</f>
        <v>0</v>
      </c>
      <c r="Z212" s="8">
        <f>IFERROR(__xludf.DUMMYFUNCTION("""COMPUTED_VALUE"""),0.0)</f>
        <v>0</v>
      </c>
      <c r="AA212" s="8">
        <f>IFERROR(__xludf.DUMMYFUNCTION("""COMPUTED_VALUE"""),0.0)</f>
        <v>0</v>
      </c>
      <c r="AB212" s="8">
        <f>IFERROR(__xludf.DUMMYFUNCTION("""COMPUTED_VALUE"""),0.0)</f>
        <v>0</v>
      </c>
      <c r="AC212" s="8">
        <f>IFERROR(__xludf.DUMMYFUNCTION("""COMPUTED_VALUE"""),0.0)</f>
        <v>0</v>
      </c>
    </row>
    <row r="213" ht="15.75" customHeight="1">
      <c r="A213" s="6" t="str">
        <f>IFERROR(__xludf.DUMMYFUNCTION("""COMPUTED_VALUE"""),"bb8bdc13e3c19f2845f457b91284273ad6ddf8f2")</f>
        <v>bb8bdc13e3c19f2845f457b91284273ad6ddf8f2</v>
      </c>
      <c r="B213" s="6" t="str">
        <f>IFERROR(__xludf.DUMMYFUNCTION("""COMPUTED_VALUE"""),"His Four Little Rascals")</f>
        <v>His Four Little Rascals</v>
      </c>
      <c r="C213" s="6" t="str">
        <f>IFERROR(__xludf.DUMMYFUNCTION("""COMPUTED_VALUE"""),"Romance")</f>
        <v>Romance</v>
      </c>
      <c r="D213" s="11">
        <f>IFERROR(__xludf.DUMMYFUNCTION("""COMPUTED_VALUE"""),25866.0)</f>
        <v>25866</v>
      </c>
      <c r="E213" s="8">
        <f>IFERROR(__xludf.DUMMYFUNCTION("""COMPUTED_VALUE"""),0.907058596016244)</f>
        <v>0.907058596</v>
      </c>
      <c r="F213" s="8">
        <f>IFERROR(__xludf.DUMMYFUNCTION("""COMPUTED_VALUE"""),0.487770897832817)</f>
        <v>0.4877708978</v>
      </c>
      <c r="G213" s="8">
        <f>IFERROR(__xludf.DUMMYFUNCTION("""COMPUTED_VALUE"""),0.408306239355937)</f>
        <v>0.4083062394</v>
      </c>
      <c r="H213" s="8">
        <f>IFERROR(__xludf.DUMMYFUNCTION("""COMPUTED_VALUE"""),0.387546468401487)</f>
        <v>0.3875464684</v>
      </c>
      <c r="I213" s="8">
        <f>IFERROR(__xludf.DUMMYFUNCTION("""COMPUTED_VALUE"""),0.373992872637124)</f>
        <v>0.3739928726</v>
      </c>
      <c r="J213" s="8">
        <f>IFERROR(__xludf.DUMMYFUNCTION("""COMPUTED_VALUE"""),0.359091613703301)</f>
        <v>0.3590916137</v>
      </c>
      <c r="K213" s="8">
        <f>IFERROR(__xludf.DUMMYFUNCTION("""COMPUTED_VALUE"""),0.349218659118228)</f>
        <v>0.3492186591</v>
      </c>
      <c r="L213" s="8">
        <f>IFERROR(__xludf.DUMMYFUNCTION("""COMPUTED_VALUE"""),0.345080535610324)</f>
        <v>0.3450805356</v>
      </c>
      <c r="M213" s="8">
        <f>IFERROR(__xludf.DUMMYFUNCTION("""COMPUTED_VALUE"""),0.335365616869247)</f>
        <v>0.3353656169</v>
      </c>
      <c r="N213" s="8">
        <f>IFERROR(__xludf.DUMMYFUNCTION("""COMPUTED_VALUE"""),0.330160456894207)</f>
        <v>0.3301604569</v>
      </c>
      <c r="O213" s="8">
        <f>IFERROR(__xludf.DUMMYFUNCTION("""COMPUTED_VALUE"""),0.313830410498769)</f>
        <v>0.3138304105</v>
      </c>
      <c r="P213" s="8">
        <f>IFERROR(__xludf.DUMMYFUNCTION("""COMPUTED_VALUE"""),0.272705808279553)</f>
        <v>0.2727058083</v>
      </c>
      <c r="Q213" s="8">
        <f>IFERROR(__xludf.DUMMYFUNCTION("""COMPUTED_VALUE"""),0.220415142357245)</f>
        <v>0.2204151424</v>
      </c>
      <c r="R213" s="8">
        <f>IFERROR(__xludf.DUMMYFUNCTION("""COMPUTED_VALUE"""),0.161004251872848)</f>
        <v>0.1610042519</v>
      </c>
      <c r="S213" s="8">
        <f>IFERROR(__xludf.DUMMYFUNCTION("""COMPUTED_VALUE"""),0.134290577401475)</f>
        <v>0.1342905774</v>
      </c>
      <c r="T213" s="8">
        <f>IFERROR(__xludf.DUMMYFUNCTION("""COMPUTED_VALUE"""),0.109154068202945)</f>
        <v>0.1091540682</v>
      </c>
      <c r="U213" s="8">
        <f>IFERROR(__xludf.DUMMYFUNCTION("""COMPUTED_VALUE"""),0.0983878615457562)</f>
        <v>0.09838786155</v>
      </c>
      <c r="V213" s="8">
        <f>IFERROR(__xludf.DUMMYFUNCTION("""COMPUTED_VALUE"""),0.101215579260729)</f>
        <v>0.1012155793</v>
      </c>
      <c r="W213" s="8">
        <f>IFERROR(__xludf.DUMMYFUNCTION("""COMPUTED_VALUE"""),0.0960326288468668)</f>
        <v>0.09603262885</v>
      </c>
      <c r="X213" s="8">
        <f>IFERROR(__xludf.DUMMYFUNCTION("""COMPUTED_VALUE"""),0.0883824346859366)</f>
        <v>0.08838243469</v>
      </c>
      <c r="Y213" s="8">
        <f>IFERROR(__xludf.DUMMYFUNCTION("""COMPUTED_VALUE"""),0.0426008968609865)</f>
        <v>0.04260089686</v>
      </c>
      <c r="Z213" s="8">
        <f>IFERROR(__xludf.DUMMYFUNCTION("""COMPUTED_VALUE"""),0.0652173913043478)</f>
        <v>0.0652173913</v>
      </c>
      <c r="AA213" s="8">
        <f>IFERROR(__xludf.DUMMYFUNCTION("""COMPUTED_VALUE"""),0.0)</f>
        <v>0</v>
      </c>
      <c r="AB213" s="8">
        <f>IFERROR(__xludf.DUMMYFUNCTION("""COMPUTED_VALUE"""),0.0)</f>
        <v>0</v>
      </c>
      <c r="AC213" s="8">
        <f>IFERROR(__xludf.DUMMYFUNCTION("""COMPUTED_VALUE"""),0.0)</f>
        <v>0</v>
      </c>
    </row>
    <row r="214" ht="15.75" customHeight="1">
      <c r="A214" s="6" t="str">
        <f>IFERROR(__xludf.DUMMYFUNCTION("""COMPUTED_VALUE"""),"bbaf98e4e43fc8963698d00c4a338957fb765b85")</f>
        <v>bbaf98e4e43fc8963698d00c4a338957fb765b85</v>
      </c>
      <c r="B214" s="6" t="str">
        <f>IFERROR(__xludf.DUMMYFUNCTION("""COMPUTED_VALUE"""),"Artifact Spirit System")</f>
        <v>Artifact Spirit System</v>
      </c>
      <c r="C214" s="6" t="str">
        <f>IFERROR(__xludf.DUMMYFUNCTION("""COMPUTED_VALUE"""),"System and Superpower")</f>
        <v>System and Superpower</v>
      </c>
      <c r="D214" s="11">
        <f>IFERROR(__xludf.DUMMYFUNCTION("""COMPUTED_VALUE"""),1088.0)</f>
        <v>1088</v>
      </c>
      <c r="E214" s="8">
        <f>IFERROR(__xludf.DUMMYFUNCTION("""COMPUTED_VALUE"""),0.969158878504672)</f>
        <v>0.9691588785</v>
      </c>
      <c r="F214" s="8">
        <f>IFERROR(__xludf.DUMMYFUNCTION("""COMPUTED_VALUE"""),0.433712121212121)</f>
        <v>0.4337121212</v>
      </c>
      <c r="G214" s="8">
        <f>IFERROR(__xludf.DUMMYFUNCTION("""COMPUTED_VALUE"""),0.358851674641148)</f>
        <v>0.3588516746</v>
      </c>
      <c r="H214" s="8">
        <f>IFERROR(__xludf.DUMMYFUNCTION("""COMPUTED_VALUE"""),0.314009661835748)</f>
        <v>0.3140096618</v>
      </c>
      <c r="I214" s="8">
        <f>IFERROR(__xludf.DUMMYFUNCTION("""COMPUTED_VALUE"""),0.28849902534113)</f>
        <v>0.2884990253</v>
      </c>
      <c r="J214" s="8">
        <f>IFERROR(__xludf.DUMMYFUNCTION("""COMPUTED_VALUE"""),0.262376237623762)</f>
        <v>0.2623762376</v>
      </c>
      <c r="K214" s="8">
        <f>IFERROR(__xludf.DUMMYFUNCTION("""COMPUTED_VALUE"""),0.248983739837398)</f>
        <v>0.2489837398</v>
      </c>
      <c r="L214" s="8">
        <f>IFERROR(__xludf.DUMMYFUNCTION("""COMPUTED_VALUE"""),0.235233160621761)</f>
        <v>0.2352331606</v>
      </c>
      <c r="M214" s="8">
        <f>IFERROR(__xludf.DUMMYFUNCTION("""COMPUTED_VALUE"""),0.225366876310272)</f>
        <v>0.2253668763</v>
      </c>
      <c r="N214" s="8">
        <f>IFERROR(__xludf.DUMMYFUNCTION("""COMPUTED_VALUE"""),0.212314225053078)</f>
        <v>0.2123142251</v>
      </c>
      <c r="O214" s="8">
        <f>IFERROR(__xludf.DUMMYFUNCTION("""COMPUTED_VALUE"""),0.185483870967741)</f>
        <v>0.185483871</v>
      </c>
      <c r="P214" s="8">
        <f>IFERROR(__xludf.DUMMYFUNCTION("""COMPUTED_VALUE"""),0.149350649350649)</f>
        <v>0.1493506494</v>
      </c>
      <c r="Q214" s="8">
        <f>IFERROR(__xludf.DUMMYFUNCTION("""COMPUTED_VALUE"""),0.114130434782608)</f>
        <v>0.1141304348</v>
      </c>
      <c r="R214" s="8">
        <f>IFERROR(__xludf.DUMMYFUNCTION("""COMPUTED_VALUE"""),0.107692307692307)</f>
        <v>0.1076923077</v>
      </c>
      <c r="S214" s="8">
        <f>IFERROR(__xludf.DUMMYFUNCTION("""COMPUTED_VALUE"""),0.0)</f>
        <v>0</v>
      </c>
      <c r="T214" s="8">
        <f>IFERROR(__xludf.DUMMYFUNCTION("""COMPUTED_VALUE"""),0.0)</f>
        <v>0</v>
      </c>
      <c r="U214" s="8">
        <f>IFERROR(__xludf.DUMMYFUNCTION("""COMPUTED_VALUE"""),0.0)</f>
        <v>0</v>
      </c>
      <c r="V214" s="8">
        <f>IFERROR(__xludf.DUMMYFUNCTION("""COMPUTED_VALUE"""),0.0)</f>
        <v>0</v>
      </c>
      <c r="W214" s="8">
        <f>IFERROR(__xludf.DUMMYFUNCTION("""COMPUTED_VALUE"""),0.0)</f>
        <v>0</v>
      </c>
      <c r="X214" s="8">
        <f>IFERROR(__xludf.DUMMYFUNCTION("""COMPUTED_VALUE"""),0.0)</f>
        <v>0</v>
      </c>
      <c r="Y214" s="8">
        <f>IFERROR(__xludf.DUMMYFUNCTION("""COMPUTED_VALUE"""),0.0)</f>
        <v>0</v>
      </c>
      <c r="Z214" s="8">
        <f>IFERROR(__xludf.DUMMYFUNCTION("""COMPUTED_VALUE"""),0.0)</f>
        <v>0</v>
      </c>
      <c r="AA214" s="8">
        <f>IFERROR(__xludf.DUMMYFUNCTION("""COMPUTED_VALUE"""),0.0)</f>
        <v>0</v>
      </c>
      <c r="AB214" s="8">
        <f>IFERROR(__xludf.DUMMYFUNCTION("""COMPUTED_VALUE"""),0.0)</f>
        <v>0</v>
      </c>
      <c r="AC214" s="8">
        <f>IFERROR(__xludf.DUMMYFUNCTION("""COMPUTED_VALUE"""),0.0)</f>
        <v>0</v>
      </c>
    </row>
    <row r="215" ht="15.75" customHeight="1">
      <c r="A215" s="6" t="str">
        <f>IFERROR(__xludf.DUMMYFUNCTION("""COMPUTED_VALUE"""),"bbfdf49252139aecaf606478dbe29039803604ae")</f>
        <v>bbfdf49252139aecaf606478dbe29039803604ae</v>
      </c>
      <c r="B215" s="6" t="str">
        <f>IFERROR(__xludf.DUMMYFUNCTION("""COMPUTED_VALUE"""),"Alchemist of HARRY POTTER")</f>
        <v>Alchemist of HARRY POTTER</v>
      </c>
      <c r="C215" s="6" t="str">
        <f>IFERROR(__xludf.DUMMYFUNCTION("""COMPUTED_VALUE"""),"Fantasy")</f>
        <v>Fantasy</v>
      </c>
      <c r="D215" s="11">
        <f>IFERROR(__xludf.DUMMYFUNCTION("""COMPUTED_VALUE"""),74.0)</f>
        <v>74</v>
      </c>
      <c r="E215" s="8">
        <f>IFERROR(__xludf.DUMMYFUNCTION("""COMPUTED_VALUE"""),1.0)</f>
        <v>1</v>
      </c>
      <c r="F215" s="8">
        <f>IFERROR(__xludf.DUMMYFUNCTION("""COMPUTED_VALUE"""),0.409090909090909)</f>
        <v>0.4090909091</v>
      </c>
      <c r="G215" s="8">
        <f>IFERROR(__xludf.DUMMYFUNCTION("""COMPUTED_VALUE"""),0.256410256410256)</f>
        <v>0.2564102564</v>
      </c>
      <c r="H215" s="8">
        <f>IFERROR(__xludf.DUMMYFUNCTION("""COMPUTED_VALUE"""),0.161290322580645)</f>
        <v>0.1612903226</v>
      </c>
      <c r="I215" s="8">
        <f>IFERROR(__xludf.DUMMYFUNCTION("""COMPUTED_VALUE"""),0.172413793103448)</f>
        <v>0.1724137931</v>
      </c>
      <c r="J215" s="8">
        <f>IFERROR(__xludf.DUMMYFUNCTION("""COMPUTED_VALUE"""),0.148148148148148)</f>
        <v>0.1481481481</v>
      </c>
      <c r="K215" s="8">
        <f>IFERROR(__xludf.DUMMYFUNCTION("""COMPUTED_VALUE"""),0.125)</f>
        <v>0.125</v>
      </c>
      <c r="L215" s="8">
        <f>IFERROR(__xludf.DUMMYFUNCTION("""COMPUTED_VALUE"""),0.0869565217391304)</f>
        <v>0.08695652174</v>
      </c>
      <c r="M215" s="8">
        <f>IFERROR(__xludf.DUMMYFUNCTION("""COMPUTED_VALUE"""),0.0454545454545454)</f>
        <v>0.04545454545</v>
      </c>
      <c r="N215" s="8">
        <f>IFERROR(__xludf.DUMMYFUNCTION("""COMPUTED_VALUE"""),0.0476190476190476)</f>
        <v>0.04761904762</v>
      </c>
      <c r="O215" s="8">
        <f>IFERROR(__xludf.DUMMYFUNCTION("""COMPUTED_VALUE"""),0.0)</f>
        <v>0</v>
      </c>
      <c r="P215" s="8">
        <f>IFERROR(__xludf.DUMMYFUNCTION("""COMPUTED_VALUE"""),0.0)</f>
        <v>0</v>
      </c>
      <c r="Q215" s="8">
        <f>IFERROR(__xludf.DUMMYFUNCTION("""COMPUTED_VALUE"""),0.0)</f>
        <v>0</v>
      </c>
      <c r="R215" s="8">
        <f>IFERROR(__xludf.DUMMYFUNCTION("""COMPUTED_VALUE"""),0.0)</f>
        <v>0</v>
      </c>
      <c r="S215" s="8">
        <f>IFERROR(__xludf.DUMMYFUNCTION("""COMPUTED_VALUE"""),0.0)</f>
        <v>0</v>
      </c>
      <c r="T215" s="8">
        <f>IFERROR(__xludf.DUMMYFUNCTION("""COMPUTED_VALUE"""),0.0)</f>
        <v>0</v>
      </c>
      <c r="U215" s="8">
        <f>IFERROR(__xludf.DUMMYFUNCTION("""COMPUTED_VALUE"""),0.0)</f>
        <v>0</v>
      </c>
      <c r="V215" s="8">
        <f>IFERROR(__xludf.DUMMYFUNCTION("""COMPUTED_VALUE"""),0.0)</f>
        <v>0</v>
      </c>
      <c r="W215" s="8">
        <f>IFERROR(__xludf.DUMMYFUNCTION("""COMPUTED_VALUE"""),0.0)</f>
        <v>0</v>
      </c>
      <c r="X215" s="8">
        <f>IFERROR(__xludf.DUMMYFUNCTION("""COMPUTED_VALUE"""),0.0)</f>
        <v>0</v>
      </c>
      <c r="Y215" s="8">
        <f>IFERROR(__xludf.DUMMYFUNCTION("""COMPUTED_VALUE"""),0.0)</f>
        <v>0</v>
      </c>
      <c r="Z215" s="8">
        <f>IFERROR(__xludf.DUMMYFUNCTION("""COMPUTED_VALUE"""),0.0)</f>
        <v>0</v>
      </c>
      <c r="AA215" s="8">
        <f>IFERROR(__xludf.DUMMYFUNCTION("""COMPUTED_VALUE"""),0.0)</f>
        <v>0</v>
      </c>
      <c r="AB215" s="8">
        <f>IFERROR(__xludf.DUMMYFUNCTION("""COMPUTED_VALUE"""),0.0)</f>
        <v>0</v>
      </c>
      <c r="AC215" s="8">
        <f>IFERROR(__xludf.DUMMYFUNCTION("""COMPUTED_VALUE"""),0.0)</f>
        <v>0</v>
      </c>
    </row>
    <row r="216" ht="15.75" customHeight="1">
      <c r="A216" s="6" t="str">
        <f>IFERROR(__xludf.DUMMYFUNCTION("""COMPUTED_VALUE"""),"be6caef02859b458c7e726aab639c65f41c8e1be")</f>
        <v>be6caef02859b458c7e726aab639c65f41c8e1be</v>
      </c>
      <c r="B216" s="6" t="str">
        <f>IFERROR(__xludf.DUMMYFUNCTION("""COMPUTED_VALUE"""),"Natural Godly Martial Art")</f>
        <v>Natural Godly Martial Art</v>
      </c>
      <c r="C216" s="6" t="str">
        <f>IFERROR(__xludf.DUMMYFUNCTION("""COMPUTED_VALUE"""),"Fantasy")</f>
        <v>Fantasy</v>
      </c>
      <c r="D216" s="11">
        <f>IFERROR(__xludf.DUMMYFUNCTION("""COMPUTED_VALUE"""),265.0)</f>
        <v>265</v>
      </c>
      <c r="E216" s="8">
        <f>IFERROR(__xludf.DUMMYFUNCTION("""COMPUTED_VALUE"""),0.981132075471698)</f>
        <v>0.9811320755</v>
      </c>
      <c r="F216" s="8">
        <f>IFERROR(__xludf.DUMMYFUNCTION("""COMPUTED_VALUE"""),0.365384615384615)</f>
        <v>0.3653846154</v>
      </c>
      <c r="G216" s="8">
        <f>IFERROR(__xludf.DUMMYFUNCTION("""COMPUTED_VALUE"""),0.326771653543307)</f>
        <v>0.3267716535</v>
      </c>
      <c r="H216" s="8">
        <f>IFERROR(__xludf.DUMMYFUNCTION("""COMPUTED_VALUE"""),0.253968253968253)</f>
        <v>0.253968254</v>
      </c>
      <c r="I216" s="8">
        <f>IFERROR(__xludf.DUMMYFUNCTION("""COMPUTED_VALUE"""),0.204081632653061)</f>
        <v>0.2040816327</v>
      </c>
      <c r="J216" s="8">
        <f>IFERROR(__xludf.DUMMYFUNCTION("""COMPUTED_VALUE"""),0.186440677966101)</f>
        <v>0.186440678</v>
      </c>
      <c r="K216" s="8">
        <f>IFERROR(__xludf.DUMMYFUNCTION("""COMPUTED_VALUE"""),0.18103448275862)</f>
        <v>0.1810344828</v>
      </c>
      <c r="L216" s="8">
        <f>IFERROR(__xludf.DUMMYFUNCTION("""COMPUTED_VALUE"""),0.178571428571428)</f>
        <v>0.1785714286</v>
      </c>
      <c r="M216" s="8">
        <f>IFERROR(__xludf.DUMMYFUNCTION("""COMPUTED_VALUE"""),0.147465437788018)</f>
        <v>0.1474654378</v>
      </c>
      <c r="N216" s="8">
        <f>IFERROR(__xludf.DUMMYFUNCTION("""COMPUTED_VALUE"""),0.137440758293838)</f>
        <v>0.1374407583</v>
      </c>
      <c r="O216" s="8">
        <f>IFERROR(__xludf.DUMMYFUNCTION("""COMPUTED_VALUE"""),0.1)</f>
        <v>0.1</v>
      </c>
      <c r="P216" s="8">
        <f>IFERROR(__xludf.DUMMYFUNCTION("""COMPUTED_VALUE"""),0.0489130434782608)</f>
        <v>0.04891304348</v>
      </c>
      <c r="Q216" s="8">
        <f>IFERROR(__xludf.DUMMYFUNCTION("""COMPUTED_VALUE"""),0.0)</f>
        <v>0</v>
      </c>
      <c r="R216" s="8">
        <f>IFERROR(__xludf.DUMMYFUNCTION("""COMPUTED_VALUE"""),0.0)</f>
        <v>0</v>
      </c>
      <c r="S216" s="8">
        <f>IFERROR(__xludf.DUMMYFUNCTION("""COMPUTED_VALUE"""),0.0)</f>
        <v>0</v>
      </c>
      <c r="T216" s="8">
        <f>IFERROR(__xludf.DUMMYFUNCTION("""COMPUTED_VALUE"""),0.0)</f>
        <v>0</v>
      </c>
      <c r="U216" s="8">
        <f>IFERROR(__xludf.DUMMYFUNCTION("""COMPUTED_VALUE"""),0.0)</f>
        <v>0</v>
      </c>
      <c r="V216" s="8">
        <f>IFERROR(__xludf.DUMMYFUNCTION("""COMPUTED_VALUE"""),0.0)</f>
        <v>0</v>
      </c>
      <c r="W216" s="8">
        <f>IFERROR(__xludf.DUMMYFUNCTION("""COMPUTED_VALUE"""),0.0)</f>
        <v>0</v>
      </c>
      <c r="X216" s="8">
        <f>IFERROR(__xludf.DUMMYFUNCTION("""COMPUTED_VALUE"""),0.0)</f>
        <v>0</v>
      </c>
      <c r="Y216" s="8">
        <f>IFERROR(__xludf.DUMMYFUNCTION("""COMPUTED_VALUE"""),0.0)</f>
        <v>0</v>
      </c>
      <c r="Z216" s="8">
        <f>IFERROR(__xludf.DUMMYFUNCTION("""COMPUTED_VALUE"""),0.0)</f>
        <v>0</v>
      </c>
      <c r="AA216" s="8">
        <f>IFERROR(__xludf.DUMMYFUNCTION("""COMPUTED_VALUE"""),0.0)</f>
        <v>0</v>
      </c>
      <c r="AB216" s="8">
        <f>IFERROR(__xludf.DUMMYFUNCTION("""COMPUTED_VALUE"""),0.0)</f>
        <v>0</v>
      </c>
      <c r="AC216" s="8">
        <f>IFERROR(__xludf.DUMMYFUNCTION("""COMPUTED_VALUE"""),0.0)</f>
        <v>0</v>
      </c>
    </row>
    <row r="217" ht="15.75" customHeight="1">
      <c r="A217" s="6" t="str">
        <f>IFERROR(__xludf.DUMMYFUNCTION("""COMPUTED_VALUE"""),"bf3632f1f9e1f3a7b864a989bb8f495a629a43cb")</f>
        <v>bf3632f1f9e1f3a7b864a989bb8f495a629a43cb</v>
      </c>
      <c r="B217" s="6" t="str">
        <f>IFERROR(__xludf.DUMMYFUNCTION("""COMPUTED_VALUE"""),"Her Secret Twins")</f>
        <v>Her Secret Twins</v>
      </c>
      <c r="C217" s="6" t="str">
        <f>IFERROR(__xludf.DUMMYFUNCTION("""COMPUTED_VALUE"""),"Romance")</f>
        <v>Romance</v>
      </c>
      <c r="D217" s="11">
        <f>IFERROR(__xludf.DUMMYFUNCTION("""COMPUTED_VALUE"""),4845.0)</f>
        <v>4845</v>
      </c>
      <c r="E217" s="8">
        <f>IFERROR(__xludf.DUMMYFUNCTION("""COMPUTED_VALUE"""),0.893867437538715)</f>
        <v>0.8938674375</v>
      </c>
      <c r="F217" s="8">
        <f>IFERROR(__xludf.DUMMYFUNCTION("""COMPUTED_VALUE"""),0.703719008264462)</f>
        <v>0.7037190083</v>
      </c>
      <c r="G217" s="8">
        <f>IFERROR(__xludf.DUMMYFUNCTION("""COMPUTED_VALUE"""),0.652685950413223)</f>
        <v>0.6526859504</v>
      </c>
      <c r="H217" s="8">
        <f>IFERROR(__xludf.DUMMYFUNCTION("""COMPUTED_VALUE"""),0.617038875103391)</f>
        <v>0.6170388751</v>
      </c>
      <c r="I217" s="8">
        <f>IFERROR(__xludf.DUMMYFUNCTION("""COMPUTED_VALUE"""),0.588746379809681)</f>
        <v>0.5887463798</v>
      </c>
      <c r="J217" s="8">
        <f>IFERROR(__xludf.DUMMYFUNCTION("""COMPUTED_VALUE"""),0.571990884607416)</f>
        <v>0.5719908846</v>
      </c>
      <c r="K217" s="8">
        <f>IFERROR(__xludf.DUMMYFUNCTION("""COMPUTED_VALUE"""),0.556799336650083)</f>
        <v>0.5567993367</v>
      </c>
      <c r="L217" s="8">
        <f>IFERROR(__xludf.DUMMYFUNCTION("""COMPUTED_VALUE"""),0.543248288736776)</f>
        <v>0.5432482887</v>
      </c>
      <c r="M217" s="8">
        <f>IFERROR(__xludf.DUMMYFUNCTION("""COMPUTED_VALUE"""),0.53498027818144)</f>
        <v>0.5349802782</v>
      </c>
      <c r="N217" s="8">
        <f>IFERROR(__xludf.DUMMYFUNCTION("""COMPUTED_VALUE"""),0.526195426195426)</f>
        <v>0.5261954262</v>
      </c>
      <c r="O217" s="8">
        <f>IFERROR(__xludf.DUMMYFUNCTION("""COMPUTED_VALUE"""),0.485588972431077)</f>
        <v>0.4855889724</v>
      </c>
      <c r="P217" s="8">
        <f>IFERROR(__xludf.DUMMYFUNCTION("""COMPUTED_VALUE"""),0.465336134453781)</f>
        <v>0.4653361345</v>
      </c>
      <c r="Q217" s="8">
        <f>IFERROR(__xludf.DUMMYFUNCTION("""COMPUTED_VALUE"""),0.367853290183387)</f>
        <v>0.3678532902</v>
      </c>
      <c r="R217" s="8">
        <f>IFERROR(__xludf.DUMMYFUNCTION("""COMPUTED_VALUE"""),0.310548722800378)</f>
        <v>0.3105487228</v>
      </c>
      <c r="S217" s="8">
        <f>IFERROR(__xludf.DUMMYFUNCTION("""COMPUTED_VALUE"""),0.250397456279809)</f>
        <v>0.2503974563</v>
      </c>
      <c r="T217" s="8">
        <f>IFERROR(__xludf.DUMMYFUNCTION("""COMPUTED_VALUE"""),0.191286589516678)</f>
        <v>0.1912865895</v>
      </c>
      <c r="U217" s="8">
        <f>IFERROR(__xludf.DUMMYFUNCTION("""COMPUTED_VALUE"""),0.145852324521422)</f>
        <v>0.1458523245</v>
      </c>
      <c r="V217" s="8">
        <f>IFERROR(__xludf.DUMMYFUNCTION("""COMPUTED_VALUE"""),0.133185349611542)</f>
        <v>0.1331853496</v>
      </c>
      <c r="W217" s="8">
        <f>IFERROR(__xludf.DUMMYFUNCTION("""COMPUTED_VALUE"""),0.103683492496589)</f>
        <v>0.1036834925</v>
      </c>
      <c r="X217" s="8">
        <f>IFERROR(__xludf.DUMMYFUNCTION("""COMPUTED_VALUE"""),0.0919931856899489)</f>
        <v>0.09199318569</v>
      </c>
      <c r="Y217" s="8">
        <f>IFERROR(__xludf.DUMMYFUNCTION("""COMPUTED_VALUE"""),0.0707964601769911)</f>
        <v>0.07079646018</v>
      </c>
      <c r="Z217" s="8">
        <f>IFERROR(__xludf.DUMMYFUNCTION("""COMPUTED_VALUE"""),0.0448717948717948)</f>
        <v>0.04487179487</v>
      </c>
      <c r="AA217" s="8">
        <f>IFERROR(__xludf.DUMMYFUNCTION("""COMPUTED_VALUE"""),0.0434782608695652)</f>
        <v>0.04347826087</v>
      </c>
      <c r="AB217" s="8">
        <f>IFERROR(__xludf.DUMMYFUNCTION("""COMPUTED_VALUE"""),0.0)</f>
        <v>0</v>
      </c>
      <c r="AC217" s="8">
        <f>IFERROR(__xludf.DUMMYFUNCTION("""COMPUTED_VALUE"""),0.0)</f>
        <v>0</v>
      </c>
    </row>
    <row r="218" ht="15.75" customHeight="1">
      <c r="A218" s="6" t="str">
        <f>IFERROR(__xludf.DUMMYFUNCTION("""COMPUTED_VALUE"""),"c04c6d5eb020135b9855b7b2290092294bd33d99")</f>
        <v>c04c6d5eb020135b9855b7b2290092294bd33d99</v>
      </c>
      <c r="B218" s="6" t="str">
        <f>IFERROR(__xludf.DUMMYFUNCTION("""COMPUTED_VALUE"""),"My Crimson Bite")</f>
        <v>My Crimson Bite</v>
      </c>
      <c r="C218" s="6" t="str">
        <f>IFERROR(__xludf.DUMMYFUNCTION("""COMPUTED_VALUE"""),"Romantasy")</f>
        <v>Romantasy</v>
      </c>
      <c r="D218" s="11">
        <f>IFERROR(__xludf.DUMMYFUNCTION("""COMPUTED_VALUE"""),508.0)</f>
        <v>508</v>
      </c>
      <c r="E218" s="8">
        <f>IFERROR(__xludf.DUMMYFUNCTION("""COMPUTED_VALUE"""),0.96579476861167)</f>
        <v>0.9657947686</v>
      </c>
      <c r="F218" s="8">
        <f>IFERROR(__xludf.DUMMYFUNCTION("""COMPUTED_VALUE"""),0.533604887983706)</f>
        <v>0.533604888</v>
      </c>
      <c r="G218" s="8">
        <f>IFERROR(__xludf.DUMMYFUNCTION("""COMPUTED_VALUE"""),0.441908713692946)</f>
        <v>0.4419087137</v>
      </c>
      <c r="H218" s="8">
        <f>IFERROR(__xludf.DUMMYFUNCTION("""COMPUTED_VALUE"""),0.413276231263383)</f>
        <v>0.4132762313</v>
      </c>
      <c r="I218" s="8">
        <f>IFERROR(__xludf.DUMMYFUNCTION("""COMPUTED_VALUE"""),0.395248380129589)</f>
        <v>0.3952483801</v>
      </c>
      <c r="J218" s="8">
        <f>IFERROR(__xludf.DUMMYFUNCTION("""COMPUTED_VALUE"""),0.393023255813953)</f>
        <v>0.3930232558</v>
      </c>
      <c r="K218" s="8">
        <f>IFERROR(__xludf.DUMMYFUNCTION("""COMPUTED_VALUE"""),0.372960372960373)</f>
        <v>0.372960373</v>
      </c>
      <c r="L218" s="8">
        <f>IFERROR(__xludf.DUMMYFUNCTION("""COMPUTED_VALUE"""),0.344988344988344)</f>
        <v>0.344988345</v>
      </c>
      <c r="M218" s="8">
        <f>IFERROR(__xludf.DUMMYFUNCTION("""COMPUTED_VALUE"""),0.322429906542056)</f>
        <v>0.3224299065</v>
      </c>
      <c r="N218" s="8">
        <f>IFERROR(__xludf.DUMMYFUNCTION("""COMPUTED_VALUE"""),0.318501170960187)</f>
        <v>0.318501171</v>
      </c>
      <c r="O218" s="8">
        <f>IFERROR(__xludf.DUMMYFUNCTION("""COMPUTED_VALUE"""),0.252983293556085)</f>
        <v>0.2529832936</v>
      </c>
      <c r="P218" s="8">
        <f>IFERROR(__xludf.DUMMYFUNCTION("""COMPUTED_VALUE"""),0.177339901477832)</f>
        <v>0.1773399015</v>
      </c>
      <c r="Q218" s="8">
        <f>IFERROR(__xludf.DUMMYFUNCTION("""COMPUTED_VALUE"""),0.096045197740113)</f>
        <v>0.09604519774</v>
      </c>
      <c r="R218" s="8">
        <f>IFERROR(__xludf.DUMMYFUNCTION("""COMPUTED_VALUE"""),0.0)</f>
        <v>0</v>
      </c>
      <c r="S218" s="8">
        <f>IFERROR(__xludf.DUMMYFUNCTION("""COMPUTED_VALUE"""),0.0)</f>
        <v>0</v>
      </c>
      <c r="T218" s="8">
        <f>IFERROR(__xludf.DUMMYFUNCTION("""COMPUTED_VALUE"""),0.0)</f>
        <v>0</v>
      </c>
      <c r="U218" s="8">
        <f>IFERROR(__xludf.DUMMYFUNCTION("""COMPUTED_VALUE"""),0.0)</f>
        <v>0</v>
      </c>
      <c r="V218" s="8">
        <f>IFERROR(__xludf.DUMMYFUNCTION("""COMPUTED_VALUE"""),0.0)</f>
        <v>0</v>
      </c>
      <c r="W218" s="8">
        <f>IFERROR(__xludf.DUMMYFUNCTION("""COMPUTED_VALUE"""),0.0)</f>
        <v>0</v>
      </c>
      <c r="X218" s="8">
        <f>IFERROR(__xludf.DUMMYFUNCTION("""COMPUTED_VALUE"""),0.0)</f>
        <v>0</v>
      </c>
      <c r="Y218" s="8">
        <f>IFERROR(__xludf.DUMMYFUNCTION("""COMPUTED_VALUE"""),0.0)</f>
        <v>0</v>
      </c>
      <c r="Z218" s="8">
        <f>IFERROR(__xludf.DUMMYFUNCTION("""COMPUTED_VALUE"""),0.0)</f>
        <v>0</v>
      </c>
      <c r="AA218" s="8">
        <f>IFERROR(__xludf.DUMMYFUNCTION("""COMPUTED_VALUE"""),0.0)</f>
        <v>0</v>
      </c>
      <c r="AB218" s="8">
        <f>IFERROR(__xludf.DUMMYFUNCTION("""COMPUTED_VALUE"""),0.0)</f>
        <v>0</v>
      </c>
      <c r="AC218" s="8">
        <f>IFERROR(__xludf.DUMMYFUNCTION("""COMPUTED_VALUE"""),0.0)</f>
        <v>0</v>
      </c>
    </row>
    <row r="219" ht="15.75" customHeight="1">
      <c r="A219" s="6" t="str">
        <f>IFERROR(__xludf.DUMMYFUNCTION("""COMPUTED_VALUE"""),"c2045ffb46d0538ca44af5ee011be0b36e81c395")</f>
        <v>c2045ffb46d0538ca44af5ee011be0b36e81c395</v>
      </c>
      <c r="B219" s="6" t="str">
        <f>IFERROR(__xludf.DUMMYFUNCTION("""COMPUTED_VALUE"""),"A Marriage of Ashes")</f>
        <v>A Marriage of Ashes</v>
      </c>
      <c r="C219" s="6" t="str">
        <f>IFERROR(__xludf.DUMMYFUNCTION("""COMPUTED_VALUE"""),"Romance")</f>
        <v>Romance</v>
      </c>
      <c r="D219" s="11">
        <f>IFERROR(__xludf.DUMMYFUNCTION("""COMPUTED_VALUE"""),811.0)</f>
        <v>811</v>
      </c>
      <c r="E219" s="8">
        <f>IFERROR(__xludf.DUMMYFUNCTION("""COMPUTED_VALUE"""),0.982737361282367)</f>
        <v>0.9827373613</v>
      </c>
      <c r="F219" s="8">
        <f>IFERROR(__xludf.DUMMYFUNCTION("""COMPUTED_VALUE"""),0.297163995067817)</f>
        <v>0.2971639951</v>
      </c>
      <c r="G219" s="8">
        <f>IFERROR(__xludf.DUMMYFUNCTION("""COMPUTED_VALUE"""),0.203703703703703)</f>
        <v>0.2037037037</v>
      </c>
      <c r="H219" s="8">
        <f>IFERROR(__xludf.DUMMYFUNCTION("""COMPUTED_VALUE"""),0.171817058096415)</f>
        <v>0.1718170581</v>
      </c>
      <c r="I219" s="8">
        <f>IFERROR(__xludf.DUMMYFUNCTION("""COMPUTED_VALUE"""),0.160692212608158)</f>
        <v>0.1606922126</v>
      </c>
      <c r="J219" s="8">
        <f>IFERROR(__xludf.DUMMYFUNCTION("""COMPUTED_VALUE"""),0.143386897404202)</f>
        <v>0.1433868974</v>
      </c>
      <c r="K219" s="8">
        <f>IFERROR(__xludf.DUMMYFUNCTION("""COMPUTED_VALUE"""),0.128553770086526)</f>
        <v>0.1285537701</v>
      </c>
      <c r="L219" s="8">
        <f>IFERROR(__xludf.DUMMYFUNCTION("""COMPUTED_VALUE"""),0.118665018541409)</f>
        <v>0.1186650185</v>
      </c>
      <c r="M219" s="8">
        <f>IFERROR(__xludf.DUMMYFUNCTION("""COMPUTED_VALUE"""),0.11495673671199)</f>
        <v>0.1149567367</v>
      </c>
      <c r="N219" s="8">
        <f>IFERROR(__xludf.DUMMYFUNCTION("""COMPUTED_VALUE"""),0.0964153275648949)</f>
        <v>0.09641532756</v>
      </c>
      <c r="O219" s="8">
        <f>IFERROR(__xludf.DUMMYFUNCTION("""COMPUTED_VALUE"""),0.0169731258840169)</f>
        <v>0.01697312588</v>
      </c>
      <c r="P219" s="8">
        <f>IFERROR(__xludf.DUMMYFUNCTION("""COMPUTED_VALUE"""),0.0)</f>
        <v>0</v>
      </c>
      <c r="Q219" s="8">
        <f>IFERROR(__xludf.DUMMYFUNCTION("""COMPUTED_VALUE"""),0.0)</f>
        <v>0</v>
      </c>
      <c r="R219" s="8">
        <f>IFERROR(__xludf.DUMMYFUNCTION("""COMPUTED_VALUE"""),0.0)</f>
        <v>0</v>
      </c>
      <c r="S219" s="8">
        <f>IFERROR(__xludf.DUMMYFUNCTION("""COMPUTED_VALUE"""),0.0)</f>
        <v>0</v>
      </c>
      <c r="T219" s="8">
        <f>IFERROR(__xludf.DUMMYFUNCTION("""COMPUTED_VALUE"""),0.0)</f>
        <v>0</v>
      </c>
      <c r="U219" s="8">
        <f>IFERROR(__xludf.DUMMYFUNCTION("""COMPUTED_VALUE"""),0.0)</f>
        <v>0</v>
      </c>
      <c r="V219" s="8">
        <f>IFERROR(__xludf.DUMMYFUNCTION("""COMPUTED_VALUE"""),0.0)</f>
        <v>0</v>
      </c>
      <c r="W219" s="8">
        <f>IFERROR(__xludf.DUMMYFUNCTION("""COMPUTED_VALUE"""),0.0)</f>
        <v>0</v>
      </c>
      <c r="X219" s="8">
        <f>IFERROR(__xludf.DUMMYFUNCTION("""COMPUTED_VALUE"""),0.0)</f>
        <v>0</v>
      </c>
      <c r="Y219" s="8">
        <f>IFERROR(__xludf.DUMMYFUNCTION("""COMPUTED_VALUE"""),0.0)</f>
        <v>0</v>
      </c>
      <c r="Z219" s="8">
        <f>IFERROR(__xludf.DUMMYFUNCTION("""COMPUTED_VALUE"""),0.0)</f>
        <v>0</v>
      </c>
      <c r="AA219" s="8">
        <f>IFERROR(__xludf.DUMMYFUNCTION("""COMPUTED_VALUE"""),0.0)</f>
        <v>0</v>
      </c>
      <c r="AB219" s="8">
        <f>IFERROR(__xludf.DUMMYFUNCTION("""COMPUTED_VALUE"""),0.0)</f>
        <v>0</v>
      </c>
      <c r="AC219" s="8">
        <f>IFERROR(__xludf.DUMMYFUNCTION("""COMPUTED_VALUE"""),0.0)</f>
        <v>0</v>
      </c>
    </row>
    <row r="220" ht="15.75" customHeight="1">
      <c r="A220" s="6" t="str">
        <f>IFERROR(__xludf.DUMMYFUNCTION("""COMPUTED_VALUE"""),"c4463ba00f6c126612324139644418680a50dd75")</f>
        <v>c4463ba00f6c126612324139644418680a50dd75</v>
      </c>
      <c r="B220" s="6" t="str">
        <f>IFERROR(__xludf.DUMMYFUNCTION("""COMPUTED_VALUE"""),"Bloodstar")</f>
        <v>Bloodstar</v>
      </c>
      <c r="C220" s="6" t="str">
        <f>IFERROR(__xludf.DUMMYFUNCTION("""COMPUTED_VALUE"""),"System and Superpower")</f>
        <v>System and Superpower</v>
      </c>
      <c r="D220" s="11">
        <f>IFERROR(__xludf.DUMMYFUNCTION("""COMPUTED_VALUE"""),41.0)</f>
        <v>41</v>
      </c>
      <c r="E220" s="8">
        <f>IFERROR(__xludf.DUMMYFUNCTION("""COMPUTED_VALUE"""),1.0)</f>
        <v>1</v>
      </c>
      <c r="F220" s="8">
        <f>IFERROR(__xludf.DUMMYFUNCTION("""COMPUTED_VALUE"""),0.682926829268292)</f>
        <v>0.6829268293</v>
      </c>
      <c r="G220" s="8">
        <f>IFERROR(__xludf.DUMMYFUNCTION("""COMPUTED_VALUE"""),0.48780487804878)</f>
        <v>0.487804878</v>
      </c>
      <c r="H220" s="8">
        <f>IFERROR(__xludf.DUMMYFUNCTION("""COMPUTED_VALUE"""),0.317073170731707)</f>
        <v>0.3170731707</v>
      </c>
      <c r="I220" s="8">
        <f>IFERROR(__xludf.DUMMYFUNCTION("""COMPUTED_VALUE"""),0.268292682926829)</f>
        <v>0.2682926829</v>
      </c>
      <c r="J220" s="8">
        <f>IFERROR(__xludf.DUMMYFUNCTION("""COMPUTED_VALUE"""),0.275)</f>
        <v>0.275</v>
      </c>
      <c r="K220" s="8">
        <f>IFERROR(__xludf.DUMMYFUNCTION("""COMPUTED_VALUE"""),0.256410256410256)</f>
        <v>0.2564102564</v>
      </c>
      <c r="L220" s="8">
        <f>IFERROR(__xludf.DUMMYFUNCTION("""COMPUTED_VALUE"""),0.23076923076923)</f>
        <v>0.2307692308</v>
      </c>
      <c r="M220" s="8">
        <f>IFERROR(__xludf.DUMMYFUNCTION("""COMPUTED_VALUE"""),0.222222222222222)</f>
        <v>0.2222222222</v>
      </c>
      <c r="N220" s="8">
        <f>IFERROR(__xludf.DUMMYFUNCTION("""COMPUTED_VALUE"""),0.25)</f>
        <v>0.25</v>
      </c>
      <c r="O220" s="8">
        <f>IFERROR(__xludf.DUMMYFUNCTION("""COMPUTED_VALUE"""),0.2)</f>
        <v>0.2</v>
      </c>
      <c r="P220" s="8">
        <f>IFERROR(__xludf.DUMMYFUNCTION("""COMPUTED_VALUE"""),0.2)</f>
        <v>0.2</v>
      </c>
      <c r="Q220" s="8">
        <f>IFERROR(__xludf.DUMMYFUNCTION("""COMPUTED_VALUE"""),0.0)</f>
        <v>0</v>
      </c>
      <c r="R220" s="8">
        <f>IFERROR(__xludf.DUMMYFUNCTION("""COMPUTED_VALUE"""),0.0)</f>
        <v>0</v>
      </c>
      <c r="S220" s="8">
        <f>IFERROR(__xludf.DUMMYFUNCTION("""COMPUTED_VALUE"""),0.0)</f>
        <v>0</v>
      </c>
      <c r="T220" s="8">
        <f>IFERROR(__xludf.DUMMYFUNCTION("""COMPUTED_VALUE"""),0.0)</f>
        <v>0</v>
      </c>
      <c r="U220" s="8">
        <f>IFERROR(__xludf.DUMMYFUNCTION("""COMPUTED_VALUE"""),0.0)</f>
        <v>0</v>
      </c>
      <c r="V220" s="8">
        <f>IFERROR(__xludf.DUMMYFUNCTION("""COMPUTED_VALUE"""),0.0)</f>
        <v>0</v>
      </c>
      <c r="W220" s="8">
        <f>IFERROR(__xludf.DUMMYFUNCTION("""COMPUTED_VALUE"""),0.0)</f>
        <v>0</v>
      </c>
      <c r="X220" s="8">
        <f>IFERROR(__xludf.DUMMYFUNCTION("""COMPUTED_VALUE"""),0.0)</f>
        <v>0</v>
      </c>
      <c r="Y220" s="8">
        <f>IFERROR(__xludf.DUMMYFUNCTION("""COMPUTED_VALUE"""),0.0)</f>
        <v>0</v>
      </c>
      <c r="Z220" s="8">
        <f>IFERROR(__xludf.DUMMYFUNCTION("""COMPUTED_VALUE"""),0.0)</f>
        <v>0</v>
      </c>
      <c r="AA220" s="8">
        <f>IFERROR(__xludf.DUMMYFUNCTION("""COMPUTED_VALUE"""),0.0)</f>
        <v>0</v>
      </c>
      <c r="AB220" s="8">
        <f>IFERROR(__xludf.DUMMYFUNCTION("""COMPUTED_VALUE"""),0.0)</f>
        <v>0</v>
      </c>
      <c r="AC220" s="8">
        <f>IFERROR(__xludf.DUMMYFUNCTION("""COMPUTED_VALUE"""),0.0)</f>
        <v>0</v>
      </c>
    </row>
    <row r="221" ht="15.75" customHeight="1">
      <c r="A221" s="6" t="str">
        <f>IFERROR(__xludf.DUMMYFUNCTION("""COMPUTED_VALUE"""),"c6590012d529ed8d9e5750565fe5d91ddd1144d5")</f>
        <v>c6590012d529ed8d9e5750565fe5d91ddd1144d5</v>
      </c>
      <c r="B221" s="6" t="str">
        <f>IFERROR(__xludf.DUMMYFUNCTION("""COMPUTED_VALUE"""),"Rise of Charles Atticus")</f>
        <v>Rise of Charles Atticus</v>
      </c>
      <c r="C221" s="6" t="str">
        <f>IFERROR(__xludf.DUMMYFUNCTION("""COMPUTED_VALUE"""),"Fantasy")</f>
        <v>Fantasy</v>
      </c>
      <c r="D221" s="11">
        <f>IFERROR(__xludf.DUMMYFUNCTION("""COMPUTED_VALUE"""),191.0)</f>
        <v>191</v>
      </c>
      <c r="E221" s="8">
        <f>IFERROR(__xludf.DUMMYFUNCTION("""COMPUTED_VALUE"""),0.968253968253968)</f>
        <v>0.9682539683</v>
      </c>
      <c r="F221" s="8">
        <f>IFERROR(__xludf.DUMMYFUNCTION("""COMPUTED_VALUE"""),0.628930817610062)</f>
        <v>0.6289308176</v>
      </c>
      <c r="G221" s="8">
        <f>IFERROR(__xludf.DUMMYFUNCTION("""COMPUTED_VALUE"""),0.550724637681159)</f>
        <v>0.5507246377</v>
      </c>
      <c r="H221" s="8">
        <f>IFERROR(__xludf.DUMMYFUNCTION("""COMPUTED_VALUE"""),0.508196721311475)</f>
        <v>0.5081967213</v>
      </c>
      <c r="I221" s="8">
        <f>IFERROR(__xludf.DUMMYFUNCTION("""COMPUTED_VALUE"""),0.5125)</f>
        <v>0.5125</v>
      </c>
      <c r="J221" s="8">
        <f>IFERROR(__xludf.DUMMYFUNCTION("""COMPUTED_VALUE"""),0.392857142857142)</f>
        <v>0.3928571429</v>
      </c>
      <c r="K221" s="8">
        <f>IFERROR(__xludf.DUMMYFUNCTION("""COMPUTED_VALUE"""),0.36)</f>
        <v>0.36</v>
      </c>
      <c r="L221" s="8">
        <f>IFERROR(__xludf.DUMMYFUNCTION("""COMPUTED_VALUE"""),0.326530612244897)</f>
        <v>0.3265306122</v>
      </c>
      <c r="M221" s="8">
        <f>IFERROR(__xludf.DUMMYFUNCTION("""COMPUTED_VALUE"""),0.333333333333333)</f>
        <v>0.3333333333</v>
      </c>
      <c r="N221" s="8">
        <f>IFERROR(__xludf.DUMMYFUNCTION("""COMPUTED_VALUE"""),0.333333333333333)</f>
        <v>0.3333333333</v>
      </c>
      <c r="O221" s="8">
        <f>IFERROR(__xludf.DUMMYFUNCTION("""COMPUTED_VALUE"""),0.4)</f>
        <v>0.4</v>
      </c>
      <c r="P221" s="8">
        <f>IFERROR(__xludf.DUMMYFUNCTION("""COMPUTED_VALUE"""),1.0)</f>
        <v>1</v>
      </c>
      <c r="Q221" s="8">
        <f>IFERROR(__xludf.DUMMYFUNCTION("""COMPUTED_VALUE"""),0.0)</f>
        <v>0</v>
      </c>
      <c r="R221" s="8">
        <f>IFERROR(__xludf.DUMMYFUNCTION("""COMPUTED_VALUE"""),0.0)</f>
        <v>0</v>
      </c>
      <c r="S221" s="8">
        <f>IFERROR(__xludf.DUMMYFUNCTION("""COMPUTED_VALUE"""),0.0)</f>
        <v>0</v>
      </c>
      <c r="T221" s="8">
        <f>IFERROR(__xludf.DUMMYFUNCTION("""COMPUTED_VALUE"""),0.0)</f>
        <v>0</v>
      </c>
      <c r="U221" s="8">
        <f>IFERROR(__xludf.DUMMYFUNCTION("""COMPUTED_VALUE"""),0.0)</f>
        <v>0</v>
      </c>
      <c r="V221" s="8">
        <f>IFERROR(__xludf.DUMMYFUNCTION("""COMPUTED_VALUE"""),0.0)</f>
        <v>0</v>
      </c>
      <c r="W221" s="8">
        <f>IFERROR(__xludf.DUMMYFUNCTION("""COMPUTED_VALUE"""),0.0)</f>
        <v>0</v>
      </c>
      <c r="X221" s="8">
        <f>IFERROR(__xludf.DUMMYFUNCTION("""COMPUTED_VALUE"""),0.0)</f>
        <v>0</v>
      </c>
      <c r="Y221" s="8">
        <f>IFERROR(__xludf.DUMMYFUNCTION("""COMPUTED_VALUE"""),0.0)</f>
        <v>0</v>
      </c>
      <c r="Z221" s="8">
        <f>IFERROR(__xludf.DUMMYFUNCTION("""COMPUTED_VALUE"""),0.0)</f>
        <v>0</v>
      </c>
      <c r="AA221" s="8">
        <f>IFERROR(__xludf.DUMMYFUNCTION("""COMPUTED_VALUE"""),0.0)</f>
        <v>0</v>
      </c>
      <c r="AB221" s="8">
        <f>IFERROR(__xludf.DUMMYFUNCTION("""COMPUTED_VALUE"""),0.0)</f>
        <v>0</v>
      </c>
      <c r="AC221" s="8">
        <f>IFERROR(__xludf.DUMMYFUNCTION("""COMPUTED_VALUE"""),0.0)</f>
        <v>0</v>
      </c>
    </row>
    <row r="222" ht="15.75" customHeight="1">
      <c r="A222" s="6" t="str">
        <f>IFERROR(__xludf.DUMMYFUNCTION("""COMPUTED_VALUE"""),"c66d5521f195754d722c7e3daab2da20a027dd0c")</f>
        <v>c66d5521f195754d722c7e3daab2da20a027dd0c</v>
      </c>
      <c r="B222" s="6" t="str">
        <f>IFERROR(__xludf.DUMMYFUNCTION("""COMPUTED_VALUE"""),"Ceo's Heartbreaker")</f>
        <v>Ceo's Heartbreaker</v>
      </c>
      <c r="C222" s="6" t="str">
        <f>IFERROR(__xludf.DUMMYFUNCTION("""COMPUTED_VALUE"""),"Romance")</f>
        <v>Romance</v>
      </c>
      <c r="D222" s="11">
        <f>IFERROR(__xludf.DUMMYFUNCTION("""COMPUTED_VALUE"""),344.0)</f>
        <v>344</v>
      </c>
      <c r="E222" s="8">
        <f>IFERROR(__xludf.DUMMYFUNCTION("""COMPUTED_VALUE"""),0.944444444444444)</f>
        <v>0.9444444444</v>
      </c>
      <c r="F222" s="8">
        <f>IFERROR(__xludf.DUMMYFUNCTION("""COMPUTED_VALUE"""),0.565088757396449)</f>
        <v>0.5650887574</v>
      </c>
      <c r="G222" s="8">
        <f>IFERROR(__xludf.DUMMYFUNCTION("""COMPUTED_VALUE"""),0.437125748502994)</f>
        <v>0.4371257485</v>
      </c>
      <c r="H222" s="8">
        <f>IFERROR(__xludf.DUMMYFUNCTION("""COMPUTED_VALUE"""),0.405487804878048)</f>
        <v>0.4054878049</v>
      </c>
      <c r="I222" s="8">
        <f>IFERROR(__xludf.DUMMYFUNCTION("""COMPUTED_VALUE"""),0.312693498452012)</f>
        <v>0.3126934985</v>
      </c>
      <c r="J222" s="8">
        <f>IFERROR(__xludf.DUMMYFUNCTION("""COMPUTED_VALUE"""),0.298742138364779)</f>
        <v>0.2987421384</v>
      </c>
      <c r="K222" s="8">
        <f>IFERROR(__xludf.DUMMYFUNCTION("""COMPUTED_VALUE"""),0.271565495207667)</f>
        <v>0.2715654952</v>
      </c>
      <c r="L222" s="8">
        <f>IFERROR(__xludf.DUMMYFUNCTION("""COMPUTED_VALUE"""),0.252525252525252)</f>
        <v>0.2525252525</v>
      </c>
      <c r="M222" s="8">
        <f>IFERROR(__xludf.DUMMYFUNCTION("""COMPUTED_VALUE"""),0.245551601423487)</f>
        <v>0.2455516014</v>
      </c>
      <c r="N222" s="8">
        <f>IFERROR(__xludf.DUMMYFUNCTION("""COMPUTED_VALUE"""),0.24124513618677)</f>
        <v>0.2412451362</v>
      </c>
      <c r="O222" s="8">
        <f>IFERROR(__xludf.DUMMYFUNCTION("""COMPUTED_VALUE"""),0.23076923076923)</f>
        <v>0.2307692308</v>
      </c>
      <c r="P222" s="8">
        <f>IFERROR(__xludf.DUMMYFUNCTION("""COMPUTED_VALUE"""),0.160975609756097)</f>
        <v>0.1609756098</v>
      </c>
      <c r="Q222" s="8">
        <f>IFERROR(__xludf.DUMMYFUNCTION("""COMPUTED_VALUE"""),0.0780487804878048)</f>
        <v>0.07804878049</v>
      </c>
      <c r="R222" s="8">
        <f>IFERROR(__xludf.DUMMYFUNCTION("""COMPUTED_VALUE"""),0.0)</f>
        <v>0</v>
      </c>
      <c r="S222" s="8">
        <f>IFERROR(__xludf.DUMMYFUNCTION("""COMPUTED_VALUE"""),0.0)</f>
        <v>0</v>
      </c>
      <c r="T222" s="8">
        <f>IFERROR(__xludf.DUMMYFUNCTION("""COMPUTED_VALUE"""),0.0)</f>
        <v>0</v>
      </c>
      <c r="U222" s="8">
        <f>IFERROR(__xludf.DUMMYFUNCTION("""COMPUTED_VALUE"""),0.0)</f>
        <v>0</v>
      </c>
      <c r="V222" s="8">
        <f>IFERROR(__xludf.DUMMYFUNCTION("""COMPUTED_VALUE"""),0.0)</f>
        <v>0</v>
      </c>
      <c r="W222" s="8">
        <f>IFERROR(__xludf.DUMMYFUNCTION("""COMPUTED_VALUE"""),0.0)</f>
        <v>0</v>
      </c>
      <c r="X222" s="8">
        <f>IFERROR(__xludf.DUMMYFUNCTION("""COMPUTED_VALUE"""),0.0)</f>
        <v>0</v>
      </c>
      <c r="Y222" s="8">
        <f>IFERROR(__xludf.DUMMYFUNCTION("""COMPUTED_VALUE"""),0.0)</f>
        <v>0</v>
      </c>
      <c r="Z222" s="8">
        <f>IFERROR(__xludf.DUMMYFUNCTION("""COMPUTED_VALUE"""),0.0)</f>
        <v>0</v>
      </c>
      <c r="AA222" s="8">
        <f>IFERROR(__xludf.DUMMYFUNCTION("""COMPUTED_VALUE"""),0.0)</f>
        <v>0</v>
      </c>
      <c r="AB222" s="8">
        <f>IFERROR(__xludf.DUMMYFUNCTION("""COMPUTED_VALUE"""),0.0)</f>
        <v>0</v>
      </c>
      <c r="AC222" s="8">
        <f>IFERROR(__xludf.DUMMYFUNCTION("""COMPUTED_VALUE"""),0.0)</f>
        <v>0</v>
      </c>
    </row>
    <row r="223" ht="15.75" customHeight="1">
      <c r="A223" s="6" t="str">
        <f>IFERROR(__xludf.DUMMYFUNCTION("""COMPUTED_VALUE"""),"c6786de3c05a64c2f4c13acbe0e61d8d4e111aad")</f>
        <v>c6786de3c05a64c2f4c13acbe0e61d8d4e111aad</v>
      </c>
      <c r="B223" s="6" t="str">
        <f>IFERROR(__xludf.DUMMYFUNCTION("""COMPUTED_VALUE"""),"Mr. Kane's Reluctant Wife")</f>
        <v>Mr. Kane's Reluctant Wife</v>
      </c>
      <c r="C223" s="6" t="str">
        <f>IFERROR(__xludf.DUMMYFUNCTION("""COMPUTED_VALUE"""),"Romance")</f>
        <v>Romance</v>
      </c>
      <c r="D223" s="11">
        <f>IFERROR(__xludf.DUMMYFUNCTION("""COMPUTED_VALUE"""),1345.0)</f>
        <v>1345</v>
      </c>
      <c r="E223" s="8">
        <f>IFERROR(__xludf.DUMMYFUNCTION("""COMPUTED_VALUE"""),0.951600893521965)</f>
        <v>0.9516008935</v>
      </c>
      <c r="F223" s="8">
        <f>IFERROR(__xludf.DUMMYFUNCTION("""COMPUTED_VALUE"""),0.57910447761194)</f>
        <v>0.5791044776</v>
      </c>
      <c r="G223" s="8">
        <f>IFERROR(__xludf.DUMMYFUNCTION("""COMPUTED_VALUE"""),0.517550410754294)</f>
        <v>0.5175504108</v>
      </c>
      <c r="H223" s="8">
        <f>IFERROR(__xludf.DUMMYFUNCTION("""COMPUTED_VALUE"""),0.500747384155455)</f>
        <v>0.5007473842</v>
      </c>
      <c r="I223" s="8">
        <f>IFERROR(__xludf.DUMMYFUNCTION("""COMPUTED_VALUE"""),0.468515742128935)</f>
        <v>0.4685157421</v>
      </c>
      <c r="J223" s="8">
        <f>IFERROR(__xludf.DUMMYFUNCTION("""COMPUTED_VALUE"""),0.452363090772693)</f>
        <v>0.4523630908</v>
      </c>
      <c r="K223" s="8">
        <f>IFERROR(__xludf.DUMMYFUNCTION("""COMPUTED_VALUE"""),0.439097744360902)</f>
        <v>0.4390977444</v>
      </c>
      <c r="L223" s="8">
        <f>IFERROR(__xludf.DUMMYFUNCTION("""COMPUTED_VALUE"""),0.434586466165413)</f>
        <v>0.4345864662</v>
      </c>
      <c r="M223" s="8">
        <f>IFERROR(__xludf.DUMMYFUNCTION("""COMPUTED_VALUE"""),0.431578947368421)</f>
        <v>0.4315789474</v>
      </c>
      <c r="N223" s="8">
        <f>IFERROR(__xludf.DUMMYFUNCTION("""COMPUTED_VALUE"""),0.419306184012066)</f>
        <v>0.419306184</v>
      </c>
      <c r="O223" s="8">
        <f>IFERROR(__xludf.DUMMYFUNCTION("""COMPUTED_VALUE"""),0.397692307692307)</f>
        <v>0.3976923077</v>
      </c>
      <c r="P223" s="8">
        <f>IFERROR(__xludf.DUMMYFUNCTION("""COMPUTED_VALUE"""),0.28996282527881)</f>
        <v>0.2899628253</v>
      </c>
      <c r="Q223" s="8">
        <f>IFERROR(__xludf.DUMMYFUNCTION("""COMPUTED_VALUE"""),0.184827586206896)</f>
        <v>0.1848275862</v>
      </c>
      <c r="R223" s="8">
        <f>IFERROR(__xludf.DUMMYFUNCTION("""COMPUTED_VALUE"""),0.0)</f>
        <v>0</v>
      </c>
      <c r="S223" s="8">
        <f>IFERROR(__xludf.DUMMYFUNCTION("""COMPUTED_VALUE"""),0.0)</f>
        <v>0</v>
      </c>
      <c r="T223" s="8">
        <f>IFERROR(__xludf.DUMMYFUNCTION("""COMPUTED_VALUE"""),0.0)</f>
        <v>0</v>
      </c>
      <c r="U223" s="8">
        <f>IFERROR(__xludf.DUMMYFUNCTION("""COMPUTED_VALUE"""),0.0)</f>
        <v>0</v>
      </c>
      <c r="V223" s="8">
        <f>IFERROR(__xludf.DUMMYFUNCTION("""COMPUTED_VALUE"""),0.0)</f>
        <v>0</v>
      </c>
      <c r="W223" s="8">
        <f>IFERROR(__xludf.DUMMYFUNCTION("""COMPUTED_VALUE"""),0.0)</f>
        <v>0</v>
      </c>
      <c r="X223" s="8">
        <f>IFERROR(__xludf.DUMMYFUNCTION("""COMPUTED_VALUE"""),0.0)</f>
        <v>0</v>
      </c>
      <c r="Y223" s="8">
        <f>IFERROR(__xludf.DUMMYFUNCTION("""COMPUTED_VALUE"""),0.0)</f>
        <v>0</v>
      </c>
      <c r="Z223" s="8">
        <f>IFERROR(__xludf.DUMMYFUNCTION("""COMPUTED_VALUE"""),0.0)</f>
        <v>0</v>
      </c>
      <c r="AA223" s="8">
        <f>IFERROR(__xludf.DUMMYFUNCTION("""COMPUTED_VALUE"""),0.0)</f>
        <v>0</v>
      </c>
      <c r="AB223" s="8">
        <f>IFERROR(__xludf.DUMMYFUNCTION("""COMPUTED_VALUE"""),0.0)</f>
        <v>0</v>
      </c>
      <c r="AC223" s="8">
        <f>IFERROR(__xludf.DUMMYFUNCTION("""COMPUTED_VALUE"""),0.0)</f>
        <v>0</v>
      </c>
    </row>
    <row r="224" ht="15.75" customHeight="1">
      <c r="A224" s="6" t="str">
        <f>IFERROR(__xludf.DUMMYFUNCTION("""COMPUTED_VALUE"""),"c8219b2f9d80ce631da27b15849041dbb194dc76")</f>
        <v>c8219b2f9d80ce631da27b15849041dbb194dc76</v>
      </c>
      <c r="B224" s="6" t="str">
        <f>IFERROR(__xludf.DUMMYFUNCTION("""COMPUTED_VALUE"""),"The Fire God's Heir")</f>
        <v>The Fire God's Heir</v>
      </c>
      <c r="C224" s="6" t="str">
        <f>IFERROR(__xludf.DUMMYFUNCTION("""COMPUTED_VALUE"""),"Romantasy")</f>
        <v>Romantasy</v>
      </c>
      <c r="D224" s="11">
        <f>IFERROR(__xludf.DUMMYFUNCTION("""COMPUTED_VALUE"""),289.0)</f>
        <v>289</v>
      </c>
      <c r="E224" s="8">
        <f>IFERROR(__xludf.DUMMYFUNCTION("""COMPUTED_VALUE"""),0.937282229965156)</f>
        <v>0.93728223</v>
      </c>
      <c r="F224" s="8">
        <f>IFERROR(__xludf.DUMMYFUNCTION("""COMPUTED_VALUE"""),0.534050179211469)</f>
        <v>0.5340501792</v>
      </c>
      <c r="G224" s="8">
        <f>IFERROR(__xludf.DUMMYFUNCTION("""COMPUTED_VALUE"""),0.472924187725631)</f>
        <v>0.4729241877</v>
      </c>
      <c r="H224" s="8">
        <f>IFERROR(__xludf.DUMMYFUNCTION("""COMPUTED_VALUE"""),0.327137546468401)</f>
        <v>0.3271375465</v>
      </c>
      <c r="I224" s="8">
        <f>IFERROR(__xludf.DUMMYFUNCTION("""COMPUTED_VALUE"""),0.257575757575757)</f>
        <v>0.2575757576</v>
      </c>
      <c r="J224" s="8">
        <f>IFERROR(__xludf.DUMMYFUNCTION("""COMPUTED_VALUE"""),0.24124513618677)</f>
        <v>0.2412451362</v>
      </c>
      <c r="K224" s="8">
        <f>IFERROR(__xludf.DUMMYFUNCTION("""COMPUTED_VALUE"""),0.221343873517786)</f>
        <v>0.2213438735</v>
      </c>
      <c r="L224" s="8">
        <f>IFERROR(__xludf.DUMMYFUNCTION("""COMPUTED_VALUE"""),0.214574898785425)</f>
        <v>0.2145748988</v>
      </c>
      <c r="M224" s="8">
        <f>IFERROR(__xludf.DUMMYFUNCTION("""COMPUTED_VALUE"""),0.182572614107883)</f>
        <v>0.1825726141</v>
      </c>
      <c r="N224" s="8">
        <f>IFERROR(__xludf.DUMMYFUNCTION("""COMPUTED_VALUE"""),0.168776371308016)</f>
        <v>0.1687763713</v>
      </c>
      <c r="O224" s="8">
        <f>IFERROR(__xludf.DUMMYFUNCTION("""COMPUTED_VALUE"""),0.149321266968325)</f>
        <v>0.149321267</v>
      </c>
      <c r="P224" s="8">
        <f>IFERROR(__xludf.DUMMYFUNCTION("""COMPUTED_VALUE"""),0.0691244239631336)</f>
        <v>0.06912442396</v>
      </c>
      <c r="Q224" s="8">
        <f>IFERROR(__xludf.DUMMYFUNCTION("""COMPUTED_VALUE"""),0.0561797752808988)</f>
        <v>0.05617977528</v>
      </c>
      <c r="R224" s="8">
        <f>IFERROR(__xludf.DUMMYFUNCTION("""COMPUTED_VALUE"""),0.0)</f>
        <v>0</v>
      </c>
      <c r="S224" s="8">
        <f>IFERROR(__xludf.DUMMYFUNCTION("""COMPUTED_VALUE"""),0.0)</f>
        <v>0</v>
      </c>
      <c r="T224" s="8">
        <f>IFERROR(__xludf.DUMMYFUNCTION("""COMPUTED_VALUE"""),0.0)</f>
        <v>0</v>
      </c>
      <c r="U224" s="8">
        <f>IFERROR(__xludf.DUMMYFUNCTION("""COMPUTED_VALUE"""),0.0)</f>
        <v>0</v>
      </c>
      <c r="V224" s="8">
        <f>IFERROR(__xludf.DUMMYFUNCTION("""COMPUTED_VALUE"""),0.0)</f>
        <v>0</v>
      </c>
      <c r="W224" s="8">
        <f>IFERROR(__xludf.DUMMYFUNCTION("""COMPUTED_VALUE"""),0.0)</f>
        <v>0</v>
      </c>
      <c r="X224" s="8">
        <f>IFERROR(__xludf.DUMMYFUNCTION("""COMPUTED_VALUE"""),0.0)</f>
        <v>0</v>
      </c>
      <c r="Y224" s="8">
        <f>IFERROR(__xludf.DUMMYFUNCTION("""COMPUTED_VALUE"""),0.0)</f>
        <v>0</v>
      </c>
      <c r="Z224" s="8">
        <f>IFERROR(__xludf.DUMMYFUNCTION("""COMPUTED_VALUE"""),0.0)</f>
        <v>0</v>
      </c>
      <c r="AA224" s="8">
        <f>IFERROR(__xludf.DUMMYFUNCTION("""COMPUTED_VALUE"""),0.0)</f>
        <v>0</v>
      </c>
      <c r="AB224" s="8">
        <f>IFERROR(__xludf.DUMMYFUNCTION("""COMPUTED_VALUE"""),0.0)</f>
        <v>0</v>
      </c>
      <c r="AC224" s="8">
        <f>IFERROR(__xludf.DUMMYFUNCTION("""COMPUTED_VALUE"""),0.0)</f>
        <v>0</v>
      </c>
    </row>
    <row r="225" ht="15.75" customHeight="1">
      <c r="A225" s="6" t="str">
        <f>IFERROR(__xludf.DUMMYFUNCTION("""COMPUTED_VALUE"""),"c9fd6d447c06b151ec4563d30a1e1685e71bd29d")</f>
        <v>c9fd6d447c06b151ec4563d30a1e1685e71bd29d</v>
      </c>
      <c r="B225" s="6" t="str">
        <f>IFERROR(__xludf.DUMMYFUNCTION("""COMPUTED_VALUE"""),"Void Evolution System")</f>
        <v>Void Evolution System</v>
      </c>
      <c r="C225" s="6" t="str">
        <f>IFERROR(__xludf.DUMMYFUNCTION("""COMPUTED_VALUE"""),"Fantasy")</f>
        <v>Fantasy</v>
      </c>
      <c r="D225" s="11">
        <f>IFERROR(__xludf.DUMMYFUNCTION("""COMPUTED_VALUE"""),65.0)</f>
        <v>65</v>
      </c>
      <c r="E225" s="8">
        <f>IFERROR(__xludf.DUMMYFUNCTION("""COMPUTED_VALUE"""),0.984375)</f>
        <v>0.984375</v>
      </c>
      <c r="F225" s="8">
        <f>IFERROR(__xludf.DUMMYFUNCTION("""COMPUTED_VALUE"""),0.734375)</f>
        <v>0.734375</v>
      </c>
      <c r="G225" s="8">
        <f>IFERROR(__xludf.DUMMYFUNCTION("""COMPUTED_VALUE"""),0.671875)</f>
        <v>0.671875</v>
      </c>
      <c r="H225" s="8">
        <f>IFERROR(__xludf.DUMMYFUNCTION("""COMPUTED_VALUE"""),0.539682539682539)</f>
        <v>0.5396825397</v>
      </c>
      <c r="I225" s="8">
        <f>IFERROR(__xludf.DUMMYFUNCTION("""COMPUTED_VALUE"""),0.539682539682539)</f>
        <v>0.5396825397</v>
      </c>
      <c r="J225" s="8">
        <f>IFERROR(__xludf.DUMMYFUNCTION("""COMPUTED_VALUE"""),0.516129032258064)</f>
        <v>0.5161290323</v>
      </c>
      <c r="K225" s="8">
        <f>IFERROR(__xludf.DUMMYFUNCTION("""COMPUTED_VALUE"""),0.483333333333333)</f>
        <v>0.4833333333</v>
      </c>
      <c r="L225" s="8">
        <f>IFERROR(__xludf.DUMMYFUNCTION("""COMPUTED_VALUE"""),0.472727272727272)</f>
        <v>0.4727272727</v>
      </c>
      <c r="M225" s="8">
        <f>IFERROR(__xludf.DUMMYFUNCTION("""COMPUTED_VALUE"""),0.442307692307692)</f>
        <v>0.4423076923</v>
      </c>
      <c r="N225" s="8">
        <f>IFERROR(__xludf.DUMMYFUNCTION("""COMPUTED_VALUE"""),0.42)</f>
        <v>0.42</v>
      </c>
      <c r="O225" s="8">
        <f>IFERROR(__xludf.DUMMYFUNCTION("""COMPUTED_VALUE"""),0.0)</f>
        <v>0</v>
      </c>
      <c r="P225" s="8">
        <f>IFERROR(__xludf.DUMMYFUNCTION("""COMPUTED_VALUE"""),0.0)</f>
        <v>0</v>
      </c>
      <c r="Q225" s="8">
        <f>IFERROR(__xludf.DUMMYFUNCTION("""COMPUTED_VALUE"""),0.0)</f>
        <v>0</v>
      </c>
      <c r="R225" s="8">
        <f>IFERROR(__xludf.DUMMYFUNCTION("""COMPUTED_VALUE"""),0.0)</f>
        <v>0</v>
      </c>
      <c r="S225" s="8">
        <f>IFERROR(__xludf.DUMMYFUNCTION("""COMPUTED_VALUE"""),0.0)</f>
        <v>0</v>
      </c>
      <c r="T225" s="8">
        <f>IFERROR(__xludf.DUMMYFUNCTION("""COMPUTED_VALUE"""),0.0)</f>
        <v>0</v>
      </c>
      <c r="U225" s="8">
        <f>IFERROR(__xludf.DUMMYFUNCTION("""COMPUTED_VALUE"""),0.0)</f>
        <v>0</v>
      </c>
      <c r="V225" s="8">
        <f>IFERROR(__xludf.DUMMYFUNCTION("""COMPUTED_VALUE"""),0.0)</f>
        <v>0</v>
      </c>
      <c r="W225" s="8">
        <f>IFERROR(__xludf.DUMMYFUNCTION("""COMPUTED_VALUE"""),0.0)</f>
        <v>0</v>
      </c>
      <c r="X225" s="8">
        <f>IFERROR(__xludf.DUMMYFUNCTION("""COMPUTED_VALUE"""),0.0)</f>
        <v>0</v>
      </c>
      <c r="Y225" s="8">
        <f>IFERROR(__xludf.DUMMYFUNCTION("""COMPUTED_VALUE"""),0.0)</f>
        <v>0</v>
      </c>
      <c r="Z225" s="8">
        <f>IFERROR(__xludf.DUMMYFUNCTION("""COMPUTED_VALUE"""),0.0)</f>
        <v>0</v>
      </c>
      <c r="AA225" s="8">
        <f>IFERROR(__xludf.DUMMYFUNCTION("""COMPUTED_VALUE"""),0.0)</f>
        <v>0</v>
      </c>
      <c r="AB225" s="8">
        <f>IFERROR(__xludf.DUMMYFUNCTION("""COMPUTED_VALUE"""),0.0)</f>
        <v>0</v>
      </c>
      <c r="AC225" s="8">
        <f>IFERROR(__xludf.DUMMYFUNCTION("""COMPUTED_VALUE"""),0.0)</f>
        <v>0</v>
      </c>
    </row>
    <row r="226" ht="15.75" customHeight="1">
      <c r="A226" s="6" t="str">
        <f>IFERROR(__xludf.DUMMYFUNCTION("""COMPUTED_VALUE"""),"cae77d999ed2205a1ab04a54470de972ddd8bc69")</f>
        <v>cae77d999ed2205a1ab04a54470de972ddd8bc69</v>
      </c>
      <c r="B226" s="6" t="str">
        <f>IFERROR(__xludf.DUMMYFUNCTION("""COMPUTED_VALUE"""),"Atlas of My Heart")</f>
        <v>Atlas of My Heart</v>
      </c>
      <c r="C226" s="6" t="str">
        <f>IFERROR(__xludf.DUMMYFUNCTION("""COMPUTED_VALUE"""),"Romance")</f>
        <v>Romance</v>
      </c>
      <c r="D226" s="11">
        <f>IFERROR(__xludf.DUMMYFUNCTION("""COMPUTED_VALUE"""),1902.0)</f>
        <v>1902</v>
      </c>
      <c r="E226" s="8">
        <f>IFERROR(__xludf.DUMMYFUNCTION("""COMPUTED_VALUE"""),0.95155344918378)</f>
        <v>0.9515534492</v>
      </c>
      <c r="F226" s="8">
        <f>IFERROR(__xludf.DUMMYFUNCTION("""COMPUTED_VALUE"""),0.582760444209413)</f>
        <v>0.5827604442</v>
      </c>
      <c r="G226" s="8">
        <f>IFERROR(__xludf.DUMMYFUNCTION("""COMPUTED_VALUE"""),0.492845786963434)</f>
        <v>0.492845787</v>
      </c>
      <c r="H226" s="8">
        <f>IFERROR(__xludf.DUMMYFUNCTION("""COMPUTED_VALUE"""),0.431612559872272)</f>
        <v>0.4316125599</v>
      </c>
      <c r="I226" s="8">
        <f>IFERROR(__xludf.DUMMYFUNCTION("""COMPUTED_VALUE"""),0.370251471375066)</f>
        <v>0.3702514714</v>
      </c>
      <c r="J226" s="8">
        <f>IFERROR(__xludf.DUMMYFUNCTION("""COMPUTED_VALUE"""),0.323845327604726)</f>
        <v>0.3238453276</v>
      </c>
      <c r="K226" s="8">
        <f>IFERROR(__xludf.DUMMYFUNCTION("""COMPUTED_VALUE"""),0.308688613059902)</f>
        <v>0.3086886131</v>
      </c>
      <c r="L226" s="8">
        <f>IFERROR(__xludf.DUMMYFUNCTION("""COMPUTED_VALUE"""),0.288430200977729)</f>
        <v>0.288430201</v>
      </c>
      <c r="M226" s="8">
        <f>IFERROR(__xludf.DUMMYFUNCTION("""COMPUTED_VALUE"""),0.269711799891245)</f>
        <v>0.2697117999</v>
      </c>
      <c r="N226" s="8">
        <f>IFERROR(__xludf.DUMMYFUNCTION("""COMPUTED_VALUE"""),0.248226950354609)</f>
        <v>0.2482269504</v>
      </c>
      <c r="O226" s="8">
        <f>IFERROR(__xludf.DUMMYFUNCTION("""COMPUTED_VALUE"""),0.209263392857142)</f>
        <v>0.2092633929</v>
      </c>
      <c r="P226" s="8">
        <f>IFERROR(__xludf.DUMMYFUNCTION("""COMPUTED_VALUE"""),0.187961385576377)</f>
        <v>0.1879613856</v>
      </c>
      <c r="Q226" s="8">
        <f>IFERROR(__xludf.DUMMYFUNCTION("""COMPUTED_VALUE"""),0.138461538461538)</f>
        <v>0.1384615385</v>
      </c>
      <c r="R226" s="8">
        <f>IFERROR(__xludf.DUMMYFUNCTION("""COMPUTED_VALUE"""),0.0)</f>
        <v>0</v>
      </c>
      <c r="S226" s="8">
        <f>IFERROR(__xludf.DUMMYFUNCTION("""COMPUTED_VALUE"""),0.0)</f>
        <v>0</v>
      </c>
      <c r="T226" s="8">
        <f>IFERROR(__xludf.DUMMYFUNCTION("""COMPUTED_VALUE"""),0.0)</f>
        <v>0</v>
      </c>
      <c r="U226" s="8">
        <f>IFERROR(__xludf.DUMMYFUNCTION("""COMPUTED_VALUE"""),0.0)</f>
        <v>0</v>
      </c>
      <c r="V226" s="8">
        <f>IFERROR(__xludf.DUMMYFUNCTION("""COMPUTED_VALUE"""),0.0)</f>
        <v>0</v>
      </c>
      <c r="W226" s="8">
        <f>IFERROR(__xludf.DUMMYFUNCTION("""COMPUTED_VALUE"""),0.0)</f>
        <v>0</v>
      </c>
      <c r="X226" s="8">
        <f>IFERROR(__xludf.DUMMYFUNCTION("""COMPUTED_VALUE"""),0.0)</f>
        <v>0</v>
      </c>
      <c r="Y226" s="8">
        <f>IFERROR(__xludf.DUMMYFUNCTION("""COMPUTED_VALUE"""),0.0)</f>
        <v>0</v>
      </c>
      <c r="Z226" s="8">
        <f>IFERROR(__xludf.DUMMYFUNCTION("""COMPUTED_VALUE"""),0.0)</f>
        <v>0</v>
      </c>
      <c r="AA226" s="8">
        <f>IFERROR(__xludf.DUMMYFUNCTION("""COMPUTED_VALUE"""),0.0)</f>
        <v>0</v>
      </c>
      <c r="AB226" s="8">
        <f>IFERROR(__xludf.DUMMYFUNCTION("""COMPUTED_VALUE"""),0.0)</f>
        <v>0</v>
      </c>
      <c r="AC226" s="8">
        <f>IFERROR(__xludf.DUMMYFUNCTION("""COMPUTED_VALUE"""),0.0)</f>
        <v>0</v>
      </c>
    </row>
    <row r="227" ht="15.75" customHeight="1">
      <c r="A227" s="6" t="str">
        <f>IFERROR(__xludf.DUMMYFUNCTION("""COMPUTED_VALUE"""),"cc5ecb3fc21c174557bddcfbc36d821c915d89ed")</f>
        <v>cc5ecb3fc21c174557bddcfbc36d821c915d89ed</v>
      </c>
      <c r="B227" s="6" t="str">
        <f>IFERROR(__xludf.DUMMYFUNCTION("""COMPUTED_VALUE"""),"My Lovely Intruder")</f>
        <v>My Lovely Intruder</v>
      </c>
      <c r="C227" s="6" t="str">
        <f>IFERROR(__xludf.DUMMYFUNCTION("""COMPUTED_VALUE"""),"Romantasy")</f>
        <v>Romantasy</v>
      </c>
      <c r="D227" s="11">
        <f>IFERROR(__xludf.DUMMYFUNCTION("""COMPUTED_VALUE"""),394.0)</f>
        <v>394</v>
      </c>
      <c r="E227" s="8">
        <f>IFERROR(__xludf.DUMMYFUNCTION("""COMPUTED_VALUE"""),0.964102564102564)</f>
        <v>0.9641025641</v>
      </c>
      <c r="F227" s="8">
        <f>IFERROR(__xludf.DUMMYFUNCTION("""COMPUTED_VALUE"""),0.486979166666666)</f>
        <v>0.4869791667</v>
      </c>
      <c r="G227" s="8">
        <f>IFERROR(__xludf.DUMMYFUNCTION("""COMPUTED_VALUE"""),0.401574803149606)</f>
        <v>0.4015748031</v>
      </c>
      <c r="H227" s="8">
        <f>IFERROR(__xludf.DUMMYFUNCTION("""COMPUTED_VALUE"""),0.351063829787234)</f>
        <v>0.3510638298</v>
      </c>
      <c r="I227" s="8">
        <f>IFERROR(__xludf.DUMMYFUNCTION("""COMPUTED_VALUE"""),0.320754716981132)</f>
        <v>0.320754717</v>
      </c>
      <c r="J227" s="8">
        <f>IFERROR(__xludf.DUMMYFUNCTION("""COMPUTED_VALUE"""),0.28099173553719)</f>
        <v>0.2809917355</v>
      </c>
      <c r="K227" s="8">
        <f>IFERROR(__xludf.DUMMYFUNCTION("""COMPUTED_VALUE"""),0.282485875706214)</f>
        <v>0.2824858757</v>
      </c>
      <c r="L227" s="8">
        <f>IFERROR(__xludf.DUMMYFUNCTION("""COMPUTED_VALUE"""),0.257971014492753)</f>
        <v>0.2579710145</v>
      </c>
      <c r="M227" s="8">
        <f>IFERROR(__xludf.DUMMYFUNCTION("""COMPUTED_VALUE"""),0.249258160237388)</f>
        <v>0.2492581602</v>
      </c>
      <c r="N227" s="8">
        <f>IFERROR(__xludf.DUMMYFUNCTION("""COMPUTED_VALUE"""),0.245398773006134)</f>
        <v>0.245398773</v>
      </c>
      <c r="O227" s="8">
        <f>IFERROR(__xludf.DUMMYFUNCTION("""COMPUTED_VALUE"""),0.202846975088967)</f>
        <v>0.2028469751</v>
      </c>
      <c r="P227" s="8">
        <f>IFERROR(__xludf.DUMMYFUNCTION("""COMPUTED_VALUE"""),0.167272727272727)</f>
        <v>0.1672727273</v>
      </c>
      <c r="Q227" s="8">
        <f>IFERROR(__xludf.DUMMYFUNCTION("""COMPUTED_VALUE"""),0.130434782608695)</f>
        <v>0.1304347826</v>
      </c>
      <c r="R227" s="8">
        <f>IFERROR(__xludf.DUMMYFUNCTION("""COMPUTED_VALUE"""),0.118881118881118)</f>
        <v>0.1188811189</v>
      </c>
      <c r="S227" s="8">
        <f>IFERROR(__xludf.DUMMYFUNCTION("""COMPUTED_VALUE"""),0.0821917808219178)</f>
        <v>0.08219178082</v>
      </c>
      <c r="T227" s="8">
        <f>IFERROR(__xludf.DUMMYFUNCTION("""COMPUTED_VALUE"""),0.0833333333333333)</f>
        <v>0.08333333333</v>
      </c>
      <c r="U227" s="8">
        <f>IFERROR(__xludf.DUMMYFUNCTION("""COMPUTED_VALUE"""),0.0)</f>
        <v>0</v>
      </c>
      <c r="V227" s="8">
        <f>IFERROR(__xludf.DUMMYFUNCTION("""COMPUTED_VALUE"""),0.0)</f>
        <v>0</v>
      </c>
      <c r="W227" s="8">
        <f>IFERROR(__xludf.DUMMYFUNCTION("""COMPUTED_VALUE"""),0.0)</f>
        <v>0</v>
      </c>
      <c r="X227" s="8">
        <f>IFERROR(__xludf.DUMMYFUNCTION("""COMPUTED_VALUE"""),0.0)</f>
        <v>0</v>
      </c>
      <c r="Y227" s="8">
        <f>IFERROR(__xludf.DUMMYFUNCTION("""COMPUTED_VALUE"""),0.0)</f>
        <v>0</v>
      </c>
      <c r="Z227" s="8">
        <f>IFERROR(__xludf.DUMMYFUNCTION("""COMPUTED_VALUE"""),0.0)</f>
        <v>0</v>
      </c>
      <c r="AA227" s="8">
        <f>IFERROR(__xludf.DUMMYFUNCTION("""COMPUTED_VALUE"""),0.0)</f>
        <v>0</v>
      </c>
      <c r="AB227" s="8">
        <f>IFERROR(__xludf.DUMMYFUNCTION("""COMPUTED_VALUE"""),0.0)</f>
        <v>0</v>
      </c>
      <c r="AC227" s="8">
        <f>IFERROR(__xludf.DUMMYFUNCTION("""COMPUTED_VALUE"""),0.0)</f>
        <v>0</v>
      </c>
    </row>
    <row r="228" ht="15.75" customHeight="1">
      <c r="A228" s="6" t="str">
        <f>IFERROR(__xludf.DUMMYFUNCTION("""COMPUTED_VALUE"""),"cce017649e6098a735e72b5dbfed27f3c95bad78")</f>
        <v>cce017649e6098a735e72b5dbfed27f3c95bad78</v>
      </c>
      <c r="B228" s="6" t="str">
        <f>IFERROR(__xludf.DUMMYFUNCTION("""COMPUTED_VALUE"""),"Between Love and Betrayal")</f>
        <v>Between Love and Betrayal</v>
      </c>
      <c r="C228" s="6" t="str">
        <f>IFERROR(__xludf.DUMMYFUNCTION("""COMPUTED_VALUE"""),"Romance")</f>
        <v>Romance</v>
      </c>
      <c r="D228" s="11">
        <f>IFERROR(__xludf.DUMMYFUNCTION("""COMPUTED_VALUE"""),1161.0)</f>
        <v>1161</v>
      </c>
      <c r="E228" s="8">
        <f>IFERROR(__xludf.DUMMYFUNCTION("""COMPUTED_VALUE"""),0.962962962962962)</f>
        <v>0.962962963</v>
      </c>
      <c r="F228" s="8">
        <f>IFERROR(__xludf.DUMMYFUNCTION("""COMPUTED_VALUE"""),0.496545768566493)</f>
        <v>0.4965457686</v>
      </c>
      <c r="G228" s="8">
        <f>IFERROR(__xludf.DUMMYFUNCTION("""COMPUTED_VALUE"""),0.447231833910034)</f>
        <v>0.4472318339</v>
      </c>
      <c r="H228" s="8">
        <f>IFERROR(__xludf.DUMMYFUNCTION("""COMPUTED_VALUE"""),0.406926406926406)</f>
        <v>0.4069264069</v>
      </c>
      <c r="I228" s="8">
        <f>IFERROR(__xludf.DUMMYFUNCTION("""COMPUTED_VALUE"""),0.3671875)</f>
        <v>0.3671875</v>
      </c>
      <c r="J228" s="8">
        <f>IFERROR(__xludf.DUMMYFUNCTION("""COMPUTED_VALUE"""),0.349565217391304)</f>
        <v>0.3495652174</v>
      </c>
      <c r="K228" s="8">
        <f>IFERROR(__xludf.DUMMYFUNCTION("""COMPUTED_VALUE"""),0.339425587467362)</f>
        <v>0.3394255875</v>
      </c>
      <c r="L228" s="8">
        <f>IFERROR(__xludf.DUMMYFUNCTION("""COMPUTED_VALUE"""),0.318815331010452)</f>
        <v>0.318815331</v>
      </c>
      <c r="M228" s="8">
        <f>IFERROR(__xludf.DUMMYFUNCTION("""COMPUTED_VALUE"""),0.307759372275501)</f>
        <v>0.3077593723</v>
      </c>
      <c r="N228" s="8">
        <f>IFERROR(__xludf.DUMMYFUNCTION("""COMPUTED_VALUE"""),0.299212598425196)</f>
        <v>0.2992125984</v>
      </c>
      <c r="O228" s="8">
        <f>IFERROR(__xludf.DUMMYFUNCTION("""COMPUTED_VALUE"""),0.274319066147859)</f>
        <v>0.2743190661</v>
      </c>
      <c r="P228" s="8">
        <f>IFERROR(__xludf.DUMMYFUNCTION("""COMPUTED_VALUE"""),0.243664717348927)</f>
        <v>0.2436647173</v>
      </c>
      <c r="Q228" s="8">
        <f>IFERROR(__xludf.DUMMYFUNCTION("""COMPUTED_VALUE"""),0.23469387755102)</f>
        <v>0.2346938776</v>
      </c>
      <c r="R228" s="8">
        <f>IFERROR(__xludf.DUMMYFUNCTION("""COMPUTED_VALUE"""),0.151515151515151)</f>
        <v>0.1515151515</v>
      </c>
      <c r="S228" s="8">
        <f>IFERROR(__xludf.DUMMYFUNCTION("""COMPUTED_VALUE"""),0.0)</f>
        <v>0</v>
      </c>
      <c r="T228" s="8">
        <f>IFERROR(__xludf.DUMMYFUNCTION("""COMPUTED_VALUE"""),0.0)</f>
        <v>0</v>
      </c>
      <c r="U228" s="8">
        <f>IFERROR(__xludf.DUMMYFUNCTION("""COMPUTED_VALUE"""),0.0)</f>
        <v>0</v>
      </c>
      <c r="V228" s="8">
        <f>IFERROR(__xludf.DUMMYFUNCTION("""COMPUTED_VALUE"""),0.0)</f>
        <v>0</v>
      </c>
      <c r="W228" s="8">
        <f>IFERROR(__xludf.DUMMYFUNCTION("""COMPUTED_VALUE"""),0.0)</f>
        <v>0</v>
      </c>
      <c r="X228" s="8">
        <f>IFERROR(__xludf.DUMMYFUNCTION("""COMPUTED_VALUE"""),0.0)</f>
        <v>0</v>
      </c>
      <c r="Y228" s="8">
        <f>IFERROR(__xludf.DUMMYFUNCTION("""COMPUTED_VALUE"""),0.0)</f>
        <v>0</v>
      </c>
      <c r="Z228" s="8">
        <f>IFERROR(__xludf.DUMMYFUNCTION("""COMPUTED_VALUE"""),0.0)</f>
        <v>0</v>
      </c>
      <c r="AA228" s="8">
        <f>IFERROR(__xludf.DUMMYFUNCTION("""COMPUTED_VALUE"""),0.0)</f>
        <v>0</v>
      </c>
      <c r="AB228" s="8">
        <f>IFERROR(__xludf.DUMMYFUNCTION("""COMPUTED_VALUE"""),0.0)</f>
        <v>0</v>
      </c>
      <c r="AC228" s="8">
        <f>IFERROR(__xludf.DUMMYFUNCTION("""COMPUTED_VALUE"""),0.0)</f>
        <v>0</v>
      </c>
    </row>
    <row r="229" ht="15.75" customHeight="1">
      <c r="A229" s="6" t="str">
        <f>IFERROR(__xludf.DUMMYFUNCTION("""COMPUTED_VALUE"""),"cdb3a84d505dbefdca86cae60d3db90f949368f1")</f>
        <v>cdb3a84d505dbefdca86cae60d3db90f949368f1</v>
      </c>
      <c r="B229" s="6" t="str">
        <f>IFERROR(__xludf.DUMMYFUNCTION("""COMPUTED_VALUE"""),"Amulet of the Gods")</f>
        <v>Amulet of the Gods</v>
      </c>
      <c r="C229" s="6" t="str">
        <f>IFERROR(__xludf.DUMMYFUNCTION("""COMPUTED_VALUE"""),"System and Superpower")</f>
        <v>System and Superpower</v>
      </c>
      <c r="D229" s="11">
        <f>IFERROR(__xludf.DUMMYFUNCTION("""COMPUTED_VALUE"""),4292.0)</f>
        <v>4292</v>
      </c>
      <c r="E229" s="8">
        <f>IFERROR(__xludf.DUMMYFUNCTION("""COMPUTED_VALUE"""),0.942590431738623)</f>
        <v>0.9425904317</v>
      </c>
      <c r="F229" s="8">
        <f>IFERROR(__xludf.DUMMYFUNCTION("""COMPUTED_VALUE"""),0.412824713316171)</f>
        <v>0.4128247133</v>
      </c>
      <c r="G229" s="8">
        <f>IFERROR(__xludf.DUMMYFUNCTION("""COMPUTED_VALUE"""),0.353990610328638)</f>
        <v>0.3539906103</v>
      </c>
      <c r="H229" s="8">
        <f>IFERROR(__xludf.DUMMYFUNCTION("""COMPUTED_VALUE"""),0.314884597268016)</f>
        <v>0.3148845973</v>
      </c>
      <c r="I229" s="8">
        <f>IFERROR(__xludf.DUMMYFUNCTION("""COMPUTED_VALUE"""),0.297917652626597)</f>
        <v>0.2979176526</v>
      </c>
      <c r="J229" s="8">
        <f>IFERROR(__xludf.DUMMYFUNCTION("""COMPUTED_VALUE"""),0.275641025641025)</f>
        <v>0.2756410256</v>
      </c>
      <c r="K229" s="8">
        <f>IFERROR(__xludf.DUMMYFUNCTION("""COMPUTED_VALUE"""),0.257449344457687)</f>
        <v>0.2574493445</v>
      </c>
      <c r="L229" s="8">
        <f>IFERROR(__xludf.DUMMYFUNCTION("""COMPUTED_VALUE"""),0.246700263978881)</f>
        <v>0.246700264</v>
      </c>
      <c r="M229" s="8">
        <f>IFERROR(__xludf.DUMMYFUNCTION("""COMPUTED_VALUE"""),0.236144578313253)</f>
        <v>0.2361445783</v>
      </c>
      <c r="N229" s="8">
        <f>IFERROR(__xludf.DUMMYFUNCTION("""COMPUTED_VALUE"""),0.227976766698935)</f>
        <v>0.2279767667</v>
      </c>
      <c r="O229" s="8">
        <f>IFERROR(__xludf.DUMMYFUNCTION("""COMPUTED_VALUE"""),0.213240763699479)</f>
        <v>0.2132407637</v>
      </c>
      <c r="P229" s="8">
        <f>IFERROR(__xludf.DUMMYFUNCTION("""COMPUTED_VALUE"""),0.183528215556685)</f>
        <v>0.1835282156</v>
      </c>
      <c r="Q229" s="8">
        <f>IFERROR(__xludf.DUMMYFUNCTION("""COMPUTED_VALUE"""),0.119287991498405)</f>
        <v>0.1192879915</v>
      </c>
      <c r="R229" s="8">
        <f>IFERROR(__xludf.DUMMYFUNCTION("""COMPUTED_VALUE"""),0.0837632776934749)</f>
        <v>0.08376327769</v>
      </c>
      <c r="S229" s="8">
        <f>IFERROR(__xludf.DUMMYFUNCTION("""COMPUTED_VALUE"""),0.053323319564401)</f>
        <v>0.05332331956</v>
      </c>
      <c r="T229" s="8">
        <f>IFERROR(__xludf.DUMMYFUNCTION("""COMPUTED_VALUE"""),0.0494855463008329)</f>
        <v>0.0494855463</v>
      </c>
      <c r="U229" s="8">
        <f>IFERROR(__xludf.DUMMYFUNCTION("""COMPUTED_VALUE"""),0.0432)</f>
        <v>0.0432</v>
      </c>
      <c r="V229" s="8">
        <f>IFERROR(__xludf.DUMMYFUNCTION("""COMPUTED_VALUE"""),0.0333333333333333)</f>
        <v>0.03333333333</v>
      </c>
      <c r="W229" s="8">
        <f>IFERROR(__xludf.DUMMYFUNCTION("""COMPUTED_VALUE"""),0.0436681222707423)</f>
        <v>0.04366812227</v>
      </c>
      <c r="X229" s="8">
        <f>IFERROR(__xludf.DUMMYFUNCTION("""COMPUTED_VALUE"""),0.027027027027027)</f>
        <v>0.02702702703</v>
      </c>
      <c r="Y229" s="8">
        <f>IFERROR(__xludf.DUMMYFUNCTION("""COMPUTED_VALUE"""),0.0)</f>
        <v>0</v>
      </c>
      <c r="Z229" s="8">
        <f>IFERROR(__xludf.DUMMYFUNCTION("""COMPUTED_VALUE"""),0.0)</f>
        <v>0</v>
      </c>
      <c r="AA229" s="8">
        <f>IFERROR(__xludf.DUMMYFUNCTION("""COMPUTED_VALUE"""),0.0)</f>
        <v>0</v>
      </c>
      <c r="AB229" s="8">
        <f>IFERROR(__xludf.DUMMYFUNCTION("""COMPUTED_VALUE"""),0.0)</f>
        <v>0</v>
      </c>
      <c r="AC229" s="8">
        <f>IFERROR(__xludf.DUMMYFUNCTION("""COMPUTED_VALUE"""),0.0)</f>
        <v>0</v>
      </c>
    </row>
    <row r="230" ht="15.75" customHeight="1">
      <c r="A230" s="6" t="str">
        <f>IFERROR(__xludf.DUMMYFUNCTION("""COMPUTED_VALUE"""),"cec33b3e9f3607e7d8ae32858f0e715a91e937c4")</f>
        <v>cec33b3e9f3607e7d8ae32858f0e715a91e937c4</v>
      </c>
      <c r="B230" s="6" t="str">
        <f>IFERROR(__xludf.DUMMYFUNCTION("""COMPUTED_VALUE"""),"From Squalor to Moneybag")</f>
        <v>From Squalor to Moneybag</v>
      </c>
      <c r="C230" s="6" t="str">
        <f>IFERROR(__xludf.DUMMYFUNCTION("""COMPUTED_VALUE"""),"Drama")</f>
        <v>Drama</v>
      </c>
      <c r="D230" s="11">
        <f>IFERROR(__xludf.DUMMYFUNCTION("""COMPUTED_VALUE"""),282.0)</f>
        <v>282</v>
      </c>
      <c r="E230" s="8">
        <f>IFERROR(__xludf.DUMMYFUNCTION("""COMPUTED_VALUE"""),0.916666666666666)</f>
        <v>0.9166666667</v>
      </c>
      <c r="F230" s="8">
        <f>IFERROR(__xludf.DUMMYFUNCTION("""COMPUTED_VALUE"""),0.6)</f>
        <v>0.6</v>
      </c>
      <c r="G230" s="8">
        <f>IFERROR(__xludf.DUMMYFUNCTION("""COMPUTED_VALUE"""),0.568093385214007)</f>
        <v>0.5680933852</v>
      </c>
      <c r="H230" s="8">
        <f>IFERROR(__xludf.DUMMYFUNCTION("""COMPUTED_VALUE"""),0.556451612903225)</f>
        <v>0.5564516129</v>
      </c>
      <c r="I230" s="8">
        <f>IFERROR(__xludf.DUMMYFUNCTION("""COMPUTED_VALUE"""),0.445378151260504)</f>
        <v>0.4453781513</v>
      </c>
      <c r="J230" s="8">
        <f>IFERROR(__xludf.DUMMYFUNCTION("""COMPUTED_VALUE"""),0.352173913043478)</f>
        <v>0.352173913</v>
      </c>
      <c r="K230" s="8">
        <f>IFERROR(__xludf.DUMMYFUNCTION("""COMPUTED_VALUE"""),0.300884955752212)</f>
        <v>0.3008849558</v>
      </c>
      <c r="L230" s="8">
        <f>IFERROR(__xludf.DUMMYFUNCTION("""COMPUTED_VALUE"""),0.266968325791855)</f>
        <v>0.2669683258</v>
      </c>
      <c r="M230" s="8">
        <f>IFERROR(__xludf.DUMMYFUNCTION("""COMPUTED_VALUE"""),0.243119266055045)</f>
        <v>0.2431192661</v>
      </c>
      <c r="N230" s="8">
        <f>IFERROR(__xludf.DUMMYFUNCTION("""COMPUTED_VALUE"""),0.220095693779904)</f>
        <v>0.2200956938</v>
      </c>
      <c r="O230" s="8">
        <f>IFERROR(__xludf.DUMMYFUNCTION("""COMPUTED_VALUE"""),0.13)</f>
        <v>0.13</v>
      </c>
      <c r="P230" s="8">
        <f>IFERROR(__xludf.DUMMYFUNCTION("""COMPUTED_VALUE"""),0.050251256281407)</f>
        <v>0.05025125628</v>
      </c>
      <c r="Q230" s="8">
        <f>IFERROR(__xludf.DUMMYFUNCTION("""COMPUTED_VALUE"""),0.0242424242424242)</f>
        <v>0.02424242424</v>
      </c>
      <c r="R230" s="8">
        <f>IFERROR(__xludf.DUMMYFUNCTION("""COMPUTED_VALUE"""),0.0352112676056338)</f>
        <v>0.03521126761</v>
      </c>
      <c r="S230" s="8">
        <f>IFERROR(__xludf.DUMMYFUNCTION("""COMPUTED_VALUE"""),0.0)</f>
        <v>0</v>
      </c>
      <c r="T230" s="8">
        <f>IFERROR(__xludf.DUMMYFUNCTION("""COMPUTED_VALUE"""),0.0)</f>
        <v>0</v>
      </c>
      <c r="U230" s="8">
        <f>IFERROR(__xludf.DUMMYFUNCTION("""COMPUTED_VALUE"""),0.0)</f>
        <v>0</v>
      </c>
      <c r="V230" s="8">
        <f>IFERROR(__xludf.DUMMYFUNCTION("""COMPUTED_VALUE"""),0.0)</f>
        <v>0</v>
      </c>
      <c r="W230" s="8">
        <f>IFERROR(__xludf.DUMMYFUNCTION("""COMPUTED_VALUE"""),0.0)</f>
        <v>0</v>
      </c>
      <c r="X230" s="8">
        <f>IFERROR(__xludf.DUMMYFUNCTION("""COMPUTED_VALUE"""),0.0)</f>
        <v>0</v>
      </c>
      <c r="Y230" s="8">
        <f>IFERROR(__xludf.DUMMYFUNCTION("""COMPUTED_VALUE"""),0.0)</f>
        <v>0</v>
      </c>
      <c r="Z230" s="8">
        <f>IFERROR(__xludf.DUMMYFUNCTION("""COMPUTED_VALUE"""),0.0)</f>
        <v>0</v>
      </c>
      <c r="AA230" s="8">
        <f>IFERROR(__xludf.DUMMYFUNCTION("""COMPUTED_VALUE"""),0.0)</f>
        <v>0</v>
      </c>
      <c r="AB230" s="8">
        <f>IFERROR(__xludf.DUMMYFUNCTION("""COMPUTED_VALUE"""),0.0)</f>
        <v>0</v>
      </c>
      <c r="AC230" s="8">
        <f>IFERROR(__xludf.DUMMYFUNCTION("""COMPUTED_VALUE"""),0.0)</f>
        <v>0</v>
      </c>
    </row>
    <row r="231" ht="15.75" customHeight="1">
      <c r="A231" s="6" t="str">
        <f>IFERROR(__xludf.DUMMYFUNCTION("""COMPUTED_VALUE"""),"d2aaef61d998c9f90c2df15eafe1acd784549269")</f>
        <v>d2aaef61d998c9f90c2df15eafe1acd784549269</v>
      </c>
      <c r="B231" s="6" t="str">
        <f>IFERROR(__xludf.DUMMYFUNCTION("""COMPUTED_VALUE"""),"Alpha Braxton")</f>
        <v>Alpha Braxton</v>
      </c>
      <c r="C231" s="6" t="str">
        <f>IFERROR(__xludf.DUMMYFUNCTION("""COMPUTED_VALUE"""),"Romantasy")</f>
        <v>Romantasy</v>
      </c>
      <c r="D231" s="11">
        <f>IFERROR(__xludf.DUMMYFUNCTION("""COMPUTED_VALUE"""),4963.0)</f>
        <v>4963</v>
      </c>
      <c r="E231" s="8">
        <f>IFERROR(__xludf.DUMMYFUNCTION("""COMPUTED_VALUE"""),0.961701269905261)</f>
        <v>0.9617012699</v>
      </c>
      <c r="F231" s="8">
        <f>IFERROR(__xludf.DUMMYFUNCTION("""COMPUTED_VALUE"""),0.642323986282025)</f>
        <v>0.6423239863</v>
      </c>
      <c r="G231" s="8">
        <f>IFERROR(__xludf.DUMMYFUNCTION("""COMPUTED_VALUE"""),0.566068186403066)</f>
        <v>0.5660681864</v>
      </c>
      <c r="H231" s="8">
        <f>IFERROR(__xludf.DUMMYFUNCTION("""COMPUTED_VALUE"""),0.52795156407669)</f>
        <v>0.5279515641</v>
      </c>
      <c r="I231" s="8">
        <f>IFERROR(__xludf.DUMMYFUNCTION("""COMPUTED_VALUE"""),0.491111111111111)</f>
        <v>0.4911111111</v>
      </c>
      <c r="J231" s="8">
        <f>IFERROR(__xludf.DUMMYFUNCTION("""COMPUTED_VALUE"""),0.459656218402426)</f>
        <v>0.4596562184</v>
      </c>
      <c r="K231" s="8">
        <f>IFERROR(__xludf.DUMMYFUNCTION("""COMPUTED_VALUE"""),0.437842222672885)</f>
        <v>0.4378422227</v>
      </c>
      <c r="L231" s="8">
        <f>IFERROR(__xludf.DUMMYFUNCTION("""COMPUTED_VALUE"""),0.428281598701562)</f>
        <v>0.4282815987</v>
      </c>
      <c r="M231" s="8">
        <f>IFERROR(__xludf.DUMMYFUNCTION("""COMPUTED_VALUE"""),0.410964467005076)</f>
        <v>0.410964467</v>
      </c>
      <c r="N231" s="8">
        <f>IFERROR(__xludf.DUMMYFUNCTION("""COMPUTED_VALUE"""),0.408906059373729)</f>
        <v>0.4089060594</v>
      </c>
      <c r="O231" s="8">
        <f>IFERROR(__xludf.DUMMYFUNCTION("""COMPUTED_VALUE"""),0.348842061339453)</f>
        <v>0.3488420613</v>
      </c>
      <c r="P231" s="8">
        <f>IFERROR(__xludf.DUMMYFUNCTION("""COMPUTED_VALUE"""),0.336718209093007)</f>
        <v>0.3367182091</v>
      </c>
      <c r="Q231" s="8">
        <f>IFERROR(__xludf.DUMMYFUNCTION("""COMPUTED_VALUE"""),0.222520107238605)</f>
        <v>0.2225201072</v>
      </c>
      <c r="R231" s="8">
        <f>IFERROR(__xludf.DUMMYFUNCTION("""COMPUTED_VALUE"""),0.142857142857142)</f>
        <v>0.1428571429</v>
      </c>
      <c r="S231" s="8">
        <f>IFERROR(__xludf.DUMMYFUNCTION("""COMPUTED_VALUE"""),0.13953488372093)</f>
        <v>0.1395348837</v>
      </c>
      <c r="T231" s="8">
        <f>IFERROR(__xludf.DUMMYFUNCTION("""COMPUTED_VALUE"""),0.0)</f>
        <v>0</v>
      </c>
      <c r="U231" s="8">
        <f>IFERROR(__xludf.DUMMYFUNCTION("""COMPUTED_VALUE"""),0.0)</f>
        <v>0</v>
      </c>
      <c r="V231" s="8">
        <f>IFERROR(__xludf.DUMMYFUNCTION("""COMPUTED_VALUE"""),0.0)</f>
        <v>0</v>
      </c>
      <c r="W231" s="8">
        <f>IFERROR(__xludf.DUMMYFUNCTION("""COMPUTED_VALUE"""),0.0)</f>
        <v>0</v>
      </c>
      <c r="X231" s="8">
        <f>IFERROR(__xludf.DUMMYFUNCTION("""COMPUTED_VALUE"""),0.0)</f>
        <v>0</v>
      </c>
      <c r="Y231" s="8">
        <f>IFERROR(__xludf.DUMMYFUNCTION("""COMPUTED_VALUE"""),0.0)</f>
        <v>0</v>
      </c>
      <c r="Z231" s="8">
        <f>IFERROR(__xludf.DUMMYFUNCTION("""COMPUTED_VALUE"""),0.0)</f>
        <v>0</v>
      </c>
      <c r="AA231" s="8">
        <f>IFERROR(__xludf.DUMMYFUNCTION("""COMPUTED_VALUE"""),0.0)</f>
        <v>0</v>
      </c>
      <c r="AB231" s="8">
        <f>IFERROR(__xludf.DUMMYFUNCTION("""COMPUTED_VALUE"""),0.0)</f>
        <v>0</v>
      </c>
      <c r="AC231" s="8">
        <f>IFERROR(__xludf.DUMMYFUNCTION("""COMPUTED_VALUE"""),0.0)</f>
        <v>0</v>
      </c>
    </row>
    <row r="232" ht="15.75" customHeight="1">
      <c r="A232" s="6" t="str">
        <f>IFERROR(__xludf.DUMMYFUNCTION("""COMPUTED_VALUE"""),"d3866fc3c89b4f6e7425ea92decf796ef97098db")</f>
        <v>d3866fc3c89b4f6e7425ea92decf796ef97098db</v>
      </c>
      <c r="B232" s="6" t="str">
        <f>IFERROR(__xludf.DUMMYFUNCTION("""COMPUTED_VALUE"""),"The Billionaire's Twins")</f>
        <v>The Billionaire's Twins</v>
      </c>
      <c r="C232" s="6" t="str">
        <f>IFERROR(__xludf.DUMMYFUNCTION("""COMPUTED_VALUE"""),"Romance")</f>
        <v>Romance</v>
      </c>
      <c r="D232" s="11">
        <f>IFERROR(__xludf.DUMMYFUNCTION("""COMPUTED_VALUE"""),1510.0)</f>
        <v>1510</v>
      </c>
      <c r="E232" s="8">
        <f>IFERROR(__xludf.DUMMYFUNCTION("""COMPUTED_VALUE"""),0.955363091272485)</f>
        <v>0.9553630913</v>
      </c>
      <c r="F232" s="8">
        <f>IFERROR(__xludf.DUMMYFUNCTION("""COMPUTED_VALUE"""),0.631367292225201)</f>
        <v>0.6313672922</v>
      </c>
      <c r="G232" s="8">
        <f>IFERROR(__xludf.DUMMYFUNCTION("""COMPUTED_VALUE"""),0.590329079919409)</f>
        <v>0.5903290799</v>
      </c>
      <c r="H232" s="8">
        <f>IFERROR(__xludf.DUMMYFUNCTION("""COMPUTED_VALUE"""),0.543551654287643)</f>
        <v>0.5435516543</v>
      </c>
      <c r="I232" s="8">
        <f>IFERROR(__xludf.DUMMYFUNCTION("""COMPUTED_VALUE"""),0.516019086571233)</f>
        <v>0.5160190866</v>
      </c>
      <c r="J232" s="8">
        <f>IFERROR(__xludf.DUMMYFUNCTION("""COMPUTED_VALUE"""),0.49171270718232)</f>
        <v>0.4917127072</v>
      </c>
      <c r="K232" s="8">
        <f>IFERROR(__xludf.DUMMYFUNCTION("""COMPUTED_VALUE"""),0.466666666666666)</f>
        <v>0.4666666667</v>
      </c>
      <c r="L232" s="8">
        <f>IFERROR(__xludf.DUMMYFUNCTION("""COMPUTED_VALUE"""),0.444769568397951)</f>
        <v>0.4447695684</v>
      </c>
      <c r="M232" s="8">
        <f>IFERROR(__xludf.DUMMYFUNCTION("""COMPUTED_VALUE"""),0.419404125286478)</f>
        <v>0.4194041253</v>
      </c>
      <c r="N232" s="8">
        <f>IFERROR(__xludf.DUMMYFUNCTION("""COMPUTED_VALUE"""),0.376271186440678)</f>
        <v>0.3762711864</v>
      </c>
      <c r="O232" s="8">
        <f>IFERROR(__xludf.DUMMYFUNCTION("""COMPUTED_VALUE"""),0.24634655532359)</f>
        <v>0.2463465553</v>
      </c>
      <c r="P232" s="8">
        <f>IFERROR(__xludf.DUMMYFUNCTION("""COMPUTED_VALUE"""),0.138590203106332)</f>
        <v>0.1385902031</v>
      </c>
      <c r="Q232" s="8">
        <f>IFERROR(__xludf.DUMMYFUNCTION("""COMPUTED_VALUE"""),0.0414634146341463)</f>
        <v>0.04146341463</v>
      </c>
      <c r="R232" s="8">
        <f>IFERROR(__xludf.DUMMYFUNCTION("""COMPUTED_VALUE"""),0.04)</f>
        <v>0.04</v>
      </c>
      <c r="S232" s="8">
        <f>IFERROR(__xludf.DUMMYFUNCTION("""COMPUTED_VALUE"""),0.0357142857142857)</f>
        <v>0.03571428571</v>
      </c>
      <c r="T232" s="8">
        <f>IFERROR(__xludf.DUMMYFUNCTION("""COMPUTED_VALUE"""),0.0)</f>
        <v>0</v>
      </c>
      <c r="U232" s="8">
        <f>IFERROR(__xludf.DUMMYFUNCTION("""COMPUTED_VALUE"""),0.0)</f>
        <v>0</v>
      </c>
      <c r="V232" s="8">
        <f>IFERROR(__xludf.DUMMYFUNCTION("""COMPUTED_VALUE"""),0.0)</f>
        <v>0</v>
      </c>
      <c r="W232" s="8">
        <f>IFERROR(__xludf.DUMMYFUNCTION("""COMPUTED_VALUE"""),0.0)</f>
        <v>0</v>
      </c>
      <c r="X232" s="8">
        <f>IFERROR(__xludf.DUMMYFUNCTION("""COMPUTED_VALUE"""),0.0)</f>
        <v>0</v>
      </c>
      <c r="Y232" s="8">
        <f>IFERROR(__xludf.DUMMYFUNCTION("""COMPUTED_VALUE"""),0.0)</f>
        <v>0</v>
      </c>
      <c r="Z232" s="8">
        <f>IFERROR(__xludf.DUMMYFUNCTION("""COMPUTED_VALUE"""),0.0)</f>
        <v>0</v>
      </c>
      <c r="AA232" s="8">
        <f>IFERROR(__xludf.DUMMYFUNCTION("""COMPUTED_VALUE"""),0.0)</f>
        <v>0</v>
      </c>
      <c r="AB232" s="8">
        <f>IFERROR(__xludf.DUMMYFUNCTION("""COMPUTED_VALUE"""),0.0)</f>
        <v>0</v>
      </c>
      <c r="AC232" s="8">
        <f>IFERROR(__xludf.DUMMYFUNCTION("""COMPUTED_VALUE"""),0.0)</f>
        <v>0</v>
      </c>
    </row>
    <row r="233" ht="15.75" customHeight="1">
      <c r="A233" s="6" t="str">
        <f>IFERROR(__xludf.DUMMYFUNCTION("""COMPUTED_VALUE"""),"d419897471d8bc8312abf495d27412e669ccf6d0")</f>
        <v>d419897471d8bc8312abf495d27412e669ccf6d0</v>
      </c>
      <c r="B233" s="6" t="str">
        <f>IFERROR(__xludf.DUMMYFUNCTION("""COMPUTED_VALUE"""),"His Borrowed Wife")</f>
        <v>His Borrowed Wife</v>
      </c>
      <c r="C233" s="6" t="str">
        <f>IFERROR(__xludf.DUMMYFUNCTION("""COMPUTED_VALUE"""),"Romance")</f>
        <v>Romance</v>
      </c>
      <c r="D233" s="11">
        <f>IFERROR(__xludf.DUMMYFUNCTION("""COMPUTED_VALUE"""),4855.0)</f>
        <v>4855</v>
      </c>
      <c r="E233" s="8">
        <f>IFERROR(__xludf.DUMMYFUNCTION("""COMPUTED_VALUE"""),0.959524306279991)</f>
        <v>0.9595243063</v>
      </c>
      <c r="F233" s="8">
        <f>IFERROR(__xludf.DUMMYFUNCTION("""COMPUTED_VALUE"""),0.500744522442033)</f>
        <v>0.5007445224</v>
      </c>
      <c r="G233" s="8">
        <f>IFERROR(__xludf.DUMMYFUNCTION("""COMPUTED_VALUE"""),0.44332331472735)</f>
        <v>0.4433233147</v>
      </c>
      <c r="H233" s="8">
        <f>IFERROR(__xludf.DUMMYFUNCTION("""COMPUTED_VALUE"""),0.402425817630496)</f>
        <v>0.4024258176</v>
      </c>
      <c r="I233" s="8">
        <f>IFERROR(__xludf.DUMMYFUNCTION("""COMPUTED_VALUE"""),0.379873665868002)</f>
        <v>0.3798736659</v>
      </c>
      <c r="J233" s="8">
        <f>IFERROR(__xludf.DUMMYFUNCTION("""COMPUTED_VALUE"""),0.366534740545294)</f>
        <v>0.3665347405</v>
      </c>
      <c r="K233" s="8">
        <f>IFERROR(__xludf.DUMMYFUNCTION("""COMPUTED_VALUE"""),0.35016611295681)</f>
        <v>0.350166113</v>
      </c>
      <c r="L233" s="8">
        <f>IFERROR(__xludf.DUMMYFUNCTION("""COMPUTED_VALUE"""),0.339823409553995)</f>
        <v>0.3398234096</v>
      </c>
      <c r="M233" s="8">
        <f>IFERROR(__xludf.DUMMYFUNCTION("""COMPUTED_VALUE"""),0.330877273773889)</f>
        <v>0.3308772738</v>
      </c>
      <c r="N233" s="8">
        <f>IFERROR(__xludf.DUMMYFUNCTION("""COMPUTED_VALUE"""),0.3194738078459)</f>
        <v>0.3194738078</v>
      </c>
      <c r="O233" s="8">
        <f>IFERROR(__xludf.DUMMYFUNCTION("""COMPUTED_VALUE"""),0.296711509715994)</f>
        <v>0.2967115097</v>
      </c>
      <c r="P233" s="8">
        <f>IFERROR(__xludf.DUMMYFUNCTION("""COMPUTED_VALUE"""),0.265786082474226)</f>
        <v>0.2657860825</v>
      </c>
      <c r="Q233" s="8">
        <f>IFERROR(__xludf.DUMMYFUNCTION("""COMPUTED_VALUE"""),0.18942731277533)</f>
        <v>0.1894273128</v>
      </c>
      <c r="R233" s="8">
        <f>IFERROR(__xludf.DUMMYFUNCTION("""COMPUTED_VALUE"""),0.0)</f>
        <v>0</v>
      </c>
      <c r="S233" s="8">
        <f>IFERROR(__xludf.DUMMYFUNCTION("""COMPUTED_VALUE"""),0.0)</f>
        <v>0</v>
      </c>
      <c r="T233" s="8">
        <f>IFERROR(__xludf.DUMMYFUNCTION("""COMPUTED_VALUE"""),0.0)</f>
        <v>0</v>
      </c>
      <c r="U233" s="8">
        <f>IFERROR(__xludf.DUMMYFUNCTION("""COMPUTED_VALUE"""),0.0)</f>
        <v>0</v>
      </c>
      <c r="V233" s="8">
        <f>IFERROR(__xludf.DUMMYFUNCTION("""COMPUTED_VALUE"""),0.0)</f>
        <v>0</v>
      </c>
      <c r="W233" s="8">
        <f>IFERROR(__xludf.DUMMYFUNCTION("""COMPUTED_VALUE"""),0.0)</f>
        <v>0</v>
      </c>
      <c r="X233" s="8">
        <f>IFERROR(__xludf.DUMMYFUNCTION("""COMPUTED_VALUE"""),0.0)</f>
        <v>0</v>
      </c>
      <c r="Y233" s="8">
        <f>IFERROR(__xludf.DUMMYFUNCTION("""COMPUTED_VALUE"""),0.0)</f>
        <v>0</v>
      </c>
      <c r="Z233" s="8">
        <f>IFERROR(__xludf.DUMMYFUNCTION("""COMPUTED_VALUE"""),0.0)</f>
        <v>0</v>
      </c>
      <c r="AA233" s="8">
        <f>IFERROR(__xludf.DUMMYFUNCTION("""COMPUTED_VALUE"""),0.0)</f>
        <v>0</v>
      </c>
      <c r="AB233" s="8">
        <f>IFERROR(__xludf.DUMMYFUNCTION("""COMPUTED_VALUE"""),0.0)</f>
        <v>0</v>
      </c>
      <c r="AC233" s="8">
        <f>IFERROR(__xludf.DUMMYFUNCTION("""COMPUTED_VALUE"""),0.0)</f>
        <v>0</v>
      </c>
    </row>
    <row r="234" ht="15.75" customHeight="1">
      <c r="A234" s="6" t="str">
        <f>IFERROR(__xludf.DUMMYFUNCTION("""COMPUTED_VALUE"""),"d4bf13e8bbfcd2fa5b75aa042e47479d3a06188b")</f>
        <v>d4bf13e8bbfcd2fa5b75aa042e47479d3a06188b</v>
      </c>
      <c r="B234" s="6" t="str">
        <f>IFERROR(__xludf.DUMMYFUNCTION("""COMPUTED_VALUE"""),"Undead Tamer's Necro Pets")</f>
        <v>Undead Tamer's Necro Pets</v>
      </c>
      <c r="C234" s="6" t="str">
        <f>IFERROR(__xludf.DUMMYFUNCTION("""COMPUTED_VALUE"""),"Fantasy")</f>
        <v>Fantasy</v>
      </c>
      <c r="D234" s="11">
        <f>IFERROR(__xludf.DUMMYFUNCTION("""COMPUTED_VALUE"""),301.0)</f>
        <v>301</v>
      </c>
      <c r="E234" s="8">
        <f>IFERROR(__xludf.DUMMYFUNCTION("""COMPUTED_VALUE"""),0.976666666666666)</f>
        <v>0.9766666667</v>
      </c>
      <c r="F234" s="8">
        <f>IFERROR(__xludf.DUMMYFUNCTION("""COMPUTED_VALUE"""),0.36)</f>
        <v>0.36</v>
      </c>
      <c r="G234" s="8">
        <f>IFERROR(__xludf.DUMMYFUNCTION("""COMPUTED_VALUE"""),0.31)</f>
        <v>0.31</v>
      </c>
      <c r="H234" s="8">
        <f>IFERROR(__xludf.DUMMYFUNCTION("""COMPUTED_VALUE"""),0.265100671140939)</f>
        <v>0.2651006711</v>
      </c>
      <c r="I234" s="8">
        <f>IFERROR(__xludf.DUMMYFUNCTION("""COMPUTED_VALUE"""),0.253424657534246)</f>
        <v>0.2534246575</v>
      </c>
      <c r="J234" s="8">
        <f>IFERROR(__xludf.DUMMYFUNCTION("""COMPUTED_VALUE"""),0.254355400696864)</f>
        <v>0.2543554007</v>
      </c>
      <c r="K234" s="8">
        <f>IFERROR(__xludf.DUMMYFUNCTION("""COMPUTED_VALUE"""),0.23321554770318)</f>
        <v>0.2332155477</v>
      </c>
      <c r="L234" s="8">
        <f>IFERROR(__xludf.DUMMYFUNCTION("""COMPUTED_VALUE"""),0.234432234432234)</f>
        <v>0.2344322344</v>
      </c>
      <c r="M234" s="8">
        <f>IFERROR(__xludf.DUMMYFUNCTION("""COMPUTED_VALUE"""),0.228782287822878)</f>
        <v>0.2287822878</v>
      </c>
      <c r="N234" s="8">
        <f>IFERROR(__xludf.DUMMYFUNCTION("""COMPUTED_VALUE"""),0.229007633587786)</f>
        <v>0.2290076336</v>
      </c>
      <c r="O234" s="8">
        <f>IFERROR(__xludf.DUMMYFUNCTION("""COMPUTED_VALUE"""),0.207792207792207)</f>
        <v>0.2077922078</v>
      </c>
      <c r="P234" s="8">
        <f>IFERROR(__xludf.DUMMYFUNCTION("""COMPUTED_VALUE"""),0.136363636363636)</f>
        <v>0.1363636364</v>
      </c>
      <c r="Q234" s="8">
        <f>IFERROR(__xludf.DUMMYFUNCTION("""COMPUTED_VALUE"""),0.0)</f>
        <v>0</v>
      </c>
      <c r="R234" s="8">
        <f>IFERROR(__xludf.DUMMYFUNCTION("""COMPUTED_VALUE"""),0.0)</f>
        <v>0</v>
      </c>
      <c r="S234" s="8">
        <f>IFERROR(__xludf.DUMMYFUNCTION("""COMPUTED_VALUE"""),0.0)</f>
        <v>0</v>
      </c>
      <c r="T234" s="8">
        <f>IFERROR(__xludf.DUMMYFUNCTION("""COMPUTED_VALUE"""),0.0)</f>
        <v>0</v>
      </c>
      <c r="U234" s="8">
        <f>IFERROR(__xludf.DUMMYFUNCTION("""COMPUTED_VALUE"""),0.0)</f>
        <v>0</v>
      </c>
      <c r="V234" s="8">
        <f>IFERROR(__xludf.DUMMYFUNCTION("""COMPUTED_VALUE"""),0.0)</f>
        <v>0</v>
      </c>
      <c r="W234" s="8">
        <f>IFERROR(__xludf.DUMMYFUNCTION("""COMPUTED_VALUE"""),0.0)</f>
        <v>0</v>
      </c>
      <c r="X234" s="8">
        <f>IFERROR(__xludf.DUMMYFUNCTION("""COMPUTED_VALUE"""),0.0)</f>
        <v>0</v>
      </c>
      <c r="Y234" s="8">
        <f>IFERROR(__xludf.DUMMYFUNCTION("""COMPUTED_VALUE"""),0.0)</f>
        <v>0</v>
      </c>
      <c r="Z234" s="8">
        <f>IFERROR(__xludf.DUMMYFUNCTION("""COMPUTED_VALUE"""),0.0)</f>
        <v>0</v>
      </c>
      <c r="AA234" s="8">
        <f>IFERROR(__xludf.DUMMYFUNCTION("""COMPUTED_VALUE"""),0.0)</f>
        <v>0</v>
      </c>
      <c r="AB234" s="8">
        <f>IFERROR(__xludf.DUMMYFUNCTION("""COMPUTED_VALUE"""),0.0)</f>
        <v>0</v>
      </c>
      <c r="AC234" s="8">
        <f>IFERROR(__xludf.DUMMYFUNCTION("""COMPUTED_VALUE"""),0.0)</f>
        <v>0</v>
      </c>
    </row>
    <row r="235" ht="15.75" customHeight="1">
      <c r="A235" s="6" t="str">
        <f>IFERROR(__xludf.DUMMYFUNCTION("""COMPUTED_VALUE"""),"d687598bacfd959af85400d722a39d5e62aad513")</f>
        <v>d687598bacfd959af85400d722a39d5e62aad513</v>
      </c>
      <c r="B235" s="6" t="str">
        <f>IFERROR(__xludf.DUMMYFUNCTION("""COMPUTED_VALUE"""),"Unexpectedly Mine")</f>
        <v>Unexpectedly Mine</v>
      </c>
      <c r="C235" s="6" t="str">
        <f>IFERROR(__xludf.DUMMYFUNCTION("""COMPUTED_VALUE"""),"Romance")</f>
        <v>Romance</v>
      </c>
      <c r="D235" s="11">
        <f>IFERROR(__xludf.DUMMYFUNCTION("""COMPUTED_VALUE"""),26628.0)</f>
        <v>26628</v>
      </c>
      <c r="E235" s="8">
        <f>IFERROR(__xludf.DUMMYFUNCTION("""COMPUTED_VALUE"""),0.904001502911891)</f>
        <v>0.9040015029</v>
      </c>
      <c r="F235" s="8">
        <f>IFERROR(__xludf.DUMMYFUNCTION("""COMPUTED_VALUE"""),0.518614620938628)</f>
        <v>0.5186146209</v>
      </c>
      <c r="G235" s="8">
        <f>IFERROR(__xludf.DUMMYFUNCTION("""COMPUTED_VALUE"""),0.464936042136945)</f>
        <v>0.4649360421</v>
      </c>
      <c r="H235" s="8">
        <f>IFERROR(__xludf.DUMMYFUNCTION("""COMPUTED_VALUE"""),0.438048266255035)</f>
        <v>0.4380482663</v>
      </c>
      <c r="I235" s="8">
        <f>IFERROR(__xludf.DUMMYFUNCTION("""COMPUTED_VALUE"""),0.41894538606403)</f>
        <v>0.4189453861</v>
      </c>
      <c r="J235" s="8">
        <f>IFERROR(__xludf.DUMMYFUNCTION("""COMPUTED_VALUE"""),0.399743705713855)</f>
        <v>0.3997437057</v>
      </c>
      <c r="K235" s="8">
        <f>IFERROR(__xludf.DUMMYFUNCTION("""COMPUTED_VALUE"""),0.383631906468036)</f>
        <v>0.3836319065</v>
      </c>
      <c r="L235" s="8">
        <f>IFERROR(__xludf.DUMMYFUNCTION("""COMPUTED_VALUE"""),0.363492243234061)</f>
        <v>0.3634922432</v>
      </c>
      <c r="M235" s="8">
        <f>IFERROR(__xludf.DUMMYFUNCTION("""COMPUTED_VALUE"""),0.354151719971302)</f>
        <v>0.35415172</v>
      </c>
      <c r="N235" s="8">
        <f>IFERROR(__xludf.DUMMYFUNCTION("""COMPUTED_VALUE"""),0.345411266860618)</f>
        <v>0.3454112669</v>
      </c>
      <c r="O235" s="8">
        <f>IFERROR(__xludf.DUMMYFUNCTION("""COMPUTED_VALUE"""),0.29754508258827)</f>
        <v>0.2975450826</v>
      </c>
      <c r="P235" s="8">
        <f>IFERROR(__xludf.DUMMYFUNCTION("""COMPUTED_VALUE"""),0.268469631936794)</f>
        <v>0.2684696319</v>
      </c>
      <c r="Q235" s="8">
        <f>IFERROR(__xludf.DUMMYFUNCTION("""COMPUTED_VALUE"""),0.213593344527553)</f>
        <v>0.2135933445</v>
      </c>
      <c r="R235" s="8">
        <f>IFERROR(__xludf.DUMMYFUNCTION("""COMPUTED_VALUE"""),0.185894245127694)</f>
        <v>0.1858942451</v>
      </c>
      <c r="S235" s="8">
        <f>IFERROR(__xludf.DUMMYFUNCTION("""COMPUTED_VALUE"""),0.148240886135042)</f>
        <v>0.1482408861</v>
      </c>
      <c r="T235" s="8">
        <f>IFERROR(__xludf.DUMMYFUNCTION("""COMPUTED_VALUE"""),0.127107710103661)</f>
        <v>0.1271077101</v>
      </c>
      <c r="U235" s="8">
        <f>IFERROR(__xludf.DUMMYFUNCTION("""COMPUTED_VALUE"""),0.119626266337725)</f>
        <v>0.1196262663</v>
      </c>
      <c r="V235" s="8">
        <f>IFERROR(__xludf.DUMMYFUNCTION("""COMPUTED_VALUE"""),0.104394066610691)</f>
        <v>0.1043940666</v>
      </c>
      <c r="W235" s="8">
        <f>IFERROR(__xludf.DUMMYFUNCTION("""COMPUTED_VALUE"""),0.0796096243555119)</f>
        <v>0.07960962436</v>
      </c>
      <c r="X235" s="8">
        <f>IFERROR(__xludf.DUMMYFUNCTION("""COMPUTED_VALUE"""),0.061252446183953)</f>
        <v>0.06125244618</v>
      </c>
      <c r="Y235" s="8">
        <f>IFERROR(__xludf.DUMMYFUNCTION("""COMPUTED_VALUE"""),0.0381330079316656)</f>
        <v>0.03813300793</v>
      </c>
      <c r="Z235" s="8">
        <f>IFERROR(__xludf.DUMMYFUNCTION("""COMPUTED_VALUE"""),0.0470588235294117)</f>
        <v>0.04705882353</v>
      </c>
      <c r="AA235" s="8">
        <f>IFERROR(__xludf.DUMMYFUNCTION("""COMPUTED_VALUE"""),0.0)</f>
        <v>0</v>
      </c>
      <c r="AB235" s="8">
        <f>IFERROR(__xludf.DUMMYFUNCTION("""COMPUTED_VALUE"""),0.0)</f>
        <v>0</v>
      </c>
      <c r="AC235" s="8">
        <f>IFERROR(__xludf.DUMMYFUNCTION("""COMPUTED_VALUE"""),0.0)</f>
        <v>0</v>
      </c>
    </row>
    <row r="236" ht="15.75" customHeight="1">
      <c r="A236" s="6" t="str">
        <f>IFERROR(__xludf.DUMMYFUNCTION("""COMPUTED_VALUE"""),"d6ecb3540b1fdba82ccfa1fa9d0dbaa8fe59424c")</f>
        <v>d6ecb3540b1fdba82ccfa1fa9d0dbaa8fe59424c</v>
      </c>
      <c r="B236" s="6" t="str">
        <f>IFERROR(__xludf.DUMMYFUNCTION("""COMPUTED_VALUE"""),"Among the Undead")</f>
        <v>Among the Undead</v>
      </c>
      <c r="C236" s="6" t="str">
        <f>IFERROR(__xludf.DUMMYFUNCTION("""COMPUTED_VALUE"""),"Suspense or Thriller")</f>
        <v>Suspense or Thriller</v>
      </c>
      <c r="D236" s="11">
        <f>IFERROR(__xludf.DUMMYFUNCTION("""COMPUTED_VALUE"""),459.0)</f>
        <v>459</v>
      </c>
      <c r="E236" s="8">
        <f>IFERROR(__xludf.DUMMYFUNCTION("""COMPUTED_VALUE"""),0.951754385964912)</f>
        <v>0.951754386</v>
      </c>
      <c r="F236" s="8">
        <f>IFERROR(__xludf.DUMMYFUNCTION("""COMPUTED_VALUE"""),0.400881057268722)</f>
        <v>0.4008810573</v>
      </c>
      <c r="G236" s="8">
        <f>IFERROR(__xludf.DUMMYFUNCTION("""COMPUTED_VALUE"""),0.300884955752212)</f>
        <v>0.3008849558</v>
      </c>
      <c r="H236" s="8">
        <f>IFERROR(__xludf.DUMMYFUNCTION("""COMPUTED_VALUE"""),0.229398663697104)</f>
        <v>0.2293986637</v>
      </c>
      <c r="I236" s="8">
        <f>IFERROR(__xludf.DUMMYFUNCTION("""COMPUTED_VALUE"""),0.183856502242152)</f>
        <v>0.1838565022</v>
      </c>
      <c r="J236" s="8">
        <f>IFERROR(__xludf.DUMMYFUNCTION("""COMPUTED_VALUE"""),0.16591928251121)</f>
        <v>0.1659192825</v>
      </c>
      <c r="K236" s="8">
        <f>IFERROR(__xludf.DUMMYFUNCTION("""COMPUTED_VALUE"""),0.138009049773755)</f>
        <v>0.1380090498</v>
      </c>
      <c r="L236" s="8">
        <f>IFERROR(__xludf.DUMMYFUNCTION("""COMPUTED_VALUE"""),0.1324200913242)</f>
        <v>0.1324200913</v>
      </c>
      <c r="M236" s="8">
        <f>IFERROR(__xludf.DUMMYFUNCTION("""COMPUTED_VALUE"""),0.124137931034482)</f>
        <v>0.124137931</v>
      </c>
      <c r="N236" s="8">
        <f>IFERROR(__xludf.DUMMYFUNCTION("""COMPUTED_VALUE"""),0.125)</f>
        <v>0.125</v>
      </c>
      <c r="O236" s="8">
        <f>IFERROR(__xludf.DUMMYFUNCTION("""COMPUTED_VALUE"""),0.0965147453083109)</f>
        <v>0.09651474531</v>
      </c>
      <c r="P236" s="8">
        <f>IFERROR(__xludf.DUMMYFUNCTION("""COMPUTED_VALUE"""),0.0689655172413793)</f>
        <v>0.06896551724</v>
      </c>
      <c r="Q236" s="8">
        <f>IFERROR(__xludf.DUMMYFUNCTION("""COMPUTED_VALUE"""),0.046594982078853)</f>
        <v>0.04659498208</v>
      </c>
      <c r="R236" s="8">
        <f>IFERROR(__xludf.DUMMYFUNCTION("""COMPUTED_VALUE"""),0.040590405904059)</f>
        <v>0.0405904059</v>
      </c>
      <c r="S236" s="8">
        <f>IFERROR(__xludf.DUMMYFUNCTION("""COMPUTED_VALUE"""),0.0189393939393939)</f>
        <v>0.01893939394</v>
      </c>
      <c r="T236" s="8">
        <f>IFERROR(__xludf.DUMMYFUNCTION("""COMPUTED_VALUE"""),0.0196078431372549)</f>
        <v>0.01960784314</v>
      </c>
      <c r="U236" s="8">
        <f>IFERROR(__xludf.DUMMYFUNCTION("""COMPUTED_VALUE"""),0.00847457627118644)</f>
        <v>0.008474576271</v>
      </c>
      <c r="V236" s="8">
        <f>IFERROR(__xludf.DUMMYFUNCTION("""COMPUTED_VALUE"""),0.0)</f>
        <v>0</v>
      </c>
      <c r="W236" s="8">
        <f>IFERROR(__xludf.DUMMYFUNCTION("""COMPUTED_VALUE"""),0.0)</f>
        <v>0</v>
      </c>
      <c r="X236" s="8">
        <f>IFERROR(__xludf.DUMMYFUNCTION("""COMPUTED_VALUE"""),0.0)</f>
        <v>0</v>
      </c>
      <c r="Y236" s="8">
        <f>IFERROR(__xludf.DUMMYFUNCTION("""COMPUTED_VALUE"""),0.0)</f>
        <v>0</v>
      </c>
      <c r="Z236" s="8">
        <f>IFERROR(__xludf.DUMMYFUNCTION("""COMPUTED_VALUE"""),0.0)</f>
        <v>0</v>
      </c>
      <c r="AA236" s="8">
        <f>IFERROR(__xludf.DUMMYFUNCTION("""COMPUTED_VALUE"""),0.0)</f>
        <v>0</v>
      </c>
      <c r="AB236" s="8">
        <f>IFERROR(__xludf.DUMMYFUNCTION("""COMPUTED_VALUE"""),0.0)</f>
        <v>0</v>
      </c>
      <c r="AC236" s="8">
        <f>IFERROR(__xludf.DUMMYFUNCTION("""COMPUTED_VALUE"""),0.0)</f>
        <v>0</v>
      </c>
    </row>
    <row r="237" ht="15.75" customHeight="1">
      <c r="A237" s="6" t="str">
        <f>IFERROR(__xludf.DUMMYFUNCTION("""COMPUTED_VALUE"""),"d71fc923d0820825aefcf4bf75b7743891f7feac")</f>
        <v>d71fc923d0820825aefcf4bf75b7743891f7feac</v>
      </c>
      <c r="B237" s="6" t="str">
        <f>IFERROR(__xludf.DUMMYFUNCTION("""COMPUTED_VALUE"""),"Only One Race")</f>
        <v>Only One Race</v>
      </c>
      <c r="C237" s="6" t="str">
        <f>IFERROR(__xludf.DUMMYFUNCTION("""COMPUTED_VALUE"""),"Fantasy")</f>
        <v>Fantasy</v>
      </c>
      <c r="D237" s="11">
        <f>IFERROR(__xludf.DUMMYFUNCTION("""COMPUTED_VALUE"""),417.0)</f>
        <v>417</v>
      </c>
      <c r="E237" s="8">
        <f>IFERROR(__xludf.DUMMYFUNCTION("""COMPUTED_VALUE"""),0.963855421686747)</f>
        <v>0.9638554217</v>
      </c>
      <c r="F237" s="8">
        <f>IFERROR(__xludf.DUMMYFUNCTION("""COMPUTED_VALUE"""),0.308641975308641)</f>
        <v>0.3086419753</v>
      </c>
      <c r="G237" s="8">
        <f>IFERROR(__xludf.DUMMYFUNCTION("""COMPUTED_VALUE"""),0.251256281407035)</f>
        <v>0.2512562814</v>
      </c>
      <c r="H237" s="8">
        <f>IFERROR(__xludf.DUMMYFUNCTION("""COMPUTED_VALUE"""),0.237373737373737)</f>
        <v>0.2373737374</v>
      </c>
      <c r="I237" s="8">
        <f>IFERROR(__xludf.DUMMYFUNCTION("""COMPUTED_VALUE"""),0.223076923076923)</f>
        <v>0.2230769231</v>
      </c>
      <c r="J237" s="8">
        <f>IFERROR(__xludf.DUMMYFUNCTION("""COMPUTED_VALUE"""),0.194148936170212)</f>
        <v>0.1941489362</v>
      </c>
      <c r="K237" s="8">
        <f>IFERROR(__xludf.DUMMYFUNCTION("""COMPUTED_VALUE"""),0.192934782608695)</f>
        <v>0.1929347826</v>
      </c>
      <c r="L237" s="8">
        <f>IFERROR(__xludf.DUMMYFUNCTION("""COMPUTED_VALUE"""),0.194986072423398)</f>
        <v>0.1949860724</v>
      </c>
      <c r="M237" s="8">
        <f>IFERROR(__xludf.DUMMYFUNCTION("""COMPUTED_VALUE"""),0.177966101694915)</f>
        <v>0.1779661017</v>
      </c>
      <c r="N237" s="8">
        <f>IFERROR(__xludf.DUMMYFUNCTION("""COMPUTED_VALUE"""),0.149700598802395)</f>
        <v>0.1497005988</v>
      </c>
      <c r="O237" s="8">
        <f>IFERROR(__xludf.DUMMYFUNCTION("""COMPUTED_VALUE"""),0.0957446808510638)</f>
        <v>0.09574468085</v>
      </c>
      <c r="P237" s="8">
        <f>IFERROR(__xludf.DUMMYFUNCTION("""COMPUTED_VALUE"""),0.072463768115942)</f>
        <v>0.07246376812</v>
      </c>
      <c r="Q237" s="8">
        <f>IFERROR(__xludf.DUMMYFUNCTION("""COMPUTED_VALUE"""),0.0396039603960396)</f>
        <v>0.0396039604</v>
      </c>
      <c r="R237" s="8">
        <f>IFERROR(__xludf.DUMMYFUNCTION("""COMPUTED_VALUE"""),0.0)</f>
        <v>0</v>
      </c>
      <c r="S237" s="8">
        <f>IFERROR(__xludf.DUMMYFUNCTION("""COMPUTED_VALUE"""),0.0)</f>
        <v>0</v>
      </c>
      <c r="T237" s="8">
        <f>IFERROR(__xludf.DUMMYFUNCTION("""COMPUTED_VALUE"""),0.0)</f>
        <v>0</v>
      </c>
      <c r="U237" s="8">
        <f>IFERROR(__xludf.DUMMYFUNCTION("""COMPUTED_VALUE"""),0.0)</f>
        <v>0</v>
      </c>
      <c r="V237" s="8">
        <f>IFERROR(__xludf.DUMMYFUNCTION("""COMPUTED_VALUE"""),0.0)</f>
        <v>0</v>
      </c>
      <c r="W237" s="8">
        <f>IFERROR(__xludf.DUMMYFUNCTION("""COMPUTED_VALUE"""),0.0)</f>
        <v>0</v>
      </c>
      <c r="X237" s="8">
        <f>IFERROR(__xludf.DUMMYFUNCTION("""COMPUTED_VALUE"""),0.0)</f>
        <v>0</v>
      </c>
      <c r="Y237" s="8">
        <f>IFERROR(__xludf.DUMMYFUNCTION("""COMPUTED_VALUE"""),0.0)</f>
        <v>0</v>
      </c>
      <c r="Z237" s="8">
        <f>IFERROR(__xludf.DUMMYFUNCTION("""COMPUTED_VALUE"""),0.0)</f>
        <v>0</v>
      </c>
      <c r="AA237" s="8">
        <f>IFERROR(__xludf.DUMMYFUNCTION("""COMPUTED_VALUE"""),0.0)</f>
        <v>0</v>
      </c>
      <c r="AB237" s="8">
        <f>IFERROR(__xludf.DUMMYFUNCTION("""COMPUTED_VALUE"""),0.0)</f>
        <v>0</v>
      </c>
      <c r="AC237" s="8">
        <f>IFERROR(__xludf.DUMMYFUNCTION("""COMPUTED_VALUE"""),0.0)</f>
        <v>0</v>
      </c>
    </row>
    <row r="238" ht="15.75" customHeight="1">
      <c r="A238" s="6" t="str">
        <f>IFERROR(__xludf.DUMMYFUNCTION("""COMPUTED_VALUE"""),"da2b63280d328cd78ef9102ea4f7f131a3ff6369")</f>
        <v>da2b63280d328cd78ef9102ea4f7f131a3ff6369</v>
      </c>
      <c r="B238" s="6" t="str">
        <f>IFERROR(__xludf.DUMMYFUNCTION("""COMPUTED_VALUE"""),"I Returned for Revenge")</f>
        <v>I Returned for Revenge</v>
      </c>
      <c r="C238" s="6" t="str">
        <f>IFERROR(__xludf.DUMMYFUNCTION("""COMPUTED_VALUE"""),"Romance")</f>
        <v>Romance</v>
      </c>
      <c r="D238" s="11">
        <f>IFERROR(__xludf.DUMMYFUNCTION("""COMPUTED_VALUE"""),1027.0)</f>
        <v>1027</v>
      </c>
      <c r="E238" s="8">
        <f>IFERROR(__xludf.DUMMYFUNCTION("""COMPUTED_VALUE"""),0.958048780487804)</f>
        <v>0.9580487805</v>
      </c>
      <c r="F238" s="8">
        <f>IFERROR(__xludf.DUMMYFUNCTION("""COMPUTED_VALUE"""),0.6279296875)</f>
        <v>0.6279296875</v>
      </c>
      <c r="G238" s="8">
        <f>IFERROR(__xludf.DUMMYFUNCTION("""COMPUTED_VALUE"""),0.549558390578999)</f>
        <v>0.5495583906</v>
      </c>
      <c r="H238" s="8">
        <f>IFERROR(__xludf.DUMMYFUNCTION("""COMPUTED_VALUE"""),0.518700787401574)</f>
        <v>0.5187007874</v>
      </c>
      <c r="I238" s="8">
        <f>IFERROR(__xludf.DUMMYFUNCTION("""COMPUTED_VALUE"""),0.497017892644135)</f>
        <v>0.4970178926</v>
      </c>
      <c r="J238" s="8">
        <f>IFERROR(__xludf.DUMMYFUNCTION("""COMPUTED_VALUE"""),0.476626016260162)</f>
        <v>0.4766260163</v>
      </c>
      <c r="K238" s="8">
        <f>IFERROR(__xludf.DUMMYFUNCTION("""COMPUTED_VALUE"""),0.459601259181532)</f>
        <v>0.4596012592</v>
      </c>
      <c r="L238" s="8">
        <f>IFERROR(__xludf.DUMMYFUNCTION("""COMPUTED_VALUE"""),0.430337078651685)</f>
        <v>0.4303370787</v>
      </c>
      <c r="M238" s="8">
        <f>IFERROR(__xludf.DUMMYFUNCTION("""COMPUTED_VALUE"""),0.426744186046511)</f>
        <v>0.426744186</v>
      </c>
      <c r="N238" s="8">
        <f>IFERROR(__xludf.DUMMYFUNCTION("""COMPUTED_VALUE"""),0.39205298013245)</f>
        <v>0.3920529801</v>
      </c>
      <c r="O238" s="8">
        <f>IFERROR(__xludf.DUMMYFUNCTION("""COMPUTED_VALUE"""),0.234496124031007)</f>
        <v>0.234496124</v>
      </c>
      <c r="P238" s="8">
        <f>IFERROR(__xludf.DUMMYFUNCTION("""COMPUTED_VALUE"""),0.0935672514619883)</f>
        <v>0.09356725146</v>
      </c>
      <c r="Q238" s="8">
        <f>IFERROR(__xludf.DUMMYFUNCTION("""COMPUTED_VALUE"""),0.0207100591715976)</f>
        <v>0.02071005917</v>
      </c>
      <c r="R238" s="8">
        <f>IFERROR(__xludf.DUMMYFUNCTION("""COMPUTED_VALUE"""),0.0137457044673539)</f>
        <v>0.01374570447</v>
      </c>
      <c r="S238" s="8">
        <f>IFERROR(__xludf.DUMMYFUNCTION("""COMPUTED_VALUE"""),0.0)</f>
        <v>0</v>
      </c>
      <c r="T238" s="8">
        <f>IFERROR(__xludf.DUMMYFUNCTION("""COMPUTED_VALUE"""),0.0)</f>
        <v>0</v>
      </c>
      <c r="U238" s="8">
        <f>IFERROR(__xludf.DUMMYFUNCTION("""COMPUTED_VALUE"""),0.0)</f>
        <v>0</v>
      </c>
      <c r="V238" s="8">
        <f>IFERROR(__xludf.DUMMYFUNCTION("""COMPUTED_VALUE"""),0.0)</f>
        <v>0</v>
      </c>
      <c r="W238" s="8">
        <f>IFERROR(__xludf.DUMMYFUNCTION("""COMPUTED_VALUE"""),0.0)</f>
        <v>0</v>
      </c>
      <c r="X238" s="8">
        <f>IFERROR(__xludf.DUMMYFUNCTION("""COMPUTED_VALUE"""),0.0)</f>
        <v>0</v>
      </c>
      <c r="Y238" s="8">
        <f>IFERROR(__xludf.DUMMYFUNCTION("""COMPUTED_VALUE"""),0.0)</f>
        <v>0</v>
      </c>
      <c r="Z238" s="8">
        <f>IFERROR(__xludf.DUMMYFUNCTION("""COMPUTED_VALUE"""),0.0)</f>
        <v>0</v>
      </c>
      <c r="AA238" s="8">
        <f>IFERROR(__xludf.DUMMYFUNCTION("""COMPUTED_VALUE"""),0.0)</f>
        <v>0</v>
      </c>
      <c r="AB238" s="8">
        <f>IFERROR(__xludf.DUMMYFUNCTION("""COMPUTED_VALUE"""),0.0)</f>
        <v>0</v>
      </c>
      <c r="AC238" s="8">
        <f>IFERROR(__xludf.DUMMYFUNCTION("""COMPUTED_VALUE"""),0.0)</f>
        <v>0</v>
      </c>
    </row>
    <row r="239" ht="15.75" customHeight="1">
      <c r="A239" s="6" t="str">
        <f>IFERROR(__xludf.DUMMYFUNCTION("""COMPUTED_VALUE"""),"da5271db73c1f23560f26da633ebffb91df9abd6")</f>
        <v>da5271db73c1f23560f26da633ebffb91df9abd6</v>
      </c>
      <c r="B239" s="6" t="str">
        <f>IFERROR(__xludf.DUMMYFUNCTION("""COMPUTED_VALUE"""),"Sold to the Alpha King")</f>
        <v>Sold to the Alpha King</v>
      </c>
      <c r="C239" s="6" t="str">
        <f>IFERROR(__xludf.DUMMYFUNCTION("""COMPUTED_VALUE"""),"Romance")</f>
        <v>Romance</v>
      </c>
      <c r="D239" s="11">
        <f>IFERROR(__xludf.DUMMYFUNCTION("""COMPUTED_VALUE"""),501.0)</f>
        <v>501</v>
      </c>
      <c r="E239" s="8">
        <f>IFERROR(__xludf.DUMMYFUNCTION("""COMPUTED_VALUE"""),0.981519507186858)</f>
        <v>0.9815195072</v>
      </c>
      <c r="F239" s="8">
        <f>IFERROR(__xludf.DUMMYFUNCTION("""COMPUTED_VALUE"""),0.556962025316455)</f>
        <v>0.5569620253</v>
      </c>
      <c r="G239" s="8">
        <f>IFERROR(__xludf.DUMMYFUNCTION("""COMPUTED_VALUE"""),0.453159041394335)</f>
        <v>0.4531590414</v>
      </c>
      <c r="H239" s="8">
        <f>IFERROR(__xludf.DUMMYFUNCTION("""COMPUTED_VALUE"""),0.403225806451612)</f>
        <v>0.4032258065</v>
      </c>
      <c r="I239" s="8">
        <f>IFERROR(__xludf.DUMMYFUNCTION("""COMPUTED_VALUE"""),0.341981132075471)</f>
        <v>0.3419811321</v>
      </c>
      <c r="J239" s="8">
        <f>IFERROR(__xludf.DUMMYFUNCTION("""COMPUTED_VALUE"""),0.300248138957816)</f>
        <v>0.300248139</v>
      </c>
      <c r="K239" s="8">
        <f>IFERROR(__xludf.DUMMYFUNCTION("""COMPUTED_VALUE"""),0.275324675324675)</f>
        <v>0.2753246753</v>
      </c>
      <c r="L239" s="8">
        <f>IFERROR(__xludf.DUMMYFUNCTION("""COMPUTED_VALUE"""),0.25072886297376)</f>
        <v>0.250728863</v>
      </c>
      <c r="M239" s="8">
        <f>IFERROR(__xludf.DUMMYFUNCTION("""COMPUTED_VALUE"""),0.236196319018404)</f>
        <v>0.236196319</v>
      </c>
      <c r="N239" s="8">
        <f>IFERROR(__xludf.DUMMYFUNCTION("""COMPUTED_VALUE"""),0.213483146067415)</f>
        <v>0.2134831461</v>
      </c>
      <c r="O239" s="8">
        <f>IFERROR(__xludf.DUMMYFUNCTION("""COMPUTED_VALUE"""),0.129707112970711)</f>
        <v>0.129707113</v>
      </c>
      <c r="P239" s="8">
        <f>IFERROR(__xludf.DUMMYFUNCTION("""COMPUTED_VALUE"""),0.138461538461538)</f>
        <v>0.1384615385</v>
      </c>
      <c r="Q239" s="8">
        <f>IFERROR(__xludf.DUMMYFUNCTION("""COMPUTED_VALUE"""),0.0)</f>
        <v>0</v>
      </c>
      <c r="R239" s="8">
        <f>IFERROR(__xludf.DUMMYFUNCTION("""COMPUTED_VALUE"""),0.0)</f>
        <v>0</v>
      </c>
      <c r="S239" s="8">
        <f>IFERROR(__xludf.DUMMYFUNCTION("""COMPUTED_VALUE"""),0.0)</f>
        <v>0</v>
      </c>
      <c r="T239" s="8">
        <f>IFERROR(__xludf.DUMMYFUNCTION("""COMPUTED_VALUE"""),0.0)</f>
        <v>0</v>
      </c>
      <c r="U239" s="8">
        <f>IFERROR(__xludf.DUMMYFUNCTION("""COMPUTED_VALUE"""),0.0)</f>
        <v>0</v>
      </c>
      <c r="V239" s="8">
        <f>IFERROR(__xludf.DUMMYFUNCTION("""COMPUTED_VALUE"""),0.0)</f>
        <v>0</v>
      </c>
      <c r="W239" s="8">
        <f>IFERROR(__xludf.DUMMYFUNCTION("""COMPUTED_VALUE"""),0.0)</f>
        <v>0</v>
      </c>
      <c r="X239" s="8">
        <f>IFERROR(__xludf.DUMMYFUNCTION("""COMPUTED_VALUE"""),0.0)</f>
        <v>0</v>
      </c>
      <c r="Y239" s="8">
        <f>IFERROR(__xludf.DUMMYFUNCTION("""COMPUTED_VALUE"""),0.0)</f>
        <v>0</v>
      </c>
      <c r="Z239" s="8">
        <f>IFERROR(__xludf.DUMMYFUNCTION("""COMPUTED_VALUE"""),0.0)</f>
        <v>0</v>
      </c>
      <c r="AA239" s="8">
        <f>IFERROR(__xludf.DUMMYFUNCTION("""COMPUTED_VALUE"""),0.0)</f>
        <v>0</v>
      </c>
      <c r="AB239" s="8">
        <f>IFERROR(__xludf.DUMMYFUNCTION("""COMPUTED_VALUE"""),0.0)</f>
        <v>0</v>
      </c>
      <c r="AC239" s="8">
        <f>IFERROR(__xludf.DUMMYFUNCTION("""COMPUTED_VALUE"""),0.0)</f>
        <v>0</v>
      </c>
    </row>
    <row r="240" ht="15.75" customHeight="1">
      <c r="A240" s="6" t="str">
        <f>IFERROR(__xludf.DUMMYFUNCTION("""COMPUTED_VALUE"""),"da8d32c5473daa3dc16575cdcd79a118bb445ffb")</f>
        <v>da8d32c5473daa3dc16575cdcd79a118bb445ffb</v>
      </c>
      <c r="B240" s="6" t="str">
        <f>IFERROR(__xludf.DUMMYFUNCTION("""COMPUTED_VALUE"""),"Bold Step Against Hoffman")</f>
        <v>Bold Step Against Hoffman</v>
      </c>
      <c r="C240" s="6" t="str">
        <f>IFERROR(__xludf.DUMMYFUNCTION("""COMPUTED_VALUE"""),"Romance")</f>
        <v>Romance</v>
      </c>
      <c r="D240" s="11">
        <f>IFERROR(__xludf.DUMMYFUNCTION("""COMPUTED_VALUE"""),1301.0)</f>
        <v>1301</v>
      </c>
      <c r="E240" s="8">
        <f>IFERROR(__xludf.DUMMYFUNCTION("""COMPUTED_VALUE"""),0.966640806826997)</f>
        <v>0.9666408068</v>
      </c>
      <c r="F240" s="8">
        <f>IFERROR(__xludf.DUMMYFUNCTION("""COMPUTED_VALUE"""),0.5)</f>
        <v>0.5</v>
      </c>
      <c r="G240" s="8">
        <f>IFERROR(__xludf.DUMMYFUNCTION("""COMPUTED_VALUE"""),0.414750198255352)</f>
        <v>0.4147501983</v>
      </c>
      <c r="H240" s="8">
        <f>IFERROR(__xludf.DUMMYFUNCTION("""COMPUTED_VALUE"""),0.349358974358974)</f>
        <v>0.3493589744</v>
      </c>
      <c r="I240" s="8">
        <f>IFERROR(__xludf.DUMMYFUNCTION("""COMPUTED_VALUE"""),0.305778491171749)</f>
        <v>0.3057784912</v>
      </c>
      <c r="J240" s="8">
        <f>IFERROR(__xludf.DUMMYFUNCTION("""COMPUTED_VALUE"""),0.2776886035313)</f>
        <v>0.2776886035</v>
      </c>
      <c r="K240" s="8">
        <f>IFERROR(__xludf.DUMMYFUNCTION("""COMPUTED_VALUE"""),0.272873194221508)</f>
        <v>0.2728731942</v>
      </c>
      <c r="L240" s="8">
        <f>IFERROR(__xludf.DUMMYFUNCTION("""COMPUTED_VALUE"""),0.243569131832797)</f>
        <v>0.2435691318</v>
      </c>
      <c r="M240" s="8">
        <f>IFERROR(__xludf.DUMMYFUNCTION("""COMPUTED_VALUE"""),0.23671497584541)</f>
        <v>0.2367149758</v>
      </c>
      <c r="N240" s="8">
        <f>IFERROR(__xludf.DUMMYFUNCTION("""COMPUTED_VALUE"""),0.22805578342904)</f>
        <v>0.2280557834</v>
      </c>
      <c r="O240" s="8">
        <f>IFERROR(__xludf.DUMMYFUNCTION("""COMPUTED_VALUE"""),0.171996542783059)</f>
        <v>0.1719965428</v>
      </c>
      <c r="P240" s="8">
        <f>IFERROR(__xludf.DUMMYFUNCTION("""COMPUTED_VALUE"""),0.144843568945538)</f>
        <v>0.1448435689</v>
      </c>
      <c r="Q240" s="8">
        <f>IFERROR(__xludf.DUMMYFUNCTION("""COMPUTED_VALUE"""),0.119854721549636)</f>
        <v>0.1198547215</v>
      </c>
      <c r="R240" s="8">
        <f>IFERROR(__xludf.DUMMYFUNCTION("""COMPUTED_VALUE"""),0.104477611940298)</f>
        <v>0.1044776119</v>
      </c>
      <c r="S240" s="8">
        <f>IFERROR(__xludf.DUMMYFUNCTION("""COMPUTED_VALUE"""),0.0972222222222222)</f>
        <v>0.09722222222</v>
      </c>
      <c r="T240" s="8">
        <f>IFERROR(__xludf.DUMMYFUNCTION("""COMPUTED_VALUE"""),0.0396039603960396)</f>
        <v>0.0396039604</v>
      </c>
      <c r="U240" s="8">
        <f>IFERROR(__xludf.DUMMYFUNCTION("""COMPUTED_VALUE"""),0.0256410256410256)</f>
        <v>0.02564102564</v>
      </c>
      <c r="V240" s="8">
        <f>IFERROR(__xludf.DUMMYFUNCTION("""COMPUTED_VALUE"""),0.0)</f>
        <v>0</v>
      </c>
      <c r="W240" s="8">
        <f>IFERROR(__xludf.DUMMYFUNCTION("""COMPUTED_VALUE"""),0.0)</f>
        <v>0</v>
      </c>
      <c r="X240" s="8">
        <f>IFERROR(__xludf.DUMMYFUNCTION("""COMPUTED_VALUE"""),0.0)</f>
        <v>0</v>
      </c>
      <c r="Y240" s="8">
        <f>IFERROR(__xludf.DUMMYFUNCTION("""COMPUTED_VALUE"""),0.0)</f>
        <v>0</v>
      </c>
      <c r="Z240" s="8">
        <f>IFERROR(__xludf.DUMMYFUNCTION("""COMPUTED_VALUE"""),0.0)</f>
        <v>0</v>
      </c>
      <c r="AA240" s="8">
        <f>IFERROR(__xludf.DUMMYFUNCTION("""COMPUTED_VALUE"""),0.0)</f>
        <v>0</v>
      </c>
      <c r="AB240" s="8">
        <f>IFERROR(__xludf.DUMMYFUNCTION("""COMPUTED_VALUE"""),0.0)</f>
        <v>0</v>
      </c>
      <c r="AC240" s="8">
        <f>IFERROR(__xludf.DUMMYFUNCTION("""COMPUTED_VALUE"""),0.0)</f>
        <v>0</v>
      </c>
    </row>
    <row r="241" ht="15.75" customHeight="1">
      <c r="A241" s="6" t="str">
        <f>IFERROR(__xludf.DUMMYFUNCTION("""COMPUTED_VALUE"""),"daa40d9ff542ace7e27440803ddf4307bbd54bdd")</f>
        <v>daa40d9ff542ace7e27440803ddf4307bbd54bdd</v>
      </c>
      <c r="B241" s="6" t="str">
        <f>IFERROR(__xludf.DUMMYFUNCTION("""COMPUTED_VALUE"""),"Villain's Harem")</f>
        <v>Villain's Harem</v>
      </c>
      <c r="C241" s="6" t="str">
        <f>IFERROR(__xludf.DUMMYFUNCTION("""COMPUTED_VALUE"""),"Romantasy")</f>
        <v>Romantasy</v>
      </c>
      <c r="D241" s="11">
        <f>IFERROR(__xludf.DUMMYFUNCTION("""COMPUTED_VALUE"""),216.0)</f>
        <v>216</v>
      </c>
      <c r="E241" s="8">
        <f>IFERROR(__xludf.DUMMYFUNCTION("""COMPUTED_VALUE"""),0.948598130841121)</f>
        <v>0.9485981308</v>
      </c>
      <c r="F241" s="8">
        <f>IFERROR(__xludf.DUMMYFUNCTION("""COMPUTED_VALUE"""),0.530516431924882)</f>
        <v>0.5305164319</v>
      </c>
      <c r="G241" s="8">
        <f>IFERROR(__xludf.DUMMYFUNCTION("""COMPUTED_VALUE"""),0.466981132075471)</f>
        <v>0.4669811321</v>
      </c>
      <c r="H241" s="8">
        <f>IFERROR(__xludf.DUMMYFUNCTION("""COMPUTED_VALUE"""),0.419811320754717)</f>
        <v>0.4198113208</v>
      </c>
      <c r="I241" s="8">
        <f>IFERROR(__xludf.DUMMYFUNCTION("""COMPUTED_VALUE"""),0.350710900473933)</f>
        <v>0.3507109005</v>
      </c>
      <c r="J241" s="8">
        <f>IFERROR(__xludf.DUMMYFUNCTION("""COMPUTED_VALUE"""),0.338095238095238)</f>
        <v>0.3380952381</v>
      </c>
      <c r="K241" s="8">
        <f>IFERROR(__xludf.DUMMYFUNCTION("""COMPUTED_VALUE"""),0.279411764705882)</f>
        <v>0.2794117647</v>
      </c>
      <c r="L241" s="8">
        <f>IFERROR(__xludf.DUMMYFUNCTION("""COMPUTED_VALUE"""),0.235)</f>
        <v>0.235</v>
      </c>
      <c r="M241" s="8">
        <f>IFERROR(__xludf.DUMMYFUNCTION("""COMPUTED_VALUE"""),0.233160621761658)</f>
        <v>0.2331606218</v>
      </c>
      <c r="N241" s="8">
        <f>IFERROR(__xludf.DUMMYFUNCTION("""COMPUTED_VALUE"""),0.217142857142857)</f>
        <v>0.2171428571</v>
      </c>
      <c r="O241" s="8">
        <f>IFERROR(__xludf.DUMMYFUNCTION("""COMPUTED_VALUE"""),0.285714285714285)</f>
        <v>0.2857142857</v>
      </c>
      <c r="P241" s="8">
        <f>IFERROR(__xludf.DUMMYFUNCTION("""COMPUTED_VALUE"""),0.125)</f>
        <v>0.125</v>
      </c>
      <c r="Q241" s="8">
        <f>IFERROR(__xludf.DUMMYFUNCTION("""COMPUTED_VALUE"""),0.0)</f>
        <v>0</v>
      </c>
      <c r="R241" s="8">
        <f>IFERROR(__xludf.DUMMYFUNCTION("""COMPUTED_VALUE"""),0.0)</f>
        <v>0</v>
      </c>
      <c r="S241" s="8">
        <f>IFERROR(__xludf.DUMMYFUNCTION("""COMPUTED_VALUE"""),0.0)</f>
        <v>0</v>
      </c>
      <c r="T241" s="8">
        <f>IFERROR(__xludf.DUMMYFUNCTION("""COMPUTED_VALUE"""),0.0)</f>
        <v>0</v>
      </c>
      <c r="U241" s="8">
        <f>IFERROR(__xludf.DUMMYFUNCTION("""COMPUTED_VALUE"""),0.0)</f>
        <v>0</v>
      </c>
      <c r="V241" s="8">
        <f>IFERROR(__xludf.DUMMYFUNCTION("""COMPUTED_VALUE"""),0.0)</f>
        <v>0</v>
      </c>
      <c r="W241" s="8">
        <f>IFERROR(__xludf.DUMMYFUNCTION("""COMPUTED_VALUE"""),0.0)</f>
        <v>0</v>
      </c>
      <c r="X241" s="8">
        <f>IFERROR(__xludf.DUMMYFUNCTION("""COMPUTED_VALUE"""),0.0)</f>
        <v>0</v>
      </c>
      <c r="Y241" s="8">
        <f>IFERROR(__xludf.DUMMYFUNCTION("""COMPUTED_VALUE"""),0.0)</f>
        <v>0</v>
      </c>
      <c r="Z241" s="8">
        <f>IFERROR(__xludf.DUMMYFUNCTION("""COMPUTED_VALUE"""),0.0)</f>
        <v>0</v>
      </c>
      <c r="AA241" s="8">
        <f>IFERROR(__xludf.DUMMYFUNCTION("""COMPUTED_VALUE"""),0.0)</f>
        <v>0</v>
      </c>
      <c r="AB241" s="8">
        <f>IFERROR(__xludf.DUMMYFUNCTION("""COMPUTED_VALUE"""),0.0)</f>
        <v>0</v>
      </c>
      <c r="AC241" s="8">
        <f>IFERROR(__xludf.DUMMYFUNCTION("""COMPUTED_VALUE"""),0.0)</f>
        <v>0</v>
      </c>
    </row>
    <row r="242" ht="15.75" customHeight="1">
      <c r="A242" s="6" t="str">
        <f>IFERROR(__xludf.DUMMYFUNCTION("""COMPUTED_VALUE"""),"db982055d0205f85b154941a9a5fdcae32a88a7c")</f>
        <v>db982055d0205f85b154941a9a5fdcae32a88a7c</v>
      </c>
      <c r="B242" s="6" t="str">
        <f>IFERROR(__xludf.DUMMYFUNCTION("""COMPUTED_VALUE"""),"Re:system - Rebooted")</f>
        <v>Re:system - Rebooted</v>
      </c>
      <c r="C242" s="6" t="str">
        <f>IFERROR(__xludf.DUMMYFUNCTION("""COMPUTED_VALUE"""),"Fantasy")</f>
        <v>Fantasy</v>
      </c>
      <c r="D242" s="11">
        <f>IFERROR(__xludf.DUMMYFUNCTION("""COMPUTED_VALUE"""),56.0)</f>
        <v>56</v>
      </c>
      <c r="E242" s="8">
        <f>IFERROR(__xludf.DUMMYFUNCTION("""COMPUTED_VALUE"""),0.963636363636363)</f>
        <v>0.9636363636</v>
      </c>
      <c r="F242" s="8">
        <f>IFERROR(__xludf.DUMMYFUNCTION("""COMPUTED_VALUE"""),0.618181818181818)</f>
        <v>0.6181818182</v>
      </c>
      <c r="G242" s="8">
        <f>IFERROR(__xludf.DUMMYFUNCTION("""COMPUTED_VALUE"""),0.509090909090909)</f>
        <v>0.5090909091</v>
      </c>
      <c r="H242" s="8">
        <f>IFERROR(__xludf.DUMMYFUNCTION("""COMPUTED_VALUE"""),0.454545454545454)</f>
        <v>0.4545454545</v>
      </c>
      <c r="I242" s="8">
        <f>IFERROR(__xludf.DUMMYFUNCTION("""COMPUTED_VALUE"""),0.454545454545454)</f>
        <v>0.4545454545</v>
      </c>
      <c r="J242" s="8">
        <f>IFERROR(__xludf.DUMMYFUNCTION("""COMPUTED_VALUE"""),0.423076923076923)</f>
        <v>0.4230769231</v>
      </c>
      <c r="K242" s="8">
        <f>IFERROR(__xludf.DUMMYFUNCTION("""COMPUTED_VALUE"""),0.404255319148936)</f>
        <v>0.4042553191</v>
      </c>
      <c r="L242" s="8">
        <f>IFERROR(__xludf.DUMMYFUNCTION("""COMPUTED_VALUE"""),0.425)</f>
        <v>0.425</v>
      </c>
      <c r="M242" s="8">
        <f>IFERROR(__xludf.DUMMYFUNCTION("""COMPUTED_VALUE"""),0.387096774193548)</f>
        <v>0.3870967742</v>
      </c>
      <c r="N242" s="8">
        <f>IFERROR(__xludf.DUMMYFUNCTION("""COMPUTED_VALUE"""),0.263157894736842)</f>
        <v>0.2631578947</v>
      </c>
      <c r="O242" s="8">
        <f>IFERROR(__xludf.DUMMYFUNCTION("""COMPUTED_VALUE"""),0.0)</f>
        <v>0</v>
      </c>
      <c r="P242" s="8">
        <f>IFERROR(__xludf.DUMMYFUNCTION("""COMPUTED_VALUE"""),0.0)</f>
        <v>0</v>
      </c>
      <c r="Q242" s="8">
        <f>IFERROR(__xludf.DUMMYFUNCTION("""COMPUTED_VALUE"""),0.0)</f>
        <v>0</v>
      </c>
      <c r="R242" s="8">
        <f>IFERROR(__xludf.DUMMYFUNCTION("""COMPUTED_VALUE"""),0.0)</f>
        <v>0</v>
      </c>
      <c r="S242" s="8">
        <f>IFERROR(__xludf.DUMMYFUNCTION("""COMPUTED_VALUE"""),0.0)</f>
        <v>0</v>
      </c>
      <c r="T242" s="8">
        <f>IFERROR(__xludf.DUMMYFUNCTION("""COMPUTED_VALUE"""),0.0)</f>
        <v>0</v>
      </c>
      <c r="U242" s="8">
        <f>IFERROR(__xludf.DUMMYFUNCTION("""COMPUTED_VALUE"""),0.0)</f>
        <v>0</v>
      </c>
      <c r="V242" s="8">
        <f>IFERROR(__xludf.DUMMYFUNCTION("""COMPUTED_VALUE"""),0.0)</f>
        <v>0</v>
      </c>
      <c r="W242" s="8">
        <f>IFERROR(__xludf.DUMMYFUNCTION("""COMPUTED_VALUE"""),0.0)</f>
        <v>0</v>
      </c>
      <c r="X242" s="8">
        <f>IFERROR(__xludf.DUMMYFUNCTION("""COMPUTED_VALUE"""),0.0)</f>
        <v>0</v>
      </c>
      <c r="Y242" s="8">
        <f>IFERROR(__xludf.DUMMYFUNCTION("""COMPUTED_VALUE"""),0.0)</f>
        <v>0</v>
      </c>
      <c r="Z242" s="8">
        <f>IFERROR(__xludf.DUMMYFUNCTION("""COMPUTED_VALUE"""),0.0)</f>
        <v>0</v>
      </c>
      <c r="AA242" s="8">
        <f>IFERROR(__xludf.DUMMYFUNCTION("""COMPUTED_VALUE"""),0.0)</f>
        <v>0</v>
      </c>
      <c r="AB242" s="8">
        <f>IFERROR(__xludf.DUMMYFUNCTION("""COMPUTED_VALUE"""),0.0)</f>
        <v>0</v>
      </c>
      <c r="AC242" s="8">
        <f>IFERROR(__xludf.DUMMYFUNCTION("""COMPUTED_VALUE"""),0.0)</f>
        <v>0</v>
      </c>
    </row>
    <row r="243" ht="15.75" customHeight="1">
      <c r="A243" s="6" t="str">
        <f>IFERROR(__xludf.DUMMYFUNCTION("""COMPUTED_VALUE"""),"ddcfd794c1c386caa644e2b1d2379bfcd4efb154")</f>
        <v>ddcfd794c1c386caa644e2b1d2379bfcd4efb154</v>
      </c>
      <c r="B243" s="6" t="str">
        <f>IFERROR(__xludf.DUMMYFUNCTION("""COMPUTED_VALUE"""),"Tycoons Love Swindled")</f>
        <v>Tycoons Love Swindled</v>
      </c>
      <c r="C243" s="6" t="str">
        <f>IFERROR(__xludf.DUMMYFUNCTION("""COMPUTED_VALUE"""),"Drama")</f>
        <v>Drama</v>
      </c>
      <c r="D243" s="11">
        <f>IFERROR(__xludf.DUMMYFUNCTION("""COMPUTED_VALUE"""),332.0)</f>
        <v>332</v>
      </c>
      <c r="E243" s="8">
        <f>IFERROR(__xludf.DUMMYFUNCTION("""COMPUTED_VALUE"""),0.565349544072948)</f>
        <v>0.5653495441</v>
      </c>
      <c r="F243" s="8">
        <f>IFERROR(__xludf.DUMMYFUNCTION("""COMPUTED_VALUE"""),0.336391437308868)</f>
        <v>0.3363914373</v>
      </c>
      <c r="G243" s="8">
        <f>IFERROR(__xludf.DUMMYFUNCTION("""COMPUTED_VALUE"""),0.295384615384615)</f>
        <v>0.2953846154</v>
      </c>
      <c r="H243" s="8">
        <f>IFERROR(__xludf.DUMMYFUNCTION("""COMPUTED_VALUE"""),0.28125)</f>
        <v>0.28125</v>
      </c>
      <c r="I243" s="8">
        <f>IFERROR(__xludf.DUMMYFUNCTION("""COMPUTED_VALUE"""),0.276729559748427)</f>
        <v>0.2767295597</v>
      </c>
      <c r="J243" s="8">
        <f>IFERROR(__xludf.DUMMYFUNCTION("""COMPUTED_VALUE"""),0.283439490445859)</f>
        <v>0.2834394904</v>
      </c>
      <c r="K243" s="8">
        <f>IFERROR(__xludf.DUMMYFUNCTION("""COMPUTED_VALUE"""),0.2508038585209)</f>
        <v>0.2508038585</v>
      </c>
      <c r="L243" s="8">
        <f>IFERROR(__xludf.DUMMYFUNCTION("""COMPUTED_VALUE"""),0.263843648208469)</f>
        <v>0.2638436482</v>
      </c>
      <c r="M243" s="8">
        <f>IFERROR(__xludf.DUMMYFUNCTION("""COMPUTED_VALUE"""),0.217821782178217)</f>
        <v>0.2178217822</v>
      </c>
      <c r="N243" s="8">
        <f>IFERROR(__xludf.DUMMYFUNCTION("""COMPUTED_VALUE"""),0.226666666666666)</f>
        <v>0.2266666667</v>
      </c>
      <c r="O243" s="8">
        <f>IFERROR(__xludf.DUMMYFUNCTION("""COMPUTED_VALUE"""),0.219858156028368)</f>
        <v>0.219858156</v>
      </c>
      <c r="P243" s="8">
        <f>IFERROR(__xludf.DUMMYFUNCTION("""COMPUTED_VALUE"""),0.164285714285714)</f>
        <v>0.1642857143</v>
      </c>
      <c r="Q243" s="8">
        <f>IFERROR(__xludf.DUMMYFUNCTION("""COMPUTED_VALUE"""),0.026595744680851)</f>
        <v>0.02659574468</v>
      </c>
      <c r="R243" s="8">
        <f>IFERROR(__xludf.DUMMYFUNCTION("""COMPUTED_VALUE"""),0.0151515151515151)</f>
        <v>0.01515151515</v>
      </c>
      <c r="S243" s="8">
        <f>IFERROR(__xludf.DUMMYFUNCTION("""COMPUTED_VALUE"""),0.0)</f>
        <v>0</v>
      </c>
      <c r="T243" s="8">
        <f>IFERROR(__xludf.DUMMYFUNCTION("""COMPUTED_VALUE"""),0.0)</f>
        <v>0</v>
      </c>
      <c r="U243" s="8">
        <f>IFERROR(__xludf.DUMMYFUNCTION("""COMPUTED_VALUE"""),0.0)</f>
        <v>0</v>
      </c>
      <c r="V243" s="8">
        <f>IFERROR(__xludf.DUMMYFUNCTION("""COMPUTED_VALUE"""),0.0)</f>
        <v>0</v>
      </c>
      <c r="W243" s="8">
        <f>IFERROR(__xludf.DUMMYFUNCTION("""COMPUTED_VALUE"""),0.0)</f>
        <v>0</v>
      </c>
      <c r="X243" s="8">
        <f>IFERROR(__xludf.DUMMYFUNCTION("""COMPUTED_VALUE"""),0.0)</f>
        <v>0</v>
      </c>
      <c r="Y243" s="8">
        <f>IFERROR(__xludf.DUMMYFUNCTION("""COMPUTED_VALUE"""),0.0)</f>
        <v>0</v>
      </c>
      <c r="Z243" s="8">
        <f>IFERROR(__xludf.DUMMYFUNCTION("""COMPUTED_VALUE"""),0.0)</f>
        <v>0</v>
      </c>
      <c r="AA243" s="8">
        <f>IFERROR(__xludf.DUMMYFUNCTION("""COMPUTED_VALUE"""),0.0)</f>
        <v>0</v>
      </c>
      <c r="AB243" s="8">
        <f>IFERROR(__xludf.DUMMYFUNCTION("""COMPUTED_VALUE"""),0.0)</f>
        <v>0</v>
      </c>
      <c r="AC243" s="8">
        <f>IFERROR(__xludf.DUMMYFUNCTION("""COMPUTED_VALUE"""),0.0)</f>
        <v>0</v>
      </c>
    </row>
    <row r="244" ht="15.75" customHeight="1">
      <c r="A244" s="6" t="str">
        <f>IFERROR(__xludf.DUMMYFUNCTION("""COMPUTED_VALUE"""),"de862851ca66c0ec5a982ecfe58d14472093a185")</f>
        <v>de862851ca66c0ec5a982ecfe58d14472093a185</v>
      </c>
      <c r="B244" s="6" t="str">
        <f>IFERROR(__xludf.DUMMYFUNCTION("""COMPUTED_VALUE"""),"From Trash to a Legend")</f>
        <v>From Trash to a Legend</v>
      </c>
      <c r="C244" s="6" t="str">
        <f>IFERROR(__xludf.DUMMYFUNCTION("""COMPUTED_VALUE"""),"System and Superpower")</f>
        <v>System and Superpower</v>
      </c>
      <c r="D244" s="11">
        <f>IFERROR(__xludf.DUMMYFUNCTION("""COMPUTED_VALUE"""),139.0)</f>
        <v>139</v>
      </c>
      <c r="E244" s="8">
        <f>IFERROR(__xludf.DUMMYFUNCTION("""COMPUTED_VALUE"""),0.9568345323741)</f>
        <v>0.9568345324</v>
      </c>
      <c r="F244" s="8">
        <f>IFERROR(__xludf.DUMMYFUNCTION("""COMPUTED_VALUE"""),0.654676258992805)</f>
        <v>0.654676259</v>
      </c>
      <c r="G244" s="8">
        <f>IFERROR(__xludf.DUMMYFUNCTION("""COMPUTED_VALUE"""),0.618705035971223)</f>
        <v>0.618705036</v>
      </c>
      <c r="H244" s="8">
        <f>IFERROR(__xludf.DUMMYFUNCTION("""COMPUTED_VALUE"""),0.597122302158273)</f>
        <v>0.5971223022</v>
      </c>
      <c r="I244" s="8">
        <f>IFERROR(__xludf.DUMMYFUNCTION("""COMPUTED_VALUE"""),0.547445255474452)</f>
        <v>0.5474452555</v>
      </c>
      <c r="J244" s="8">
        <f>IFERROR(__xludf.DUMMYFUNCTION("""COMPUTED_VALUE"""),0.548148148148148)</f>
        <v>0.5481481481</v>
      </c>
      <c r="K244" s="8">
        <f>IFERROR(__xludf.DUMMYFUNCTION("""COMPUTED_VALUE"""),0.503703703703703)</f>
        <v>0.5037037037</v>
      </c>
      <c r="L244" s="8">
        <f>IFERROR(__xludf.DUMMYFUNCTION("""COMPUTED_VALUE"""),0.464566929133858)</f>
        <v>0.4645669291</v>
      </c>
      <c r="M244" s="8">
        <f>IFERROR(__xludf.DUMMYFUNCTION("""COMPUTED_VALUE"""),0.45)</f>
        <v>0.45</v>
      </c>
      <c r="N244" s="8">
        <f>IFERROR(__xludf.DUMMYFUNCTION("""COMPUTED_VALUE"""),0.445454545454545)</f>
        <v>0.4454545455</v>
      </c>
      <c r="O244" s="8">
        <f>IFERROR(__xludf.DUMMYFUNCTION("""COMPUTED_VALUE"""),0.35820895522388)</f>
        <v>0.3582089552</v>
      </c>
      <c r="P244" s="8">
        <f>IFERROR(__xludf.DUMMYFUNCTION("""COMPUTED_VALUE"""),0.236842105263157)</f>
        <v>0.2368421053</v>
      </c>
      <c r="Q244" s="8">
        <f>IFERROR(__xludf.DUMMYFUNCTION("""COMPUTED_VALUE"""),0.0)</f>
        <v>0</v>
      </c>
      <c r="R244" s="8">
        <f>IFERROR(__xludf.DUMMYFUNCTION("""COMPUTED_VALUE"""),0.0)</f>
        <v>0</v>
      </c>
      <c r="S244" s="8">
        <f>IFERROR(__xludf.DUMMYFUNCTION("""COMPUTED_VALUE"""),0.0)</f>
        <v>0</v>
      </c>
      <c r="T244" s="8">
        <f>IFERROR(__xludf.DUMMYFUNCTION("""COMPUTED_VALUE"""),0.0)</f>
        <v>0</v>
      </c>
      <c r="U244" s="8">
        <f>IFERROR(__xludf.DUMMYFUNCTION("""COMPUTED_VALUE"""),0.0)</f>
        <v>0</v>
      </c>
      <c r="V244" s="8">
        <f>IFERROR(__xludf.DUMMYFUNCTION("""COMPUTED_VALUE"""),0.0)</f>
        <v>0</v>
      </c>
      <c r="W244" s="8">
        <f>IFERROR(__xludf.DUMMYFUNCTION("""COMPUTED_VALUE"""),0.0)</f>
        <v>0</v>
      </c>
      <c r="X244" s="8">
        <f>IFERROR(__xludf.DUMMYFUNCTION("""COMPUTED_VALUE"""),0.0)</f>
        <v>0</v>
      </c>
      <c r="Y244" s="8">
        <f>IFERROR(__xludf.DUMMYFUNCTION("""COMPUTED_VALUE"""),0.0)</f>
        <v>0</v>
      </c>
      <c r="Z244" s="8">
        <f>IFERROR(__xludf.DUMMYFUNCTION("""COMPUTED_VALUE"""),0.0)</f>
        <v>0</v>
      </c>
      <c r="AA244" s="8">
        <f>IFERROR(__xludf.DUMMYFUNCTION("""COMPUTED_VALUE"""),0.0)</f>
        <v>0</v>
      </c>
      <c r="AB244" s="8">
        <f>IFERROR(__xludf.DUMMYFUNCTION("""COMPUTED_VALUE"""),0.0)</f>
        <v>0</v>
      </c>
      <c r="AC244" s="8">
        <f>IFERROR(__xludf.DUMMYFUNCTION("""COMPUTED_VALUE"""),0.0)</f>
        <v>0</v>
      </c>
    </row>
    <row r="245" ht="15.75" customHeight="1">
      <c r="A245" s="6" t="str">
        <f>IFERROR(__xludf.DUMMYFUNCTION("""COMPUTED_VALUE"""),"df497806d02c2dcc2e8f8e790fcc3fb9e72f8166")</f>
        <v>df497806d02c2dcc2e8f8e790fcc3fb9e72f8166</v>
      </c>
      <c r="B245" s="6" t="str">
        <f>IFERROR(__xludf.DUMMYFUNCTION("""COMPUTED_VALUE"""),"Never Letting You Go")</f>
        <v>Never Letting You Go</v>
      </c>
      <c r="C245" s="6" t="str">
        <f>IFERROR(__xludf.DUMMYFUNCTION("""COMPUTED_VALUE"""),"Romance")</f>
        <v>Romance</v>
      </c>
      <c r="D245" s="11">
        <f>IFERROR(__xludf.DUMMYFUNCTION("""COMPUTED_VALUE"""),561.0)</f>
        <v>561</v>
      </c>
      <c r="E245" s="8">
        <f>IFERROR(__xludf.DUMMYFUNCTION("""COMPUTED_VALUE"""),0.965827338129496)</f>
        <v>0.9658273381</v>
      </c>
      <c r="F245" s="8">
        <f>IFERROR(__xludf.DUMMYFUNCTION("""COMPUTED_VALUE"""),0.519195612431444)</f>
        <v>0.5191956124</v>
      </c>
      <c r="G245" s="8">
        <f>IFERROR(__xludf.DUMMYFUNCTION("""COMPUTED_VALUE"""),0.460258780036968)</f>
        <v>0.46025878</v>
      </c>
      <c r="H245" s="8">
        <f>IFERROR(__xludf.DUMMYFUNCTION("""COMPUTED_VALUE"""),0.40566037735849)</f>
        <v>0.4056603774</v>
      </c>
      <c r="I245" s="8">
        <f>IFERROR(__xludf.DUMMYFUNCTION("""COMPUTED_VALUE"""),0.35672514619883)</f>
        <v>0.3567251462</v>
      </c>
      <c r="J245" s="8">
        <f>IFERROR(__xludf.DUMMYFUNCTION("""COMPUTED_VALUE"""),0.328)</f>
        <v>0.328</v>
      </c>
      <c r="K245" s="8">
        <f>IFERROR(__xludf.DUMMYFUNCTION("""COMPUTED_VALUE"""),0.302325581395348)</f>
        <v>0.3023255814</v>
      </c>
      <c r="L245" s="8">
        <f>IFERROR(__xludf.DUMMYFUNCTION("""COMPUTED_VALUE"""),0.2883295194508)</f>
        <v>0.2883295195</v>
      </c>
      <c r="M245" s="8">
        <f>IFERROR(__xludf.DUMMYFUNCTION("""COMPUTED_VALUE"""),0.25679012345679)</f>
        <v>0.2567901235</v>
      </c>
      <c r="N245" s="8">
        <f>IFERROR(__xludf.DUMMYFUNCTION("""COMPUTED_VALUE"""),0.255072463768115)</f>
        <v>0.2550724638</v>
      </c>
      <c r="O245" s="8">
        <f>IFERROR(__xludf.DUMMYFUNCTION("""COMPUTED_VALUE"""),0.220095693779904)</f>
        <v>0.2200956938</v>
      </c>
      <c r="P245" s="8">
        <f>IFERROR(__xludf.DUMMYFUNCTION("""COMPUTED_VALUE"""),0.0983606557377049)</f>
        <v>0.09836065574</v>
      </c>
      <c r="Q245" s="8">
        <f>IFERROR(__xludf.DUMMYFUNCTION("""COMPUTED_VALUE"""),0.0909090909090909)</f>
        <v>0.09090909091</v>
      </c>
      <c r="R245" s="8">
        <f>IFERROR(__xludf.DUMMYFUNCTION("""COMPUTED_VALUE"""),0.0)</f>
        <v>0</v>
      </c>
      <c r="S245" s="8">
        <f>IFERROR(__xludf.DUMMYFUNCTION("""COMPUTED_VALUE"""),0.0)</f>
        <v>0</v>
      </c>
      <c r="T245" s="8">
        <f>IFERROR(__xludf.DUMMYFUNCTION("""COMPUTED_VALUE"""),0.0)</f>
        <v>0</v>
      </c>
      <c r="U245" s="8">
        <f>IFERROR(__xludf.DUMMYFUNCTION("""COMPUTED_VALUE"""),0.0)</f>
        <v>0</v>
      </c>
      <c r="V245" s="8">
        <f>IFERROR(__xludf.DUMMYFUNCTION("""COMPUTED_VALUE"""),0.0)</f>
        <v>0</v>
      </c>
      <c r="W245" s="8">
        <f>IFERROR(__xludf.DUMMYFUNCTION("""COMPUTED_VALUE"""),0.0)</f>
        <v>0</v>
      </c>
      <c r="X245" s="8">
        <f>IFERROR(__xludf.DUMMYFUNCTION("""COMPUTED_VALUE"""),0.0)</f>
        <v>0</v>
      </c>
      <c r="Y245" s="8">
        <f>IFERROR(__xludf.DUMMYFUNCTION("""COMPUTED_VALUE"""),0.0)</f>
        <v>0</v>
      </c>
      <c r="Z245" s="8">
        <f>IFERROR(__xludf.DUMMYFUNCTION("""COMPUTED_VALUE"""),0.0)</f>
        <v>0</v>
      </c>
      <c r="AA245" s="8">
        <f>IFERROR(__xludf.DUMMYFUNCTION("""COMPUTED_VALUE"""),0.0)</f>
        <v>0</v>
      </c>
      <c r="AB245" s="8">
        <f>IFERROR(__xludf.DUMMYFUNCTION("""COMPUTED_VALUE"""),0.0)</f>
        <v>0</v>
      </c>
      <c r="AC245" s="8">
        <f>IFERROR(__xludf.DUMMYFUNCTION("""COMPUTED_VALUE"""),0.0)</f>
        <v>0</v>
      </c>
    </row>
    <row r="246" ht="15.75" customHeight="1">
      <c r="A246" s="6" t="str">
        <f>IFERROR(__xludf.DUMMYFUNCTION("""COMPUTED_VALUE"""),"e0cc4d535444616635b899b0d8d7d34e8dde5fa7")</f>
        <v>e0cc4d535444616635b899b0d8d7d34e8dde5fa7</v>
      </c>
      <c r="B246" s="6" t="str">
        <f>IFERROR(__xludf.DUMMYFUNCTION("""COMPUTED_VALUE"""),"Fated Bond")</f>
        <v>Fated Bond</v>
      </c>
      <c r="C246" s="6" t="str">
        <f>IFERROR(__xludf.DUMMYFUNCTION("""COMPUTED_VALUE"""),"Romantasy")</f>
        <v>Romantasy</v>
      </c>
      <c r="D246" s="11">
        <f>IFERROR(__xludf.DUMMYFUNCTION("""COMPUTED_VALUE"""),6304.0)</f>
        <v>6304</v>
      </c>
      <c r="E246" s="8">
        <f>IFERROR(__xludf.DUMMYFUNCTION("""COMPUTED_VALUE"""),0.948196408708088)</f>
        <v>0.9481964087</v>
      </c>
      <c r="F246" s="8">
        <f>IFERROR(__xludf.DUMMYFUNCTION("""COMPUTED_VALUE"""),0.433980273623926)</f>
        <v>0.4339802736</v>
      </c>
      <c r="G246" s="8">
        <f>IFERROR(__xludf.DUMMYFUNCTION("""COMPUTED_VALUE"""),0.373248407643312)</f>
        <v>0.3732484076</v>
      </c>
      <c r="H246" s="8">
        <f>IFERROR(__xludf.DUMMYFUNCTION("""COMPUTED_VALUE"""),0.338540006375518)</f>
        <v>0.3385400064</v>
      </c>
      <c r="I246" s="8">
        <f>IFERROR(__xludf.DUMMYFUNCTION("""COMPUTED_VALUE"""),0.320866773675762)</f>
        <v>0.3208667737</v>
      </c>
      <c r="J246" s="8">
        <f>IFERROR(__xludf.DUMMYFUNCTION("""COMPUTED_VALUE"""),0.306040051679586)</f>
        <v>0.3060400517</v>
      </c>
      <c r="K246" s="8">
        <f>IFERROR(__xludf.DUMMYFUNCTION("""COMPUTED_VALUE"""),0.29296049422858)</f>
        <v>0.2929604942</v>
      </c>
      <c r="L246" s="8">
        <f>IFERROR(__xludf.DUMMYFUNCTION("""COMPUTED_VALUE"""),0.285737758790667)</f>
        <v>0.2857377588</v>
      </c>
      <c r="M246" s="8">
        <f>IFERROR(__xludf.DUMMYFUNCTION("""COMPUTED_VALUE"""),0.281125827814569)</f>
        <v>0.2811258278</v>
      </c>
      <c r="N246" s="8">
        <f>IFERROR(__xludf.DUMMYFUNCTION("""COMPUTED_VALUE"""),0.27633562217384)</f>
        <v>0.2763356222</v>
      </c>
      <c r="O246" s="8">
        <f>IFERROR(__xludf.DUMMYFUNCTION("""COMPUTED_VALUE"""),0.266030736618971)</f>
        <v>0.2660307366</v>
      </c>
      <c r="P246" s="8">
        <f>IFERROR(__xludf.DUMMYFUNCTION("""COMPUTED_VALUE"""),0.227086981903093)</f>
        <v>0.2270869819</v>
      </c>
      <c r="Q246" s="8">
        <f>IFERROR(__xludf.DUMMYFUNCTION("""COMPUTED_VALUE"""),0.201211305518169)</f>
        <v>0.2012113055</v>
      </c>
      <c r="R246" s="8">
        <f>IFERROR(__xludf.DUMMYFUNCTION("""COMPUTED_VALUE"""),0.154002320185614)</f>
        <v>0.1540023202</v>
      </c>
      <c r="S246" s="8">
        <f>IFERROR(__xludf.DUMMYFUNCTION("""COMPUTED_VALUE"""),0.114769975786924)</f>
        <v>0.1147699758</v>
      </c>
      <c r="T246" s="8">
        <f>IFERROR(__xludf.DUMMYFUNCTION("""COMPUTED_VALUE"""),0.0879396984924623)</f>
        <v>0.08793969849</v>
      </c>
      <c r="U246" s="8">
        <f>IFERROR(__xludf.DUMMYFUNCTION("""COMPUTED_VALUE"""),0.0637140637140637)</f>
        <v>0.06371406371</v>
      </c>
      <c r="V246" s="8">
        <f>IFERROR(__xludf.DUMMYFUNCTION("""COMPUTED_VALUE"""),0.0526315789473684)</f>
        <v>0.05263157895</v>
      </c>
      <c r="W246" s="8">
        <f>IFERROR(__xludf.DUMMYFUNCTION("""COMPUTED_VALUE"""),0.0362473347547974)</f>
        <v>0.03624733475</v>
      </c>
      <c r="X246" s="8">
        <f>IFERROR(__xludf.DUMMYFUNCTION("""COMPUTED_VALUE"""),0.00818553888130968)</f>
        <v>0.008185538881</v>
      </c>
      <c r="Y246" s="8">
        <f>IFERROR(__xludf.DUMMYFUNCTION("""COMPUTED_VALUE"""),0.0)</f>
        <v>0</v>
      </c>
      <c r="Z246" s="8">
        <f>IFERROR(__xludf.DUMMYFUNCTION("""COMPUTED_VALUE"""),0.0)</f>
        <v>0</v>
      </c>
      <c r="AA246" s="8">
        <f>IFERROR(__xludf.DUMMYFUNCTION("""COMPUTED_VALUE"""),0.0)</f>
        <v>0</v>
      </c>
      <c r="AB246" s="8">
        <f>IFERROR(__xludf.DUMMYFUNCTION("""COMPUTED_VALUE"""),0.0)</f>
        <v>0</v>
      </c>
      <c r="AC246" s="8">
        <f>IFERROR(__xludf.DUMMYFUNCTION("""COMPUTED_VALUE"""),0.0)</f>
        <v>0</v>
      </c>
    </row>
    <row r="247" ht="15.75" customHeight="1">
      <c r="A247" s="6" t="str">
        <f>IFERROR(__xludf.DUMMYFUNCTION("""COMPUTED_VALUE"""),"e0df7c51c42acc2ebb07fef0853244b617b34a0a")</f>
        <v>e0df7c51c42acc2ebb07fef0853244b617b34a0a</v>
      </c>
      <c r="B247" s="6" t="str">
        <f>IFERROR(__xludf.DUMMYFUNCTION("""COMPUTED_VALUE"""),"Hunted by the Alpha")</f>
        <v>Hunted by the Alpha</v>
      </c>
      <c r="C247" s="6" t="str">
        <f>IFERROR(__xludf.DUMMYFUNCTION("""COMPUTED_VALUE"""),"Romantasy")</f>
        <v>Romantasy</v>
      </c>
      <c r="D247" s="11">
        <f>IFERROR(__xludf.DUMMYFUNCTION("""COMPUTED_VALUE"""),5797.0)</f>
        <v>5797</v>
      </c>
      <c r="E247" s="8">
        <f>IFERROR(__xludf.DUMMYFUNCTION("""COMPUTED_VALUE"""),0.973402417962003)</f>
        <v>0.973402418</v>
      </c>
      <c r="F247" s="8">
        <f>IFERROR(__xludf.DUMMYFUNCTION("""COMPUTED_VALUE"""),0.431392931392931)</f>
        <v>0.4313929314</v>
      </c>
      <c r="G247" s="8">
        <f>IFERROR(__xludf.DUMMYFUNCTION("""COMPUTED_VALUE"""),0.367790132036136)</f>
        <v>0.367790132</v>
      </c>
      <c r="H247" s="8">
        <f>IFERROR(__xludf.DUMMYFUNCTION("""COMPUTED_VALUE"""),0.342961545153993)</f>
        <v>0.3429615452</v>
      </c>
      <c r="I247" s="8">
        <f>IFERROR(__xludf.DUMMYFUNCTION("""COMPUTED_VALUE"""),0.322586266991983)</f>
        <v>0.322586267</v>
      </c>
      <c r="J247" s="8">
        <f>IFERROR(__xludf.DUMMYFUNCTION("""COMPUTED_VALUE"""),0.304012616085509)</f>
        <v>0.3040126161</v>
      </c>
      <c r="K247" s="8">
        <f>IFERROR(__xludf.DUMMYFUNCTION("""COMPUTED_VALUE"""),0.280113034263511)</f>
        <v>0.2801130343</v>
      </c>
      <c r="L247" s="8">
        <f>IFERROR(__xludf.DUMMYFUNCTION("""COMPUTED_VALUE"""),0.259239421531869)</f>
        <v>0.2592394215</v>
      </c>
      <c r="M247" s="8">
        <f>IFERROR(__xludf.DUMMYFUNCTION("""COMPUTED_VALUE"""),0.257528746121555)</f>
        <v>0.2575287461</v>
      </c>
      <c r="N247" s="8">
        <f>IFERROR(__xludf.DUMMYFUNCTION("""COMPUTED_VALUE"""),0.245188606620477)</f>
        <v>0.2451886066</v>
      </c>
      <c r="O247" s="8">
        <f>IFERROR(__xludf.DUMMYFUNCTION("""COMPUTED_VALUE"""),0.212845407020164)</f>
        <v>0.212845407</v>
      </c>
      <c r="P247" s="8">
        <f>IFERROR(__xludf.DUMMYFUNCTION("""COMPUTED_VALUE"""),0.179302045728038)</f>
        <v>0.1793020457</v>
      </c>
      <c r="Q247" s="8">
        <f>IFERROR(__xludf.DUMMYFUNCTION("""COMPUTED_VALUE"""),0.152641878669275)</f>
        <v>0.1526418787</v>
      </c>
      <c r="R247" s="8">
        <f>IFERROR(__xludf.DUMMYFUNCTION("""COMPUTED_VALUE"""),0.0)</f>
        <v>0</v>
      </c>
      <c r="S247" s="8">
        <f>IFERROR(__xludf.DUMMYFUNCTION("""COMPUTED_VALUE"""),0.0)</f>
        <v>0</v>
      </c>
      <c r="T247" s="8">
        <f>IFERROR(__xludf.DUMMYFUNCTION("""COMPUTED_VALUE"""),0.0)</f>
        <v>0</v>
      </c>
      <c r="U247" s="8">
        <f>IFERROR(__xludf.DUMMYFUNCTION("""COMPUTED_VALUE"""),0.0)</f>
        <v>0</v>
      </c>
      <c r="V247" s="8">
        <f>IFERROR(__xludf.DUMMYFUNCTION("""COMPUTED_VALUE"""),0.0)</f>
        <v>0</v>
      </c>
      <c r="W247" s="8">
        <f>IFERROR(__xludf.DUMMYFUNCTION("""COMPUTED_VALUE"""),0.0)</f>
        <v>0</v>
      </c>
      <c r="X247" s="8">
        <f>IFERROR(__xludf.DUMMYFUNCTION("""COMPUTED_VALUE"""),0.0)</f>
        <v>0</v>
      </c>
      <c r="Y247" s="8">
        <f>IFERROR(__xludf.DUMMYFUNCTION("""COMPUTED_VALUE"""),0.0)</f>
        <v>0</v>
      </c>
      <c r="Z247" s="8">
        <f>IFERROR(__xludf.DUMMYFUNCTION("""COMPUTED_VALUE"""),0.0)</f>
        <v>0</v>
      </c>
      <c r="AA247" s="8">
        <f>IFERROR(__xludf.DUMMYFUNCTION("""COMPUTED_VALUE"""),0.0)</f>
        <v>0</v>
      </c>
      <c r="AB247" s="8">
        <f>IFERROR(__xludf.DUMMYFUNCTION("""COMPUTED_VALUE"""),0.0)</f>
        <v>0</v>
      </c>
      <c r="AC247" s="8">
        <f>IFERROR(__xludf.DUMMYFUNCTION("""COMPUTED_VALUE"""),0.0)</f>
        <v>0</v>
      </c>
    </row>
    <row r="248" ht="15.75" customHeight="1">
      <c r="A248" s="6" t="str">
        <f>IFERROR(__xludf.DUMMYFUNCTION("""COMPUTED_VALUE"""),"e168f716089521f9d1fe95769f273458c64e2ba9")</f>
        <v>e168f716089521f9d1fe95769f273458c64e2ba9</v>
      </c>
      <c r="B248" s="6" t="str">
        <f>IFERROR(__xludf.DUMMYFUNCTION("""COMPUTED_VALUE"""),"My Young Bodyguard")</f>
        <v>My Young Bodyguard</v>
      </c>
      <c r="C248" s="6" t="str">
        <f>IFERROR(__xludf.DUMMYFUNCTION("""COMPUTED_VALUE"""),"Drama")</f>
        <v>Drama</v>
      </c>
      <c r="D248" s="11">
        <f>IFERROR(__xludf.DUMMYFUNCTION("""COMPUTED_VALUE"""),341.0)</f>
        <v>341</v>
      </c>
      <c r="E248" s="8">
        <f>IFERROR(__xludf.DUMMYFUNCTION("""COMPUTED_VALUE"""),0.967551622418879)</f>
        <v>0.9675516224</v>
      </c>
      <c r="F248" s="8">
        <f>IFERROR(__xludf.DUMMYFUNCTION("""COMPUTED_VALUE"""),0.340236686390532)</f>
        <v>0.3402366864</v>
      </c>
      <c r="G248" s="8">
        <f>IFERROR(__xludf.DUMMYFUNCTION("""COMPUTED_VALUE"""),0.277108433734939)</f>
        <v>0.2771084337</v>
      </c>
      <c r="H248" s="8">
        <f>IFERROR(__xludf.DUMMYFUNCTION("""COMPUTED_VALUE"""),0.254545454545454)</f>
        <v>0.2545454545</v>
      </c>
      <c r="I248" s="8">
        <f>IFERROR(__xludf.DUMMYFUNCTION("""COMPUTED_VALUE"""),0.236923076923076)</f>
        <v>0.2369230769</v>
      </c>
      <c r="J248" s="8">
        <f>IFERROR(__xludf.DUMMYFUNCTION("""COMPUTED_VALUE"""),0.227414330218068)</f>
        <v>0.2274143302</v>
      </c>
      <c r="K248" s="8">
        <f>IFERROR(__xludf.DUMMYFUNCTION("""COMPUTED_VALUE"""),0.20754716981132)</f>
        <v>0.2075471698</v>
      </c>
      <c r="L248" s="8">
        <f>IFERROR(__xludf.DUMMYFUNCTION("""COMPUTED_VALUE"""),0.207792207792207)</f>
        <v>0.2077922078</v>
      </c>
      <c r="M248" s="8">
        <f>IFERROR(__xludf.DUMMYFUNCTION("""COMPUTED_VALUE"""),0.190163934426229)</f>
        <v>0.1901639344</v>
      </c>
      <c r="N248" s="8">
        <f>IFERROR(__xludf.DUMMYFUNCTION("""COMPUTED_VALUE"""),0.168350168350168)</f>
        <v>0.1683501684</v>
      </c>
      <c r="O248" s="8">
        <f>IFERROR(__xludf.DUMMYFUNCTION("""COMPUTED_VALUE"""),0.128301886792452)</f>
        <v>0.1283018868</v>
      </c>
      <c r="P248" s="8">
        <f>IFERROR(__xludf.DUMMYFUNCTION("""COMPUTED_VALUE"""),0.112403100775193)</f>
        <v>0.1124031008</v>
      </c>
      <c r="Q248" s="8">
        <f>IFERROR(__xludf.DUMMYFUNCTION("""COMPUTED_VALUE"""),0.0833333333333333)</f>
        <v>0.08333333333</v>
      </c>
      <c r="R248" s="8">
        <f>IFERROR(__xludf.DUMMYFUNCTION("""COMPUTED_VALUE"""),0.03125)</f>
        <v>0.03125</v>
      </c>
      <c r="S248" s="8">
        <f>IFERROR(__xludf.DUMMYFUNCTION("""COMPUTED_VALUE"""),0.0)</f>
        <v>0</v>
      </c>
      <c r="T248" s="8">
        <f>IFERROR(__xludf.DUMMYFUNCTION("""COMPUTED_VALUE"""),0.0)</f>
        <v>0</v>
      </c>
      <c r="U248" s="8">
        <f>IFERROR(__xludf.DUMMYFUNCTION("""COMPUTED_VALUE"""),0.0)</f>
        <v>0</v>
      </c>
      <c r="V248" s="8">
        <f>IFERROR(__xludf.DUMMYFUNCTION("""COMPUTED_VALUE"""),0.0)</f>
        <v>0</v>
      </c>
      <c r="W248" s="8">
        <f>IFERROR(__xludf.DUMMYFUNCTION("""COMPUTED_VALUE"""),0.0)</f>
        <v>0</v>
      </c>
      <c r="X248" s="8">
        <f>IFERROR(__xludf.DUMMYFUNCTION("""COMPUTED_VALUE"""),0.0)</f>
        <v>0</v>
      </c>
      <c r="Y248" s="8">
        <f>IFERROR(__xludf.DUMMYFUNCTION("""COMPUTED_VALUE"""),0.0)</f>
        <v>0</v>
      </c>
      <c r="Z248" s="8">
        <f>IFERROR(__xludf.DUMMYFUNCTION("""COMPUTED_VALUE"""),0.0)</f>
        <v>0</v>
      </c>
      <c r="AA248" s="8">
        <f>IFERROR(__xludf.DUMMYFUNCTION("""COMPUTED_VALUE"""),0.0)</f>
        <v>0</v>
      </c>
      <c r="AB248" s="8">
        <f>IFERROR(__xludf.DUMMYFUNCTION("""COMPUTED_VALUE"""),0.0)</f>
        <v>0</v>
      </c>
      <c r="AC248" s="8">
        <f>IFERROR(__xludf.DUMMYFUNCTION("""COMPUTED_VALUE"""),0.0)</f>
        <v>0</v>
      </c>
    </row>
    <row r="249" ht="15.75" customHeight="1">
      <c r="A249" s="6" t="str">
        <f>IFERROR(__xludf.DUMMYFUNCTION("""COMPUTED_VALUE"""),"e1e025613df0bb24a28711b19cbefdbc254e0c21")</f>
        <v>e1e025613df0bb24a28711b19cbefdbc254e0c21</v>
      </c>
      <c r="B249" s="6" t="str">
        <f>IFERROR(__xludf.DUMMYFUNCTION("""COMPUTED_VALUE"""),"The Ceo Hidden Bride")</f>
        <v>The Ceo Hidden Bride</v>
      </c>
      <c r="C249" s="6" t="str">
        <f>IFERROR(__xludf.DUMMYFUNCTION("""COMPUTED_VALUE"""),"Romance")</f>
        <v>Romance</v>
      </c>
      <c r="D249" s="11">
        <f>IFERROR(__xludf.DUMMYFUNCTION("""COMPUTED_VALUE"""),1160.0)</f>
        <v>1160</v>
      </c>
      <c r="E249" s="8">
        <f>IFERROR(__xludf.DUMMYFUNCTION("""COMPUTED_VALUE"""),0.965613382899628)</f>
        <v>0.9656133829</v>
      </c>
      <c r="F249" s="8">
        <f>IFERROR(__xludf.DUMMYFUNCTION("""COMPUTED_VALUE"""),0.574324324324324)</f>
        <v>0.5743243243</v>
      </c>
      <c r="G249" s="8">
        <f>IFERROR(__xludf.DUMMYFUNCTION("""COMPUTED_VALUE"""),0.480938416422287)</f>
        <v>0.4809384164</v>
      </c>
      <c r="H249" s="8">
        <f>IFERROR(__xludf.DUMMYFUNCTION("""COMPUTED_VALUE"""),0.434353405725567)</f>
        <v>0.4343534057</v>
      </c>
      <c r="I249" s="8">
        <f>IFERROR(__xludf.DUMMYFUNCTION("""COMPUTED_VALUE"""),0.39060939060939)</f>
        <v>0.3906093906</v>
      </c>
      <c r="J249" s="8">
        <f>IFERROR(__xludf.DUMMYFUNCTION("""COMPUTED_VALUE"""),0.360572012257405)</f>
        <v>0.3605720123</v>
      </c>
      <c r="K249" s="8">
        <f>IFERROR(__xludf.DUMMYFUNCTION("""COMPUTED_VALUE"""),0.351007423117709)</f>
        <v>0.3510074231</v>
      </c>
      <c r="L249" s="8">
        <f>IFERROR(__xludf.DUMMYFUNCTION("""COMPUTED_VALUE"""),0.327625570776255)</f>
        <v>0.3276255708</v>
      </c>
      <c r="M249" s="8">
        <f>IFERROR(__xludf.DUMMYFUNCTION("""COMPUTED_VALUE"""),0.311084624553039)</f>
        <v>0.3110846246</v>
      </c>
      <c r="N249" s="8">
        <f>IFERROR(__xludf.DUMMYFUNCTION("""COMPUTED_VALUE"""),0.305941845764854)</f>
        <v>0.3059418458</v>
      </c>
      <c r="O249" s="8">
        <f>IFERROR(__xludf.DUMMYFUNCTION("""COMPUTED_VALUE"""),0.241187384044526)</f>
        <v>0.241187384</v>
      </c>
      <c r="P249" s="8">
        <f>IFERROR(__xludf.DUMMYFUNCTION("""COMPUTED_VALUE"""),0.195652173913043)</f>
        <v>0.1956521739</v>
      </c>
      <c r="Q249" s="8">
        <f>IFERROR(__xludf.DUMMYFUNCTION("""COMPUTED_VALUE"""),0.0)</f>
        <v>0</v>
      </c>
      <c r="R249" s="8">
        <f>IFERROR(__xludf.DUMMYFUNCTION("""COMPUTED_VALUE"""),0.0)</f>
        <v>0</v>
      </c>
      <c r="S249" s="8">
        <f>IFERROR(__xludf.DUMMYFUNCTION("""COMPUTED_VALUE"""),0.0)</f>
        <v>0</v>
      </c>
      <c r="T249" s="8">
        <f>IFERROR(__xludf.DUMMYFUNCTION("""COMPUTED_VALUE"""),0.0)</f>
        <v>0</v>
      </c>
      <c r="U249" s="8">
        <f>IFERROR(__xludf.DUMMYFUNCTION("""COMPUTED_VALUE"""),0.0)</f>
        <v>0</v>
      </c>
      <c r="V249" s="8">
        <f>IFERROR(__xludf.DUMMYFUNCTION("""COMPUTED_VALUE"""),0.0)</f>
        <v>0</v>
      </c>
      <c r="W249" s="8">
        <f>IFERROR(__xludf.DUMMYFUNCTION("""COMPUTED_VALUE"""),0.0)</f>
        <v>0</v>
      </c>
      <c r="X249" s="8">
        <f>IFERROR(__xludf.DUMMYFUNCTION("""COMPUTED_VALUE"""),0.0)</f>
        <v>0</v>
      </c>
      <c r="Y249" s="8">
        <f>IFERROR(__xludf.DUMMYFUNCTION("""COMPUTED_VALUE"""),0.0)</f>
        <v>0</v>
      </c>
      <c r="Z249" s="8">
        <f>IFERROR(__xludf.DUMMYFUNCTION("""COMPUTED_VALUE"""),0.0)</f>
        <v>0</v>
      </c>
      <c r="AA249" s="8">
        <f>IFERROR(__xludf.DUMMYFUNCTION("""COMPUTED_VALUE"""),0.0)</f>
        <v>0</v>
      </c>
      <c r="AB249" s="8">
        <f>IFERROR(__xludf.DUMMYFUNCTION("""COMPUTED_VALUE"""),0.0)</f>
        <v>0</v>
      </c>
      <c r="AC249" s="8">
        <f>IFERROR(__xludf.DUMMYFUNCTION("""COMPUTED_VALUE"""),0.0)</f>
        <v>0</v>
      </c>
    </row>
    <row r="250" ht="15.75" customHeight="1">
      <c r="A250" s="6" t="str">
        <f>IFERROR(__xludf.DUMMYFUNCTION("""COMPUTED_VALUE"""),"e2f077e58449b7e3e415bd16eb5bb755606936b6")</f>
        <v>e2f077e58449b7e3e415bd16eb5bb755606936b6</v>
      </c>
      <c r="B250" s="6" t="str">
        <f>IFERROR(__xludf.DUMMYFUNCTION("""COMPUTED_VALUE"""),"Powerless Heir to Throne")</f>
        <v>Powerless Heir to Throne</v>
      </c>
      <c r="C250" s="6" t="str">
        <f>IFERROR(__xludf.DUMMYFUNCTION("""COMPUTED_VALUE"""),"System and Superpower")</f>
        <v>System and Superpower</v>
      </c>
      <c r="D250" s="11">
        <f>IFERROR(__xludf.DUMMYFUNCTION("""COMPUTED_VALUE"""),347.0)</f>
        <v>347</v>
      </c>
      <c r="E250" s="8">
        <f>IFERROR(__xludf.DUMMYFUNCTION("""COMPUTED_VALUE"""),0.974063400576368)</f>
        <v>0.9740634006</v>
      </c>
      <c r="F250" s="8">
        <f>IFERROR(__xludf.DUMMYFUNCTION("""COMPUTED_VALUE"""),0.440579710144927)</f>
        <v>0.4405797101</v>
      </c>
      <c r="G250" s="8">
        <f>IFERROR(__xludf.DUMMYFUNCTION("""COMPUTED_VALUE"""),0.402898550724637)</f>
        <v>0.4028985507</v>
      </c>
      <c r="H250" s="8">
        <f>IFERROR(__xludf.DUMMYFUNCTION("""COMPUTED_VALUE"""),0.368115942028985)</f>
        <v>0.368115942</v>
      </c>
      <c r="I250" s="8">
        <f>IFERROR(__xludf.DUMMYFUNCTION("""COMPUTED_VALUE"""),0.325581395348837)</f>
        <v>0.3255813953</v>
      </c>
      <c r="J250" s="8">
        <f>IFERROR(__xludf.DUMMYFUNCTION("""COMPUTED_VALUE"""),0.292397660818713)</f>
        <v>0.2923976608</v>
      </c>
      <c r="K250" s="8">
        <f>IFERROR(__xludf.DUMMYFUNCTION("""COMPUTED_VALUE"""),0.27485380116959)</f>
        <v>0.2748538012</v>
      </c>
      <c r="L250" s="8">
        <f>IFERROR(__xludf.DUMMYFUNCTION("""COMPUTED_VALUE"""),0.244117647058823)</f>
        <v>0.2441176471</v>
      </c>
      <c r="M250" s="8">
        <f>IFERROR(__xludf.DUMMYFUNCTION("""COMPUTED_VALUE"""),0.226470588235294)</f>
        <v>0.2264705882</v>
      </c>
      <c r="N250" s="8">
        <f>IFERROR(__xludf.DUMMYFUNCTION("""COMPUTED_VALUE"""),0.223529411764705)</f>
        <v>0.2235294118</v>
      </c>
      <c r="O250" s="8">
        <f>IFERROR(__xludf.DUMMYFUNCTION("""COMPUTED_VALUE"""),0.186746987951807)</f>
        <v>0.186746988</v>
      </c>
      <c r="P250" s="8">
        <f>IFERROR(__xludf.DUMMYFUNCTION("""COMPUTED_VALUE"""),0.14625850340136)</f>
        <v>0.1462585034</v>
      </c>
      <c r="Q250" s="8">
        <f>IFERROR(__xludf.DUMMYFUNCTION("""COMPUTED_VALUE"""),0.088235294117647)</f>
        <v>0.08823529412</v>
      </c>
      <c r="R250" s="8">
        <f>IFERROR(__xludf.DUMMYFUNCTION("""COMPUTED_VALUE"""),0.096551724137931)</f>
        <v>0.09655172414</v>
      </c>
      <c r="S250" s="8">
        <f>IFERROR(__xludf.DUMMYFUNCTION("""COMPUTED_VALUE"""),0.222222222222222)</f>
        <v>0.2222222222</v>
      </c>
      <c r="T250" s="8">
        <f>IFERROR(__xludf.DUMMYFUNCTION("""COMPUTED_VALUE"""),0.0)</f>
        <v>0</v>
      </c>
      <c r="U250" s="8">
        <f>IFERROR(__xludf.DUMMYFUNCTION("""COMPUTED_VALUE"""),0.0)</f>
        <v>0</v>
      </c>
      <c r="V250" s="8">
        <f>IFERROR(__xludf.DUMMYFUNCTION("""COMPUTED_VALUE"""),0.0)</f>
        <v>0</v>
      </c>
      <c r="W250" s="8">
        <f>IFERROR(__xludf.DUMMYFUNCTION("""COMPUTED_VALUE"""),0.0)</f>
        <v>0</v>
      </c>
      <c r="X250" s="8">
        <f>IFERROR(__xludf.DUMMYFUNCTION("""COMPUTED_VALUE"""),0.0)</f>
        <v>0</v>
      </c>
      <c r="Y250" s="8">
        <f>IFERROR(__xludf.DUMMYFUNCTION("""COMPUTED_VALUE"""),0.0)</f>
        <v>0</v>
      </c>
      <c r="Z250" s="8">
        <f>IFERROR(__xludf.DUMMYFUNCTION("""COMPUTED_VALUE"""),0.0)</f>
        <v>0</v>
      </c>
      <c r="AA250" s="8">
        <f>IFERROR(__xludf.DUMMYFUNCTION("""COMPUTED_VALUE"""),0.0)</f>
        <v>0</v>
      </c>
      <c r="AB250" s="8">
        <f>IFERROR(__xludf.DUMMYFUNCTION("""COMPUTED_VALUE"""),0.0)</f>
        <v>0</v>
      </c>
      <c r="AC250" s="8">
        <f>IFERROR(__xludf.DUMMYFUNCTION("""COMPUTED_VALUE"""),0.0)</f>
        <v>0</v>
      </c>
    </row>
    <row r="251" ht="15.75" customHeight="1">
      <c r="A251" s="6" t="str">
        <f>IFERROR(__xludf.DUMMYFUNCTION("""COMPUTED_VALUE"""),"e3ea22ad9a736918a7619bfed3abf1f862c9bdb2")</f>
        <v>e3ea22ad9a736918a7619bfed3abf1f862c9bdb2</v>
      </c>
      <c r="B251" s="6" t="str">
        <f>IFERROR(__xludf.DUMMYFUNCTION("""COMPUTED_VALUE"""),"The Empress's Cold Return")</f>
        <v>The Empress's Cold Return</v>
      </c>
      <c r="C251" s="6" t="str">
        <f>IFERROR(__xludf.DUMMYFUNCTION("""COMPUTED_VALUE"""),"Drama")</f>
        <v>Drama</v>
      </c>
      <c r="D251" s="11">
        <f>IFERROR(__xludf.DUMMYFUNCTION("""COMPUTED_VALUE"""),1373.0)</f>
        <v>1373</v>
      </c>
      <c r="E251" s="8">
        <f>IFERROR(__xludf.DUMMYFUNCTION("""COMPUTED_VALUE"""),0.961398397669337)</f>
        <v>0.9613983977</v>
      </c>
      <c r="F251" s="8">
        <f>IFERROR(__xludf.DUMMYFUNCTION("""COMPUTED_VALUE"""),0.536443148688046)</f>
        <v>0.5364431487</v>
      </c>
      <c r="G251" s="8">
        <f>IFERROR(__xludf.DUMMYFUNCTION("""COMPUTED_VALUE"""),0.446715328467153)</f>
        <v>0.4467153285</v>
      </c>
      <c r="H251" s="8">
        <f>IFERROR(__xludf.DUMMYFUNCTION("""COMPUTED_VALUE"""),0.403214024835646)</f>
        <v>0.4032140248</v>
      </c>
      <c r="I251" s="8">
        <f>IFERROR(__xludf.DUMMYFUNCTION("""COMPUTED_VALUE"""),0.371345029239766)</f>
        <v>0.3713450292</v>
      </c>
      <c r="J251" s="8">
        <f>IFERROR(__xludf.DUMMYFUNCTION("""COMPUTED_VALUE"""),0.35453216374269)</f>
        <v>0.3545321637</v>
      </c>
      <c r="K251" s="8">
        <f>IFERROR(__xludf.DUMMYFUNCTION("""COMPUTED_VALUE"""),0.325530358449158)</f>
        <v>0.3255303584</v>
      </c>
      <c r="L251" s="8">
        <f>IFERROR(__xludf.DUMMYFUNCTION("""COMPUTED_VALUE"""),0.31891495601173)</f>
        <v>0.318914956</v>
      </c>
      <c r="M251" s="8">
        <f>IFERROR(__xludf.DUMMYFUNCTION("""COMPUTED_VALUE"""),0.285609397944199)</f>
        <v>0.2856093979</v>
      </c>
      <c r="N251" s="8">
        <f>IFERROR(__xludf.DUMMYFUNCTION("""COMPUTED_VALUE"""),0.279735682819383)</f>
        <v>0.2797356828</v>
      </c>
      <c r="O251" s="8">
        <f>IFERROR(__xludf.DUMMYFUNCTION("""COMPUTED_VALUE"""),0.232886904761904)</f>
        <v>0.2328869048</v>
      </c>
      <c r="P251" s="8">
        <f>IFERROR(__xludf.DUMMYFUNCTION("""COMPUTED_VALUE"""),0.174490699734278)</f>
        <v>0.1744906997</v>
      </c>
      <c r="Q251" s="8">
        <f>IFERROR(__xludf.DUMMYFUNCTION("""COMPUTED_VALUE"""),0.0840220385674931)</f>
        <v>0.08402203857</v>
      </c>
      <c r="R251" s="8">
        <f>IFERROR(__xludf.DUMMYFUNCTION("""COMPUTED_VALUE"""),0.0422163588390501)</f>
        <v>0.04221635884</v>
      </c>
      <c r="S251" s="8">
        <f>IFERROR(__xludf.DUMMYFUNCTION("""COMPUTED_VALUE"""),0.0)</f>
        <v>0</v>
      </c>
      <c r="T251" s="8">
        <f>IFERROR(__xludf.DUMMYFUNCTION("""COMPUTED_VALUE"""),0.0)</f>
        <v>0</v>
      </c>
      <c r="U251" s="8">
        <f>IFERROR(__xludf.DUMMYFUNCTION("""COMPUTED_VALUE"""),0.0)</f>
        <v>0</v>
      </c>
      <c r="V251" s="8">
        <f>IFERROR(__xludf.DUMMYFUNCTION("""COMPUTED_VALUE"""),0.0)</f>
        <v>0</v>
      </c>
      <c r="W251" s="8">
        <f>IFERROR(__xludf.DUMMYFUNCTION("""COMPUTED_VALUE"""),0.0)</f>
        <v>0</v>
      </c>
      <c r="X251" s="8">
        <f>IFERROR(__xludf.DUMMYFUNCTION("""COMPUTED_VALUE"""),0.0)</f>
        <v>0</v>
      </c>
      <c r="Y251" s="8">
        <f>IFERROR(__xludf.DUMMYFUNCTION("""COMPUTED_VALUE"""),0.0)</f>
        <v>0</v>
      </c>
      <c r="Z251" s="8">
        <f>IFERROR(__xludf.DUMMYFUNCTION("""COMPUTED_VALUE"""),0.0)</f>
        <v>0</v>
      </c>
      <c r="AA251" s="8">
        <f>IFERROR(__xludf.DUMMYFUNCTION("""COMPUTED_VALUE"""),0.0)</f>
        <v>0</v>
      </c>
      <c r="AB251" s="8">
        <f>IFERROR(__xludf.DUMMYFUNCTION("""COMPUTED_VALUE"""),0.0)</f>
        <v>0</v>
      </c>
      <c r="AC251" s="8">
        <f>IFERROR(__xludf.DUMMYFUNCTION("""COMPUTED_VALUE"""),0.0)</f>
        <v>0</v>
      </c>
    </row>
    <row r="252" ht="15.75" customHeight="1">
      <c r="A252" s="6" t="str">
        <f>IFERROR(__xludf.DUMMYFUNCTION("""COMPUTED_VALUE"""),"e40505b31ca87f2f6b736e3f18b3e9f46e21cd04")</f>
        <v>e40505b31ca87f2f6b736e3f18b3e9f46e21cd04</v>
      </c>
      <c r="B252" s="6" t="str">
        <f>IFERROR(__xludf.DUMMYFUNCTION("""COMPUTED_VALUE"""),"My Dragonic System")</f>
        <v>My Dragonic System</v>
      </c>
      <c r="C252" s="6" t="str">
        <f>IFERROR(__xludf.DUMMYFUNCTION("""COMPUTED_VALUE"""),"System and Superpower")</f>
        <v>System and Superpower</v>
      </c>
      <c r="D252" s="11">
        <f>IFERROR(__xludf.DUMMYFUNCTION("""COMPUTED_VALUE"""),8183.0)</f>
        <v>8183</v>
      </c>
      <c r="E252" s="8">
        <f>IFERROR(__xludf.DUMMYFUNCTION("""COMPUTED_VALUE"""),0.935547114324225)</f>
        <v>0.9355471143</v>
      </c>
      <c r="F252" s="8">
        <f>IFERROR(__xludf.DUMMYFUNCTION("""COMPUTED_VALUE"""),0.463033583466601)</f>
        <v>0.4630335835</v>
      </c>
      <c r="G252" s="8">
        <f>IFERROR(__xludf.DUMMYFUNCTION("""COMPUTED_VALUE"""),0.40880503144654)</f>
        <v>0.4088050314</v>
      </c>
      <c r="H252" s="8">
        <f>IFERROR(__xludf.DUMMYFUNCTION("""COMPUTED_VALUE"""),0.375510709421815)</f>
        <v>0.3755107094</v>
      </c>
      <c r="I252" s="8">
        <f>IFERROR(__xludf.DUMMYFUNCTION("""COMPUTED_VALUE"""),0.356007944389275)</f>
        <v>0.3560079444</v>
      </c>
      <c r="J252" s="8">
        <f>IFERROR(__xludf.DUMMYFUNCTION("""COMPUTED_VALUE"""),0.337686567164179)</f>
        <v>0.3376865672</v>
      </c>
      <c r="K252" s="8">
        <f>IFERROR(__xludf.DUMMYFUNCTION("""COMPUTED_VALUE"""),0.320764140342115)</f>
        <v>0.3207641403</v>
      </c>
      <c r="L252" s="8">
        <f>IFERROR(__xludf.DUMMYFUNCTION("""COMPUTED_VALUE"""),0.310323227261338)</f>
        <v>0.3103232273</v>
      </c>
      <c r="M252" s="8">
        <f>IFERROR(__xludf.DUMMYFUNCTION("""COMPUTED_VALUE"""),0.294199068831005)</f>
        <v>0.2941990688</v>
      </c>
      <c r="N252" s="8">
        <f>IFERROR(__xludf.DUMMYFUNCTION("""COMPUTED_VALUE"""),0.283061765820386)</f>
        <v>0.2830617658</v>
      </c>
      <c r="O252" s="8">
        <f>IFERROR(__xludf.DUMMYFUNCTION("""COMPUTED_VALUE"""),0.26060606060606)</f>
        <v>0.2606060606</v>
      </c>
      <c r="P252" s="8">
        <f>IFERROR(__xludf.DUMMYFUNCTION("""COMPUTED_VALUE"""),0.20922033898305)</f>
        <v>0.209220339</v>
      </c>
      <c r="Q252" s="8">
        <f>IFERROR(__xludf.DUMMYFUNCTION("""COMPUTED_VALUE"""),0.153823572581828)</f>
        <v>0.1538235726</v>
      </c>
      <c r="R252" s="8">
        <f>IFERROR(__xludf.DUMMYFUNCTION("""COMPUTED_VALUE"""),0.125658901547355)</f>
        <v>0.1256589015</v>
      </c>
      <c r="S252" s="8">
        <f>IFERROR(__xludf.DUMMYFUNCTION("""COMPUTED_VALUE"""),0.10707296617277)</f>
        <v>0.1070729662</v>
      </c>
      <c r="T252" s="8">
        <f>IFERROR(__xludf.DUMMYFUNCTION("""COMPUTED_VALUE"""),0.0833650551960411)</f>
        <v>0.0833650552</v>
      </c>
      <c r="U252" s="8">
        <f>IFERROR(__xludf.DUMMYFUNCTION("""COMPUTED_VALUE"""),0.0539130434782608)</f>
        <v>0.05391304348</v>
      </c>
      <c r="V252" s="8">
        <f>IFERROR(__xludf.DUMMYFUNCTION("""COMPUTED_VALUE"""),0.0)</f>
        <v>0</v>
      </c>
      <c r="W252" s="8">
        <f>IFERROR(__xludf.DUMMYFUNCTION("""COMPUTED_VALUE"""),0.0)</f>
        <v>0</v>
      </c>
      <c r="X252" s="8">
        <f>IFERROR(__xludf.DUMMYFUNCTION("""COMPUTED_VALUE"""),0.0)</f>
        <v>0</v>
      </c>
      <c r="Y252" s="8">
        <f>IFERROR(__xludf.DUMMYFUNCTION("""COMPUTED_VALUE"""),0.0)</f>
        <v>0</v>
      </c>
      <c r="Z252" s="8">
        <f>IFERROR(__xludf.DUMMYFUNCTION("""COMPUTED_VALUE"""),0.0)</f>
        <v>0</v>
      </c>
      <c r="AA252" s="8">
        <f>IFERROR(__xludf.DUMMYFUNCTION("""COMPUTED_VALUE"""),0.0)</f>
        <v>0</v>
      </c>
      <c r="AB252" s="8">
        <f>IFERROR(__xludf.DUMMYFUNCTION("""COMPUTED_VALUE"""),0.0)</f>
        <v>0</v>
      </c>
      <c r="AC252" s="8">
        <f>IFERROR(__xludf.DUMMYFUNCTION("""COMPUTED_VALUE"""),0.0)</f>
        <v>0</v>
      </c>
    </row>
    <row r="253" ht="15.75" customHeight="1">
      <c r="A253" s="6" t="str">
        <f>IFERROR(__xludf.DUMMYFUNCTION("""COMPUTED_VALUE"""),"e5b71f4b40481cb15ce33532df56be566352534e")</f>
        <v>e5b71f4b40481cb15ce33532df56be566352534e</v>
      </c>
      <c r="B253" s="6" t="str">
        <f>IFERROR(__xludf.DUMMYFUNCTION("""COMPUTED_VALUE"""),"Rewind and Rise")</f>
        <v>Rewind and Rise</v>
      </c>
      <c r="C253" s="6" t="str">
        <f>IFERROR(__xludf.DUMMYFUNCTION("""COMPUTED_VALUE"""),"Romantasy")</f>
        <v>Romantasy</v>
      </c>
      <c r="D253" s="11">
        <f>IFERROR(__xludf.DUMMYFUNCTION("""COMPUTED_VALUE"""),274.0)</f>
        <v>274</v>
      </c>
      <c r="E253" s="8">
        <f>IFERROR(__xludf.DUMMYFUNCTION("""COMPUTED_VALUE"""),0.973684210526315)</f>
        <v>0.9736842105</v>
      </c>
      <c r="F253" s="8">
        <f>IFERROR(__xludf.DUMMYFUNCTION("""COMPUTED_VALUE"""),0.57421875)</f>
        <v>0.57421875</v>
      </c>
      <c r="G253" s="8">
        <f>IFERROR(__xludf.DUMMYFUNCTION("""COMPUTED_VALUE"""),0.5078125)</f>
        <v>0.5078125</v>
      </c>
      <c r="H253" s="8">
        <f>IFERROR(__xludf.DUMMYFUNCTION("""COMPUTED_VALUE"""),0.456349206349206)</f>
        <v>0.4563492063</v>
      </c>
      <c r="I253" s="8">
        <f>IFERROR(__xludf.DUMMYFUNCTION("""COMPUTED_VALUE"""),0.429718875502008)</f>
        <v>0.4297188755</v>
      </c>
      <c r="J253" s="8">
        <f>IFERROR(__xludf.DUMMYFUNCTION("""COMPUTED_VALUE"""),0.382113821138211)</f>
        <v>0.3821138211</v>
      </c>
      <c r="K253" s="8">
        <f>IFERROR(__xludf.DUMMYFUNCTION("""COMPUTED_VALUE"""),0.391304347826087)</f>
        <v>0.3913043478</v>
      </c>
      <c r="L253" s="8">
        <f>IFERROR(__xludf.DUMMYFUNCTION("""COMPUTED_VALUE"""),0.351485148514851)</f>
        <v>0.3514851485</v>
      </c>
      <c r="M253" s="8">
        <f>IFERROR(__xludf.DUMMYFUNCTION("""COMPUTED_VALUE"""),0.351758793969849)</f>
        <v>0.351758794</v>
      </c>
      <c r="N253" s="8">
        <f>IFERROR(__xludf.DUMMYFUNCTION("""COMPUTED_VALUE"""),0.345549738219895)</f>
        <v>0.3455497382</v>
      </c>
      <c r="O253" s="8">
        <f>IFERROR(__xludf.DUMMYFUNCTION("""COMPUTED_VALUE"""),0.333333333333333)</f>
        <v>0.3333333333</v>
      </c>
      <c r="P253" s="8">
        <f>IFERROR(__xludf.DUMMYFUNCTION("""COMPUTED_VALUE"""),0.29090909090909)</f>
        <v>0.2909090909</v>
      </c>
      <c r="Q253" s="8">
        <f>IFERROR(__xludf.DUMMYFUNCTION("""COMPUTED_VALUE"""),0.0)</f>
        <v>0</v>
      </c>
      <c r="R253" s="8">
        <f>IFERROR(__xludf.DUMMYFUNCTION("""COMPUTED_VALUE"""),0.0)</f>
        <v>0</v>
      </c>
      <c r="S253" s="8">
        <f>IFERROR(__xludf.DUMMYFUNCTION("""COMPUTED_VALUE"""),0.0)</f>
        <v>0</v>
      </c>
      <c r="T253" s="8">
        <f>IFERROR(__xludf.DUMMYFUNCTION("""COMPUTED_VALUE"""),0.0)</f>
        <v>0</v>
      </c>
      <c r="U253" s="8">
        <f>IFERROR(__xludf.DUMMYFUNCTION("""COMPUTED_VALUE"""),0.0)</f>
        <v>0</v>
      </c>
      <c r="V253" s="8">
        <f>IFERROR(__xludf.DUMMYFUNCTION("""COMPUTED_VALUE"""),0.0)</f>
        <v>0</v>
      </c>
      <c r="W253" s="8">
        <f>IFERROR(__xludf.DUMMYFUNCTION("""COMPUTED_VALUE"""),0.0)</f>
        <v>0</v>
      </c>
      <c r="X253" s="8">
        <f>IFERROR(__xludf.DUMMYFUNCTION("""COMPUTED_VALUE"""),0.0)</f>
        <v>0</v>
      </c>
      <c r="Y253" s="8">
        <f>IFERROR(__xludf.DUMMYFUNCTION("""COMPUTED_VALUE"""),0.0)</f>
        <v>0</v>
      </c>
      <c r="Z253" s="8">
        <f>IFERROR(__xludf.DUMMYFUNCTION("""COMPUTED_VALUE"""),0.0)</f>
        <v>0</v>
      </c>
      <c r="AA253" s="8">
        <f>IFERROR(__xludf.DUMMYFUNCTION("""COMPUTED_VALUE"""),0.0)</f>
        <v>0</v>
      </c>
      <c r="AB253" s="8">
        <f>IFERROR(__xludf.DUMMYFUNCTION("""COMPUTED_VALUE"""),0.0)</f>
        <v>0</v>
      </c>
      <c r="AC253" s="8">
        <f>IFERROR(__xludf.DUMMYFUNCTION("""COMPUTED_VALUE"""),0.0)</f>
        <v>0</v>
      </c>
    </row>
    <row r="254" ht="15.75" customHeight="1">
      <c r="A254" s="6" t="str">
        <f>IFERROR(__xludf.DUMMYFUNCTION("""COMPUTED_VALUE"""),"e79ceb682265a42fb44c988f861c20672776f19d")</f>
        <v>e79ceb682265a42fb44c988f861c20672776f19d</v>
      </c>
      <c r="B254" s="6" t="str">
        <f>IFERROR(__xludf.DUMMYFUNCTION("""COMPUTED_VALUE"""),"Faction of Unity: Wyrmara")</f>
        <v>Faction of Unity: Wyrmara</v>
      </c>
      <c r="C254" s="6" t="str">
        <f>IFERROR(__xludf.DUMMYFUNCTION("""COMPUTED_VALUE"""),"Fantasy")</f>
        <v>Fantasy</v>
      </c>
      <c r="D254" s="11">
        <f>IFERROR(__xludf.DUMMYFUNCTION("""COMPUTED_VALUE"""),120.0)</f>
        <v>120</v>
      </c>
      <c r="E254" s="8">
        <f>IFERROR(__xludf.DUMMYFUNCTION("""COMPUTED_VALUE"""),0.933333333333333)</f>
        <v>0.9333333333</v>
      </c>
      <c r="F254" s="8">
        <f>IFERROR(__xludf.DUMMYFUNCTION("""COMPUTED_VALUE"""),0.3)</f>
        <v>0.3</v>
      </c>
      <c r="G254" s="8">
        <f>IFERROR(__xludf.DUMMYFUNCTION("""COMPUTED_VALUE"""),0.233333333333333)</f>
        <v>0.2333333333</v>
      </c>
      <c r="H254" s="8">
        <f>IFERROR(__xludf.DUMMYFUNCTION("""COMPUTED_VALUE"""),0.216666666666666)</f>
        <v>0.2166666667</v>
      </c>
      <c r="I254" s="8">
        <f>IFERROR(__xludf.DUMMYFUNCTION("""COMPUTED_VALUE"""),0.158333333333333)</f>
        <v>0.1583333333</v>
      </c>
      <c r="J254" s="8">
        <f>IFERROR(__xludf.DUMMYFUNCTION("""COMPUTED_VALUE"""),0.15)</f>
        <v>0.15</v>
      </c>
      <c r="K254" s="8">
        <f>IFERROR(__xludf.DUMMYFUNCTION("""COMPUTED_VALUE"""),0.133333333333333)</f>
        <v>0.1333333333</v>
      </c>
      <c r="L254" s="8">
        <f>IFERROR(__xludf.DUMMYFUNCTION("""COMPUTED_VALUE"""),0.133333333333333)</f>
        <v>0.1333333333</v>
      </c>
      <c r="M254" s="8">
        <f>IFERROR(__xludf.DUMMYFUNCTION("""COMPUTED_VALUE"""),0.125)</f>
        <v>0.125</v>
      </c>
      <c r="N254" s="8">
        <f>IFERROR(__xludf.DUMMYFUNCTION("""COMPUTED_VALUE"""),0.125)</f>
        <v>0.125</v>
      </c>
      <c r="O254" s="8">
        <f>IFERROR(__xludf.DUMMYFUNCTION("""COMPUTED_VALUE"""),0.104347826086956)</f>
        <v>0.1043478261</v>
      </c>
      <c r="P254" s="8">
        <f>IFERROR(__xludf.DUMMYFUNCTION("""COMPUTED_VALUE"""),0.2)</f>
        <v>0.2</v>
      </c>
      <c r="Q254" s="8">
        <f>IFERROR(__xludf.DUMMYFUNCTION("""COMPUTED_VALUE"""),0.0)</f>
        <v>0</v>
      </c>
      <c r="R254" s="8">
        <f>IFERROR(__xludf.DUMMYFUNCTION("""COMPUTED_VALUE"""),0.0769230769230769)</f>
        <v>0.07692307692</v>
      </c>
      <c r="S254" s="8">
        <f>IFERROR(__xludf.DUMMYFUNCTION("""COMPUTED_VALUE"""),0.0)</f>
        <v>0</v>
      </c>
      <c r="T254" s="8">
        <f>IFERROR(__xludf.DUMMYFUNCTION("""COMPUTED_VALUE"""),0.0)</f>
        <v>0</v>
      </c>
      <c r="U254" s="8">
        <f>IFERROR(__xludf.DUMMYFUNCTION("""COMPUTED_VALUE"""),0.0)</f>
        <v>0</v>
      </c>
      <c r="V254" s="8">
        <f>IFERROR(__xludf.DUMMYFUNCTION("""COMPUTED_VALUE"""),0.0)</f>
        <v>0</v>
      </c>
      <c r="W254" s="8">
        <f>IFERROR(__xludf.DUMMYFUNCTION("""COMPUTED_VALUE"""),0.0)</f>
        <v>0</v>
      </c>
      <c r="X254" s="8">
        <f>IFERROR(__xludf.DUMMYFUNCTION("""COMPUTED_VALUE"""),0.0)</f>
        <v>0</v>
      </c>
      <c r="Y254" s="8">
        <f>IFERROR(__xludf.DUMMYFUNCTION("""COMPUTED_VALUE"""),0.0)</f>
        <v>0</v>
      </c>
      <c r="Z254" s="8">
        <f>IFERROR(__xludf.DUMMYFUNCTION("""COMPUTED_VALUE"""),0.0)</f>
        <v>0</v>
      </c>
      <c r="AA254" s="8">
        <f>IFERROR(__xludf.DUMMYFUNCTION("""COMPUTED_VALUE"""),0.0)</f>
        <v>0</v>
      </c>
      <c r="AB254" s="8">
        <f>IFERROR(__xludf.DUMMYFUNCTION("""COMPUTED_VALUE"""),0.0)</f>
        <v>0</v>
      </c>
      <c r="AC254" s="8">
        <f>IFERROR(__xludf.DUMMYFUNCTION("""COMPUTED_VALUE"""),0.0)</f>
        <v>0</v>
      </c>
    </row>
    <row r="255" ht="15.75" customHeight="1">
      <c r="A255" s="6" t="str">
        <f>IFERROR(__xludf.DUMMYFUNCTION("""COMPUTED_VALUE"""),"e7a3ee79841762542e0eb645666b039c707001f5")</f>
        <v>e7a3ee79841762542e0eb645666b039c707001f5</v>
      </c>
      <c r="B255" s="6" t="str">
        <f>IFERROR(__xludf.DUMMYFUNCTION("""COMPUTED_VALUE"""),"Masked Prince's Princess")</f>
        <v>Masked Prince's Princess</v>
      </c>
      <c r="C255" s="6" t="str">
        <f>IFERROR(__xludf.DUMMYFUNCTION("""COMPUTED_VALUE"""),"Romance")</f>
        <v>Romance</v>
      </c>
      <c r="D255" s="11">
        <f>IFERROR(__xludf.DUMMYFUNCTION("""COMPUTED_VALUE"""),2231.0)</f>
        <v>2231</v>
      </c>
      <c r="E255" s="8">
        <f>IFERROR(__xludf.DUMMYFUNCTION("""COMPUTED_VALUE"""),0.956580732700135)</f>
        <v>0.9565807327</v>
      </c>
      <c r="F255" s="8">
        <f>IFERROR(__xludf.DUMMYFUNCTION("""COMPUTED_VALUE"""),0.486672794117647)</f>
        <v>0.4866727941</v>
      </c>
      <c r="G255" s="8">
        <f>IFERROR(__xludf.DUMMYFUNCTION("""COMPUTED_VALUE"""),0.432683379758588)</f>
        <v>0.4326833798</v>
      </c>
      <c r="H255" s="8">
        <f>IFERROR(__xludf.DUMMYFUNCTION("""COMPUTED_VALUE"""),0.402168788307402)</f>
        <v>0.4021687883</v>
      </c>
      <c r="I255" s="8">
        <f>IFERROR(__xludf.DUMMYFUNCTION("""COMPUTED_VALUE"""),0.377585377585377)</f>
        <v>0.3775853776</v>
      </c>
      <c r="J255" s="8">
        <f>IFERROR(__xludf.DUMMYFUNCTION("""COMPUTED_VALUE"""),0.361151781356759)</f>
        <v>0.3611517814</v>
      </c>
      <c r="K255" s="8">
        <f>IFERROR(__xludf.DUMMYFUNCTION("""COMPUTED_VALUE"""),0.358808933002481)</f>
        <v>0.358808933</v>
      </c>
      <c r="L255" s="8">
        <f>IFERROR(__xludf.DUMMYFUNCTION("""COMPUTED_VALUE"""),0.337675350701402)</f>
        <v>0.3376753507</v>
      </c>
      <c r="M255" s="8">
        <f>IFERROR(__xludf.DUMMYFUNCTION("""COMPUTED_VALUE"""),0.323410696266397)</f>
        <v>0.3234106963</v>
      </c>
      <c r="N255" s="8">
        <f>IFERROR(__xludf.DUMMYFUNCTION("""COMPUTED_VALUE"""),0.310116929334011)</f>
        <v>0.3101169293</v>
      </c>
      <c r="O255" s="8">
        <f>IFERROR(__xludf.DUMMYFUNCTION("""COMPUTED_VALUE"""),0.286698463169051)</f>
        <v>0.2866984632</v>
      </c>
      <c r="P255" s="8">
        <f>IFERROR(__xludf.DUMMYFUNCTION("""COMPUTED_VALUE"""),0.253977272727272)</f>
        <v>0.2539772727</v>
      </c>
      <c r="Q255" s="8">
        <f>IFERROR(__xludf.DUMMYFUNCTION("""COMPUTED_VALUE"""),0.200968523002421)</f>
        <v>0.200968523</v>
      </c>
      <c r="R255" s="8">
        <f>IFERROR(__xludf.DUMMYFUNCTION("""COMPUTED_VALUE"""),0.183449651046859)</f>
        <v>0.183449651</v>
      </c>
      <c r="S255" s="8">
        <f>IFERROR(__xludf.DUMMYFUNCTION("""COMPUTED_VALUE"""),0.106382978723404)</f>
        <v>0.1063829787</v>
      </c>
      <c r="T255" s="8">
        <f>IFERROR(__xludf.DUMMYFUNCTION("""COMPUTED_VALUE"""),0.0)</f>
        <v>0</v>
      </c>
      <c r="U255" s="8">
        <f>IFERROR(__xludf.DUMMYFUNCTION("""COMPUTED_VALUE"""),0.0)</f>
        <v>0</v>
      </c>
      <c r="V255" s="8">
        <f>IFERROR(__xludf.DUMMYFUNCTION("""COMPUTED_VALUE"""),0.0)</f>
        <v>0</v>
      </c>
      <c r="W255" s="8">
        <f>IFERROR(__xludf.DUMMYFUNCTION("""COMPUTED_VALUE"""),0.0)</f>
        <v>0</v>
      </c>
      <c r="X255" s="8">
        <f>IFERROR(__xludf.DUMMYFUNCTION("""COMPUTED_VALUE"""),0.0)</f>
        <v>0</v>
      </c>
      <c r="Y255" s="8">
        <f>IFERROR(__xludf.DUMMYFUNCTION("""COMPUTED_VALUE"""),0.0)</f>
        <v>0</v>
      </c>
      <c r="Z255" s="8">
        <f>IFERROR(__xludf.DUMMYFUNCTION("""COMPUTED_VALUE"""),0.0)</f>
        <v>0</v>
      </c>
      <c r="AA255" s="8">
        <f>IFERROR(__xludf.DUMMYFUNCTION("""COMPUTED_VALUE"""),0.0)</f>
        <v>0</v>
      </c>
      <c r="AB255" s="8">
        <f>IFERROR(__xludf.DUMMYFUNCTION("""COMPUTED_VALUE"""),0.0)</f>
        <v>0</v>
      </c>
      <c r="AC255" s="8">
        <f>IFERROR(__xludf.DUMMYFUNCTION("""COMPUTED_VALUE"""),0.0)</f>
        <v>0</v>
      </c>
    </row>
    <row r="256" ht="15.75" customHeight="1">
      <c r="A256" s="6" t="str">
        <f>IFERROR(__xludf.DUMMYFUNCTION("""COMPUTED_VALUE"""),"e835267a1c9909e759d530cea3d17b5999d86761")</f>
        <v>e835267a1c9909e759d530cea3d17b5999d86761</v>
      </c>
      <c r="B256" s="6" t="str">
        <f>IFERROR(__xludf.DUMMYFUNCTION("""COMPUTED_VALUE"""),"Her Lightness System")</f>
        <v>Her Lightness System</v>
      </c>
      <c r="C256" s="6" t="str">
        <f>IFERROR(__xludf.DUMMYFUNCTION("""COMPUTED_VALUE"""),"System and Superpower")</f>
        <v>System and Superpower</v>
      </c>
      <c r="D256" s="11">
        <f>IFERROR(__xludf.DUMMYFUNCTION("""COMPUTED_VALUE"""),325.0)</f>
        <v>325</v>
      </c>
      <c r="E256" s="8">
        <f>IFERROR(__xludf.DUMMYFUNCTION("""COMPUTED_VALUE"""),0.909937888198757)</f>
        <v>0.9099378882</v>
      </c>
      <c r="F256" s="8">
        <f>IFERROR(__xludf.DUMMYFUNCTION("""COMPUTED_VALUE"""),0.612698412698412)</f>
        <v>0.6126984127</v>
      </c>
      <c r="G256" s="8">
        <f>IFERROR(__xludf.DUMMYFUNCTION("""COMPUTED_VALUE"""),0.579804560260586)</f>
        <v>0.5798045603</v>
      </c>
      <c r="H256" s="8">
        <f>IFERROR(__xludf.DUMMYFUNCTION("""COMPUTED_VALUE"""),0.538983050847457)</f>
        <v>0.5389830508</v>
      </c>
      <c r="I256" s="8">
        <f>IFERROR(__xludf.DUMMYFUNCTION("""COMPUTED_VALUE"""),0.512195121951219)</f>
        <v>0.512195122</v>
      </c>
      <c r="J256" s="8">
        <f>IFERROR(__xludf.DUMMYFUNCTION("""COMPUTED_VALUE"""),0.467625899280575)</f>
        <v>0.4676258993</v>
      </c>
      <c r="K256" s="8">
        <f>IFERROR(__xludf.DUMMYFUNCTION("""COMPUTED_VALUE"""),0.433212996389891)</f>
        <v>0.4332129964</v>
      </c>
      <c r="L256" s="8">
        <f>IFERROR(__xludf.DUMMYFUNCTION("""COMPUTED_VALUE"""),0.406015037593984)</f>
        <v>0.4060150376</v>
      </c>
      <c r="M256" s="8">
        <f>IFERROR(__xludf.DUMMYFUNCTION("""COMPUTED_VALUE"""),0.389312977099236)</f>
        <v>0.3893129771</v>
      </c>
      <c r="N256" s="8">
        <f>IFERROR(__xludf.DUMMYFUNCTION("""COMPUTED_VALUE"""),0.38671875)</f>
        <v>0.38671875</v>
      </c>
      <c r="O256" s="8">
        <f>IFERROR(__xludf.DUMMYFUNCTION("""COMPUTED_VALUE"""),0.345833333333333)</f>
        <v>0.3458333333</v>
      </c>
      <c r="P256" s="8">
        <f>IFERROR(__xludf.DUMMYFUNCTION("""COMPUTED_VALUE"""),0.205020920502092)</f>
        <v>0.2050209205</v>
      </c>
      <c r="Q256" s="8">
        <f>IFERROR(__xludf.DUMMYFUNCTION("""COMPUTED_VALUE"""),0.119617224880382)</f>
        <v>0.1196172249</v>
      </c>
      <c r="R256" s="8">
        <f>IFERROR(__xludf.DUMMYFUNCTION("""COMPUTED_VALUE"""),0.0738255033557047)</f>
        <v>0.07382550336</v>
      </c>
      <c r="S256" s="8">
        <f>IFERROR(__xludf.DUMMYFUNCTION("""COMPUTED_VALUE"""),0.0)</f>
        <v>0</v>
      </c>
      <c r="T256" s="8">
        <f>IFERROR(__xludf.DUMMYFUNCTION("""COMPUTED_VALUE"""),0.0)</f>
        <v>0</v>
      </c>
      <c r="U256" s="8">
        <f>IFERROR(__xludf.DUMMYFUNCTION("""COMPUTED_VALUE"""),0.0)</f>
        <v>0</v>
      </c>
      <c r="V256" s="8">
        <f>IFERROR(__xludf.DUMMYFUNCTION("""COMPUTED_VALUE"""),0.0)</f>
        <v>0</v>
      </c>
      <c r="W256" s="8">
        <f>IFERROR(__xludf.DUMMYFUNCTION("""COMPUTED_VALUE"""),0.0)</f>
        <v>0</v>
      </c>
      <c r="X256" s="8">
        <f>IFERROR(__xludf.DUMMYFUNCTION("""COMPUTED_VALUE"""),0.0)</f>
        <v>0</v>
      </c>
      <c r="Y256" s="8">
        <f>IFERROR(__xludf.DUMMYFUNCTION("""COMPUTED_VALUE"""),0.0)</f>
        <v>0</v>
      </c>
      <c r="Z256" s="8">
        <f>IFERROR(__xludf.DUMMYFUNCTION("""COMPUTED_VALUE"""),0.0)</f>
        <v>0</v>
      </c>
      <c r="AA256" s="8">
        <f>IFERROR(__xludf.DUMMYFUNCTION("""COMPUTED_VALUE"""),0.0)</f>
        <v>0</v>
      </c>
      <c r="AB256" s="8">
        <f>IFERROR(__xludf.DUMMYFUNCTION("""COMPUTED_VALUE"""),0.0)</f>
        <v>0</v>
      </c>
      <c r="AC256" s="8">
        <f>IFERROR(__xludf.DUMMYFUNCTION("""COMPUTED_VALUE"""),0.0)</f>
        <v>0</v>
      </c>
    </row>
    <row r="257" ht="15.75" customHeight="1">
      <c r="A257" s="6" t="str">
        <f>IFERROR(__xludf.DUMMYFUNCTION("""COMPUTED_VALUE"""),"e83bb9290a73242b13db9a4453b23f1b0ca9fed0")</f>
        <v>e83bb9290a73242b13db9a4453b23f1b0ca9fed0</v>
      </c>
      <c r="B257" s="6" t="str">
        <f>IFERROR(__xludf.DUMMYFUNCTION("""COMPUTED_VALUE"""),"The Baby He Denied")</f>
        <v>The Baby He Denied</v>
      </c>
      <c r="C257" s="6" t="str">
        <f>IFERROR(__xludf.DUMMYFUNCTION("""COMPUTED_VALUE"""),"Romance")</f>
        <v>Romance</v>
      </c>
      <c r="D257" s="11">
        <f>IFERROR(__xludf.DUMMYFUNCTION("""COMPUTED_VALUE"""),2854.0)</f>
        <v>2854</v>
      </c>
      <c r="E257" s="8">
        <f>IFERROR(__xludf.DUMMYFUNCTION("""COMPUTED_VALUE"""),0.955119214586255)</f>
        <v>0.9551192146</v>
      </c>
      <c r="F257" s="8">
        <f>IFERROR(__xludf.DUMMYFUNCTION("""COMPUTED_VALUE"""),0.70751404494382)</f>
        <v>0.7075140449</v>
      </c>
      <c r="G257" s="8">
        <f>IFERROR(__xludf.DUMMYFUNCTION("""COMPUTED_VALUE"""),0.644061841180604)</f>
        <v>0.6440618412</v>
      </c>
      <c r="H257" s="8">
        <f>IFERROR(__xludf.DUMMYFUNCTION("""COMPUTED_VALUE"""),0.575501583949313)</f>
        <v>0.5755015839</v>
      </c>
      <c r="I257" s="8">
        <f>IFERROR(__xludf.DUMMYFUNCTION("""COMPUTED_VALUE"""),0.560253699788583)</f>
        <v>0.5602536998</v>
      </c>
      <c r="J257" s="8">
        <f>IFERROR(__xludf.DUMMYFUNCTION("""COMPUTED_VALUE"""),0.516937191249117)</f>
        <v>0.5169371912</v>
      </c>
      <c r="K257" s="8">
        <f>IFERROR(__xludf.DUMMYFUNCTION("""COMPUTED_VALUE"""),0.478445229681978)</f>
        <v>0.4784452297</v>
      </c>
      <c r="L257" s="8">
        <f>IFERROR(__xludf.DUMMYFUNCTION("""COMPUTED_VALUE"""),0.430191353649893)</f>
        <v>0.4301913536</v>
      </c>
      <c r="M257" s="8">
        <f>IFERROR(__xludf.DUMMYFUNCTION("""COMPUTED_VALUE"""),0.407354516244198)</f>
        <v>0.4073545162</v>
      </c>
      <c r="N257" s="8">
        <f>IFERROR(__xludf.DUMMYFUNCTION("""COMPUTED_VALUE"""),0.377013963480128)</f>
        <v>0.3770139635</v>
      </c>
      <c r="O257" s="8">
        <f>IFERROR(__xludf.DUMMYFUNCTION("""COMPUTED_VALUE"""),0.313391442155309)</f>
        <v>0.3133914422</v>
      </c>
      <c r="P257" s="8">
        <f>IFERROR(__xludf.DUMMYFUNCTION("""COMPUTED_VALUE"""),0.254670599803343)</f>
        <v>0.2546705998</v>
      </c>
      <c r="Q257" s="8">
        <f>IFERROR(__xludf.DUMMYFUNCTION("""COMPUTED_VALUE"""),0.112676056338028)</f>
        <v>0.1126760563</v>
      </c>
      <c r="R257" s="8">
        <f>IFERROR(__xludf.DUMMYFUNCTION("""COMPUTED_VALUE"""),0.0641025641025641)</f>
        <v>0.0641025641</v>
      </c>
      <c r="S257" s="8">
        <f>IFERROR(__xludf.DUMMYFUNCTION("""COMPUTED_VALUE"""),0.0909090909090909)</f>
        <v>0.09090909091</v>
      </c>
      <c r="T257" s="8">
        <f>IFERROR(__xludf.DUMMYFUNCTION("""COMPUTED_VALUE"""),0.142857142857142)</f>
        <v>0.1428571429</v>
      </c>
      <c r="U257" s="8">
        <f>IFERROR(__xludf.DUMMYFUNCTION("""COMPUTED_VALUE"""),0.0)</f>
        <v>0</v>
      </c>
      <c r="V257" s="8">
        <f>IFERROR(__xludf.DUMMYFUNCTION("""COMPUTED_VALUE"""),0.0)</f>
        <v>0</v>
      </c>
      <c r="W257" s="8">
        <f>IFERROR(__xludf.DUMMYFUNCTION("""COMPUTED_VALUE"""),0.0)</f>
        <v>0</v>
      </c>
      <c r="X257" s="8">
        <f>IFERROR(__xludf.DUMMYFUNCTION("""COMPUTED_VALUE"""),0.0)</f>
        <v>0</v>
      </c>
      <c r="Y257" s="8">
        <f>IFERROR(__xludf.DUMMYFUNCTION("""COMPUTED_VALUE"""),0.0)</f>
        <v>0</v>
      </c>
      <c r="Z257" s="8">
        <f>IFERROR(__xludf.DUMMYFUNCTION("""COMPUTED_VALUE"""),0.0)</f>
        <v>0</v>
      </c>
      <c r="AA257" s="8">
        <f>IFERROR(__xludf.DUMMYFUNCTION("""COMPUTED_VALUE"""),0.0)</f>
        <v>0</v>
      </c>
      <c r="AB257" s="8">
        <f>IFERROR(__xludf.DUMMYFUNCTION("""COMPUTED_VALUE"""),0.0)</f>
        <v>0</v>
      </c>
      <c r="AC257" s="8">
        <f>IFERROR(__xludf.DUMMYFUNCTION("""COMPUTED_VALUE"""),0.0)</f>
        <v>0</v>
      </c>
    </row>
    <row r="258" ht="15.75" customHeight="1">
      <c r="A258" s="6" t="str">
        <f>IFERROR(__xludf.DUMMYFUNCTION("""COMPUTED_VALUE"""),"e8df3cfef87feac45c4c024f9cbd7254cfc15952")</f>
        <v>e8df3cfef87feac45c4c024f9cbd7254cfc15952</v>
      </c>
      <c r="B258" s="6" t="str">
        <f>IFERROR(__xludf.DUMMYFUNCTION("""COMPUTED_VALUE"""),"Between Wolves and Lies")</f>
        <v>Between Wolves and Lies</v>
      </c>
      <c r="C258" s="6" t="str">
        <f>IFERROR(__xludf.DUMMYFUNCTION("""COMPUTED_VALUE"""),"Romantasy")</f>
        <v>Romantasy</v>
      </c>
      <c r="D258" s="11">
        <f>IFERROR(__xludf.DUMMYFUNCTION("""COMPUTED_VALUE"""),775.0)</f>
        <v>775</v>
      </c>
      <c r="E258" s="8">
        <f>IFERROR(__xludf.DUMMYFUNCTION("""COMPUTED_VALUE"""),0.985806451612903)</f>
        <v>0.9858064516</v>
      </c>
      <c r="F258" s="8">
        <f>IFERROR(__xludf.DUMMYFUNCTION("""COMPUTED_VALUE"""),0.510967741935483)</f>
        <v>0.5109677419</v>
      </c>
      <c r="G258" s="8">
        <f>IFERROR(__xludf.DUMMYFUNCTION("""COMPUTED_VALUE"""),0.438709677419354)</f>
        <v>0.4387096774</v>
      </c>
      <c r="H258" s="8">
        <f>IFERROR(__xludf.DUMMYFUNCTION("""COMPUTED_VALUE"""),0.369032258064516)</f>
        <v>0.3690322581</v>
      </c>
      <c r="I258" s="8">
        <f>IFERROR(__xludf.DUMMYFUNCTION("""COMPUTED_VALUE"""),0.327741935483871)</f>
        <v>0.3277419355</v>
      </c>
      <c r="J258" s="8">
        <f>IFERROR(__xludf.DUMMYFUNCTION("""COMPUTED_VALUE"""),0.308387096774193)</f>
        <v>0.3083870968</v>
      </c>
      <c r="K258" s="8">
        <f>IFERROR(__xludf.DUMMYFUNCTION("""COMPUTED_VALUE"""),0.27906976744186)</f>
        <v>0.2790697674</v>
      </c>
      <c r="L258" s="8">
        <f>IFERROR(__xludf.DUMMYFUNCTION("""COMPUTED_VALUE"""),0.249676584734799)</f>
        <v>0.2496765847</v>
      </c>
      <c r="M258" s="8">
        <f>IFERROR(__xludf.DUMMYFUNCTION("""COMPUTED_VALUE"""),0.234152652005174)</f>
        <v>0.234152652</v>
      </c>
      <c r="N258" s="8">
        <f>IFERROR(__xludf.DUMMYFUNCTION("""COMPUTED_VALUE"""),0.205692108667529)</f>
        <v>0.2056921087</v>
      </c>
      <c r="O258" s="8">
        <f>IFERROR(__xludf.DUMMYFUNCTION("""COMPUTED_VALUE"""),0.133940182054616)</f>
        <v>0.1339401821</v>
      </c>
      <c r="P258" s="8">
        <f>IFERROR(__xludf.DUMMYFUNCTION("""COMPUTED_VALUE"""),0.0612813370473537)</f>
        <v>0.06128133705</v>
      </c>
      <c r="Q258" s="8">
        <f>IFERROR(__xludf.DUMMYFUNCTION("""COMPUTED_VALUE"""),0.0233009708737864)</f>
        <v>0.02330097087</v>
      </c>
      <c r="R258" s="8">
        <f>IFERROR(__xludf.DUMMYFUNCTION("""COMPUTED_VALUE"""),0.00452488687782805)</f>
        <v>0.004524886878</v>
      </c>
      <c r="S258" s="8">
        <f>IFERROR(__xludf.DUMMYFUNCTION("""COMPUTED_VALUE"""),0.0)</f>
        <v>0</v>
      </c>
      <c r="T258" s="8">
        <f>IFERROR(__xludf.DUMMYFUNCTION("""COMPUTED_VALUE"""),0.0)</f>
        <v>0</v>
      </c>
      <c r="U258" s="8">
        <f>IFERROR(__xludf.DUMMYFUNCTION("""COMPUTED_VALUE"""),0.0)</f>
        <v>0</v>
      </c>
      <c r="V258" s="8">
        <f>IFERROR(__xludf.DUMMYFUNCTION("""COMPUTED_VALUE"""),0.0)</f>
        <v>0</v>
      </c>
      <c r="W258" s="8">
        <f>IFERROR(__xludf.DUMMYFUNCTION("""COMPUTED_VALUE"""),0.0)</f>
        <v>0</v>
      </c>
      <c r="X258" s="8">
        <f>IFERROR(__xludf.DUMMYFUNCTION("""COMPUTED_VALUE"""),0.0)</f>
        <v>0</v>
      </c>
      <c r="Y258" s="8">
        <f>IFERROR(__xludf.DUMMYFUNCTION("""COMPUTED_VALUE"""),0.0)</f>
        <v>0</v>
      </c>
      <c r="Z258" s="8">
        <f>IFERROR(__xludf.DUMMYFUNCTION("""COMPUTED_VALUE"""),0.0)</f>
        <v>0</v>
      </c>
      <c r="AA258" s="8">
        <f>IFERROR(__xludf.DUMMYFUNCTION("""COMPUTED_VALUE"""),0.0)</f>
        <v>0</v>
      </c>
      <c r="AB258" s="8">
        <f>IFERROR(__xludf.DUMMYFUNCTION("""COMPUTED_VALUE"""),0.0)</f>
        <v>0</v>
      </c>
      <c r="AC258" s="8">
        <f>IFERROR(__xludf.DUMMYFUNCTION("""COMPUTED_VALUE"""),0.0)</f>
        <v>0</v>
      </c>
    </row>
    <row r="259" ht="15.75" customHeight="1">
      <c r="A259" s="6" t="str">
        <f>IFERROR(__xludf.DUMMYFUNCTION("""COMPUTED_VALUE"""),"ed37d82285cfdcacdd3008ef7825d877fd575b57")</f>
        <v>ed37d82285cfdcacdd3008ef7825d877fd575b57</v>
      </c>
      <c r="B259" s="6" t="str">
        <f>IFERROR(__xludf.DUMMYFUNCTION("""COMPUTED_VALUE"""),"Charade")</f>
        <v>Charade</v>
      </c>
      <c r="C259" s="6" t="str">
        <f>IFERROR(__xludf.DUMMYFUNCTION("""COMPUTED_VALUE"""),"Fantasy")</f>
        <v>Fantasy</v>
      </c>
      <c r="D259" s="11">
        <f>IFERROR(__xludf.DUMMYFUNCTION("""COMPUTED_VALUE"""),53.0)</f>
        <v>53</v>
      </c>
      <c r="E259" s="8">
        <f>IFERROR(__xludf.DUMMYFUNCTION("""COMPUTED_VALUE"""),0.962264150943396)</f>
        <v>0.9622641509</v>
      </c>
      <c r="F259" s="8">
        <f>IFERROR(__xludf.DUMMYFUNCTION("""COMPUTED_VALUE"""),0.415094339622641)</f>
        <v>0.4150943396</v>
      </c>
      <c r="G259" s="8">
        <f>IFERROR(__xludf.DUMMYFUNCTION("""COMPUTED_VALUE"""),0.377358490566037)</f>
        <v>0.3773584906</v>
      </c>
      <c r="H259" s="8">
        <f>IFERROR(__xludf.DUMMYFUNCTION("""COMPUTED_VALUE"""),0.320754716981132)</f>
        <v>0.320754717</v>
      </c>
      <c r="I259" s="8">
        <f>IFERROR(__xludf.DUMMYFUNCTION("""COMPUTED_VALUE"""),0.320754716981132)</f>
        <v>0.320754717</v>
      </c>
      <c r="J259" s="8">
        <f>IFERROR(__xludf.DUMMYFUNCTION("""COMPUTED_VALUE"""),0.30188679245283)</f>
        <v>0.3018867925</v>
      </c>
      <c r="K259" s="8">
        <f>IFERROR(__xludf.DUMMYFUNCTION("""COMPUTED_VALUE"""),0.283018867924528)</f>
        <v>0.2830188679</v>
      </c>
      <c r="L259" s="8">
        <f>IFERROR(__xludf.DUMMYFUNCTION("""COMPUTED_VALUE"""),0.264150943396226)</f>
        <v>0.2641509434</v>
      </c>
      <c r="M259" s="8">
        <f>IFERROR(__xludf.DUMMYFUNCTION("""COMPUTED_VALUE"""),0.226415094339622)</f>
        <v>0.2264150943</v>
      </c>
      <c r="N259" s="8">
        <f>IFERROR(__xludf.DUMMYFUNCTION("""COMPUTED_VALUE"""),0.23076923076923)</f>
        <v>0.2307692308</v>
      </c>
      <c r="O259" s="8">
        <f>IFERROR(__xludf.DUMMYFUNCTION("""COMPUTED_VALUE"""),0.25)</f>
        <v>0.25</v>
      </c>
      <c r="P259" s="8">
        <f>IFERROR(__xludf.DUMMYFUNCTION("""COMPUTED_VALUE"""),0.115384615384615)</f>
        <v>0.1153846154</v>
      </c>
      <c r="Q259" s="8">
        <f>IFERROR(__xludf.DUMMYFUNCTION("""COMPUTED_VALUE"""),0.108108108108108)</f>
        <v>0.1081081081</v>
      </c>
      <c r="R259" s="8">
        <f>IFERROR(__xludf.DUMMYFUNCTION("""COMPUTED_VALUE"""),0.125)</f>
        <v>0.125</v>
      </c>
      <c r="S259" s="8">
        <f>IFERROR(__xludf.DUMMYFUNCTION("""COMPUTED_VALUE"""),0.0)</f>
        <v>0</v>
      </c>
      <c r="T259" s="8">
        <f>IFERROR(__xludf.DUMMYFUNCTION("""COMPUTED_VALUE"""),0.0)</f>
        <v>0</v>
      </c>
      <c r="U259" s="8">
        <f>IFERROR(__xludf.DUMMYFUNCTION("""COMPUTED_VALUE"""),0.0)</f>
        <v>0</v>
      </c>
      <c r="V259" s="8">
        <f>IFERROR(__xludf.DUMMYFUNCTION("""COMPUTED_VALUE"""),0.0)</f>
        <v>0</v>
      </c>
      <c r="W259" s="8">
        <f>IFERROR(__xludf.DUMMYFUNCTION("""COMPUTED_VALUE"""),0.0)</f>
        <v>0</v>
      </c>
      <c r="X259" s="8">
        <f>IFERROR(__xludf.DUMMYFUNCTION("""COMPUTED_VALUE"""),0.0)</f>
        <v>0</v>
      </c>
      <c r="Y259" s="8">
        <f>IFERROR(__xludf.DUMMYFUNCTION("""COMPUTED_VALUE"""),0.0)</f>
        <v>0</v>
      </c>
      <c r="Z259" s="8">
        <f>IFERROR(__xludf.DUMMYFUNCTION("""COMPUTED_VALUE"""),0.0)</f>
        <v>0</v>
      </c>
      <c r="AA259" s="8">
        <f>IFERROR(__xludf.DUMMYFUNCTION("""COMPUTED_VALUE"""),0.0)</f>
        <v>0</v>
      </c>
      <c r="AB259" s="8">
        <f>IFERROR(__xludf.DUMMYFUNCTION("""COMPUTED_VALUE"""),0.0)</f>
        <v>0</v>
      </c>
      <c r="AC259" s="8">
        <f>IFERROR(__xludf.DUMMYFUNCTION("""COMPUTED_VALUE"""),0.0)</f>
        <v>0</v>
      </c>
    </row>
    <row r="260" ht="15.75" customHeight="1">
      <c r="A260" s="6" t="str">
        <f>IFERROR(__xludf.DUMMYFUNCTION("""COMPUTED_VALUE"""),"ee2e216e3dceba69118e501b055c3b7b9a0335a3")</f>
        <v>ee2e216e3dceba69118e501b055c3b7b9a0335a3</v>
      </c>
      <c r="B260" s="6" t="str">
        <f>IFERROR(__xludf.DUMMYFUNCTION("""COMPUTED_VALUE"""),"Kyan's System Awakening")</f>
        <v>Kyan's System Awakening</v>
      </c>
      <c r="C260" s="6" t="str">
        <f>IFERROR(__xludf.DUMMYFUNCTION("""COMPUTED_VALUE"""),"Fantasy")</f>
        <v>Fantasy</v>
      </c>
      <c r="D260" s="11">
        <f>IFERROR(__xludf.DUMMYFUNCTION("""COMPUTED_VALUE"""),1253.0)</f>
        <v>1253</v>
      </c>
      <c r="E260" s="8">
        <f>IFERROR(__xludf.DUMMYFUNCTION("""COMPUTED_VALUE"""),0.965964343598055)</f>
        <v>0.9659643436</v>
      </c>
      <c r="F260" s="8">
        <f>IFERROR(__xludf.DUMMYFUNCTION("""COMPUTED_VALUE"""),0.410552349546578)</f>
        <v>0.4105523495</v>
      </c>
      <c r="G260" s="8">
        <f>IFERROR(__xludf.DUMMYFUNCTION("""COMPUTED_VALUE"""),0.343096234309623)</f>
        <v>0.3430962343</v>
      </c>
      <c r="H260" s="8">
        <f>IFERROR(__xludf.DUMMYFUNCTION("""COMPUTED_VALUE"""),0.32679180887372)</f>
        <v>0.3267918089</v>
      </c>
      <c r="I260" s="8">
        <f>IFERROR(__xludf.DUMMYFUNCTION("""COMPUTED_VALUE"""),0.313419913419913)</f>
        <v>0.3134199134</v>
      </c>
      <c r="J260" s="8">
        <f>IFERROR(__xludf.DUMMYFUNCTION("""COMPUTED_VALUE"""),0.297966401414677)</f>
        <v>0.2979664014</v>
      </c>
      <c r="K260" s="8">
        <f>IFERROR(__xludf.DUMMYFUNCTION("""COMPUTED_VALUE"""),0.28082808280828)</f>
        <v>0.2808280828</v>
      </c>
      <c r="L260" s="8">
        <f>IFERROR(__xludf.DUMMYFUNCTION("""COMPUTED_VALUE"""),0.267034990791896)</f>
        <v>0.2670349908</v>
      </c>
      <c r="M260" s="8">
        <f>IFERROR(__xludf.DUMMYFUNCTION("""COMPUTED_VALUE"""),0.254189944134078)</f>
        <v>0.2541899441</v>
      </c>
      <c r="N260" s="8">
        <f>IFERROR(__xludf.DUMMYFUNCTION("""COMPUTED_VALUE"""),0.2447216890595)</f>
        <v>0.2447216891</v>
      </c>
      <c r="O260" s="8">
        <f>IFERROR(__xludf.DUMMYFUNCTION("""COMPUTED_VALUE"""),0.248612652608213)</f>
        <v>0.2486126526</v>
      </c>
      <c r="P260" s="8">
        <f>IFERROR(__xludf.DUMMYFUNCTION("""COMPUTED_VALUE"""),0.187993680884676)</f>
        <v>0.1879936809</v>
      </c>
      <c r="Q260" s="8">
        <f>IFERROR(__xludf.DUMMYFUNCTION("""COMPUTED_VALUE"""),0.151724137931034)</f>
        <v>0.1517241379</v>
      </c>
      <c r="R260" s="8">
        <f>IFERROR(__xludf.DUMMYFUNCTION("""COMPUTED_VALUE"""),0.10655737704918)</f>
        <v>0.106557377</v>
      </c>
      <c r="S260" s="8">
        <f>IFERROR(__xludf.DUMMYFUNCTION("""COMPUTED_VALUE"""),0.0666666666666666)</f>
        <v>0.06666666667</v>
      </c>
      <c r="T260" s="8">
        <f>IFERROR(__xludf.DUMMYFUNCTION("""COMPUTED_VALUE"""),0.0857142857142857)</f>
        <v>0.08571428571</v>
      </c>
      <c r="U260" s="8">
        <f>IFERROR(__xludf.DUMMYFUNCTION("""COMPUTED_VALUE"""),0.0)</f>
        <v>0</v>
      </c>
      <c r="V260" s="8">
        <f>IFERROR(__xludf.DUMMYFUNCTION("""COMPUTED_VALUE"""),0.0)</f>
        <v>0</v>
      </c>
      <c r="W260" s="8">
        <f>IFERROR(__xludf.DUMMYFUNCTION("""COMPUTED_VALUE"""),0.0)</f>
        <v>0</v>
      </c>
      <c r="X260" s="8">
        <f>IFERROR(__xludf.DUMMYFUNCTION("""COMPUTED_VALUE"""),0.0)</f>
        <v>0</v>
      </c>
      <c r="Y260" s="8">
        <f>IFERROR(__xludf.DUMMYFUNCTION("""COMPUTED_VALUE"""),0.0)</f>
        <v>0</v>
      </c>
      <c r="Z260" s="8">
        <f>IFERROR(__xludf.DUMMYFUNCTION("""COMPUTED_VALUE"""),0.0)</f>
        <v>0</v>
      </c>
      <c r="AA260" s="8">
        <f>IFERROR(__xludf.DUMMYFUNCTION("""COMPUTED_VALUE"""),0.0)</f>
        <v>0</v>
      </c>
      <c r="AB260" s="8">
        <f>IFERROR(__xludf.DUMMYFUNCTION("""COMPUTED_VALUE"""),0.0)</f>
        <v>0</v>
      </c>
      <c r="AC260" s="8">
        <f>IFERROR(__xludf.DUMMYFUNCTION("""COMPUTED_VALUE"""),0.0)</f>
        <v>0</v>
      </c>
    </row>
    <row r="261" ht="15.75" customHeight="1">
      <c r="A261" s="6" t="str">
        <f>IFERROR(__xludf.DUMMYFUNCTION("""COMPUTED_VALUE"""),"ef47552b570f8fc4cc243b88fae469ea12c31df0")</f>
        <v>ef47552b570f8fc4cc243b88fae469ea12c31df0</v>
      </c>
      <c r="B261" s="6" t="str">
        <f>IFERROR(__xludf.DUMMYFUNCTION("""COMPUTED_VALUE"""),"Mated to Enemy’s Luna")</f>
        <v>Mated to Enemy’s Luna</v>
      </c>
      <c r="C261" s="6" t="str">
        <f>IFERROR(__xludf.DUMMYFUNCTION("""COMPUTED_VALUE"""),"Romantasy")</f>
        <v>Romantasy</v>
      </c>
      <c r="D261" s="11">
        <f>IFERROR(__xludf.DUMMYFUNCTION("""COMPUTED_VALUE"""),934.0)</f>
        <v>934</v>
      </c>
      <c r="E261" s="8">
        <f>IFERROR(__xludf.DUMMYFUNCTION("""COMPUTED_VALUE"""),0.95289079229122)</f>
        <v>0.9528907923</v>
      </c>
      <c r="F261" s="8">
        <f>IFERROR(__xludf.DUMMYFUNCTION("""COMPUTED_VALUE"""),0.602783725910064)</f>
        <v>0.6027837259</v>
      </c>
      <c r="G261" s="8">
        <f>IFERROR(__xludf.DUMMYFUNCTION("""COMPUTED_VALUE"""),0.544480171489817)</f>
        <v>0.5444801715</v>
      </c>
      <c r="H261" s="8">
        <f>IFERROR(__xludf.DUMMYFUNCTION("""COMPUTED_VALUE"""),0.518756698821007)</f>
        <v>0.5187566988</v>
      </c>
      <c r="I261" s="8">
        <f>IFERROR(__xludf.DUMMYFUNCTION("""COMPUTED_VALUE"""),0.478027867095391)</f>
        <v>0.4780278671</v>
      </c>
      <c r="J261" s="8">
        <f>IFERROR(__xludf.DUMMYFUNCTION("""COMPUTED_VALUE"""),0.4431330472103)</f>
        <v>0.4431330472</v>
      </c>
      <c r="K261" s="8">
        <f>IFERROR(__xludf.DUMMYFUNCTION("""COMPUTED_VALUE"""),0.402792696025778)</f>
        <v>0.402792696</v>
      </c>
      <c r="L261" s="8">
        <f>IFERROR(__xludf.DUMMYFUNCTION("""COMPUTED_VALUE"""),0.393972012917115)</f>
        <v>0.3939720129</v>
      </c>
      <c r="M261" s="8">
        <f>IFERROR(__xludf.DUMMYFUNCTION("""COMPUTED_VALUE"""),0.38858988159311)</f>
        <v>0.3885898816</v>
      </c>
      <c r="N261" s="8">
        <f>IFERROR(__xludf.DUMMYFUNCTION("""COMPUTED_VALUE"""),0.377825618945102)</f>
        <v>0.3778256189</v>
      </c>
      <c r="O261" s="8">
        <f>IFERROR(__xludf.DUMMYFUNCTION("""COMPUTED_VALUE"""),0.296639629200463)</f>
        <v>0.2966396292</v>
      </c>
      <c r="P261" s="8">
        <f>IFERROR(__xludf.DUMMYFUNCTION("""COMPUTED_VALUE"""),0.217598097502972)</f>
        <v>0.2175980975</v>
      </c>
      <c r="Q261" s="8">
        <f>IFERROR(__xludf.DUMMYFUNCTION("""COMPUTED_VALUE"""),0.0572246065808297)</f>
        <v>0.05722460658</v>
      </c>
      <c r="R261" s="8">
        <f>IFERROR(__xludf.DUMMYFUNCTION("""COMPUTED_VALUE"""),0.0555555555555555)</f>
        <v>0.05555555556</v>
      </c>
      <c r="S261" s="8">
        <f>IFERROR(__xludf.DUMMYFUNCTION("""COMPUTED_VALUE"""),0.0145985401459854)</f>
        <v>0.01459854015</v>
      </c>
      <c r="T261" s="8">
        <f>IFERROR(__xludf.DUMMYFUNCTION("""COMPUTED_VALUE"""),0.0333333333333333)</f>
        <v>0.03333333333</v>
      </c>
      <c r="U261" s="8">
        <f>IFERROR(__xludf.DUMMYFUNCTION("""COMPUTED_VALUE"""),0.0)</f>
        <v>0</v>
      </c>
      <c r="V261" s="8">
        <f>IFERROR(__xludf.DUMMYFUNCTION("""COMPUTED_VALUE"""),0.0)</f>
        <v>0</v>
      </c>
      <c r="W261" s="8">
        <f>IFERROR(__xludf.DUMMYFUNCTION("""COMPUTED_VALUE"""),0.0)</f>
        <v>0</v>
      </c>
      <c r="X261" s="8">
        <f>IFERROR(__xludf.DUMMYFUNCTION("""COMPUTED_VALUE"""),0.0)</f>
        <v>0</v>
      </c>
      <c r="Y261" s="8">
        <f>IFERROR(__xludf.DUMMYFUNCTION("""COMPUTED_VALUE"""),0.0)</f>
        <v>0</v>
      </c>
      <c r="Z261" s="8">
        <f>IFERROR(__xludf.DUMMYFUNCTION("""COMPUTED_VALUE"""),0.0)</f>
        <v>0</v>
      </c>
      <c r="AA261" s="8">
        <f>IFERROR(__xludf.DUMMYFUNCTION("""COMPUTED_VALUE"""),0.0)</f>
        <v>0</v>
      </c>
      <c r="AB261" s="8">
        <f>IFERROR(__xludf.DUMMYFUNCTION("""COMPUTED_VALUE"""),0.0)</f>
        <v>0</v>
      </c>
      <c r="AC261" s="8">
        <f>IFERROR(__xludf.DUMMYFUNCTION("""COMPUTED_VALUE"""),0.0)</f>
        <v>0</v>
      </c>
    </row>
    <row r="262" ht="15.75" customHeight="1">
      <c r="A262" s="6" t="str">
        <f>IFERROR(__xludf.DUMMYFUNCTION("""COMPUTED_VALUE"""),"efc5ab9117a97ffce6537344dcb0416ed5ff0dc1")</f>
        <v>efc5ab9117a97ffce6537344dcb0416ed5ff0dc1</v>
      </c>
      <c r="B262" s="6" t="str">
        <f>IFERROR(__xludf.DUMMYFUNCTION("""COMPUTED_VALUE"""),"Imperial Clan Descends")</f>
        <v>Imperial Clan Descends</v>
      </c>
      <c r="C262" s="6" t="str">
        <f>IFERROR(__xludf.DUMMYFUNCTION("""COMPUTED_VALUE"""),"Drama")</f>
        <v>Drama</v>
      </c>
      <c r="D262" s="11">
        <f>IFERROR(__xludf.DUMMYFUNCTION("""COMPUTED_VALUE"""),87.0)</f>
        <v>87</v>
      </c>
      <c r="E262" s="8">
        <f>IFERROR(__xludf.DUMMYFUNCTION("""COMPUTED_VALUE"""),0.988095238095238)</f>
        <v>0.9880952381</v>
      </c>
      <c r="F262" s="8">
        <f>IFERROR(__xludf.DUMMYFUNCTION("""COMPUTED_VALUE"""),0.345679012345679)</f>
        <v>0.3456790123</v>
      </c>
      <c r="G262" s="8">
        <f>IFERROR(__xludf.DUMMYFUNCTION("""COMPUTED_VALUE"""),0.233766233766233)</f>
        <v>0.2337662338</v>
      </c>
      <c r="H262" s="8">
        <f>IFERROR(__xludf.DUMMYFUNCTION("""COMPUTED_VALUE"""),0.16)</f>
        <v>0.16</v>
      </c>
      <c r="I262" s="8">
        <f>IFERROR(__xludf.DUMMYFUNCTION("""COMPUTED_VALUE"""),0.148648648648648)</f>
        <v>0.1486486486</v>
      </c>
      <c r="J262" s="8">
        <f>IFERROR(__xludf.DUMMYFUNCTION("""COMPUTED_VALUE"""),0.126760563380281)</f>
        <v>0.1267605634</v>
      </c>
      <c r="K262" s="8">
        <f>IFERROR(__xludf.DUMMYFUNCTION("""COMPUTED_VALUE"""),0.114285714285714)</f>
        <v>0.1142857143</v>
      </c>
      <c r="L262" s="8">
        <f>IFERROR(__xludf.DUMMYFUNCTION("""COMPUTED_VALUE"""),0.117647058823529)</f>
        <v>0.1176470588</v>
      </c>
      <c r="M262" s="8">
        <f>IFERROR(__xludf.DUMMYFUNCTION("""COMPUTED_VALUE"""),0.117647058823529)</f>
        <v>0.1176470588</v>
      </c>
      <c r="N262" s="8">
        <f>IFERROR(__xludf.DUMMYFUNCTION("""COMPUTED_VALUE"""),0.117647058823529)</f>
        <v>0.1176470588</v>
      </c>
      <c r="O262" s="8">
        <f>IFERROR(__xludf.DUMMYFUNCTION("""COMPUTED_VALUE"""),0.0833333333333333)</f>
        <v>0.08333333333</v>
      </c>
      <c r="P262" s="8">
        <f>IFERROR(__xludf.DUMMYFUNCTION("""COMPUTED_VALUE"""),0.0666666666666666)</f>
        <v>0.06666666667</v>
      </c>
      <c r="Q262" s="8">
        <f>IFERROR(__xludf.DUMMYFUNCTION("""COMPUTED_VALUE"""),0.0350877192982456)</f>
        <v>0.0350877193</v>
      </c>
      <c r="R262" s="8">
        <f>IFERROR(__xludf.DUMMYFUNCTION("""COMPUTED_VALUE"""),0.0357142857142857)</f>
        <v>0.03571428571</v>
      </c>
      <c r="S262" s="8">
        <f>IFERROR(__xludf.DUMMYFUNCTION("""COMPUTED_VALUE"""),0.0)</f>
        <v>0</v>
      </c>
      <c r="T262" s="8">
        <f>IFERROR(__xludf.DUMMYFUNCTION("""COMPUTED_VALUE"""),0.0)</f>
        <v>0</v>
      </c>
      <c r="U262" s="8">
        <f>IFERROR(__xludf.DUMMYFUNCTION("""COMPUTED_VALUE"""),0.0)</f>
        <v>0</v>
      </c>
      <c r="V262" s="8">
        <f>IFERROR(__xludf.DUMMYFUNCTION("""COMPUTED_VALUE"""),0.0)</f>
        <v>0</v>
      </c>
      <c r="W262" s="8">
        <f>IFERROR(__xludf.DUMMYFUNCTION("""COMPUTED_VALUE"""),0.0)</f>
        <v>0</v>
      </c>
      <c r="X262" s="8">
        <f>IFERROR(__xludf.DUMMYFUNCTION("""COMPUTED_VALUE"""),0.0)</f>
        <v>0</v>
      </c>
      <c r="Y262" s="8">
        <f>IFERROR(__xludf.DUMMYFUNCTION("""COMPUTED_VALUE"""),0.0)</f>
        <v>0</v>
      </c>
      <c r="Z262" s="8">
        <f>IFERROR(__xludf.DUMMYFUNCTION("""COMPUTED_VALUE"""),0.0)</f>
        <v>0</v>
      </c>
      <c r="AA262" s="8">
        <f>IFERROR(__xludf.DUMMYFUNCTION("""COMPUTED_VALUE"""),0.0)</f>
        <v>0</v>
      </c>
      <c r="AB262" s="8">
        <f>IFERROR(__xludf.DUMMYFUNCTION("""COMPUTED_VALUE"""),0.0)</f>
        <v>0</v>
      </c>
      <c r="AC262" s="8">
        <f>IFERROR(__xludf.DUMMYFUNCTION("""COMPUTED_VALUE"""),0.0)</f>
        <v>0</v>
      </c>
    </row>
    <row r="263" ht="15.75" customHeight="1">
      <c r="A263" s="6" t="str">
        <f>IFERROR(__xludf.DUMMYFUNCTION("""COMPUTED_VALUE"""),"f06451dc56081680609a77b52825c3da76e8ae66")</f>
        <v>f06451dc56081680609a77b52825c3da76e8ae66</v>
      </c>
      <c r="B263" s="6" t="str">
        <f>IFERROR(__xludf.DUMMYFUNCTION("""COMPUTED_VALUE"""),"Her Exit, His Regret")</f>
        <v>Her Exit, His Regret</v>
      </c>
      <c r="C263" s="6" t="str">
        <f>IFERROR(__xludf.DUMMYFUNCTION("""COMPUTED_VALUE"""),"Romance")</f>
        <v>Romance</v>
      </c>
      <c r="D263" s="11">
        <f>IFERROR(__xludf.DUMMYFUNCTION("""COMPUTED_VALUE"""),1618.0)</f>
        <v>1618</v>
      </c>
      <c r="E263" s="8">
        <f>IFERROR(__xludf.DUMMYFUNCTION("""COMPUTED_VALUE"""),0.961681087762669)</f>
        <v>0.9616810878</v>
      </c>
      <c r="F263" s="8">
        <f>IFERROR(__xludf.DUMMYFUNCTION("""COMPUTED_VALUE"""),0.641089108910891)</f>
        <v>0.6410891089</v>
      </c>
      <c r="G263" s="8">
        <f>IFERROR(__xludf.DUMMYFUNCTION("""COMPUTED_VALUE"""),0.569306930693069)</f>
        <v>0.5693069307</v>
      </c>
      <c r="H263" s="8">
        <f>IFERROR(__xludf.DUMMYFUNCTION("""COMPUTED_VALUE"""),0.49319306930693)</f>
        <v>0.4931930693</v>
      </c>
      <c r="I263" s="8">
        <f>IFERROR(__xludf.DUMMYFUNCTION("""COMPUTED_VALUE"""),0.422648514851485)</f>
        <v>0.4226485149</v>
      </c>
      <c r="J263" s="8">
        <f>IFERROR(__xludf.DUMMYFUNCTION("""COMPUTED_VALUE"""),0.38204334365325)</f>
        <v>0.3820433437</v>
      </c>
      <c r="K263" s="8">
        <f>IFERROR(__xludf.DUMMYFUNCTION("""COMPUTED_VALUE"""),0.374225526641883)</f>
        <v>0.3742255266</v>
      </c>
      <c r="L263" s="8">
        <f>IFERROR(__xludf.DUMMYFUNCTION("""COMPUTED_VALUE"""),0.317120622568093)</f>
        <v>0.3171206226</v>
      </c>
      <c r="M263" s="8">
        <f>IFERROR(__xludf.DUMMYFUNCTION("""COMPUTED_VALUE"""),0.288124594419208)</f>
        <v>0.2881245944</v>
      </c>
      <c r="N263" s="8">
        <f>IFERROR(__xludf.DUMMYFUNCTION("""COMPUTED_VALUE"""),0.278933680104031)</f>
        <v>0.2789336801</v>
      </c>
      <c r="O263" s="8">
        <f>IFERROR(__xludf.DUMMYFUNCTION("""COMPUTED_VALUE"""),0.235023041474654)</f>
        <v>0.2350230415</v>
      </c>
      <c r="P263" s="8">
        <f>IFERROR(__xludf.DUMMYFUNCTION("""COMPUTED_VALUE"""),0.166180758017492)</f>
        <v>0.166180758</v>
      </c>
      <c r="Q263" s="8">
        <f>IFERROR(__xludf.DUMMYFUNCTION("""COMPUTED_VALUE"""),0.114420062695924)</f>
        <v>0.1144200627</v>
      </c>
      <c r="R263" s="8">
        <f>IFERROR(__xludf.DUMMYFUNCTION("""COMPUTED_VALUE"""),0.135802469135802)</f>
        <v>0.1358024691</v>
      </c>
      <c r="S263" s="8">
        <f>IFERROR(__xludf.DUMMYFUNCTION("""COMPUTED_VALUE"""),0.0)</f>
        <v>0</v>
      </c>
      <c r="T263" s="8">
        <f>IFERROR(__xludf.DUMMYFUNCTION("""COMPUTED_VALUE"""),0.0)</f>
        <v>0</v>
      </c>
      <c r="U263" s="8">
        <f>IFERROR(__xludf.DUMMYFUNCTION("""COMPUTED_VALUE"""),0.0)</f>
        <v>0</v>
      </c>
      <c r="V263" s="8">
        <f>IFERROR(__xludf.DUMMYFUNCTION("""COMPUTED_VALUE"""),0.0)</f>
        <v>0</v>
      </c>
      <c r="W263" s="8">
        <f>IFERROR(__xludf.DUMMYFUNCTION("""COMPUTED_VALUE"""),0.0)</f>
        <v>0</v>
      </c>
      <c r="X263" s="8">
        <f>IFERROR(__xludf.DUMMYFUNCTION("""COMPUTED_VALUE"""),0.0)</f>
        <v>0</v>
      </c>
      <c r="Y263" s="8">
        <f>IFERROR(__xludf.DUMMYFUNCTION("""COMPUTED_VALUE"""),0.0)</f>
        <v>0</v>
      </c>
      <c r="Z263" s="8">
        <f>IFERROR(__xludf.DUMMYFUNCTION("""COMPUTED_VALUE"""),0.0)</f>
        <v>0</v>
      </c>
      <c r="AA263" s="8">
        <f>IFERROR(__xludf.DUMMYFUNCTION("""COMPUTED_VALUE"""),0.0)</f>
        <v>0</v>
      </c>
      <c r="AB263" s="8">
        <f>IFERROR(__xludf.DUMMYFUNCTION("""COMPUTED_VALUE"""),0.0)</f>
        <v>0</v>
      </c>
      <c r="AC263" s="8">
        <f>IFERROR(__xludf.DUMMYFUNCTION("""COMPUTED_VALUE"""),0.0)</f>
        <v>0</v>
      </c>
    </row>
    <row r="264" ht="15.75" customHeight="1">
      <c r="A264" s="6" t="str">
        <f>IFERROR(__xludf.DUMMYFUNCTION("""COMPUTED_VALUE"""),"f11e794eecc64915145ae97085e04201646abfe3")</f>
        <v>f11e794eecc64915145ae97085e04201646abfe3</v>
      </c>
      <c r="B264" s="6" t="str">
        <f>IFERROR(__xludf.DUMMYFUNCTION("""COMPUTED_VALUE"""),"Almost His Bride ")</f>
        <v>Almost His Bride </v>
      </c>
      <c r="C264" s="6" t="str">
        <f>IFERROR(__xludf.DUMMYFUNCTION("""COMPUTED_VALUE"""),"Romance")</f>
        <v>Romance</v>
      </c>
      <c r="D264" s="11">
        <f>IFERROR(__xludf.DUMMYFUNCTION("""COMPUTED_VALUE"""),439.0)</f>
        <v>439</v>
      </c>
      <c r="E264" s="8">
        <f>IFERROR(__xludf.DUMMYFUNCTION("""COMPUTED_VALUE"""),0.963553530751708)</f>
        <v>0.9635535308</v>
      </c>
      <c r="F264" s="8">
        <f>IFERROR(__xludf.DUMMYFUNCTION("""COMPUTED_VALUE"""),0.583143507972665)</f>
        <v>0.583143508</v>
      </c>
      <c r="G264" s="8">
        <f>IFERROR(__xludf.DUMMYFUNCTION("""COMPUTED_VALUE"""),0.535307517084282)</f>
        <v>0.5353075171</v>
      </c>
      <c r="H264" s="8">
        <f>IFERROR(__xludf.DUMMYFUNCTION("""COMPUTED_VALUE"""),0.5125284738041)</f>
        <v>0.5125284738</v>
      </c>
      <c r="I264" s="8">
        <f>IFERROR(__xludf.DUMMYFUNCTION("""COMPUTED_VALUE"""),0.480637813211845)</f>
        <v>0.4806378132</v>
      </c>
      <c r="J264" s="8">
        <f>IFERROR(__xludf.DUMMYFUNCTION("""COMPUTED_VALUE"""),0.469248291571753)</f>
        <v>0.4692482916</v>
      </c>
      <c r="K264" s="8">
        <f>IFERROR(__xludf.DUMMYFUNCTION("""COMPUTED_VALUE"""),0.455580865603644)</f>
        <v>0.4555808656</v>
      </c>
      <c r="L264" s="8">
        <f>IFERROR(__xludf.DUMMYFUNCTION("""COMPUTED_VALUE"""),0.421412300683371)</f>
        <v>0.4214123007</v>
      </c>
      <c r="M264" s="8">
        <f>IFERROR(__xludf.DUMMYFUNCTION("""COMPUTED_VALUE"""),0.388127853881278)</f>
        <v>0.3881278539</v>
      </c>
      <c r="N264" s="8">
        <f>IFERROR(__xludf.DUMMYFUNCTION("""COMPUTED_VALUE"""),0.447488584474885)</f>
        <v>0.4474885845</v>
      </c>
      <c r="O264" s="8">
        <f>IFERROR(__xludf.DUMMYFUNCTION("""COMPUTED_VALUE"""),0.242894056847545)</f>
        <v>0.2428940568</v>
      </c>
      <c r="P264" s="8">
        <f>IFERROR(__xludf.DUMMYFUNCTION("""COMPUTED_VALUE"""),0.196382428940568)</f>
        <v>0.1963824289</v>
      </c>
      <c r="Q264" s="8">
        <f>IFERROR(__xludf.DUMMYFUNCTION("""COMPUTED_VALUE"""),0.0504731861198738)</f>
        <v>0.05047318612</v>
      </c>
      <c r="R264" s="8">
        <f>IFERROR(__xludf.DUMMYFUNCTION("""COMPUTED_VALUE"""),0.0145454545454545)</f>
        <v>0.01454545455</v>
      </c>
      <c r="S264" s="8">
        <f>IFERROR(__xludf.DUMMYFUNCTION("""COMPUTED_VALUE"""),0.0)</f>
        <v>0</v>
      </c>
      <c r="T264" s="8">
        <f>IFERROR(__xludf.DUMMYFUNCTION("""COMPUTED_VALUE"""),0.0)</f>
        <v>0</v>
      </c>
      <c r="U264" s="8">
        <f>IFERROR(__xludf.DUMMYFUNCTION("""COMPUTED_VALUE"""),0.0)</f>
        <v>0</v>
      </c>
      <c r="V264" s="8">
        <f>IFERROR(__xludf.DUMMYFUNCTION("""COMPUTED_VALUE"""),0.0)</f>
        <v>0</v>
      </c>
      <c r="W264" s="8">
        <f>IFERROR(__xludf.DUMMYFUNCTION("""COMPUTED_VALUE"""),0.0)</f>
        <v>0</v>
      </c>
      <c r="X264" s="8">
        <f>IFERROR(__xludf.DUMMYFUNCTION("""COMPUTED_VALUE"""),0.0)</f>
        <v>0</v>
      </c>
      <c r="Y264" s="8">
        <f>IFERROR(__xludf.DUMMYFUNCTION("""COMPUTED_VALUE"""),0.0)</f>
        <v>0</v>
      </c>
      <c r="Z264" s="8">
        <f>IFERROR(__xludf.DUMMYFUNCTION("""COMPUTED_VALUE"""),0.0)</f>
        <v>0</v>
      </c>
      <c r="AA264" s="8">
        <f>IFERROR(__xludf.DUMMYFUNCTION("""COMPUTED_VALUE"""),0.0)</f>
        <v>0</v>
      </c>
      <c r="AB264" s="8">
        <f>IFERROR(__xludf.DUMMYFUNCTION("""COMPUTED_VALUE"""),0.0)</f>
        <v>0</v>
      </c>
      <c r="AC264" s="8">
        <f>IFERROR(__xludf.DUMMYFUNCTION("""COMPUTED_VALUE"""),0.0)</f>
        <v>0</v>
      </c>
    </row>
    <row r="265" ht="15.75" customHeight="1">
      <c r="A265" s="6" t="str">
        <f>IFERROR(__xludf.DUMMYFUNCTION("""COMPUTED_VALUE"""),"f16d45e2702863e71bf480a3e2490ded19c4cbd9")</f>
        <v>f16d45e2702863e71bf480a3e2490ded19c4cbd9</v>
      </c>
      <c r="B265" s="6" t="str">
        <f>IFERROR(__xludf.DUMMYFUNCTION("""COMPUTED_VALUE"""),"Supreme Sword Cultivator")</f>
        <v>Supreme Sword Cultivator</v>
      </c>
      <c r="C265" s="6" t="str">
        <f>IFERROR(__xludf.DUMMYFUNCTION("""COMPUTED_VALUE"""),"Fantasy")</f>
        <v>Fantasy</v>
      </c>
      <c r="D265" s="11">
        <f>IFERROR(__xludf.DUMMYFUNCTION("""COMPUTED_VALUE"""),265.0)</f>
        <v>265</v>
      </c>
      <c r="E265" s="8">
        <f>IFERROR(__xludf.DUMMYFUNCTION("""COMPUTED_VALUE"""),0.950943396226415)</f>
        <v>0.9509433962</v>
      </c>
      <c r="F265" s="8">
        <f>IFERROR(__xludf.DUMMYFUNCTION("""COMPUTED_VALUE"""),0.511363636363636)</f>
        <v>0.5113636364</v>
      </c>
      <c r="G265" s="8">
        <f>IFERROR(__xludf.DUMMYFUNCTION("""COMPUTED_VALUE"""),0.496212121212121)</f>
        <v>0.4962121212</v>
      </c>
      <c r="H265" s="8">
        <f>IFERROR(__xludf.DUMMYFUNCTION("""COMPUTED_VALUE"""),0.473484848484848)</f>
        <v>0.4734848485</v>
      </c>
      <c r="I265" s="8">
        <f>IFERROR(__xludf.DUMMYFUNCTION("""COMPUTED_VALUE"""),0.446969696969696)</f>
        <v>0.446969697</v>
      </c>
      <c r="J265" s="8">
        <f>IFERROR(__xludf.DUMMYFUNCTION("""COMPUTED_VALUE"""),0.431818181818181)</f>
        <v>0.4318181818</v>
      </c>
      <c r="K265" s="8">
        <f>IFERROR(__xludf.DUMMYFUNCTION("""COMPUTED_VALUE"""),0.409090909090909)</f>
        <v>0.4090909091</v>
      </c>
      <c r="L265" s="8">
        <f>IFERROR(__xludf.DUMMYFUNCTION("""COMPUTED_VALUE"""),0.395437262357414)</f>
        <v>0.3954372624</v>
      </c>
      <c r="M265" s="8">
        <f>IFERROR(__xludf.DUMMYFUNCTION("""COMPUTED_VALUE"""),0.387832699619771)</f>
        <v>0.3878326996</v>
      </c>
      <c r="N265" s="8">
        <f>IFERROR(__xludf.DUMMYFUNCTION("""COMPUTED_VALUE"""),0.372623574144486)</f>
        <v>0.3726235741</v>
      </c>
      <c r="O265" s="8">
        <f>IFERROR(__xludf.DUMMYFUNCTION("""COMPUTED_VALUE"""),0.319230769230769)</f>
        <v>0.3192307692</v>
      </c>
      <c r="P265" s="8">
        <f>IFERROR(__xludf.DUMMYFUNCTION("""COMPUTED_VALUE"""),0.2568093385214)</f>
        <v>0.2568093385</v>
      </c>
      <c r="Q265" s="8">
        <f>IFERROR(__xludf.DUMMYFUNCTION("""COMPUTED_VALUE"""),0.182222222222222)</f>
        <v>0.1822222222</v>
      </c>
      <c r="R265" s="8">
        <f>IFERROR(__xludf.DUMMYFUNCTION("""COMPUTED_VALUE"""),0.135922330097087)</f>
        <v>0.1359223301</v>
      </c>
      <c r="S265" s="8">
        <f>IFERROR(__xludf.DUMMYFUNCTION("""COMPUTED_VALUE"""),0.105820105820105)</f>
        <v>0.1058201058</v>
      </c>
      <c r="T265" s="8">
        <f>IFERROR(__xludf.DUMMYFUNCTION("""COMPUTED_VALUE"""),0.0699300699300699)</f>
        <v>0.06993006993</v>
      </c>
      <c r="U265" s="8">
        <f>IFERROR(__xludf.DUMMYFUNCTION("""COMPUTED_VALUE"""),0.0258620689655172)</f>
        <v>0.02586206897</v>
      </c>
      <c r="V265" s="8">
        <f>IFERROR(__xludf.DUMMYFUNCTION("""COMPUTED_VALUE"""),0.0)</f>
        <v>0</v>
      </c>
      <c r="W265" s="8">
        <f>IFERROR(__xludf.DUMMYFUNCTION("""COMPUTED_VALUE"""),0.0)</f>
        <v>0</v>
      </c>
      <c r="X265" s="8">
        <f>IFERROR(__xludf.DUMMYFUNCTION("""COMPUTED_VALUE"""),0.0)</f>
        <v>0</v>
      </c>
      <c r="Y265" s="8">
        <f>IFERROR(__xludf.DUMMYFUNCTION("""COMPUTED_VALUE"""),0.0)</f>
        <v>0</v>
      </c>
      <c r="Z265" s="8">
        <f>IFERROR(__xludf.DUMMYFUNCTION("""COMPUTED_VALUE"""),0.0)</f>
        <v>0</v>
      </c>
      <c r="AA265" s="8">
        <f>IFERROR(__xludf.DUMMYFUNCTION("""COMPUTED_VALUE"""),0.0)</f>
        <v>0</v>
      </c>
      <c r="AB265" s="8">
        <f>IFERROR(__xludf.DUMMYFUNCTION("""COMPUTED_VALUE"""),0.0)</f>
        <v>0</v>
      </c>
      <c r="AC265" s="8">
        <f>IFERROR(__xludf.DUMMYFUNCTION("""COMPUTED_VALUE"""),0.0)</f>
        <v>0</v>
      </c>
    </row>
    <row r="266" ht="15.75" customHeight="1">
      <c r="A266" s="6" t="str">
        <f>IFERROR(__xludf.DUMMYFUNCTION("""COMPUTED_VALUE"""),"f23c3d5745910e4c7cf490450f5314358a0cec03")</f>
        <v>f23c3d5745910e4c7cf490450f5314358a0cec03</v>
      </c>
      <c r="B266" s="6" t="str">
        <f>IFERROR(__xludf.DUMMYFUNCTION("""COMPUTED_VALUE"""),"When My Ex Returned")</f>
        <v>When My Ex Returned</v>
      </c>
      <c r="C266" s="6" t="str">
        <f>IFERROR(__xludf.DUMMYFUNCTION("""COMPUTED_VALUE"""),"Romance")</f>
        <v>Romance</v>
      </c>
      <c r="D266" s="11">
        <f>IFERROR(__xludf.DUMMYFUNCTION("""COMPUTED_VALUE"""),1305.0)</f>
        <v>1305</v>
      </c>
      <c r="E266" s="8">
        <f>IFERROR(__xludf.DUMMYFUNCTION("""COMPUTED_VALUE"""),0.970791698693312)</f>
        <v>0.9707916987</v>
      </c>
      <c r="F266" s="8">
        <f>IFERROR(__xludf.DUMMYFUNCTION("""COMPUTED_VALUE"""),0.428681572860447)</f>
        <v>0.4286815729</v>
      </c>
      <c r="G266" s="8">
        <f>IFERROR(__xludf.DUMMYFUNCTION("""COMPUTED_VALUE"""),0.370855821125674)</f>
        <v>0.3708558211</v>
      </c>
      <c r="H266" s="8">
        <f>IFERROR(__xludf.DUMMYFUNCTION("""COMPUTED_VALUE"""),0.337702390131071)</f>
        <v>0.3377023901</v>
      </c>
      <c r="I266" s="8">
        <f>IFERROR(__xludf.DUMMYFUNCTION("""COMPUTED_VALUE"""),0.321759259259259)</f>
        <v>0.3217592593</v>
      </c>
      <c r="J266" s="8">
        <f>IFERROR(__xludf.DUMMYFUNCTION("""COMPUTED_VALUE"""),0.302469135802469)</f>
        <v>0.3024691358</v>
      </c>
      <c r="K266" s="8">
        <f>IFERROR(__xludf.DUMMYFUNCTION("""COMPUTED_VALUE"""),0.274691358024691)</f>
        <v>0.274691358</v>
      </c>
      <c r="L266" s="8">
        <f>IFERROR(__xludf.DUMMYFUNCTION("""COMPUTED_VALUE"""),0.250773993808049)</f>
        <v>0.2507739938</v>
      </c>
      <c r="M266" s="8">
        <f>IFERROR(__xludf.DUMMYFUNCTION("""COMPUTED_VALUE"""),0.236068111455108)</f>
        <v>0.2360681115</v>
      </c>
      <c r="N266" s="8">
        <f>IFERROR(__xludf.DUMMYFUNCTION("""COMPUTED_VALUE"""),0.226780185758513)</f>
        <v>0.2267801858</v>
      </c>
      <c r="O266" s="8">
        <f>IFERROR(__xludf.DUMMYFUNCTION("""COMPUTED_VALUE"""),0.182453416149068)</f>
        <v>0.1824534161</v>
      </c>
      <c r="P266" s="8">
        <f>IFERROR(__xludf.DUMMYFUNCTION("""COMPUTED_VALUE"""),0.14446002805049)</f>
        <v>0.1444600281</v>
      </c>
      <c r="Q266" s="8">
        <f>IFERROR(__xludf.DUMMYFUNCTION("""COMPUTED_VALUE"""),0.15527950310559)</f>
        <v>0.1552795031</v>
      </c>
      <c r="R266" s="8">
        <f>IFERROR(__xludf.DUMMYFUNCTION("""COMPUTED_VALUE"""),0.0)</f>
        <v>0</v>
      </c>
      <c r="S266" s="8">
        <f>IFERROR(__xludf.DUMMYFUNCTION("""COMPUTED_VALUE"""),0.0)</f>
        <v>0</v>
      </c>
      <c r="T266" s="8">
        <f>IFERROR(__xludf.DUMMYFUNCTION("""COMPUTED_VALUE"""),0.0)</f>
        <v>0</v>
      </c>
      <c r="U266" s="8">
        <f>IFERROR(__xludf.DUMMYFUNCTION("""COMPUTED_VALUE"""),0.0)</f>
        <v>0</v>
      </c>
      <c r="V266" s="8">
        <f>IFERROR(__xludf.DUMMYFUNCTION("""COMPUTED_VALUE"""),0.0)</f>
        <v>0</v>
      </c>
      <c r="W266" s="8">
        <f>IFERROR(__xludf.DUMMYFUNCTION("""COMPUTED_VALUE"""),0.0)</f>
        <v>0</v>
      </c>
      <c r="X266" s="8">
        <f>IFERROR(__xludf.DUMMYFUNCTION("""COMPUTED_VALUE"""),0.0)</f>
        <v>0</v>
      </c>
      <c r="Y266" s="8">
        <f>IFERROR(__xludf.DUMMYFUNCTION("""COMPUTED_VALUE"""),0.0)</f>
        <v>0</v>
      </c>
      <c r="Z266" s="8">
        <f>IFERROR(__xludf.DUMMYFUNCTION("""COMPUTED_VALUE"""),0.0)</f>
        <v>0</v>
      </c>
      <c r="AA266" s="8">
        <f>IFERROR(__xludf.DUMMYFUNCTION("""COMPUTED_VALUE"""),0.0)</f>
        <v>0</v>
      </c>
      <c r="AB266" s="8">
        <f>IFERROR(__xludf.DUMMYFUNCTION("""COMPUTED_VALUE"""),0.0)</f>
        <v>0</v>
      </c>
      <c r="AC266" s="8">
        <f>IFERROR(__xludf.DUMMYFUNCTION("""COMPUTED_VALUE"""),0.0)</f>
        <v>0</v>
      </c>
    </row>
    <row r="267" ht="15.75" customHeight="1">
      <c r="A267" s="6" t="str">
        <f>IFERROR(__xludf.DUMMYFUNCTION("""COMPUTED_VALUE"""),"f2ec53ac7f98813aea65ea59e50f32077fe08707")</f>
        <v>f2ec53ac7f98813aea65ea59e50f32077fe08707</v>
      </c>
      <c r="B267" s="6" t="str">
        <f>IFERROR(__xludf.DUMMYFUNCTION("""COMPUTED_VALUE"""),"The Forbidden Kiss")</f>
        <v>The Forbidden Kiss</v>
      </c>
      <c r="C267" s="6" t="str">
        <f>IFERROR(__xludf.DUMMYFUNCTION("""COMPUTED_VALUE"""),"Romance")</f>
        <v>Romance</v>
      </c>
      <c r="D267" s="11">
        <f>IFERROR(__xludf.DUMMYFUNCTION("""COMPUTED_VALUE"""),1410.0)</f>
        <v>1410</v>
      </c>
      <c r="E267" s="8">
        <f>IFERROR(__xludf.DUMMYFUNCTION("""COMPUTED_VALUE"""),0.966545454545454)</f>
        <v>0.9665454545</v>
      </c>
      <c r="F267" s="8">
        <f>IFERROR(__xludf.DUMMYFUNCTION("""COMPUTED_VALUE"""),0.597127739984882)</f>
        <v>0.59712774</v>
      </c>
      <c r="G267" s="8">
        <f>IFERROR(__xludf.DUMMYFUNCTION("""COMPUTED_VALUE"""),0.507763975155279)</f>
        <v>0.5077639752</v>
      </c>
      <c r="H267" s="8">
        <f>IFERROR(__xludf.DUMMYFUNCTION("""COMPUTED_VALUE"""),0.430185633575464)</f>
        <v>0.4301856336</v>
      </c>
      <c r="I267" s="8">
        <f>IFERROR(__xludf.DUMMYFUNCTION("""COMPUTED_VALUE"""),0.387387387387387)</f>
        <v>0.3873873874</v>
      </c>
      <c r="J267" s="8">
        <f>IFERROR(__xludf.DUMMYFUNCTION("""COMPUTED_VALUE"""),0.351373855120732)</f>
        <v>0.3513738551</v>
      </c>
      <c r="K267" s="8">
        <f>IFERROR(__xludf.DUMMYFUNCTION("""COMPUTED_VALUE"""),0.308474576271186)</f>
        <v>0.3084745763</v>
      </c>
      <c r="L267" s="8">
        <f>IFERROR(__xludf.DUMMYFUNCTION("""COMPUTED_VALUE"""),0.287085514834205)</f>
        <v>0.2870855148</v>
      </c>
      <c r="M267" s="8">
        <f>IFERROR(__xludf.DUMMYFUNCTION("""COMPUTED_VALUE"""),0.260444444444444)</f>
        <v>0.2604444444</v>
      </c>
      <c r="N267" s="8">
        <f>IFERROR(__xludf.DUMMYFUNCTION("""COMPUTED_VALUE"""),0.243673851921274)</f>
        <v>0.2436738519</v>
      </c>
      <c r="O267" s="8">
        <f>IFERROR(__xludf.DUMMYFUNCTION("""COMPUTED_VALUE"""),0.213829787234042)</f>
        <v>0.2138297872</v>
      </c>
      <c r="P267" s="8">
        <f>IFERROR(__xludf.DUMMYFUNCTION("""COMPUTED_VALUE"""),0.135546334716459)</f>
        <v>0.1355463347</v>
      </c>
      <c r="Q267" s="8">
        <f>IFERROR(__xludf.DUMMYFUNCTION("""COMPUTED_VALUE"""),0.11734693877551)</f>
        <v>0.1173469388</v>
      </c>
      <c r="R267" s="8">
        <f>IFERROR(__xludf.DUMMYFUNCTION("""COMPUTED_VALUE"""),0.103448275862068)</f>
        <v>0.1034482759</v>
      </c>
      <c r="S267" s="8">
        <f>IFERROR(__xludf.DUMMYFUNCTION("""COMPUTED_VALUE"""),0.0)</f>
        <v>0</v>
      </c>
      <c r="T267" s="8">
        <f>IFERROR(__xludf.DUMMYFUNCTION("""COMPUTED_VALUE"""),0.0)</f>
        <v>0</v>
      </c>
      <c r="U267" s="8">
        <f>IFERROR(__xludf.DUMMYFUNCTION("""COMPUTED_VALUE"""),0.0)</f>
        <v>0</v>
      </c>
      <c r="V267" s="8">
        <f>IFERROR(__xludf.DUMMYFUNCTION("""COMPUTED_VALUE"""),0.0)</f>
        <v>0</v>
      </c>
      <c r="W267" s="8">
        <f>IFERROR(__xludf.DUMMYFUNCTION("""COMPUTED_VALUE"""),0.0)</f>
        <v>0</v>
      </c>
      <c r="X267" s="8">
        <f>IFERROR(__xludf.DUMMYFUNCTION("""COMPUTED_VALUE"""),0.0)</f>
        <v>0</v>
      </c>
      <c r="Y267" s="8">
        <f>IFERROR(__xludf.DUMMYFUNCTION("""COMPUTED_VALUE"""),0.0)</f>
        <v>0</v>
      </c>
      <c r="Z267" s="8">
        <f>IFERROR(__xludf.DUMMYFUNCTION("""COMPUTED_VALUE"""),0.0)</f>
        <v>0</v>
      </c>
      <c r="AA267" s="8">
        <f>IFERROR(__xludf.DUMMYFUNCTION("""COMPUTED_VALUE"""),0.0)</f>
        <v>0</v>
      </c>
      <c r="AB267" s="8">
        <f>IFERROR(__xludf.DUMMYFUNCTION("""COMPUTED_VALUE"""),0.0)</f>
        <v>0</v>
      </c>
      <c r="AC267" s="8">
        <f>IFERROR(__xludf.DUMMYFUNCTION("""COMPUTED_VALUE"""),0.0)</f>
        <v>0</v>
      </c>
    </row>
    <row r="268" ht="15.75" customHeight="1">
      <c r="A268" s="6" t="str">
        <f>IFERROR(__xludf.DUMMYFUNCTION("""COMPUTED_VALUE"""),"f32ed59a93a11812f5a5a57e2c663028b1c65f89")</f>
        <v>f32ed59a93a11812f5a5a57e2c663028b1c65f89</v>
      </c>
      <c r="B268" s="6" t="str">
        <f>IFERROR(__xludf.DUMMYFUNCTION("""COMPUTED_VALUE"""),"Trillionaire Sterling")</f>
        <v>Trillionaire Sterling</v>
      </c>
      <c r="C268" s="6" t="str">
        <f>IFERROR(__xludf.DUMMYFUNCTION("""COMPUTED_VALUE"""),"Fantasy")</f>
        <v>Fantasy</v>
      </c>
      <c r="D268" s="11">
        <f>IFERROR(__xludf.DUMMYFUNCTION("""COMPUTED_VALUE"""),7189.0)</f>
        <v>7189</v>
      </c>
      <c r="E268" s="8">
        <f>IFERROR(__xludf.DUMMYFUNCTION("""COMPUTED_VALUE"""),0.922734233607127)</f>
        <v>0.9227342336</v>
      </c>
      <c r="F268" s="8">
        <f>IFERROR(__xludf.DUMMYFUNCTION("""COMPUTED_VALUE"""),0.497629670942554)</f>
        <v>0.4976296709</v>
      </c>
      <c r="G268" s="8">
        <f>IFERROR(__xludf.DUMMYFUNCTION("""COMPUTED_VALUE"""),0.445222751471)</f>
        <v>0.4452227515</v>
      </c>
      <c r="H268" s="8">
        <f>IFERROR(__xludf.DUMMYFUNCTION("""COMPUTED_VALUE"""),0.417862165963431)</f>
        <v>0.417862166</v>
      </c>
      <c r="I268" s="8">
        <f>IFERROR(__xludf.DUMMYFUNCTION("""COMPUTED_VALUE"""),0.39379407616361)</f>
        <v>0.3937940762</v>
      </c>
      <c r="J268" s="8">
        <f>IFERROR(__xludf.DUMMYFUNCTION("""COMPUTED_VALUE"""),0.371764040175413)</f>
        <v>0.3717640402</v>
      </c>
      <c r="K268" s="8">
        <f>IFERROR(__xludf.DUMMYFUNCTION("""COMPUTED_VALUE"""),0.361111111111111)</f>
        <v>0.3611111111</v>
      </c>
      <c r="L268" s="8">
        <f>IFERROR(__xludf.DUMMYFUNCTION("""COMPUTED_VALUE"""),0.348976109215017)</f>
        <v>0.3489761092</v>
      </c>
      <c r="M268" s="8">
        <f>IFERROR(__xludf.DUMMYFUNCTION("""COMPUTED_VALUE"""),0.345246604717655)</f>
        <v>0.3452466047</v>
      </c>
      <c r="N268" s="8">
        <f>IFERROR(__xludf.DUMMYFUNCTION("""COMPUTED_VALUE"""),0.338119167264895)</f>
        <v>0.3381191673</v>
      </c>
      <c r="O268" s="8">
        <f>IFERROR(__xludf.DUMMYFUNCTION("""COMPUTED_VALUE"""),0.304360507510573)</f>
        <v>0.3043605075</v>
      </c>
      <c r="P268" s="8">
        <f>IFERROR(__xludf.DUMMYFUNCTION("""COMPUTED_VALUE"""),0.249362723046933)</f>
        <v>0.249362723</v>
      </c>
      <c r="Q268" s="8">
        <f>IFERROR(__xludf.DUMMYFUNCTION("""COMPUTED_VALUE"""),0.20066889632107)</f>
        <v>0.2006688963</v>
      </c>
      <c r="R268" s="8">
        <f>IFERROR(__xludf.DUMMYFUNCTION("""COMPUTED_VALUE"""),0.165796092087444)</f>
        <v>0.1657960921</v>
      </c>
      <c r="S268" s="8">
        <f>IFERROR(__xludf.DUMMYFUNCTION("""COMPUTED_VALUE"""),0.145661811272957)</f>
        <v>0.1456618113</v>
      </c>
      <c r="T268" s="8">
        <f>IFERROR(__xludf.DUMMYFUNCTION("""COMPUTED_VALUE"""),0.115729963418689)</f>
        <v>0.1157299634</v>
      </c>
      <c r="U268" s="8">
        <f>IFERROR(__xludf.DUMMYFUNCTION("""COMPUTED_VALUE"""),0.0603649976602714)</f>
        <v>0.06036499766</v>
      </c>
      <c r="V268" s="8">
        <f>IFERROR(__xludf.DUMMYFUNCTION("""COMPUTED_VALUE"""),0.0712328767123287)</f>
        <v>0.07123287671</v>
      </c>
      <c r="W268" s="8">
        <f>IFERROR(__xludf.DUMMYFUNCTION("""COMPUTED_VALUE"""),0.0432692307692307)</f>
        <v>0.04326923077</v>
      </c>
      <c r="X268" s="8">
        <f>IFERROR(__xludf.DUMMYFUNCTION("""COMPUTED_VALUE"""),0.0)</f>
        <v>0</v>
      </c>
      <c r="Y268" s="8">
        <f>IFERROR(__xludf.DUMMYFUNCTION("""COMPUTED_VALUE"""),0.0)</f>
        <v>0</v>
      </c>
      <c r="Z268" s="8">
        <f>IFERROR(__xludf.DUMMYFUNCTION("""COMPUTED_VALUE"""),0.0)</f>
        <v>0</v>
      </c>
      <c r="AA268" s="8">
        <f>IFERROR(__xludf.DUMMYFUNCTION("""COMPUTED_VALUE"""),0.0)</f>
        <v>0</v>
      </c>
      <c r="AB268" s="8">
        <f>IFERROR(__xludf.DUMMYFUNCTION("""COMPUTED_VALUE"""),0.0)</f>
        <v>0</v>
      </c>
      <c r="AC268" s="8">
        <f>IFERROR(__xludf.DUMMYFUNCTION("""COMPUTED_VALUE"""),0.0)</f>
        <v>0</v>
      </c>
    </row>
    <row r="269" ht="15.75" customHeight="1">
      <c r="A269" s="6" t="str">
        <f>IFERROR(__xludf.DUMMYFUNCTION("""COMPUTED_VALUE"""),"f3b45a9b931b38c0315d82ad645b9e45b513664b")</f>
        <v>f3b45a9b931b38c0315d82ad645b9e45b513664b</v>
      </c>
      <c r="B269" s="6" t="str">
        <f>IFERROR(__xludf.DUMMYFUNCTION("""COMPUTED_VALUE"""),"Reborn as a Golblin?!")</f>
        <v>Reborn as a Golblin?!</v>
      </c>
      <c r="C269" s="6" t="str">
        <f>IFERROR(__xludf.DUMMYFUNCTION("""COMPUTED_VALUE"""),"System and Superpower")</f>
        <v>System and Superpower</v>
      </c>
      <c r="D269" s="11">
        <f>IFERROR(__xludf.DUMMYFUNCTION("""COMPUTED_VALUE"""),42.0)</f>
        <v>42</v>
      </c>
      <c r="E269" s="8">
        <f>IFERROR(__xludf.DUMMYFUNCTION("""COMPUTED_VALUE"""),0.952380952380952)</f>
        <v>0.9523809524</v>
      </c>
      <c r="F269" s="8">
        <f>IFERROR(__xludf.DUMMYFUNCTION("""COMPUTED_VALUE"""),0.365853658536585)</f>
        <v>0.3658536585</v>
      </c>
      <c r="G269" s="8">
        <f>IFERROR(__xludf.DUMMYFUNCTION("""COMPUTED_VALUE"""),0.390243902439024)</f>
        <v>0.3902439024</v>
      </c>
      <c r="H269" s="8">
        <f>IFERROR(__xludf.DUMMYFUNCTION("""COMPUTED_VALUE"""),0.225)</f>
        <v>0.225</v>
      </c>
      <c r="I269" s="8">
        <f>IFERROR(__xludf.DUMMYFUNCTION("""COMPUTED_VALUE"""),0.125)</f>
        <v>0.125</v>
      </c>
      <c r="J269" s="8">
        <f>IFERROR(__xludf.DUMMYFUNCTION("""COMPUTED_VALUE"""),0.0789473684210526)</f>
        <v>0.07894736842</v>
      </c>
      <c r="K269" s="8">
        <f>IFERROR(__xludf.DUMMYFUNCTION("""COMPUTED_VALUE"""),0.0833333333333333)</f>
        <v>0.08333333333</v>
      </c>
      <c r="L269" s="8">
        <f>IFERROR(__xludf.DUMMYFUNCTION("""COMPUTED_VALUE"""),0.0571428571428571)</f>
        <v>0.05714285714</v>
      </c>
      <c r="M269" s="8">
        <f>IFERROR(__xludf.DUMMYFUNCTION("""COMPUTED_VALUE"""),0.0285714285714285)</f>
        <v>0.02857142857</v>
      </c>
      <c r="N269" s="8">
        <f>IFERROR(__xludf.DUMMYFUNCTION("""COMPUTED_VALUE"""),0.032258064516129)</f>
        <v>0.03225806452</v>
      </c>
      <c r="O269" s="8">
        <f>IFERROR(__xludf.DUMMYFUNCTION("""COMPUTED_VALUE"""),0.0434782608695652)</f>
        <v>0.04347826087</v>
      </c>
      <c r="P269" s="8">
        <f>IFERROR(__xludf.DUMMYFUNCTION("""COMPUTED_VALUE"""),0.2)</f>
        <v>0.2</v>
      </c>
      <c r="Q269" s="8">
        <f>IFERROR(__xludf.DUMMYFUNCTION("""COMPUTED_VALUE"""),0.0)</f>
        <v>0</v>
      </c>
      <c r="R269" s="8">
        <f>IFERROR(__xludf.DUMMYFUNCTION("""COMPUTED_VALUE"""),0.0)</f>
        <v>0</v>
      </c>
      <c r="S269" s="8">
        <f>IFERROR(__xludf.DUMMYFUNCTION("""COMPUTED_VALUE"""),0.0)</f>
        <v>0</v>
      </c>
      <c r="T269" s="8">
        <f>IFERROR(__xludf.DUMMYFUNCTION("""COMPUTED_VALUE"""),0.0)</f>
        <v>0</v>
      </c>
      <c r="U269" s="8">
        <f>IFERROR(__xludf.DUMMYFUNCTION("""COMPUTED_VALUE"""),0.0)</f>
        <v>0</v>
      </c>
      <c r="V269" s="8">
        <f>IFERROR(__xludf.DUMMYFUNCTION("""COMPUTED_VALUE"""),0.0)</f>
        <v>0</v>
      </c>
      <c r="W269" s="8">
        <f>IFERROR(__xludf.DUMMYFUNCTION("""COMPUTED_VALUE"""),0.0)</f>
        <v>0</v>
      </c>
      <c r="X269" s="8">
        <f>IFERROR(__xludf.DUMMYFUNCTION("""COMPUTED_VALUE"""),0.0)</f>
        <v>0</v>
      </c>
      <c r="Y269" s="8">
        <f>IFERROR(__xludf.DUMMYFUNCTION("""COMPUTED_VALUE"""),0.0)</f>
        <v>0</v>
      </c>
      <c r="Z269" s="8">
        <f>IFERROR(__xludf.DUMMYFUNCTION("""COMPUTED_VALUE"""),0.0)</f>
        <v>0</v>
      </c>
      <c r="AA269" s="8">
        <f>IFERROR(__xludf.DUMMYFUNCTION("""COMPUTED_VALUE"""),0.0)</f>
        <v>0</v>
      </c>
      <c r="AB269" s="8">
        <f>IFERROR(__xludf.DUMMYFUNCTION("""COMPUTED_VALUE"""),0.0)</f>
        <v>0</v>
      </c>
      <c r="AC269" s="8">
        <f>IFERROR(__xludf.DUMMYFUNCTION("""COMPUTED_VALUE"""),0.0)</f>
        <v>0</v>
      </c>
    </row>
    <row r="270" ht="15.75" customHeight="1">
      <c r="A270" s="6" t="str">
        <f>IFERROR(__xludf.DUMMYFUNCTION("""COMPUTED_VALUE"""),"f47e2c3c03d765bd054b92de405403a6c90b8d7f")</f>
        <v>f47e2c3c03d765bd054b92de405403a6c90b8d7f</v>
      </c>
      <c r="B270" s="6" t="str">
        <f>IFERROR(__xludf.DUMMYFUNCTION("""COMPUTED_VALUE"""),"It Was You Mister Cross")</f>
        <v>It Was You Mister Cross</v>
      </c>
      <c r="C270" s="6" t="str">
        <f>IFERROR(__xludf.DUMMYFUNCTION("""COMPUTED_VALUE"""),"Romance")</f>
        <v>Romance</v>
      </c>
      <c r="D270" s="11">
        <f>IFERROR(__xludf.DUMMYFUNCTION("""COMPUTED_VALUE"""),732.0)</f>
        <v>732</v>
      </c>
      <c r="E270" s="8">
        <f>IFERROR(__xludf.DUMMYFUNCTION("""COMPUTED_VALUE"""),0.964432284541723)</f>
        <v>0.9644322845</v>
      </c>
      <c r="F270" s="8">
        <f>IFERROR(__xludf.DUMMYFUNCTION("""COMPUTED_VALUE"""),0.569272976680384)</f>
        <v>0.5692729767</v>
      </c>
      <c r="G270" s="8">
        <f>IFERROR(__xludf.DUMMYFUNCTION("""COMPUTED_VALUE"""),0.511659807956104)</f>
        <v>0.511659808</v>
      </c>
      <c r="H270" s="8">
        <f>IFERROR(__xludf.DUMMYFUNCTION("""COMPUTED_VALUE"""),0.444444444444444)</f>
        <v>0.4444444444</v>
      </c>
      <c r="I270" s="8">
        <f>IFERROR(__xludf.DUMMYFUNCTION("""COMPUTED_VALUE"""),0.423868312757201)</f>
        <v>0.4238683128</v>
      </c>
      <c r="J270" s="8">
        <f>IFERROR(__xludf.DUMMYFUNCTION("""COMPUTED_VALUE"""),0.412894375857338)</f>
        <v>0.4128943759</v>
      </c>
      <c r="K270" s="8">
        <f>IFERROR(__xludf.DUMMYFUNCTION("""COMPUTED_VALUE"""),0.384615384615384)</f>
        <v>0.3846153846</v>
      </c>
      <c r="L270" s="8">
        <f>IFERROR(__xludf.DUMMYFUNCTION("""COMPUTED_VALUE"""),0.365887207702888)</f>
        <v>0.3658872077</v>
      </c>
      <c r="M270" s="8">
        <f>IFERROR(__xludf.DUMMYFUNCTION("""COMPUTED_VALUE"""),0.334285714285714)</f>
        <v>0.3342857143</v>
      </c>
      <c r="N270" s="8">
        <f>IFERROR(__xludf.DUMMYFUNCTION("""COMPUTED_VALUE"""),0.329512893982808)</f>
        <v>0.329512894</v>
      </c>
      <c r="O270" s="8">
        <f>IFERROR(__xludf.DUMMYFUNCTION("""COMPUTED_VALUE"""),0.267062314540059)</f>
        <v>0.2670623145</v>
      </c>
      <c r="P270" s="8">
        <f>IFERROR(__xludf.DUMMYFUNCTION("""COMPUTED_VALUE"""),0.224060150375939)</f>
        <v>0.2240601504</v>
      </c>
      <c r="Q270" s="8">
        <f>IFERROR(__xludf.DUMMYFUNCTION("""COMPUTED_VALUE"""),0.1140625)</f>
        <v>0.1140625</v>
      </c>
      <c r="R270" s="8">
        <f>IFERROR(__xludf.DUMMYFUNCTION("""COMPUTED_VALUE"""),0.0607476635514018)</f>
        <v>0.06074766355</v>
      </c>
      <c r="S270" s="8">
        <f>IFERROR(__xludf.DUMMYFUNCTION("""COMPUTED_VALUE"""),0.0217391304347826)</f>
        <v>0.02173913043</v>
      </c>
      <c r="T270" s="8">
        <f>IFERROR(__xludf.DUMMYFUNCTION("""COMPUTED_VALUE"""),0.0)</f>
        <v>0</v>
      </c>
      <c r="U270" s="8">
        <f>IFERROR(__xludf.DUMMYFUNCTION("""COMPUTED_VALUE"""),0.0)</f>
        <v>0</v>
      </c>
      <c r="V270" s="8">
        <f>IFERROR(__xludf.DUMMYFUNCTION("""COMPUTED_VALUE"""),0.0)</f>
        <v>0</v>
      </c>
      <c r="W270" s="8">
        <f>IFERROR(__xludf.DUMMYFUNCTION("""COMPUTED_VALUE"""),0.0)</f>
        <v>0</v>
      </c>
      <c r="X270" s="8">
        <f>IFERROR(__xludf.DUMMYFUNCTION("""COMPUTED_VALUE"""),0.0)</f>
        <v>0</v>
      </c>
      <c r="Y270" s="8">
        <f>IFERROR(__xludf.DUMMYFUNCTION("""COMPUTED_VALUE"""),0.0)</f>
        <v>0</v>
      </c>
      <c r="Z270" s="8">
        <f>IFERROR(__xludf.DUMMYFUNCTION("""COMPUTED_VALUE"""),0.0)</f>
        <v>0</v>
      </c>
      <c r="AA270" s="8">
        <f>IFERROR(__xludf.DUMMYFUNCTION("""COMPUTED_VALUE"""),0.0)</f>
        <v>0</v>
      </c>
      <c r="AB270" s="8">
        <f>IFERROR(__xludf.DUMMYFUNCTION("""COMPUTED_VALUE"""),0.0)</f>
        <v>0</v>
      </c>
      <c r="AC270" s="8">
        <f>IFERROR(__xludf.DUMMYFUNCTION("""COMPUTED_VALUE"""),0.0)</f>
        <v>0</v>
      </c>
    </row>
    <row r="271" ht="15.75" customHeight="1">
      <c r="A271" s="6" t="str">
        <f>IFERROR(__xludf.DUMMYFUNCTION("""COMPUTED_VALUE"""),"f55e0806430f9f979b0bfc889bab608a05d8bb5b")</f>
        <v>f55e0806430f9f979b0bfc889bab608a05d8bb5b</v>
      </c>
      <c r="B271" s="6" t="str">
        <f>IFERROR(__xludf.DUMMYFUNCTION("""COMPUTED_VALUE"""),"Light of a New World")</f>
        <v>Light of a New World</v>
      </c>
      <c r="C271" s="6" t="str">
        <f>IFERROR(__xludf.DUMMYFUNCTION("""COMPUTED_VALUE"""),"Sci-Fi")</f>
        <v>Sci-Fi</v>
      </c>
      <c r="D271" s="11">
        <f>IFERROR(__xludf.DUMMYFUNCTION("""COMPUTED_VALUE"""),233.0)</f>
        <v>233</v>
      </c>
      <c r="E271" s="8">
        <f>IFERROR(__xludf.DUMMYFUNCTION("""COMPUTED_VALUE"""),0.991341991341991)</f>
        <v>0.9913419913</v>
      </c>
      <c r="F271" s="8">
        <f>IFERROR(__xludf.DUMMYFUNCTION("""COMPUTED_VALUE"""),0.275109170305676)</f>
        <v>0.2751091703</v>
      </c>
      <c r="G271" s="8">
        <f>IFERROR(__xludf.DUMMYFUNCTION("""COMPUTED_VALUE"""),0.210526315789473)</f>
        <v>0.2105263158</v>
      </c>
      <c r="H271" s="8">
        <f>IFERROR(__xludf.DUMMYFUNCTION("""COMPUTED_VALUE"""),0.166666666666666)</f>
        <v>0.1666666667</v>
      </c>
      <c r="I271" s="8">
        <f>IFERROR(__xludf.DUMMYFUNCTION("""COMPUTED_VALUE"""),0.135964912280701)</f>
        <v>0.1359649123</v>
      </c>
      <c r="J271" s="8">
        <f>IFERROR(__xludf.DUMMYFUNCTION("""COMPUTED_VALUE"""),0.118421052631578)</f>
        <v>0.1184210526</v>
      </c>
      <c r="K271" s="8">
        <f>IFERROR(__xludf.DUMMYFUNCTION("""COMPUTED_VALUE"""),0.105263157894736)</f>
        <v>0.1052631579</v>
      </c>
      <c r="L271" s="8">
        <f>IFERROR(__xludf.DUMMYFUNCTION("""COMPUTED_VALUE"""),0.100877192982456)</f>
        <v>0.100877193</v>
      </c>
      <c r="M271" s="8">
        <f>IFERROR(__xludf.DUMMYFUNCTION("""COMPUTED_VALUE"""),0.087719298245614)</f>
        <v>0.08771929825</v>
      </c>
      <c r="N271" s="8">
        <f>IFERROR(__xludf.DUMMYFUNCTION("""COMPUTED_VALUE"""),0.0833333333333333)</f>
        <v>0.08333333333</v>
      </c>
      <c r="O271" s="8">
        <f>IFERROR(__xludf.DUMMYFUNCTION("""COMPUTED_VALUE"""),0.0657894736842105)</f>
        <v>0.06578947368</v>
      </c>
      <c r="P271" s="8">
        <f>IFERROR(__xludf.DUMMYFUNCTION("""COMPUTED_VALUE"""),0.0580357142857142)</f>
        <v>0.05803571429</v>
      </c>
      <c r="Q271" s="8">
        <f>IFERROR(__xludf.DUMMYFUNCTION("""COMPUTED_VALUE"""),0.0319634703196347)</f>
        <v>0.03196347032</v>
      </c>
      <c r="R271" s="8">
        <f>IFERROR(__xludf.DUMMYFUNCTION("""COMPUTED_VALUE"""),0.0252525252525252)</f>
        <v>0.02525252525</v>
      </c>
      <c r="S271" s="8">
        <f>IFERROR(__xludf.DUMMYFUNCTION("""COMPUTED_VALUE"""),0.0186335403726708)</f>
        <v>0.01863354037</v>
      </c>
      <c r="T271" s="8">
        <f>IFERROR(__xludf.DUMMYFUNCTION("""COMPUTED_VALUE"""),0.00793650793650793)</f>
        <v>0.007936507937</v>
      </c>
      <c r="U271" s="8">
        <f>IFERROR(__xludf.DUMMYFUNCTION("""COMPUTED_VALUE"""),0.0)</f>
        <v>0</v>
      </c>
      <c r="V271" s="8">
        <f>IFERROR(__xludf.DUMMYFUNCTION("""COMPUTED_VALUE"""),0.0)</f>
        <v>0</v>
      </c>
      <c r="W271" s="8">
        <f>IFERROR(__xludf.DUMMYFUNCTION("""COMPUTED_VALUE"""),0.0)</f>
        <v>0</v>
      </c>
      <c r="X271" s="8">
        <f>IFERROR(__xludf.DUMMYFUNCTION("""COMPUTED_VALUE"""),0.0)</f>
        <v>0</v>
      </c>
      <c r="Y271" s="8">
        <f>IFERROR(__xludf.DUMMYFUNCTION("""COMPUTED_VALUE"""),0.0)</f>
        <v>0</v>
      </c>
      <c r="Z271" s="8">
        <f>IFERROR(__xludf.DUMMYFUNCTION("""COMPUTED_VALUE"""),0.0)</f>
        <v>0</v>
      </c>
      <c r="AA271" s="8">
        <f>IFERROR(__xludf.DUMMYFUNCTION("""COMPUTED_VALUE"""),0.0)</f>
        <v>0</v>
      </c>
      <c r="AB271" s="8">
        <f>IFERROR(__xludf.DUMMYFUNCTION("""COMPUTED_VALUE"""),0.0)</f>
        <v>0</v>
      </c>
      <c r="AC271" s="8">
        <f>IFERROR(__xludf.DUMMYFUNCTION("""COMPUTED_VALUE"""),0.0)</f>
        <v>0</v>
      </c>
    </row>
    <row r="272" ht="15.75" customHeight="1">
      <c r="A272" s="6" t="str">
        <f>IFERROR(__xludf.DUMMYFUNCTION("""COMPUTED_VALUE"""),"f692474d2ac3ef329a93f72cfedf44bceaced5f1")</f>
        <v>f692474d2ac3ef329a93f72cfedf44bceaced5f1</v>
      </c>
      <c r="B272" s="6" t="str">
        <f>IFERROR(__xludf.DUMMYFUNCTION("""COMPUTED_VALUE"""),"Kingsley Reigns")</f>
        <v>Kingsley Reigns</v>
      </c>
      <c r="C272" s="6" t="str">
        <f>IFERROR(__xludf.DUMMYFUNCTION("""COMPUTED_VALUE"""),"Drama")</f>
        <v>Drama</v>
      </c>
      <c r="D272" s="11">
        <f>IFERROR(__xludf.DUMMYFUNCTION("""COMPUTED_VALUE"""),4723.0)</f>
        <v>4723</v>
      </c>
      <c r="E272" s="8">
        <f>IFERROR(__xludf.DUMMYFUNCTION("""COMPUTED_VALUE"""),0.911671256089811)</f>
        <v>0.9116712561</v>
      </c>
      <c r="F272" s="8">
        <f>IFERROR(__xludf.DUMMYFUNCTION("""COMPUTED_VALUE"""),0.432357930449533)</f>
        <v>0.4323579304</v>
      </c>
      <c r="G272" s="8">
        <f>IFERROR(__xludf.DUMMYFUNCTION("""COMPUTED_VALUE"""),0.388205345778532)</f>
        <v>0.3882053458</v>
      </c>
      <c r="H272" s="8">
        <f>IFERROR(__xludf.DUMMYFUNCTION("""COMPUTED_VALUE"""),0.353852685204839)</f>
        <v>0.3538526852</v>
      </c>
      <c r="I272" s="8">
        <f>IFERROR(__xludf.DUMMYFUNCTION("""COMPUTED_VALUE"""),0.335315353578254)</f>
        <v>0.3353153536</v>
      </c>
      <c r="J272" s="8">
        <f>IFERROR(__xludf.DUMMYFUNCTION("""COMPUTED_VALUE"""),0.316907391673746)</f>
        <v>0.3169073917</v>
      </c>
      <c r="K272" s="8">
        <f>IFERROR(__xludf.DUMMYFUNCTION("""COMPUTED_VALUE"""),0.297216910983641)</f>
        <v>0.297216911</v>
      </c>
      <c r="L272" s="8">
        <f>IFERROR(__xludf.DUMMYFUNCTION("""COMPUTED_VALUE"""),0.282040382571732)</f>
        <v>0.2820403826</v>
      </c>
      <c r="M272" s="8">
        <f>IFERROR(__xludf.DUMMYFUNCTION("""COMPUTED_VALUE"""),0.273538788522848)</f>
        <v>0.2735387885</v>
      </c>
      <c r="N272" s="8">
        <f>IFERROR(__xludf.DUMMYFUNCTION("""COMPUTED_VALUE"""),0.268895039386842)</f>
        <v>0.2688950394</v>
      </c>
      <c r="O272" s="8">
        <f>IFERROR(__xludf.DUMMYFUNCTION("""COMPUTED_VALUE"""),0.242320819112627)</f>
        <v>0.2423208191</v>
      </c>
      <c r="P272" s="8">
        <f>IFERROR(__xludf.DUMMYFUNCTION("""COMPUTED_VALUE"""),0.186484174508126)</f>
        <v>0.1864841745</v>
      </c>
      <c r="Q272" s="8">
        <f>IFERROR(__xludf.DUMMYFUNCTION("""COMPUTED_VALUE"""),0.134735035400128)</f>
        <v>0.1347350354</v>
      </c>
      <c r="R272" s="8">
        <f>IFERROR(__xludf.DUMMYFUNCTION("""COMPUTED_VALUE"""),0.115938911593891)</f>
        <v>0.1159389116</v>
      </c>
      <c r="S272" s="8">
        <f>IFERROR(__xludf.DUMMYFUNCTION("""COMPUTED_VALUE"""),0.106281292671825)</f>
        <v>0.1062812927</v>
      </c>
      <c r="T272" s="8">
        <f>IFERROR(__xludf.DUMMYFUNCTION("""COMPUTED_VALUE"""),0.0939271255060728)</f>
        <v>0.09392712551</v>
      </c>
      <c r="U272" s="8">
        <f>IFERROR(__xludf.DUMMYFUNCTION("""COMPUTED_VALUE"""),0.0814439140811455)</f>
        <v>0.08144391408</v>
      </c>
      <c r="V272" s="8">
        <f>IFERROR(__xludf.DUMMYFUNCTION("""COMPUTED_VALUE"""),0.0766949152542372)</f>
        <v>0.07669491525</v>
      </c>
      <c r="W272" s="8">
        <f>IFERROR(__xludf.DUMMYFUNCTION("""COMPUTED_VALUE"""),0.0745871070857751)</f>
        <v>0.07458710709</v>
      </c>
      <c r="X272" s="8">
        <f>IFERROR(__xludf.DUMMYFUNCTION("""COMPUTED_VALUE"""),0.0758150113722517)</f>
        <v>0.07581501137</v>
      </c>
      <c r="Y272" s="8">
        <f>IFERROR(__xludf.DUMMYFUNCTION("""COMPUTED_VALUE"""),0.0560165975103734)</f>
        <v>0.05601659751</v>
      </c>
      <c r="Z272" s="8">
        <f>IFERROR(__xludf.DUMMYFUNCTION("""COMPUTED_VALUE"""),0.0380622837370242)</f>
        <v>0.03806228374</v>
      </c>
      <c r="AA272" s="8">
        <f>IFERROR(__xludf.DUMMYFUNCTION("""COMPUTED_VALUE"""),0.0145985401459854)</f>
        <v>0.01459854015</v>
      </c>
      <c r="AB272" s="8">
        <f>IFERROR(__xludf.DUMMYFUNCTION("""COMPUTED_VALUE"""),0.0140845070422535)</f>
        <v>0.01408450704</v>
      </c>
      <c r="AC272" s="8">
        <f>IFERROR(__xludf.DUMMYFUNCTION("""COMPUTED_VALUE"""),0.0454545454545454)</f>
        <v>0.04545454545</v>
      </c>
    </row>
    <row r="273" ht="15.75" customHeight="1">
      <c r="A273" s="6" t="str">
        <f>IFERROR(__xludf.DUMMYFUNCTION("""COMPUTED_VALUE"""),"f6ea1ee253b53b8124a4f7f92ae0a9ef960a044a")</f>
        <v>f6ea1ee253b53b8124a4f7f92ae0a9ef960a044a</v>
      </c>
      <c r="B273" s="6" t="str">
        <f>IFERROR(__xludf.DUMMYFUNCTION("""COMPUTED_VALUE"""),"Regret of the Ceo")</f>
        <v>Regret of the Ceo</v>
      </c>
      <c r="C273" s="6" t="str">
        <f>IFERROR(__xludf.DUMMYFUNCTION("""COMPUTED_VALUE"""),"Romance")</f>
        <v>Romance</v>
      </c>
      <c r="D273" s="11">
        <f>IFERROR(__xludf.DUMMYFUNCTION("""COMPUTED_VALUE"""),2739.0)</f>
        <v>2739</v>
      </c>
      <c r="E273" s="8">
        <f>IFERROR(__xludf.DUMMYFUNCTION("""COMPUTED_VALUE"""),0.959539717891611)</f>
        <v>0.9595397179</v>
      </c>
      <c r="F273" s="8">
        <f>IFERROR(__xludf.DUMMYFUNCTION("""COMPUTED_VALUE"""),0.656451002648505)</f>
        <v>0.6564510026</v>
      </c>
      <c r="G273" s="8">
        <f>IFERROR(__xludf.DUMMYFUNCTION("""COMPUTED_VALUE"""),0.605452480121166)</f>
        <v>0.6054524801</v>
      </c>
      <c r="H273" s="8">
        <f>IFERROR(__xludf.DUMMYFUNCTION("""COMPUTED_VALUE"""),0.552261497529456)</f>
        <v>0.5522614975</v>
      </c>
      <c r="I273" s="8">
        <f>IFERROR(__xludf.DUMMYFUNCTION("""COMPUTED_VALUE"""),0.483797178802897)</f>
        <v>0.4837971788</v>
      </c>
      <c r="J273" s="8">
        <f>IFERROR(__xludf.DUMMYFUNCTION("""COMPUTED_VALUE"""),0.431914077483697)</f>
        <v>0.4319140775</v>
      </c>
      <c r="K273" s="8">
        <f>IFERROR(__xludf.DUMMYFUNCTION("""COMPUTED_VALUE"""),0.372646945831732)</f>
        <v>0.3726469458</v>
      </c>
      <c r="L273" s="8">
        <f>IFERROR(__xludf.DUMMYFUNCTION("""COMPUTED_VALUE"""),0.33693972179289)</f>
        <v>0.3369397218</v>
      </c>
      <c r="M273" s="8">
        <f>IFERROR(__xludf.DUMMYFUNCTION("""COMPUTED_VALUE"""),0.301704105344694)</f>
        <v>0.3017041053</v>
      </c>
      <c r="N273" s="8">
        <f>IFERROR(__xludf.DUMMYFUNCTION("""COMPUTED_VALUE"""),0.278554778554778)</f>
        <v>0.2785547786</v>
      </c>
      <c r="O273" s="8">
        <f>IFERROR(__xludf.DUMMYFUNCTION("""COMPUTED_VALUE"""),0.20502592740327)</f>
        <v>0.2050259274</v>
      </c>
      <c r="P273" s="8">
        <f>IFERROR(__xludf.DUMMYFUNCTION("""COMPUTED_VALUE"""),0.162372386971317)</f>
        <v>0.162372387</v>
      </c>
      <c r="Q273" s="8">
        <f>IFERROR(__xludf.DUMMYFUNCTION("""COMPUTED_VALUE"""),0.0935929648241206)</f>
        <v>0.09359296482</v>
      </c>
      <c r="R273" s="8">
        <f>IFERROR(__xludf.DUMMYFUNCTION("""COMPUTED_VALUE"""),0.0524137931034482)</f>
        <v>0.0524137931</v>
      </c>
      <c r="S273" s="8">
        <f>IFERROR(__xludf.DUMMYFUNCTION("""COMPUTED_VALUE"""),0.0244755244755244)</f>
        <v>0.02447552448</v>
      </c>
      <c r="T273" s="8">
        <f>IFERROR(__xludf.DUMMYFUNCTION("""COMPUTED_VALUE"""),0.0104166666666666)</f>
        <v>0.01041666667</v>
      </c>
      <c r="U273" s="8">
        <f>IFERROR(__xludf.DUMMYFUNCTION("""COMPUTED_VALUE"""),0.0)</f>
        <v>0</v>
      </c>
      <c r="V273" s="8">
        <f>IFERROR(__xludf.DUMMYFUNCTION("""COMPUTED_VALUE"""),0.0)</f>
        <v>0</v>
      </c>
      <c r="W273" s="8">
        <f>IFERROR(__xludf.DUMMYFUNCTION("""COMPUTED_VALUE"""),0.0)</f>
        <v>0</v>
      </c>
      <c r="X273" s="8">
        <f>IFERROR(__xludf.DUMMYFUNCTION("""COMPUTED_VALUE"""),0.0)</f>
        <v>0</v>
      </c>
      <c r="Y273" s="8">
        <f>IFERROR(__xludf.DUMMYFUNCTION("""COMPUTED_VALUE"""),0.0)</f>
        <v>0</v>
      </c>
      <c r="Z273" s="8">
        <f>IFERROR(__xludf.DUMMYFUNCTION("""COMPUTED_VALUE"""),0.0)</f>
        <v>0</v>
      </c>
      <c r="AA273" s="8">
        <f>IFERROR(__xludf.DUMMYFUNCTION("""COMPUTED_VALUE"""),0.0)</f>
        <v>0</v>
      </c>
      <c r="AB273" s="8">
        <f>IFERROR(__xludf.DUMMYFUNCTION("""COMPUTED_VALUE"""),0.0)</f>
        <v>0</v>
      </c>
      <c r="AC273" s="8">
        <f>IFERROR(__xludf.DUMMYFUNCTION("""COMPUTED_VALUE"""),0.0)</f>
        <v>0</v>
      </c>
    </row>
    <row r="274" ht="15.75" customHeight="1">
      <c r="A274" s="6" t="str">
        <f>IFERROR(__xludf.DUMMYFUNCTION("""COMPUTED_VALUE"""),"fb311a6dd8cd59a51bf680323116bcc5d2798a8e")</f>
        <v>fb311a6dd8cd59a51bf680323116bcc5d2798a8e</v>
      </c>
      <c r="B274" s="6" t="str">
        <f>IFERROR(__xludf.DUMMYFUNCTION("""COMPUTED_VALUE"""),"The Beast Tamer's Legacy")</f>
        <v>The Beast Tamer's Legacy</v>
      </c>
      <c r="C274" s="6" t="str">
        <f>IFERROR(__xludf.DUMMYFUNCTION("""COMPUTED_VALUE"""),"System and Superpower")</f>
        <v>System and Superpower</v>
      </c>
      <c r="D274" s="11">
        <f>IFERROR(__xludf.DUMMYFUNCTION("""COMPUTED_VALUE"""),689.0)</f>
        <v>689</v>
      </c>
      <c r="E274" s="8">
        <f>IFERROR(__xludf.DUMMYFUNCTION("""COMPUTED_VALUE"""),0.981132075471698)</f>
        <v>0.9811320755</v>
      </c>
      <c r="F274" s="8">
        <f>IFERROR(__xludf.DUMMYFUNCTION("""COMPUTED_VALUE"""),0.307580174927113)</f>
        <v>0.3075801749</v>
      </c>
      <c r="G274" s="8">
        <f>IFERROR(__xludf.DUMMYFUNCTION("""COMPUTED_VALUE"""),0.238304093567251)</f>
        <v>0.2383040936</v>
      </c>
      <c r="H274" s="8">
        <f>IFERROR(__xludf.DUMMYFUNCTION("""COMPUTED_VALUE"""),0.178623718887262)</f>
        <v>0.1786237189</v>
      </c>
      <c r="I274" s="8">
        <f>IFERROR(__xludf.DUMMYFUNCTION("""COMPUTED_VALUE"""),0.134897360703812)</f>
        <v>0.1348973607</v>
      </c>
      <c r="J274" s="8">
        <f>IFERROR(__xludf.DUMMYFUNCTION("""COMPUTED_VALUE"""),0.120411160058737)</f>
        <v>0.1204111601</v>
      </c>
      <c r="K274" s="8">
        <f>IFERROR(__xludf.DUMMYFUNCTION("""COMPUTED_VALUE"""),0.10735294117647)</f>
        <v>0.1073529412</v>
      </c>
      <c r="L274" s="8">
        <f>IFERROR(__xludf.DUMMYFUNCTION("""COMPUTED_VALUE"""),0.0955882352941176)</f>
        <v>0.09558823529</v>
      </c>
      <c r="M274" s="8">
        <f>IFERROR(__xludf.DUMMYFUNCTION("""COMPUTED_VALUE"""),0.0890207715133531)</f>
        <v>0.08902077151</v>
      </c>
      <c r="N274" s="8">
        <f>IFERROR(__xludf.DUMMYFUNCTION("""COMPUTED_VALUE"""),0.0787518573551263)</f>
        <v>0.07875185736</v>
      </c>
      <c r="O274" s="8">
        <f>IFERROR(__xludf.DUMMYFUNCTION("""COMPUTED_VALUE"""),0.0604229607250755)</f>
        <v>0.06042296073</v>
      </c>
      <c r="P274" s="8">
        <f>IFERROR(__xludf.DUMMYFUNCTION("""COMPUTED_VALUE"""),0.0370967741935483)</f>
        <v>0.03709677419</v>
      </c>
      <c r="Q274" s="8">
        <f>IFERROR(__xludf.DUMMYFUNCTION("""COMPUTED_VALUE"""),0.0320754716981132)</f>
        <v>0.0320754717</v>
      </c>
      <c r="R274" s="8">
        <f>IFERROR(__xludf.DUMMYFUNCTION("""COMPUTED_VALUE"""),0.0)</f>
        <v>0</v>
      </c>
      <c r="S274" s="8">
        <f>IFERROR(__xludf.DUMMYFUNCTION("""COMPUTED_VALUE"""),0.0)</f>
        <v>0</v>
      </c>
      <c r="T274" s="8">
        <f>IFERROR(__xludf.DUMMYFUNCTION("""COMPUTED_VALUE"""),0.0)</f>
        <v>0</v>
      </c>
      <c r="U274" s="8">
        <f>IFERROR(__xludf.DUMMYFUNCTION("""COMPUTED_VALUE"""),0.0)</f>
        <v>0</v>
      </c>
      <c r="V274" s="8">
        <f>IFERROR(__xludf.DUMMYFUNCTION("""COMPUTED_VALUE"""),0.0)</f>
        <v>0</v>
      </c>
      <c r="W274" s="8">
        <f>IFERROR(__xludf.DUMMYFUNCTION("""COMPUTED_VALUE"""),0.0)</f>
        <v>0</v>
      </c>
      <c r="X274" s="8">
        <f>IFERROR(__xludf.DUMMYFUNCTION("""COMPUTED_VALUE"""),0.0)</f>
        <v>0</v>
      </c>
      <c r="Y274" s="8">
        <f>IFERROR(__xludf.DUMMYFUNCTION("""COMPUTED_VALUE"""),0.0)</f>
        <v>0</v>
      </c>
      <c r="Z274" s="8">
        <f>IFERROR(__xludf.DUMMYFUNCTION("""COMPUTED_VALUE"""),0.0)</f>
        <v>0</v>
      </c>
      <c r="AA274" s="8">
        <f>IFERROR(__xludf.DUMMYFUNCTION("""COMPUTED_VALUE"""),0.0)</f>
        <v>0</v>
      </c>
      <c r="AB274" s="8">
        <f>IFERROR(__xludf.DUMMYFUNCTION("""COMPUTED_VALUE"""),0.0)</f>
        <v>0</v>
      </c>
      <c r="AC274" s="8">
        <f>IFERROR(__xludf.DUMMYFUNCTION("""COMPUTED_VALUE"""),0.0)</f>
        <v>0</v>
      </c>
    </row>
    <row r="275" ht="15.75" customHeight="1">
      <c r="A275" s="6" t="str">
        <f>IFERROR(__xludf.DUMMYFUNCTION("""COMPUTED_VALUE"""),"fc599fbc708fd150dfe8d867a18a17fa8b439c84")</f>
        <v>fc599fbc708fd150dfe8d867a18a17fa8b439c84</v>
      </c>
      <c r="B275" s="6" t="str">
        <f>IFERROR(__xludf.DUMMYFUNCTION("""COMPUTED_VALUE"""),"Anything for Sunny")</f>
        <v>Anything for Sunny</v>
      </c>
      <c r="C275" s="6" t="str">
        <f>IFERROR(__xludf.DUMMYFUNCTION("""COMPUTED_VALUE"""),"Drama")</f>
        <v>Drama</v>
      </c>
      <c r="D275" s="11">
        <f>IFERROR(__xludf.DUMMYFUNCTION("""COMPUTED_VALUE"""),669.0)</f>
        <v>669</v>
      </c>
      <c r="E275" s="8">
        <f>IFERROR(__xludf.DUMMYFUNCTION("""COMPUTED_VALUE"""),0.974512743628186)</f>
        <v>0.9745127436</v>
      </c>
      <c r="F275" s="8">
        <f>IFERROR(__xludf.DUMMYFUNCTION("""COMPUTED_VALUE"""),0.505279034690799)</f>
        <v>0.5052790347</v>
      </c>
      <c r="G275" s="8">
        <f>IFERROR(__xludf.DUMMYFUNCTION("""COMPUTED_VALUE"""),0.418429003021148)</f>
        <v>0.418429003</v>
      </c>
      <c r="H275" s="8">
        <f>IFERROR(__xludf.DUMMYFUNCTION("""COMPUTED_VALUE"""),0.324242424242424)</f>
        <v>0.3242424242</v>
      </c>
      <c r="I275" s="8">
        <f>IFERROR(__xludf.DUMMYFUNCTION("""COMPUTED_VALUE"""),0.265243902439024)</f>
        <v>0.2652439024</v>
      </c>
      <c r="J275" s="8">
        <f>IFERROR(__xludf.DUMMYFUNCTION("""COMPUTED_VALUE"""),0.244615384615384)</f>
        <v>0.2446153846</v>
      </c>
      <c r="K275" s="8">
        <f>IFERROR(__xludf.DUMMYFUNCTION("""COMPUTED_VALUE"""),0.200927357032457)</f>
        <v>0.200927357</v>
      </c>
      <c r="L275" s="8">
        <f>IFERROR(__xludf.DUMMYFUNCTION("""COMPUTED_VALUE"""),0.1828125)</f>
        <v>0.1828125</v>
      </c>
      <c r="M275" s="8">
        <f>IFERROR(__xludf.DUMMYFUNCTION("""COMPUTED_VALUE"""),0.174528301886792)</f>
        <v>0.1745283019</v>
      </c>
      <c r="N275" s="8">
        <f>IFERROR(__xludf.DUMMYFUNCTION("""COMPUTED_VALUE"""),0.162379421221864)</f>
        <v>0.1623794212</v>
      </c>
      <c r="O275" s="8">
        <f>IFERROR(__xludf.DUMMYFUNCTION("""COMPUTED_VALUE"""),0.142581888246628)</f>
        <v>0.1425818882</v>
      </c>
      <c r="P275" s="8">
        <f>IFERROR(__xludf.DUMMYFUNCTION("""COMPUTED_VALUE"""),0.126470588235294)</f>
        <v>0.1264705882</v>
      </c>
      <c r="Q275" s="8">
        <f>IFERROR(__xludf.DUMMYFUNCTION("""COMPUTED_VALUE"""),0.105095541401273)</f>
        <v>0.1050955414</v>
      </c>
      <c r="R275" s="8">
        <f>IFERROR(__xludf.DUMMYFUNCTION("""COMPUTED_VALUE"""),0.0977443609022556)</f>
        <v>0.0977443609</v>
      </c>
      <c r="S275" s="8">
        <f>IFERROR(__xludf.DUMMYFUNCTION("""COMPUTED_VALUE"""),0.0)</f>
        <v>0</v>
      </c>
      <c r="T275" s="8">
        <f>IFERROR(__xludf.DUMMYFUNCTION("""COMPUTED_VALUE"""),0.0)</f>
        <v>0</v>
      </c>
      <c r="U275" s="8">
        <f>IFERROR(__xludf.DUMMYFUNCTION("""COMPUTED_VALUE"""),0.0)</f>
        <v>0</v>
      </c>
      <c r="V275" s="8">
        <f>IFERROR(__xludf.DUMMYFUNCTION("""COMPUTED_VALUE"""),0.0)</f>
        <v>0</v>
      </c>
      <c r="W275" s="8">
        <f>IFERROR(__xludf.DUMMYFUNCTION("""COMPUTED_VALUE"""),0.0)</f>
        <v>0</v>
      </c>
      <c r="X275" s="8">
        <f>IFERROR(__xludf.DUMMYFUNCTION("""COMPUTED_VALUE"""),0.0)</f>
        <v>0</v>
      </c>
      <c r="Y275" s="8">
        <f>IFERROR(__xludf.DUMMYFUNCTION("""COMPUTED_VALUE"""),0.0)</f>
        <v>0</v>
      </c>
      <c r="Z275" s="8">
        <f>IFERROR(__xludf.DUMMYFUNCTION("""COMPUTED_VALUE"""),0.0)</f>
        <v>0</v>
      </c>
      <c r="AA275" s="8">
        <f>IFERROR(__xludf.DUMMYFUNCTION("""COMPUTED_VALUE"""),0.0)</f>
        <v>0</v>
      </c>
      <c r="AB275" s="8">
        <f>IFERROR(__xludf.DUMMYFUNCTION("""COMPUTED_VALUE"""),0.0)</f>
        <v>0</v>
      </c>
      <c r="AC275" s="8">
        <f>IFERROR(__xludf.DUMMYFUNCTION("""COMPUTED_VALUE"""),0.0)</f>
        <v>0</v>
      </c>
    </row>
    <row r="276" ht="15.75" customHeight="1">
      <c r="A276" s="6" t="str">
        <f>IFERROR(__xludf.DUMMYFUNCTION("""COMPUTED_VALUE"""),"fcddd3d14a0e1b1dab1bcb5c11d4aec683fdb598")</f>
        <v>fcddd3d14a0e1b1dab1bcb5c11d4aec683fdb598</v>
      </c>
      <c r="B276" s="6" t="str">
        <f>IFERROR(__xludf.DUMMYFUNCTION("""COMPUTED_VALUE"""),"Rise of Drake Callahan")</f>
        <v>Rise of Drake Callahan</v>
      </c>
      <c r="C276" s="6" t="str">
        <f>IFERROR(__xludf.DUMMYFUNCTION("""COMPUTED_VALUE"""),"Drama")</f>
        <v>Drama</v>
      </c>
      <c r="D276" s="11">
        <f>IFERROR(__xludf.DUMMYFUNCTION("""COMPUTED_VALUE"""),200.0)</f>
        <v>200</v>
      </c>
      <c r="E276" s="8">
        <f>IFERROR(__xludf.DUMMYFUNCTION("""COMPUTED_VALUE"""),0.97)</f>
        <v>0.97</v>
      </c>
      <c r="F276" s="8">
        <f>IFERROR(__xludf.DUMMYFUNCTION("""COMPUTED_VALUE"""),0.49)</f>
        <v>0.49</v>
      </c>
      <c r="G276" s="8">
        <f>IFERROR(__xludf.DUMMYFUNCTION("""COMPUTED_VALUE"""),0.451282051282051)</f>
        <v>0.4512820513</v>
      </c>
      <c r="H276" s="8">
        <f>IFERROR(__xludf.DUMMYFUNCTION("""COMPUTED_VALUE"""),0.434285714285714)</f>
        <v>0.4342857143</v>
      </c>
      <c r="I276" s="8">
        <f>IFERROR(__xludf.DUMMYFUNCTION("""COMPUTED_VALUE"""),0.375)</f>
        <v>0.375</v>
      </c>
      <c r="J276" s="8">
        <f>IFERROR(__xludf.DUMMYFUNCTION("""COMPUTED_VALUE"""),0.354430379746835)</f>
        <v>0.3544303797</v>
      </c>
      <c r="K276" s="8">
        <f>IFERROR(__xludf.DUMMYFUNCTION("""COMPUTED_VALUE"""),0.335526315789473)</f>
        <v>0.3355263158</v>
      </c>
      <c r="L276" s="8">
        <f>IFERROR(__xludf.DUMMYFUNCTION("""COMPUTED_VALUE"""),0.318840579710144)</f>
        <v>0.3188405797</v>
      </c>
      <c r="M276" s="8">
        <f>IFERROR(__xludf.DUMMYFUNCTION("""COMPUTED_VALUE"""),0.293233082706766)</f>
        <v>0.2932330827</v>
      </c>
      <c r="N276" s="8">
        <f>IFERROR(__xludf.DUMMYFUNCTION("""COMPUTED_VALUE"""),0.299212598425196)</f>
        <v>0.2992125984</v>
      </c>
      <c r="O276" s="8">
        <f>IFERROR(__xludf.DUMMYFUNCTION("""COMPUTED_VALUE"""),0.166666666666666)</f>
        <v>0.1666666667</v>
      </c>
      <c r="P276" s="8">
        <f>IFERROR(__xludf.DUMMYFUNCTION("""COMPUTED_VALUE"""),0.216216216216216)</f>
        <v>0.2162162162</v>
      </c>
      <c r="Q276" s="8">
        <f>IFERROR(__xludf.DUMMYFUNCTION("""COMPUTED_VALUE"""),0.0)</f>
        <v>0</v>
      </c>
      <c r="R276" s="8">
        <f>IFERROR(__xludf.DUMMYFUNCTION("""COMPUTED_VALUE"""),0.0)</f>
        <v>0</v>
      </c>
      <c r="S276" s="8">
        <f>IFERROR(__xludf.DUMMYFUNCTION("""COMPUTED_VALUE"""),0.0)</f>
        <v>0</v>
      </c>
      <c r="T276" s="8">
        <f>IFERROR(__xludf.DUMMYFUNCTION("""COMPUTED_VALUE"""),0.0)</f>
        <v>0</v>
      </c>
      <c r="U276" s="8">
        <f>IFERROR(__xludf.DUMMYFUNCTION("""COMPUTED_VALUE"""),0.0)</f>
        <v>0</v>
      </c>
      <c r="V276" s="8">
        <f>IFERROR(__xludf.DUMMYFUNCTION("""COMPUTED_VALUE"""),0.0)</f>
        <v>0</v>
      </c>
      <c r="W276" s="8">
        <f>IFERROR(__xludf.DUMMYFUNCTION("""COMPUTED_VALUE"""),0.0)</f>
        <v>0</v>
      </c>
      <c r="X276" s="8">
        <f>IFERROR(__xludf.DUMMYFUNCTION("""COMPUTED_VALUE"""),0.0)</f>
        <v>0</v>
      </c>
      <c r="Y276" s="8">
        <f>IFERROR(__xludf.DUMMYFUNCTION("""COMPUTED_VALUE"""),0.0)</f>
        <v>0</v>
      </c>
      <c r="Z276" s="8">
        <f>IFERROR(__xludf.DUMMYFUNCTION("""COMPUTED_VALUE"""),0.0)</f>
        <v>0</v>
      </c>
      <c r="AA276" s="8">
        <f>IFERROR(__xludf.DUMMYFUNCTION("""COMPUTED_VALUE"""),0.0)</f>
        <v>0</v>
      </c>
      <c r="AB276" s="8">
        <f>IFERROR(__xludf.DUMMYFUNCTION("""COMPUTED_VALUE"""),0.0)</f>
        <v>0</v>
      </c>
      <c r="AC276" s="8">
        <f>IFERROR(__xludf.DUMMYFUNCTION("""COMPUTED_VALUE"""),0.0)</f>
        <v>0</v>
      </c>
    </row>
    <row r="277" ht="15.75" customHeight="1">
      <c r="A277" s="6" t="str">
        <f>IFERROR(__xludf.DUMMYFUNCTION("""COMPUTED_VALUE"""),"fce8fe866ed4c3d213e087a4343996d06bb09af7")</f>
        <v>fce8fe866ed4c3d213e087a4343996d06bb09af7</v>
      </c>
      <c r="B277" s="6" t="str">
        <f>IFERROR(__xludf.DUMMYFUNCTION("""COMPUTED_VALUE"""),"The Anderson Rebirth")</f>
        <v>The Anderson Rebirth</v>
      </c>
      <c r="C277" s="6" t="str">
        <f>IFERROR(__xludf.DUMMYFUNCTION("""COMPUTED_VALUE"""),"System and Superpower")</f>
        <v>System and Superpower</v>
      </c>
      <c r="D277" s="11">
        <f>IFERROR(__xludf.DUMMYFUNCTION("""COMPUTED_VALUE"""),464.0)</f>
        <v>464</v>
      </c>
      <c r="E277" s="8">
        <f>IFERROR(__xludf.DUMMYFUNCTION("""COMPUTED_VALUE"""),0.956896551724137)</f>
        <v>0.9568965517</v>
      </c>
      <c r="F277" s="8">
        <f>IFERROR(__xludf.DUMMYFUNCTION("""COMPUTED_VALUE"""),0.474137931034482)</f>
        <v>0.474137931</v>
      </c>
      <c r="G277" s="8">
        <f>IFERROR(__xludf.DUMMYFUNCTION("""COMPUTED_VALUE"""),0.411637931034482)</f>
        <v>0.411637931</v>
      </c>
      <c r="H277" s="8">
        <f>IFERROR(__xludf.DUMMYFUNCTION("""COMPUTED_VALUE"""),0.366379310344827)</f>
        <v>0.3663793103</v>
      </c>
      <c r="I277" s="8">
        <f>IFERROR(__xludf.DUMMYFUNCTION("""COMPUTED_VALUE"""),0.332613390928725)</f>
        <v>0.3326133909</v>
      </c>
      <c r="J277" s="8">
        <f>IFERROR(__xludf.DUMMYFUNCTION("""COMPUTED_VALUE"""),0.318181818181818)</f>
        <v>0.3181818182</v>
      </c>
      <c r="K277" s="8">
        <f>IFERROR(__xludf.DUMMYFUNCTION("""COMPUTED_VALUE"""),0.295010845986984)</f>
        <v>0.295010846</v>
      </c>
      <c r="L277" s="8">
        <f>IFERROR(__xludf.DUMMYFUNCTION("""COMPUTED_VALUE"""),0.275488069414316)</f>
        <v>0.2754880694</v>
      </c>
      <c r="M277" s="8">
        <f>IFERROR(__xludf.DUMMYFUNCTION("""COMPUTED_VALUE"""),0.276688453159041)</f>
        <v>0.2766884532</v>
      </c>
      <c r="N277" s="8">
        <f>IFERROR(__xludf.DUMMYFUNCTION("""COMPUTED_VALUE"""),0.26431718061674)</f>
        <v>0.2643171806</v>
      </c>
      <c r="O277" s="8">
        <f>IFERROR(__xludf.DUMMYFUNCTION("""COMPUTED_VALUE"""),0.251162790697674)</f>
        <v>0.2511627907</v>
      </c>
      <c r="P277" s="8">
        <f>IFERROR(__xludf.DUMMYFUNCTION("""COMPUTED_VALUE"""),0.209026128266033)</f>
        <v>0.2090261283</v>
      </c>
      <c r="Q277" s="8">
        <f>IFERROR(__xludf.DUMMYFUNCTION("""COMPUTED_VALUE"""),0.105263157894736)</f>
        <v>0.1052631579</v>
      </c>
      <c r="R277" s="8">
        <f>IFERROR(__xludf.DUMMYFUNCTION("""COMPUTED_VALUE"""),0.0838323353293413)</f>
        <v>0.08383233533</v>
      </c>
      <c r="S277" s="8">
        <f>IFERROR(__xludf.DUMMYFUNCTION("""COMPUTED_VALUE"""),0.0)</f>
        <v>0</v>
      </c>
      <c r="T277" s="8">
        <f>IFERROR(__xludf.DUMMYFUNCTION("""COMPUTED_VALUE"""),0.0)</f>
        <v>0</v>
      </c>
      <c r="U277" s="8">
        <f>IFERROR(__xludf.DUMMYFUNCTION("""COMPUTED_VALUE"""),0.0)</f>
        <v>0</v>
      </c>
      <c r="V277" s="8">
        <f>IFERROR(__xludf.DUMMYFUNCTION("""COMPUTED_VALUE"""),0.0)</f>
        <v>0</v>
      </c>
      <c r="W277" s="8">
        <f>IFERROR(__xludf.DUMMYFUNCTION("""COMPUTED_VALUE"""),0.0)</f>
        <v>0</v>
      </c>
      <c r="X277" s="8">
        <f>IFERROR(__xludf.DUMMYFUNCTION("""COMPUTED_VALUE"""),0.0)</f>
        <v>0</v>
      </c>
      <c r="Y277" s="8">
        <f>IFERROR(__xludf.DUMMYFUNCTION("""COMPUTED_VALUE"""),0.0)</f>
        <v>0</v>
      </c>
      <c r="Z277" s="8">
        <f>IFERROR(__xludf.DUMMYFUNCTION("""COMPUTED_VALUE"""),0.0)</f>
        <v>0</v>
      </c>
      <c r="AA277" s="8">
        <f>IFERROR(__xludf.DUMMYFUNCTION("""COMPUTED_VALUE"""),0.0)</f>
        <v>0</v>
      </c>
      <c r="AB277" s="8">
        <f>IFERROR(__xludf.DUMMYFUNCTION("""COMPUTED_VALUE"""),0.0)</f>
        <v>0</v>
      </c>
      <c r="AC277" s="8">
        <f>IFERROR(__xludf.DUMMYFUNCTION("""COMPUTED_VALUE"""),0.0)</f>
        <v>0</v>
      </c>
    </row>
    <row r="278" ht="15.75" customHeight="1">
      <c r="A278" s="6" t="str">
        <f>IFERROR(__xludf.DUMMYFUNCTION("""COMPUTED_VALUE"""),"fce99720ddedf66c6e45f23c6876581e0b796f34")</f>
        <v>fce99720ddedf66c6e45f23c6876581e0b796f34</v>
      </c>
      <c r="B278" s="6" t="str">
        <f>IFERROR(__xludf.DUMMYFUNCTION("""COMPUTED_VALUE"""),"Reborn as Serena Whitmore")</f>
        <v>Reborn as Serena Whitmore</v>
      </c>
      <c r="C278" s="6" t="str">
        <f>IFERROR(__xludf.DUMMYFUNCTION("""COMPUTED_VALUE"""),"Romance")</f>
        <v>Romance</v>
      </c>
      <c r="D278" s="11">
        <f>IFERROR(__xludf.DUMMYFUNCTION("""COMPUTED_VALUE"""),1353.0)</f>
        <v>1353</v>
      </c>
      <c r="E278" s="8">
        <f>IFERROR(__xludf.DUMMYFUNCTION("""COMPUTED_VALUE"""),0.955588452997779)</f>
        <v>0.955588453</v>
      </c>
      <c r="F278" s="8">
        <f>IFERROR(__xludf.DUMMYFUNCTION("""COMPUTED_VALUE"""),0.731142643764003)</f>
        <v>0.7311426438</v>
      </c>
      <c r="G278" s="8">
        <f>IFERROR(__xludf.DUMMYFUNCTION("""COMPUTED_VALUE"""),0.675392670157068)</f>
        <v>0.6753926702</v>
      </c>
      <c r="H278" s="8">
        <f>IFERROR(__xludf.DUMMYFUNCTION("""COMPUTED_VALUE"""),0.620741862225586)</f>
        <v>0.6207418622</v>
      </c>
      <c r="I278" s="8">
        <f>IFERROR(__xludf.DUMMYFUNCTION("""COMPUTED_VALUE"""),0.556661562021439)</f>
        <v>0.556661562</v>
      </c>
      <c r="J278" s="8">
        <f>IFERROR(__xludf.DUMMYFUNCTION("""COMPUTED_VALUE"""),0.534827862289831)</f>
        <v>0.5348278623</v>
      </c>
      <c r="K278" s="8">
        <f>IFERROR(__xludf.DUMMYFUNCTION("""COMPUTED_VALUE"""),0.504649196956889)</f>
        <v>0.504649197</v>
      </c>
      <c r="L278" s="8">
        <f>IFERROR(__xludf.DUMMYFUNCTION("""COMPUTED_VALUE"""),0.467592592592592)</f>
        <v>0.4675925926</v>
      </c>
      <c r="M278" s="8">
        <f>IFERROR(__xludf.DUMMYFUNCTION("""COMPUTED_VALUE"""),0.429816069699903)</f>
        <v>0.4298160697</v>
      </c>
      <c r="N278" s="8">
        <f>IFERROR(__xludf.DUMMYFUNCTION("""COMPUTED_VALUE"""),0.411522633744856)</f>
        <v>0.4115226337</v>
      </c>
      <c r="O278" s="8">
        <f>IFERROR(__xludf.DUMMYFUNCTION("""COMPUTED_VALUE"""),0.333988212180746)</f>
        <v>0.3339882122</v>
      </c>
      <c r="P278" s="8">
        <f>IFERROR(__xludf.DUMMYFUNCTION("""COMPUTED_VALUE"""),0.228682170542635)</f>
        <v>0.2286821705</v>
      </c>
      <c r="Q278" s="8">
        <f>IFERROR(__xludf.DUMMYFUNCTION("""COMPUTED_VALUE"""),0.0)</f>
        <v>0</v>
      </c>
      <c r="R278" s="8">
        <f>IFERROR(__xludf.DUMMYFUNCTION("""COMPUTED_VALUE"""),0.0)</f>
        <v>0</v>
      </c>
      <c r="S278" s="8">
        <f>IFERROR(__xludf.DUMMYFUNCTION("""COMPUTED_VALUE"""),0.0)</f>
        <v>0</v>
      </c>
      <c r="T278" s="8">
        <f>IFERROR(__xludf.DUMMYFUNCTION("""COMPUTED_VALUE"""),0.0)</f>
        <v>0</v>
      </c>
      <c r="U278" s="8">
        <f>IFERROR(__xludf.DUMMYFUNCTION("""COMPUTED_VALUE"""),0.0)</f>
        <v>0</v>
      </c>
      <c r="V278" s="8">
        <f>IFERROR(__xludf.DUMMYFUNCTION("""COMPUTED_VALUE"""),0.0)</f>
        <v>0</v>
      </c>
      <c r="W278" s="8">
        <f>IFERROR(__xludf.DUMMYFUNCTION("""COMPUTED_VALUE"""),0.0)</f>
        <v>0</v>
      </c>
      <c r="X278" s="8">
        <f>IFERROR(__xludf.DUMMYFUNCTION("""COMPUTED_VALUE"""),0.0)</f>
        <v>0</v>
      </c>
      <c r="Y278" s="8">
        <f>IFERROR(__xludf.DUMMYFUNCTION("""COMPUTED_VALUE"""),0.0)</f>
        <v>0</v>
      </c>
      <c r="Z278" s="8">
        <f>IFERROR(__xludf.DUMMYFUNCTION("""COMPUTED_VALUE"""),0.0)</f>
        <v>0</v>
      </c>
      <c r="AA278" s="8">
        <f>IFERROR(__xludf.DUMMYFUNCTION("""COMPUTED_VALUE"""),0.0)</f>
        <v>0</v>
      </c>
      <c r="AB278" s="8">
        <f>IFERROR(__xludf.DUMMYFUNCTION("""COMPUTED_VALUE"""),0.0)</f>
        <v>0</v>
      </c>
      <c r="AC278" s="8">
        <f>IFERROR(__xludf.DUMMYFUNCTION("""COMPUTED_VALUE"""),0.0)</f>
        <v>0</v>
      </c>
    </row>
    <row r="279" ht="15.75" customHeight="1">
      <c r="A279" s="6" t="str">
        <f>IFERROR(__xludf.DUMMYFUNCTION("""COMPUTED_VALUE"""),"fe01aa725eab93a44f707bbab393a9640b0e69db")</f>
        <v>fe01aa725eab93a44f707bbab393a9640b0e69db</v>
      </c>
      <c r="B279" s="6" t="str">
        <f>IFERROR(__xludf.DUMMYFUNCTION("""COMPUTED_VALUE"""),"3 Years Later He Found Me")</f>
        <v>3 Years Later He Found Me</v>
      </c>
      <c r="C279" s="6" t="str">
        <f>IFERROR(__xludf.DUMMYFUNCTION("""COMPUTED_VALUE"""),"Romance")</f>
        <v>Romance</v>
      </c>
      <c r="D279" s="11">
        <f>IFERROR(__xludf.DUMMYFUNCTION("""COMPUTED_VALUE"""),1069.0)</f>
        <v>1069</v>
      </c>
      <c r="E279" s="8">
        <f>IFERROR(__xludf.DUMMYFUNCTION("""COMPUTED_VALUE"""),0.955951265229615)</f>
        <v>0.9559512652</v>
      </c>
      <c r="F279" s="8">
        <f>IFERROR(__xludf.DUMMYFUNCTION("""COMPUTED_VALUE"""),0.555347091932457)</f>
        <v>0.5553470919</v>
      </c>
      <c r="G279" s="8">
        <f>IFERROR(__xludf.DUMMYFUNCTION("""COMPUTED_VALUE"""),0.47842401500938)</f>
        <v>0.478424015</v>
      </c>
      <c r="H279" s="8">
        <f>IFERROR(__xludf.DUMMYFUNCTION("""COMPUTED_VALUE"""),0.43796992481203)</f>
        <v>0.4379699248</v>
      </c>
      <c r="I279" s="8">
        <f>IFERROR(__xludf.DUMMYFUNCTION("""COMPUTED_VALUE"""),0.407721280602636)</f>
        <v>0.4077212806</v>
      </c>
      <c r="J279" s="8">
        <f>IFERROR(__xludf.DUMMYFUNCTION("""COMPUTED_VALUE"""),0.379472693032015)</f>
        <v>0.379472693</v>
      </c>
      <c r="K279" s="8">
        <f>IFERROR(__xludf.DUMMYFUNCTION("""COMPUTED_VALUE"""),0.364150943396226)</f>
        <v>0.3641509434</v>
      </c>
      <c r="L279" s="8">
        <f>IFERROR(__xludf.DUMMYFUNCTION("""COMPUTED_VALUE"""),0.345971563981042)</f>
        <v>0.345971564</v>
      </c>
      <c r="M279" s="8">
        <f>IFERROR(__xludf.DUMMYFUNCTION("""COMPUTED_VALUE"""),0.337760910815939)</f>
        <v>0.3377609108</v>
      </c>
      <c r="N279" s="8">
        <f>IFERROR(__xludf.DUMMYFUNCTION("""COMPUTED_VALUE"""),0.30389363722697)</f>
        <v>0.3038936372</v>
      </c>
      <c r="O279" s="8">
        <f>IFERROR(__xludf.DUMMYFUNCTION("""COMPUTED_VALUE"""),0.257032007759456)</f>
        <v>0.2570320078</v>
      </c>
      <c r="P279" s="8">
        <f>IFERROR(__xludf.DUMMYFUNCTION("""COMPUTED_VALUE"""),0.162531017369727)</f>
        <v>0.1625310174</v>
      </c>
      <c r="Q279" s="8">
        <f>IFERROR(__xludf.DUMMYFUNCTION("""COMPUTED_VALUE"""),0.097457627118644)</f>
        <v>0.09745762712</v>
      </c>
      <c r="R279" s="8">
        <f>IFERROR(__xludf.DUMMYFUNCTION("""COMPUTED_VALUE"""),0.0)</f>
        <v>0</v>
      </c>
      <c r="S279" s="8">
        <f>IFERROR(__xludf.DUMMYFUNCTION("""COMPUTED_VALUE"""),0.0)</f>
        <v>0</v>
      </c>
      <c r="T279" s="8">
        <f>IFERROR(__xludf.DUMMYFUNCTION("""COMPUTED_VALUE"""),0.0)</f>
        <v>0</v>
      </c>
      <c r="U279" s="8">
        <f>IFERROR(__xludf.DUMMYFUNCTION("""COMPUTED_VALUE"""),0.0)</f>
        <v>0</v>
      </c>
      <c r="V279" s="8">
        <f>IFERROR(__xludf.DUMMYFUNCTION("""COMPUTED_VALUE"""),0.0)</f>
        <v>0</v>
      </c>
      <c r="W279" s="8">
        <f>IFERROR(__xludf.DUMMYFUNCTION("""COMPUTED_VALUE"""),0.0)</f>
        <v>0</v>
      </c>
      <c r="X279" s="8">
        <f>IFERROR(__xludf.DUMMYFUNCTION("""COMPUTED_VALUE"""),0.0)</f>
        <v>0</v>
      </c>
      <c r="Y279" s="8">
        <f>IFERROR(__xludf.DUMMYFUNCTION("""COMPUTED_VALUE"""),0.0)</f>
        <v>0</v>
      </c>
      <c r="Z279" s="8">
        <f>IFERROR(__xludf.DUMMYFUNCTION("""COMPUTED_VALUE"""),0.0)</f>
        <v>0</v>
      </c>
      <c r="AA279" s="8">
        <f>IFERROR(__xludf.DUMMYFUNCTION("""COMPUTED_VALUE"""),0.0)</f>
        <v>0</v>
      </c>
      <c r="AB279" s="8">
        <f>IFERROR(__xludf.DUMMYFUNCTION("""COMPUTED_VALUE"""),0.0)</f>
        <v>0</v>
      </c>
      <c r="AC279" s="8">
        <f>IFERROR(__xludf.DUMMYFUNCTION("""COMPUTED_VALUE"""),0.0)</f>
        <v>0</v>
      </c>
    </row>
    <row r="280" ht="15.75" customHeight="1">
      <c r="A280" s="6" t="str">
        <f>IFERROR(__xludf.DUMMYFUNCTION("""COMPUTED_VALUE"""),"fe218223c3cbc0377d2bb07ad68251723f1b3792")</f>
        <v>fe218223c3cbc0377d2bb07ad68251723f1b3792</v>
      </c>
      <c r="B280" s="6" t="str">
        <f>IFERROR(__xludf.DUMMYFUNCTION("""COMPUTED_VALUE"""),"Return of the Gamer God")</f>
        <v>Return of the Gamer God</v>
      </c>
      <c r="C280" s="6" t="str">
        <f>IFERROR(__xludf.DUMMYFUNCTION("""COMPUTED_VALUE"""),"System and Superpower")</f>
        <v>System and Superpower</v>
      </c>
      <c r="D280" s="11">
        <f>IFERROR(__xludf.DUMMYFUNCTION("""COMPUTED_VALUE"""),433.0)</f>
        <v>433</v>
      </c>
      <c r="E280" s="8">
        <f>IFERROR(__xludf.DUMMYFUNCTION("""COMPUTED_VALUE"""),0.965357967667436)</f>
        <v>0.9653579677</v>
      </c>
      <c r="F280" s="8">
        <f>IFERROR(__xludf.DUMMYFUNCTION("""COMPUTED_VALUE"""),0.405594405594405)</f>
        <v>0.4055944056</v>
      </c>
      <c r="G280" s="8">
        <f>IFERROR(__xludf.DUMMYFUNCTION("""COMPUTED_VALUE"""),0.346698113207547)</f>
        <v>0.3466981132</v>
      </c>
      <c r="H280" s="8">
        <f>IFERROR(__xludf.DUMMYFUNCTION("""COMPUTED_VALUE"""),0.311750599520383)</f>
        <v>0.3117505995</v>
      </c>
      <c r="I280" s="8">
        <f>IFERROR(__xludf.DUMMYFUNCTION("""COMPUTED_VALUE"""),0.292270531400966)</f>
        <v>0.2922705314</v>
      </c>
      <c r="J280" s="8">
        <f>IFERROR(__xludf.DUMMYFUNCTION("""COMPUTED_VALUE"""),0.272058823529411)</f>
        <v>0.2720588235</v>
      </c>
      <c r="K280" s="8">
        <f>IFERROR(__xludf.DUMMYFUNCTION("""COMPUTED_VALUE"""),0.25)</f>
        <v>0.25</v>
      </c>
      <c r="L280" s="8">
        <f>IFERROR(__xludf.DUMMYFUNCTION("""COMPUTED_VALUE"""),0.229629629629629)</f>
        <v>0.2296296296</v>
      </c>
      <c r="M280" s="8">
        <f>IFERROR(__xludf.DUMMYFUNCTION("""COMPUTED_VALUE"""),0.219753086419753)</f>
        <v>0.2197530864</v>
      </c>
      <c r="N280" s="8">
        <f>IFERROR(__xludf.DUMMYFUNCTION("""COMPUTED_VALUE"""),0.216417910447761)</f>
        <v>0.2164179104</v>
      </c>
      <c r="O280" s="8">
        <f>IFERROR(__xludf.DUMMYFUNCTION("""COMPUTED_VALUE"""),0.176991150442477)</f>
        <v>0.1769911504</v>
      </c>
      <c r="P280" s="8">
        <f>IFERROR(__xludf.DUMMYFUNCTION("""COMPUTED_VALUE"""),0.129213483146067)</f>
        <v>0.1292134831</v>
      </c>
      <c r="Q280" s="8">
        <f>IFERROR(__xludf.DUMMYFUNCTION("""COMPUTED_VALUE"""),0.0)</f>
        <v>0</v>
      </c>
      <c r="R280" s="8">
        <f>IFERROR(__xludf.DUMMYFUNCTION("""COMPUTED_VALUE"""),0.0)</f>
        <v>0</v>
      </c>
      <c r="S280" s="8">
        <f>IFERROR(__xludf.DUMMYFUNCTION("""COMPUTED_VALUE"""),0.0)</f>
        <v>0</v>
      </c>
      <c r="T280" s="8">
        <f>IFERROR(__xludf.DUMMYFUNCTION("""COMPUTED_VALUE"""),0.0)</f>
        <v>0</v>
      </c>
      <c r="U280" s="8">
        <f>IFERROR(__xludf.DUMMYFUNCTION("""COMPUTED_VALUE"""),0.0)</f>
        <v>0</v>
      </c>
      <c r="V280" s="8">
        <f>IFERROR(__xludf.DUMMYFUNCTION("""COMPUTED_VALUE"""),0.0)</f>
        <v>0</v>
      </c>
      <c r="W280" s="8">
        <f>IFERROR(__xludf.DUMMYFUNCTION("""COMPUTED_VALUE"""),0.0)</f>
        <v>0</v>
      </c>
      <c r="X280" s="8">
        <f>IFERROR(__xludf.DUMMYFUNCTION("""COMPUTED_VALUE"""),0.0)</f>
        <v>0</v>
      </c>
      <c r="Y280" s="8">
        <f>IFERROR(__xludf.DUMMYFUNCTION("""COMPUTED_VALUE"""),0.0)</f>
        <v>0</v>
      </c>
      <c r="Z280" s="8">
        <f>IFERROR(__xludf.DUMMYFUNCTION("""COMPUTED_VALUE"""),0.0)</f>
        <v>0</v>
      </c>
      <c r="AA280" s="8">
        <f>IFERROR(__xludf.DUMMYFUNCTION("""COMPUTED_VALUE"""),0.0)</f>
        <v>0</v>
      </c>
      <c r="AB280" s="8">
        <f>IFERROR(__xludf.DUMMYFUNCTION("""COMPUTED_VALUE"""),0.0)</f>
        <v>0</v>
      </c>
      <c r="AC280" s="8">
        <f>IFERROR(__xludf.DUMMYFUNCTION("""COMPUTED_VALUE"""),0.0)</f>
        <v>0</v>
      </c>
    </row>
    <row r="281" ht="15.75" customHeight="1">
      <c r="A281" s="1"/>
      <c r="B281" s="1"/>
      <c r="C281" s="1"/>
      <c r="D281" s="2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5.75" customHeight="1">
      <c r="A282" s="1"/>
      <c r="B282" s="1"/>
      <c r="C282" s="1"/>
      <c r="D282" s="2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5.75" customHeight="1">
      <c r="A283" s="1"/>
      <c r="B283" s="1"/>
      <c r="C283" s="1"/>
      <c r="D283" s="2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5.75" customHeight="1">
      <c r="A284" s="12"/>
      <c r="B284" s="12"/>
      <c r="C284" s="12"/>
      <c r="D284" s="3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5.75" customHeight="1">
      <c r="A285" s="12"/>
      <c r="B285" s="12"/>
      <c r="C285" s="12"/>
      <c r="D285" s="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5.75" customHeight="1">
      <c r="A286" s="12"/>
      <c r="B286" s="12"/>
      <c r="C286" s="12"/>
      <c r="D286" s="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5.75" customHeight="1">
      <c r="A287" s="12"/>
      <c r="B287" s="12"/>
      <c r="C287" s="12"/>
      <c r="D287" s="3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5.75" customHeight="1">
      <c r="A288" s="12"/>
      <c r="B288" s="12"/>
      <c r="C288" s="12"/>
      <c r="D288" s="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5.75" customHeight="1">
      <c r="A289" s="12"/>
      <c r="B289" s="12"/>
      <c r="C289" s="12"/>
      <c r="D289" s="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5.75" customHeight="1">
      <c r="A290" s="12"/>
      <c r="B290" s="12"/>
      <c r="C290" s="12"/>
      <c r="D290" s="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5.75" customHeight="1">
      <c r="A291" s="12"/>
      <c r="B291" s="12"/>
      <c r="C291" s="12"/>
      <c r="D291" s="3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15.75" customHeight="1">
      <c r="A292" s="12"/>
      <c r="B292" s="12"/>
      <c r="C292" s="12"/>
      <c r="D292" s="3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15.75" customHeight="1">
      <c r="A293" s="12"/>
      <c r="B293" s="12"/>
      <c r="C293" s="12"/>
      <c r="D293" s="3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5.75" customHeight="1">
      <c r="A294" s="12"/>
      <c r="B294" s="12"/>
      <c r="C294" s="12"/>
      <c r="D294" s="3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15.75" customHeight="1">
      <c r="A295" s="12"/>
      <c r="B295" s="12"/>
      <c r="C295" s="12"/>
      <c r="D295" s="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15.75" customHeight="1">
      <c r="A296" s="12"/>
      <c r="B296" s="12"/>
      <c r="C296" s="12"/>
      <c r="D296" s="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15.75" customHeight="1">
      <c r="A297" s="12"/>
      <c r="B297" s="12"/>
      <c r="C297" s="12"/>
      <c r="D297" s="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5.75" customHeight="1">
      <c r="A298" s="12"/>
      <c r="B298" s="12"/>
      <c r="C298" s="12"/>
      <c r="D298" s="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15.75" customHeight="1">
      <c r="A299" s="12"/>
      <c r="B299" s="12"/>
      <c r="C299" s="12"/>
      <c r="D299" s="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15.75" customHeight="1">
      <c r="A300" s="12"/>
      <c r="B300" s="12"/>
      <c r="C300" s="12"/>
      <c r="D300" s="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15.75" customHeight="1">
      <c r="A301" s="12"/>
      <c r="B301" s="12"/>
      <c r="C301" s="12"/>
      <c r="D301" s="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5.75" customHeight="1">
      <c r="A302" s="12"/>
      <c r="B302" s="12"/>
      <c r="C302" s="12"/>
      <c r="D302" s="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15.75" customHeight="1">
      <c r="A303" s="12"/>
      <c r="B303" s="12"/>
      <c r="C303" s="12"/>
      <c r="D303" s="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15.75" customHeight="1">
      <c r="A304" s="12"/>
      <c r="B304" s="12"/>
      <c r="C304" s="12"/>
      <c r="D304" s="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5.75" customHeight="1">
      <c r="A305" s="12"/>
      <c r="B305" s="12"/>
      <c r="C305" s="12"/>
      <c r="D305" s="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15.75" customHeight="1">
      <c r="A306" s="12"/>
      <c r="B306" s="12"/>
      <c r="C306" s="12"/>
      <c r="D306" s="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5.75" customHeight="1">
      <c r="A307" s="12"/>
      <c r="B307" s="12"/>
      <c r="C307" s="12"/>
      <c r="D307" s="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15.75" customHeight="1">
      <c r="A308" s="12"/>
      <c r="B308" s="12"/>
      <c r="C308" s="12"/>
      <c r="D308" s="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5.75" customHeight="1">
      <c r="A309" s="12"/>
      <c r="B309" s="12"/>
      <c r="C309" s="12"/>
      <c r="D309" s="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15.75" customHeight="1">
      <c r="A310" s="12"/>
      <c r="B310" s="12"/>
      <c r="C310" s="12"/>
      <c r="D310" s="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15.75" customHeight="1">
      <c r="A311" s="12"/>
      <c r="B311" s="12"/>
      <c r="C311" s="12"/>
      <c r="D311" s="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15.75" customHeight="1">
      <c r="A312" s="12"/>
      <c r="B312" s="12"/>
      <c r="C312" s="12"/>
      <c r="D312" s="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5.75" customHeight="1">
      <c r="A313" s="12"/>
      <c r="B313" s="12"/>
      <c r="C313" s="12"/>
      <c r="D313" s="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15.75" customHeight="1">
      <c r="A314" s="12"/>
      <c r="B314" s="12"/>
      <c r="C314" s="12"/>
      <c r="D314" s="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15.75" customHeight="1">
      <c r="A315" s="12"/>
      <c r="B315" s="12"/>
      <c r="C315" s="12"/>
      <c r="D315" s="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15.75" customHeight="1">
      <c r="A316" s="12"/>
      <c r="B316" s="12"/>
      <c r="C316" s="12"/>
      <c r="D316" s="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5.75" customHeight="1">
      <c r="A317" s="12"/>
      <c r="B317" s="12"/>
      <c r="C317" s="12"/>
      <c r="D317" s="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15.75" customHeight="1">
      <c r="A318" s="12"/>
      <c r="B318" s="12"/>
      <c r="C318" s="12"/>
      <c r="D318" s="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15.75" customHeight="1">
      <c r="A319" s="12"/>
      <c r="B319" s="12"/>
      <c r="C319" s="12"/>
      <c r="D319" s="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15.75" customHeight="1">
      <c r="A320" s="12"/>
      <c r="B320" s="12"/>
      <c r="C320" s="12"/>
      <c r="D320" s="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5.75" customHeight="1">
      <c r="A321" s="12"/>
      <c r="B321" s="12"/>
      <c r="C321" s="12"/>
      <c r="D321" s="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15.75" customHeight="1">
      <c r="A322" s="12"/>
      <c r="B322" s="12"/>
      <c r="C322" s="12"/>
      <c r="D322" s="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15.75" customHeight="1">
      <c r="A323" s="12"/>
      <c r="B323" s="12"/>
      <c r="C323" s="12"/>
      <c r="D323" s="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5.75" customHeight="1">
      <c r="A324" s="12"/>
      <c r="B324" s="12"/>
      <c r="C324" s="12"/>
      <c r="D324" s="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15.75" customHeight="1">
      <c r="A325" s="12"/>
      <c r="B325" s="12"/>
      <c r="C325" s="12"/>
      <c r="D325" s="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15.75" customHeight="1">
      <c r="A326" s="12"/>
      <c r="B326" s="12"/>
      <c r="C326" s="12"/>
      <c r="D326" s="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15.75" customHeight="1">
      <c r="A327" s="12"/>
      <c r="B327" s="12"/>
      <c r="C327" s="12"/>
      <c r="D327" s="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5.75" customHeight="1">
      <c r="A328" s="12"/>
      <c r="B328" s="12"/>
      <c r="C328" s="12"/>
      <c r="D328" s="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15.75" customHeight="1">
      <c r="A329" s="12"/>
      <c r="B329" s="12"/>
      <c r="C329" s="12"/>
      <c r="D329" s="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15.75" customHeight="1">
      <c r="A330" s="12"/>
      <c r="B330" s="12"/>
      <c r="C330" s="12"/>
      <c r="D330" s="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5.75" customHeight="1">
      <c r="A331" s="12"/>
      <c r="B331" s="12"/>
      <c r="C331" s="12"/>
      <c r="D331" s="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15.75" customHeight="1">
      <c r="A332" s="12"/>
      <c r="B332" s="12"/>
      <c r="C332" s="12"/>
      <c r="D332" s="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15.75" customHeight="1">
      <c r="A333" s="12"/>
      <c r="B333" s="12"/>
      <c r="C333" s="12"/>
      <c r="D333" s="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5.75" customHeight="1">
      <c r="A334" s="12"/>
      <c r="B334" s="12"/>
      <c r="C334" s="12"/>
      <c r="D334" s="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15.75" customHeight="1">
      <c r="A335" s="12"/>
      <c r="B335" s="12"/>
      <c r="C335" s="12"/>
      <c r="D335" s="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15.75" customHeight="1">
      <c r="A336" s="12"/>
      <c r="B336" s="12"/>
      <c r="C336" s="12"/>
      <c r="D336" s="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15.75" customHeight="1">
      <c r="A337" s="12"/>
      <c r="B337" s="12"/>
      <c r="C337" s="12"/>
      <c r="D337" s="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5.75" customHeight="1">
      <c r="A338" s="12"/>
      <c r="B338" s="12"/>
      <c r="C338" s="12"/>
      <c r="D338" s="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15.75" customHeight="1">
      <c r="A339" s="12"/>
      <c r="B339" s="12"/>
      <c r="C339" s="12"/>
      <c r="D339" s="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15.75" customHeight="1">
      <c r="A340" s="12"/>
      <c r="B340" s="12"/>
      <c r="C340" s="12"/>
      <c r="D340" s="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5.75" customHeight="1">
      <c r="A341" s="12"/>
      <c r="B341" s="12"/>
      <c r="C341" s="12"/>
      <c r="D341" s="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15.75" customHeight="1">
      <c r="A342" s="12"/>
      <c r="B342" s="12"/>
      <c r="C342" s="12"/>
      <c r="D342" s="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15.75" customHeight="1">
      <c r="A343" s="12"/>
      <c r="B343" s="12"/>
      <c r="C343" s="12"/>
      <c r="D343" s="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5.75" customHeight="1">
      <c r="A344" s="12"/>
      <c r="B344" s="12"/>
      <c r="C344" s="12"/>
      <c r="D344" s="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15.75" customHeight="1">
      <c r="A345" s="12"/>
      <c r="B345" s="12"/>
      <c r="C345" s="12"/>
      <c r="D345" s="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15.75" customHeight="1">
      <c r="A346" s="12"/>
      <c r="B346" s="12"/>
      <c r="C346" s="12"/>
      <c r="D346" s="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15.75" customHeight="1">
      <c r="A347" s="12"/>
      <c r="B347" s="12"/>
      <c r="C347" s="12"/>
      <c r="D347" s="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15.75" customHeight="1">
      <c r="A348" s="12"/>
      <c r="B348" s="12"/>
      <c r="C348" s="12"/>
      <c r="D348" s="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15.75" customHeight="1">
      <c r="A349" s="12"/>
      <c r="B349" s="12"/>
      <c r="C349" s="12"/>
      <c r="D349" s="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15.75" customHeight="1">
      <c r="A350" s="12"/>
      <c r="B350" s="12"/>
      <c r="C350" s="12"/>
      <c r="D350" s="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15.75" customHeight="1">
      <c r="A351" s="12"/>
      <c r="B351" s="12"/>
      <c r="C351" s="12"/>
      <c r="D351" s="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15.75" customHeight="1">
      <c r="A352" s="12"/>
      <c r="B352" s="12"/>
      <c r="C352" s="12"/>
      <c r="D352" s="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15.75" customHeight="1">
      <c r="A353" s="12"/>
      <c r="B353" s="12"/>
      <c r="C353" s="12"/>
      <c r="D353" s="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15.75" customHeight="1">
      <c r="A354" s="12"/>
      <c r="B354" s="12"/>
      <c r="C354" s="12"/>
      <c r="D354" s="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15.75" customHeight="1">
      <c r="A355" s="12"/>
      <c r="B355" s="12"/>
      <c r="C355" s="12"/>
      <c r="D355" s="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15.75" customHeight="1">
      <c r="A356" s="12"/>
      <c r="B356" s="12"/>
      <c r="C356" s="12"/>
      <c r="D356" s="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15.75" customHeight="1">
      <c r="A357" s="12"/>
      <c r="B357" s="12"/>
      <c r="C357" s="12"/>
      <c r="D357" s="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15.75" customHeight="1">
      <c r="A358" s="12"/>
      <c r="B358" s="12"/>
      <c r="C358" s="12"/>
      <c r="D358" s="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15.75" customHeight="1">
      <c r="A359" s="12"/>
      <c r="B359" s="12"/>
      <c r="C359" s="12"/>
      <c r="D359" s="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15.75" customHeight="1">
      <c r="A360" s="12"/>
      <c r="B360" s="12"/>
      <c r="C360" s="12"/>
      <c r="D360" s="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15.75" customHeight="1">
      <c r="A361" s="12"/>
      <c r="B361" s="12"/>
      <c r="C361" s="12"/>
      <c r="D361" s="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15.75" customHeight="1">
      <c r="A362" s="12"/>
      <c r="B362" s="12"/>
      <c r="C362" s="12"/>
      <c r="D362" s="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15.75" customHeight="1">
      <c r="A363" s="12"/>
      <c r="B363" s="12"/>
      <c r="C363" s="12"/>
      <c r="D363" s="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15.75" customHeight="1">
      <c r="A364" s="12"/>
      <c r="B364" s="12"/>
      <c r="C364" s="12"/>
      <c r="D364" s="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15.75" customHeight="1">
      <c r="A365" s="12"/>
      <c r="B365" s="12"/>
      <c r="C365" s="12"/>
      <c r="D365" s="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15.75" customHeight="1">
      <c r="A366" s="12"/>
      <c r="B366" s="12"/>
      <c r="C366" s="12"/>
      <c r="D366" s="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15.75" customHeight="1">
      <c r="A367" s="12"/>
      <c r="B367" s="12"/>
      <c r="C367" s="12"/>
      <c r="D367" s="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15.75" customHeight="1">
      <c r="A368" s="12"/>
      <c r="B368" s="12"/>
      <c r="C368" s="12"/>
      <c r="D368" s="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15.75" customHeight="1">
      <c r="A369" s="12"/>
      <c r="B369" s="12"/>
      <c r="C369" s="12"/>
      <c r="D369" s="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15.75" customHeight="1">
      <c r="A370" s="12"/>
      <c r="B370" s="12"/>
      <c r="C370" s="12"/>
      <c r="D370" s="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15.75" customHeight="1">
      <c r="A371" s="12"/>
      <c r="B371" s="12"/>
      <c r="C371" s="12"/>
      <c r="D371" s="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15.75" customHeight="1">
      <c r="A372" s="12"/>
      <c r="B372" s="12"/>
      <c r="C372" s="12"/>
      <c r="D372" s="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15.75" customHeight="1">
      <c r="A373" s="12"/>
      <c r="B373" s="12"/>
      <c r="C373" s="12"/>
      <c r="D373" s="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15.75" customHeight="1">
      <c r="A374" s="12"/>
      <c r="B374" s="12"/>
      <c r="C374" s="12"/>
      <c r="D374" s="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15.75" customHeight="1">
      <c r="A375" s="12"/>
      <c r="B375" s="12"/>
      <c r="C375" s="12"/>
      <c r="D375" s="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15.75" customHeight="1">
      <c r="A376" s="12"/>
      <c r="B376" s="12"/>
      <c r="C376" s="12"/>
      <c r="D376" s="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15.75" customHeight="1">
      <c r="A377" s="12"/>
      <c r="B377" s="12"/>
      <c r="C377" s="12"/>
      <c r="D377" s="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15.75" customHeight="1">
      <c r="A378" s="12"/>
      <c r="B378" s="12"/>
      <c r="C378" s="12"/>
      <c r="D378" s="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15.75" customHeight="1">
      <c r="A379" s="12"/>
      <c r="B379" s="12"/>
      <c r="C379" s="12"/>
      <c r="D379" s="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15.75" customHeight="1">
      <c r="A380" s="12"/>
      <c r="B380" s="12"/>
      <c r="C380" s="12"/>
      <c r="D380" s="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15.75" customHeight="1">
      <c r="A381" s="12"/>
      <c r="B381" s="12"/>
      <c r="C381" s="12"/>
      <c r="D381" s="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15.75" customHeight="1">
      <c r="A382" s="12"/>
      <c r="B382" s="12"/>
      <c r="C382" s="12"/>
      <c r="D382" s="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15.75" customHeight="1">
      <c r="A383" s="12"/>
      <c r="B383" s="12"/>
      <c r="C383" s="12"/>
      <c r="D383" s="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15.75" customHeight="1">
      <c r="A384" s="12"/>
      <c r="B384" s="12"/>
      <c r="C384" s="12"/>
      <c r="D384" s="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15.75" customHeight="1">
      <c r="A385" s="12"/>
      <c r="B385" s="12"/>
      <c r="C385" s="12"/>
      <c r="D385" s="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15.75" customHeight="1">
      <c r="A386" s="12"/>
      <c r="B386" s="12"/>
      <c r="C386" s="12"/>
      <c r="D386" s="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15.75" customHeight="1">
      <c r="A387" s="12"/>
      <c r="B387" s="12"/>
      <c r="C387" s="12"/>
      <c r="D387" s="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15.75" customHeight="1">
      <c r="A388" s="12"/>
      <c r="B388" s="12"/>
      <c r="C388" s="12"/>
      <c r="D388" s="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15.75" customHeight="1">
      <c r="A389" s="12"/>
      <c r="B389" s="12"/>
      <c r="C389" s="12"/>
      <c r="D389" s="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15.75" customHeight="1">
      <c r="A390" s="12"/>
      <c r="B390" s="12"/>
      <c r="C390" s="12"/>
      <c r="D390" s="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15.75" customHeight="1">
      <c r="A391" s="12"/>
      <c r="B391" s="12"/>
      <c r="C391" s="12"/>
      <c r="D391" s="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15.75" customHeight="1">
      <c r="A392" s="12"/>
      <c r="B392" s="12"/>
      <c r="C392" s="12"/>
      <c r="D392" s="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15.75" customHeight="1">
      <c r="A393" s="12"/>
      <c r="B393" s="12"/>
      <c r="C393" s="12"/>
      <c r="D393" s="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15.75" customHeight="1">
      <c r="A394" s="12"/>
      <c r="B394" s="12"/>
      <c r="C394" s="12"/>
      <c r="D394" s="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15.75" customHeight="1">
      <c r="A395" s="12"/>
      <c r="B395" s="12"/>
      <c r="C395" s="12"/>
      <c r="D395" s="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15.75" customHeight="1">
      <c r="A396" s="12"/>
      <c r="B396" s="12"/>
      <c r="C396" s="12"/>
      <c r="D396" s="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15.75" customHeight="1">
      <c r="A397" s="12"/>
      <c r="B397" s="12"/>
      <c r="C397" s="12"/>
      <c r="D397" s="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15.75" customHeight="1">
      <c r="A398" s="12"/>
      <c r="B398" s="12"/>
      <c r="C398" s="12"/>
      <c r="D398" s="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15.75" customHeight="1">
      <c r="A399" s="12"/>
      <c r="B399" s="12"/>
      <c r="C399" s="12"/>
      <c r="D399" s="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15.75" customHeight="1">
      <c r="A400" s="12"/>
      <c r="B400" s="12"/>
      <c r="C400" s="12"/>
      <c r="D400" s="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15.75" customHeight="1">
      <c r="A401" s="12"/>
      <c r="B401" s="12"/>
      <c r="C401" s="12"/>
      <c r="D401" s="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15.75" customHeight="1">
      <c r="A402" s="12"/>
      <c r="B402" s="12"/>
      <c r="C402" s="12"/>
      <c r="D402" s="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15.75" customHeight="1">
      <c r="A403" s="12"/>
      <c r="B403" s="12"/>
      <c r="C403" s="12"/>
      <c r="D403" s="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15.75" customHeight="1">
      <c r="A404" s="12"/>
      <c r="B404" s="12"/>
      <c r="C404" s="12"/>
      <c r="D404" s="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15.75" customHeight="1">
      <c r="A405" s="12"/>
      <c r="B405" s="12"/>
      <c r="C405" s="12"/>
      <c r="D405" s="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15.75" customHeight="1">
      <c r="A406" s="12"/>
      <c r="B406" s="12"/>
      <c r="C406" s="12"/>
      <c r="D406" s="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15.75" customHeight="1">
      <c r="A407" s="12"/>
      <c r="B407" s="12"/>
      <c r="C407" s="12"/>
      <c r="D407" s="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15.75" customHeight="1">
      <c r="A408" s="12"/>
      <c r="B408" s="12"/>
      <c r="C408" s="12"/>
      <c r="D408" s="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15.75" customHeight="1">
      <c r="A409" s="12"/>
      <c r="B409" s="12"/>
      <c r="C409" s="12"/>
      <c r="D409" s="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15.75" customHeight="1">
      <c r="A410" s="12"/>
      <c r="B410" s="12"/>
      <c r="C410" s="12"/>
      <c r="D410" s="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15.75" customHeight="1">
      <c r="A411" s="12"/>
      <c r="B411" s="12"/>
      <c r="C411" s="12"/>
      <c r="D411" s="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15.75" customHeight="1">
      <c r="A412" s="12"/>
      <c r="B412" s="12"/>
      <c r="C412" s="12"/>
      <c r="D412" s="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15.75" customHeight="1">
      <c r="A413" s="12"/>
      <c r="B413" s="12"/>
      <c r="C413" s="12"/>
      <c r="D413" s="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15.75" customHeight="1">
      <c r="A414" s="12"/>
      <c r="B414" s="12"/>
      <c r="C414" s="12"/>
      <c r="D414" s="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15.75" customHeight="1">
      <c r="A415" s="12"/>
      <c r="B415" s="12"/>
      <c r="C415" s="12"/>
      <c r="D415" s="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15.75" customHeight="1">
      <c r="A416" s="12"/>
      <c r="B416" s="12"/>
      <c r="C416" s="12"/>
      <c r="D416" s="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15.75" customHeight="1">
      <c r="A417" s="12"/>
      <c r="B417" s="12"/>
      <c r="C417" s="12"/>
      <c r="D417" s="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15.75" customHeight="1">
      <c r="A418" s="12"/>
      <c r="B418" s="12"/>
      <c r="C418" s="12"/>
      <c r="D418" s="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15.75" customHeight="1">
      <c r="A419" s="12"/>
      <c r="B419" s="12"/>
      <c r="C419" s="12"/>
      <c r="D419" s="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15.75" customHeight="1">
      <c r="A420" s="12"/>
      <c r="B420" s="12"/>
      <c r="C420" s="12"/>
      <c r="D420" s="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15.75" customHeight="1">
      <c r="A421" s="12"/>
      <c r="B421" s="12"/>
      <c r="C421" s="12"/>
      <c r="D421" s="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15.75" customHeight="1">
      <c r="A422" s="12"/>
      <c r="B422" s="12"/>
      <c r="C422" s="12"/>
      <c r="D422" s="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15.75" customHeight="1">
      <c r="A423" s="12"/>
      <c r="B423" s="12"/>
      <c r="C423" s="12"/>
      <c r="D423" s="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15.75" customHeight="1">
      <c r="A424" s="12"/>
      <c r="B424" s="12"/>
      <c r="C424" s="12"/>
      <c r="D424" s="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15.75" customHeight="1">
      <c r="A425" s="12"/>
      <c r="B425" s="12"/>
      <c r="C425" s="12"/>
      <c r="D425" s="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15.75" customHeight="1">
      <c r="A426" s="12"/>
      <c r="B426" s="12"/>
      <c r="C426" s="12"/>
      <c r="D426" s="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15.75" customHeight="1">
      <c r="A427" s="12"/>
      <c r="B427" s="12"/>
      <c r="C427" s="12"/>
      <c r="D427" s="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15.75" customHeight="1">
      <c r="A428" s="12"/>
      <c r="B428" s="12"/>
      <c r="C428" s="12"/>
      <c r="D428" s="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15.75" customHeight="1">
      <c r="A429" s="12"/>
      <c r="B429" s="12"/>
      <c r="C429" s="12"/>
      <c r="D429" s="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15.75" customHeight="1">
      <c r="A430" s="12"/>
      <c r="B430" s="12"/>
      <c r="C430" s="12"/>
      <c r="D430" s="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15.75" customHeight="1">
      <c r="A431" s="12"/>
      <c r="B431" s="12"/>
      <c r="C431" s="12"/>
      <c r="D431" s="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15.75" customHeight="1">
      <c r="A432" s="12"/>
      <c r="B432" s="12"/>
      <c r="C432" s="12"/>
      <c r="D432" s="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15.75" customHeight="1">
      <c r="A433" s="12"/>
      <c r="B433" s="12"/>
      <c r="C433" s="12"/>
      <c r="D433" s="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15.75" customHeight="1">
      <c r="A434" s="12"/>
      <c r="B434" s="12"/>
      <c r="C434" s="12"/>
      <c r="D434" s="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15.75" customHeight="1">
      <c r="A435" s="12"/>
      <c r="B435" s="12"/>
      <c r="C435" s="12"/>
      <c r="D435" s="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15.75" customHeight="1">
      <c r="A436" s="12"/>
      <c r="B436" s="12"/>
      <c r="C436" s="12"/>
      <c r="D436" s="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15.75" customHeight="1">
      <c r="A437" s="12"/>
      <c r="B437" s="12"/>
      <c r="C437" s="12"/>
      <c r="D437" s="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15.75" customHeight="1">
      <c r="A438" s="12"/>
      <c r="B438" s="12"/>
      <c r="C438" s="12"/>
      <c r="D438" s="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15.75" customHeight="1">
      <c r="A439" s="12"/>
      <c r="B439" s="12"/>
      <c r="C439" s="12"/>
      <c r="D439" s="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15.75" customHeight="1">
      <c r="A440" s="12"/>
      <c r="B440" s="12"/>
      <c r="C440" s="12"/>
      <c r="D440" s="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15.75" customHeight="1">
      <c r="A441" s="12"/>
      <c r="B441" s="12"/>
      <c r="C441" s="12"/>
      <c r="D441" s="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15.75" customHeight="1">
      <c r="A442" s="12"/>
      <c r="B442" s="12"/>
      <c r="C442" s="12"/>
      <c r="D442" s="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15.75" customHeight="1">
      <c r="A443" s="12"/>
      <c r="B443" s="12"/>
      <c r="C443" s="12"/>
      <c r="D443" s="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15.75" customHeight="1">
      <c r="A444" s="12"/>
      <c r="B444" s="12"/>
      <c r="C444" s="12"/>
      <c r="D444" s="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15.75" customHeight="1">
      <c r="A445" s="12"/>
      <c r="B445" s="12"/>
      <c r="C445" s="12"/>
      <c r="D445" s="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15.75" customHeight="1">
      <c r="A446" s="12"/>
      <c r="B446" s="12"/>
      <c r="C446" s="12"/>
      <c r="D446" s="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15.75" customHeight="1">
      <c r="A447" s="12"/>
      <c r="B447" s="12"/>
      <c r="C447" s="12"/>
      <c r="D447" s="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15.75" customHeight="1">
      <c r="A448" s="12"/>
      <c r="B448" s="12"/>
      <c r="C448" s="12"/>
      <c r="D448" s="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15.75" customHeight="1">
      <c r="A449" s="12"/>
      <c r="B449" s="12"/>
      <c r="C449" s="12"/>
      <c r="D449" s="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15.75" customHeight="1">
      <c r="A450" s="12"/>
      <c r="B450" s="12"/>
      <c r="C450" s="12"/>
      <c r="D450" s="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15.75" customHeight="1">
      <c r="A451" s="12"/>
      <c r="B451" s="12"/>
      <c r="C451" s="12"/>
      <c r="D451" s="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15.75" customHeight="1">
      <c r="A452" s="12"/>
      <c r="B452" s="12"/>
      <c r="C452" s="12"/>
      <c r="D452" s="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15.75" customHeight="1">
      <c r="A453" s="12"/>
      <c r="B453" s="12"/>
      <c r="C453" s="12"/>
      <c r="D453" s="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15.75" customHeight="1">
      <c r="A454" s="12"/>
      <c r="B454" s="12"/>
      <c r="C454" s="12"/>
      <c r="D454" s="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15.75" customHeight="1">
      <c r="A455" s="12"/>
      <c r="B455" s="12"/>
      <c r="C455" s="12"/>
      <c r="D455" s="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15.75" customHeight="1">
      <c r="A456" s="12"/>
      <c r="B456" s="12"/>
      <c r="C456" s="12"/>
      <c r="D456" s="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15.75" customHeight="1">
      <c r="A457" s="12"/>
      <c r="B457" s="12"/>
      <c r="C457" s="12"/>
      <c r="D457" s="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15.75" customHeight="1">
      <c r="A458" s="12"/>
      <c r="B458" s="12"/>
      <c r="C458" s="12"/>
      <c r="D458" s="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15.75" customHeight="1">
      <c r="A459" s="12"/>
      <c r="B459" s="12"/>
      <c r="C459" s="12"/>
      <c r="D459" s="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15.75" customHeight="1">
      <c r="A460" s="12"/>
      <c r="B460" s="12"/>
      <c r="C460" s="12"/>
      <c r="D460" s="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15.75" customHeight="1">
      <c r="A461" s="12"/>
      <c r="B461" s="12"/>
      <c r="C461" s="12"/>
      <c r="D461" s="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15.75" customHeight="1">
      <c r="A462" s="12"/>
      <c r="B462" s="12"/>
      <c r="C462" s="12"/>
      <c r="D462" s="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15.75" customHeight="1">
      <c r="A463" s="12"/>
      <c r="B463" s="12"/>
      <c r="C463" s="12"/>
      <c r="D463" s="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15.75" customHeight="1">
      <c r="A464" s="12"/>
      <c r="B464" s="12"/>
      <c r="C464" s="12"/>
      <c r="D464" s="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15.75" customHeight="1">
      <c r="A465" s="12"/>
      <c r="B465" s="12"/>
      <c r="C465" s="12"/>
      <c r="D465" s="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15.75" customHeight="1">
      <c r="A466" s="12"/>
      <c r="B466" s="12"/>
      <c r="C466" s="12"/>
      <c r="D466" s="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15.75" customHeight="1">
      <c r="A467" s="12"/>
      <c r="B467" s="12"/>
      <c r="C467" s="12"/>
      <c r="D467" s="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15.75" customHeight="1">
      <c r="A468" s="12"/>
      <c r="B468" s="12"/>
      <c r="C468" s="12"/>
      <c r="D468" s="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15.75" customHeight="1">
      <c r="A469" s="12"/>
      <c r="B469" s="12"/>
      <c r="C469" s="12"/>
      <c r="D469" s="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15.75" customHeight="1">
      <c r="A470" s="12"/>
      <c r="B470" s="12"/>
      <c r="C470" s="12"/>
      <c r="D470" s="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15.75" customHeight="1">
      <c r="A471" s="12"/>
      <c r="B471" s="12"/>
      <c r="C471" s="12"/>
      <c r="D471" s="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15.75" customHeight="1">
      <c r="A472" s="12"/>
      <c r="B472" s="12"/>
      <c r="C472" s="12"/>
      <c r="D472" s="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15.75" customHeight="1">
      <c r="A473" s="12"/>
      <c r="B473" s="12"/>
      <c r="C473" s="12"/>
      <c r="D473" s="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ht="15.75" customHeight="1">
      <c r="A474" s="12"/>
      <c r="B474" s="12"/>
      <c r="C474" s="12"/>
      <c r="D474" s="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ht="15.75" customHeight="1">
      <c r="A475" s="12"/>
      <c r="B475" s="12"/>
      <c r="C475" s="12"/>
      <c r="D475" s="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ht="15.75" customHeight="1">
      <c r="A476" s="12"/>
      <c r="B476" s="12"/>
      <c r="C476" s="12"/>
      <c r="D476" s="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15.75" customHeight="1">
      <c r="A477" s="12"/>
      <c r="B477" s="12"/>
      <c r="C477" s="12"/>
      <c r="D477" s="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ht="15.75" customHeight="1">
      <c r="A478" s="12"/>
      <c r="B478" s="12"/>
      <c r="C478" s="12"/>
      <c r="D478" s="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ht="15.75" customHeight="1">
      <c r="A479" s="12"/>
      <c r="B479" s="12"/>
      <c r="C479" s="12"/>
      <c r="D479" s="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ht="15.75" customHeight="1">
      <c r="A480" s="12"/>
      <c r="B480" s="12"/>
      <c r="C480" s="12"/>
      <c r="D480" s="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15.75" customHeight="1">
      <c r="A481" s="12"/>
      <c r="B481" s="12"/>
      <c r="C481" s="12"/>
      <c r="D481" s="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ht="15.75" customHeight="1">
      <c r="A482" s="12"/>
      <c r="B482" s="12"/>
      <c r="C482" s="12"/>
      <c r="D482" s="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ht="15.75" customHeight="1">
      <c r="A483" s="12"/>
      <c r="B483" s="12"/>
      <c r="C483" s="12"/>
      <c r="D483" s="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</sheetData>
  <conditionalFormatting sqref="E5:E483">
    <cfRule type="expression" dxfId="0" priority="1" stopIfTrue="1">
      <formula>AND(ISNUMBER(E5),IF($C5="Romantasy",E$2,IF(OR($C5="Romance",$C5="Drama"),E$3,E$1))&gt;0,E5&gt;=(IF($C5="Romantasy",E$2,IF(OR($C5="Romance",$C5="Drama"),E$3,E$1))))</formula>
    </cfRule>
  </conditionalFormatting>
  <conditionalFormatting sqref="E5:E483">
    <cfRule type="expression" dxfId="1" priority="2" stopIfTrue="1">
      <formula>AND(ISNUMBER(E5),IF($C5="Romantasy",E$2,IF(OR($C5="Romance",$C5="Drama"),E$3,E$1))&gt;0,E5&gt;=0.7*(IF($C5="Romantasy",E$2,IF(OR($C5="Romance",$C5="Drama"),E$3,E$1))),E5&lt;(IF($C5="Romantasy",E$2,IF(OR($C5="Romance",$C5="Drama"),E$3,E$1))))</formula>
    </cfRule>
  </conditionalFormatting>
  <conditionalFormatting sqref="E5:E483">
    <cfRule type="expression" dxfId="2" priority="3" stopIfTrue="1">
      <formula>AND(ISNUMBER(E5),IF($C5="Romantasy",E$2,IF(OR($C5="Romance",$C5="Drama"),E$3,E$1))&gt;0,E5&lt;0.7*(IF($C5="Romantasy",E$2,IF(OR($C5="Romance",$C5="Drama"),E$3,E$1))))</formula>
    </cfRule>
  </conditionalFormatting>
  <conditionalFormatting sqref="F5:F483">
    <cfRule type="expression" dxfId="0" priority="4" stopIfTrue="1">
      <formula>AND(ISNUMBER(F5),IF($C5="Romantasy",F$2,IF(OR($C5="Romance",$C5="Drama"),F$3,F$1))&gt;0,F5&gt;=(IF($C5="Romantasy",F$2,IF(OR($C5="Romance",$C5="Drama"),F$3,F$1))))</formula>
    </cfRule>
  </conditionalFormatting>
  <conditionalFormatting sqref="F5:F483">
    <cfRule type="expression" dxfId="1" priority="5" stopIfTrue="1">
      <formula>AND(ISNUMBER(F5),IF($C5="Romantasy",F$2,IF(OR($C5="Romance",$C5="Drama"),F$3,F$1))&gt;0,F5&gt;=0.7*(IF($C5="Romantasy",F$2,IF(OR($C5="Romance",$C5="Drama"),F$3,F$1))),F5&lt;(IF($C5="Romantasy",F$2,IF(OR($C5="Romance",$C5="Drama"),F$3,F$1))))</formula>
    </cfRule>
  </conditionalFormatting>
  <conditionalFormatting sqref="F5:F483">
    <cfRule type="expression" dxfId="2" priority="6" stopIfTrue="1">
      <formula>AND(ISNUMBER(F5),IF($C5="Romantasy",F$2,IF(OR($C5="Romance",$C5="Drama"),F$3,F$1))&gt;0,F5&lt;0.7*(IF($C5="Romantasy",F$2,IF(OR($C5="Romance",$C5="Drama"),F$3,F$1))))</formula>
    </cfRule>
  </conditionalFormatting>
  <conditionalFormatting sqref="G5:G483">
    <cfRule type="expression" dxfId="0" priority="7" stopIfTrue="1">
      <formula>AND(ISNUMBER(G5),IF($C5="Romantasy",G$2,IF(OR($C5="Romance",$C5="Drama"),G$3,G$1))&gt;0,G5&gt;=(IF($C5="Romantasy",G$2,IF(OR($C5="Romance",$C5="Drama"),G$3,G$1))))</formula>
    </cfRule>
  </conditionalFormatting>
  <conditionalFormatting sqref="G5:G483">
    <cfRule type="expression" dxfId="1" priority="8" stopIfTrue="1">
      <formula>AND(ISNUMBER(G5),IF($C5="Romantasy",G$2,IF(OR($C5="Romance",$C5="Drama"),G$3,G$1))&gt;0,G5&gt;=0.7*(IF($C5="Romantasy",G$2,IF(OR($C5="Romance",$C5="Drama"),G$3,G$1))),G5&lt;(IF($C5="Romantasy",G$2,IF(OR($C5="Romance",$C5="Drama"),G$3,G$1))))</formula>
    </cfRule>
  </conditionalFormatting>
  <conditionalFormatting sqref="G5:G483">
    <cfRule type="expression" dxfId="2" priority="9" stopIfTrue="1">
      <formula>AND(ISNUMBER(G5),IF($C5="Romantasy",G$2,IF(OR($C5="Romance",$C5="Drama"),G$3,G$1))&gt;0,G5&lt;0.7*(IF($C5="Romantasy",G$2,IF(OR($C5="Romance",$C5="Drama"),G$3,G$1))))</formula>
    </cfRule>
  </conditionalFormatting>
  <conditionalFormatting sqref="H5:H483">
    <cfRule type="expression" dxfId="0" priority="10" stopIfTrue="1">
      <formula>AND(ISNUMBER(H5),IF($C5="Romantasy",H$2,IF(OR($C5="Romance",$C5="Drama"),H$3,H$1))&gt;0,H5&gt;=(IF($C5="Romantasy",H$2,IF(OR($C5="Romance",$C5="Drama"),H$3,H$1))))</formula>
    </cfRule>
  </conditionalFormatting>
  <conditionalFormatting sqref="H5:H483">
    <cfRule type="expression" dxfId="1" priority="11" stopIfTrue="1">
      <formula>AND(ISNUMBER(H5),IF($C5="Romantasy",H$2,IF(OR($C5="Romance",$C5="Drama"),H$3,H$1))&gt;0,H5&gt;=0.7*(IF($C5="Romantasy",H$2,IF(OR($C5="Romance",$C5="Drama"),H$3,H$1))),H5&lt;(IF($C5="Romantasy",H$2,IF(OR($C5="Romance",$C5="Drama"),H$3,H$1))))</formula>
    </cfRule>
  </conditionalFormatting>
  <conditionalFormatting sqref="H5:H483">
    <cfRule type="expression" dxfId="2" priority="12" stopIfTrue="1">
      <formula>AND(ISNUMBER(H5),IF($C5="Romantasy",H$2,IF(OR($C5="Romance",$C5="Drama"),H$3,H$1))&gt;0,H5&lt;0.7*(IF($C5="Romantasy",H$2,IF(OR($C5="Romance",$C5="Drama"),H$3,H$1))))</formula>
    </cfRule>
  </conditionalFormatting>
  <conditionalFormatting sqref="I5:I483">
    <cfRule type="expression" dxfId="0" priority="13" stopIfTrue="1">
      <formula>AND(ISNUMBER(I5),IF($C5="Romantasy",I$2,IF(OR($C5="Romance",$C5="Drama"),I$3,I$1))&gt;0,I5&gt;=(IF($C5="Romantasy",I$2,IF(OR($C5="Romance",$C5="Drama"),I$3,I$1))))</formula>
    </cfRule>
  </conditionalFormatting>
  <conditionalFormatting sqref="I5:I483">
    <cfRule type="expression" dxfId="1" priority="14" stopIfTrue="1">
      <formula>AND(ISNUMBER(I5),IF($C5="Romantasy",I$2,IF(OR($C5="Romance",$C5="Drama"),I$3,I$1))&gt;0,I5&gt;=0.7*(IF($C5="Romantasy",I$2,IF(OR($C5="Romance",$C5="Drama"),I$3,I$1))),I5&lt;(IF($C5="Romantasy",I$2,IF(OR($C5="Romance",$C5="Drama"),I$3,I$1))))</formula>
    </cfRule>
  </conditionalFormatting>
  <conditionalFormatting sqref="I5:I483">
    <cfRule type="expression" dxfId="2" priority="15" stopIfTrue="1">
      <formula>AND(ISNUMBER(I5),IF($C5="Romantasy",I$2,IF(OR($C5="Romance",$C5="Drama"),I$3,I$1))&gt;0,I5&lt;0.7*(IF($C5="Romantasy",I$2,IF(OR($C5="Romance",$C5="Drama"),I$3,I$1))))</formula>
    </cfRule>
  </conditionalFormatting>
  <conditionalFormatting sqref="J5:J483">
    <cfRule type="expression" dxfId="0" priority="16" stopIfTrue="1">
      <formula>AND(ISNUMBER(J5),IF($C5="Romantasy",J$2,IF(OR($C5="Romance",$C5="Drama"),J$3,J$1))&gt;0,J5&gt;=(IF($C5="Romantasy",J$2,IF(OR($C5="Romance",$C5="Drama"),J$3,J$1))))</formula>
    </cfRule>
  </conditionalFormatting>
  <conditionalFormatting sqref="J5:J483">
    <cfRule type="expression" dxfId="1" priority="17" stopIfTrue="1">
      <formula>AND(ISNUMBER(J5),IF($C5="Romantasy",J$2,IF(OR($C5="Romance",$C5="Drama"),J$3,J$1))&gt;0,J5&gt;=0.7*(IF($C5="Romantasy",J$2,IF(OR($C5="Romance",$C5="Drama"),J$3,J$1))),J5&lt;(IF($C5="Romantasy",J$2,IF(OR($C5="Romance",$C5="Drama"),J$3,J$1))))</formula>
    </cfRule>
  </conditionalFormatting>
  <conditionalFormatting sqref="J5:J483">
    <cfRule type="expression" dxfId="2" priority="18" stopIfTrue="1">
      <formula>AND(ISNUMBER(J5),IF($C5="Romantasy",J$2,IF(OR($C5="Romance",$C5="Drama"),J$3,J$1))&gt;0,J5&lt;0.7*(IF($C5="Romantasy",J$2,IF(OR($C5="Romance",$C5="Drama"),J$3,J$1))))</formula>
    </cfRule>
  </conditionalFormatting>
  <conditionalFormatting sqref="K5:K483">
    <cfRule type="expression" dxfId="0" priority="19" stopIfTrue="1">
      <formula>AND(ISNUMBER(K5),IF($C5="Romantasy",K$2,IF(OR($C5="Romance",$C5="Drama"),K$3,K$1))&gt;0,K5&gt;=(IF($C5="Romantasy",K$2,IF(OR($C5="Romance",$C5="Drama"),K$3,K$1))))</formula>
    </cfRule>
  </conditionalFormatting>
  <conditionalFormatting sqref="K5:K483">
    <cfRule type="expression" dxfId="1" priority="20" stopIfTrue="1">
      <formula>AND(ISNUMBER(K5),IF($C5="Romantasy",K$2,IF(OR($C5="Romance",$C5="Drama"),K$3,K$1))&gt;0,K5&gt;=0.7*(IF($C5="Romantasy",K$2,IF(OR($C5="Romance",$C5="Drama"),K$3,K$1))),K5&lt;(IF($C5="Romantasy",K$2,IF(OR($C5="Romance",$C5="Drama"),K$3,K$1))))</formula>
    </cfRule>
  </conditionalFormatting>
  <conditionalFormatting sqref="K5:K483">
    <cfRule type="expression" dxfId="2" priority="21" stopIfTrue="1">
      <formula>AND(ISNUMBER(K5),IF($C5="Romantasy",K$2,IF(OR($C5="Romance",$C5="Drama"),K$3,K$1))&gt;0,K5&lt;0.7*(IF($C5="Romantasy",K$2,IF(OR($C5="Romance",$C5="Drama"),K$3,K$1))))</formula>
    </cfRule>
  </conditionalFormatting>
  <conditionalFormatting sqref="L5:L483">
    <cfRule type="expression" dxfId="0" priority="22" stopIfTrue="1">
      <formula>AND(ISNUMBER(L5),IF($C5="Romantasy",L$2,IF(OR($C5="Romance",$C5="Drama"),L$3,L$1))&gt;0,L5&gt;=(IF($C5="Romantasy",L$2,IF(OR($C5="Romance",$C5="Drama"),L$3,L$1))))</formula>
    </cfRule>
  </conditionalFormatting>
  <conditionalFormatting sqref="L5:L483">
    <cfRule type="expression" dxfId="1" priority="23" stopIfTrue="1">
      <formula>AND(ISNUMBER(L5),IF($C5="Romantasy",L$2,IF(OR($C5="Romance",$C5="Drama"),L$3,L$1))&gt;0,L5&gt;=0.7*(IF($C5="Romantasy",L$2,IF(OR($C5="Romance",$C5="Drama"),L$3,L$1))),L5&lt;(IF($C5="Romantasy",L$2,IF(OR($C5="Romance",$C5="Drama"),L$3,L$1))))</formula>
    </cfRule>
  </conditionalFormatting>
  <conditionalFormatting sqref="L5:L483">
    <cfRule type="expression" dxfId="2" priority="24" stopIfTrue="1">
      <formula>AND(ISNUMBER(L5),IF($C5="Romantasy",L$2,IF(OR($C5="Romance",$C5="Drama"),L$3,L$1))&gt;0,L5&lt;0.7*(IF($C5="Romantasy",L$2,IF(OR($C5="Romance",$C5="Drama"),L$3,L$1))))</formula>
    </cfRule>
  </conditionalFormatting>
  <conditionalFormatting sqref="M5:M483">
    <cfRule type="expression" dxfId="0" priority="25" stopIfTrue="1">
      <formula>AND(ISNUMBER(M5),IF($C5="Romantasy",M$2,IF(OR($C5="Romance",$C5="Drama"),M$3,M$1))&gt;0,M5&gt;=(IF($C5="Romantasy",M$2,IF(OR($C5="Romance",$C5="Drama"),M$3,M$1))))</formula>
    </cfRule>
  </conditionalFormatting>
  <conditionalFormatting sqref="M5:M483">
    <cfRule type="expression" dxfId="1" priority="26" stopIfTrue="1">
      <formula>AND(ISNUMBER(M5),IF($C5="Romantasy",M$2,IF(OR($C5="Romance",$C5="Drama"),M$3,M$1))&gt;0,M5&gt;=0.7*(IF($C5="Romantasy",M$2,IF(OR($C5="Romance",$C5="Drama"),M$3,M$1))),M5&lt;(IF($C5="Romantasy",M$2,IF(OR($C5="Romance",$C5="Drama"),M$3,M$1))))</formula>
    </cfRule>
  </conditionalFormatting>
  <conditionalFormatting sqref="M5:M483">
    <cfRule type="expression" dxfId="2" priority="27" stopIfTrue="1">
      <formula>AND(ISNUMBER(M5),IF($C5="Romantasy",M$2,IF(OR($C5="Romance",$C5="Drama"),M$3,M$1))&gt;0,M5&lt;0.7*(IF($C5="Romantasy",M$2,IF(OR($C5="Romance",$C5="Drama"),M$3,M$1))))</formula>
    </cfRule>
  </conditionalFormatting>
  <conditionalFormatting sqref="N5:N483">
    <cfRule type="expression" dxfId="0" priority="28" stopIfTrue="1">
      <formula>AND(ISNUMBER(N5),IF($C5="Romantasy",N$2,IF(OR($C5="Romance",$C5="Drama"),N$3,N$1))&gt;0,N5&gt;=(IF($C5="Romantasy",N$2,IF(OR($C5="Romance",$C5="Drama"),N$3,N$1))))</formula>
    </cfRule>
  </conditionalFormatting>
  <conditionalFormatting sqref="N5:N483">
    <cfRule type="expression" dxfId="1" priority="29" stopIfTrue="1">
      <formula>AND(ISNUMBER(N5),IF($C5="Romantasy",N$2,IF(OR($C5="Romance",$C5="Drama"),N$3,N$1))&gt;0,N5&gt;=0.7*(IF($C5="Romantasy",N$2,IF(OR($C5="Romance",$C5="Drama"),N$3,N$1))),N5&lt;(IF($C5="Romantasy",N$2,IF(OR($C5="Romance",$C5="Drama"),N$3,N$1))))</formula>
    </cfRule>
  </conditionalFormatting>
  <conditionalFormatting sqref="N5:N483">
    <cfRule type="expression" dxfId="2" priority="30" stopIfTrue="1">
      <formula>AND(ISNUMBER(N5),IF($C5="Romantasy",N$2,IF(OR($C5="Romance",$C5="Drama"),N$3,N$1))&gt;0,N5&lt;0.7*(IF($C5="Romantasy",N$2,IF(OR($C5="Romance",$C5="Drama"),N$3,N$1))))</formula>
    </cfRule>
  </conditionalFormatting>
  <conditionalFormatting sqref="O5:O483">
    <cfRule type="expression" dxfId="0" priority="31" stopIfTrue="1">
      <formula>AND(ISNUMBER(O5),IF($C5="Romantasy",O$2,IF(OR($C5="Romance",$C5="Drama"),O$3,O$1))&gt;0,O5&gt;=(IF($C5="Romantasy",O$2,IF(OR($C5="Romance",$C5="Drama"),O$3,O$1))))</formula>
    </cfRule>
  </conditionalFormatting>
  <conditionalFormatting sqref="O5:O483">
    <cfRule type="expression" dxfId="1" priority="32" stopIfTrue="1">
      <formula>AND(ISNUMBER(O5),IF($C5="Romantasy",O$2,IF(OR($C5="Romance",$C5="Drama"),O$3,O$1))&gt;0,O5&gt;=0.7*(IF($C5="Romantasy",O$2,IF(OR($C5="Romance",$C5="Drama"),O$3,O$1))),O5&lt;(IF($C5="Romantasy",O$2,IF(OR($C5="Romance",$C5="Drama"),O$3,O$1))))</formula>
    </cfRule>
  </conditionalFormatting>
  <conditionalFormatting sqref="O5:O483">
    <cfRule type="expression" dxfId="2" priority="33" stopIfTrue="1">
      <formula>AND(ISNUMBER(O5),IF($C5="Romantasy",O$2,IF(OR($C5="Romance",$C5="Drama"),O$3,O$1))&gt;0,O5&lt;0.7*(IF($C5="Romantasy",O$2,IF(OR($C5="Romance",$C5="Drama"),O$3,O$1))))</formula>
    </cfRule>
  </conditionalFormatting>
  <conditionalFormatting sqref="P5:P483">
    <cfRule type="expression" dxfId="0" priority="34" stopIfTrue="1">
      <formula>AND(ISNUMBER(P5),IF($C5="Romantasy",P$2,IF(OR($C5="Romance",$C5="Drama"),P$3,P$1))&gt;0,P5&gt;=(IF($C5="Romantasy",P$2,IF(OR($C5="Romance",$C5="Drama"),P$3,P$1))))</formula>
    </cfRule>
  </conditionalFormatting>
  <conditionalFormatting sqref="P5:P483">
    <cfRule type="expression" dxfId="1" priority="35" stopIfTrue="1">
      <formula>AND(ISNUMBER(P5),IF($C5="Romantasy",P$2,IF(OR($C5="Romance",$C5="Drama"),P$3,P$1))&gt;0,P5&gt;=0.7*(IF($C5="Romantasy",P$2,IF(OR($C5="Romance",$C5="Drama"),P$3,P$1))),P5&lt;(IF($C5="Romantasy",P$2,IF(OR($C5="Romance",$C5="Drama"),P$3,P$1))))</formula>
    </cfRule>
  </conditionalFormatting>
  <conditionalFormatting sqref="P5:P483">
    <cfRule type="expression" dxfId="2" priority="36" stopIfTrue="1">
      <formula>AND(ISNUMBER(P5),IF($C5="Romantasy",P$2,IF(OR($C5="Romance",$C5="Drama"),P$3,P$1))&gt;0,P5&lt;0.7*(IF($C5="Romantasy",P$2,IF(OR($C5="Romance",$C5="Drama"),P$3,P$1))))</formula>
    </cfRule>
  </conditionalFormatting>
  <conditionalFormatting sqref="Q5:Q483">
    <cfRule type="expression" dxfId="0" priority="37" stopIfTrue="1">
      <formula>AND(ISNUMBER(Q5),IF($C5="Romantasy",Q$2,IF(OR($C5="Romance",$C5="Drama"),Q$3,Q$1))&gt;0,Q5&gt;=(IF($C5="Romantasy",Q$2,IF(OR($C5="Romance",$C5="Drama"),Q$3,Q$1))))</formula>
    </cfRule>
  </conditionalFormatting>
  <conditionalFormatting sqref="Q5:Q483">
    <cfRule type="expression" dxfId="1" priority="38" stopIfTrue="1">
      <formula>AND(ISNUMBER(Q5),IF($C5="Romantasy",Q$2,IF(OR($C5="Romance",$C5="Drama"),Q$3,Q$1))&gt;0,Q5&gt;=0.7*(IF($C5="Romantasy",Q$2,IF(OR($C5="Romance",$C5="Drama"),Q$3,Q$1))),Q5&lt;(IF($C5="Romantasy",Q$2,IF(OR($C5="Romance",$C5="Drama"),Q$3,Q$1))))</formula>
    </cfRule>
  </conditionalFormatting>
  <conditionalFormatting sqref="Q5:Q483">
    <cfRule type="expression" dxfId="2" priority="39" stopIfTrue="1">
      <formula>AND(ISNUMBER(Q5),IF($C5="Romantasy",Q$2,IF(OR($C5="Romance",$C5="Drama"),Q$3,Q$1))&gt;0,Q5&lt;0.7*(IF($C5="Romantasy",Q$2,IF(OR($C5="Romance",$C5="Drama"),Q$3,Q$1))))</formula>
    </cfRule>
  </conditionalFormatting>
  <conditionalFormatting sqref="R5:R483">
    <cfRule type="expression" dxfId="0" priority="40" stopIfTrue="1">
      <formula>AND(ISNUMBER(R5),IF($C5="Romantasy",R$2,IF(OR($C5="Romance",$C5="Drama"),R$3,R$1))&gt;0,R5&gt;=(IF($C5="Romantasy",R$2,IF(OR($C5="Romance",$C5="Drama"),R$3,R$1))))</formula>
    </cfRule>
  </conditionalFormatting>
  <conditionalFormatting sqref="R5:R483">
    <cfRule type="expression" dxfId="1" priority="41" stopIfTrue="1">
      <formula>AND(ISNUMBER(R5),IF($C5="Romantasy",R$2,IF(OR($C5="Romance",$C5="Drama"),R$3,R$1))&gt;0,R5&gt;=0.7*(IF($C5="Romantasy",R$2,IF(OR($C5="Romance",$C5="Drama"),R$3,R$1))),R5&lt;(IF($C5="Romantasy",R$2,IF(OR($C5="Romance",$C5="Drama"),R$3,R$1))))</formula>
    </cfRule>
  </conditionalFormatting>
  <conditionalFormatting sqref="R5:R483">
    <cfRule type="expression" dxfId="2" priority="42" stopIfTrue="1">
      <formula>AND(ISNUMBER(R5),IF($C5="Romantasy",R$2,IF(OR($C5="Romance",$C5="Drama"),R$3,R$1))&gt;0,R5&lt;0.7*(IF($C5="Romantasy",R$2,IF(OR($C5="Romance",$C5="Drama"),R$3,R$1))))</formula>
    </cfRule>
  </conditionalFormatting>
  <conditionalFormatting sqref="S5:S483">
    <cfRule type="expression" dxfId="0" priority="43" stopIfTrue="1">
      <formula>AND(ISNUMBER(S5),IF($C5="Romantasy",S$2,IF(OR($C5="Romance",$C5="Drama"),S$3,S$1))&gt;0,S5&gt;=(IF($C5="Romantasy",S$2,IF(OR($C5="Romance",$C5="Drama"),S$3,S$1))))</formula>
    </cfRule>
  </conditionalFormatting>
  <conditionalFormatting sqref="S5:S483">
    <cfRule type="expression" dxfId="1" priority="44" stopIfTrue="1">
      <formula>AND(ISNUMBER(S5),IF($C5="Romantasy",S$2,IF(OR($C5="Romance",$C5="Drama"),S$3,S$1))&gt;0,S5&gt;=0.7*(IF($C5="Romantasy",S$2,IF(OR($C5="Romance",$C5="Drama"),S$3,S$1))),S5&lt;(IF($C5="Romantasy",S$2,IF(OR($C5="Romance",$C5="Drama"),S$3,S$1))))</formula>
    </cfRule>
  </conditionalFormatting>
  <conditionalFormatting sqref="S5:S483">
    <cfRule type="expression" dxfId="2" priority="45" stopIfTrue="1">
      <formula>AND(ISNUMBER(S5),IF($C5="Romantasy",S$2,IF(OR($C5="Romance",$C5="Drama"),S$3,S$1))&gt;0,S5&lt;0.7*(IF($C5="Romantasy",S$2,IF(OR($C5="Romance",$C5="Drama"),S$3,S$1))))</formula>
    </cfRule>
  </conditionalFormatting>
  <conditionalFormatting sqref="T5:T483">
    <cfRule type="expression" dxfId="0" priority="46" stopIfTrue="1">
      <formula>AND(ISNUMBER(T5),IF($C5="Romantasy",T$2,IF(OR($C5="Romance",$C5="Drama"),T$3,T$1))&gt;0,T5&gt;=(IF($C5="Romantasy",T$2,IF(OR($C5="Romance",$C5="Drama"),T$3,T$1))))</formula>
    </cfRule>
  </conditionalFormatting>
  <conditionalFormatting sqref="T5:T483">
    <cfRule type="expression" dxfId="1" priority="47" stopIfTrue="1">
      <formula>AND(ISNUMBER(T5),IF($C5="Romantasy",T$2,IF(OR($C5="Romance",$C5="Drama"),T$3,T$1))&gt;0,T5&gt;=0.7*(IF($C5="Romantasy",T$2,IF(OR($C5="Romance",$C5="Drama"),T$3,T$1))),T5&lt;(IF($C5="Romantasy",T$2,IF(OR($C5="Romance",$C5="Drama"),T$3,T$1))))</formula>
    </cfRule>
  </conditionalFormatting>
  <conditionalFormatting sqref="T5:T483">
    <cfRule type="expression" dxfId="2" priority="48" stopIfTrue="1">
      <formula>AND(ISNUMBER(T5),IF($C5="Romantasy",T$2,IF(OR($C5="Romance",$C5="Drama"),T$3,T$1))&gt;0,T5&lt;0.7*(IF($C5="Romantasy",T$2,IF(OR($C5="Romance",$C5="Drama"),T$3,T$1))))</formula>
    </cfRule>
  </conditionalFormatting>
  <conditionalFormatting sqref="U5:U483">
    <cfRule type="expression" dxfId="0" priority="49" stopIfTrue="1">
      <formula>AND(ISNUMBER(U5),IF($C5="Romantasy",U$2,IF(OR($C5="Romance",$C5="Drama"),U$3,U$1))&gt;0,U5&gt;=(IF($C5="Romantasy",U$2,IF(OR($C5="Romance",$C5="Drama"),U$3,U$1))))</formula>
    </cfRule>
  </conditionalFormatting>
  <conditionalFormatting sqref="U5:U483">
    <cfRule type="expression" dxfId="1" priority="50" stopIfTrue="1">
      <formula>AND(ISNUMBER(U5),IF($C5="Romantasy",U$2,IF(OR($C5="Romance",$C5="Drama"),U$3,U$1))&gt;0,U5&gt;=0.7*(IF($C5="Romantasy",U$2,IF(OR($C5="Romance",$C5="Drama"),U$3,U$1))),U5&lt;(IF($C5="Romantasy",U$2,IF(OR($C5="Romance",$C5="Drama"),U$3,U$1))))</formula>
    </cfRule>
  </conditionalFormatting>
  <conditionalFormatting sqref="U5:U483">
    <cfRule type="expression" dxfId="2" priority="51" stopIfTrue="1">
      <formula>AND(ISNUMBER(U5),IF($C5="Romantasy",U$2,IF(OR($C5="Romance",$C5="Drama"),U$3,U$1))&gt;0,U5&lt;0.7*(IF($C5="Romantasy",U$2,IF(OR($C5="Romance",$C5="Drama"),U$3,U$1))))</formula>
    </cfRule>
  </conditionalFormatting>
  <conditionalFormatting sqref="V5:V483">
    <cfRule type="expression" dxfId="0" priority="52" stopIfTrue="1">
      <formula>AND(ISNUMBER(V5),IF($C5="Romantasy",V$2,IF(OR($C5="Romance",$C5="Drama"),V$3,V$1))&gt;0,V5&gt;=(IF($C5="Romantasy",V$2,IF(OR($C5="Romance",$C5="Drama"),V$3,V$1))))</formula>
    </cfRule>
  </conditionalFormatting>
  <conditionalFormatting sqref="V5:V483">
    <cfRule type="expression" dxfId="1" priority="53" stopIfTrue="1">
      <formula>AND(ISNUMBER(V5),IF($C5="Romantasy",V$2,IF(OR($C5="Romance",$C5="Drama"),V$3,V$1))&gt;0,V5&gt;=0.7*(IF($C5="Romantasy",V$2,IF(OR($C5="Romance",$C5="Drama"),V$3,V$1))),V5&lt;(IF($C5="Romantasy",V$2,IF(OR($C5="Romance",$C5="Drama"),V$3,V$1))))</formula>
    </cfRule>
  </conditionalFormatting>
  <conditionalFormatting sqref="V5:V483">
    <cfRule type="expression" dxfId="2" priority="54" stopIfTrue="1">
      <formula>AND(ISNUMBER(V5),IF($C5="Romantasy",V$2,IF(OR($C5="Romance",$C5="Drama"),V$3,V$1))&gt;0,V5&lt;0.7*(IF($C5="Romantasy",V$2,IF(OR($C5="Romance",$C5="Drama"),V$3,V$1))))</formula>
    </cfRule>
  </conditionalFormatting>
  <conditionalFormatting sqref="W5:W483">
    <cfRule type="expression" dxfId="0" priority="55" stopIfTrue="1">
      <formula>AND(ISNUMBER(W5),IF($C5="Romantasy",W$2,IF(OR($C5="Romance",$C5="Drama"),W$3,W$1))&gt;0,W5&gt;=(IF($C5="Romantasy",W$2,IF(OR($C5="Romance",$C5="Drama"),W$3,W$1))))</formula>
    </cfRule>
  </conditionalFormatting>
  <conditionalFormatting sqref="W5:W483">
    <cfRule type="expression" dxfId="1" priority="56" stopIfTrue="1">
      <formula>AND(ISNUMBER(W5),IF($C5="Romantasy",W$2,IF(OR($C5="Romance",$C5="Drama"),W$3,W$1))&gt;0,W5&gt;=0.7*(IF($C5="Romantasy",W$2,IF(OR($C5="Romance",$C5="Drama"),W$3,W$1))),W5&lt;(IF($C5="Romantasy",W$2,IF(OR($C5="Romance",$C5="Drama"),W$3,W$1))))</formula>
    </cfRule>
  </conditionalFormatting>
  <conditionalFormatting sqref="W5:W483">
    <cfRule type="expression" dxfId="2" priority="57" stopIfTrue="1">
      <formula>AND(ISNUMBER(W5),IF($C5="Romantasy",W$2,IF(OR($C5="Romance",$C5="Drama"),W$3,W$1))&gt;0,W5&lt;0.7*(IF($C5="Romantasy",W$2,IF(OR($C5="Romance",$C5="Drama"),W$3,W$1))))</formula>
    </cfRule>
  </conditionalFormatting>
  <conditionalFormatting sqref="X5:X483">
    <cfRule type="expression" dxfId="0" priority="58" stopIfTrue="1">
      <formula>AND(ISNUMBER(X5),IF($C5="Romantasy",X$2,IF(OR($C5="Romance",$C5="Drama"),X$3,X$1))&gt;0,X5&gt;=(IF($C5="Romantasy",X$2,IF(OR($C5="Romance",$C5="Drama"),X$3,X$1))))</formula>
    </cfRule>
  </conditionalFormatting>
  <conditionalFormatting sqref="X5:X483">
    <cfRule type="expression" dxfId="1" priority="59" stopIfTrue="1">
      <formula>AND(ISNUMBER(X5),IF($C5="Romantasy",X$2,IF(OR($C5="Romance",$C5="Drama"),X$3,X$1))&gt;0,X5&gt;=0.7*(IF($C5="Romantasy",X$2,IF(OR($C5="Romance",$C5="Drama"),X$3,X$1))),X5&lt;(IF($C5="Romantasy",X$2,IF(OR($C5="Romance",$C5="Drama"),X$3,X$1))))</formula>
    </cfRule>
  </conditionalFormatting>
  <conditionalFormatting sqref="X5:X483">
    <cfRule type="expression" dxfId="2" priority="60" stopIfTrue="1">
      <formula>AND(ISNUMBER(X5),IF($C5="Romantasy",X$2,IF(OR($C5="Romance",$C5="Drama"),X$3,X$1))&gt;0,X5&lt;0.7*(IF($C5="Romantasy",X$2,IF(OR($C5="Romance",$C5="Drama"),X$3,X$1))))</formula>
    </cfRule>
  </conditionalFormatting>
  <conditionalFormatting sqref="Y5:Y483">
    <cfRule type="expression" dxfId="0" priority="61" stopIfTrue="1">
      <formula>AND(ISNUMBER(Y5),IF($C5="Romantasy",Y$2,IF(OR($C5="Romance",$C5="Drama"),Y$3,Y$1))&gt;0,Y5&gt;=(IF($C5="Romantasy",Y$2,IF(OR($C5="Romance",$C5="Drama"),Y$3,Y$1))))</formula>
    </cfRule>
  </conditionalFormatting>
  <conditionalFormatting sqref="Y5:Y483">
    <cfRule type="expression" dxfId="1" priority="62" stopIfTrue="1">
      <formula>AND(ISNUMBER(Y5),IF($C5="Romantasy",Y$2,IF(OR($C5="Romance",$C5="Drama"),Y$3,Y$1))&gt;0,Y5&gt;=0.7*(IF($C5="Romantasy",Y$2,IF(OR($C5="Romance",$C5="Drama"),Y$3,Y$1))),Y5&lt;(IF($C5="Romantasy",Y$2,IF(OR($C5="Romance",$C5="Drama"),Y$3,Y$1))))</formula>
    </cfRule>
  </conditionalFormatting>
  <conditionalFormatting sqref="Y5:Y483">
    <cfRule type="expression" dxfId="2" priority="63" stopIfTrue="1">
      <formula>AND(ISNUMBER(Y5),IF($C5="Romantasy",Y$2,IF(OR($C5="Romance",$C5="Drama"),Y$3,Y$1))&gt;0,Y5&lt;0.7*(IF($C5="Romantasy",Y$2,IF(OR($C5="Romance",$C5="Drama"),Y$3,Y$1))))</formula>
    </cfRule>
  </conditionalFormatting>
  <conditionalFormatting sqref="Z5:Z483">
    <cfRule type="expression" dxfId="0" priority="64" stopIfTrue="1">
      <formula>AND(ISNUMBER(Z5),IF($C5="Romantasy",Z$2,IF(OR($C5="Romance",$C5="Drama"),Z$3,Z$1))&gt;0,Z5&gt;=(IF($C5="Romantasy",Z$2,IF(OR($C5="Romance",$C5="Drama"),Z$3,Z$1))))</formula>
    </cfRule>
  </conditionalFormatting>
  <conditionalFormatting sqref="Z5:Z483">
    <cfRule type="expression" dxfId="1" priority="65" stopIfTrue="1">
      <formula>AND(ISNUMBER(Z5),IF($C5="Romantasy",Z$2,IF(OR($C5="Romance",$C5="Drama"),Z$3,Z$1))&gt;0,Z5&gt;=0.7*(IF($C5="Romantasy",Z$2,IF(OR($C5="Romance",$C5="Drama"),Z$3,Z$1))),Z5&lt;(IF($C5="Romantasy",Z$2,IF(OR($C5="Romance",$C5="Drama"),Z$3,Z$1))))</formula>
    </cfRule>
  </conditionalFormatting>
  <conditionalFormatting sqref="Z5:Z483">
    <cfRule type="expression" dxfId="2" priority="66" stopIfTrue="1">
      <formula>AND(ISNUMBER(Z5),IF($C5="Romantasy",Z$2,IF(OR($C5="Romance",$C5="Drama"),Z$3,Z$1))&gt;0,Z5&lt;0.7*(IF($C5="Romantasy",Z$2,IF(OR($C5="Romance",$C5="Drama"),Z$3,Z$1))))</formula>
    </cfRule>
  </conditionalFormatting>
  <conditionalFormatting sqref="AA5:AA483">
    <cfRule type="expression" dxfId="0" priority="67" stopIfTrue="1">
      <formula>AND(ISNUMBER(AA5),IF($C5="Romantasy",AA$2,IF(OR($C5="Romance",$C5="Drama"),AA$3,AA$1))&gt;0,AA5&gt;=(IF($C5="Romantasy",AA$2,IF(OR($C5="Romance",$C5="Drama"),AA$3,AA$1))))</formula>
    </cfRule>
  </conditionalFormatting>
  <conditionalFormatting sqref="AA5:AA483">
    <cfRule type="expression" dxfId="1" priority="68" stopIfTrue="1">
      <formula>AND(ISNUMBER(AA5),IF($C5="Romantasy",AA$2,IF(OR($C5="Romance",$C5="Drama"),AA$3,AA$1))&gt;0,AA5&gt;=0.7*(IF($C5="Romantasy",AA$2,IF(OR($C5="Romance",$C5="Drama"),AA$3,AA$1))),AA5&lt;(IF($C5="Romantasy",AA$2,IF(OR($C5="Romance",$C5="Drama"),AA$3,AA$1))))</formula>
    </cfRule>
  </conditionalFormatting>
  <conditionalFormatting sqref="AA5:AA483">
    <cfRule type="expression" dxfId="2" priority="69" stopIfTrue="1">
      <formula>AND(ISNUMBER(AA5),IF($C5="Romantasy",AA$2,IF(OR($C5="Romance",$C5="Drama"),AA$3,AA$1))&gt;0,AA5&lt;0.7*(IF($C5="Romantasy",AA$2,IF(OR($C5="Romance",$C5="Drama"),AA$3,AA$1))))</formula>
    </cfRule>
  </conditionalFormatting>
  <conditionalFormatting sqref="AB5:AB483">
    <cfRule type="expression" dxfId="0" priority="70" stopIfTrue="1">
      <formula>AND(ISNUMBER(AB5),IF($C5="Romantasy",AB$2,IF(OR($C5="Romance",$C5="Drama"),AB$3,AB$1))&gt;0,AB5&gt;=(IF($C5="Romantasy",AB$2,IF(OR($C5="Romance",$C5="Drama"),AB$3,AB$1))))</formula>
    </cfRule>
  </conditionalFormatting>
  <conditionalFormatting sqref="AB5:AB483">
    <cfRule type="expression" dxfId="1" priority="71" stopIfTrue="1">
      <formula>AND(ISNUMBER(AB5),IF($C5="Romantasy",AB$2,IF(OR($C5="Romance",$C5="Drama"),AB$3,AB$1))&gt;0,AB5&gt;=0.7*(IF($C5="Romantasy",AB$2,IF(OR($C5="Romance",$C5="Drama"),AB$3,AB$1))),AB5&lt;(IF($C5="Romantasy",AB$2,IF(OR($C5="Romance",$C5="Drama"),AB$3,AB$1))))</formula>
    </cfRule>
  </conditionalFormatting>
  <conditionalFormatting sqref="AB5:AB483">
    <cfRule type="expression" dxfId="2" priority="72" stopIfTrue="1">
      <formula>AND(ISNUMBER(AB5),IF($C5="Romantasy",AB$2,IF(OR($C5="Romance",$C5="Drama"),AB$3,AB$1))&gt;0,AB5&lt;0.7*(IF($C5="Romantasy",AB$2,IF(OR($C5="Romance",$C5="Drama"),AB$3,AB$1))))</formula>
    </cfRule>
  </conditionalFormatting>
  <conditionalFormatting sqref="AC5:AC483">
    <cfRule type="expression" dxfId="0" priority="73" stopIfTrue="1">
      <formula>AND(ISNUMBER(AC5),IF($C5="Romantasy",AC$2,IF(OR($C5="Romance",$C5="Drama"),AC$3,AC$1))&gt;0,AC5&gt;=(IF($C5="Romantasy",AC$2,IF(OR($C5="Romance",$C5="Drama"),AC$3,AC$1))))</formula>
    </cfRule>
  </conditionalFormatting>
  <conditionalFormatting sqref="AC5:AC483">
    <cfRule type="expression" dxfId="1" priority="74" stopIfTrue="1">
      <formula>AND(ISNUMBER(AC5),IF($C5="Romantasy",AC$2,IF(OR($C5="Romance",$C5="Drama"),AC$3,AC$1))&gt;0,AC5&gt;=0.7*(IF($C5="Romantasy",AC$2,IF(OR($C5="Romance",$C5="Drama"),AC$3,AC$1))),AC5&lt;(IF($C5="Romantasy",AC$2,IF(OR($C5="Romance",$C5="Drama"),AC$3,AC$1))))</formula>
    </cfRule>
  </conditionalFormatting>
  <conditionalFormatting sqref="AC5:AC483">
    <cfRule type="expression" dxfId="2" priority="75" stopIfTrue="1">
      <formula>AND(ISNUMBER(AC5),IF($C5="Romantasy",AC$2,IF(OR($C5="Romance",$C5="Drama"),AC$3,AC$1))&gt;0,AC5&lt;0.7*(IF($C5="Romantasy",AC$2,IF(OR($C5="Romance",$C5="Drama"),AC$3,AC$1))))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3" width="12.63"/>
  </cols>
  <sheetData>
    <row r="1" ht="15.75" customHeight="1">
      <c r="A1" s="1"/>
      <c r="B1" s="1" t="s">
        <v>0</v>
      </c>
      <c r="C1" s="1" t="s">
        <v>1</v>
      </c>
      <c r="D1" s="5">
        <v>834266.0</v>
      </c>
      <c r="E1" s="4">
        <v>0.86805422929136</v>
      </c>
      <c r="F1" s="4">
        <v>0.437017025291517</v>
      </c>
      <c r="G1" s="4">
        <v>0.375848684734906</v>
      </c>
      <c r="H1" s="4">
        <v>0.348008042927916</v>
      </c>
      <c r="I1" s="4">
        <v>0.319799155900797</v>
      </c>
      <c r="J1" s="4">
        <v>0.308102149326089</v>
      </c>
      <c r="K1" s="4">
        <v>0.278340453134524</v>
      </c>
      <c r="L1" s="4">
        <v>0.256283246960627</v>
      </c>
      <c r="M1" s="4">
        <v>0.245998550956</v>
      </c>
      <c r="N1" s="4">
        <v>0.23868683807933</v>
      </c>
      <c r="O1" s="4">
        <v>0.212007748547147</v>
      </c>
      <c r="P1" s="4">
        <v>0.188989714141477</v>
      </c>
      <c r="Q1" s="4">
        <v>0.164379023219818</v>
      </c>
      <c r="R1" s="4">
        <v>0.148383244244286</v>
      </c>
      <c r="S1" s="4">
        <v>0.138546407981846</v>
      </c>
      <c r="T1" s="4">
        <v>0.134039452793666</v>
      </c>
      <c r="U1" s="4">
        <v>0.128884579203345</v>
      </c>
      <c r="V1" s="4">
        <v>0.124608776299899</v>
      </c>
      <c r="W1" s="4">
        <v>0.120484532929318</v>
      </c>
      <c r="X1" s="4">
        <v>0.116572976907833</v>
      </c>
      <c r="Y1" s="4">
        <v>0.111749068227367</v>
      </c>
      <c r="Z1" s="4">
        <v>0.105744417925636</v>
      </c>
      <c r="AA1" s="4">
        <v>0.0981985781881485</v>
      </c>
      <c r="AB1" s="4">
        <v>0.0911293971487074</v>
      </c>
      <c r="AC1" s="4">
        <v>0.0841491752110861</v>
      </c>
    </row>
    <row r="2" ht="15.75" customHeight="1">
      <c r="A2" s="1"/>
      <c r="B2" s="1" t="s">
        <v>0</v>
      </c>
      <c r="C2" s="1" t="s">
        <v>2</v>
      </c>
      <c r="D2" s="5">
        <v>1095881.0</v>
      </c>
      <c r="E2" s="4">
        <v>0.853692875151399</v>
      </c>
      <c r="F2" s="4">
        <v>0.687580582952228</v>
      </c>
      <c r="G2" s="4">
        <v>0.609067210615845</v>
      </c>
      <c r="H2" s="4">
        <v>0.542803424015226</v>
      </c>
      <c r="I2" s="4">
        <v>0.439921616951492</v>
      </c>
      <c r="J2" s="4">
        <v>0.377494317685518</v>
      </c>
      <c r="K2" s="4">
        <v>0.338030060170693</v>
      </c>
      <c r="L2" s="4">
        <v>0.314209889406476</v>
      </c>
      <c r="M2" s="4">
        <v>0.296185970828877</v>
      </c>
      <c r="N2" s="4">
        <v>0.283775330616099</v>
      </c>
      <c r="O2" s="4">
        <v>0.240977111835293</v>
      </c>
      <c r="P2" s="4">
        <v>0.217821782178217</v>
      </c>
      <c r="Q2" s="4">
        <v>0.192369080570073</v>
      </c>
      <c r="R2" s="4">
        <v>0.175803248113744</v>
      </c>
      <c r="S2" s="4">
        <v>0.150140961746589</v>
      </c>
      <c r="T2" s="4">
        <v>0.134454705364995</v>
      </c>
      <c r="U2" s="4">
        <v>0.118105504305158</v>
      </c>
      <c r="V2" s="4">
        <v>0.103883121515327</v>
      </c>
      <c r="W2" s="4">
        <v>0.0934575533840506</v>
      </c>
      <c r="X2" s="4">
        <v>0.0819422184605595</v>
      </c>
      <c r="Y2" s="4">
        <v>0.0637905672239414</v>
      </c>
      <c r="Z2" s="4">
        <v>0.0441255185333868</v>
      </c>
      <c r="AA2" s="4">
        <v>0.0</v>
      </c>
      <c r="AB2" s="4">
        <v>0.0</v>
      </c>
      <c r="AC2" s="4">
        <v>0.0</v>
      </c>
    </row>
    <row r="3" ht="15.75" customHeight="1">
      <c r="A3" s="1"/>
      <c r="B3" s="1" t="s">
        <v>0</v>
      </c>
      <c r="C3" s="1" t="s">
        <v>3</v>
      </c>
      <c r="D3" s="5">
        <v>901919.0</v>
      </c>
      <c r="E3" s="4">
        <v>0.911143185464396</v>
      </c>
      <c r="F3" s="4">
        <v>0.567530785340547</v>
      </c>
      <c r="G3" s="4">
        <v>0.504059423813652</v>
      </c>
      <c r="H3" s="4">
        <v>0.417551127513106</v>
      </c>
      <c r="I3" s="4">
        <v>0.372333500362393</v>
      </c>
      <c r="J3" s="4">
        <v>0.310491406547605</v>
      </c>
      <c r="K3" s="4">
        <v>0.28445610513482</v>
      </c>
      <c r="L3" s="4">
        <v>0.266960456423372</v>
      </c>
      <c r="M3" s="4">
        <v>0.255917836045932</v>
      </c>
      <c r="N3" s="4">
        <v>0.247478440639253</v>
      </c>
      <c r="O3" s="4">
        <v>0.215135645897608</v>
      </c>
      <c r="P3" s="4">
        <v>0.194906109343195</v>
      </c>
      <c r="Q3" s="4">
        <v>0.176402476432214</v>
      </c>
      <c r="R3" s="4">
        <v>0.155401061399367</v>
      </c>
      <c r="S3" s="4">
        <v>0.142160864345738</v>
      </c>
      <c r="T3" s="4">
        <v>0.129649352554732</v>
      </c>
      <c r="U3" s="4">
        <v>0.122892794758</v>
      </c>
      <c r="V3" s="4">
        <v>0.116104118800027</v>
      </c>
      <c r="W3" s="4">
        <v>0.104590704144755</v>
      </c>
      <c r="X3" s="4">
        <v>0.0932666763911542</v>
      </c>
      <c r="Y3" s="4">
        <v>0.0720089105209755</v>
      </c>
      <c r="Z3" s="4">
        <v>0.0510642895732036</v>
      </c>
      <c r="AA3" s="4">
        <v>0.0293712712253327</v>
      </c>
      <c r="AB3" s="4">
        <v>0.0</v>
      </c>
      <c r="AC3" s="4">
        <v>0.0</v>
      </c>
    </row>
    <row r="4" ht="15.75" customHeight="1">
      <c r="A4" s="6" t="s">
        <v>4</v>
      </c>
      <c r="B4" s="6" t="s">
        <v>5</v>
      </c>
      <c r="C4" s="6" t="s">
        <v>6</v>
      </c>
      <c r="D4" s="9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8" t="s">
        <v>13</v>
      </c>
      <c r="K4" s="8" t="s">
        <v>14</v>
      </c>
      <c r="L4" s="8" t="s">
        <v>15</v>
      </c>
      <c r="M4" s="8" t="s">
        <v>16</v>
      </c>
      <c r="N4" s="8" t="s">
        <v>17</v>
      </c>
      <c r="O4" s="8" t="s">
        <v>18</v>
      </c>
      <c r="P4" s="8" t="s">
        <v>19</v>
      </c>
      <c r="Q4" s="8" t="s">
        <v>20</v>
      </c>
      <c r="R4" s="8" t="s">
        <v>21</v>
      </c>
      <c r="S4" s="8" t="s">
        <v>22</v>
      </c>
      <c r="T4" s="8" t="s">
        <v>23</v>
      </c>
      <c r="U4" s="8" t="s">
        <v>24</v>
      </c>
      <c r="V4" s="8" t="s">
        <v>25</v>
      </c>
      <c r="W4" s="8" t="s">
        <v>26</v>
      </c>
      <c r="X4" s="8" t="s">
        <v>27</v>
      </c>
      <c r="Y4" s="8" t="s">
        <v>28</v>
      </c>
      <c r="Z4" s="8" t="s">
        <v>29</v>
      </c>
      <c r="AA4" s="8" t="s">
        <v>30</v>
      </c>
      <c r="AB4" s="8" t="s">
        <v>31</v>
      </c>
      <c r="AC4" s="8" t="s">
        <v>32</v>
      </c>
    </row>
    <row r="5" ht="15.75" customHeight="1">
      <c r="A5" s="10" t="str">
        <f>IFERROR(__xludf.DUMMYFUNCTION("{
IMPORTRANGE(""https://docs.google.com/spreadsheets/d/1OLoRCn0B2mP-LizDOaFp_LsrXGtZR4ZKvHn3aia4TMo/edit"",""Nml US!B5:B""),
IMPORTRANGE(""https://docs.google.com/spreadsheets/d/1OLoRCn0B2mP-LizDOaFp_LsrXGtZR4ZKvHn3aia4TMo/edit"",""Nml US!C5:C""),
IMPORTR"&amp;"ANGE(""https://docs.google.com/spreadsheets/d/1OLoRCn0B2mP-LizDOaFp_LsrXGtZR4ZKvHn3aia4TMo/edit"",""Nml US!E5:E""),
IMPORTRANGE(""https://docs.google.com/spreadsheets/d/1OLoRCn0B2mP-LizDOaFp_LsrXGtZR4ZKvHn3aia4TMo/edit"",""Nml US!AC5:AC""),
IMPORTRANGE("""&amp;"https://docs.google.com/spreadsheets/d/1OLoRCn0B2mP-LizDOaFp_LsrXGtZR4ZKvHn3aia4TMo/edit"",""Nml US!AJ5:BH"")
}"),"003c0c0b3759df17ce3f0b5feeeed123024f274d")</f>
        <v>003c0c0b3759df17ce3f0b5feeeed123024f274d</v>
      </c>
      <c r="B5" s="6" t="str">
        <f>IFERROR(__xludf.DUMMYFUNCTION("""COMPUTED_VALUE"""),"The Invictus Mage Returns")</f>
        <v>The Invictus Mage Returns</v>
      </c>
      <c r="C5" s="6" t="str">
        <f>IFERROR(__xludf.DUMMYFUNCTION("""COMPUTED_VALUE"""),"Fantasy")</f>
        <v>Fantasy</v>
      </c>
      <c r="D5" s="5">
        <f>IFERROR(__xludf.DUMMYFUNCTION("""COMPUTED_VALUE"""),955.0)</f>
        <v>955</v>
      </c>
      <c r="E5" s="8">
        <f>IFERROR(__xludf.DUMMYFUNCTION("""COMPUTED_VALUE"""),0.973821989528795)</f>
        <v>0.9738219895</v>
      </c>
      <c r="F5" s="8">
        <f>IFERROR(__xludf.DUMMYFUNCTION("""COMPUTED_VALUE"""),0.741090146750524)</f>
        <v>0.7410901468</v>
      </c>
      <c r="G5" s="8">
        <f>IFERROR(__xludf.DUMMYFUNCTION("""COMPUTED_VALUE"""),0.700944386149003)</f>
        <v>0.7009443861</v>
      </c>
      <c r="H5" s="8">
        <f>IFERROR(__xludf.DUMMYFUNCTION("""COMPUTED_VALUE"""),0.646008403361344)</f>
        <v>0.6460084034</v>
      </c>
      <c r="I5" s="8">
        <f>IFERROR(__xludf.DUMMYFUNCTION("""COMPUTED_VALUE"""),0.588235294117647)</f>
        <v>0.5882352941</v>
      </c>
      <c r="J5" s="8">
        <f>IFERROR(__xludf.DUMMYFUNCTION("""COMPUTED_VALUE"""),0.554153522607781)</f>
        <v>0.5541535226</v>
      </c>
      <c r="K5" s="8">
        <f>IFERROR(__xludf.DUMMYFUNCTION("""COMPUTED_VALUE"""),0.526315789473684)</f>
        <v>0.5263157895</v>
      </c>
      <c r="L5" s="8">
        <f>IFERROR(__xludf.DUMMYFUNCTION("""COMPUTED_VALUE"""),0.514255543822597)</f>
        <v>0.5142555438</v>
      </c>
      <c r="M5" s="8">
        <f>IFERROR(__xludf.DUMMYFUNCTION("""COMPUTED_VALUE"""),0.496296296296296)</f>
        <v>0.4962962963</v>
      </c>
      <c r="N5" s="8">
        <f>IFERROR(__xludf.DUMMYFUNCTION("""COMPUTED_VALUE"""),0.480381760339342)</f>
        <v>0.4803817603</v>
      </c>
      <c r="O5" s="8">
        <f>IFERROR(__xludf.DUMMYFUNCTION("""COMPUTED_VALUE"""),0.402425578831312)</f>
        <v>0.4024255788</v>
      </c>
      <c r="P5" s="8">
        <f>IFERROR(__xludf.DUMMYFUNCTION("""COMPUTED_VALUE"""),0.274004683840749)</f>
        <v>0.2740046838</v>
      </c>
      <c r="Q5" s="8">
        <f>IFERROR(__xludf.DUMMYFUNCTION("""COMPUTED_VALUE"""),0.116049382716049)</f>
        <v>0.1160493827</v>
      </c>
      <c r="R5" s="8">
        <f>IFERROR(__xludf.DUMMYFUNCTION("""COMPUTED_VALUE"""),0.0)</f>
        <v>0</v>
      </c>
      <c r="S5" s="8">
        <f>IFERROR(__xludf.DUMMYFUNCTION("""COMPUTED_VALUE"""),0.0)</f>
        <v>0</v>
      </c>
      <c r="T5" s="8">
        <f>IFERROR(__xludf.DUMMYFUNCTION("""COMPUTED_VALUE"""),0.0)</f>
        <v>0</v>
      </c>
      <c r="U5" s="8">
        <f>IFERROR(__xludf.DUMMYFUNCTION("""COMPUTED_VALUE"""),0.0)</f>
        <v>0</v>
      </c>
      <c r="V5" s="8">
        <f>IFERROR(__xludf.DUMMYFUNCTION("""COMPUTED_VALUE"""),0.0)</f>
        <v>0</v>
      </c>
      <c r="W5" s="8">
        <f>IFERROR(__xludf.DUMMYFUNCTION("""COMPUTED_VALUE"""),0.0)</f>
        <v>0</v>
      </c>
      <c r="X5" s="8">
        <f>IFERROR(__xludf.DUMMYFUNCTION("""COMPUTED_VALUE"""),0.0)</f>
        <v>0</v>
      </c>
      <c r="Y5" s="8">
        <f>IFERROR(__xludf.DUMMYFUNCTION("""COMPUTED_VALUE"""),0.0)</f>
        <v>0</v>
      </c>
      <c r="Z5" s="8">
        <f>IFERROR(__xludf.DUMMYFUNCTION("""COMPUTED_VALUE"""),0.0)</f>
        <v>0</v>
      </c>
      <c r="AA5" s="8">
        <f>IFERROR(__xludf.DUMMYFUNCTION("""COMPUTED_VALUE"""),0.0)</f>
        <v>0</v>
      </c>
      <c r="AB5" s="8">
        <f>IFERROR(__xludf.DUMMYFUNCTION("""COMPUTED_VALUE"""),0.0)</f>
        <v>0</v>
      </c>
      <c r="AC5" s="8">
        <f>IFERROR(__xludf.DUMMYFUNCTION("""COMPUTED_VALUE"""),0.0)</f>
        <v>0</v>
      </c>
    </row>
    <row r="6" ht="15.75" customHeight="1">
      <c r="A6" s="6" t="str">
        <f>IFERROR(__xludf.DUMMYFUNCTION("""COMPUTED_VALUE"""),"01f367b494a414fb7c994e946bddd99820cc7e28")</f>
        <v>01f367b494a414fb7c994e946bddd99820cc7e28</v>
      </c>
      <c r="B6" s="6" t="str">
        <f>IFERROR(__xludf.DUMMYFUNCTION("""COMPUTED_VALUE"""),"The Dragon Prince’s Favor")</f>
        <v>The Dragon Prince’s Favor</v>
      </c>
      <c r="C6" s="6" t="str">
        <f>IFERROR(__xludf.DUMMYFUNCTION("""COMPUTED_VALUE"""),"Romantasy")</f>
        <v>Romantasy</v>
      </c>
      <c r="D6" s="5">
        <f>IFERROR(__xludf.DUMMYFUNCTION("""COMPUTED_VALUE"""),780.0)</f>
        <v>780</v>
      </c>
      <c r="E6" s="8">
        <f>IFERROR(__xludf.DUMMYFUNCTION("""COMPUTED_VALUE"""),0.970322580645161)</f>
        <v>0.9703225806</v>
      </c>
      <c r="F6" s="8">
        <f>IFERROR(__xludf.DUMMYFUNCTION("""COMPUTED_VALUE"""),0.559895833333333)</f>
        <v>0.5598958333</v>
      </c>
      <c r="G6" s="8">
        <f>IFERROR(__xludf.DUMMYFUNCTION("""COMPUTED_VALUE"""),0.450722733245729)</f>
        <v>0.4507227332</v>
      </c>
      <c r="H6" s="8">
        <f>IFERROR(__xludf.DUMMYFUNCTION("""COMPUTED_VALUE"""),0.415446071904127)</f>
        <v>0.4154460719</v>
      </c>
      <c r="I6" s="8">
        <f>IFERROR(__xludf.DUMMYFUNCTION("""COMPUTED_VALUE"""),0.37103448275862)</f>
        <v>0.3710344828</v>
      </c>
      <c r="J6" s="8">
        <f>IFERROR(__xludf.DUMMYFUNCTION("""COMPUTED_VALUE"""),0.354046242774566)</f>
        <v>0.3540462428</v>
      </c>
      <c r="K6" s="8">
        <f>IFERROR(__xludf.DUMMYFUNCTION("""COMPUTED_VALUE"""),0.334943639291465)</f>
        <v>0.3349436393</v>
      </c>
      <c r="L6" s="8">
        <f>IFERROR(__xludf.DUMMYFUNCTION("""COMPUTED_VALUE"""),0.313320825515947)</f>
        <v>0.3133208255</v>
      </c>
      <c r="M6" s="8">
        <f>IFERROR(__xludf.DUMMYFUNCTION("""COMPUTED_VALUE"""),0.297297297297297)</f>
        <v>0.2972972973</v>
      </c>
      <c r="N6" s="8">
        <f>IFERROR(__xludf.DUMMYFUNCTION("""COMPUTED_VALUE"""),0.313829787234042)</f>
        <v>0.3138297872</v>
      </c>
      <c r="O6" s="8">
        <f>IFERROR(__xludf.DUMMYFUNCTION("""COMPUTED_VALUE"""),0.234636871508379)</f>
        <v>0.2346368715</v>
      </c>
      <c r="P6" s="8">
        <f>IFERROR(__xludf.DUMMYFUNCTION("""COMPUTED_VALUE"""),0.236486486486486)</f>
        <v>0.2364864865</v>
      </c>
      <c r="Q6" s="8">
        <f>IFERROR(__xludf.DUMMYFUNCTION("""COMPUTED_VALUE"""),0.0)</f>
        <v>0</v>
      </c>
      <c r="R6" s="8">
        <f>IFERROR(__xludf.DUMMYFUNCTION("""COMPUTED_VALUE"""),0.0)</f>
        <v>0</v>
      </c>
      <c r="S6" s="8">
        <f>IFERROR(__xludf.DUMMYFUNCTION("""COMPUTED_VALUE"""),0.0)</f>
        <v>0</v>
      </c>
      <c r="T6" s="8">
        <f>IFERROR(__xludf.DUMMYFUNCTION("""COMPUTED_VALUE"""),0.0)</f>
        <v>0</v>
      </c>
      <c r="U6" s="8">
        <f>IFERROR(__xludf.DUMMYFUNCTION("""COMPUTED_VALUE"""),0.0)</f>
        <v>0</v>
      </c>
      <c r="V6" s="8">
        <f>IFERROR(__xludf.DUMMYFUNCTION("""COMPUTED_VALUE"""),0.0)</f>
        <v>0</v>
      </c>
      <c r="W6" s="8">
        <f>IFERROR(__xludf.DUMMYFUNCTION("""COMPUTED_VALUE"""),0.0)</f>
        <v>0</v>
      </c>
      <c r="X6" s="8">
        <f>IFERROR(__xludf.DUMMYFUNCTION("""COMPUTED_VALUE"""),0.0)</f>
        <v>0</v>
      </c>
      <c r="Y6" s="8">
        <f>IFERROR(__xludf.DUMMYFUNCTION("""COMPUTED_VALUE"""),0.0)</f>
        <v>0</v>
      </c>
      <c r="Z6" s="8">
        <f>IFERROR(__xludf.DUMMYFUNCTION("""COMPUTED_VALUE"""),0.0)</f>
        <v>0</v>
      </c>
      <c r="AA6" s="8">
        <f>IFERROR(__xludf.DUMMYFUNCTION("""COMPUTED_VALUE"""),0.0)</f>
        <v>0</v>
      </c>
      <c r="AB6" s="8">
        <f>IFERROR(__xludf.DUMMYFUNCTION("""COMPUTED_VALUE"""),0.0)</f>
        <v>0</v>
      </c>
      <c r="AC6" s="8">
        <f>IFERROR(__xludf.DUMMYFUNCTION("""COMPUTED_VALUE"""),0.0)</f>
        <v>0</v>
      </c>
    </row>
    <row r="7" ht="15.75" customHeight="1">
      <c r="A7" s="6" t="str">
        <f>IFERROR(__xludf.DUMMYFUNCTION("""COMPUTED_VALUE"""),"026a120c807e0094812e891c9140a3fd3d0f1d48")</f>
        <v>026a120c807e0094812e891c9140a3fd3d0f1d48</v>
      </c>
      <c r="B7" s="6" t="str">
        <f>IFERROR(__xludf.DUMMYFUNCTION("""COMPUTED_VALUE"""),"Vintage Heart")</f>
        <v>Vintage Heart</v>
      </c>
      <c r="C7" s="6" t="str">
        <f>IFERROR(__xludf.DUMMYFUNCTION("""COMPUTED_VALUE"""),"Romance")</f>
        <v>Romance</v>
      </c>
      <c r="D7" s="5">
        <f>IFERROR(__xludf.DUMMYFUNCTION("""COMPUTED_VALUE"""),1704.0)</f>
        <v>1704</v>
      </c>
      <c r="E7" s="8">
        <f>IFERROR(__xludf.DUMMYFUNCTION("""COMPUTED_VALUE"""),0.952464788732394)</f>
        <v>0.9524647887</v>
      </c>
      <c r="F7" s="8">
        <f>IFERROR(__xludf.DUMMYFUNCTION("""COMPUTED_VALUE"""),0.553141514973576)</f>
        <v>0.553141515</v>
      </c>
      <c r="G7" s="8">
        <f>IFERROR(__xludf.DUMMYFUNCTION("""COMPUTED_VALUE"""),0.493834409864944)</f>
        <v>0.4938344099</v>
      </c>
      <c r="H7" s="8">
        <f>IFERROR(__xludf.DUMMYFUNCTION("""COMPUTED_VALUE"""),0.459459459459459)</f>
        <v>0.4594594595</v>
      </c>
      <c r="I7" s="8">
        <f>IFERROR(__xludf.DUMMYFUNCTION("""COMPUTED_VALUE"""),0.424794359576968)</f>
        <v>0.4247943596</v>
      </c>
      <c r="J7" s="8">
        <f>IFERROR(__xludf.DUMMYFUNCTION("""COMPUTED_VALUE"""),0.399646851088875)</f>
        <v>0.3996468511</v>
      </c>
      <c r="K7" s="8">
        <f>IFERROR(__xludf.DUMMYFUNCTION("""COMPUTED_VALUE"""),0.377869334902884)</f>
        <v>0.3778693349</v>
      </c>
      <c r="L7" s="8">
        <f>IFERROR(__xludf.DUMMYFUNCTION("""COMPUTED_VALUE"""),0.352179034157832)</f>
        <v>0.3521790342</v>
      </c>
      <c r="M7" s="8">
        <f>IFERROR(__xludf.DUMMYFUNCTION("""COMPUTED_VALUE"""),0.330583382439599)</f>
        <v>0.3305833824</v>
      </c>
      <c r="N7" s="8">
        <f>IFERROR(__xludf.DUMMYFUNCTION("""COMPUTED_VALUE"""),0.31622418879056)</f>
        <v>0.3162241888</v>
      </c>
      <c r="O7" s="8">
        <f>IFERROR(__xludf.DUMMYFUNCTION("""COMPUTED_VALUE"""),0.274289099526066)</f>
        <v>0.2742890995</v>
      </c>
      <c r="P7" s="8">
        <f>IFERROR(__xludf.DUMMYFUNCTION("""COMPUTED_VALUE"""),0.224293445580276)</f>
        <v>0.2242934456</v>
      </c>
      <c r="Q7" s="8">
        <f>IFERROR(__xludf.DUMMYFUNCTION("""COMPUTED_VALUE"""),0.167080745341614)</f>
        <v>0.1670807453</v>
      </c>
      <c r="R7" s="8">
        <f>IFERROR(__xludf.DUMMYFUNCTION("""COMPUTED_VALUE"""),0.117196056955093)</f>
        <v>0.117196057</v>
      </c>
      <c r="S7" s="8">
        <f>IFERROR(__xludf.DUMMYFUNCTION("""COMPUTED_VALUE"""),0.073126142595978)</f>
        <v>0.0731261426</v>
      </c>
      <c r="T7" s="8">
        <f>IFERROR(__xludf.DUMMYFUNCTION("""COMPUTED_VALUE"""),0.0373333333333333)</f>
        <v>0.03733333333</v>
      </c>
      <c r="U7" s="8">
        <f>IFERROR(__xludf.DUMMYFUNCTION("""COMPUTED_VALUE"""),0.0)</f>
        <v>0</v>
      </c>
      <c r="V7" s="8">
        <f>IFERROR(__xludf.DUMMYFUNCTION("""COMPUTED_VALUE"""),0.0)</f>
        <v>0</v>
      </c>
      <c r="W7" s="8">
        <f>IFERROR(__xludf.DUMMYFUNCTION("""COMPUTED_VALUE"""),0.0)</f>
        <v>0</v>
      </c>
      <c r="X7" s="8">
        <f>IFERROR(__xludf.DUMMYFUNCTION("""COMPUTED_VALUE"""),0.0)</f>
        <v>0</v>
      </c>
      <c r="Y7" s="8">
        <f>IFERROR(__xludf.DUMMYFUNCTION("""COMPUTED_VALUE"""),0.0)</f>
        <v>0</v>
      </c>
      <c r="Z7" s="8">
        <f>IFERROR(__xludf.DUMMYFUNCTION("""COMPUTED_VALUE"""),0.0)</f>
        <v>0</v>
      </c>
      <c r="AA7" s="8">
        <f>IFERROR(__xludf.DUMMYFUNCTION("""COMPUTED_VALUE"""),0.0)</f>
        <v>0</v>
      </c>
      <c r="AB7" s="8">
        <f>IFERROR(__xludf.DUMMYFUNCTION("""COMPUTED_VALUE"""),0.0)</f>
        <v>0</v>
      </c>
      <c r="AC7" s="8">
        <f>IFERROR(__xludf.DUMMYFUNCTION("""COMPUTED_VALUE"""),0.0)</f>
        <v>0</v>
      </c>
    </row>
    <row r="8" ht="15.75" customHeight="1">
      <c r="A8" s="6" t="str">
        <f>IFERROR(__xludf.DUMMYFUNCTION("""COMPUTED_VALUE"""),"03488a9bdecaf176a7a11138160e470f361ce803")</f>
        <v>03488a9bdecaf176a7a11138160e470f361ce803</v>
      </c>
      <c r="B8" s="6" t="str">
        <f>IFERROR(__xludf.DUMMYFUNCTION("""COMPUTED_VALUE"""),"Reborn to Be His Wife")</f>
        <v>Reborn to Be His Wife</v>
      </c>
      <c r="C8" s="6" t="str">
        <f>IFERROR(__xludf.DUMMYFUNCTION("""COMPUTED_VALUE"""),"Romantasy")</f>
        <v>Romantasy</v>
      </c>
      <c r="D8" s="5">
        <f>IFERROR(__xludf.DUMMYFUNCTION("""COMPUTED_VALUE"""),1343.0)</f>
        <v>1343</v>
      </c>
      <c r="E8" s="8">
        <f>IFERROR(__xludf.DUMMYFUNCTION("""COMPUTED_VALUE"""),0.967237527922561)</f>
        <v>0.9672375279</v>
      </c>
      <c r="F8" s="8">
        <f>IFERROR(__xludf.DUMMYFUNCTION("""COMPUTED_VALUE"""),0.493670886075949)</f>
        <v>0.4936708861</v>
      </c>
      <c r="G8" s="8">
        <f>IFERROR(__xludf.DUMMYFUNCTION("""COMPUTED_VALUE"""),0.432190760059612)</f>
        <v>0.4321907601</v>
      </c>
      <c r="H8" s="8">
        <f>IFERROR(__xludf.DUMMYFUNCTION("""COMPUTED_VALUE"""),0.364381520119225)</f>
        <v>0.3643815201</v>
      </c>
      <c r="I8" s="8">
        <f>IFERROR(__xludf.DUMMYFUNCTION("""COMPUTED_VALUE"""),0.324143070044709)</f>
        <v>0.32414307</v>
      </c>
      <c r="J8" s="8">
        <f>IFERROR(__xludf.DUMMYFUNCTION("""COMPUTED_VALUE"""),0.298507462686567)</f>
        <v>0.2985074627</v>
      </c>
      <c r="K8" s="8">
        <f>IFERROR(__xludf.DUMMYFUNCTION("""COMPUTED_VALUE"""),0.267164179104477)</f>
        <v>0.2671641791</v>
      </c>
      <c r="L8" s="8">
        <f>IFERROR(__xludf.DUMMYFUNCTION("""COMPUTED_VALUE"""),0.244776119402985)</f>
        <v>0.2447761194</v>
      </c>
      <c r="M8" s="8">
        <f>IFERROR(__xludf.DUMMYFUNCTION("""COMPUTED_VALUE"""),0.228699551569506)</f>
        <v>0.2286995516</v>
      </c>
      <c r="N8" s="8">
        <f>IFERROR(__xludf.DUMMYFUNCTION("""COMPUTED_VALUE"""),0.212574850299401)</f>
        <v>0.2125748503</v>
      </c>
      <c r="O8" s="8">
        <f>IFERROR(__xludf.DUMMYFUNCTION("""COMPUTED_VALUE"""),0.17238421955403)</f>
        <v>0.1723842196</v>
      </c>
      <c r="P8" s="8">
        <f>IFERROR(__xludf.DUMMYFUNCTION("""COMPUTED_VALUE"""),0.155038759689922)</f>
        <v>0.1550387597</v>
      </c>
      <c r="Q8" s="8">
        <f>IFERROR(__xludf.DUMMYFUNCTION("""COMPUTED_VALUE"""),0.108348134991119)</f>
        <v>0.108348135</v>
      </c>
      <c r="R8" s="8">
        <f>IFERROR(__xludf.DUMMYFUNCTION("""COMPUTED_VALUE"""),0.087431693989071)</f>
        <v>0.08743169399</v>
      </c>
      <c r="S8" s="8">
        <f>IFERROR(__xludf.DUMMYFUNCTION("""COMPUTED_VALUE"""),0.0728476821192053)</f>
        <v>0.07284768212</v>
      </c>
      <c r="T8" s="8">
        <f>IFERROR(__xludf.DUMMYFUNCTION("""COMPUTED_VALUE"""),0.0588235294117647)</f>
        <v>0.05882352941</v>
      </c>
      <c r="U8" s="8">
        <f>IFERROR(__xludf.DUMMYFUNCTION("""COMPUTED_VALUE"""),0.0)</f>
        <v>0</v>
      </c>
      <c r="V8" s="8">
        <f>IFERROR(__xludf.DUMMYFUNCTION("""COMPUTED_VALUE"""),0.0)</f>
        <v>0</v>
      </c>
      <c r="W8" s="8">
        <f>IFERROR(__xludf.DUMMYFUNCTION("""COMPUTED_VALUE"""),0.0)</f>
        <v>0</v>
      </c>
      <c r="X8" s="8">
        <f>IFERROR(__xludf.DUMMYFUNCTION("""COMPUTED_VALUE"""),0.0)</f>
        <v>0</v>
      </c>
      <c r="Y8" s="8">
        <f>IFERROR(__xludf.DUMMYFUNCTION("""COMPUTED_VALUE"""),0.0)</f>
        <v>0</v>
      </c>
      <c r="Z8" s="8">
        <f>IFERROR(__xludf.DUMMYFUNCTION("""COMPUTED_VALUE"""),0.0)</f>
        <v>0</v>
      </c>
      <c r="AA8" s="8">
        <f>IFERROR(__xludf.DUMMYFUNCTION("""COMPUTED_VALUE"""),0.0)</f>
        <v>0</v>
      </c>
      <c r="AB8" s="8">
        <f>IFERROR(__xludf.DUMMYFUNCTION("""COMPUTED_VALUE"""),0.0)</f>
        <v>0</v>
      </c>
      <c r="AC8" s="8">
        <f>IFERROR(__xludf.DUMMYFUNCTION("""COMPUTED_VALUE"""),0.0)</f>
        <v>0</v>
      </c>
    </row>
    <row r="9" ht="15.75" customHeight="1">
      <c r="A9" s="6" t="str">
        <f>IFERROR(__xludf.DUMMYFUNCTION("""COMPUTED_VALUE"""),"0433315d89000a02178e5d4fb75f31de3d906cff")</f>
        <v>0433315d89000a02178e5d4fb75f31de3d906cff</v>
      </c>
      <c r="B9" s="6" t="str">
        <f>IFERROR(__xludf.DUMMYFUNCTION("""COMPUTED_VALUE"""),"Billionaire Secret Babies")</f>
        <v>Billionaire Secret Babies</v>
      </c>
      <c r="C9" s="6" t="str">
        <f>IFERROR(__xludf.DUMMYFUNCTION("""COMPUTED_VALUE"""),"Romance")</f>
        <v>Romance</v>
      </c>
      <c r="D9" s="5">
        <f>IFERROR(__xludf.DUMMYFUNCTION("""COMPUTED_VALUE"""),768.0)</f>
        <v>768</v>
      </c>
      <c r="E9" s="8">
        <f>IFERROR(__xludf.DUMMYFUNCTION("""COMPUTED_VALUE"""),0.875)</f>
        <v>0.875</v>
      </c>
      <c r="F9" s="8">
        <f>IFERROR(__xludf.DUMMYFUNCTION("""COMPUTED_VALUE"""),0.513020833333333)</f>
        <v>0.5130208333</v>
      </c>
      <c r="G9" s="8">
        <f>IFERROR(__xludf.DUMMYFUNCTION("""COMPUTED_VALUE"""),0.415364583333333)</f>
        <v>0.4153645833</v>
      </c>
      <c r="H9" s="8">
        <f>IFERROR(__xludf.DUMMYFUNCTION("""COMPUTED_VALUE"""),0.37890625)</f>
        <v>0.37890625</v>
      </c>
      <c r="I9" s="8">
        <f>IFERROR(__xludf.DUMMYFUNCTION("""COMPUTED_VALUE"""),0.369791666666666)</f>
        <v>0.3697916667</v>
      </c>
      <c r="J9" s="8">
        <f>IFERROR(__xludf.DUMMYFUNCTION("""COMPUTED_VALUE"""),0.337239583333333)</f>
        <v>0.3372395833</v>
      </c>
      <c r="K9" s="8">
        <f>IFERROR(__xludf.DUMMYFUNCTION("""COMPUTED_VALUE"""),0.329427083333333)</f>
        <v>0.3294270833</v>
      </c>
      <c r="L9" s="8">
        <f>IFERROR(__xludf.DUMMYFUNCTION("""COMPUTED_VALUE"""),0.3203125)</f>
        <v>0.3203125</v>
      </c>
      <c r="M9" s="8">
        <f>IFERROR(__xludf.DUMMYFUNCTION("""COMPUTED_VALUE"""),0.31640625)</f>
        <v>0.31640625</v>
      </c>
      <c r="N9" s="8">
        <f>IFERROR(__xludf.DUMMYFUNCTION("""COMPUTED_VALUE"""),0.3046875)</f>
        <v>0.3046875</v>
      </c>
      <c r="O9" s="8">
        <f>IFERROR(__xludf.DUMMYFUNCTION("""COMPUTED_VALUE"""),0.282552083333333)</f>
        <v>0.2825520833</v>
      </c>
      <c r="P9" s="8">
        <f>IFERROR(__xludf.DUMMYFUNCTION("""COMPUTED_VALUE"""),0.235984354628422)</f>
        <v>0.2359843546</v>
      </c>
      <c r="Q9" s="8">
        <f>IFERROR(__xludf.DUMMYFUNCTION("""COMPUTED_VALUE"""),0.185620915032679)</f>
        <v>0.185620915</v>
      </c>
      <c r="R9" s="8">
        <f>IFERROR(__xludf.DUMMYFUNCTION("""COMPUTED_VALUE"""),0.0)</f>
        <v>0</v>
      </c>
      <c r="S9" s="8">
        <f>IFERROR(__xludf.DUMMYFUNCTION("""COMPUTED_VALUE"""),0.0)</f>
        <v>0</v>
      </c>
      <c r="T9" s="8">
        <f>IFERROR(__xludf.DUMMYFUNCTION("""COMPUTED_VALUE"""),0.0)</f>
        <v>0</v>
      </c>
      <c r="U9" s="8">
        <f>IFERROR(__xludf.DUMMYFUNCTION("""COMPUTED_VALUE"""),0.0)</f>
        <v>0</v>
      </c>
      <c r="V9" s="8">
        <f>IFERROR(__xludf.DUMMYFUNCTION("""COMPUTED_VALUE"""),0.0)</f>
        <v>0</v>
      </c>
      <c r="W9" s="8">
        <f>IFERROR(__xludf.DUMMYFUNCTION("""COMPUTED_VALUE"""),0.0)</f>
        <v>0</v>
      </c>
      <c r="X9" s="8">
        <f>IFERROR(__xludf.DUMMYFUNCTION("""COMPUTED_VALUE"""),0.0)</f>
        <v>0</v>
      </c>
      <c r="Y9" s="8">
        <f>IFERROR(__xludf.DUMMYFUNCTION("""COMPUTED_VALUE"""),0.0)</f>
        <v>0</v>
      </c>
      <c r="Z9" s="8">
        <f>IFERROR(__xludf.DUMMYFUNCTION("""COMPUTED_VALUE"""),0.0)</f>
        <v>0</v>
      </c>
      <c r="AA9" s="8">
        <f>IFERROR(__xludf.DUMMYFUNCTION("""COMPUTED_VALUE"""),0.0)</f>
        <v>0</v>
      </c>
      <c r="AB9" s="8">
        <f>IFERROR(__xludf.DUMMYFUNCTION("""COMPUTED_VALUE"""),0.0)</f>
        <v>0</v>
      </c>
      <c r="AC9" s="8">
        <f>IFERROR(__xludf.DUMMYFUNCTION("""COMPUTED_VALUE"""),0.0)</f>
        <v>0</v>
      </c>
    </row>
    <row r="10" ht="15.75" customHeight="1">
      <c r="A10" s="6" t="str">
        <f>IFERROR(__xludf.DUMMYFUNCTION("""COMPUTED_VALUE"""),"048b7efb083246fe7c75b60c3bccf0e015f15e03")</f>
        <v>048b7efb083246fe7c75b60c3bccf0e015f15e03</v>
      </c>
      <c r="B10" s="6" t="str">
        <f>IFERROR(__xludf.DUMMYFUNCTION("""COMPUTED_VALUE"""),"Veterinarian Beast Master")</f>
        <v>Veterinarian Beast Master</v>
      </c>
      <c r="C10" s="6" t="str">
        <f>IFERROR(__xludf.DUMMYFUNCTION("""COMPUTED_VALUE"""),"Fantasy")</f>
        <v>Fantasy</v>
      </c>
      <c r="D10" s="5">
        <f>IFERROR(__xludf.DUMMYFUNCTION("""COMPUTED_VALUE"""),245.0)</f>
        <v>245</v>
      </c>
      <c r="E10" s="8">
        <f>IFERROR(__xludf.DUMMYFUNCTION("""COMPUTED_VALUE"""),0.971428571428571)</f>
        <v>0.9714285714</v>
      </c>
      <c r="F10" s="8">
        <f>IFERROR(__xludf.DUMMYFUNCTION("""COMPUTED_VALUE"""),0.602459016393442)</f>
        <v>0.6024590164</v>
      </c>
      <c r="G10" s="8">
        <f>IFERROR(__xludf.DUMMYFUNCTION("""COMPUTED_VALUE"""),0.526748971193415)</f>
        <v>0.5267489712</v>
      </c>
      <c r="H10" s="8">
        <f>IFERROR(__xludf.DUMMYFUNCTION("""COMPUTED_VALUE"""),0.489626556016597)</f>
        <v>0.489626556</v>
      </c>
      <c r="I10" s="8">
        <f>IFERROR(__xludf.DUMMYFUNCTION("""COMPUTED_VALUE"""),0.466666666666666)</f>
        <v>0.4666666667</v>
      </c>
      <c r="J10" s="8">
        <f>IFERROR(__xludf.DUMMYFUNCTION("""COMPUTED_VALUE"""),0.439330543933054)</f>
        <v>0.4393305439</v>
      </c>
      <c r="K10" s="8">
        <f>IFERROR(__xludf.DUMMYFUNCTION("""COMPUTED_VALUE"""),0.408510638297872)</f>
        <v>0.4085106383</v>
      </c>
      <c r="L10" s="8">
        <f>IFERROR(__xludf.DUMMYFUNCTION("""COMPUTED_VALUE"""),0.369565217391304)</f>
        <v>0.3695652174</v>
      </c>
      <c r="M10" s="8">
        <f>IFERROR(__xludf.DUMMYFUNCTION("""COMPUTED_VALUE"""),0.357466063348416)</f>
        <v>0.3574660633</v>
      </c>
      <c r="N10" s="8">
        <f>IFERROR(__xludf.DUMMYFUNCTION("""COMPUTED_VALUE"""),0.336363636363636)</f>
        <v>0.3363636364</v>
      </c>
      <c r="O10" s="8">
        <f>IFERROR(__xludf.DUMMYFUNCTION("""COMPUTED_VALUE"""),0.222222222222222)</f>
        <v>0.2222222222</v>
      </c>
      <c r="P10" s="8">
        <f>IFERROR(__xludf.DUMMYFUNCTION("""COMPUTED_VALUE"""),0.142857142857142)</f>
        <v>0.1428571429</v>
      </c>
      <c r="Q10" s="8">
        <f>IFERROR(__xludf.DUMMYFUNCTION("""COMPUTED_VALUE"""),0.114285714285714)</f>
        <v>0.1142857143</v>
      </c>
      <c r="R10" s="8">
        <f>IFERROR(__xludf.DUMMYFUNCTION("""COMPUTED_VALUE"""),0.0454545454545454)</f>
        <v>0.04545454545</v>
      </c>
      <c r="S10" s="8">
        <f>IFERROR(__xludf.DUMMYFUNCTION("""COMPUTED_VALUE"""),0.0)</f>
        <v>0</v>
      </c>
      <c r="T10" s="8">
        <f>IFERROR(__xludf.DUMMYFUNCTION("""COMPUTED_VALUE"""),0.0)</f>
        <v>0</v>
      </c>
      <c r="U10" s="8">
        <f>IFERROR(__xludf.DUMMYFUNCTION("""COMPUTED_VALUE"""),0.0)</f>
        <v>0</v>
      </c>
      <c r="V10" s="8">
        <f>IFERROR(__xludf.DUMMYFUNCTION("""COMPUTED_VALUE"""),0.0)</f>
        <v>0</v>
      </c>
      <c r="W10" s="8">
        <f>IFERROR(__xludf.DUMMYFUNCTION("""COMPUTED_VALUE"""),0.0)</f>
        <v>0</v>
      </c>
      <c r="X10" s="8">
        <f>IFERROR(__xludf.DUMMYFUNCTION("""COMPUTED_VALUE"""),0.0)</f>
        <v>0</v>
      </c>
      <c r="Y10" s="8">
        <f>IFERROR(__xludf.DUMMYFUNCTION("""COMPUTED_VALUE"""),0.0)</f>
        <v>0</v>
      </c>
      <c r="Z10" s="8">
        <f>IFERROR(__xludf.DUMMYFUNCTION("""COMPUTED_VALUE"""),0.0)</f>
        <v>0</v>
      </c>
      <c r="AA10" s="8">
        <f>IFERROR(__xludf.DUMMYFUNCTION("""COMPUTED_VALUE"""),0.0)</f>
        <v>0</v>
      </c>
      <c r="AB10" s="8">
        <f>IFERROR(__xludf.DUMMYFUNCTION("""COMPUTED_VALUE"""),0.0)</f>
        <v>0</v>
      </c>
      <c r="AC10" s="8">
        <f>IFERROR(__xludf.DUMMYFUNCTION("""COMPUTED_VALUE"""),0.0)</f>
        <v>0</v>
      </c>
    </row>
    <row r="11" ht="15.75" customHeight="1">
      <c r="A11" s="6" t="str">
        <f>IFERROR(__xludf.DUMMYFUNCTION("""COMPUTED_VALUE"""),"05081ee1026b5a4754958dd34670379788a6d672")</f>
        <v>05081ee1026b5a4754958dd34670379788a6d672</v>
      </c>
      <c r="B11" s="6" t="str">
        <f>IFERROR(__xludf.DUMMYFUNCTION("""COMPUTED_VALUE"""),"Billionaire Prison Bride")</f>
        <v>Billionaire Prison Bride</v>
      </c>
      <c r="C11" s="6" t="str">
        <f>IFERROR(__xludf.DUMMYFUNCTION("""COMPUTED_VALUE"""),"Romance")</f>
        <v>Romance</v>
      </c>
      <c r="D11" s="5">
        <f>IFERROR(__xludf.DUMMYFUNCTION("""COMPUTED_VALUE"""),743.0)</f>
        <v>743</v>
      </c>
      <c r="E11" s="8">
        <f>IFERROR(__xludf.DUMMYFUNCTION("""COMPUTED_VALUE"""),0.959459459459459)</f>
        <v>0.9594594595</v>
      </c>
      <c r="F11" s="8">
        <f>IFERROR(__xludf.DUMMYFUNCTION("""COMPUTED_VALUE"""),0.678474114441416)</f>
        <v>0.6784741144</v>
      </c>
      <c r="G11" s="8">
        <f>IFERROR(__xludf.DUMMYFUNCTION("""COMPUTED_VALUE"""),0.637741046831955)</f>
        <v>0.6377410468</v>
      </c>
      <c r="H11" s="8">
        <f>IFERROR(__xludf.DUMMYFUNCTION("""COMPUTED_VALUE"""),0.610878661087866)</f>
        <v>0.6108786611</v>
      </c>
      <c r="I11" s="8">
        <f>IFERROR(__xludf.DUMMYFUNCTION("""COMPUTED_VALUE"""),0.595473833097595)</f>
        <v>0.5954738331</v>
      </c>
      <c r="J11" s="8">
        <f>IFERROR(__xludf.DUMMYFUNCTION("""COMPUTED_VALUE"""),0.579479768786127)</f>
        <v>0.5794797688</v>
      </c>
      <c r="K11" s="8">
        <f>IFERROR(__xludf.DUMMYFUNCTION("""COMPUTED_VALUE"""),0.559090909090909)</f>
        <v>0.5590909091</v>
      </c>
      <c r="L11" s="8">
        <f>IFERROR(__xludf.DUMMYFUNCTION("""COMPUTED_VALUE"""),0.519736842105263)</f>
        <v>0.5197368421</v>
      </c>
      <c r="M11" s="8">
        <f>IFERROR(__xludf.DUMMYFUNCTION("""COMPUTED_VALUE"""),0.494097807757166)</f>
        <v>0.4940978078</v>
      </c>
      <c r="N11" s="8">
        <f>IFERROR(__xludf.DUMMYFUNCTION("""COMPUTED_VALUE"""),0.472916666666666)</f>
        <v>0.4729166667</v>
      </c>
      <c r="O11" s="8">
        <f>IFERROR(__xludf.DUMMYFUNCTION("""COMPUTED_VALUE"""),0.356060606060606)</f>
        <v>0.3560606061</v>
      </c>
      <c r="P11" s="8">
        <f>IFERROR(__xludf.DUMMYFUNCTION("""COMPUTED_VALUE"""),0.4)</f>
        <v>0.4</v>
      </c>
      <c r="Q11" s="8">
        <f>IFERROR(__xludf.DUMMYFUNCTION("""COMPUTED_VALUE"""),0.0)</f>
        <v>0</v>
      </c>
      <c r="R11" s="8">
        <f>IFERROR(__xludf.DUMMYFUNCTION("""COMPUTED_VALUE"""),0.0)</f>
        <v>0</v>
      </c>
      <c r="S11" s="8">
        <f>IFERROR(__xludf.DUMMYFUNCTION("""COMPUTED_VALUE"""),0.0)</f>
        <v>0</v>
      </c>
      <c r="T11" s="8">
        <f>IFERROR(__xludf.DUMMYFUNCTION("""COMPUTED_VALUE"""),0.0)</f>
        <v>0</v>
      </c>
      <c r="U11" s="8">
        <f>IFERROR(__xludf.DUMMYFUNCTION("""COMPUTED_VALUE"""),0.0)</f>
        <v>0</v>
      </c>
      <c r="V11" s="8">
        <f>IFERROR(__xludf.DUMMYFUNCTION("""COMPUTED_VALUE"""),0.0)</f>
        <v>0</v>
      </c>
      <c r="W11" s="8">
        <f>IFERROR(__xludf.DUMMYFUNCTION("""COMPUTED_VALUE"""),0.0)</f>
        <v>0</v>
      </c>
      <c r="X11" s="8">
        <f>IFERROR(__xludf.DUMMYFUNCTION("""COMPUTED_VALUE"""),0.0)</f>
        <v>0</v>
      </c>
      <c r="Y11" s="8">
        <f>IFERROR(__xludf.DUMMYFUNCTION("""COMPUTED_VALUE"""),0.0)</f>
        <v>0</v>
      </c>
      <c r="Z11" s="8">
        <f>IFERROR(__xludf.DUMMYFUNCTION("""COMPUTED_VALUE"""),0.0)</f>
        <v>0</v>
      </c>
      <c r="AA11" s="8">
        <f>IFERROR(__xludf.DUMMYFUNCTION("""COMPUTED_VALUE"""),0.0)</f>
        <v>0</v>
      </c>
      <c r="AB11" s="8">
        <f>IFERROR(__xludf.DUMMYFUNCTION("""COMPUTED_VALUE"""),0.0)</f>
        <v>0</v>
      </c>
      <c r="AC11" s="8">
        <f>IFERROR(__xludf.DUMMYFUNCTION("""COMPUTED_VALUE"""),0.0)</f>
        <v>0</v>
      </c>
    </row>
    <row r="12" ht="15.75" customHeight="1">
      <c r="A12" s="6" t="str">
        <f>IFERROR(__xludf.DUMMYFUNCTION("""COMPUTED_VALUE"""),"05808ad9143ee75794133fd50497137fea47e57b")</f>
        <v>05808ad9143ee75794133fd50497137fea47e57b</v>
      </c>
      <c r="B12" s="6" t="str">
        <f>IFERROR(__xludf.DUMMYFUNCTION("""COMPUTED_VALUE"""),"Infinity Stars")</f>
        <v>Infinity Stars</v>
      </c>
      <c r="C12" s="6" t="str">
        <f>IFERROR(__xludf.DUMMYFUNCTION("""COMPUTED_VALUE"""),"Fantasy")</f>
        <v>Fantasy</v>
      </c>
      <c r="D12" s="5">
        <f>IFERROR(__xludf.DUMMYFUNCTION("""COMPUTED_VALUE"""),2317.0)</f>
        <v>2317</v>
      </c>
      <c r="E12" s="8">
        <f>IFERROR(__xludf.DUMMYFUNCTION("""COMPUTED_VALUE"""),0.933392936969155)</f>
        <v>0.933392937</v>
      </c>
      <c r="F12" s="8">
        <f>IFERROR(__xludf.DUMMYFUNCTION("""COMPUTED_VALUE"""),0.634799235181644)</f>
        <v>0.6347992352</v>
      </c>
      <c r="G12" s="8">
        <f>IFERROR(__xludf.DUMMYFUNCTION("""COMPUTED_VALUE"""),0.59593455627169)</f>
        <v>0.5959345563</v>
      </c>
      <c r="H12" s="8">
        <f>IFERROR(__xludf.DUMMYFUNCTION("""COMPUTED_VALUE"""),0.581187598528639)</f>
        <v>0.5811875985</v>
      </c>
      <c r="I12" s="8">
        <f>IFERROR(__xludf.DUMMYFUNCTION("""COMPUTED_VALUE"""),0.567745474492594)</f>
        <v>0.5677454745</v>
      </c>
      <c r="J12" s="8">
        <f>IFERROR(__xludf.DUMMYFUNCTION("""COMPUTED_VALUE"""),0.552386495925494)</f>
        <v>0.5523864959</v>
      </c>
      <c r="K12" s="8">
        <f>IFERROR(__xludf.DUMMYFUNCTION("""COMPUTED_VALUE"""),0.526060606060606)</f>
        <v>0.5260606061</v>
      </c>
      <c r="L12" s="8">
        <f>IFERROR(__xludf.DUMMYFUNCTION("""COMPUTED_VALUE"""),0.518164435946462)</f>
        <v>0.5181644359</v>
      </c>
      <c r="M12" s="8">
        <f>IFERROR(__xludf.DUMMYFUNCTION("""COMPUTED_VALUE"""),0.510471204188481)</f>
        <v>0.5104712042</v>
      </c>
      <c r="N12" s="8">
        <f>IFERROR(__xludf.DUMMYFUNCTION("""COMPUTED_VALUE"""),0.499660095173351)</f>
        <v>0.4996600952</v>
      </c>
      <c r="O12" s="8">
        <f>IFERROR(__xludf.DUMMYFUNCTION("""COMPUTED_VALUE"""),0.491875923190546)</f>
        <v>0.4918759232</v>
      </c>
      <c r="P12" s="8">
        <f>IFERROR(__xludf.DUMMYFUNCTION("""COMPUTED_VALUE"""),0.433333333333333)</f>
        <v>0.4333333333</v>
      </c>
      <c r="Q12" s="8">
        <f>IFERROR(__xludf.DUMMYFUNCTION("""COMPUTED_VALUE"""),0.34372135655362)</f>
        <v>0.3437213566</v>
      </c>
      <c r="R12" s="8">
        <f>IFERROR(__xludf.DUMMYFUNCTION("""COMPUTED_VALUE"""),0.245260663507109)</f>
        <v>0.2452606635</v>
      </c>
      <c r="S12" s="8">
        <f>IFERROR(__xludf.DUMMYFUNCTION("""COMPUTED_VALUE"""),0.146718146718146)</f>
        <v>0.1467181467</v>
      </c>
      <c r="T12" s="8">
        <f>IFERROR(__xludf.DUMMYFUNCTION("""COMPUTED_VALUE"""),0.181818181818181)</f>
        <v>0.1818181818</v>
      </c>
      <c r="U12" s="8">
        <f>IFERROR(__xludf.DUMMYFUNCTION("""COMPUTED_VALUE"""),0.0)</f>
        <v>0</v>
      </c>
      <c r="V12" s="8">
        <f>IFERROR(__xludf.DUMMYFUNCTION("""COMPUTED_VALUE"""),0.0)</f>
        <v>0</v>
      </c>
      <c r="W12" s="8">
        <f>IFERROR(__xludf.DUMMYFUNCTION("""COMPUTED_VALUE"""),0.0)</f>
        <v>0</v>
      </c>
      <c r="X12" s="8">
        <f>IFERROR(__xludf.DUMMYFUNCTION("""COMPUTED_VALUE"""),0.0)</f>
        <v>0</v>
      </c>
      <c r="Y12" s="8">
        <f>IFERROR(__xludf.DUMMYFUNCTION("""COMPUTED_VALUE"""),0.0)</f>
        <v>0</v>
      </c>
      <c r="Z12" s="8">
        <f>IFERROR(__xludf.DUMMYFUNCTION("""COMPUTED_VALUE"""),0.0)</f>
        <v>0</v>
      </c>
      <c r="AA12" s="8">
        <f>IFERROR(__xludf.DUMMYFUNCTION("""COMPUTED_VALUE"""),0.0)</f>
        <v>0</v>
      </c>
      <c r="AB12" s="8">
        <f>IFERROR(__xludf.DUMMYFUNCTION("""COMPUTED_VALUE"""),0.0)</f>
        <v>0</v>
      </c>
      <c r="AC12" s="8">
        <f>IFERROR(__xludf.DUMMYFUNCTION("""COMPUTED_VALUE"""),0.0)</f>
        <v>0</v>
      </c>
    </row>
    <row r="13" ht="15.75" customHeight="1">
      <c r="A13" s="6" t="str">
        <f>IFERROR(__xludf.DUMMYFUNCTION("""COMPUTED_VALUE"""),"06f83c7bf7296efe61da1c2da6e5c12e8e7d4aa8")</f>
        <v>06f83c7bf7296efe61da1c2da6e5c12e8e7d4aa8</v>
      </c>
      <c r="B13" s="6" t="str">
        <f>IFERROR(__xludf.DUMMYFUNCTION("""COMPUTED_VALUE"""),"Sigil of the Seven")</f>
        <v>Sigil of the Seven</v>
      </c>
      <c r="C13" s="6" t="str">
        <f>IFERROR(__xludf.DUMMYFUNCTION("""COMPUTED_VALUE"""),"Fantasy")</f>
        <v>Fantasy</v>
      </c>
      <c r="D13" s="5">
        <f>IFERROR(__xludf.DUMMYFUNCTION("""COMPUTED_VALUE"""),8718.0)</f>
        <v>8718</v>
      </c>
      <c r="E13" s="8">
        <f>IFERROR(__xludf.DUMMYFUNCTION("""COMPUTED_VALUE"""),0.922378104875805)</f>
        <v>0.9223781049</v>
      </c>
      <c r="F13" s="8">
        <f>IFERROR(__xludf.DUMMYFUNCTION("""COMPUTED_VALUE"""),0.585517958193786)</f>
        <v>0.5855179582</v>
      </c>
      <c r="G13" s="8">
        <f>IFERROR(__xludf.DUMMYFUNCTION("""COMPUTED_VALUE"""),0.514507892293407)</f>
        <v>0.5145078923</v>
      </c>
      <c r="H13" s="8">
        <f>IFERROR(__xludf.DUMMYFUNCTION("""COMPUTED_VALUE"""),0.486073884162685)</f>
        <v>0.4860738842</v>
      </c>
      <c r="I13" s="8">
        <f>IFERROR(__xludf.DUMMYFUNCTION("""COMPUTED_VALUE"""),0.455568581477139)</f>
        <v>0.4555685815</v>
      </c>
      <c r="J13" s="8">
        <f>IFERROR(__xludf.DUMMYFUNCTION("""COMPUTED_VALUE"""),0.436327156851174)</f>
        <v>0.4363271569</v>
      </c>
      <c r="K13" s="8">
        <f>IFERROR(__xludf.DUMMYFUNCTION("""COMPUTED_VALUE"""),0.419400686959611)</f>
        <v>0.419400687</v>
      </c>
      <c r="L13" s="8">
        <f>IFERROR(__xludf.DUMMYFUNCTION("""COMPUTED_VALUE"""),0.409855625820307)</f>
        <v>0.4098556258</v>
      </c>
      <c r="M13" s="8">
        <f>IFERROR(__xludf.DUMMYFUNCTION("""COMPUTED_VALUE"""),0.40258651658484)</f>
        <v>0.4025865166</v>
      </c>
      <c r="N13" s="8">
        <f>IFERROR(__xludf.DUMMYFUNCTION("""COMPUTED_VALUE"""),0.3985559566787)</f>
        <v>0.3985559567</v>
      </c>
      <c r="O13" s="8">
        <f>IFERROR(__xludf.DUMMYFUNCTION("""COMPUTED_VALUE"""),0.377446756124584)</f>
        <v>0.3774467561</v>
      </c>
      <c r="P13" s="8">
        <f>IFERROR(__xludf.DUMMYFUNCTION("""COMPUTED_VALUE"""),0.349007987632053)</f>
        <v>0.3490079876</v>
      </c>
      <c r="Q13" s="8">
        <f>IFERROR(__xludf.DUMMYFUNCTION("""COMPUTED_VALUE"""),0.268893756845564)</f>
        <v>0.2688937568</v>
      </c>
      <c r="R13" s="8">
        <f>IFERROR(__xludf.DUMMYFUNCTION("""COMPUTED_VALUE"""),0.21291069619337)</f>
        <v>0.2129106962</v>
      </c>
      <c r="S13" s="8">
        <f>IFERROR(__xludf.DUMMYFUNCTION("""COMPUTED_VALUE"""),0.173584323406881)</f>
        <v>0.1735843234</v>
      </c>
      <c r="T13" s="8">
        <f>IFERROR(__xludf.DUMMYFUNCTION("""COMPUTED_VALUE"""),0.101483679525222)</f>
        <v>0.1014836795</v>
      </c>
      <c r="U13" s="8">
        <f>IFERROR(__xludf.DUMMYFUNCTION("""COMPUTED_VALUE"""),0.0799587309775599)</f>
        <v>0.07995873098</v>
      </c>
      <c r="V13" s="8">
        <f>IFERROR(__xludf.DUMMYFUNCTION("""COMPUTED_VALUE"""),0.0714285714285714)</f>
        <v>0.07142857143</v>
      </c>
      <c r="W13" s="8">
        <f>IFERROR(__xludf.DUMMYFUNCTION("""COMPUTED_VALUE"""),0.0796563842249121)</f>
        <v>0.07965638422</v>
      </c>
      <c r="X13" s="8">
        <f>IFERROR(__xludf.DUMMYFUNCTION("""COMPUTED_VALUE"""),0.0807692307692307)</f>
        <v>0.08076923077</v>
      </c>
      <c r="Y13" s="8">
        <f>IFERROR(__xludf.DUMMYFUNCTION("""COMPUTED_VALUE"""),0.0)</f>
        <v>0</v>
      </c>
      <c r="Z13" s="8">
        <f>IFERROR(__xludf.DUMMYFUNCTION("""COMPUTED_VALUE"""),0.0)</f>
        <v>0</v>
      </c>
      <c r="AA13" s="8">
        <f>IFERROR(__xludf.DUMMYFUNCTION("""COMPUTED_VALUE"""),0.0)</f>
        <v>0</v>
      </c>
      <c r="AB13" s="8">
        <f>IFERROR(__xludf.DUMMYFUNCTION("""COMPUTED_VALUE"""),0.0)</f>
        <v>0</v>
      </c>
      <c r="AC13" s="8">
        <f>IFERROR(__xludf.DUMMYFUNCTION("""COMPUTED_VALUE"""),0.0)</f>
        <v>0</v>
      </c>
    </row>
    <row r="14" ht="15.75" customHeight="1">
      <c r="A14" s="6" t="str">
        <f>IFERROR(__xludf.DUMMYFUNCTION("""COMPUTED_VALUE"""),"0b07b41ff930aa13e98588f626eef70da51bb47e")</f>
        <v>0b07b41ff930aa13e98588f626eef70da51bb47e</v>
      </c>
      <c r="B14" s="6" t="str">
        <f>IFERROR(__xludf.DUMMYFUNCTION("""COMPUTED_VALUE"""),"Debtbound Between Worlds")</f>
        <v>Debtbound Between Worlds</v>
      </c>
      <c r="C14" s="6" t="str">
        <f>IFERROR(__xludf.DUMMYFUNCTION("""COMPUTED_VALUE"""),"Fantasy")</f>
        <v>Fantasy</v>
      </c>
      <c r="D14" s="5">
        <f>IFERROR(__xludf.DUMMYFUNCTION("""COMPUTED_VALUE"""),341.0)</f>
        <v>341</v>
      </c>
      <c r="E14" s="8">
        <f>IFERROR(__xludf.DUMMYFUNCTION("""COMPUTED_VALUE"""),0.964809384164222)</f>
        <v>0.9648093842</v>
      </c>
      <c r="F14" s="8">
        <f>IFERROR(__xludf.DUMMYFUNCTION("""COMPUTED_VALUE"""),0.574780058651026)</f>
        <v>0.5747800587</v>
      </c>
      <c r="G14" s="8">
        <f>IFERROR(__xludf.DUMMYFUNCTION("""COMPUTED_VALUE"""),0.520588235294117)</f>
        <v>0.5205882353</v>
      </c>
      <c r="H14" s="8">
        <f>IFERROR(__xludf.DUMMYFUNCTION("""COMPUTED_VALUE"""),0.488235294117647)</f>
        <v>0.4882352941</v>
      </c>
      <c r="I14" s="8">
        <f>IFERROR(__xludf.DUMMYFUNCTION("""COMPUTED_VALUE"""),0.441176470588235)</f>
        <v>0.4411764706</v>
      </c>
      <c r="J14" s="8">
        <f>IFERROR(__xludf.DUMMYFUNCTION("""COMPUTED_VALUE"""),0.423529411764705)</f>
        <v>0.4235294118</v>
      </c>
      <c r="K14" s="8">
        <f>IFERROR(__xludf.DUMMYFUNCTION("""COMPUTED_VALUE"""),0.408823529411764)</f>
        <v>0.4088235294</v>
      </c>
      <c r="L14" s="8">
        <f>IFERROR(__xludf.DUMMYFUNCTION("""COMPUTED_VALUE"""),0.398230088495575)</f>
        <v>0.3982300885</v>
      </c>
      <c r="M14" s="8">
        <f>IFERROR(__xludf.DUMMYFUNCTION("""COMPUTED_VALUE"""),0.364985163204747)</f>
        <v>0.3649851632</v>
      </c>
      <c r="N14" s="8">
        <f>IFERROR(__xludf.DUMMYFUNCTION("""COMPUTED_VALUE"""),0.344311377245509)</f>
        <v>0.3443113772</v>
      </c>
      <c r="O14" s="8">
        <f>IFERROR(__xludf.DUMMYFUNCTION("""COMPUTED_VALUE"""),0.314285714285714)</f>
        <v>0.3142857143</v>
      </c>
      <c r="P14" s="8">
        <f>IFERROR(__xludf.DUMMYFUNCTION("""COMPUTED_VALUE"""),0.266423357664233)</f>
        <v>0.2664233577</v>
      </c>
      <c r="Q14" s="8">
        <f>IFERROR(__xludf.DUMMYFUNCTION("""COMPUTED_VALUE"""),0.121212121212121)</f>
        <v>0.1212121212</v>
      </c>
      <c r="R14" s="8">
        <f>IFERROR(__xludf.DUMMYFUNCTION("""COMPUTED_VALUE"""),0.0)</f>
        <v>0</v>
      </c>
      <c r="S14" s="8">
        <f>IFERROR(__xludf.DUMMYFUNCTION("""COMPUTED_VALUE"""),0.0)</f>
        <v>0</v>
      </c>
      <c r="T14" s="8">
        <f>IFERROR(__xludf.DUMMYFUNCTION("""COMPUTED_VALUE"""),0.0)</f>
        <v>0</v>
      </c>
      <c r="U14" s="8">
        <f>IFERROR(__xludf.DUMMYFUNCTION("""COMPUTED_VALUE"""),0.0)</f>
        <v>0</v>
      </c>
      <c r="V14" s="8">
        <f>IFERROR(__xludf.DUMMYFUNCTION("""COMPUTED_VALUE"""),0.0)</f>
        <v>0</v>
      </c>
      <c r="W14" s="8">
        <f>IFERROR(__xludf.DUMMYFUNCTION("""COMPUTED_VALUE"""),0.0)</f>
        <v>0</v>
      </c>
      <c r="X14" s="8">
        <f>IFERROR(__xludf.DUMMYFUNCTION("""COMPUTED_VALUE"""),0.0)</f>
        <v>0</v>
      </c>
      <c r="Y14" s="8">
        <f>IFERROR(__xludf.DUMMYFUNCTION("""COMPUTED_VALUE"""),0.0)</f>
        <v>0</v>
      </c>
      <c r="Z14" s="8">
        <f>IFERROR(__xludf.DUMMYFUNCTION("""COMPUTED_VALUE"""),0.0)</f>
        <v>0</v>
      </c>
      <c r="AA14" s="8">
        <f>IFERROR(__xludf.DUMMYFUNCTION("""COMPUTED_VALUE"""),0.0)</f>
        <v>0</v>
      </c>
      <c r="AB14" s="8">
        <f>IFERROR(__xludf.DUMMYFUNCTION("""COMPUTED_VALUE"""),0.0)</f>
        <v>0</v>
      </c>
      <c r="AC14" s="8">
        <f>IFERROR(__xludf.DUMMYFUNCTION("""COMPUTED_VALUE"""),0.0)</f>
        <v>0</v>
      </c>
    </row>
    <row r="15" ht="15.75" customHeight="1">
      <c r="A15" s="6" t="str">
        <f>IFERROR(__xludf.DUMMYFUNCTION("""COMPUTED_VALUE"""),"0b24baea319eafeca1995fb9b34e29d6ebfb9a50")</f>
        <v>0b24baea319eafeca1995fb9b34e29d6ebfb9a50</v>
      </c>
      <c r="B15" s="6" t="str">
        <f>IFERROR(__xludf.DUMMYFUNCTION("""COMPUTED_VALUE"""),"Rejected Bride Returns")</f>
        <v>Rejected Bride Returns</v>
      </c>
      <c r="C15" s="6" t="str">
        <f>IFERROR(__xludf.DUMMYFUNCTION("""COMPUTED_VALUE"""),"Romance")</f>
        <v>Romance</v>
      </c>
      <c r="D15" s="5">
        <f>IFERROR(__xludf.DUMMYFUNCTION("""COMPUTED_VALUE"""),566.0)</f>
        <v>566</v>
      </c>
      <c r="E15" s="8">
        <f>IFERROR(__xludf.DUMMYFUNCTION("""COMPUTED_VALUE"""),0.966371681415929)</f>
        <v>0.9663716814</v>
      </c>
      <c r="F15" s="8">
        <f>IFERROR(__xludf.DUMMYFUNCTION("""COMPUTED_VALUE"""),0.603202846975089)</f>
        <v>0.603202847</v>
      </c>
      <c r="G15" s="8">
        <f>IFERROR(__xludf.DUMMYFUNCTION("""COMPUTED_VALUE"""),0.509025270758122)</f>
        <v>0.5090252708</v>
      </c>
      <c r="H15" s="8">
        <f>IFERROR(__xludf.DUMMYFUNCTION("""COMPUTED_VALUE"""),0.412757973733583)</f>
        <v>0.4127579737</v>
      </c>
      <c r="I15" s="8">
        <f>IFERROR(__xludf.DUMMYFUNCTION("""COMPUTED_VALUE"""),0.33984375)</f>
        <v>0.33984375</v>
      </c>
      <c r="J15" s="8">
        <f>IFERROR(__xludf.DUMMYFUNCTION("""COMPUTED_VALUE"""),0.285420944558521)</f>
        <v>0.2854209446</v>
      </c>
      <c r="K15" s="8">
        <f>IFERROR(__xludf.DUMMYFUNCTION("""COMPUTED_VALUE"""),0.246085011185682)</f>
        <v>0.2460850112</v>
      </c>
      <c r="L15" s="8">
        <f>IFERROR(__xludf.DUMMYFUNCTION("""COMPUTED_VALUE"""),0.205583756345177)</f>
        <v>0.2055837563</v>
      </c>
      <c r="M15" s="8">
        <f>IFERROR(__xludf.DUMMYFUNCTION("""COMPUTED_VALUE"""),0.159663865546218)</f>
        <v>0.1596638655</v>
      </c>
      <c r="N15" s="8">
        <f>IFERROR(__xludf.DUMMYFUNCTION("""COMPUTED_VALUE"""),0.119122257053291)</f>
        <v>0.1191222571</v>
      </c>
      <c r="O15" s="8">
        <f>IFERROR(__xludf.DUMMYFUNCTION("""COMPUTED_VALUE"""),0.111111111111111)</f>
        <v>0.1111111111</v>
      </c>
      <c r="P15" s="8">
        <f>IFERROR(__xludf.DUMMYFUNCTION("""COMPUTED_VALUE"""),0.2)</f>
        <v>0.2</v>
      </c>
      <c r="Q15" s="8">
        <f>IFERROR(__xludf.DUMMYFUNCTION("""COMPUTED_VALUE"""),0.0)</f>
        <v>0</v>
      </c>
      <c r="R15" s="8">
        <f>IFERROR(__xludf.DUMMYFUNCTION("""COMPUTED_VALUE"""),0.0)</f>
        <v>0</v>
      </c>
      <c r="S15" s="8">
        <f>IFERROR(__xludf.DUMMYFUNCTION("""COMPUTED_VALUE"""),0.0)</f>
        <v>0</v>
      </c>
      <c r="T15" s="8">
        <f>IFERROR(__xludf.DUMMYFUNCTION("""COMPUTED_VALUE"""),0.0)</f>
        <v>0</v>
      </c>
      <c r="U15" s="8">
        <f>IFERROR(__xludf.DUMMYFUNCTION("""COMPUTED_VALUE"""),0.0)</f>
        <v>0</v>
      </c>
      <c r="V15" s="8">
        <f>IFERROR(__xludf.DUMMYFUNCTION("""COMPUTED_VALUE"""),0.0)</f>
        <v>0</v>
      </c>
      <c r="W15" s="8">
        <f>IFERROR(__xludf.DUMMYFUNCTION("""COMPUTED_VALUE"""),0.0)</f>
        <v>0</v>
      </c>
      <c r="X15" s="8">
        <f>IFERROR(__xludf.DUMMYFUNCTION("""COMPUTED_VALUE"""),0.0)</f>
        <v>0</v>
      </c>
      <c r="Y15" s="8">
        <f>IFERROR(__xludf.DUMMYFUNCTION("""COMPUTED_VALUE"""),0.0)</f>
        <v>0</v>
      </c>
      <c r="Z15" s="8">
        <f>IFERROR(__xludf.DUMMYFUNCTION("""COMPUTED_VALUE"""),0.0)</f>
        <v>0</v>
      </c>
      <c r="AA15" s="8">
        <f>IFERROR(__xludf.DUMMYFUNCTION("""COMPUTED_VALUE"""),0.0)</f>
        <v>0</v>
      </c>
      <c r="AB15" s="8">
        <f>IFERROR(__xludf.DUMMYFUNCTION("""COMPUTED_VALUE"""),0.0)</f>
        <v>0</v>
      </c>
      <c r="AC15" s="8">
        <f>IFERROR(__xludf.DUMMYFUNCTION("""COMPUTED_VALUE"""),0.0)</f>
        <v>0</v>
      </c>
    </row>
    <row r="16" ht="15.75" customHeight="1">
      <c r="A16" s="6" t="str">
        <f>IFERROR(__xludf.DUMMYFUNCTION("""COMPUTED_VALUE"""),"0c7fa1a2b4bca0746ad0384d77796b98dd7d801c")</f>
        <v>0c7fa1a2b4bca0746ad0384d77796b98dd7d801c</v>
      </c>
      <c r="B16" s="6" t="str">
        <f>IFERROR(__xludf.DUMMYFUNCTION("""COMPUTED_VALUE"""),"Flash Marriage to My Ex’s Boss")</f>
        <v>Flash Marriage to My Ex’s Boss</v>
      </c>
      <c r="C16" s="6" t="str">
        <f>IFERROR(__xludf.DUMMYFUNCTION("""COMPUTED_VALUE"""),"Romance")</f>
        <v>Romance</v>
      </c>
      <c r="D16" s="5">
        <f>IFERROR(__xludf.DUMMYFUNCTION("""COMPUTED_VALUE"""),621.0)</f>
        <v>621</v>
      </c>
      <c r="E16" s="8">
        <f>IFERROR(__xludf.DUMMYFUNCTION("""COMPUTED_VALUE"""),0.898387096774193)</f>
        <v>0.8983870968</v>
      </c>
      <c r="F16" s="8">
        <f>IFERROR(__xludf.DUMMYFUNCTION("""COMPUTED_VALUE"""),0.460420032310177)</f>
        <v>0.4604200323</v>
      </c>
      <c r="G16" s="8">
        <f>IFERROR(__xludf.DUMMYFUNCTION("""COMPUTED_VALUE"""),0.406148867313915)</f>
        <v>0.4061488673</v>
      </c>
      <c r="H16" s="8">
        <f>IFERROR(__xludf.DUMMYFUNCTION("""COMPUTED_VALUE"""),0.370550161812297)</f>
        <v>0.3705501618</v>
      </c>
      <c r="I16" s="8">
        <f>IFERROR(__xludf.DUMMYFUNCTION("""COMPUTED_VALUE"""),0.346278317152103)</f>
        <v>0.3462783172</v>
      </c>
      <c r="J16" s="8">
        <f>IFERROR(__xludf.DUMMYFUNCTION("""COMPUTED_VALUE"""),0.31715210355987)</f>
        <v>0.3171521036</v>
      </c>
      <c r="K16" s="8">
        <f>IFERROR(__xludf.DUMMYFUNCTION("""COMPUTED_VALUE"""),0.289644012944983)</f>
        <v>0.2896440129</v>
      </c>
      <c r="L16" s="8">
        <f>IFERROR(__xludf.DUMMYFUNCTION("""COMPUTED_VALUE"""),0.279935275080906)</f>
        <v>0.2799352751</v>
      </c>
      <c r="M16" s="8">
        <f>IFERROR(__xludf.DUMMYFUNCTION("""COMPUTED_VALUE"""),0.273905996758508)</f>
        <v>0.2739059968</v>
      </c>
      <c r="N16" s="8">
        <f>IFERROR(__xludf.DUMMYFUNCTION("""COMPUTED_VALUE"""),0.253246753246753)</f>
        <v>0.2532467532</v>
      </c>
      <c r="O16" s="8">
        <f>IFERROR(__xludf.DUMMYFUNCTION("""COMPUTED_VALUE"""),0.215334420880913)</f>
        <v>0.2153344209</v>
      </c>
      <c r="P16" s="8">
        <f>IFERROR(__xludf.DUMMYFUNCTION("""COMPUTED_VALUE"""),0.145187601957585)</f>
        <v>0.145187602</v>
      </c>
      <c r="Q16" s="8">
        <f>IFERROR(__xludf.DUMMYFUNCTION("""COMPUTED_VALUE"""),0.12046204620462)</f>
        <v>0.1204620462</v>
      </c>
      <c r="R16" s="8">
        <f>IFERROR(__xludf.DUMMYFUNCTION("""COMPUTED_VALUE"""),0.0978441127694859)</f>
        <v>0.09784411277</v>
      </c>
      <c r="S16" s="8">
        <f>IFERROR(__xludf.DUMMYFUNCTION("""COMPUTED_VALUE"""),0.0)</f>
        <v>0</v>
      </c>
      <c r="T16" s="8">
        <f>IFERROR(__xludf.DUMMYFUNCTION("""COMPUTED_VALUE"""),0.0)</f>
        <v>0</v>
      </c>
      <c r="U16" s="8">
        <f>IFERROR(__xludf.DUMMYFUNCTION("""COMPUTED_VALUE"""),0.0)</f>
        <v>0</v>
      </c>
      <c r="V16" s="8">
        <f>IFERROR(__xludf.DUMMYFUNCTION("""COMPUTED_VALUE"""),0.0)</f>
        <v>0</v>
      </c>
      <c r="W16" s="8">
        <f>IFERROR(__xludf.DUMMYFUNCTION("""COMPUTED_VALUE"""),0.0)</f>
        <v>0</v>
      </c>
      <c r="X16" s="8">
        <f>IFERROR(__xludf.DUMMYFUNCTION("""COMPUTED_VALUE"""),0.0)</f>
        <v>0</v>
      </c>
      <c r="Y16" s="8">
        <f>IFERROR(__xludf.DUMMYFUNCTION("""COMPUTED_VALUE"""),0.0)</f>
        <v>0</v>
      </c>
      <c r="Z16" s="8">
        <f>IFERROR(__xludf.DUMMYFUNCTION("""COMPUTED_VALUE"""),0.0)</f>
        <v>0</v>
      </c>
      <c r="AA16" s="8">
        <f>IFERROR(__xludf.DUMMYFUNCTION("""COMPUTED_VALUE"""),0.0)</f>
        <v>0</v>
      </c>
      <c r="AB16" s="8">
        <f>IFERROR(__xludf.DUMMYFUNCTION("""COMPUTED_VALUE"""),0.0)</f>
        <v>0</v>
      </c>
      <c r="AC16" s="8">
        <f>IFERROR(__xludf.DUMMYFUNCTION("""COMPUTED_VALUE"""),0.0)</f>
        <v>0</v>
      </c>
    </row>
    <row r="17" ht="15.75" customHeight="1">
      <c r="A17" s="6" t="str">
        <f>IFERROR(__xludf.DUMMYFUNCTION("""COMPUTED_VALUE"""),"0d62d7798adbffba76234feba6e58e4a73a6baf8")</f>
        <v>0d62d7798adbffba76234feba6e58e4a73a6baf8</v>
      </c>
      <c r="B17" s="6" t="str">
        <f>IFERROR(__xludf.DUMMYFUNCTION("""COMPUTED_VALUE"""),"Devil's Redemption")</f>
        <v>Devil's Redemption</v>
      </c>
      <c r="C17" s="6" t="str">
        <f>IFERROR(__xludf.DUMMYFUNCTION("""COMPUTED_VALUE"""),"Fantasy")</f>
        <v>Fantasy</v>
      </c>
      <c r="D17" s="5">
        <f>IFERROR(__xludf.DUMMYFUNCTION("""COMPUTED_VALUE"""),692.0)</f>
        <v>692</v>
      </c>
      <c r="E17" s="8">
        <f>IFERROR(__xludf.DUMMYFUNCTION("""COMPUTED_VALUE"""),0.982532751091703)</f>
        <v>0.9825327511</v>
      </c>
      <c r="F17" s="8">
        <f>IFERROR(__xludf.DUMMYFUNCTION("""COMPUTED_VALUE"""),0.692307692307692)</f>
        <v>0.6923076923</v>
      </c>
      <c r="G17" s="8">
        <f>IFERROR(__xludf.DUMMYFUNCTION("""COMPUTED_VALUE"""),0.620553359683794)</f>
        <v>0.6205533597</v>
      </c>
      <c r="H17" s="8">
        <f>IFERROR(__xludf.DUMMYFUNCTION("""COMPUTED_VALUE"""),0.574898785425101)</f>
        <v>0.5748987854</v>
      </c>
      <c r="I17" s="8">
        <f>IFERROR(__xludf.DUMMYFUNCTION("""COMPUTED_VALUE"""),0.469565217391304)</f>
        <v>0.4695652174</v>
      </c>
      <c r="J17" s="8">
        <f>IFERROR(__xludf.DUMMYFUNCTION("""COMPUTED_VALUE"""),0.435555555555555)</f>
        <v>0.4355555556</v>
      </c>
      <c r="K17" s="8">
        <f>IFERROR(__xludf.DUMMYFUNCTION("""COMPUTED_VALUE"""),0.36697247706422)</f>
        <v>0.3669724771</v>
      </c>
      <c r="L17" s="8">
        <f>IFERROR(__xludf.DUMMYFUNCTION("""COMPUTED_VALUE"""),0.353211009174311)</f>
        <v>0.3532110092</v>
      </c>
      <c r="M17" s="8">
        <f>IFERROR(__xludf.DUMMYFUNCTION("""COMPUTED_VALUE"""),0.336405529953917)</f>
        <v>0.33640553</v>
      </c>
      <c r="N17" s="8">
        <f>IFERROR(__xludf.DUMMYFUNCTION("""COMPUTED_VALUE"""),0.316279069767441)</f>
        <v>0.3162790698</v>
      </c>
      <c r="O17" s="8">
        <f>IFERROR(__xludf.DUMMYFUNCTION("""COMPUTED_VALUE"""),0.263157894736842)</f>
        <v>0.2631578947</v>
      </c>
      <c r="P17" s="8">
        <f>IFERROR(__xludf.DUMMYFUNCTION("""COMPUTED_VALUE"""),0.375)</f>
        <v>0.375</v>
      </c>
      <c r="Q17" s="8">
        <f>IFERROR(__xludf.DUMMYFUNCTION("""COMPUTED_VALUE"""),0.0)</f>
        <v>0</v>
      </c>
      <c r="R17" s="8">
        <f>IFERROR(__xludf.DUMMYFUNCTION("""COMPUTED_VALUE"""),0.0)</f>
        <v>0</v>
      </c>
      <c r="S17" s="8">
        <f>IFERROR(__xludf.DUMMYFUNCTION("""COMPUTED_VALUE"""),0.0)</f>
        <v>0</v>
      </c>
      <c r="T17" s="8">
        <f>IFERROR(__xludf.DUMMYFUNCTION("""COMPUTED_VALUE"""),0.0)</f>
        <v>0</v>
      </c>
      <c r="U17" s="8">
        <f>IFERROR(__xludf.DUMMYFUNCTION("""COMPUTED_VALUE"""),0.0)</f>
        <v>0</v>
      </c>
      <c r="V17" s="8">
        <f>IFERROR(__xludf.DUMMYFUNCTION("""COMPUTED_VALUE"""),0.0)</f>
        <v>0</v>
      </c>
      <c r="W17" s="8">
        <f>IFERROR(__xludf.DUMMYFUNCTION("""COMPUTED_VALUE"""),0.0)</f>
        <v>0</v>
      </c>
      <c r="X17" s="8">
        <f>IFERROR(__xludf.DUMMYFUNCTION("""COMPUTED_VALUE"""),0.0)</f>
        <v>0</v>
      </c>
      <c r="Y17" s="8">
        <f>IFERROR(__xludf.DUMMYFUNCTION("""COMPUTED_VALUE"""),0.0)</f>
        <v>0</v>
      </c>
      <c r="Z17" s="8">
        <f>IFERROR(__xludf.DUMMYFUNCTION("""COMPUTED_VALUE"""),0.0)</f>
        <v>0</v>
      </c>
      <c r="AA17" s="8">
        <f>IFERROR(__xludf.DUMMYFUNCTION("""COMPUTED_VALUE"""),0.0)</f>
        <v>0</v>
      </c>
      <c r="AB17" s="8">
        <f>IFERROR(__xludf.DUMMYFUNCTION("""COMPUTED_VALUE"""),0.0)</f>
        <v>0</v>
      </c>
      <c r="AC17" s="8">
        <f>IFERROR(__xludf.DUMMYFUNCTION("""COMPUTED_VALUE"""),0.0)</f>
        <v>0</v>
      </c>
    </row>
    <row r="18" ht="15.75" customHeight="1">
      <c r="A18" s="6" t="str">
        <f>IFERROR(__xludf.DUMMYFUNCTION("""COMPUTED_VALUE"""),"0db57923d2182ad47e7480030a03e05da109b1bf")</f>
        <v>0db57923d2182ad47e7480030a03e05da109b1bf</v>
      </c>
      <c r="B18" s="6" t="str">
        <f>IFERROR(__xludf.DUMMYFUNCTION("""COMPUTED_VALUE"""),"The Ceo's Borrowed Beauty")</f>
        <v>The Ceo's Borrowed Beauty</v>
      </c>
      <c r="C18" s="6" t="str">
        <f>IFERROR(__xludf.DUMMYFUNCTION("""COMPUTED_VALUE"""),"Romance")</f>
        <v>Romance</v>
      </c>
      <c r="D18" s="5">
        <f>IFERROR(__xludf.DUMMYFUNCTION("""COMPUTED_VALUE"""),1975.0)</f>
        <v>1975</v>
      </c>
      <c r="E18" s="8">
        <f>IFERROR(__xludf.DUMMYFUNCTION("""COMPUTED_VALUE"""),0.972931562819203)</f>
        <v>0.9729315628</v>
      </c>
      <c r="F18" s="8">
        <f>IFERROR(__xludf.DUMMYFUNCTION("""COMPUTED_VALUE"""),0.467352185089974)</f>
        <v>0.4673521851</v>
      </c>
      <c r="G18" s="8">
        <f>IFERROR(__xludf.DUMMYFUNCTION("""COMPUTED_VALUE"""),0.409513960703205)</f>
        <v>0.4095139607</v>
      </c>
      <c r="H18" s="8">
        <f>IFERROR(__xludf.DUMMYFUNCTION("""COMPUTED_VALUE"""),0.362740010378827)</f>
        <v>0.3627400104</v>
      </c>
      <c r="I18" s="8">
        <f>IFERROR(__xludf.DUMMYFUNCTION("""COMPUTED_VALUE"""),0.339750260145681)</f>
        <v>0.3397502601</v>
      </c>
      <c r="J18" s="8">
        <f>IFERROR(__xludf.DUMMYFUNCTION("""COMPUTED_VALUE"""),0.308654848800834)</f>
        <v>0.3086548488</v>
      </c>
      <c r="K18" s="8">
        <f>IFERROR(__xludf.DUMMYFUNCTION("""COMPUTED_VALUE"""),0.281756403554626)</f>
        <v>0.2817564036</v>
      </c>
      <c r="L18" s="8">
        <f>IFERROR(__xludf.DUMMYFUNCTION("""COMPUTED_VALUE"""),0.263073639274279)</f>
        <v>0.2630736393</v>
      </c>
      <c r="M18" s="8">
        <f>IFERROR(__xludf.DUMMYFUNCTION("""COMPUTED_VALUE"""),0.246228448275862)</f>
        <v>0.2462284483</v>
      </c>
      <c r="N18" s="8">
        <f>IFERROR(__xludf.DUMMYFUNCTION("""COMPUTED_VALUE"""),0.246567819879187)</f>
        <v>0.2465678199</v>
      </c>
      <c r="O18" s="8">
        <f>IFERROR(__xludf.DUMMYFUNCTION("""COMPUTED_VALUE"""),0.229607250755287)</f>
        <v>0.2296072508</v>
      </c>
      <c r="P18" s="8">
        <f>IFERROR(__xludf.DUMMYFUNCTION("""COMPUTED_VALUE"""),0.225806451612903)</f>
        <v>0.2258064516</v>
      </c>
      <c r="Q18" s="8">
        <f>IFERROR(__xludf.DUMMYFUNCTION("""COMPUTED_VALUE"""),0.333333333333333)</f>
        <v>0.3333333333</v>
      </c>
      <c r="R18" s="8">
        <f>IFERROR(__xludf.DUMMYFUNCTION("""COMPUTED_VALUE"""),0.466666666666666)</f>
        <v>0.4666666667</v>
      </c>
      <c r="S18" s="8">
        <f>IFERROR(__xludf.DUMMYFUNCTION("""COMPUTED_VALUE"""),0.0)</f>
        <v>0</v>
      </c>
      <c r="T18" s="8">
        <f>IFERROR(__xludf.DUMMYFUNCTION("""COMPUTED_VALUE"""),0.0)</f>
        <v>0</v>
      </c>
      <c r="U18" s="8">
        <f>IFERROR(__xludf.DUMMYFUNCTION("""COMPUTED_VALUE"""),0.0)</f>
        <v>0</v>
      </c>
      <c r="V18" s="8">
        <f>IFERROR(__xludf.DUMMYFUNCTION("""COMPUTED_VALUE"""),0.0)</f>
        <v>0</v>
      </c>
      <c r="W18" s="8">
        <f>IFERROR(__xludf.DUMMYFUNCTION("""COMPUTED_VALUE"""),0.0)</f>
        <v>0</v>
      </c>
      <c r="X18" s="8">
        <f>IFERROR(__xludf.DUMMYFUNCTION("""COMPUTED_VALUE"""),0.0)</f>
        <v>0</v>
      </c>
      <c r="Y18" s="8">
        <f>IFERROR(__xludf.DUMMYFUNCTION("""COMPUTED_VALUE"""),0.0)</f>
        <v>0</v>
      </c>
      <c r="Z18" s="8">
        <f>IFERROR(__xludf.DUMMYFUNCTION("""COMPUTED_VALUE"""),0.0)</f>
        <v>0</v>
      </c>
      <c r="AA18" s="8">
        <f>IFERROR(__xludf.DUMMYFUNCTION("""COMPUTED_VALUE"""),0.0)</f>
        <v>0</v>
      </c>
      <c r="AB18" s="8">
        <f>IFERROR(__xludf.DUMMYFUNCTION("""COMPUTED_VALUE"""),0.0)</f>
        <v>0</v>
      </c>
      <c r="AC18" s="8">
        <f>IFERROR(__xludf.DUMMYFUNCTION("""COMPUTED_VALUE"""),0.0)</f>
        <v>0</v>
      </c>
    </row>
    <row r="19" ht="15.75" customHeight="1">
      <c r="A19" s="6" t="str">
        <f>IFERROR(__xludf.DUMMYFUNCTION("""COMPUTED_VALUE"""),"0f3d56fd651e66eb62e990fd31d006aa80eaab5f")</f>
        <v>0f3d56fd651e66eb62e990fd31d006aa80eaab5f</v>
      </c>
      <c r="B19" s="6" t="str">
        <f>IFERROR(__xludf.DUMMYFUNCTION("""COMPUTED_VALUE"""),"The Forsaken Tamer")</f>
        <v>The Forsaken Tamer</v>
      </c>
      <c r="C19" s="6" t="str">
        <f>IFERROR(__xludf.DUMMYFUNCTION("""COMPUTED_VALUE"""),"System and Superpower")</f>
        <v>System and Superpower</v>
      </c>
      <c r="D19" s="5">
        <f>IFERROR(__xludf.DUMMYFUNCTION("""COMPUTED_VALUE"""),1493.0)</f>
        <v>1493</v>
      </c>
      <c r="E19" s="8">
        <f>IFERROR(__xludf.DUMMYFUNCTION("""COMPUTED_VALUE"""),0.99058507061197)</f>
        <v>0.9905850706</v>
      </c>
      <c r="F19" s="8">
        <f>IFERROR(__xludf.DUMMYFUNCTION("""COMPUTED_VALUE"""),0.643736422881969)</f>
        <v>0.6437364229</v>
      </c>
      <c r="G19" s="8">
        <f>IFERROR(__xludf.DUMMYFUNCTION("""COMPUTED_VALUE"""),0.593165174938974)</f>
        <v>0.5931651749</v>
      </c>
      <c r="H19" s="8">
        <f>IFERROR(__xludf.DUMMYFUNCTION("""COMPUTED_VALUE"""),0.5)</f>
        <v>0.5</v>
      </c>
      <c r="I19" s="8">
        <f>IFERROR(__xludf.DUMMYFUNCTION("""COMPUTED_VALUE"""),0.442708333333333)</f>
        <v>0.4427083333</v>
      </c>
      <c r="J19" s="8">
        <f>IFERROR(__xludf.DUMMYFUNCTION("""COMPUTED_VALUE"""),0.355582524271844)</f>
        <v>0.3555825243</v>
      </c>
      <c r="K19" s="8">
        <f>IFERROR(__xludf.DUMMYFUNCTION("""COMPUTED_VALUE"""),0.311057108140947)</f>
        <v>0.3110571081</v>
      </c>
      <c r="L19" s="8">
        <f>IFERROR(__xludf.DUMMYFUNCTION("""COMPUTED_VALUE"""),0.273504273504273)</f>
        <v>0.2735042735</v>
      </c>
      <c r="M19" s="8">
        <f>IFERROR(__xludf.DUMMYFUNCTION("""COMPUTED_VALUE"""),0.253987730061349)</f>
        <v>0.2539877301</v>
      </c>
      <c r="N19" s="8">
        <f>IFERROR(__xludf.DUMMYFUNCTION("""COMPUTED_VALUE"""),0.235802469135802)</f>
        <v>0.2358024691</v>
      </c>
      <c r="O19" s="8">
        <f>IFERROR(__xludf.DUMMYFUNCTION("""COMPUTED_VALUE"""),0.166042446941323)</f>
        <v>0.1660424469</v>
      </c>
      <c r="P19" s="8">
        <f>IFERROR(__xludf.DUMMYFUNCTION("""COMPUTED_VALUE"""),0.112101910828025)</f>
        <v>0.1121019108</v>
      </c>
      <c r="Q19" s="8">
        <f>IFERROR(__xludf.DUMMYFUNCTION("""COMPUTED_VALUE"""),0.0362776025236593)</f>
        <v>0.03627760252</v>
      </c>
      <c r="R19" s="8">
        <f>IFERROR(__xludf.DUMMYFUNCTION("""COMPUTED_VALUE"""),0.0241796200345423)</f>
        <v>0.02417962003</v>
      </c>
      <c r="S19" s="8">
        <f>IFERROR(__xludf.DUMMYFUNCTION("""COMPUTED_VALUE"""),0.0)</f>
        <v>0</v>
      </c>
      <c r="T19" s="8">
        <f>IFERROR(__xludf.DUMMYFUNCTION("""COMPUTED_VALUE"""),0.0)</f>
        <v>0</v>
      </c>
      <c r="U19" s="8">
        <f>IFERROR(__xludf.DUMMYFUNCTION("""COMPUTED_VALUE"""),0.0)</f>
        <v>0</v>
      </c>
      <c r="V19" s="8">
        <f>IFERROR(__xludf.DUMMYFUNCTION("""COMPUTED_VALUE"""),0.0)</f>
        <v>0</v>
      </c>
      <c r="W19" s="8">
        <f>IFERROR(__xludf.DUMMYFUNCTION("""COMPUTED_VALUE"""),0.0)</f>
        <v>0</v>
      </c>
      <c r="X19" s="8">
        <f>IFERROR(__xludf.DUMMYFUNCTION("""COMPUTED_VALUE"""),0.0)</f>
        <v>0</v>
      </c>
      <c r="Y19" s="8">
        <f>IFERROR(__xludf.DUMMYFUNCTION("""COMPUTED_VALUE"""),0.0)</f>
        <v>0</v>
      </c>
      <c r="Z19" s="8">
        <f>IFERROR(__xludf.DUMMYFUNCTION("""COMPUTED_VALUE"""),0.0)</f>
        <v>0</v>
      </c>
      <c r="AA19" s="8">
        <f>IFERROR(__xludf.DUMMYFUNCTION("""COMPUTED_VALUE"""),0.0)</f>
        <v>0</v>
      </c>
      <c r="AB19" s="8">
        <f>IFERROR(__xludf.DUMMYFUNCTION("""COMPUTED_VALUE"""),0.0)</f>
        <v>0</v>
      </c>
      <c r="AC19" s="8">
        <f>IFERROR(__xludf.DUMMYFUNCTION("""COMPUTED_VALUE"""),0.0)</f>
        <v>0</v>
      </c>
    </row>
    <row r="20" ht="15.75" customHeight="1">
      <c r="A20" s="6" t="str">
        <f>IFERROR(__xludf.DUMMYFUNCTION("""COMPUTED_VALUE"""),"0fadc6da7c4d814463023dc7ffd8be44c68fa457")</f>
        <v>0fadc6da7c4d814463023dc7ffd8be44c68fa457</v>
      </c>
      <c r="B20" s="6" t="str">
        <f>IFERROR(__xludf.DUMMYFUNCTION("""COMPUTED_VALUE"""),"From Ceo to Young Lord")</f>
        <v>From Ceo to Young Lord</v>
      </c>
      <c r="C20" s="6" t="str">
        <f>IFERROR(__xludf.DUMMYFUNCTION("""COMPUTED_VALUE"""),"Fantasy")</f>
        <v>Fantasy</v>
      </c>
      <c r="D20" s="5">
        <f>IFERROR(__xludf.DUMMYFUNCTION("""COMPUTED_VALUE"""),1284.0)</f>
        <v>1284</v>
      </c>
      <c r="E20" s="8">
        <f>IFERROR(__xludf.DUMMYFUNCTION("""COMPUTED_VALUE"""),0.953198127925117)</f>
        <v>0.9531981279</v>
      </c>
      <c r="F20" s="8">
        <f>IFERROR(__xludf.DUMMYFUNCTION("""COMPUTED_VALUE"""),0.688575899843505)</f>
        <v>0.6885758998</v>
      </c>
      <c r="G20" s="8">
        <f>IFERROR(__xludf.DUMMYFUNCTION("""COMPUTED_VALUE"""),0.650980392156862)</f>
        <v>0.6509803922</v>
      </c>
      <c r="H20" s="8">
        <f>IFERROR(__xludf.DUMMYFUNCTION("""COMPUTED_VALUE"""),0.650943396226415)</f>
        <v>0.6509433962</v>
      </c>
      <c r="I20" s="8">
        <f>IFERROR(__xludf.DUMMYFUNCTION("""COMPUTED_VALUE"""),0.607565011820331)</f>
        <v>0.6075650118</v>
      </c>
      <c r="J20" s="8">
        <f>IFERROR(__xludf.DUMMYFUNCTION("""COMPUTED_VALUE"""),0.576740506329113)</f>
        <v>0.5767405063</v>
      </c>
      <c r="K20" s="8">
        <f>IFERROR(__xludf.DUMMYFUNCTION("""COMPUTED_VALUE"""),0.566904196357878)</f>
        <v>0.5669041964</v>
      </c>
      <c r="L20" s="8">
        <f>IFERROR(__xludf.DUMMYFUNCTION("""COMPUTED_VALUE"""),0.536139793486894)</f>
        <v>0.5361397935</v>
      </c>
      <c r="M20" s="8">
        <f>IFERROR(__xludf.DUMMYFUNCTION("""COMPUTED_VALUE"""),0.514717581543357)</f>
        <v>0.5147175815</v>
      </c>
      <c r="N20" s="8">
        <f>IFERROR(__xludf.DUMMYFUNCTION("""COMPUTED_VALUE"""),0.505582137161084)</f>
        <v>0.5055821372</v>
      </c>
      <c r="O20" s="8">
        <f>IFERROR(__xludf.DUMMYFUNCTION("""COMPUTED_VALUE"""),0.449238578680203)</f>
        <v>0.4492385787</v>
      </c>
      <c r="P20" s="8">
        <f>IFERROR(__xludf.DUMMYFUNCTION("""COMPUTED_VALUE"""),0.309420916162489)</f>
        <v>0.3094209162</v>
      </c>
      <c r="Q20" s="8">
        <f>IFERROR(__xludf.DUMMYFUNCTION("""COMPUTED_VALUE"""),0.224489795918367)</f>
        <v>0.2244897959</v>
      </c>
      <c r="R20" s="8">
        <f>IFERROR(__xludf.DUMMYFUNCTION("""COMPUTED_VALUE"""),0.161971830985915)</f>
        <v>0.161971831</v>
      </c>
      <c r="S20" s="8">
        <f>IFERROR(__xludf.DUMMYFUNCTION("""COMPUTED_VALUE"""),0.0909090909090909)</f>
        <v>0.09090909091</v>
      </c>
      <c r="T20" s="8">
        <f>IFERROR(__xludf.DUMMYFUNCTION("""COMPUTED_VALUE"""),0.0)</f>
        <v>0</v>
      </c>
      <c r="U20" s="8">
        <f>IFERROR(__xludf.DUMMYFUNCTION("""COMPUTED_VALUE"""),0.0)</f>
        <v>0</v>
      </c>
      <c r="V20" s="8">
        <f>IFERROR(__xludf.DUMMYFUNCTION("""COMPUTED_VALUE"""),0.0)</f>
        <v>0</v>
      </c>
      <c r="W20" s="8">
        <f>IFERROR(__xludf.DUMMYFUNCTION("""COMPUTED_VALUE"""),0.0)</f>
        <v>0</v>
      </c>
      <c r="X20" s="8">
        <f>IFERROR(__xludf.DUMMYFUNCTION("""COMPUTED_VALUE"""),0.0)</f>
        <v>0</v>
      </c>
      <c r="Y20" s="8">
        <f>IFERROR(__xludf.DUMMYFUNCTION("""COMPUTED_VALUE"""),0.0)</f>
        <v>0</v>
      </c>
      <c r="Z20" s="8">
        <f>IFERROR(__xludf.DUMMYFUNCTION("""COMPUTED_VALUE"""),0.0)</f>
        <v>0</v>
      </c>
      <c r="AA20" s="8">
        <f>IFERROR(__xludf.DUMMYFUNCTION("""COMPUTED_VALUE"""),0.0)</f>
        <v>0</v>
      </c>
      <c r="AB20" s="8">
        <f>IFERROR(__xludf.DUMMYFUNCTION("""COMPUTED_VALUE"""),0.0)</f>
        <v>0</v>
      </c>
      <c r="AC20" s="8">
        <f>IFERROR(__xludf.DUMMYFUNCTION("""COMPUTED_VALUE"""),0.0)</f>
        <v>0</v>
      </c>
    </row>
    <row r="21" ht="15.75" customHeight="1">
      <c r="A21" s="6" t="str">
        <f>IFERROR(__xludf.DUMMYFUNCTION("""COMPUTED_VALUE"""),"114fed9f0540f90ccc58d03a383c7c69260baeae")</f>
        <v>114fed9f0540f90ccc58d03a383c7c69260baeae</v>
      </c>
      <c r="B21" s="6" t="str">
        <f>IFERROR(__xludf.DUMMYFUNCTION("""COMPUTED_VALUE"""),"Mother's Murder &amp; Secrets")</f>
        <v>Mother's Murder &amp; Secrets</v>
      </c>
      <c r="C21" s="6" t="str">
        <f>IFERROR(__xludf.DUMMYFUNCTION("""COMPUTED_VALUE"""),"Suspense or Thriller")</f>
        <v>Suspense or Thriller</v>
      </c>
      <c r="D21" s="5">
        <f>IFERROR(__xludf.DUMMYFUNCTION("""COMPUTED_VALUE"""),992.0)</f>
        <v>992</v>
      </c>
      <c r="E21" s="8">
        <f>IFERROR(__xludf.DUMMYFUNCTION("""COMPUTED_VALUE"""),0.981854838709677)</f>
        <v>0.9818548387</v>
      </c>
      <c r="F21" s="8">
        <f>IFERROR(__xludf.DUMMYFUNCTION("""COMPUTED_VALUE"""),0.404233870967741)</f>
        <v>0.404233871</v>
      </c>
      <c r="G21" s="8">
        <f>IFERROR(__xludf.DUMMYFUNCTION("""COMPUTED_VALUE"""),0.328629032258064)</f>
        <v>0.3286290323</v>
      </c>
      <c r="H21" s="8">
        <f>IFERROR(__xludf.DUMMYFUNCTION("""COMPUTED_VALUE"""),0.279233870967741)</f>
        <v>0.279233871</v>
      </c>
      <c r="I21" s="8">
        <f>IFERROR(__xludf.DUMMYFUNCTION("""COMPUTED_VALUE"""),0.244959677419354)</f>
        <v>0.2449596774</v>
      </c>
      <c r="J21" s="8">
        <f>IFERROR(__xludf.DUMMYFUNCTION("""COMPUTED_VALUE"""),0.222782258064516)</f>
        <v>0.2227822581</v>
      </c>
      <c r="K21" s="8">
        <f>IFERROR(__xludf.DUMMYFUNCTION("""COMPUTED_VALUE"""),0.19071644803229)</f>
        <v>0.190716448</v>
      </c>
      <c r="L21" s="8">
        <f>IFERROR(__xludf.DUMMYFUNCTION("""COMPUTED_VALUE"""),0.18080808080808)</f>
        <v>0.1808080808</v>
      </c>
      <c r="M21" s="8">
        <f>IFERROR(__xludf.DUMMYFUNCTION("""COMPUTED_VALUE"""),0.162626262626262)</f>
        <v>0.1626262626</v>
      </c>
      <c r="N21" s="8">
        <f>IFERROR(__xludf.DUMMYFUNCTION("""COMPUTED_VALUE"""),0.156723963599595)</f>
        <v>0.1567239636</v>
      </c>
      <c r="O21" s="8">
        <f>IFERROR(__xludf.DUMMYFUNCTION("""COMPUTED_VALUE"""),0.120545073375262)</f>
        <v>0.1205450734</v>
      </c>
      <c r="P21" s="8">
        <f>IFERROR(__xludf.DUMMYFUNCTION("""COMPUTED_VALUE"""),0.0864864864864864)</f>
        <v>0.08648648649</v>
      </c>
      <c r="Q21" s="8">
        <f>IFERROR(__xludf.DUMMYFUNCTION("""COMPUTED_VALUE"""),0.0616740088105726)</f>
        <v>0.06167400881</v>
      </c>
      <c r="R21" s="8">
        <f>IFERROR(__xludf.DUMMYFUNCTION("""COMPUTED_VALUE"""),0.0448642266824085)</f>
        <v>0.04486422668</v>
      </c>
      <c r="S21" s="8">
        <f>IFERROR(__xludf.DUMMYFUNCTION("""COMPUTED_VALUE"""),0.026448362720403)</f>
        <v>0.02644836272</v>
      </c>
      <c r="T21" s="8">
        <f>IFERROR(__xludf.DUMMYFUNCTION("""COMPUTED_VALUE"""),0.0151228733459357)</f>
        <v>0.01512287335</v>
      </c>
      <c r="U21" s="8">
        <f>IFERROR(__xludf.DUMMYFUNCTION("""COMPUTED_VALUE"""),0.00568181818181818)</f>
        <v>0.005681818182</v>
      </c>
      <c r="V21" s="8">
        <f>IFERROR(__xludf.DUMMYFUNCTION("""COMPUTED_VALUE"""),0.0212765957446808)</f>
        <v>0.02127659574</v>
      </c>
      <c r="W21" s="8">
        <f>IFERROR(__xludf.DUMMYFUNCTION("""COMPUTED_VALUE"""),0.0)</f>
        <v>0</v>
      </c>
      <c r="X21" s="8">
        <f>IFERROR(__xludf.DUMMYFUNCTION("""COMPUTED_VALUE"""),0.0)</f>
        <v>0</v>
      </c>
      <c r="Y21" s="8">
        <f>IFERROR(__xludf.DUMMYFUNCTION("""COMPUTED_VALUE"""),0.0)</f>
        <v>0</v>
      </c>
      <c r="Z21" s="8">
        <f>IFERROR(__xludf.DUMMYFUNCTION("""COMPUTED_VALUE"""),0.0)</f>
        <v>0</v>
      </c>
      <c r="AA21" s="8">
        <f>IFERROR(__xludf.DUMMYFUNCTION("""COMPUTED_VALUE"""),0.0)</f>
        <v>0</v>
      </c>
      <c r="AB21" s="8">
        <f>IFERROR(__xludf.DUMMYFUNCTION("""COMPUTED_VALUE"""),0.0)</f>
        <v>0</v>
      </c>
      <c r="AC21" s="8">
        <f>IFERROR(__xludf.DUMMYFUNCTION("""COMPUTED_VALUE"""),0.0)</f>
        <v>0</v>
      </c>
    </row>
    <row r="22" ht="15.75" customHeight="1">
      <c r="A22" s="6" t="str">
        <f>IFERROR(__xludf.DUMMYFUNCTION("""COMPUTED_VALUE"""),"123964565c4c79c7f1a3737171a0125020300913")</f>
        <v>123964565c4c79c7f1a3737171a0125020300913</v>
      </c>
      <c r="B22" s="6" t="str">
        <f>IFERROR(__xludf.DUMMYFUNCTION("""COMPUTED_VALUE"""),"My Alien Boxing System")</f>
        <v>My Alien Boxing System</v>
      </c>
      <c r="C22" s="6" t="str">
        <f>IFERROR(__xludf.DUMMYFUNCTION("""COMPUTED_VALUE"""),"Fantasy")</f>
        <v>Fantasy</v>
      </c>
      <c r="D22" s="5">
        <f>IFERROR(__xludf.DUMMYFUNCTION("""COMPUTED_VALUE"""),797.0)</f>
        <v>797</v>
      </c>
      <c r="E22" s="8">
        <f>IFERROR(__xludf.DUMMYFUNCTION("""COMPUTED_VALUE"""),0.979899497487437)</f>
        <v>0.9798994975</v>
      </c>
      <c r="F22" s="8">
        <f>IFERROR(__xludf.DUMMYFUNCTION("""COMPUTED_VALUE"""),0.622166246851385)</f>
        <v>0.6221662469</v>
      </c>
      <c r="G22" s="8">
        <f>IFERROR(__xludf.DUMMYFUNCTION("""COMPUTED_VALUE"""),0.584382871536523)</f>
        <v>0.5843828715</v>
      </c>
      <c r="H22" s="8">
        <f>IFERROR(__xludf.DUMMYFUNCTION("""COMPUTED_VALUE"""),0.52338811630847)</f>
        <v>0.5233881163</v>
      </c>
      <c r="I22" s="8">
        <f>IFERROR(__xludf.DUMMYFUNCTION("""COMPUTED_VALUE"""),0.48477157360406)</f>
        <v>0.4847715736</v>
      </c>
      <c r="J22" s="8">
        <f>IFERROR(__xludf.DUMMYFUNCTION("""COMPUTED_VALUE"""),0.434782608695652)</f>
        <v>0.4347826087</v>
      </c>
      <c r="K22" s="8">
        <f>IFERROR(__xludf.DUMMYFUNCTION("""COMPUTED_VALUE"""),0.388960205391527)</f>
        <v>0.3889602054</v>
      </c>
      <c r="L22" s="8">
        <f>IFERROR(__xludf.DUMMYFUNCTION("""COMPUTED_VALUE"""),0.386597938144329)</f>
        <v>0.3865979381</v>
      </c>
      <c r="M22" s="8">
        <f>IFERROR(__xludf.DUMMYFUNCTION("""COMPUTED_VALUE"""),0.360931435963777)</f>
        <v>0.360931436</v>
      </c>
      <c r="N22" s="8">
        <f>IFERROR(__xludf.DUMMYFUNCTION("""COMPUTED_VALUE"""),0.318181818181818)</f>
        <v>0.3181818182</v>
      </c>
      <c r="O22" s="8">
        <f>IFERROR(__xludf.DUMMYFUNCTION("""COMPUTED_VALUE"""),0.255291005291005)</f>
        <v>0.2552910053</v>
      </c>
      <c r="P22" s="8">
        <f>IFERROR(__xludf.DUMMYFUNCTION("""COMPUTED_VALUE"""),0.168557536466774)</f>
        <v>0.1685575365</v>
      </c>
      <c r="Q22" s="8">
        <f>IFERROR(__xludf.DUMMYFUNCTION("""COMPUTED_VALUE"""),0.123595505617977)</f>
        <v>0.1235955056</v>
      </c>
      <c r="R22" s="8">
        <f>IFERROR(__xludf.DUMMYFUNCTION("""COMPUTED_VALUE"""),0.0)</f>
        <v>0</v>
      </c>
      <c r="S22" s="8">
        <f>IFERROR(__xludf.DUMMYFUNCTION("""COMPUTED_VALUE"""),0.0)</f>
        <v>0</v>
      </c>
      <c r="T22" s="8">
        <f>IFERROR(__xludf.DUMMYFUNCTION("""COMPUTED_VALUE"""),0.0)</f>
        <v>0</v>
      </c>
      <c r="U22" s="8">
        <f>IFERROR(__xludf.DUMMYFUNCTION("""COMPUTED_VALUE"""),0.0)</f>
        <v>0</v>
      </c>
      <c r="V22" s="8">
        <f>IFERROR(__xludf.DUMMYFUNCTION("""COMPUTED_VALUE"""),0.0)</f>
        <v>0</v>
      </c>
      <c r="W22" s="8">
        <f>IFERROR(__xludf.DUMMYFUNCTION("""COMPUTED_VALUE"""),0.0)</f>
        <v>0</v>
      </c>
      <c r="X22" s="8">
        <f>IFERROR(__xludf.DUMMYFUNCTION("""COMPUTED_VALUE"""),0.0)</f>
        <v>0</v>
      </c>
      <c r="Y22" s="8">
        <f>IFERROR(__xludf.DUMMYFUNCTION("""COMPUTED_VALUE"""),0.0)</f>
        <v>0</v>
      </c>
      <c r="Z22" s="8">
        <f>IFERROR(__xludf.DUMMYFUNCTION("""COMPUTED_VALUE"""),0.0)</f>
        <v>0</v>
      </c>
      <c r="AA22" s="8">
        <f>IFERROR(__xludf.DUMMYFUNCTION("""COMPUTED_VALUE"""),0.0)</f>
        <v>0</v>
      </c>
      <c r="AB22" s="8">
        <f>IFERROR(__xludf.DUMMYFUNCTION("""COMPUTED_VALUE"""),0.0)</f>
        <v>0</v>
      </c>
      <c r="AC22" s="8">
        <f>IFERROR(__xludf.DUMMYFUNCTION("""COMPUTED_VALUE"""),0.0)</f>
        <v>0</v>
      </c>
    </row>
    <row r="23" ht="15.75" customHeight="1">
      <c r="A23" s="6" t="str">
        <f>IFERROR(__xludf.DUMMYFUNCTION("""COMPUTED_VALUE"""),"158669d764d53a995f111683b8700642d7c4847c")</f>
        <v>158669d764d53a995f111683b8700642d7c4847c</v>
      </c>
      <c r="B23" s="6" t="str">
        <f>IFERROR(__xludf.DUMMYFUNCTION("""COMPUTED_VALUE"""),"The Silent Wife Strikes")</f>
        <v>The Silent Wife Strikes</v>
      </c>
      <c r="C23" s="6" t="str">
        <f>IFERROR(__xludf.DUMMYFUNCTION("""COMPUTED_VALUE"""),"Romance")</f>
        <v>Romance</v>
      </c>
      <c r="D23" s="5">
        <f>IFERROR(__xludf.DUMMYFUNCTION("""COMPUTED_VALUE"""),1087.0)</f>
        <v>1087</v>
      </c>
      <c r="E23" s="8">
        <f>IFERROR(__xludf.DUMMYFUNCTION("""COMPUTED_VALUE"""),0.963201471941122)</f>
        <v>0.9632014719</v>
      </c>
      <c r="F23" s="8">
        <f>IFERROR(__xludf.DUMMYFUNCTION("""COMPUTED_VALUE"""),0.595216191352345)</f>
        <v>0.5952161914</v>
      </c>
      <c r="G23" s="8">
        <f>IFERROR(__xludf.DUMMYFUNCTION("""COMPUTED_VALUE"""),0.540515653775322)</f>
        <v>0.5405156538</v>
      </c>
      <c r="H23" s="8">
        <f>IFERROR(__xludf.DUMMYFUNCTION("""COMPUTED_VALUE"""),0.475138121546961)</f>
        <v>0.4751381215</v>
      </c>
      <c r="I23" s="8">
        <f>IFERROR(__xludf.DUMMYFUNCTION("""COMPUTED_VALUE"""),0.437384898710865)</f>
        <v>0.4373848987</v>
      </c>
      <c r="J23" s="8">
        <f>IFERROR(__xludf.DUMMYFUNCTION("""COMPUTED_VALUE"""),0.408839779005524)</f>
        <v>0.408839779</v>
      </c>
      <c r="K23" s="8">
        <f>IFERROR(__xludf.DUMMYFUNCTION("""COMPUTED_VALUE"""),0.390423572744014)</f>
        <v>0.3904235727</v>
      </c>
      <c r="L23" s="8">
        <f>IFERROR(__xludf.DUMMYFUNCTION("""COMPUTED_VALUE"""),0.350828729281767)</f>
        <v>0.3508287293</v>
      </c>
      <c r="M23" s="8">
        <f>IFERROR(__xludf.DUMMYFUNCTION("""COMPUTED_VALUE"""),0.344383057090239)</f>
        <v>0.3443830571</v>
      </c>
      <c r="N23" s="8">
        <f>IFERROR(__xludf.DUMMYFUNCTION("""COMPUTED_VALUE"""),0.315207373271889)</f>
        <v>0.3152073733</v>
      </c>
      <c r="O23" s="8">
        <f>IFERROR(__xludf.DUMMYFUNCTION("""COMPUTED_VALUE"""),0.277196652719665)</f>
        <v>0.2771966527</v>
      </c>
      <c r="P23" s="8">
        <f>IFERROR(__xludf.DUMMYFUNCTION("""COMPUTED_VALUE"""),0.196016771488469)</f>
        <v>0.1960167715</v>
      </c>
      <c r="Q23" s="8">
        <f>IFERROR(__xludf.DUMMYFUNCTION("""COMPUTED_VALUE"""),0.171658986175115)</f>
        <v>0.1716589862</v>
      </c>
      <c r="R23" s="8">
        <f>IFERROR(__xludf.DUMMYFUNCTION("""COMPUTED_VALUE"""),0.0415472779369627)</f>
        <v>0.04154727794</v>
      </c>
      <c r="S23" s="8">
        <f>IFERROR(__xludf.DUMMYFUNCTION("""COMPUTED_VALUE"""),0.0)</f>
        <v>0</v>
      </c>
      <c r="T23" s="8">
        <f>IFERROR(__xludf.DUMMYFUNCTION("""COMPUTED_VALUE"""),0.0)</f>
        <v>0</v>
      </c>
      <c r="U23" s="8">
        <f>IFERROR(__xludf.DUMMYFUNCTION("""COMPUTED_VALUE"""),0.0)</f>
        <v>0</v>
      </c>
      <c r="V23" s="8">
        <f>IFERROR(__xludf.DUMMYFUNCTION("""COMPUTED_VALUE"""),0.0)</f>
        <v>0</v>
      </c>
      <c r="W23" s="8">
        <f>IFERROR(__xludf.DUMMYFUNCTION("""COMPUTED_VALUE"""),0.0)</f>
        <v>0</v>
      </c>
      <c r="X23" s="8">
        <f>IFERROR(__xludf.DUMMYFUNCTION("""COMPUTED_VALUE"""),0.0)</f>
        <v>0</v>
      </c>
      <c r="Y23" s="8">
        <f>IFERROR(__xludf.DUMMYFUNCTION("""COMPUTED_VALUE"""),0.0)</f>
        <v>0</v>
      </c>
      <c r="Z23" s="8">
        <f>IFERROR(__xludf.DUMMYFUNCTION("""COMPUTED_VALUE"""),0.0)</f>
        <v>0</v>
      </c>
      <c r="AA23" s="8">
        <f>IFERROR(__xludf.DUMMYFUNCTION("""COMPUTED_VALUE"""),0.0)</f>
        <v>0</v>
      </c>
      <c r="AB23" s="8">
        <f>IFERROR(__xludf.DUMMYFUNCTION("""COMPUTED_VALUE"""),0.0)</f>
        <v>0</v>
      </c>
      <c r="AC23" s="8">
        <f>IFERROR(__xludf.DUMMYFUNCTION("""COMPUTED_VALUE"""),0.0)</f>
        <v>0</v>
      </c>
    </row>
    <row r="24" ht="15.75" customHeight="1">
      <c r="A24" s="6" t="str">
        <f>IFERROR(__xludf.DUMMYFUNCTION("""COMPUTED_VALUE"""),"170bf0ee514e18fe892383ebee0f53a0f634136f")</f>
        <v>170bf0ee514e18fe892383ebee0f53a0f634136f</v>
      </c>
      <c r="B24" s="6" t="str">
        <f>IFERROR(__xludf.DUMMYFUNCTION("""COMPUTED_VALUE"""),"Started From the Bottom")</f>
        <v>Started From the Bottom</v>
      </c>
      <c r="C24" s="6" t="str">
        <f>IFERROR(__xludf.DUMMYFUNCTION("""COMPUTED_VALUE"""),"Drama")</f>
        <v>Drama</v>
      </c>
      <c r="D24" s="5">
        <f>IFERROR(__xludf.DUMMYFUNCTION("""COMPUTED_VALUE"""),34.0)</f>
        <v>34</v>
      </c>
      <c r="E24" s="8">
        <f>IFERROR(__xludf.DUMMYFUNCTION("""COMPUTED_VALUE"""),0.941176470588235)</f>
        <v>0.9411764706</v>
      </c>
      <c r="F24" s="8">
        <f>IFERROR(__xludf.DUMMYFUNCTION("""COMPUTED_VALUE"""),0.0606060606060606)</f>
        <v>0.06060606061</v>
      </c>
      <c r="G24" s="8">
        <f>IFERROR(__xludf.DUMMYFUNCTION("""COMPUTED_VALUE"""),0.0606060606060606)</f>
        <v>0.06060606061</v>
      </c>
      <c r="H24" s="8">
        <f>IFERROR(__xludf.DUMMYFUNCTION("""COMPUTED_VALUE"""),0.0606060606060606)</f>
        <v>0.06060606061</v>
      </c>
      <c r="I24" s="8">
        <f>IFERROR(__xludf.DUMMYFUNCTION("""COMPUTED_VALUE"""),0.0333333333333333)</f>
        <v>0.03333333333</v>
      </c>
      <c r="J24" s="8">
        <f>IFERROR(__xludf.DUMMYFUNCTION("""COMPUTED_VALUE"""),0.137931034482758)</f>
        <v>0.1379310345</v>
      </c>
      <c r="K24" s="8">
        <f>IFERROR(__xludf.DUMMYFUNCTION("""COMPUTED_VALUE"""),0.103448275862068)</f>
        <v>0.1034482759</v>
      </c>
      <c r="L24" s="8">
        <f>IFERROR(__xludf.DUMMYFUNCTION("""COMPUTED_VALUE"""),0.0714285714285714)</f>
        <v>0.07142857143</v>
      </c>
      <c r="M24" s="8">
        <f>IFERROR(__xludf.DUMMYFUNCTION("""COMPUTED_VALUE"""),0.074074074074074)</f>
        <v>0.07407407407</v>
      </c>
      <c r="N24" s="8">
        <f>IFERROR(__xludf.DUMMYFUNCTION("""COMPUTED_VALUE"""),0.111111111111111)</f>
        <v>0.1111111111</v>
      </c>
      <c r="O24" s="8">
        <f>IFERROR(__xludf.DUMMYFUNCTION("""COMPUTED_VALUE"""),0.04)</f>
        <v>0.04</v>
      </c>
      <c r="P24" s="8">
        <f>IFERROR(__xludf.DUMMYFUNCTION("""COMPUTED_VALUE"""),0.0434782608695652)</f>
        <v>0.04347826087</v>
      </c>
      <c r="Q24" s="8">
        <f>IFERROR(__xludf.DUMMYFUNCTION("""COMPUTED_VALUE"""),0.0769230769230769)</f>
        <v>0.07692307692</v>
      </c>
      <c r="R24" s="8">
        <f>IFERROR(__xludf.DUMMYFUNCTION("""COMPUTED_VALUE"""),0.111111111111111)</f>
        <v>0.1111111111</v>
      </c>
      <c r="S24" s="8">
        <f>IFERROR(__xludf.DUMMYFUNCTION("""COMPUTED_VALUE"""),0.0)</f>
        <v>0</v>
      </c>
      <c r="T24" s="8">
        <f>IFERROR(__xludf.DUMMYFUNCTION("""COMPUTED_VALUE"""),0.0)</f>
        <v>0</v>
      </c>
      <c r="U24" s="8">
        <f>IFERROR(__xludf.DUMMYFUNCTION("""COMPUTED_VALUE"""),0.0)</f>
        <v>0</v>
      </c>
      <c r="V24" s="8">
        <f>IFERROR(__xludf.DUMMYFUNCTION("""COMPUTED_VALUE"""),0.0)</f>
        <v>0</v>
      </c>
      <c r="W24" s="8">
        <f>IFERROR(__xludf.DUMMYFUNCTION("""COMPUTED_VALUE"""),0.0)</f>
        <v>0</v>
      </c>
      <c r="X24" s="8">
        <f>IFERROR(__xludf.DUMMYFUNCTION("""COMPUTED_VALUE"""),0.0)</f>
        <v>0</v>
      </c>
      <c r="Y24" s="8">
        <f>IFERROR(__xludf.DUMMYFUNCTION("""COMPUTED_VALUE"""),0.0)</f>
        <v>0</v>
      </c>
      <c r="Z24" s="8">
        <f>IFERROR(__xludf.DUMMYFUNCTION("""COMPUTED_VALUE"""),0.0)</f>
        <v>0</v>
      </c>
      <c r="AA24" s="8">
        <f>IFERROR(__xludf.DUMMYFUNCTION("""COMPUTED_VALUE"""),0.0)</f>
        <v>0</v>
      </c>
      <c r="AB24" s="8">
        <f>IFERROR(__xludf.DUMMYFUNCTION("""COMPUTED_VALUE"""),0.0)</f>
        <v>0</v>
      </c>
      <c r="AC24" s="8">
        <f>IFERROR(__xludf.DUMMYFUNCTION("""COMPUTED_VALUE"""),0.0)</f>
        <v>0</v>
      </c>
    </row>
    <row r="25" ht="15.75" customHeight="1">
      <c r="A25" s="6" t="str">
        <f>IFERROR(__xludf.DUMMYFUNCTION("""COMPUTED_VALUE"""),"184b660f61809850b4478d5bf89e9d10794578ee")</f>
        <v>184b660f61809850b4478d5bf89e9d10794578ee</v>
      </c>
      <c r="B25" s="6" t="str">
        <f>IFERROR(__xludf.DUMMYFUNCTION("""COMPUTED_VALUE"""),"Playing with Fire")</f>
        <v>Playing with Fire</v>
      </c>
      <c r="C25" s="6" t="str">
        <f>IFERROR(__xludf.DUMMYFUNCTION("""COMPUTED_VALUE"""),"Romance")</f>
        <v>Romance</v>
      </c>
      <c r="D25" s="5">
        <f>IFERROR(__xludf.DUMMYFUNCTION("""COMPUTED_VALUE"""),103.0)</f>
        <v>103</v>
      </c>
      <c r="E25" s="8">
        <f>IFERROR(__xludf.DUMMYFUNCTION("""COMPUTED_VALUE"""),0.88235294117647)</f>
        <v>0.8823529412</v>
      </c>
      <c r="F25" s="8">
        <f>IFERROR(__xludf.DUMMYFUNCTION("""COMPUTED_VALUE"""),0.38235294117647)</f>
        <v>0.3823529412</v>
      </c>
      <c r="G25" s="8">
        <f>IFERROR(__xludf.DUMMYFUNCTION("""COMPUTED_VALUE"""),0.352941176470588)</f>
        <v>0.3529411765</v>
      </c>
      <c r="H25" s="8">
        <f>IFERROR(__xludf.DUMMYFUNCTION("""COMPUTED_VALUE"""),0.313725490196078)</f>
        <v>0.3137254902</v>
      </c>
      <c r="I25" s="8">
        <f>IFERROR(__xludf.DUMMYFUNCTION("""COMPUTED_VALUE"""),0.274509803921568)</f>
        <v>0.2745098039</v>
      </c>
      <c r="J25" s="8">
        <f>IFERROR(__xludf.DUMMYFUNCTION("""COMPUTED_VALUE"""),0.245098039215686)</f>
        <v>0.2450980392</v>
      </c>
      <c r="K25" s="8">
        <f>IFERROR(__xludf.DUMMYFUNCTION("""COMPUTED_VALUE"""),0.254901960784313)</f>
        <v>0.2549019608</v>
      </c>
      <c r="L25" s="8">
        <f>IFERROR(__xludf.DUMMYFUNCTION("""COMPUTED_VALUE"""),0.207920792079207)</f>
        <v>0.2079207921</v>
      </c>
      <c r="M25" s="8">
        <f>IFERROR(__xludf.DUMMYFUNCTION("""COMPUTED_VALUE"""),0.217821782178217)</f>
        <v>0.2178217822</v>
      </c>
      <c r="N25" s="8">
        <f>IFERROR(__xludf.DUMMYFUNCTION("""COMPUTED_VALUE"""),0.207920792079207)</f>
        <v>0.2079207921</v>
      </c>
      <c r="O25" s="8">
        <f>IFERROR(__xludf.DUMMYFUNCTION("""COMPUTED_VALUE"""),0.207920792079207)</f>
        <v>0.2079207921</v>
      </c>
      <c r="P25" s="8">
        <f>IFERROR(__xludf.DUMMYFUNCTION("""COMPUTED_VALUE"""),0.138613861386138)</f>
        <v>0.1386138614</v>
      </c>
      <c r="Q25" s="8">
        <f>IFERROR(__xludf.DUMMYFUNCTION("""COMPUTED_VALUE"""),0.0166666666666666)</f>
        <v>0.01666666667</v>
      </c>
      <c r="R25" s="8">
        <f>IFERROR(__xludf.DUMMYFUNCTION("""COMPUTED_VALUE"""),0.0)</f>
        <v>0</v>
      </c>
      <c r="S25" s="8">
        <f>IFERROR(__xludf.DUMMYFUNCTION("""COMPUTED_VALUE"""),0.0)</f>
        <v>0</v>
      </c>
      <c r="T25" s="8">
        <f>IFERROR(__xludf.DUMMYFUNCTION("""COMPUTED_VALUE"""),0.0)</f>
        <v>0</v>
      </c>
      <c r="U25" s="8">
        <f>IFERROR(__xludf.DUMMYFUNCTION("""COMPUTED_VALUE"""),0.0)</f>
        <v>0</v>
      </c>
      <c r="V25" s="8">
        <f>IFERROR(__xludf.DUMMYFUNCTION("""COMPUTED_VALUE"""),0.0)</f>
        <v>0</v>
      </c>
      <c r="W25" s="8">
        <f>IFERROR(__xludf.DUMMYFUNCTION("""COMPUTED_VALUE"""),0.0)</f>
        <v>0</v>
      </c>
      <c r="X25" s="8">
        <f>IFERROR(__xludf.DUMMYFUNCTION("""COMPUTED_VALUE"""),0.0)</f>
        <v>0</v>
      </c>
      <c r="Y25" s="8">
        <f>IFERROR(__xludf.DUMMYFUNCTION("""COMPUTED_VALUE"""),0.0)</f>
        <v>0</v>
      </c>
      <c r="Z25" s="8">
        <f>IFERROR(__xludf.DUMMYFUNCTION("""COMPUTED_VALUE"""),0.0)</f>
        <v>0</v>
      </c>
      <c r="AA25" s="8">
        <f>IFERROR(__xludf.DUMMYFUNCTION("""COMPUTED_VALUE"""),0.0)</f>
        <v>0</v>
      </c>
      <c r="AB25" s="8">
        <f>IFERROR(__xludf.DUMMYFUNCTION("""COMPUTED_VALUE"""),0.0)</f>
        <v>0</v>
      </c>
      <c r="AC25" s="8">
        <f>IFERROR(__xludf.DUMMYFUNCTION("""COMPUTED_VALUE"""),0.0)</f>
        <v>0</v>
      </c>
    </row>
    <row r="26" ht="15.75" customHeight="1">
      <c r="A26" s="6" t="str">
        <f>IFERROR(__xludf.DUMMYFUNCTION("""COMPUTED_VALUE"""),"19153cd9dd2e137f1311235c9104db0ecba38abb")</f>
        <v>19153cd9dd2e137f1311235c9104db0ecba38abb</v>
      </c>
      <c r="B26" s="6" t="str">
        <f>IFERROR(__xludf.DUMMYFUNCTION("""COMPUTED_VALUE"""),"My Apex Trading System")</f>
        <v>My Apex Trading System</v>
      </c>
      <c r="C26" s="6" t="str">
        <f>IFERROR(__xludf.DUMMYFUNCTION("""COMPUTED_VALUE"""),"Sci-Fi")</f>
        <v>Sci-Fi</v>
      </c>
      <c r="D26" s="5">
        <f>IFERROR(__xludf.DUMMYFUNCTION("""COMPUTED_VALUE"""),649.0)</f>
        <v>649</v>
      </c>
      <c r="E26" s="8">
        <f>IFERROR(__xludf.DUMMYFUNCTION("""COMPUTED_VALUE"""),0.977966101694915)</f>
        <v>0.9779661017</v>
      </c>
      <c r="F26" s="8">
        <f>IFERROR(__xludf.DUMMYFUNCTION("""COMPUTED_VALUE"""),0.565557729941291)</f>
        <v>0.5655577299</v>
      </c>
      <c r="G26" s="8">
        <f>IFERROR(__xludf.DUMMYFUNCTION("""COMPUTED_VALUE"""),0.476953907815631)</f>
        <v>0.4769539078</v>
      </c>
      <c r="H26" s="8">
        <f>IFERROR(__xludf.DUMMYFUNCTION("""COMPUTED_VALUE"""),0.450110864745011)</f>
        <v>0.4501108647</v>
      </c>
      <c r="I26" s="8">
        <f>IFERROR(__xludf.DUMMYFUNCTION("""COMPUTED_VALUE"""),0.418981481481481)</f>
        <v>0.4189814815</v>
      </c>
      <c r="J26" s="8">
        <f>IFERROR(__xludf.DUMMYFUNCTION("""COMPUTED_VALUE"""),0.4175)</f>
        <v>0.4175</v>
      </c>
      <c r="K26" s="8">
        <f>IFERROR(__xludf.DUMMYFUNCTION("""COMPUTED_VALUE"""),0.408108108108108)</f>
        <v>0.4081081081</v>
      </c>
      <c r="L26" s="8">
        <f>IFERROR(__xludf.DUMMYFUNCTION("""COMPUTED_VALUE"""),0.41)</f>
        <v>0.41</v>
      </c>
      <c r="M26" s="8">
        <f>IFERROR(__xludf.DUMMYFUNCTION("""COMPUTED_VALUE"""),0.346303501945525)</f>
        <v>0.3463035019</v>
      </c>
      <c r="N26" s="8">
        <f>IFERROR(__xludf.DUMMYFUNCTION("""COMPUTED_VALUE"""),0.336633663366336)</f>
        <v>0.3366336634</v>
      </c>
      <c r="O26" s="8">
        <f>IFERROR(__xludf.DUMMYFUNCTION("""COMPUTED_VALUE"""),0.245901639344262)</f>
        <v>0.2459016393</v>
      </c>
      <c r="P26" s="8">
        <f>IFERROR(__xludf.DUMMYFUNCTION("""COMPUTED_VALUE"""),0.333333333333333)</f>
        <v>0.3333333333</v>
      </c>
      <c r="Q26" s="8">
        <f>IFERROR(__xludf.DUMMYFUNCTION("""COMPUTED_VALUE"""),0.0)</f>
        <v>0</v>
      </c>
      <c r="R26" s="8">
        <f>IFERROR(__xludf.DUMMYFUNCTION("""COMPUTED_VALUE"""),0.0)</f>
        <v>0</v>
      </c>
      <c r="S26" s="8">
        <f>IFERROR(__xludf.DUMMYFUNCTION("""COMPUTED_VALUE"""),0.0)</f>
        <v>0</v>
      </c>
      <c r="T26" s="8">
        <f>IFERROR(__xludf.DUMMYFUNCTION("""COMPUTED_VALUE"""),0.0)</f>
        <v>0</v>
      </c>
      <c r="U26" s="8">
        <f>IFERROR(__xludf.DUMMYFUNCTION("""COMPUTED_VALUE"""),0.0)</f>
        <v>0</v>
      </c>
      <c r="V26" s="8">
        <f>IFERROR(__xludf.DUMMYFUNCTION("""COMPUTED_VALUE"""),0.0)</f>
        <v>0</v>
      </c>
      <c r="W26" s="8">
        <f>IFERROR(__xludf.DUMMYFUNCTION("""COMPUTED_VALUE"""),0.0)</f>
        <v>0</v>
      </c>
      <c r="X26" s="8">
        <f>IFERROR(__xludf.DUMMYFUNCTION("""COMPUTED_VALUE"""),0.0)</f>
        <v>0</v>
      </c>
      <c r="Y26" s="8">
        <f>IFERROR(__xludf.DUMMYFUNCTION("""COMPUTED_VALUE"""),0.0)</f>
        <v>0</v>
      </c>
      <c r="Z26" s="8">
        <f>IFERROR(__xludf.DUMMYFUNCTION("""COMPUTED_VALUE"""),0.0)</f>
        <v>0</v>
      </c>
      <c r="AA26" s="8">
        <f>IFERROR(__xludf.DUMMYFUNCTION("""COMPUTED_VALUE"""),0.0)</f>
        <v>0</v>
      </c>
      <c r="AB26" s="8">
        <f>IFERROR(__xludf.DUMMYFUNCTION("""COMPUTED_VALUE"""),0.0)</f>
        <v>0</v>
      </c>
      <c r="AC26" s="8">
        <f>IFERROR(__xludf.DUMMYFUNCTION("""COMPUTED_VALUE"""),0.0)</f>
        <v>0</v>
      </c>
    </row>
    <row r="27" ht="15.75" customHeight="1">
      <c r="A27" s="6" t="str">
        <f>IFERROR(__xludf.DUMMYFUNCTION("""COMPUTED_VALUE"""),"1a5df306886a7b0e7736ec2c8efad3467507a1c6")</f>
        <v>1a5df306886a7b0e7736ec2c8efad3467507a1c6</v>
      </c>
      <c r="B27" s="6" t="str">
        <f>IFERROR(__xludf.DUMMYFUNCTION("""COMPUTED_VALUE"""),"Billionaire Bentley’s Runaway Princess")</f>
        <v>Billionaire Bentley’s Runaway Princess</v>
      </c>
      <c r="C27" s="6" t="str">
        <f>IFERROR(__xludf.DUMMYFUNCTION("""COMPUTED_VALUE"""),"Romance")</f>
        <v>Romance</v>
      </c>
      <c r="D27" s="5">
        <f>IFERROR(__xludf.DUMMYFUNCTION("""COMPUTED_VALUE"""),4724.0)</f>
        <v>4724</v>
      </c>
      <c r="E27" s="8">
        <f>IFERROR(__xludf.DUMMYFUNCTION("""COMPUTED_VALUE"""),0.939233538005505)</f>
        <v>0.939233538</v>
      </c>
      <c r="F27" s="8">
        <f>IFERROR(__xludf.DUMMYFUNCTION("""COMPUTED_VALUE"""),0.429479034307496)</f>
        <v>0.4294790343</v>
      </c>
      <c r="G27" s="8">
        <f>IFERROR(__xludf.DUMMYFUNCTION("""COMPUTED_VALUE"""),0.378017789072426)</f>
        <v>0.3780177891</v>
      </c>
      <c r="H27" s="8">
        <f>IFERROR(__xludf.DUMMYFUNCTION("""COMPUTED_VALUE"""),0.352267910131411)</f>
        <v>0.3522679101</v>
      </c>
      <c r="I27" s="8">
        <f>IFERROR(__xludf.DUMMYFUNCTION("""COMPUTED_VALUE"""),0.334111158252015)</f>
        <v>0.3341111583</v>
      </c>
      <c r="J27" s="8">
        <f>IFERROR(__xludf.DUMMYFUNCTION("""COMPUTED_VALUE"""),0.31190324633991)</f>
        <v>0.3119032463</v>
      </c>
      <c r="K27" s="8">
        <f>IFERROR(__xludf.DUMMYFUNCTION("""COMPUTED_VALUE"""),0.300445576066199)</f>
        <v>0.3004455761</v>
      </c>
      <c r="L27" s="8">
        <f>IFERROR(__xludf.DUMMYFUNCTION("""COMPUTED_VALUE"""),0.288563547634203)</f>
        <v>0.2885635476</v>
      </c>
      <c r="M27" s="8">
        <f>IFERROR(__xludf.DUMMYFUNCTION("""COMPUTED_VALUE"""),0.270121044807814)</f>
        <v>0.2701210448</v>
      </c>
      <c r="N27" s="8">
        <f>IFERROR(__xludf.DUMMYFUNCTION("""COMPUTED_VALUE"""),0.273829787234042)</f>
        <v>0.2738297872</v>
      </c>
      <c r="O27" s="8">
        <f>IFERROR(__xludf.DUMMYFUNCTION("""COMPUTED_VALUE"""),0.217523975588491)</f>
        <v>0.2175239756</v>
      </c>
      <c r="P27" s="8">
        <f>IFERROR(__xludf.DUMMYFUNCTION("""COMPUTED_VALUE"""),0.18331739961759)</f>
        <v>0.1833173996</v>
      </c>
      <c r="Q27" s="8">
        <f>IFERROR(__xludf.DUMMYFUNCTION("""COMPUTED_VALUE"""),0.156408399710354)</f>
        <v>0.1564083997</v>
      </c>
      <c r="R27" s="8">
        <f>IFERROR(__xludf.DUMMYFUNCTION("""COMPUTED_VALUE"""),0.0)</f>
        <v>0</v>
      </c>
      <c r="S27" s="8">
        <f>IFERROR(__xludf.DUMMYFUNCTION("""COMPUTED_VALUE"""),0.0)</f>
        <v>0</v>
      </c>
      <c r="T27" s="8">
        <f>IFERROR(__xludf.DUMMYFUNCTION("""COMPUTED_VALUE"""),0.0)</f>
        <v>0</v>
      </c>
      <c r="U27" s="8">
        <f>IFERROR(__xludf.DUMMYFUNCTION("""COMPUTED_VALUE"""),0.0)</f>
        <v>0</v>
      </c>
      <c r="V27" s="8">
        <f>IFERROR(__xludf.DUMMYFUNCTION("""COMPUTED_VALUE"""),0.0)</f>
        <v>0</v>
      </c>
      <c r="W27" s="8">
        <f>IFERROR(__xludf.DUMMYFUNCTION("""COMPUTED_VALUE"""),0.0)</f>
        <v>0</v>
      </c>
      <c r="X27" s="8">
        <f>IFERROR(__xludf.DUMMYFUNCTION("""COMPUTED_VALUE"""),0.0)</f>
        <v>0</v>
      </c>
      <c r="Y27" s="8">
        <f>IFERROR(__xludf.DUMMYFUNCTION("""COMPUTED_VALUE"""),0.0)</f>
        <v>0</v>
      </c>
      <c r="Z27" s="8">
        <f>IFERROR(__xludf.DUMMYFUNCTION("""COMPUTED_VALUE"""),0.0)</f>
        <v>0</v>
      </c>
      <c r="AA27" s="8">
        <f>IFERROR(__xludf.DUMMYFUNCTION("""COMPUTED_VALUE"""),0.0)</f>
        <v>0</v>
      </c>
      <c r="AB27" s="8">
        <f>IFERROR(__xludf.DUMMYFUNCTION("""COMPUTED_VALUE"""),0.0)</f>
        <v>0</v>
      </c>
      <c r="AC27" s="8">
        <f>IFERROR(__xludf.DUMMYFUNCTION("""COMPUTED_VALUE"""),0.0)</f>
        <v>0</v>
      </c>
    </row>
    <row r="28" ht="15.75" customHeight="1">
      <c r="A28" s="6" t="str">
        <f>IFERROR(__xludf.DUMMYFUNCTION("""COMPUTED_VALUE"""),"1b5acb214bfe00156d933b176eef6987dcf9aa8c")</f>
        <v>1b5acb214bfe00156d933b176eef6987dcf9aa8c</v>
      </c>
      <c r="B28" s="6" t="str">
        <f>IFERROR(__xludf.DUMMYFUNCTION("""COMPUTED_VALUE"""),"The Night Forgotten by Us")</f>
        <v>The Night Forgotten by Us</v>
      </c>
      <c r="C28" s="6" t="str">
        <f>IFERROR(__xludf.DUMMYFUNCTION("""COMPUTED_VALUE"""),"Romance")</f>
        <v>Romance</v>
      </c>
      <c r="D28" s="5">
        <f>IFERROR(__xludf.DUMMYFUNCTION("""COMPUTED_VALUE"""),940.0)</f>
        <v>940</v>
      </c>
      <c r="E28" s="8">
        <f>IFERROR(__xludf.DUMMYFUNCTION("""COMPUTED_VALUE"""),0.944680851063829)</f>
        <v>0.9446808511</v>
      </c>
      <c r="F28" s="8">
        <f>IFERROR(__xludf.DUMMYFUNCTION("""COMPUTED_VALUE"""),0.568690095846645)</f>
        <v>0.5686900958</v>
      </c>
      <c r="G28" s="8">
        <f>IFERROR(__xludf.DUMMYFUNCTION("""COMPUTED_VALUE"""),0.519701810436634)</f>
        <v>0.5197018104</v>
      </c>
      <c r="H28" s="8">
        <f>IFERROR(__xludf.DUMMYFUNCTION("""COMPUTED_VALUE"""),0.473908413205537)</f>
        <v>0.4739084132</v>
      </c>
      <c r="I28" s="8">
        <f>IFERROR(__xludf.DUMMYFUNCTION("""COMPUTED_VALUE"""),0.459488272921108)</f>
        <v>0.4594882729</v>
      </c>
      <c r="J28" s="8">
        <f>IFERROR(__xludf.DUMMYFUNCTION("""COMPUTED_VALUE"""),0.449893390191897)</f>
        <v>0.4498933902</v>
      </c>
      <c r="K28" s="8">
        <f>IFERROR(__xludf.DUMMYFUNCTION("""COMPUTED_VALUE"""),0.427194860813704)</f>
        <v>0.4271948608</v>
      </c>
      <c r="L28" s="8">
        <f>IFERROR(__xludf.DUMMYFUNCTION("""COMPUTED_VALUE"""),0.415417558886509)</f>
        <v>0.4154175589</v>
      </c>
      <c r="M28" s="8">
        <f>IFERROR(__xludf.DUMMYFUNCTION("""COMPUTED_VALUE"""),0.397837837837837)</f>
        <v>0.3978378378</v>
      </c>
      <c r="N28" s="8">
        <f>IFERROR(__xludf.DUMMYFUNCTION("""COMPUTED_VALUE"""),0.392432432432432)</f>
        <v>0.3924324324</v>
      </c>
      <c r="O28" s="8">
        <f>IFERROR(__xludf.DUMMYFUNCTION("""COMPUTED_VALUE"""),0.375280898876404)</f>
        <v>0.3752808989</v>
      </c>
      <c r="P28" s="8">
        <f>IFERROR(__xludf.DUMMYFUNCTION("""COMPUTED_VALUE"""),0.286407766990291)</f>
        <v>0.286407767</v>
      </c>
      <c r="Q28" s="8">
        <f>IFERROR(__xludf.DUMMYFUNCTION("""COMPUTED_VALUE"""),0.220035778175313)</f>
        <v>0.2200357782</v>
      </c>
      <c r="R28" s="8">
        <f>IFERROR(__xludf.DUMMYFUNCTION("""COMPUTED_VALUE"""),0.0)</f>
        <v>0</v>
      </c>
      <c r="S28" s="8">
        <f>IFERROR(__xludf.DUMMYFUNCTION("""COMPUTED_VALUE"""),0.0)</f>
        <v>0</v>
      </c>
      <c r="T28" s="8">
        <f>IFERROR(__xludf.DUMMYFUNCTION("""COMPUTED_VALUE"""),0.0)</f>
        <v>0</v>
      </c>
      <c r="U28" s="8">
        <f>IFERROR(__xludf.DUMMYFUNCTION("""COMPUTED_VALUE"""),0.0)</f>
        <v>0</v>
      </c>
      <c r="V28" s="8">
        <f>IFERROR(__xludf.DUMMYFUNCTION("""COMPUTED_VALUE"""),0.0)</f>
        <v>0</v>
      </c>
      <c r="W28" s="8">
        <f>IFERROR(__xludf.DUMMYFUNCTION("""COMPUTED_VALUE"""),0.0)</f>
        <v>0</v>
      </c>
      <c r="X28" s="8">
        <f>IFERROR(__xludf.DUMMYFUNCTION("""COMPUTED_VALUE"""),0.0)</f>
        <v>0</v>
      </c>
      <c r="Y28" s="8">
        <f>IFERROR(__xludf.DUMMYFUNCTION("""COMPUTED_VALUE"""),0.0)</f>
        <v>0</v>
      </c>
      <c r="Z28" s="8">
        <f>IFERROR(__xludf.DUMMYFUNCTION("""COMPUTED_VALUE"""),0.0)</f>
        <v>0</v>
      </c>
      <c r="AA28" s="8">
        <f>IFERROR(__xludf.DUMMYFUNCTION("""COMPUTED_VALUE"""),0.0)</f>
        <v>0</v>
      </c>
      <c r="AB28" s="8">
        <f>IFERROR(__xludf.DUMMYFUNCTION("""COMPUTED_VALUE"""),0.0)</f>
        <v>0</v>
      </c>
      <c r="AC28" s="8">
        <f>IFERROR(__xludf.DUMMYFUNCTION("""COMPUTED_VALUE"""),0.0)</f>
        <v>0</v>
      </c>
    </row>
    <row r="29" ht="15.75" customHeight="1">
      <c r="A29" s="6" t="str">
        <f>IFERROR(__xludf.DUMMYFUNCTION("""COMPUTED_VALUE"""),"1b7d7de6c90d2460cfe3da014469e3c056fec830")</f>
        <v>1b7d7de6c90d2460cfe3da014469e3c056fec830</v>
      </c>
      <c r="B29" s="6" t="str">
        <f>IFERROR(__xludf.DUMMYFUNCTION("""COMPUTED_VALUE"""),"The Ceo's Secret Babies")</f>
        <v>The Ceo's Secret Babies</v>
      </c>
      <c r="C29" s="6" t="str">
        <f>IFERROR(__xludf.DUMMYFUNCTION("""COMPUTED_VALUE"""),"Romance")</f>
        <v>Romance</v>
      </c>
      <c r="D29" s="5">
        <f>IFERROR(__xludf.DUMMYFUNCTION("""COMPUTED_VALUE"""),427.0)</f>
        <v>427</v>
      </c>
      <c r="E29" s="8">
        <f>IFERROR(__xludf.DUMMYFUNCTION("""COMPUTED_VALUE"""),0.90566037735849)</f>
        <v>0.9056603774</v>
      </c>
      <c r="F29" s="8">
        <f>IFERROR(__xludf.DUMMYFUNCTION("""COMPUTED_VALUE"""),0.571428571428571)</f>
        <v>0.5714285714</v>
      </c>
      <c r="G29" s="8">
        <f>IFERROR(__xludf.DUMMYFUNCTION("""COMPUTED_VALUE"""),0.489156626506024)</f>
        <v>0.4891566265</v>
      </c>
      <c r="H29" s="8">
        <f>IFERROR(__xludf.DUMMYFUNCTION("""COMPUTED_VALUE"""),0.495098039215686)</f>
        <v>0.4950980392</v>
      </c>
      <c r="I29" s="8">
        <f>IFERROR(__xludf.DUMMYFUNCTION("""COMPUTED_VALUE"""),0.481389578163771)</f>
        <v>0.4813895782</v>
      </c>
      <c r="J29" s="8">
        <f>IFERROR(__xludf.DUMMYFUNCTION("""COMPUTED_VALUE"""),0.425373134328358)</f>
        <v>0.4253731343</v>
      </c>
      <c r="K29" s="8">
        <f>IFERROR(__xludf.DUMMYFUNCTION("""COMPUTED_VALUE"""),0.393483709273182)</f>
        <v>0.3934837093</v>
      </c>
      <c r="L29" s="8">
        <f>IFERROR(__xludf.DUMMYFUNCTION("""COMPUTED_VALUE"""),0.364795918367346)</f>
        <v>0.3647959184</v>
      </c>
      <c r="M29" s="8">
        <f>IFERROR(__xludf.DUMMYFUNCTION("""COMPUTED_VALUE"""),0.366925064599483)</f>
        <v>0.3669250646</v>
      </c>
      <c r="N29" s="8">
        <f>IFERROR(__xludf.DUMMYFUNCTION("""COMPUTED_VALUE"""),0.378666666666666)</f>
        <v>0.3786666667</v>
      </c>
      <c r="O29" s="8">
        <f>IFERROR(__xludf.DUMMYFUNCTION("""COMPUTED_VALUE"""),0.274787535410764)</f>
        <v>0.2747875354</v>
      </c>
      <c r="P29" s="8">
        <f>IFERROR(__xludf.DUMMYFUNCTION("""COMPUTED_VALUE"""),0.213675213675213)</f>
        <v>0.2136752137</v>
      </c>
      <c r="Q29" s="8">
        <f>IFERROR(__xludf.DUMMYFUNCTION("""COMPUTED_VALUE"""),0.1)</f>
        <v>0.1</v>
      </c>
      <c r="R29" s="8">
        <f>IFERROR(__xludf.DUMMYFUNCTION("""COMPUTED_VALUE"""),0.0371428571428571)</f>
        <v>0.03714285714</v>
      </c>
      <c r="S29" s="8">
        <f>IFERROR(__xludf.DUMMYFUNCTION("""COMPUTED_VALUE"""),0.028)</f>
        <v>0.028</v>
      </c>
      <c r="T29" s="8">
        <f>IFERROR(__xludf.DUMMYFUNCTION("""COMPUTED_VALUE"""),0.0)</f>
        <v>0</v>
      </c>
      <c r="U29" s="8">
        <f>IFERROR(__xludf.DUMMYFUNCTION("""COMPUTED_VALUE"""),0.0)</f>
        <v>0</v>
      </c>
      <c r="V29" s="8">
        <f>IFERROR(__xludf.DUMMYFUNCTION("""COMPUTED_VALUE"""),0.0)</f>
        <v>0</v>
      </c>
      <c r="W29" s="8">
        <f>IFERROR(__xludf.DUMMYFUNCTION("""COMPUTED_VALUE"""),0.0)</f>
        <v>0</v>
      </c>
      <c r="X29" s="8">
        <f>IFERROR(__xludf.DUMMYFUNCTION("""COMPUTED_VALUE"""),0.0)</f>
        <v>0</v>
      </c>
      <c r="Y29" s="8">
        <f>IFERROR(__xludf.DUMMYFUNCTION("""COMPUTED_VALUE"""),0.0)</f>
        <v>0</v>
      </c>
      <c r="Z29" s="8">
        <f>IFERROR(__xludf.DUMMYFUNCTION("""COMPUTED_VALUE"""),0.0)</f>
        <v>0</v>
      </c>
      <c r="AA29" s="8">
        <f>IFERROR(__xludf.DUMMYFUNCTION("""COMPUTED_VALUE"""),0.0)</f>
        <v>0</v>
      </c>
      <c r="AB29" s="8">
        <f>IFERROR(__xludf.DUMMYFUNCTION("""COMPUTED_VALUE"""),0.0)</f>
        <v>0</v>
      </c>
      <c r="AC29" s="8">
        <f>IFERROR(__xludf.DUMMYFUNCTION("""COMPUTED_VALUE"""),0.0)</f>
        <v>0</v>
      </c>
    </row>
    <row r="30" ht="15.75" customHeight="1">
      <c r="A30" s="6" t="str">
        <f>IFERROR(__xludf.DUMMYFUNCTION("""COMPUTED_VALUE"""),"1b7d89c237c133e6c5b15db13e684c2e1f3688e1")</f>
        <v>1b7d89c237c133e6c5b15db13e684c2e1f3688e1</v>
      </c>
      <c r="B30" s="6" t="str">
        <f>IFERROR(__xludf.DUMMYFUNCTION("""COMPUTED_VALUE"""),"War God of the Red Sea!")</f>
        <v>War God of the Red Sea!</v>
      </c>
      <c r="C30" s="6" t="str">
        <f>IFERROR(__xludf.DUMMYFUNCTION("""COMPUTED_VALUE"""),"Drama")</f>
        <v>Drama</v>
      </c>
      <c r="D30" s="5">
        <f>IFERROR(__xludf.DUMMYFUNCTION("""COMPUTED_VALUE"""),658.0)</f>
        <v>658</v>
      </c>
      <c r="E30" s="8">
        <f>IFERROR(__xludf.DUMMYFUNCTION("""COMPUTED_VALUE"""),0.982785602503912)</f>
        <v>0.9827856025</v>
      </c>
      <c r="F30" s="8">
        <f>IFERROR(__xludf.DUMMYFUNCTION("""COMPUTED_VALUE"""),0.518707482993197)</f>
        <v>0.518707483</v>
      </c>
      <c r="G30" s="8">
        <f>IFERROR(__xludf.DUMMYFUNCTION("""COMPUTED_VALUE"""),0.413043478260869)</f>
        <v>0.4130434783</v>
      </c>
      <c r="H30" s="8">
        <f>IFERROR(__xludf.DUMMYFUNCTION("""COMPUTED_VALUE"""),0.356854838709677)</f>
        <v>0.3568548387</v>
      </c>
      <c r="I30" s="8">
        <f>IFERROR(__xludf.DUMMYFUNCTION("""COMPUTED_VALUE"""),0.32919254658385)</f>
        <v>0.3291925466</v>
      </c>
      <c r="J30" s="8">
        <f>IFERROR(__xludf.DUMMYFUNCTION("""COMPUTED_VALUE"""),0.292207792207792)</f>
        <v>0.2922077922</v>
      </c>
      <c r="K30" s="8">
        <f>IFERROR(__xludf.DUMMYFUNCTION("""COMPUTED_VALUE"""),0.267699115044247)</f>
        <v>0.267699115</v>
      </c>
      <c r="L30" s="8">
        <f>IFERROR(__xludf.DUMMYFUNCTION("""COMPUTED_VALUE"""),0.25615763546798)</f>
        <v>0.2561576355</v>
      </c>
      <c r="M30" s="8">
        <f>IFERROR(__xludf.DUMMYFUNCTION("""COMPUTED_VALUE"""),0.231182795698924)</f>
        <v>0.2311827957</v>
      </c>
      <c r="N30" s="8">
        <f>IFERROR(__xludf.DUMMYFUNCTION("""COMPUTED_VALUE"""),0.229357798165137)</f>
        <v>0.2293577982</v>
      </c>
      <c r="O30" s="8">
        <f>IFERROR(__xludf.DUMMYFUNCTION("""COMPUTED_VALUE"""),0.184738955823293)</f>
        <v>0.1847389558</v>
      </c>
      <c r="P30" s="8">
        <f>IFERROR(__xludf.DUMMYFUNCTION("""COMPUTED_VALUE"""),0.181372549019607)</f>
        <v>0.181372549</v>
      </c>
      <c r="Q30" s="8">
        <f>IFERROR(__xludf.DUMMYFUNCTION("""COMPUTED_VALUE"""),0.0)</f>
        <v>0</v>
      </c>
      <c r="R30" s="8">
        <f>IFERROR(__xludf.DUMMYFUNCTION("""COMPUTED_VALUE"""),0.0)</f>
        <v>0</v>
      </c>
      <c r="S30" s="8">
        <f>IFERROR(__xludf.DUMMYFUNCTION("""COMPUTED_VALUE"""),0.0)</f>
        <v>0</v>
      </c>
      <c r="T30" s="8">
        <f>IFERROR(__xludf.DUMMYFUNCTION("""COMPUTED_VALUE"""),0.0)</f>
        <v>0</v>
      </c>
      <c r="U30" s="8">
        <f>IFERROR(__xludf.DUMMYFUNCTION("""COMPUTED_VALUE"""),0.0)</f>
        <v>0</v>
      </c>
      <c r="V30" s="8">
        <f>IFERROR(__xludf.DUMMYFUNCTION("""COMPUTED_VALUE"""),0.0)</f>
        <v>0</v>
      </c>
      <c r="W30" s="8">
        <f>IFERROR(__xludf.DUMMYFUNCTION("""COMPUTED_VALUE"""),0.0)</f>
        <v>0</v>
      </c>
      <c r="X30" s="8">
        <f>IFERROR(__xludf.DUMMYFUNCTION("""COMPUTED_VALUE"""),0.0)</f>
        <v>0</v>
      </c>
      <c r="Y30" s="8">
        <f>IFERROR(__xludf.DUMMYFUNCTION("""COMPUTED_VALUE"""),0.0)</f>
        <v>0</v>
      </c>
      <c r="Z30" s="8">
        <f>IFERROR(__xludf.DUMMYFUNCTION("""COMPUTED_VALUE"""),0.0)</f>
        <v>0</v>
      </c>
      <c r="AA30" s="8">
        <f>IFERROR(__xludf.DUMMYFUNCTION("""COMPUTED_VALUE"""),0.0)</f>
        <v>0</v>
      </c>
      <c r="AB30" s="8">
        <f>IFERROR(__xludf.DUMMYFUNCTION("""COMPUTED_VALUE"""),0.0)</f>
        <v>0</v>
      </c>
      <c r="AC30" s="8">
        <f>IFERROR(__xludf.DUMMYFUNCTION("""COMPUTED_VALUE"""),0.0)</f>
        <v>0</v>
      </c>
    </row>
    <row r="31" ht="15.75" customHeight="1">
      <c r="A31" s="6" t="str">
        <f>IFERROR(__xludf.DUMMYFUNCTION("""COMPUTED_VALUE"""),"1c56eb2cce6609cb207d235ae3464f7759d4cb84")</f>
        <v>1c56eb2cce6609cb207d235ae3464f7759d4cb84</v>
      </c>
      <c r="B31" s="6" t="str">
        <f>IFERROR(__xludf.DUMMYFUNCTION("""COMPUTED_VALUE"""),"Rage of the Heiress")</f>
        <v>Rage of the Heiress</v>
      </c>
      <c r="C31" s="6" t="str">
        <f>IFERROR(__xludf.DUMMYFUNCTION("""COMPUTED_VALUE"""),"Drama")</f>
        <v>Drama</v>
      </c>
      <c r="D31" s="5">
        <f>IFERROR(__xludf.DUMMYFUNCTION("""COMPUTED_VALUE"""),3367.0)</f>
        <v>3367</v>
      </c>
      <c r="E31" s="8">
        <f>IFERROR(__xludf.DUMMYFUNCTION("""COMPUTED_VALUE"""),0.936363636363636)</f>
        <v>0.9363636364</v>
      </c>
      <c r="F31" s="8">
        <f>IFERROR(__xludf.DUMMYFUNCTION("""COMPUTED_VALUE"""),0.566276494780132)</f>
        <v>0.5662764948</v>
      </c>
      <c r="G31" s="8">
        <f>IFERROR(__xludf.DUMMYFUNCTION("""COMPUTED_VALUE"""),0.551303200263939)</f>
        <v>0.5513032003</v>
      </c>
      <c r="H31" s="8">
        <f>IFERROR(__xludf.DUMMYFUNCTION("""COMPUTED_VALUE"""),0.515549412577747)</f>
        <v>0.5155494126</v>
      </c>
      <c r="I31" s="8">
        <f>IFERROR(__xludf.DUMMYFUNCTION("""COMPUTED_VALUE"""),0.512707182320442)</f>
        <v>0.5127071823</v>
      </c>
      <c r="J31" s="8">
        <f>IFERROR(__xludf.DUMMYFUNCTION("""COMPUTED_VALUE"""),0.502173054128802)</f>
        <v>0.5021730541</v>
      </c>
      <c r="K31" s="8">
        <f>IFERROR(__xludf.DUMMYFUNCTION("""COMPUTED_VALUE"""),0.486329743164871)</f>
        <v>0.4863297432</v>
      </c>
      <c r="L31" s="8">
        <f>IFERROR(__xludf.DUMMYFUNCTION("""COMPUTED_VALUE"""),0.479287305122494)</f>
        <v>0.4792873051</v>
      </c>
      <c r="M31" s="8">
        <f>IFERROR(__xludf.DUMMYFUNCTION("""COMPUTED_VALUE"""),0.470864661654135)</f>
        <v>0.4708646617</v>
      </c>
      <c r="N31" s="8">
        <f>IFERROR(__xludf.DUMMYFUNCTION("""COMPUTED_VALUE"""),0.460181451612903)</f>
        <v>0.4601814516</v>
      </c>
      <c r="O31" s="8">
        <f>IFERROR(__xludf.DUMMYFUNCTION("""COMPUTED_VALUE"""),0.471264367816091)</f>
        <v>0.4712643678</v>
      </c>
      <c r="P31" s="8">
        <f>IFERROR(__xludf.DUMMYFUNCTION("""COMPUTED_VALUE"""),0.382255389718076)</f>
        <v>0.3822553897</v>
      </c>
      <c r="Q31" s="8">
        <f>IFERROR(__xludf.DUMMYFUNCTION("""COMPUTED_VALUE"""),0.301440329218107)</f>
        <v>0.3014403292</v>
      </c>
      <c r="R31" s="8">
        <f>IFERROR(__xludf.DUMMYFUNCTION("""COMPUTED_VALUE"""),0.25140924464487)</f>
        <v>0.2514092446</v>
      </c>
      <c r="S31" s="8">
        <f>IFERROR(__xludf.DUMMYFUNCTION("""COMPUTED_VALUE"""),0.229548229548229)</f>
        <v>0.2295482295</v>
      </c>
      <c r="T31" s="8">
        <f>IFERROR(__xludf.DUMMYFUNCTION("""COMPUTED_VALUE"""),0.196)</f>
        <v>0.196</v>
      </c>
      <c r="U31" s="8">
        <f>IFERROR(__xludf.DUMMYFUNCTION("""COMPUTED_VALUE"""),0.16083916083916)</f>
        <v>0.1608391608</v>
      </c>
      <c r="V31" s="8">
        <f>IFERROR(__xludf.DUMMYFUNCTION("""COMPUTED_VALUE"""),0.141605839416058)</f>
        <v>0.1416058394</v>
      </c>
      <c r="W31" s="8">
        <f>IFERROR(__xludf.DUMMYFUNCTION("""COMPUTED_VALUE"""),0.109090909090909)</f>
        <v>0.1090909091</v>
      </c>
      <c r="X31" s="8">
        <f>IFERROR(__xludf.DUMMYFUNCTION("""COMPUTED_VALUE"""),0.0)</f>
        <v>0</v>
      </c>
      <c r="Y31" s="8">
        <f>IFERROR(__xludf.DUMMYFUNCTION("""COMPUTED_VALUE"""),0.0)</f>
        <v>0</v>
      </c>
      <c r="Z31" s="8">
        <f>IFERROR(__xludf.DUMMYFUNCTION("""COMPUTED_VALUE"""),0.0)</f>
        <v>0</v>
      </c>
      <c r="AA31" s="8">
        <f>IFERROR(__xludf.DUMMYFUNCTION("""COMPUTED_VALUE"""),0.0)</f>
        <v>0</v>
      </c>
      <c r="AB31" s="8">
        <f>IFERROR(__xludf.DUMMYFUNCTION("""COMPUTED_VALUE"""),0.0)</f>
        <v>0</v>
      </c>
      <c r="AC31" s="8">
        <f>IFERROR(__xludf.DUMMYFUNCTION("""COMPUTED_VALUE"""),0.0)</f>
        <v>0</v>
      </c>
    </row>
    <row r="32" ht="15.75" customHeight="1">
      <c r="A32" s="6" t="str">
        <f>IFERROR(__xludf.DUMMYFUNCTION("""COMPUTED_VALUE"""),"1ca4f3c3b8e200f37ec14ed7a11442df6a65f4e6")</f>
        <v>1ca4f3c3b8e200f37ec14ed7a11442df6a65f4e6</v>
      </c>
      <c r="B32" s="6" t="str">
        <f>IFERROR(__xludf.DUMMYFUNCTION("""COMPUTED_VALUE"""),"Unstoppable Cultivator")</f>
        <v>Unstoppable Cultivator</v>
      </c>
      <c r="C32" s="6" t="str">
        <f>IFERROR(__xludf.DUMMYFUNCTION("""COMPUTED_VALUE"""),"Fantasy")</f>
        <v>Fantasy</v>
      </c>
      <c r="D32" s="5">
        <f>IFERROR(__xludf.DUMMYFUNCTION("""COMPUTED_VALUE"""),789.0)</f>
        <v>789</v>
      </c>
      <c r="E32" s="8">
        <f>IFERROR(__xludf.DUMMYFUNCTION("""COMPUTED_VALUE"""),0.972010178117048)</f>
        <v>0.9720101781</v>
      </c>
      <c r="F32" s="8">
        <f>IFERROR(__xludf.DUMMYFUNCTION("""COMPUTED_VALUE"""),0.428571428571428)</f>
        <v>0.4285714286</v>
      </c>
      <c r="G32" s="8">
        <f>IFERROR(__xludf.DUMMYFUNCTION("""COMPUTED_VALUE"""),0.366071428571428)</f>
        <v>0.3660714286</v>
      </c>
      <c r="H32" s="8">
        <f>IFERROR(__xludf.DUMMYFUNCTION("""COMPUTED_VALUE"""),0.326086956521739)</f>
        <v>0.3260869565</v>
      </c>
      <c r="I32" s="8">
        <f>IFERROR(__xludf.DUMMYFUNCTION("""COMPUTED_VALUE"""),0.302952503209242)</f>
        <v>0.3029525032</v>
      </c>
      <c r="J32" s="8">
        <f>IFERROR(__xludf.DUMMYFUNCTION("""COMPUTED_VALUE"""),0.273778920308483)</f>
        <v>0.2737789203</v>
      </c>
      <c r="K32" s="8">
        <f>IFERROR(__xludf.DUMMYFUNCTION("""COMPUTED_VALUE"""),0.258064516129032)</f>
        <v>0.2580645161</v>
      </c>
      <c r="L32" s="8">
        <f>IFERROR(__xludf.DUMMYFUNCTION("""COMPUTED_VALUE"""),0.248062015503875)</f>
        <v>0.2480620155</v>
      </c>
      <c r="M32" s="8">
        <f>IFERROR(__xludf.DUMMYFUNCTION("""COMPUTED_VALUE"""),0.232166018158236)</f>
        <v>0.2321660182</v>
      </c>
      <c r="N32" s="8">
        <f>IFERROR(__xludf.DUMMYFUNCTION("""COMPUTED_VALUE"""),0.215864759427828)</f>
        <v>0.2158647594</v>
      </c>
      <c r="O32" s="8">
        <f>IFERROR(__xludf.DUMMYFUNCTION("""COMPUTED_VALUE"""),0.191091954022988)</f>
        <v>0.191091954</v>
      </c>
      <c r="P32" s="8">
        <f>IFERROR(__xludf.DUMMYFUNCTION("""COMPUTED_VALUE"""),0.0879629629629629)</f>
        <v>0.08796296296</v>
      </c>
      <c r="Q32" s="8">
        <f>IFERROR(__xludf.DUMMYFUNCTION("""COMPUTED_VALUE"""),0.0980392156862745)</f>
        <v>0.09803921569</v>
      </c>
      <c r="R32" s="8">
        <f>IFERROR(__xludf.DUMMYFUNCTION("""COMPUTED_VALUE"""),0.25)</f>
        <v>0.25</v>
      </c>
      <c r="S32" s="8">
        <f>IFERROR(__xludf.DUMMYFUNCTION("""COMPUTED_VALUE"""),0.0)</f>
        <v>0</v>
      </c>
      <c r="T32" s="8">
        <f>IFERROR(__xludf.DUMMYFUNCTION("""COMPUTED_VALUE"""),0.0)</f>
        <v>0</v>
      </c>
      <c r="U32" s="8">
        <f>IFERROR(__xludf.DUMMYFUNCTION("""COMPUTED_VALUE"""),0.0)</f>
        <v>0</v>
      </c>
      <c r="V32" s="8">
        <f>IFERROR(__xludf.DUMMYFUNCTION("""COMPUTED_VALUE"""),0.0)</f>
        <v>0</v>
      </c>
      <c r="W32" s="8">
        <f>IFERROR(__xludf.DUMMYFUNCTION("""COMPUTED_VALUE"""),0.0)</f>
        <v>0</v>
      </c>
      <c r="X32" s="8">
        <f>IFERROR(__xludf.DUMMYFUNCTION("""COMPUTED_VALUE"""),0.0)</f>
        <v>0</v>
      </c>
      <c r="Y32" s="8">
        <f>IFERROR(__xludf.DUMMYFUNCTION("""COMPUTED_VALUE"""),0.0)</f>
        <v>0</v>
      </c>
      <c r="Z32" s="8">
        <f>IFERROR(__xludf.DUMMYFUNCTION("""COMPUTED_VALUE"""),0.0)</f>
        <v>0</v>
      </c>
      <c r="AA32" s="8">
        <f>IFERROR(__xludf.DUMMYFUNCTION("""COMPUTED_VALUE"""),0.0)</f>
        <v>0</v>
      </c>
      <c r="AB32" s="8">
        <f>IFERROR(__xludf.DUMMYFUNCTION("""COMPUTED_VALUE"""),0.0)</f>
        <v>0</v>
      </c>
      <c r="AC32" s="8">
        <f>IFERROR(__xludf.DUMMYFUNCTION("""COMPUTED_VALUE"""),0.0)</f>
        <v>0</v>
      </c>
    </row>
    <row r="33" ht="15.75" customHeight="1">
      <c r="A33" s="6" t="str">
        <f>IFERROR(__xludf.DUMMYFUNCTION("""COMPUTED_VALUE"""),"1d8b1f39e146ede1f7528763445a7a47aad10b05")</f>
        <v>1d8b1f39e146ede1f7528763445a7a47aad10b05</v>
      </c>
      <c r="B33" s="6" t="str">
        <f>IFERROR(__xludf.DUMMYFUNCTION("""COMPUTED_VALUE"""),"Love and Heartbroken")</f>
        <v>Love and Heartbroken</v>
      </c>
      <c r="C33" s="6" t="str">
        <f>IFERROR(__xludf.DUMMYFUNCTION("""COMPUTED_VALUE"""),"System and Superpower")</f>
        <v>System and Superpower</v>
      </c>
      <c r="D33" s="5">
        <f>IFERROR(__xludf.DUMMYFUNCTION("""COMPUTED_VALUE"""),809.0)</f>
        <v>809</v>
      </c>
      <c r="E33" s="8">
        <f>IFERROR(__xludf.DUMMYFUNCTION("""COMPUTED_VALUE"""),0.972805933250927)</f>
        <v>0.9728059333</v>
      </c>
      <c r="F33" s="8">
        <f>IFERROR(__xludf.DUMMYFUNCTION("""COMPUTED_VALUE"""),0.532756489493201)</f>
        <v>0.5327564895</v>
      </c>
      <c r="G33" s="8">
        <f>IFERROR(__xludf.DUMMYFUNCTION("""COMPUTED_VALUE"""),0.489493201483312)</f>
        <v>0.4894932015</v>
      </c>
      <c r="H33" s="8">
        <f>IFERROR(__xludf.DUMMYFUNCTION("""COMPUTED_VALUE"""),0.438118811881188)</f>
        <v>0.4381188119</v>
      </c>
      <c r="I33" s="8">
        <f>IFERROR(__xludf.DUMMYFUNCTION("""COMPUTED_VALUE"""),0.400247831474597)</f>
        <v>0.4002478315</v>
      </c>
      <c r="J33" s="8">
        <f>IFERROR(__xludf.DUMMYFUNCTION("""COMPUTED_VALUE"""),0.35811648079306)</f>
        <v>0.3581164808</v>
      </c>
      <c r="K33" s="8">
        <f>IFERROR(__xludf.DUMMYFUNCTION("""COMPUTED_VALUE"""),0.329615861214374)</f>
        <v>0.3296158612</v>
      </c>
      <c r="L33" s="8">
        <f>IFERROR(__xludf.DUMMYFUNCTION("""COMPUTED_VALUE"""),0.292441140024783)</f>
        <v>0.29244114</v>
      </c>
      <c r="M33" s="8">
        <f>IFERROR(__xludf.DUMMYFUNCTION("""COMPUTED_VALUE"""),0.265179677819083)</f>
        <v>0.2651796778</v>
      </c>
      <c r="N33" s="8">
        <f>IFERROR(__xludf.DUMMYFUNCTION("""COMPUTED_VALUE"""),0.227329192546583)</f>
        <v>0.2273291925</v>
      </c>
      <c r="O33" s="8">
        <f>IFERROR(__xludf.DUMMYFUNCTION("""COMPUTED_VALUE"""),0.141160949868073)</f>
        <v>0.1411609499</v>
      </c>
      <c r="P33" s="8">
        <f>IFERROR(__xludf.DUMMYFUNCTION("""COMPUTED_VALUE"""),0.0777126099706744)</f>
        <v>0.07771260997</v>
      </c>
      <c r="Q33" s="8">
        <f>IFERROR(__xludf.DUMMYFUNCTION("""COMPUTED_VALUE"""),0.0425867507886435)</f>
        <v>0.04258675079</v>
      </c>
      <c r="R33" s="8">
        <f>IFERROR(__xludf.DUMMYFUNCTION("""COMPUTED_VALUE"""),0.0150501672240802)</f>
        <v>0.01505016722</v>
      </c>
      <c r="S33" s="8">
        <f>IFERROR(__xludf.DUMMYFUNCTION("""COMPUTED_VALUE"""),0.0112676056338028)</f>
        <v>0.01126760563</v>
      </c>
      <c r="T33" s="8">
        <f>IFERROR(__xludf.DUMMYFUNCTION("""COMPUTED_VALUE"""),0.0)</f>
        <v>0</v>
      </c>
      <c r="U33" s="8">
        <f>IFERROR(__xludf.DUMMYFUNCTION("""COMPUTED_VALUE"""),0.0)</f>
        <v>0</v>
      </c>
      <c r="V33" s="8">
        <f>IFERROR(__xludf.DUMMYFUNCTION("""COMPUTED_VALUE"""),0.0)</f>
        <v>0</v>
      </c>
      <c r="W33" s="8">
        <f>IFERROR(__xludf.DUMMYFUNCTION("""COMPUTED_VALUE"""),0.0)</f>
        <v>0</v>
      </c>
      <c r="X33" s="8">
        <f>IFERROR(__xludf.DUMMYFUNCTION("""COMPUTED_VALUE"""),0.0)</f>
        <v>0</v>
      </c>
      <c r="Y33" s="8">
        <f>IFERROR(__xludf.DUMMYFUNCTION("""COMPUTED_VALUE"""),0.0)</f>
        <v>0</v>
      </c>
      <c r="Z33" s="8">
        <f>IFERROR(__xludf.DUMMYFUNCTION("""COMPUTED_VALUE"""),0.0)</f>
        <v>0</v>
      </c>
      <c r="AA33" s="8">
        <f>IFERROR(__xludf.DUMMYFUNCTION("""COMPUTED_VALUE"""),0.0)</f>
        <v>0</v>
      </c>
      <c r="AB33" s="8">
        <f>IFERROR(__xludf.DUMMYFUNCTION("""COMPUTED_VALUE"""),0.0)</f>
        <v>0</v>
      </c>
      <c r="AC33" s="8">
        <f>IFERROR(__xludf.DUMMYFUNCTION("""COMPUTED_VALUE"""),0.0)</f>
        <v>0</v>
      </c>
    </row>
    <row r="34" ht="15.75" customHeight="1">
      <c r="A34" s="6" t="str">
        <f>IFERROR(__xludf.DUMMYFUNCTION("""COMPUTED_VALUE"""),"1e1205d9e93348005e7eb4b2e071c8c63b7914ca")</f>
        <v>1e1205d9e93348005e7eb4b2e071c8c63b7914ca</v>
      </c>
      <c r="B34" s="6" t="str">
        <f>IFERROR(__xludf.DUMMYFUNCTION("""COMPUTED_VALUE"""),"The Heart's Captive")</f>
        <v>The Heart's Captive</v>
      </c>
      <c r="C34" s="6" t="str">
        <f>IFERROR(__xludf.DUMMYFUNCTION("""COMPUTED_VALUE"""),"Romantasy")</f>
        <v>Romantasy</v>
      </c>
      <c r="D34" s="5">
        <f>IFERROR(__xludf.DUMMYFUNCTION("""COMPUTED_VALUE"""),202.0)</f>
        <v>202</v>
      </c>
      <c r="E34" s="8">
        <f>IFERROR(__xludf.DUMMYFUNCTION("""COMPUTED_VALUE"""),0.935643564356435)</f>
        <v>0.9356435644</v>
      </c>
      <c r="F34" s="8">
        <f>IFERROR(__xludf.DUMMYFUNCTION("""COMPUTED_VALUE"""),0.316831683168316)</f>
        <v>0.3168316832</v>
      </c>
      <c r="G34" s="8">
        <f>IFERROR(__xludf.DUMMYFUNCTION("""COMPUTED_VALUE"""),0.262376237623762)</f>
        <v>0.2623762376</v>
      </c>
      <c r="H34" s="8">
        <f>IFERROR(__xludf.DUMMYFUNCTION("""COMPUTED_VALUE"""),0.262376237623762)</f>
        <v>0.2623762376</v>
      </c>
      <c r="I34" s="8">
        <f>IFERROR(__xludf.DUMMYFUNCTION("""COMPUTED_VALUE"""),0.242574257425742)</f>
        <v>0.2425742574</v>
      </c>
      <c r="J34" s="8">
        <f>IFERROR(__xludf.DUMMYFUNCTION("""COMPUTED_VALUE"""),0.252475247524752)</f>
        <v>0.2524752475</v>
      </c>
      <c r="K34" s="8">
        <f>IFERROR(__xludf.DUMMYFUNCTION("""COMPUTED_VALUE"""),0.243781094527363)</f>
        <v>0.2437810945</v>
      </c>
      <c r="L34" s="8">
        <f>IFERROR(__xludf.DUMMYFUNCTION("""COMPUTED_VALUE"""),0.253731343283582)</f>
        <v>0.2537313433</v>
      </c>
      <c r="M34" s="8">
        <f>IFERROR(__xludf.DUMMYFUNCTION("""COMPUTED_VALUE"""),0.253731343283582)</f>
        <v>0.2537313433</v>
      </c>
      <c r="N34" s="8">
        <f>IFERROR(__xludf.DUMMYFUNCTION("""COMPUTED_VALUE"""),0.248756218905472)</f>
        <v>0.2487562189</v>
      </c>
      <c r="O34" s="8">
        <f>IFERROR(__xludf.DUMMYFUNCTION("""COMPUTED_VALUE"""),0.228855721393034)</f>
        <v>0.2288557214</v>
      </c>
      <c r="P34" s="8">
        <f>IFERROR(__xludf.DUMMYFUNCTION("""COMPUTED_VALUE"""),0.124378109452736)</f>
        <v>0.1243781095</v>
      </c>
      <c r="Q34" s="8">
        <f>IFERROR(__xludf.DUMMYFUNCTION("""COMPUTED_VALUE"""),0.0402010050251256)</f>
        <v>0.04020100503</v>
      </c>
      <c r="R34" s="8">
        <f>IFERROR(__xludf.DUMMYFUNCTION("""COMPUTED_VALUE"""),0.0150753768844221)</f>
        <v>0.01507537688</v>
      </c>
      <c r="S34" s="8">
        <f>IFERROR(__xludf.DUMMYFUNCTION("""COMPUTED_VALUE"""),0.0)</f>
        <v>0</v>
      </c>
      <c r="T34" s="8">
        <f>IFERROR(__xludf.DUMMYFUNCTION("""COMPUTED_VALUE"""),0.0)</f>
        <v>0</v>
      </c>
      <c r="U34" s="8">
        <f>IFERROR(__xludf.DUMMYFUNCTION("""COMPUTED_VALUE"""),0.0)</f>
        <v>0</v>
      </c>
      <c r="V34" s="8">
        <f>IFERROR(__xludf.DUMMYFUNCTION("""COMPUTED_VALUE"""),0.0)</f>
        <v>0</v>
      </c>
      <c r="W34" s="8">
        <f>IFERROR(__xludf.DUMMYFUNCTION("""COMPUTED_VALUE"""),0.0)</f>
        <v>0</v>
      </c>
      <c r="X34" s="8">
        <f>IFERROR(__xludf.DUMMYFUNCTION("""COMPUTED_VALUE"""),0.0)</f>
        <v>0</v>
      </c>
      <c r="Y34" s="8">
        <f>IFERROR(__xludf.DUMMYFUNCTION("""COMPUTED_VALUE"""),0.0)</f>
        <v>0</v>
      </c>
      <c r="Z34" s="8">
        <f>IFERROR(__xludf.DUMMYFUNCTION("""COMPUTED_VALUE"""),0.0)</f>
        <v>0</v>
      </c>
      <c r="AA34" s="8">
        <f>IFERROR(__xludf.DUMMYFUNCTION("""COMPUTED_VALUE"""),0.0)</f>
        <v>0</v>
      </c>
      <c r="AB34" s="8">
        <f>IFERROR(__xludf.DUMMYFUNCTION("""COMPUTED_VALUE"""),0.0)</f>
        <v>0</v>
      </c>
      <c r="AC34" s="8">
        <f>IFERROR(__xludf.DUMMYFUNCTION("""COMPUTED_VALUE"""),0.0)</f>
        <v>0</v>
      </c>
    </row>
    <row r="35" ht="15.75" customHeight="1">
      <c r="A35" s="6" t="str">
        <f>IFERROR(__xludf.DUMMYFUNCTION("""COMPUTED_VALUE"""),"1e2b4197fd4a9f595c560bc8d4530339758b031a")</f>
        <v>1e2b4197fd4a9f595c560bc8d4530339758b031a</v>
      </c>
      <c r="B35" s="6" t="str">
        <f>IFERROR(__xludf.DUMMYFUNCTION("""COMPUTED_VALUE"""),"Becoming Garrison Green")</f>
        <v>Becoming Garrison Green</v>
      </c>
      <c r="C35" s="6" t="str">
        <f>IFERROR(__xludf.DUMMYFUNCTION("""COMPUTED_VALUE"""),"Drama")</f>
        <v>Drama</v>
      </c>
      <c r="D35" s="5">
        <f>IFERROR(__xludf.DUMMYFUNCTION("""COMPUTED_VALUE"""),1443.0)</f>
        <v>1443</v>
      </c>
      <c r="E35" s="8">
        <f>IFERROR(__xludf.DUMMYFUNCTION("""COMPUTED_VALUE"""),0.949410949410949)</f>
        <v>0.9494109494</v>
      </c>
      <c r="F35" s="8">
        <f>IFERROR(__xludf.DUMMYFUNCTION("""COMPUTED_VALUE"""),0.587378640776699)</f>
        <v>0.5873786408</v>
      </c>
      <c r="G35" s="8">
        <f>IFERROR(__xludf.DUMMYFUNCTION("""COMPUTED_VALUE"""),0.55794587092297)</f>
        <v>0.5579458709</v>
      </c>
      <c r="H35" s="8">
        <f>IFERROR(__xludf.DUMMYFUNCTION("""COMPUTED_VALUE"""),0.528839471855455)</f>
        <v>0.5288394719</v>
      </c>
      <c r="I35" s="8">
        <f>IFERROR(__xludf.DUMMYFUNCTION("""COMPUTED_VALUE"""),0.496172581767571)</f>
        <v>0.4961725818</v>
      </c>
      <c r="J35" s="8">
        <f>IFERROR(__xludf.DUMMYFUNCTION("""COMPUTED_VALUE"""),0.477019498607242)</f>
        <v>0.4770194986</v>
      </c>
      <c r="K35" s="8">
        <f>IFERROR(__xludf.DUMMYFUNCTION("""COMPUTED_VALUE"""),0.446378830083565)</f>
        <v>0.4463788301</v>
      </c>
      <c r="L35" s="8">
        <f>IFERROR(__xludf.DUMMYFUNCTION("""COMPUTED_VALUE"""),0.421787709497206)</f>
        <v>0.4217877095</v>
      </c>
      <c r="M35" s="8">
        <f>IFERROR(__xludf.DUMMYFUNCTION("""COMPUTED_VALUE"""),0.410202655485674)</f>
        <v>0.4102026555</v>
      </c>
      <c r="N35" s="8">
        <f>IFERROR(__xludf.DUMMYFUNCTION("""COMPUTED_VALUE"""),0.400562192550948)</f>
        <v>0.4005621926</v>
      </c>
      <c r="O35" s="8">
        <f>IFERROR(__xludf.DUMMYFUNCTION("""COMPUTED_VALUE"""),0.361882716049382)</f>
        <v>0.361882716</v>
      </c>
      <c r="P35" s="8">
        <f>IFERROR(__xludf.DUMMYFUNCTION("""COMPUTED_VALUE"""),0.277450980392156)</f>
        <v>0.2774509804</v>
      </c>
      <c r="Q35" s="8">
        <f>IFERROR(__xludf.DUMMYFUNCTION("""COMPUTED_VALUE"""),0.174652241112828)</f>
        <v>0.1746522411</v>
      </c>
      <c r="R35" s="8">
        <f>IFERROR(__xludf.DUMMYFUNCTION("""COMPUTED_VALUE"""),0.161290322580645)</f>
        <v>0.1612903226</v>
      </c>
      <c r="S35" s="8">
        <f>IFERROR(__xludf.DUMMYFUNCTION("""COMPUTED_VALUE"""),0.0)</f>
        <v>0</v>
      </c>
      <c r="T35" s="8">
        <f>IFERROR(__xludf.DUMMYFUNCTION("""COMPUTED_VALUE"""),0.0)</f>
        <v>0</v>
      </c>
      <c r="U35" s="8">
        <f>IFERROR(__xludf.DUMMYFUNCTION("""COMPUTED_VALUE"""),0.0)</f>
        <v>0</v>
      </c>
      <c r="V35" s="8">
        <f>IFERROR(__xludf.DUMMYFUNCTION("""COMPUTED_VALUE"""),0.0)</f>
        <v>0</v>
      </c>
      <c r="W35" s="8">
        <f>IFERROR(__xludf.DUMMYFUNCTION("""COMPUTED_VALUE"""),0.0)</f>
        <v>0</v>
      </c>
      <c r="X35" s="8">
        <f>IFERROR(__xludf.DUMMYFUNCTION("""COMPUTED_VALUE"""),0.0)</f>
        <v>0</v>
      </c>
      <c r="Y35" s="8">
        <f>IFERROR(__xludf.DUMMYFUNCTION("""COMPUTED_VALUE"""),0.0)</f>
        <v>0</v>
      </c>
      <c r="Z35" s="8">
        <f>IFERROR(__xludf.DUMMYFUNCTION("""COMPUTED_VALUE"""),0.0)</f>
        <v>0</v>
      </c>
      <c r="AA35" s="8">
        <f>IFERROR(__xludf.DUMMYFUNCTION("""COMPUTED_VALUE"""),0.0)</f>
        <v>0</v>
      </c>
      <c r="AB35" s="8">
        <f>IFERROR(__xludf.DUMMYFUNCTION("""COMPUTED_VALUE"""),0.0)</f>
        <v>0</v>
      </c>
      <c r="AC35" s="8">
        <f>IFERROR(__xludf.DUMMYFUNCTION("""COMPUTED_VALUE"""),0.0)</f>
        <v>0</v>
      </c>
    </row>
    <row r="36" ht="15.75" customHeight="1">
      <c r="A36" s="6" t="str">
        <f>IFERROR(__xludf.DUMMYFUNCTION("""COMPUTED_VALUE"""),"1e8c33b5d824973efcdca4b5194f961aed4ba258")</f>
        <v>1e8c33b5d824973efcdca4b5194f961aed4ba258</v>
      </c>
      <c r="B36" s="6" t="str">
        <f>IFERROR(__xludf.DUMMYFUNCTION("""COMPUTED_VALUE"""),"Mafia's Reluctant Bride")</f>
        <v>Mafia's Reluctant Bride</v>
      </c>
      <c r="C36" s="6" t="str">
        <f>IFERROR(__xludf.DUMMYFUNCTION("""COMPUTED_VALUE"""),"Romance")</f>
        <v>Romance</v>
      </c>
      <c r="D36" s="5">
        <f>IFERROR(__xludf.DUMMYFUNCTION("""COMPUTED_VALUE"""),1678.0)</f>
        <v>1678</v>
      </c>
      <c r="E36" s="8">
        <f>IFERROR(__xludf.DUMMYFUNCTION("""COMPUTED_VALUE"""),0.975)</f>
        <v>0.975</v>
      </c>
      <c r="F36" s="8">
        <f>IFERROR(__xludf.DUMMYFUNCTION("""COMPUTED_VALUE"""),0.494639027877055)</f>
        <v>0.4946390279</v>
      </c>
      <c r="G36" s="8">
        <f>IFERROR(__xludf.DUMMYFUNCTION("""COMPUTED_VALUE"""),0.421944035346097)</f>
        <v>0.4219440353</v>
      </c>
      <c r="H36" s="8">
        <f>IFERROR(__xludf.DUMMYFUNCTION("""COMPUTED_VALUE"""),0.373651771956856)</f>
        <v>0.373651772</v>
      </c>
      <c r="I36" s="8">
        <f>IFERROR(__xludf.DUMMYFUNCTION("""COMPUTED_VALUE"""),0.339327599687255)</f>
        <v>0.3393275997</v>
      </c>
      <c r="J36" s="8">
        <f>IFERROR(__xludf.DUMMYFUNCTION("""COMPUTED_VALUE"""),0.311449159327462)</f>
        <v>0.3114491593</v>
      </c>
      <c r="K36" s="8">
        <f>IFERROR(__xludf.DUMMYFUNCTION("""COMPUTED_VALUE"""),0.295285359801488)</f>
        <v>0.2952853598</v>
      </c>
      <c r="L36" s="8">
        <f>IFERROR(__xludf.DUMMYFUNCTION("""COMPUTED_VALUE"""),0.282118055555555)</f>
        <v>0.2821180556</v>
      </c>
      <c r="M36" s="8">
        <f>IFERROR(__xludf.DUMMYFUNCTION("""COMPUTED_VALUE"""),0.255728689275893)</f>
        <v>0.2557286893</v>
      </c>
      <c r="N36" s="8">
        <f>IFERROR(__xludf.DUMMYFUNCTION("""COMPUTED_VALUE"""),0.253012048192771)</f>
        <v>0.2530120482</v>
      </c>
      <c r="O36" s="8">
        <f>IFERROR(__xludf.DUMMYFUNCTION("""COMPUTED_VALUE"""),0.227931488801054)</f>
        <v>0.2279314888</v>
      </c>
      <c r="P36" s="8">
        <f>IFERROR(__xludf.DUMMYFUNCTION("""COMPUTED_VALUE"""),0.161616161616161)</f>
        <v>0.1616161616</v>
      </c>
      <c r="Q36" s="8">
        <f>IFERROR(__xludf.DUMMYFUNCTION("""COMPUTED_VALUE"""),0.0)</f>
        <v>0</v>
      </c>
      <c r="R36" s="8">
        <f>IFERROR(__xludf.DUMMYFUNCTION("""COMPUTED_VALUE"""),0.0)</f>
        <v>0</v>
      </c>
      <c r="S36" s="8">
        <f>IFERROR(__xludf.DUMMYFUNCTION("""COMPUTED_VALUE"""),0.0)</f>
        <v>0</v>
      </c>
      <c r="T36" s="8">
        <f>IFERROR(__xludf.DUMMYFUNCTION("""COMPUTED_VALUE"""),0.0)</f>
        <v>0</v>
      </c>
      <c r="U36" s="8">
        <f>IFERROR(__xludf.DUMMYFUNCTION("""COMPUTED_VALUE"""),0.0)</f>
        <v>0</v>
      </c>
      <c r="V36" s="8">
        <f>IFERROR(__xludf.DUMMYFUNCTION("""COMPUTED_VALUE"""),0.0)</f>
        <v>0</v>
      </c>
      <c r="W36" s="8">
        <f>IFERROR(__xludf.DUMMYFUNCTION("""COMPUTED_VALUE"""),0.0)</f>
        <v>0</v>
      </c>
      <c r="X36" s="8">
        <f>IFERROR(__xludf.DUMMYFUNCTION("""COMPUTED_VALUE"""),0.0)</f>
        <v>0</v>
      </c>
      <c r="Y36" s="8">
        <f>IFERROR(__xludf.DUMMYFUNCTION("""COMPUTED_VALUE"""),0.0)</f>
        <v>0</v>
      </c>
      <c r="Z36" s="8">
        <f>IFERROR(__xludf.DUMMYFUNCTION("""COMPUTED_VALUE"""),0.0)</f>
        <v>0</v>
      </c>
      <c r="AA36" s="8">
        <f>IFERROR(__xludf.DUMMYFUNCTION("""COMPUTED_VALUE"""),0.0)</f>
        <v>0</v>
      </c>
      <c r="AB36" s="8">
        <f>IFERROR(__xludf.DUMMYFUNCTION("""COMPUTED_VALUE"""),0.0)</f>
        <v>0</v>
      </c>
      <c r="AC36" s="8">
        <f>IFERROR(__xludf.DUMMYFUNCTION("""COMPUTED_VALUE"""),0.0)</f>
        <v>0</v>
      </c>
    </row>
    <row r="37" ht="15.75" customHeight="1">
      <c r="A37" s="6" t="str">
        <f>IFERROR(__xludf.DUMMYFUNCTION("""COMPUTED_VALUE"""),"1f78098e196cc2154bbadfe054e0bdd13c10fa60")</f>
        <v>1f78098e196cc2154bbadfe054e0bdd13c10fa60</v>
      </c>
      <c r="B37" s="6" t="str">
        <f>IFERROR(__xludf.DUMMYFUNCTION("""COMPUTED_VALUE"""),"The Marriage Timer")</f>
        <v>The Marriage Timer</v>
      </c>
      <c r="C37" s="6" t="str">
        <f>IFERROR(__xludf.DUMMYFUNCTION("""COMPUTED_VALUE"""),"Romance")</f>
        <v>Romance</v>
      </c>
      <c r="D37" s="5">
        <f>IFERROR(__xludf.DUMMYFUNCTION("""COMPUTED_VALUE"""),1932.0)</f>
        <v>1932</v>
      </c>
      <c r="E37" s="8">
        <f>IFERROR(__xludf.DUMMYFUNCTION("""COMPUTED_VALUE"""),0.962117280747275)</f>
        <v>0.9621172807</v>
      </c>
      <c r="F37" s="8">
        <f>IFERROR(__xludf.DUMMYFUNCTION("""COMPUTED_VALUE"""),0.555902236089443)</f>
        <v>0.5559022361</v>
      </c>
      <c r="G37" s="8">
        <f>IFERROR(__xludf.DUMMYFUNCTION("""COMPUTED_VALUE"""),0.463338533541341)</f>
        <v>0.4633385335</v>
      </c>
      <c r="H37" s="8">
        <f>IFERROR(__xludf.DUMMYFUNCTION("""COMPUTED_VALUE"""),0.408450704225352)</f>
        <v>0.4084507042</v>
      </c>
      <c r="I37" s="8">
        <f>IFERROR(__xludf.DUMMYFUNCTION("""COMPUTED_VALUE"""),0.386945169712793)</f>
        <v>0.3869451697</v>
      </c>
      <c r="J37" s="8">
        <f>IFERROR(__xludf.DUMMYFUNCTION("""COMPUTED_VALUE"""),0.360020931449502)</f>
        <v>0.3600209314</v>
      </c>
      <c r="K37" s="8">
        <f>IFERROR(__xludf.DUMMYFUNCTION("""COMPUTED_VALUE"""),0.338920900995285)</f>
        <v>0.338920901</v>
      </c>
      <c r="L37" s="8">
        <f>IFERROR(__xludf.DUMMYFUNCTION("""COMPUTED_VALUE"""),0.335609243697478)</f>
        <v>0.3356092437</v>
      </c>
      <c r="M37" s="8">
        <f>IFERROR(__xludf.DUMMYFUNCTION("""COMPUTED_VALUE"""),0.327722251446607)</f>
        <v>0.3277222514</v>
      </c>
      <c r="N37" s="8">
        <f>IFERROR(__xludf.DUMMYFUNCTION("""COMPUTED_VALUE"""),0.304897314375987)</f>
        <v>0.3048973144</v>
      </c>
      <c r="O37" s="8">
        <f>IFERROR(__xludf.DUMMYFUNCTION("""COMPUTED_VALUE"""),0.285942492012779)</f>
        <v>0.285942492</v>
      </c>
      <c r="P37" s="8">
        <f>IFERROR(__xludf.DUMMYFUNCTION("""COMPUTED_VALUE"""),0.172809667673716)</f>
        <v>0.1728096677</v>
      </c>
      <c r="Q37" s="8">
        <f>IFERROR(__xludf.DUMMYFUNCTION("""COMPUTED_VALUE"""),0.0961416824794434)</f>
        <v>0.09614168248</v>
      </c>
      <c r="R37" s="8">
        <f>IFERROR(__xludf.DUMMYFUNCTION("""COMPUTED_VALUE"""),0.0)</f>
        <v>0</v>
      </c>
      <c r="S37" s="8">
        <f>IFERROR(__xludf.DUMMYFUNCTION("""COMPUTED_VALUE"""),0.0)</f>
        <v>0</v>
      </c>
      <c r="T37" s="8">
        <f>IFERROR(__xludf.DUMMYFUNCTION("""COMPUTED_VALUE"""),0.0)</f>
        <v>0</v>
      </c>
      <c r="U37" s="8">
        <f>IFERROR(__xludf.DUMMYFUNCTION("""COMPUTED_VALUE"""),0.0)</f>
        <v>0</v>
      </c>
      <c r="V37" s="8">
        <f>IFERROR(__xludf.DUMMYFUNCTION("""COMPUTED_VALUE"""),0.0)</f>
        <v>0</v>
      </c>
      <c r="W37" s="8">
        <f>IFERROR(__xludf.DUMMYFUNCTION("""COMPUTED_VALUE"""),0.0)</f>
        <v>0</v>
      </c>
      <c r="X37" s="8">
        <f>IFERROR(__xludf.DUMMYFUNCTION("""COMPUTED_VALUE"""),0.0)</f>
        <v>0</v>
      </c>
      <c r="Y37" s="8">
        <f>IFERROR(__xludf.DUMMYFUNCTION("""COMPUTED_VALUE"""),0.0)</f>
        <v>0</v>
      </c>
      <c r="Z37" s="8">
        <f>IFERROR(__xludf.DUMMYFUNCTION("""COMPUTED_VALUE"""),0.0)</f>
        <v>0</v>
      </c>
      <c r="AA37" s="8">
        <f>IFERROR(__xludf.DUMMYFUNCTION("""COMPUTED_VALUE"""),0.0)</f>
        <v>0</v>
      </c>
      <c r="AB37" s="8">
        <f>IFERROR(__xludf.DUMMYFUNCTION("""COMPUTED_VALUE"""),0.0)</f>
        <v>0</v>
      </c>
      <c r="AC37" s="8">
        <f>IFERROR(__xludf.DUMMYFUNCTION("""COMPUTED_VALUE"""),0.0)</f>
        <v>0</v>
      </c>
    </row>
    <row r="38" ht="15.75" customHeight="1">
      <c r="A38" s="6" t="str">
        <f>IFERROR(__xludf.DUMMYFUNCTION("""COMPUTED_VALUE"""),"2039c770620dbd485e50118a476f0b91b4bd035b")</f>
        <v>2039c770620dbd485e50118a476f0b91b4bd035b</v>
      </c>
      <c r="B38" s="6" t="str">
        <f>IFERROR(__xludf.DUMMYFUNCTION("""COMPUTED_VALUE"""),"Princess Ebony &amp; the Silver Dragon - Remastered Edition")</f>
        <v>Princess Ebony &amp; the Silver Dragon - Remastered Edition</v>
      </c>
      <c r="C38" s="6" t="str">
        <f>IFERROR(__xludf.DUMMYFUNCTION("""COMPUTED_VALUE"""),"Fantasy")</f>
        <v>Fantasy</v>
      </c>
      <c r="D38" s="5">
        <f>IFERROR(__xludf.DUMMYFUNCTION("""COMPUTED_VALUE"""),18494.0)</f>
        <v>18494</v>
      </c>
      <c r="E38" s="8">
        <f>IFERROR(__xludf.DUMMYFUNCTION("""COMPUTED_VALUE"""),0.935850699167528)</f>
        <v>0.9358506992</v>
      </c>
      <c r="F38" s="8">
        <f>IFERROR(__xludf.DUMMYFUNCTION("""COMPUTED_VALUE"""),0.46031746031746)</f>
        <v>0.4603174603</v>
      </c>
      <c r="G38" s="8">
        <f>IFERROR(__xludf.DUMMYFUNCTION("""COMPUTED_VALUE"""),0.413945766463752)</f>
        <v>0.4139457665</v>
      </c>
      <c r="H38" s="8">
        <f>IFERROR(__xludf.DUMMYFUNCTION("""COMPUTED_VALUE"""),0.385528736272924)</f>
        <v>0.3855287363</v>
      </c>
      <c r="I38" s="8">
        <f>IFERROR(__xludf.DUMMYFUNCTION("""COMPUTED_VALUE"""),0.368575128075212)</f>
        <v>0.3685751281</v>
      </c>
      <c r="J38" s="8">
        <f>IFERROR(__xludf.DUMMYFUNCTION("""COMPUTED_VALUE"""),0.352914467336398)</f>
        <v>0.3529144673</v>
      </c>
      <c r="K38" s="8">
        <f>IFERROR(__xludf.DUMMYFUNCTION("""COMPUTED_VALUE"""),0.342858779063108)</f>
        <v>0.3428587791</v>
      </c>
      <c r="L38" s="8">
        <f>IFERROR(__xludf.DUMMYFUNCTION("""COMPUTED_VALUE"""),0.334569260181912)</f>
        <v>0.3345692602</v>
      </c>
      <c r="M38" s="8">
        <f>IFERROR(__xludf.DUMMYFUNCTION("""COMPUTED_VALUE"""),0.328379169104739)</f>
        <v>0.3283791691</v>
      </c>
      <c r="N38" s="8">
        <f>IFERROR(__xludf.DUMMYFUNCTION("""COMPUTED_VALUE"""),0.323833126807104)</f>
        <v>0.3238331268</v>
      </c>
      <c r="O38" s="8">
        <f>IFERROR(__xludf.DUMMYFUNCTION("""COMPUTED_VALUE"""),0.308565337346375)</f>
        <v>0.3085653373</v>
      </c>
      <c r="P38" s="8">
        <f>IFERROR(__xludf.DUMMYFUNCTION("""COMPUTED_VALUE"""),0.283856261732367)</f>
        <v>0.2838562617</v>
      </c>
      <c r="Q38" s="8">
        <f>IFERROR(__xludf.DUMMYFUNCTION("""COMPUTED_VALUE"""),0.230293663060278)</f>
        <v>0.2302936631</v>
      </c>
      <c r="R38" s="8">
        <f>IFERROR(__xludf.DUMMYFUNCTION("""COMPUTED_VALUE"""),0.180926841531886)</f>
        <v>0.1809268415</v>
      </c>
      <c r="S38" s="8">
        <f>IFERROR(__xludf.DUMMYFUNCTION("""COMPUTED_VALUE"""),0.144645981033054)</f>
        <v>0.144645981</v>
      </c>
      <c r="T38" s="8">
        <f>IFERROR(__xludf.DUMMYFUNCTION("""COMPUTED_VALUE"""),0.113217427733556)</f>
        <v>0.1132174277</v>
      </c>
      <c r="U38" s="8">
        <f>IFERROR(__xludf.DUMMYFUNCTION("""COMPUTED_VALUE"""),0.0956559894690653)</f>
        <v>0.09565598947</v>
      </c>
      <c r="V38" s="8">
        <f>IFERROR(__xludf.DUMMYFUNCTION("""COMPUTED_VALUE"""),0.0841663334666133)</f>
        <v>0.08416633347</v>
      </c>
      <c r="W38" s="8">
        <f>IFERROR(__xludf.DUMMYFUNCTION("""COMPUTED_VALUE"""),0.0591160220994475)</f>
        <v>0.0591160221</v>
      </c>
      <c r="X38" s="8">
        <f>IFERROR(__xludf.DUMMYFUNCTION("""COMPUTED_VALUE"""),0.0292817679558011)</f>
        <v>0.02928176796</v>
      </c>
      <c r="Y38" s="8">
        <f>IFERROR(__xludf.DUMMYFUNCTION("""COMPUTED_VALUE"""),0.0)</f>
        <v>0</v>
      </c>
      <c r="Z38" s="8">
        <f>IFERROR(__xludf.DUMMYFUNCTION("""COMPUTED_VALUE"""),0.0)</f>
        <v>0</v>
      </c>
      <c r="AA38" s="8">
        <f>IFERROR(__xludf.DUMMYFUNCTION("""COMPUTED_VALUE"""),0.0)</f>
        <v>0</v>
      </c>
      <c r="AB38" s="8">
        <f>IFERROR(__xludf.DUMMYFUNCTION("""COMPUTED_VALUE"""),0.0)</f>
        <v>0</v>
      </c>
      <c r="AC38" s="8">
        <f>IFERROR(__xludf.DUMMYFUNCTION("""COMPUTED_VALUE"""),0.0)</f>
        <v>0</v>
      </c>
    </row>
    <row r="39" ht="15.75" customHeight="1">
      <c r="A39" s="6" t="str">
        <f>IFERROR(__xludf.DUMMYFUNCTION("""COMPUTED_VALUE"""),"215d4622bad0b1fca5cb36bca9f92b3c41d21f7e")</f>
        <v>215d4622bad0b1fca5cb36bca9f92b3c41d21f7e</v>
      </c>
      <c r="B39" s="6" t="str">
        <f>IFERROR(__xludf.DUMMYFUNCTION("""COMPUTED_VALUE"""),"Aiden's Regression")</f>
        <v>Aiden's Regression</v>
      </c>
      <c r="C39" s="6" t="str">
        <f>IFERROR(__xludf.DUMMYFUNCTION("""COMPUTED_VALUE"""),"System and Superpower")</f>
        <v>System and Superpower</v>
      </c>
      <c r="D39" s="5">
        <f>IFERROR(__xludf.DUMMYFUNCTION("""COMPUTED_VALUE"""),879.0)</f>
        <v>879</v>
      </c>
      <c r="E39" s="8">
        <f>IFERROR(__xludf.DUMMYFUNCTION("""COMPUTED_VALUE"""),0.968109339407744)</f>
        <v>0.9681093394</v>
      </c>
      <c r="F39" s="8">
        <f>IFERROR(__xludf.DUMMYFUNCTION("""COMPUTED_VALUE"""),0.608)</f>
        <v>0.608</v>
      </c>
      <c r="G39" s="8">
        <f>IFERROR(__xludf.DUMMYFUNCTION("""COMPUTED_VALUE"""),0.558352402745995)</f>
        <v>0.5583524027</v>
      </c>
      <c r="H39" s="8">
        <f>IFERROR(__xludf.DUMMYFUNCTION("""COMPUTED_VALUE"""),0.534936998854524)</f>
        <v>0.5349369989</v>
      </c>
      <c r="I39" s="8">
        <f>IFERROR(__xludf.DUMMYFUNCTION("""COMPUTED_VALUE"""),0.508610792192881)</f>
        <v>0.5086107922</v>
      </c>
      <c r="J39" s="8">
        <f>IFERROR(__xludf.DUMMYFUNCTION("""COMPUTED_VALUE"""),0.491349480968858)</f>
        <v>0.491349481</v>
      </c>
      <c r="K39" s="8">
        <f>IFERROR(__xludf.DUMMYFUNCTION("""COMPUTED_VALUE"""),0.474537037037037)</f>
        <v>0.474537037</v>
      </c>
      <c r="L39" s="8">
        <f>IFERROR(__xludf.DUMMYFUNCTION("""COMPUTED_VALUE"""),0.45475638051044)</f>
        <v>0.4547563805</v>
      </c>
      <c r="M39" s="8">
        <f>IFERROR(__xludf.DUMMYFUNCTION("""COMPUTED_VALUE"""),0.437209302325581)</f>
        <v>0.4372093023</v>
      </c>
      <c r="N39" s="8">
        <f>IFERROR(__xludf.DUMMYFUNCTION("""COMPUTED_VALUE"""),0.419695193434935)</f>
        <v>0.4196951934</v>
      </c>
      <c r="O39" s="8">
        <f>IFERROR(__xludf.DUMMYFUNCTION("""COMPUTED_VALUE"""),0.392612859097127)</f>
        <v>0.3926128591</v>
      </c>
      <c r="P39" s="8">
        <f>IFERROR(__xludf.DUMMYFUNCTION("""COMPUTED_VALUE"""),0.313901345291479)</f>
        <v>0.3139013453</v>
      </c>
      <c r="Q39" s="8">
        <f>IFERROR(__xludf.DUMMYFUNCTION("""COMPUTED_VALUE"""),0.0)</f>
        <v>0</v>
      </c>
      <c r="R39" s="8">
        <f>IFERROR(__xludf.DUMMYFUNCTION("""COMPUTED_VALUE"""),0.0)</f>
        <v>0</v>
      </c>
      <c r="S39" s="8">
        <f>IFERROR(__xludf.DUMMYFUNCTION("""COMPUTED_VALUE"""),0.0)</f>
        <v>0</v>
      </c>
      <c r="T39" s="8">
        <f>IFERROR(__xludf.DUMMYFUNCTION("""COMPUTED_VALUE"""),0.0)</f>
        <v>0</v>
      </c>
      <c r="U39" s="8">
        <f>IFERROR(__xludf.DUMMYFUNCTION("""COMPUTED_VALUE"""),0.0)</f>
        <v>0</v>
      </c>
      <c r="V39" s="8">
        <f>IFERROR(__xludf.DUMMYFUNCTION("""COMPUTED_VALUE"""),0.0)</f>
        <v>0</v>
      </c>
      <c r="W39" s="8">
        <f>IFERROR(__xludf.DUMMYFUNCTION("""COMPUTED_VALUE"""),0.0)</f>
        <v>0</v>
      </c>
      <c r="X39" s="8">
        <f>IFERROR(__xludf.DUMMYFUNCTION("""COMPUTED_VALUE"""),0.0)</f>
        <v>0</v>
      </c>
      <c r="Y39" s="8">
        <f>IFERROR(__xludf.DUMMYFUNCTION("""COMPUTED_VALUE"""),0.0)</f>
        <v>0</v>
      </c>
      <c r="Z39" s="8">
        <f>IFERROR(__xludf.DUMMYFUNCTION("""COMPUTED_VALUE"""),0.0)</f>
        <v>0</v>
      </c>
      <c r="AA39" s="8">
        <f>IFERROR(__xludf.DUMMYFUNCTION("""COMPUTED_VALUE"""),0.0)</f>
        <v>0</v>
      </c>
      <c r="AB39" s="8">
        <f>IFERROR(__xludf.DUMMYFUNCTION("""COMPUTED_VALUE"""),0.0)</f>
        <v>0</v>
      </c>
      <c r="AC39" s="8">
        <f>IFERROR(__xludf.DUMMYFUNCTION("""COMPUTED_VALUE"""),0.0)</f>
        <v>0</v>
      </c>
    </row>
    <row r="40" ht="15.75" customHeight="1">
      <c r="A40" s="6" t="str">
        <f>IFERROR(__xludf.DUMMYFUNCTION("""COMPUTED_VALUE"""),"2217881cc8f3c05fb3e0dbf70a118129e4e12471")</f>
        <v>2217881cc8f3c05fb3e0dbf70a118129e4e12471</v>
      </c>
      <c r="B40" s="6" t="str">
        <f>IFERROR(__xludf.DUMMYFUNCTION("""COMPUTED_VALUE"""),"Sevenfold Saint's Rise")</f>
        <v>Sevenfold Saint's Rise</v>
      </c>
      <c r="C40" s="6" t="str">
        <f>IFERROR(__xludf.DUMMYFUNCTION("""COMPUTED_VALUE"""),"Fantasy")</f>
        <v>Fantasy</v>
      </c>
      <c r="D40" s="5">
        <f>IFERROR(__xludf.DUMMYFUNCTION("""COMPUTED_VALUE"""),591.0)</f>
        <v>591</v>
      </c>
      <c r="E40" s="8">
        <f>IFERROR(__xludf.DUMMYFUNCTION("""COMPUTED_VALUE"""),0.979695431472081)</f>
        <v>0.9796954315</v>
      </c>
      <c r="F40" s="8">
        <f>IFERROR(__xludf.DUMMYFUNCTION("""COMPUTED_VALUE"""),0.618398637137989)</f>
        <v>0.6183986371</v>
      </c>
      <c r="G40" s="8">
        <f>IFERROR(__xludf.DUMMYFUNCTION("""COMPUTED_VALUE"""),0.554794520547945)</f>
        <v>0.5547945205</v>
      </c>
      <c r="H40" s="8">
        <f>IFERROR(__xludf.DUMMYFUNCTION("""COMPUTED_VALUE"""),0.539655172413793)</f>
        <v>0.5396551724</v>
      </c>
      <c r="I40" s="8">
        <f>IFERROR(__xludf.DUMMYFUNCTION("""COMPUTED_VALUE"""),0.461805555555555)</f>
        <v>0.4618055556</v>
      </c>
      <c r="J40" s="8">
        <f>IFERROR(__xludf.DUMMYFUNCTION("""COMPUTED_VALUE"""),0.409171075837742)</f>
        <v>0.4091710758</v>
      </c>
      <c r="K40" s="8">
        <f>IFERROR(__xludf.DUMMYFUNCTION("""COMPUTED_VALUE"""),0.351885098743267)</f>
        <v>0.3518850987</v>
      </c>
      <c r="L40" s="8">
        <f>IFERROR(__xludf.DUMMYFUNCTION("""COMPUTED_VALUE"""),0.330058939096267)</f>
        <v>0.3300589391</v>
      </c>
      <c r="M40" s="8">
        <f>IFERROR(__xludf.DUMMYFUNCTION("""COMPUTED_VALUE"""),0.293868921775898)</f>
        <v>0.2938689218</v>
      </c>
      <c r="N40" s="8">
        <f>IFERROR(__xludf.DUMMYFUNCTION("""COMPUTED_VALUE"""),0.241975308641975)</f>
        <v>0.2419753086</v>
      </c>
      <c r="O40" s="8">
        <f>IFERROR(__xludf.DUMMYFUNCTION("""COMPUTED_VALUE"""),0.0)</f>
        <v>0</v>
      </c>
      <c r="P40" s="8">
        <f>IFERROR(__xludf.DUMMYFUNCTION("""COMPUTED_VALUE"""),0.0)</f>
        <v>0</v>
      </c>
      <c r="Q40" s="8">
        <f>IFERROR(__xludf.DUMMYFUNCTION("""COMPUTED_VALUE"""),0.0)</f>
        <v>0</v>
      </c>
      <c r="R40" s="8">
        <f>IFERROR(__xludf.DUMMYFUNCTION("""COMPUTED_VALUE"""),0.0)</f>
        <v>0</v>
      </c>
      <c r="S40" s="8">
        <f>IFERROR(__xludf.DUMMYFUNCTION("""COMPUTED_VALUE"""),0.0)</f>
        <v>0</v>
      </c>
      <c r="T40" s="8">
        <f>IFERROR(__xludf.DUMMYFUNCTION("""COMPUTED_VALUE"""),0.0)</f>
        <v>0</v>
      </c>
      <c r="U40" s="8">
        <f>IFERROR(__xludf.DUMMYFUNCTION("""COMPUTED_VALUE"""),0.0)</f>
        <v>0</v>
      </c>
      <c r="V40" s="8">
        <f>IFERROR(__xludf.DUMMYFUNCTION("""COMPUTED_VALUE"""),0.0)</f>
        <v>0</v>
      </c>
      <c r="W40" s="8">
        <f>IFERROR(__xludf.DUMMYFUNCTION("""COMPUTED_VALUE"""),0.0)</f>
        <v>0</v>
      </c>
      <c r="X40" s="8">
        <f>IFERROR(__xludf.DUMMYFUNCTION("""COMPUTED_VALUE"""),0.0)</f>
        <v>0</v>
      </c>
      <c r="Y40" s="8">
        <f>IFERROR(__xludf.DUMMYFUNCTION("""COMPUTED_VALUE"""),0.0)</f>
        <v>0</v>
      </c>
      <c r="Z40" s="8">
        <f>IFERROR(__xludf.DUMMYFUNCTION("""COMPUTED_VALUE"""),0.0)</f>
        <v>0</v>
      </c>
      <c r="AA40" s="8">
        <f>IFERROR(__xludf.DUMMYFUNCTION("""COMPUTED_VALUE"""),0.0)</f>
        <v>0</v>
      </c>
      <c r="AB40" s="8">
        <f>IFERROR(__xludf.DUMMYFUNCTION("""COMPUTED_VALUE"""),0.0)</f>
        <v>0</v>
      </c>
      <c r="AC40" s="8">
        <f>IFERROR(__xludf.DUMMYFUNCTION("""COMPUTED_VALUE"""),0.0)</f>
        <v>0</v>
      </c>
    </row>
    <row r="41" ht="15.75" customHeight="1">
      <c r="A41" s="6" t="str">
        <f>IFERROR(__xludf.DUMMYFUNCTION("""COMPUTED_VALUE"""),"23200139c53ab123429a0f621a7519272bf21ea7")</f>
        <v>23200139c53ab123429a0f621a7519272bf21ea7</v>
      </c>
      <c r="B41" s="6" t="str">
        <f>IFERROR(__xludf.DUMMYFUNCTION("""COMPUTED_VALUE"""),"The Fae Lycan Abomination")</f>
        <v>The Fae Lycan Abomination</v>
      </c>
      <c r="C41" s="6" t="str">
        <f>IFERROR(__xludf.DUMMYFUNCTION("""COMPUTED_VALUE"""),"Fantasy")</f>
        <v>Fantasy</v>
      </c>
      <c r="D41" s="5">
        <f>IFERROR(__xludf.DUMMYFUNCTION("""COMPUTED_VALUE"""),328.0)</f>
        <v>328</v>
      </c>
      <c r="E41" s="8">
        <f>IFERROR(__xludf.DUMMYFUNCTION("""COMPUTED_VALUE"""),0.981538461538461)</f>
        <v>0.9815384615</v>
      </c>
      <c r="F41" s="8">
        <f>IFERROR(__xludf.DUMMYFUNCTION("""COMPUTED_VALUE"""),0.444444444444444)</f>
        <v>0.4444444444</v>
      </c>
      <c r="G41" s="8">
        <f>IFERROR(__xludf.DUMMYFUNCTION("""COMPUTED_VALUE"""),0.334415584415584)</f>
        <v>0.3344155844</v>
      </c>
      <c r="H41" s="8">
        <f>IFERROR(__xludf.DUMMYFUNCTION("""COMPUTED_VALUE"""),0.27208480565371)</f>
        <v>0.2720848057</v>
      </c>
      <c r="I41" s="8">
        <f>IFERROR(__xludf.DUMMYFUNCTION("""COMPUTED_VALUE"""),0.254681647940074)</f>
        <v>0.2546816479</v>
      </c>
      <c r="J41" s="8">
        <f>IFERROR(__xludf.DUMMYFUNCTION("""COMPUTED_VALUE"""),0.240963855421686)</f>
        <v>0.2409638554</v>
      </c>
      <c r="K41" s="8">
        <f>IFERROR(__xludf.DUMMYFUNCTION("""COMPUTED_VALUE"""),0.22457627118644)</f>
        <v>0.2245762712</v>
      </c>
      <c r="L41" s="8">
        <f>IFERROR(__xludf.DUMMYFUNCTION("""COMPUTED_VALUE"""),0.213333333333333)</f>
        <v>0.2133333333</v>
      </c>
      <c r="M41" s="8">
        <f>IFERROR(__xludf.DUMMYFUNCTION("""COMPUTED_VALUE"""),0.200913242009132)</f>
        <v>0.200913242</v>
      </c>
      <c r="N41" s="8">
        <f>IFERROR(__xludf.DUMMYFUNCTION("""COMPUTED_VALUE"""),0.197044334975369)</f>
        <v>0.197044335</v>
      </c>
      <c r="O41" s="8">
        <f>IFERROR(__xludf.DUMMYFUNCTION("""COMPUTED_VALUE"""),0.151515151515151)</f>
        <v>0.1515151515</v>
      </c>
      <c r="P41" s="8">
        <f>IFERROR(__xludf.DUMMYFUNCTION("""COMPUTED_VALUE"""),0.13125)</f>
        <v>0.13125</v>
      </c>
      <c r="Q41" s="8">
        <f>IFERROR(__xludf.DUMMYFUNCTION("""COMPUTED_VALUE"""),0.0)</f>
        <v>0</v>
      </c>
      <c r="R41" s="8">
        <f>IFERROR(__xludf.DUMMYFUNCTION("""COMPUTED_VALUE"""),0.0)</f>
        <v>0</v>
      </c>
      <c r="S41" s="8">
        <f>IFERROR(__xludf.DUMMYFUNCTION("""COMPUTED_VALUE"""),0.0)</f>
        <v>0</v>
      </c>
      <c r="T41" s="8">
        <f>IFERROR(__xludf.DUMMYFUNCTION("""COMPUTED_VALUE"""),0.0)</f>
        <v>0</v>
      </c>
      <c r="U41" s="8">
        <f>IFERROR(__xludf.DUMMYFUNCTION("""COMPUTED_VALUE"""),0.0)</f>
        <v>0</v>
      </c>
      <c r="V41" s="8">
        <f>IFERROR(__xludf.DUMMYFUNCTION("""COMPUTED_VALUE"""),0.0)</f>
        <v>0</v>
      </c>
      <c r="W41" s="8">
        <f>IFERROR(__xludf.DUMMYFUNCTION("""COMPUTED_VALUE"""),0.0)</f>
        <v>0</v>
      </c>
      <c r="X41" s="8">
        <f>IFERROR(__xludf.DUMMYFUNCTION("""COMPUTED_VALUE"""),0.0)</f>
        <v>0</v>
      </c>
      <c r="Y41" s="8">
        <f>IFERROR(__xludf.DUMMYFUNCTION("""COMPUTED_VALUE"""),0.0)</f>
        <v>0</v>
      </c>
      <c r="Z41" s="8">
        <f>IFERROR(__xludf.DUMMYFUNCTION("""COMPUTED_VALUE"""),0.0)</f>
        <v>0</v>
      </c>
      <c r="AA41" s="8">
        <f>IFERROR(__xludf.DUMMYFUNCTION("""COMPUTED_VALUE"""),0.0)</f>
        <v>0</v>
      </c>
      <c r="AB41" s="8">
        <f>IFERROR(__xludf.DUMMYFUNCTION("""COMPUTED_VALUE"""),0.0)</f>
        <v>0</v>
      </c>
      <c r="AC41" s="8">
        <f>IFERROR(__xludf.DUMMYFUNCTION("""COMPUTED_VALUE"""),0.0)</f>
        <v>0</v>
      </c>
    </row>
    <row r="42" ht="15.75" customHeight="1">
      <c r="A42" s="6" t="str">
        <f>IFERROR(__xludf.DUMMYFUNCTION("""COMPUTED_VALUE"""),"234ed47144507d63e9a903acfe37512c24bc9290")</f>
        <v>234ed47144507d63e9a903acfe37512c24bc9290</v>
      </c>
      <c r="B42" s="6" t="str">
        <f>IFERROR(__xludf.DUMMYFUNCTION("""COMPUTED_VALUE"""),"Twists of Love &amp; Revenge")</f>
        <v>Twists of Love &amp; Revenge</v>
      </c>
      <c r="C42" s="6" t="str">
        <f>IFERROR(__xludf.DUMMYFUNCTION("""COMPUTED_VALUE"""),"Drama")</f>
        <v>Drama</v>
      </c>
      <c r="D42" s="5">
        <f>IFERROR(__xludf.DUMMYFUNCTION("""COMPUTED_VALUE"""),26465.0)</f>
        <v>26465</v>
      </c>
      <c r="E42" s="8">
        <f>IFERROR(__xludf.DUMMYFUNCTION("""COMPUTED_VALUE"""),0.920081657341599)</f>
        <v>0.9200816573</v>
      </c>
      <c r="F42" s="8">
        <f>IFERROR(__xludf.DUMMYFUNCTION("""COMPUTED_VALUE"""),0.635651877907636)</f>
        <v>0.6356518779</v>
      </c>
      <c r="G42" s="8">
        <f>IFERROR(__xludf.DUMMYFUNCTION("""COMPUTED_VALUE"""),0.572504351774767)</f>
        <v>0.5725043518</v>
      </c>
      <c r="H42" s="8">
        <f>IFERROR(__xludf.DUMMYFUNCTION("""COMPUTED_VALUE"""),0.520089370242738)</f>
        <v>0.5200893702</v>
      </c>
      <c r="I42" s="8">
        <f>IFERROR(__xludf.DUMMYFUNCTION("""COMPUTED_VALUE"""),0.491700773078672)</f>
        <v>0.4917007731</v>
      </c>
      <c r="J42" s="8">
        <f>IFERROR(__xludf.DUMMYFUNCTION("""COMPUTED_VALUE"""),0.473508552357113)</f>
        <v>0.4735085524</v>
      </c>
      <c r="K42" s="8">
        <f>IFERROR(__xludf.DUMMYFUNCTION("""COMPUTED_VALUE"""),0.454086666160734)</f>
        <v>0.4540866662</v>
      </c>
      <c r="L42" s="8">
        <f>IFERROR(__xludf.DUMMYFUNCTION("""COMPUTED_VALUE"""),0.437476259211425)</f>
        <v>0.4374762592</v>
      </c>
      <c r="M42" s="8">
        <f>IFERROR(__xludf.DUMMYFUNCTION("""COMPUTED_VALUE"""),0.424296577946768)</f>
        <v>0.4242965779</v>
      </c>
      <c r="N42" s="8">
        <f>IFERROR(__xludf.DUMMYFUNCTION("""COMPUTED_VALUE"""),0.41650182592818)</f>
        <v>0.4165018259</v>
      </c>
      <c r="O42" s="8">
        <f>IFERROR(__xludf.DUMMYFUNCTION("""COMPUTED_VALUE"""),0.389118299304121)</f>
        <v>0.3891182993</v>
      </c>
      <c r="P42" s="8">
        <f>IFERROR(__xludf.DUMMYFUNCTION("""COMPUTED_VALUE"""),0.342773248850596)</f>
        <v>0.3427732489</v>
      </c>
      <c r="Q42" s="8">
        <f>IFERROR(__xludf.DUMMYFUNCTION("""COMPUTED_VALUE"""),0.276297827528374)</f>
        <v>0.2762978275</v>
      </c>
      <c r="R42" s="8">
        <f>IFERROR(__xludf.DUMMYFUNCTION("""COMPUTED_VALUE"""),0.216475396950165)</f>
        <v>0.216475397</v>
      </c>
      <c r="S42" s="8">
        <f>IFERROR(__xludf.DUMMYFUNCTION("""COMPUTED_VALUE"""),0.193556048131728)</f>
        <v>0.1935560481</v>
      </c>
      <c r="T42" s="8">
        <f>IFERROR(__xludf.DUMMYFUNCTION("""COMPUTED_VALUE"""),0.180586007574247)</f>
        <v>0.1805860076</v>
      </c>
      <c r="U42" s="8">
        <f>IFERROR(__xludf.DUMMYFUNCTION("""COMPUTED_VALUE"""),0.164039250382047)</f>
        <v>0.1640392504</v>
      </c>
      <c r="V42" s="8">
        <f>IFERROR(__xludf.DUMMYFUNCTION("""COMPUTED_VALUE"""),0.151868852459016)</f>
        <v>0.1518688525</v>
      </c>
      <c r="W42" s="8">
        <f>IFERROR(__xludf.DUMMYFUNCTION("""COMPUTED_VALUE"""),0.140495116965705)</f>
        <v>0.140495117</v>
      </c>
      <c r="X42" s="8">
        <f>IFERROR(__xludf.DUMMYFUNCTION("""COMPUTED_VALUE"""),0.128263723440462)</f>
        <v>0.1282637234</v>
      </c>
      <c r="Y42" s="8">
        <f>IFERROR(__xludf.DUMMYFUNCTION("""COMPUTED_VALUE"""),0.113984978313762)</f>
        <v>0.1139849783</v>
      </c>
      <c r="Z42" s="8">
        <f>IFERROR(__xludf.DUMMYFUNCTION("""COMPUTED_VALUE"""),0.0944585124550968)</f>
        <v>0.09445851246</v>
      </c>
      <c r="AA42" s="8">
        <f>IFERROR(__xludf.DUMMYFUNCTION("""COMPUTED_VALUE"""),0.0575152457252182)</f>
        <v>0.05751524573</v>
      </c>
      <c r="AB42" s="8">
        <f>IFERROR(__xludf.DUMMYFUNCTION("""COMPUTED_VALUE"""),0.0295698924731182)</f>
        <v>0.02956989247</v>
      </c>
      <c r="AC42" s="8">
        <f>IFERROR(__xludf.DUMMYFUNCTION("""COMPUTED_VALUE"""),0.0)</f>
        <v>0</v>
      </c>
    </row>
    <row r="43" ht="15.75" customHeight="1">
      <c r="A43" s="6" t="str">
        <f>IFERROR(__xludf.DUMMYFUNCTION("""COMPUTED_VALUE"""),"239987644f409ac822be4ca9051a98eb8bf7e766")</f>
        <v>239987644f409ac822be4ca9051a98eb8bf7e766</v>
      </c>
      <c r="B43" s="6" t="str">
        <f>IFERROR(__xludf.DUMMYFUNCTION("""COMPUTED_VALUE"""),"The Silent Rebirth")</f>
        <v>The Silent Rebirth</v>
      </c>
      <c r="C43" s="6" t="str">
        <f>IFERROR(__xludf.DUMMYFUNCTION("""COMPUTED_VALUE"""),"Romantasy")</f>
        <v>Romantasy</v>
      </c>
      <c r="D43" s="5">
        <f>IFERROR(__xludf.DUMMYFUNCTION("""COMPUTED_VALUE"""),8521.0)</f>
        <v>8521</v>
      </c>
      <c r="E43" s="8">
        <f>IFERROR(__xludf.DUMMYFUNCTION("""COMPUTED_VALUE"""),0.946577433368557)</f>
        <v>0.9465774334</v>
      </c>
      <c r="F43" s="8">
        <f>IFERROR(__xludf.DUMMYFUNCTION("""COMPUTED_VALUE"""),0.525079290496887)</f>
        <v>0.5250792905</v>
      </c>
      <c r="G43" s="8">
        <f>IFERROR(__xludf.DUMMYFUNCTION("""COMPUTED_VALUE"""),0.460697920338385)</f>
        <v>0.4606979203</v>
      </c>
      <c r="H43" s="8">
        <f>IFERROR(__xludf.DUMMYFUNCTION("""COMPUTED_VALUE"""),0.42771509167842)</f>
        <v>0.4277150917</v>
      </c>
      <c r="I43" s="8">
        <f>IFERROR(__xludf.DUMMYFUNCTION("""COMPUTED_VALUE"""),0.412933568489124)</f>
        <v>0.4129335685</v>
      </c>
      <c r="J43" s="8">
        <f>IFERROR(__xludf.DUMMYFUNCTION("""COMPUTED_VALUE"""),0.392143025170548)</f>
        <v>0.3921430252</v>
      </c>
      <c r="K43" s="8">
        <f>IFERROR(__xludf.DUMMYFUNCTION("""COMPUTED_VALUE"""),0.370910802541774)</f>
        <v>0.3709108025</v>
      </c>
      <c r="L43" s="8">
        <f>IFERROR(__xludf.DUMMYFUNCTION("""COMPUTED_VALUE"""),0.35831960461285)</f>
        <v>0.3583196046</v>
      </c>
      <c r="M43" s="8">
        <f>IFERROR(__xludf.DUMMYFUNCTION("""COMPUTED_VALUE"""),0.347498528546203)</f>
        <v>0.3474985285</v>
      </c>
      <c r="N43" s="8">
        <f>IFERROR(__xludf.DUMMYFUNCTION("""COMPUTED_VALUE"""),0.337809187279151)</f>
        <v>0.3378091873</v>
      </c>
      <c r="O43" s="8">
        <f>IFERROR(__xludf.DUMMYFUNCTION("""COMPUTED_VALUE"""),0.32223009685802)</f>
        <v>0.3222300969</v>
      </c>
      <c r="P43" s="8">
        <f>IFERROR(__xludf.DUMMYFUNCTION("""COMPUTED_VALUE"""),0.27452606635071)</f>
        <v>0.2745260664</v>
      </c>
      <c r="Q43" s="8">
        <f>IFERROR(__xludf.DUMMYFUNCTION("""COMPUTED_VALUE"""),0.204504612435605)</f>
        <v>0.2045046124</v>
      </c>
      <c r="R43" s="8">
        <f>IFERROR(__xludf.DUMMYFUNCTION("""COMPUTED_VALUE"""),0.173798897348385)</f>
        <v>0.1737988973</v>
      </c>
      <c r="S43" s="8">
        <f>IFERROR(__xludf.DUMMYFUNCTION("""COMPUTED_VALUE"""),0.151625693893735)</f>
        <v>0.1516256939</v>
      </c>
      <c r="T43" s="8">
        <f>IFERROR(__xludf.DUMMYFUNCTION("""COMPUTED_VALUE"""),0.127700950734658)</f>
        <v>0.1277009507</v>
      </c>
      <c r="U43" s="8">
        <f>IFERROR(__xludf.DUMMYFUNCTION("""COMPUTED_VALUE"""),0.115196708665466)</f>
        <v>0.1151967087</v>
      </c>
      <c r="V43" s="8">
        <f>IFERROR(__xludf.DUMMYFUNCTION("""COMPUTED_VALUE"""),0.110744891232696)</f>
        <v>0.1107448912</v>
      </c>
      <c r="W43" s="8">
        <f>IFERROR(__xludf.DUMMYFUNCTION("""COMPUTED_VALUE"""),0.0923732828043581)</f>
        <v>0.0923732828</v>
      </c>
      <c r="X43" s="8">
        <f>IFERROR(__xludf.DUMMYFUNCTION("""COMPUTED_VALUE"""),0.0707743547044129)</f>
        <v>0.0707743547</v>
      </c>
      <c r="Y43" s="8">
        <f>IFERROR(__xludf.DUMMYFUNCTION("""COMPUTED_VALUE"""),0.0)</f>
        <v>0</v>
      </c>
      <c r="Z43" s="8">
        <f>IFERROR(__xludf.DUMMYFUNCTION("""COMPUTED_VALUE"""),0.0)</f>
        <v>0</v>
      </c>
      <c r="AA43" s="8">
        <f>IFERROR(__xludf.DUMMYFUNCTION("""COMPUTED_VALUE"""),0.0)</f>
        <v>0</v>
      </c>
      <c r="AB43" s="8">
        <f>IFERROR(__xludf.DUMMYFUNCTION("""COMPUTED_VALUE"""),0.0)</f>
        <v>0</v>
      </c>
      <c r="AC43" s="8">
        <f>IFERROR(__xludf.DUMMYFUNCTION("""COMPUTED_VALUE"""),0.0)</f>
        <v>0</v>
      </c>
    </row>
    <row r="44" ht="15.75" customHeight="1">
      <c r="A44" s="6" t="str">
        <f>IFERROR(__xludf.DUMMYFUNCTION("""COMPUTED_VALUE"""),"239fafc880752526fba110a11c49b101aec7192f")</f>
        <v>239fafc880752526fba110a11c49b101aec7192f</v>
      </c>
      <c r="B44" s="6" t="str">
        <f>IFERROR(__xludf.DUMMYFUNCTION("""COMPUTED_VALUE"""),"Mama's Lil Kings")</f>
        <v>Mama's Lil Kings</v>
      </c>
      <c r="C44" s="6" t="str">
        <f>IFERROR(__xludf.DUMMYFUNCTION("""COMPUTED_VALUE"""),"Drama")</f>
        <v>Drama</v>
      </c>
      <c r="D44" s="5">
        <f>IFERROR(__xludf.DUMMYFUNCTION("""COMPUTED_VALUE"""),208.0)</f>
        <v>208</v>
      </c>
      <c r="E44" s="8">
        <f>IFERROR(__xludf.DUMMYFUNCTION("""COMPUTED_VALUE"""),0.876847290640394)</f>
        <v>0.8768472906</v>
      </c>
      <c r="F44" s="8">
        <f>IFERROR(__xludf.DUMMYFUNCTION("""COMPUTED_VALUE"""),0.211822660098522)</f>
        <v>0.2118226601</v>
      </c>
      <c r="G44" s="8">
        <f>IFERROR(__xludf.DUMMYFUNCTION("""COMPUTED_VALUE"""),0.189054726368159)</f>
        <v>0.1890547264</v>
      </c>
      <c r="H44" s="8">
        <f>IFERROR(__xludf.DUMMYFUNCTION("""COMPUTED_VALUE"""),0.151515151515151)</f>
        <v>0.1515151515</v>
      </c>
      <c r="I44" s="8">
        <f>IFERROR(__xludf.DUMMYFUNCTION("""COMPUTED_VALUE"""),0.141414141414141)</f>
        <v>0.1414141414</v>
      </c>
      <c r="J44" s="8">
        <f>IFERROR(__xludf.DUMMYFUNCTION("""COMPUTED_VALUE"""),0.128865979381443)</f>
        <v>0.1288659794</v>
      </c>
      <c r="K44" s="8">
        <f>IFERROR(__xludf.DUMMYFUNCTION("""COMPUTED_VALUE"""),0.12565445026178)</f>
        <v>0.1256544503</v>
      </c>
      <c r="L44" s="8">
        <f>IFERROR(__xludf.DUMMYFUNCTION("""COMPUTED_VALUE"""),0.122994652406417)</f>
        <v>0.1229946524</v>
      </c>
      <c r="M44" s="8">
        <f>IFERROR(__xludf.DUMMYFUNCTION("""COMPUTED_VALUE"""),0.129729729729729)</f>
        <v>0.1297297297</v>
      </c>
      <c r="N44" s="8">
        <f>IFERROR(__xludf.DUMMYFUNCTION("""COMPUTED_VALUE"""),0.128491620111731)</f>
        <v>0.1284916201</v>
      </c>
      <c r="O44" s="8">
        <f>IFERROR(__xludf.DUMMYFUNCTION("""COMPUTED_VALUE"""),0.124260355029585)</f>
        <v>0.124260355</v>
      </c>
      <c r="P44" s="8">
        <f>IFERROR(__xludf.DUMMYFUNCTION("""COMPUTED_VALUE"""),0.0848484848484848)</f>
        <v>0.08484848485</v>
      </c>
      <c r="Q44" s="8">
        <f>IFERROR(__xludf.DUMMYFUNCTION("""COMPUTED_VALUE"""),0.0748299319727891)</f>
        <v>0.07482993197</v>
      </c>
      <c r="R44" s="8">
        <f>IFERROR(__xludf.DUMMYFUNCTION("""COMPUTED_VALUE"""),0.0606060606060606)</f>
        <v>0.06060606061</v>
      </c>
      <c r="S44" s="8">
        <f>IFERROR(__xludf.DUMMYFUNCTION("""COMPUTED_VALUE"""),0.063063063063063)</f>
        <v>0.06306306306</v>
      </c>
      <c r="T44" s="8">
        <f>IFERROR(__xludf.DUMMYFUNCTION("""COMPUTED_VALUE"""),0.0824742268041237)</f>
        <v>0.0824742268</v>
      </c>
      <c r="U44" s="8">
        <f>IFERROR(__xludf.DUMMYFUNCTION("""COMPUTED_VALUE"""),0.1)</f>
        <v>0.1</v>
      </c>
      <c r="V44" s="8">
        <f>IFERROR(__xludf.DUMMYFUNCTION("""COMPUTED_VALUE"""),0.0666666666666666)</f>
        <v>0.06666666667</v>
      </c>
      <c r="W44" s="8">
        <f>IFERROR(__xludf.DUMMYFUNCTION("""COMPUTED_VALUE"""),0.0789473684210526)</f>
        <v>0.07894736842</v>
      </c>
      <c r="X44" s="8">
        <f>IFERROR(__xludf.DUMMYFUNCTION("""COMPUTED_VALUE"""),0.027027027027027)</f>
        <v>0.02702702703</v>
      </c>
      <c r="Y44" s="8">
        <f>IFERROR(__xludf.DUMMYFUNCTION("""COMPUTED_VALUE"""),0.0625)</f>
        <v>0.0625</v>
      </c>
      <c r="Z44" s="8">
        <f>IFERROR(__xludf.DUMMYFUNCTION("""COMPUTED_VALUE"""),0.0)</f>
        <v>0</v>
      </c>
      <c r="AA44" s="8">
        <f>IFERROR(__xludf.DUMMYFUNCTION("""COMPUTED_VALUE"""),0.0)</f>
        <v>0</v>
      </c>
      <c r="AB44" s="8">
        <f>IFERROR(__xludf.DUMMYFUNCTION("""COMPUTED_VALUE"""),0.0)</f>
        <v>0</v>
      </c>
      <c r="AC44" s="8">
        <f>IFERROR(__xludf.DUMMYFUNCTION("""COMPUTED_VALUE"""),0.0)</f>
        <v>0</v>
      </c>
    </row>
    <row r="45" ht="15.75" customHeight="1">
      <c r="A45" s="6" t="str">
        <f>IFERROR(__xludf.DUMMYFUNCTION("""COMPUTED_VALUE"""),"23a0bb3d5deb8d4707bdb34175170e288d724c97")</f>
        <v>23a0bb3d5deb8d4707bdb34175170e288d724c97</v>
      </c>
      <c r="B45" s="6" t="str">
        <f>IFERROR(__xludf.DUMMYFUNCTION("""COMPUTED_VALUE"""),"System of Super Tech")</f>
        <v>System of Super Tech</v>
      </c>
      <c r="C45" s="6" t="str">
        <f>IFERROR(__xludf.DUMMYFUNCTION("""COMPUTED_VALUE"""),"System and Superpower")</f>
        <v>System and Superpower</v>
      </c>
      <c r="D45" s="5">
        <f>IFERROR(__xludf.DUMMYFUNCTION("""COMPUTED_VALUE"""),698.0)</f>
        <v>698</v>
      </c>
      <c r="E45" s="8">
        <f>IFERROR(__xludf.DUMMYFUNCTION("""COMPUTED_VALUE"""),0.977011494252873)</f>
        <v>0.9770114943</v>
      </c>
      <c r="F45" s="8">
        <f>IFERROR(__xludf.DUMMYFUNCTION("""COMPUTED_VALUE"""),0.53410740203193)</f>
        <v>0.534107402</v>
      </c>
      <c r="G45" s="8">
        <f>IFERROR(__xludf.DUMMYFUNCTION("""COMPUTED_VALUE"""),0.43313953488372)</f>
        <v>0.4331395349</v>
      </c>
      <c r="H45" s="8">
        <f>IFERROR(__xludf.DUMMYFUNCTION("""COMPUTED_VALUE"""),0.39882697947214)</f>
        <v>0.3988269795</v>
      </c>
      <c r="I45" s="8">
        <f>IFERROR(__xludf.DUMMYFUNCTION("""COMPUTED_VALUE"""),0.369436201780415)</f>
        <v>0.3694362018</v>
      </c>
      <c r="J45" s="8">
        <f>IFERROR(__xludf.DUMMYFUNCTION("""COMPUTED_VALUE"""),0.336890243902439)</f>
        <v>0.3368902439</v>
      </c>
      <c r="K45" s="8">
        <f>IFERROR(__xludf.DUMMYFUNCTION("""COMPUTED_VALUE"""),0.31715210355987)</f>
        <v>0.3171521036</v>
      </c>
      <c r="L45" s="8">
        <f>IFERROR(__xludf.DUMMYFUNCTION("""COMPUTED_VALUE"""),0.294117647058823)</f>
        <v>0.2941176471</v>
      </c>
      <c r="M45" s="8">
        <f>IFERROR(__xludf.DUMMYFUNCTION("""COMPUTED_VALUE"""),0.27490774907749)</f>
        <v>0.2749077491</v>
      </c>
      <c r="N45" s="8">
        <f>IFERROR(__xludf.DUMMYFUNCTION("""COMPUTED_VALUE"""),0.266009852216748)</f>
        <v>0.2660098522</v>
      </c>
      <c r="O45" s="8">
        <f>IFERROR(__xludf.DUMMYFUNCTION("""COMPUTED_VALUE"""),0.21875)</f>
        <v>0.21875</v>
      </c>
      <c r="P45" s="8">
        <f>IFERROR(__xludf.DUMMYFUNCTION("""COMPUTED_VALUE"""),0.113207547169811)</f>
        <v>0.1132075472</v>
      </c>
      <c r="Q45" s="8">
        <f>IFERROR(__xludf.DUMMYFUNCTION("""COMPUTED_VALUE"""),0.0588235294117647)</f>
        <v>0.05882352941</v>
      </c>
      <c r="R45" s="8">
        <f>IFERROR(__xludf.DUMMYFUNCTION("""COMPUTED_VALUE"""),0.0)</f>
        <v>0</v>
      </c>
      <c r="S45" s="8">
        <f>IFERROR(__xludf.DUMMYFUNCTION("""COMPUTED_VALUE"""),0.0)</f>
        <v>0</v>
      </c>
      <c r="T45" s="8">
        <f>IFERROR(__xludf.DUMMYFUNCTION("""COMPUTED_VALUE"""),0.0)</f>
        <v>0</v>
      </c>
      <c r="U45" s="8">
        <f>IFERROR(__xludf.DUMMYFUNCTION("""COMPUTED_VALUE"""),0.0)</f>
        <v>0</v>
      </c>
      <c r="V45" s="8">
        <f>IFERROR(__xludf.DUMMYFUNCTION("""COMPUTED_VALUE"""),0.0)</f>
        <v>0</v>
      </c>
      <c r="W45" s="8">
        <f>IFERROR(__xludf.DUMMYFUNCTION("""COMPUTED_VALUE"""),0.0)</f>
        <v>0</v>
      </c>
      <c r="X45" s="8">
        <f>IFERROR(__xludf.DUMMYFUNCTION("""COMPUTED_VALUE"""),0.0)</f>
        <v>0</v>
      </c>
      <c r="Y45" s="8">
        <f>IFERROR(__xludf.DUMMYFUNCTION("""COMPUTED_VALUE"""),0.0)</f>
        <v>0</v>
      </c>
      <c r="Z45" s="8">
        <f>IFERROR(__xludf.DUMMYFUNCTION("""COMPUTED_VALUE"""),0.0)</f>
        <v>0</v>
      </c>
      <c r="AA45" s="8">
        <f>IFERROR(__xludf.DUMMYFUNCTION("""COMPUTED_VALUE"""),0.0)</f>
        <v>0</v>
      </c>
      <c r="AB45" s="8">
        <f>IFERROR(__xludf.DUMMYFUNCTION("""COMPUTED_VALUE"""),0.0)</f>
        <v>0</v>
      </c>
      <c r="AC45" s="8">
        <f>IFERROR(__xludf.DUMMYFUNCTION("""COMPUTED_VALUE"""),0.0)</f>
        <v>0</v>
      </c>
    </row>
    <row r="46" ht="15.75" customHeight="1">
      <c r="A46" s="6" t="str">
        <f>IFERROR(__xludf.DUMMYFUNCTION("""COMPUTED_VALUE"""),"247dcedeaecc161909c6ddd57b599f4e38d758d8")</f>
        <v>247dcedeaecc161909c6ddd57b599f4e38d758d8</v>
      </c>
      <c r="B46" s="6" t="str">
        <f>IFERROR(__xludf.DUMMYFUNCTION("""COMPUTED_VALUE"""),"A Christmas of Betrayals")</f>
        <v>A Christmas of Betrayals</v>
      </c>
      <c r="C46" s="6" t="str">
        <f>IFERROR(__xludf.DUMMYFUNCTION("""COMPUTED_VALUE"""),"Romance")</f>
        <v>Romance</v>
      </c>
      <c r="D46" s="5">
        <f>IFERROR(__xludf.DUMMYFUNCTION("""COMPUTED_VALUE"""),503.0)</f>
        <v>503</v>
      </c>
      <c r="E46" s="8">
        <f>IFERROR(__xludf.DUMMYFUNCTION("""COMPUTED_VALUE"""),0.960238568588469)</f>
        <v>0.9602385686</v>
      </c>
      <c r="F46" s="8">
        <f>IFERROR(__xludf.DUMMYFUNCTION("""COMPUTED_VALUE"""),0.583665338645418)</f>
        <v>0.5836653386</v>
      </c>
      <c r="G46" s="8">
        <f>IFERROR(__xludf.DUMMYFUNCTION("""COMPUTED_VALUE"""),0.541832669322709)</f>
        <v>0.5418326693</v>
      </c>
      <c r="H46" s="8">
        <f>IFERROR(__xludf.DUMMYFUNCTION("""COMPUTED_VALUE"""),0.488)</f>
        <v>0.488</v>
      </c>
      <c r="I46" s="8">
        <f>IFERROR(__xludf.DUMMYFUNCTION("""COMPUTED_VALUE"""),0.434)</f>
        <v>0.434</v>
      </c>
      <c r="J46" s="8">
        <f>IFERROR(__xludf.DUMMYFUNCTION("""COMPUTED_VALUE"""),0.412)</f>
        <v>0.412</v>
      </c>
      <c r="K46" s="8">
        <f>IFERROR(__xludf.DUMMYFUNCTION("""COMPUTED_VALUE"""),0.376)</f>
        <v>0.376</v>
      </c>
      <c r="L46" s="8">
        <f>IFERROR(__xludf.DUMMYFUNCTION("""COMPUTED_VALUE"""),0.331262939958592)</f>
        <v>0.33126294</v>
      </c>
      <c r="M46" s="8">
        <f>IFERROR(__xludf.DUMMYFUNCTION("""COMPUTED_VALUE"""),0.311715481171548)</f>
        <v>0.3117154812</v>
      </c>
      <c r="N46" s="8">
        <f>IFERROR(__xludf.DUMMYFUNCTION("""COMPUTED_VALUE"""),0.301052631578947)</f>
        <v>0.3010526316</v>
      </c>
      <c r="O46" s="8">
        <f>IFERROR(__xludf.DUMMYFUNCTION("""COMPUTED_VALUE"""),0.263269639065817)</f>
        <v>0.2632696391</v>
      </c>
      <c r="P46" s="8">
        <f>IFERROR(__xludf.DUMMYFUNCTION("""COMPUTED_VALUE"""),0.151785714285714)</f>
        <v>0.1517857143</v>
      </c>
      <c r="Q46" s="8">
        <f>IFERROR(__xludf.DUMMYFUNCTION("""COMPUTED_VALUE"""),0.0995850622406639)</f>
        <v>0.09958506224</v>
      </c>
      <c r="R46" s="8">
        <f>IFERROR(__xludf.DUMMYFUNCTION("""COMPUTED_VALUE"""),0.0)</f>
        <v>0</v>
      </c>
      <c r="S46" s="8">
        <f>IFERROR(__xludf.DUMMYFUNCTION("""COMPUTED_VALUE"""),0.0)</f>
        <v>0</v>
      </c>
      <c r="T46" s="8">
        <f>IFERROR(__xludf.DUMMYFUNCTION("""COMPUTED_VALUE"""),0.0)</f>
        <v>0</v>
      </c>
      <c r="U46" s="8">
        <f>IFERROR(__xludf.DUMMYFUNCTION("""COMPUTED_VALUE"""),0.0)</f>
        <v>0</v>
      </c>
      <c r="V46" s="8">
        <f>IFERROR(__xludf.DUMMYFUNCTION("""COMPUTED_VALUE"""),0.0)</f>
        <v>0</v>
      </c>
      <c r="W46" s="8">
        <f>IFERROR(__xludf.DUMMYFUNCTION("""COMPUTED_VALUE"""),0.0)</f>
        <v>0</v>
      </c>
      <c r="X46" s="8">
        <f>IFERROR(__xludf.DUMMYFUNCTION("""COMPUTED_VALUE"""),0.0)</f>
        <v>0</v>
      </c>
      <c r="Y46" s="8">
        <f>IFERROR(__xludf.DUMMYFUNCTION("""COMPUTED_VALUE"""),0.0)</f>
        <v>0</v>
      </c>
      <c r="Z46" s="8">
        <f>IFERROR(__xludf.DUMMYFUNCTION("""COMPUTED_VALUE"""),0.0)</f>
        <v>0</v>
      </c>
      <c r="AA46" s="8">
        <f>IFERROR(__xludf.DUMMYFUNCTION("""COMPUTED_VALUE"""),0.0)</f>
        <v>0</v>
      </c>
      <c r="AB46" s="8">
        <f>IFERROR(__xludf.DUMMYFUNCTION("""COMPUTED_VALUE"""),0.0)</f>
        <v>0</v>
      </c>
      <c r="AC46" s="8">
        <f>IFERROR(__xludf.DUMMYFUNCTION("""COMPUTED_VALUE"""),0.0)</f>
        <v>0</v>
      </c>
    </row>
    <row r="47" ht="15.75" customHeight="1">
      <c r="A47" s="6" t="str">
        <f>IFERROR(__xludf.DUMMYFUNCTION("""COMPUTED_VALUE"""),"248aae390e84177edc04ecc06fac6c17aed375ff")</f>
        <v>248aae390e84177edc04ecc06fac6c17aed375ff</v>
      </c>
      <c r="B47" s="6" t="str">
        <f>IFERROR(__xludf.DUMMYFUNCTION("""COMPUTED_VALUE"""),"Silver Onyx: Dragonbound")</f>
        <v>Silver Onyx: Dragonbound</v>
      </c>
      <c r="C47" s="6" t="str">
        <f>IFERROR(__xludf.DUMMYFUNCTION("""COMPUTED_VALUE"""),"Romantasy")</f>
        <v>Romantasy</v>
      </c>
      <c r="D47" s="5">
        <f>IFERROR(__xludf.DUMMYFUNCTION("""COMPUTED_VALUE"""),929.0)</f>
        <v>929</v>
      </c>
      <c r="E47" s="8">
        <f>IFERROR(__xludf.DUMMYFUNCTION("""COMPUTED_VALUE"""),0.964169381107491)</f>
        <v>0.9641693811</v>
      </c>
      <c r="F47" s="8">
        <f>IFERROR(__xludf.DUMMYFUNCTION("""COMPUTED_VALUE"""),0.518930957683741)</f>
        <v>0.5189309577</v>
      </c>
      <c r="G47" s="8">
        <f>IFERROR(__xludf.DUMMYFUNCTION("""COMPUTED_VALUE"""),0.463718820861678)</f>
        <v>0.4637188209</v>
      </c>
      <c r="H47" s="8">
        <f>IFERROR(__xludf.DUMMYFUNCTION("""COMPUTED_VALUE"""),0.432339449541284)</f>
        <v>0.4323394495</v>
      </c>
      <c r="I47" s="8">
        <f>IFERROR(__xludf.DUMMYFUNCTION("""COMPUTED_VALUE"""),0.421784472769409)</f>
        <v>0.4217844728</v>
      </c>
      <c r="J47" s="8">
        <f>IFERROR(__xludf.DUMMYFUNCTION("""COMPUTED_VALUE"""),0.407925407925407)</f>
        <v>0.4079254079</v>
      </c>
      <c r="K47" s="8">
        <f>IFERROR(__xludf.DUMMYFUNCTION("""COMPUTED_VALUE"""),0.398104265402843)</f>
        <v>0.3981042654</v>
      </c>
      <c r="L47" s="8">
        <f>IFERROR(__xludf.DUMMYFUNCTION("""COMPUTED_VALUE"""),0.394957983193277)</f>
        <v>0.3949579832</v>
      </c>
      <c r="M47" s="8">
        <f>IFERROR(__xludf.DUMMYFUNCTION("""COMPUTED_VALUE"""),0.37956204379562)</f>
        <v>0.3795620438</v>
      </c>
      <c r="N47" s="8">
        <f>IFERROR(__xludf.DUMMYFUNCTION("""COMPUTED_VALUE"""),0.376089663760896)</f>
        <v>0.3760896638</v>
      </c>
      <c r="O47" s="8">
        <f>IFERROR(__xludf.DUMMYFUNCTION("""COMPUTED_VALUE"""),0.465408805031446)</f>
        <v>0.465408805</v>
      </c>
      <c r="P47" s="8">
        <f>IFERROR(__xludf.DUMMYFUNCTION("""COMPUTED_VALUE"""),0.461538461538461)</f>
        <v>0.4615384615</v>
      </c>
      <c r="Q47" s="8">
        <f>IFERROR(__xludf.DUMMYFUNCTION("""COMPUTED_VALUE"""),0.0)</f>
        <v>0</v>
      </c>
      <c r="R47" s="8">
        <f>IFERROR(__xludf.DUMMYFUNCTION("""COMPUTED_VALUE"""),0.0)</f>
        <v>0</v>
      </c>
      <c r="S47" s="8">
        <f>IFERROR(__xludf.DUMMYFUNCTION("""COMPUTED_VALUE"""),0.0)</f>
        <v>0</v>
      </c>
      <c r="T47" s="8">
        <f>IFERROR(__xludf.DUMMYFUNCTION("""COMPUTED_VALUE"""),0.0)</f>
        <v>0</v>
      </c>
      <c r="U47" s="8">
        <f>IFERROR(__xludf.DUMMYFUNCTION("""COMPUTED_VALUE"""),0.0)</f>
        <v>0</v>
      </c>
      <c r="V47" s="8">
        <f>IFERROR(__xludf.DUMMYFUNCTION("""COMPUTED_VALUE"""),0.0)</f>
        <v>0</v>
      </c>
      <c r="W47" s="8">
        <f>IFERROR(__xludf.DUMMYFUNCTION("""COMPUTED_VALUE"""),0.0)</f>
        <v>0</v>
      </c>
      <c r="X47" s="8">
        <f>IFERROR(__xludf.DUMMYFUNCTION("""COMPUTED_VALUE"""),0.0)</f>
        <v>0</v>
      </c>
      <c r="Y47" s="8">
        <f>IFERROR(__xludf.DUMMYFUNCTION("""COMPUTED_VALUE"""),0.0)</f>
        <v>0</v>
      </c>
      <c r="Z47" s="8">
        <f>IFERROR(__xludf.DUMMYFUNCTION("""COMPUTED_VALUE"""),0.0)</f>
        <v>0</v>
      </c>
      <c r="AA47" s="8">
        <f>IFERROR(__xludf.DUMMYFUNCTION("""COMPUTED_VALUE"""),0.0)</f>
        <v>0</v>
      </c>
      <c r="AB47" s="8">
        <f>IFERROR(__xludf.DUMMYFUNCTION("""COMPUTED_VALUE"""),0.0)</f>
        <v>0</v>
      </c>
      <c r="AC47" s="8">
        <f>IFERROR(__xludf.DUMMYFUNCTION("""COMPUTED_VALUE"""),0.0)</f>
        <v>0</v>
      </c>
    </row>
    <row r="48" ht="15.75" customHeight="1">
      <c r="A48" s="6" t="str">
        <f>IFERROR(__xludf.DUMMYFUNCTION("""COMPUTED_VALUE"""),"248ba0ec55862a22dd7993c8b49d5f052ce03954")</f>
        <v>248ba0ec55862a22dd7993c8b49d5f052ce03954</v>
      </c>
      <c r="B48" s="6" t="str">
        <f>IFERROR(__xludf.DUMMYFUNCTION("""COMPUTED_VALUE"""),"The Silent Sovereign")</f>
        <v>The Silent Sovereign</v>
      </c>
      <c r="C48" s="6" t="str">
        <f>IFERROR(__xludf.DUMMYFUNCTION("""COMPUTED_VALUE"""),"Fantasy")</f>
        <v>Fantasy</v>
      </c>
      <c r="D48" s="5">
        <f>IFERROR(__xludf.DUMMYFUNCTION("""COMPUTED_VALUE"""),944.0)</f>
        <v>944</v>
      </c>
      <c r="E48" s="8">
        <f>IFERROR(__xludf.DUMMYFUNCTION("""COMPUTED_VALUE"""),0.967161016949152)</f>
        <v>0.9671610169</v>
      </c>
      <c r="F48" s="8">
        <f>IFERROR(__xludf.DUMMYFUNCTION("""COMPUTED_VALUE"""),0.742553191489361)</f>
        <v>0.7425531915</v>
      </c>
      <c r="G48" s="8">
        <f>IFERROR(__xludf.DUMMYFUNCTION("""COMPUTED_VALUE"""),0.665952890792291)</f>
        <v>0.6659528908</v>
      </c>
      <c r="H48" s="8">
        <f>IFERROR(__xludf.DUMMYFUNCTION("""COMPUTED_VALUE"""),0.621592148309705)</f>
        <v>0.6215921483</v>
      </c>
      <c r="I48" s="8">
        <f>IFERROR(__xludf.DUMMYFUNCTION("""COMPUTED_VALUE"""),0.581369248035914)</f>
        <v>0.581369248</v>
      </c>
      <c r="J48" s="8">
        <f>IFERROR(__xludf.DUMMYFUNCTION("""COMPUTED_VALUE"""),0.534629404617254)</f>
        <v>0.5346294046</v>
      </c>
      <c r="K48" s="8">
        <f>IFERROR(__xludf.DUMMYFUNCTION("""COMPUTED_VALUE"""),0.483160621761658)</f>
        <v>0.4831606218</v>
      </c>
      <c r="L48" s="8">
        <f>IFERROR(__xludf.DUMMYFUNCTION("""COMPUTED_VALUE"""),0.452112676056338)</f>
        <v>0.4521126761</v>
      </c>
      <c r="M48" s="8">
        <f>IFERROR(__xludf.DUMMYFUNCTION("""COMPUTED_VALUE"""),0.412480974124809)</f>
        <v>0.4124809741</v>
      </c>
      <c r="N48" s="8">
        <f>IFERROR(__xludf.DUMMYFUNCTION("""COMPUTED_VALUE"""),0.38095238095238)</f>
        <v>0.380952381</v>
      </c>
      <c r="O48" s="8">
        <f>IFERROR(__xludf.DUMMYFUNCTION("""COMPUTED_VALUE"""),0.303643724696356)</f>
        <v>0.3036437247</v>
      </c>
      <c r="P48" s="8">
        <f>IFERROR(__xludf.DUMMYFUNCTION("""COMPUTED_VALUE"""),0.195121951219512)</f>
        <v>0.1951219512</v>
      </c>
      <c r="Q48" s="8">
        <f>IFERROR(__xludf.DUMMYFUNCTION("""COMPUTED_VALUE"""),0.142857142857142)</f>
        <v>0.1428571429</v>
      </c>
      <c r="R48" s="8">
        <f>IFERROR(__xludf.DUMMYFUNCTION("""COMPUTED_VALUE"""),0.0)</f>
        <v>0</v>
      </c>
      <c r="S48" s="8">
        <f>IFERROR(__xludf.DUMMYFUNCTION("""COMPUTED_VALUE"""),0.0)</f>
        <v>0</v>
      </c>
      <c r="T48" s="8">
        <f>IFERROR(__xludf.DUMMYFUNCTION("""COMPUTED_VALUE"""),0.0)</f>
        <v>0</v>
      </c>
      <c r="U48" s="8">
        <f>IFERROR(__xludf.DUMMYFUNCTION("""COMPUTED_VALUE"""),0.0)</f>
        <v>0</v>
      </c>
      <c r="V48" s="8">
        <f>IFERROR(__xludf.DUMMYFUNCTION("""COMPUTED_VALUE"""),0.0)</f>
        <v>0</v>
      </c>
      <c r="W48" s="8">
        <f>IFERROR(__xludf.DUMMYFUNCTION("""COMPUTED_VALUE"""),0.0)</f>
        <v>0</v>
      </c>
      <c r="X48" s="8">
        <f>IFERROR(__xludf.DUMMYFUNCTION("""COMPUTED_VALUE"""),0.0)</f>
        <v>0</v>
      </c>
      <c r="Y48" s="8">
        <f>IFERROR(__xludf.DUMMYFUNCTION("""COMPUTED_VALUE"""),0.0)</f>
        <v>0</v>
      </c>
      <c r="Z48" s="8">
        <f>IFERROR(__xludf.DUMMYFUNCTION("""COMPUTED_VALUE"""),0.0)</f>
        <v>0</v>
      </c>
      <c r="AA48" s="8">
        <f>IFERROR(__xludf.DUMMYFUNCTION("""COMPUTED_VALUE"""),0.0)</f>
        <v>0</v>
      </c>
      <c r="AB48" s="8">
        <f>IFERROR(__xludf.DUMMYFUNCTION("""COMPUTED_VALUE"""),0.0)</f>
        <v>0</v>
      </c>
      <c r="AC48" s="8">
        <f>IFERROR(__xludf.DUMMYFUNCTION("""COMPUTED_VALUE"""),0.0)</f>
        <v>0</v>
      </c>
    </row>
    <row r="49" ht="15.75" customHeight="1">
      <c r="A49" s="6" t="str">
        <f>IFERROR(__xludf.DUMMYFUNCTION("""COMPUTED_VALUE"""),"26e1fd07be016edcad6988356011ef8b49038bd1")</f>
        <v>26e1fd07be016edcad6988356011ef8b49038bd1</v>
      </c>
      <c r="B49" s="6" t="str">
        <f>IFERROR(__xludf.DUMMYFUNCTION("""COMPUTED_VALUE"""),"The Last Anniversary Lie")</f>
        <v>The Last Anniversary Lie</v>
      </c>
      <c r="C49" s="6" t="str">
        <f>IFERROR(__xludf.DUMMYFUNCTION("""COMPUTED_VALUE"""),"Romance")</f>
        <v>Romance</v>
      </c>
      <c r="D49" s="5">
        <f>IFERROR(__xludf.DUMMYFUNCTION("""COMPUTED_VALUE"""),766.0)</f>
        <v>766</v>
      </c>
      <c r="E49" s="8">
        <f>IFERROR(__xludf.DUMMYFUNCTION("""COMPUTED_VALUE"""),0.955613577023498)</f>
        <v>0.955613577</v>
      </c>
      <c r="F49" s="8">
        <f>IFERROR(__xludf.DUMMYFUNCTION("""COMPUTED_VALUE"""),0.608125819134993)</f>
        <v>0.6081258191</v>
      </c>
      <c r="G49" s="8">
        <f>IFERROR(__xludf.DUMMYFUNCTION("""COMPUTED_VALUE"""),0.532194480946123)</f>
        <v>0.5321944809</v>
      </c>
      <c r="H49" s="8">
        <f>IFERROR(__xludf.DUMMYFUNCTION("""COMPUTED_VALUE"""),0.491413474240422)</f>
        <v>0.4914134742</v>
      </c>
      <c r="I49" s="8">
        <f>IFERROR(__xludf.DUMMYFUNCTION("""COMPUTED_VALUE"""),0.447089947089947)</f>
        <v>0.4470899471</v>
      </c>
      <c r="J49" s="8">
        <f>IFERROR(__xludf.DUMMYFUNCTION("""COMPUTED_VALUE"""),0.424403183023872)</f>
        <v>0.424403183</v>
      </c>
      <c r="K49" s="8">
        <f>IFERROR(__xludf.DUMMYFUNCTION("""COMPUTED_VALUE"""),0.387782204515272)</f>
        <v>0.3877822045</v>
      </c>
      <c r="L49" s="8">
        <f>IFERROR(__xludf.DUMMYFUNCTION("""COMPUTED_VALUE"""),0.388518024032042)</f>
        <v>0.388518024</v>
      </c>
      <c r="M49" s="8">
        <f>IFERROR(__xludf.DUMMYFUNCTION("""COMPUTED_VALUE"""),0.391008174386921)</f>
        <v>0.3910081744</v>
      </c>
      <c r="N49" s="8">
        <f>IFERROR(__xludf.DUMMYFUNCTION("""COMPUTED_VALUE"""),0.386039886039886)</f>
        <v>0.386039886</v>
      </c>
      <c r="O49" s="8">
        <f>IFERROR(__xludf.DUMMYFUNCTION("""COMPUTED_VALUE"""),0.245901639344262)</f>
        <v>0.2459016393</v>
      </c>
      <c r="P49" s="8">
        <f>IFERROR(__xludf.DUMMYFUNCTION("""COMPUTED_VALUE"""),0.285714285714285)</f>
        <v>0.2857142857</v>
      </c>
      <c r="Q49" s="8">
        <f>IFERROR(__xludf.DUMMYFUNCTION("""COMPUTED_VALUE"""),0.0)</f>
        <v>0</v>
      </c>
      <c r="R49" s="8">
        <f>IFERROR(__xludf.DUMMYFUNCTION("""COMPUTED_VALUE"""),0.0)</f>
        <v>0</v>
      </c>
      <c r="S49" s="8">
        <f>IFERROR(__xludf.DUMMYFUNCTION("""COMPUTED_VALUE"""),0.0)</f>
        <v>0</v>
      </c>
      <c r="T49" s="8">
        <f>IFERROR(__xludf.DUMMYFUNCTION("""COMPUTED_VALUE"""),0.0)</f>
        <v>0</v>
      </c>
      <c r="U49" s="8">
        <f>IFERROR(__xludf.DUMMYFUNCTION("""COMPUTED_VALUE"""),0.0)</f>
        <v>0</v>
      </c>
      <c r="V49" s="8">
        <f>IFERROR(__xludf.DUMMYFUNCTION("""COMPUTED_VALUE"""),0.0)</f>
        <v>0</v>
      </c>
      <c r="W49" s="8">
        <f>IFERROR(__xludf.DUMMYFUNCTION("""COMPUTED_VALUE"""),0.0)</f>
        <v>0</v>
      </c>
      <c r="X49" s="8">
        <f>IFERROR(__xludf.DUMMYFUNCTION("""COMPUTED_VALUE"""),0.0)</f>
        <v>0</v>
      </c>
      <c r="Y49" s="8">
        <f>IFERROR(__xludf.DUMMYFUNCTION("""COMPUTED_VALUE"""),0.0)</f>
        <v>0</v>
      </c>
      <c r="Z49" s="8">
        <f>IFERROR(__xludf.DUMMYFUNCTION("""COMPUTED_VALUE"""),0.0)</f>
        <v>0</v>
      </c>
      <c r="AA49" s="8">
        <f>IFERROR(__xludf.DUMMYFUNCTION("""COMPUTED_VALUE"""),0.0)</f>
        <v>0</v>
      </c>
      <c r="AB49" s="8">
        <f>IFERROR(__xludf.DUMMYFUNCTION("""COMPUTED_VALUE"""),0.0)</f>
        <v>0</v>
      </c>
      <c r="AC49" s="8">
        <f>IFERROR(__xludf.DUMMYFUNCTION("""COMPUTED_VALUE"""),0.0)</f>
        <v>0</v>
      </c>
    </row>
    <row r="50" ht="15.75" customHeight="1">
      <c r="A50" s="6" t="str">
        <f>IFERROR(__xludf.DUMMYFUNCTION("""COMPUTED_VALUE"""),"2804c5c0d94ac97e4b67564cc852e784e64583e5")</f>
        <v>2804c5c0d94ac97e4b67564cc852e784e64583e5</v>
      </c>
      <c r="B50" s="6" t="str">
        <f>IFERROR(__xludf.DUMMYFUNCTION("""COMPUTED_VALUE"""),"Rebirth in Beauty")</f>
        <v>Rebirth in Beauty</v>
      </c>
      <c r="C50" s="6" t="str">
        <f>IFERROR(__xludf.DUMMYFUNCTION("""COMPUTED_VALUE"""),"Fantasy")</f>
        <v>Fantasy</v>
      </c>
      <c r="D50" s="5">
        <f>IFERROR(__xludf.DUMMYFUNCTION("""COMPUTED_VALUE"""),510.0)</f>
        <v>510</v>
      </c>
      <c r="E50" s="8">
        <f>IFERROR(__xludf.DUMMYFUNCTION("""COMPUTED_VALUE"""),0.96812749003984)</f>
        <v>0.96812749</v>
      </c>
      <c r="F50" s="8">
        <f>IFERROR(__xludf.DUMMYFUNCTION("""COMPUTED_VALUE"""),0.583333333333333)</f>
        <v>0.5833333333</v>
      </c>
      <c r="G50" s="8">
        <f>IFERROR(__xludf.DUMMYFUNCTION("""COMPUTED_VALUE"""),0.515991471215351)</f>
        <v>0.5159914712</v>
      </c>
      <c r="H50" s="8">
        <f>IFERROR(__xludf.DUMMYFUNCTION("""COMPUTED_VALUE"""),0.474770642201834)</f>
        <v>0.4747706422</v>
      </c>
      <c r="I50" s="8">
        <f>IFERROR(__xludf.DUMMYFUNCTION("""COMPUTED_VALUE"""),0.437054631828978)</f>
        <v>0.4370546318</v>
      </c>
      <c r="J50" s="8">
        <f>IFERROR(__xludf.DUMMYFUNCTION("""COMPUTED_VALUE"""),0.406565656565656)</f>
        <v>0.4065656566</v>
      </c>
      <c r="K50" s="8">
        <f>IFERROR(__xludf.DUMMYFUNCTION("""COMPUTED_VALUE"""),0.375675675675675)</f>
        <v>0.3756756757</v>
      </c>
      <c r="L50" s="8">
        <f>IFERROR(__xludf.DUMMYFUNCTION("""COMPUTED_VALUE"""),0.357575757575757)</f>
        <v>0.3575757576</v>
      </c>
      <c r="M50" s="8">
        <f>IFERROR(__xludf.DUMMYFUNCTION("""COMPUTED_VALUE"""),0.341637010676156)</f>
        <v>0.3416370107</v>
      </c>
      <c r="N50" s="8">
        <f>IFERROR(__xludf.DUMMYFUNCTION("""COMPUTED_VALUE"""),0.298076923076923)</f>
        <v>0.2980769231</v>
      </c>
      <c r="O50" s="8">
        <f>IFERROR(__xludf.DUMMYFUNCTION("""COMPUTED_VALUE"""),0.4)</f>
        <v>0.4</v>
      </c>
      <c r="P50" s="8">
        <f>IFERROR(__xludf.DUMMYFUNCTION("""COMPUTED_VALUE"""),0.0)</f>
        <v>0</v>
      </c>
      <c r="Q50" s="8">
        <f>IFERROR(__xludf.DUMMYFUNCTION("""COMPUTED_VALUE"""),0.0)</f>
        <v>0</v>
      </c>
      <c r="R50" s="8">
        <f>IFERROR(__xludf.DUMMYFUNCTION("""COMPUTED_VALUE"""),0.0)</f>
        <v>0</v>
      </c>
      <c r="S50" s="8">
        <f>IFERROR(__xludf.DUMMYFUNCTION("""COMPUTED_VALUE"""),0.0)</f>
        <v>0</v>
      </c>
      <c r="T50" s="8">
        <f>IFERROR(__xludf.DUMMYFUNCTION("""COMPUTED_VALUE"""),0.0)</f>
        <v>0</v>
      </c>
      <c r="U50" s="8">
        <f>IFERROR(__xludf.DUMMYFUNCTION("""COMPUTED_VALUE"""),0.0)</f>
        <v>0</v>
      </c>
      <c r="V50" s="8">
        <f>IFERROR(__xludf.DUMMYFUNCTION("""COMPUTED_VALUE"""),0.0)</f>
        <v>0</v>
      </c>
      <c r="W50" s="8">
        <f>IFERROR(__xludf.DUMMYFUNCTION("""COMPUTED_VALUE"""),0.0)</f>
        <v>0</v>
      </c>
      <c r="X50" s="8">
        <f>IFERROR(__xludf.DUMMYFUNCTION("""COMPUTED_VALUE"""),0.0)</f>
        <v>0</v>
      </c>
      <c r="Y50" s="8">
        <f>IFERROR(__xludf.DUMMYFUNCTION("""COMPUTED_VALUE"""),0.0)</f>
        <v>0</v>
      </c>
      <c r="Z50" s="8">
        <f>IFERROR(__xludf.DUMMYFUNCTION("""COMPUTED_VALUE"""),0.0)</f>
        <v>0</v>
      </c>
      <c r="AA50" s="8">
        <f>IFERROR(__xludf.DUMMYFUNCTION("""COMPUTED_VALUE"""),0.0)</f>
        <v>0</v>
      </c>
      <c r="AB50" s="8">
        <f>IFERROR(__xludf.DUMMYFUNCTION("""COMPUTED_VALUE"""),0.0)</f>
        <v>0</v>
      </c>
      <c r="AC50" s="8">
        <f>IFERROR(__xludf.DUMMYFUNCTION("""COMPUTED_VALUE"""),0.0)</f>
        <v>0</v>
      </c>
    </row>
    <row r="51" ht="15.75" customHeight="1">
      <c r="A51" s="6" t="str">
        <f>IFERROR(__xludf.DUMMYFUNCTION("""COMPUTED_VALUE"""),"2969766ce2d0cd5c21da961666ea357622d5d073")</f>
        <v>2969766ce2d0cd5c21da961666ea357622d5d073</v>
      </c>
      <c r="B51" s="6" t="str">
        <f>IFERROR(__xludf.DUMMYFUNCTION("""COMPUTED_VALUE"""),"The Magical Mystic Master")</f>
        <v>The Magical Mystic Master</v>
      </c>
      <c r="C51" s="6" t="str">
        <f>IFERROR(__xludf.DUMMYFUNCTION("""COMPUTED_VALUE"""),"Fantasy")</f>
        <v>Fantasy</v>
      </c>
      <c r="D51" s="5">
        <f>IFERROR(__xludf.DUMMYFUNCTION("""COMPUTED_VALUE"""),1543.0)</f>
        <v>1543</v>
      </c>
      <c r="E51" s="8">
        <f>IFERROR(__xludf.DUMMYFUNCTION("""COMPUTED_VALUE"""),0.978613091380427)</f>
        <v>0.9786130914</v>
      </c>
      <c r="F51" s="8">
        <f>IFERROR(__xludf.DUMMYFUNCTION("""COMPUTED_VALUE"""),0.53177691309987)</f>
        <v>0.5317769131</v>
      </c>
      <c r="G51" s="8">
        <f>IFERROR(__xludf.DUMMYFUNCTION("""COMPUTED_VALUE"""),0.404931862426995)</f>
        <v>0.4049318624</v>
      </c>
      <c r="H51" s="8">
        <f>IFERROR(__xludf.DUMMYFUNCTION("""COMPUTED_VALUE"""),0.356075373619233)</f>
        <v>0.3560753736</v>
      </c>
      <c r="I51" s="8">
        <f>IFERROR(__xludf.DUMMYFUNCTION("""COMPUTED_VALUE"""),0.301494476933073)</f>
        <v>0.3014944769</v>
      </c>
      <c r="J51" s="8">
        <f>IFERROR(__xludf.DUMMYFUNCTION("""COMPUTED_VALUE"""),0.272431729518855)</f>
        <v>0.2724317295</v>
      </c>
      <c r="K51" s="8">
        <f>IFERROR(__xludf.DUMMYFUNCTION("""COMPUTED_VALUE"""),0.246889325474787)</f>
        <v>0.2468893255</v>
      </c>
      <c r="L51" s="8">
        <f>IFERROR(__xludf.DUMMYFUNCTION("""COMPUTED_VALUE"""),0.229508196721311)</f>
        <v>0.2295081967</v>
      </c>
      <c r="M51" s="8">
        <f>IFERROR(__xludf.DUMMYFUNCTION("""COMPUTED_VALUE"""),0.214051214707813)</f>
        <v>0.2140512147</v>
      </c>
      <c r="N51" s="8">
        <f>IFERROR(__xludf.DUMMYFUNCTION("""COMPUTED_VALUE"""),0.204993429697766)</f>
        <v>0.2049934297</v>
      </c>
      <c r="O51" s="8">
        <f>IFERROR(__xludf.DUMMYFUNCTION("""COMPUTED_VALUE"""),0.160753077480086)</f>
        <v>0.1607530775</v>
      </c>
      <c r="P51" s="8">
        <f>IFERROR(__xludf.DUMMYFUNCTION("""COMPUTED_VALUE"""),0.107114933541829)</f>
        <v>0.1071149335</v>
      </c>
      <c r="Q51" s="8">
        <f>IFERROR(__xludf.DUMMYFUNCTION("""COMPUTED_VALUE"""),0.124137931034482)</f>
        <v>0.124137931</v>
      </c>
      <c r="R51" s="8">
        <f>IFERROR(__xludf.DUMMYFUNCTION("""COMPUTED_VALUE"""),0.0964539007092198)</f>
        <v>0.09645390071</v>
      </c>
      <c r="S51" s="8">
        <f>IFERROR(__xludf.DUMMYFUNCTION("""COMPUTED_VALUE"""),0.0106951871657754)</f>
        <v>0.01069518717</v>
      </c>
      <c r="T51" s="8">
        <f>IFERROR(__xludf.DUMMYFUNCTION("""COMPUTED_VALUE"""),0.0)</f>
        <v>0</v>
      </c>
      <c r="U51" s="8">
        <f>IFERROR(__xludf.DUMMYFUNCTION("""COMPUTED_VALUE"""),0.0)</f>
        <v>0</v>
      </c>
      <c r="V51" s="8">
        <f>IFERROR(__xludf.DUMMYFUNCTION("""COMPUTED_VALUE"""),0.0)</f>
        <v>0</v>
      </c>
      <c r="W51" s="8">
        <f>IFERROR(__xludf.DUMMYFUNCTION("""COMPUTED_VALUE"""),0.0)</f>
        <v>0</v>
      </c>
      <c r="X51" s="8">
        <f>IFERROR(__xludf.DUMMYFUNCTION("""COMPUTED_VALUE"""),0.0)</f>
        <v>0</v>
      </c>
      <c r="Y51" s="8">
        <f>IFERROR(__xludf.DUMMYFUNCTION("""COMPUTED_VALUE"""),0.0)</f>
        <v>0</v>
      </c>
      <c r="Z51" s="8">
        <f>IFERROR(__xludf.DUMMYFUNCTION("""COMPUTED_VALUE"""),0.0)</f>
        <v>0</v>
      </c>
      <c r="AA51" s="8">
        <f>IFERROR(__xludf.DUMMYFUNCTION("""COMPUTED_VALUE"""),0.0)</f>
        <v>0</v>
      </c>
      <c r="AB51" s="8">
        <f>IFERROR(__xludf.DUMMYFUNCTION("""COMPUTED_VALUE"""),0.0)</f>
        <v>0</v>
      </c>
      <c r="AC51" s="8">
        <f>IFERROR(__xludf.DUMMYFUNCTION("""COMPUTED_VALUE"""),0.0)</f>
        <v>0</v>
      </c>
    </row>
    <row r="52" ht="15.75" customHeight="1">
      <c r="A52" s="6" t="str">
        <f>IFERROR(__xludf.DUMMYFUNCTION("""COMPUTED_VALUE"""),"29b6547143fa9e79e6e0d3e0463e7b79ac00c7fd")</f>
        <v>29b6547143fa9e79e6e0d3e0463e7b79ac00c7fd</v>
      </c>
      <c r="B52" s="6" t="str">
        <f>IFERROR(__xludf.DUMMYFUNCTION("""COMPUTED_VALUE"""),"Love, Revenge &amp; My Past")</f>
        <v>Love, Revenge &amp; My Past</v>
      </c>
      <c r="C52" s="6" t="str">
        <f>IFERROR(__xludf.DUMMYFUNCTION("""COMPUTED_VALUE"""),"Romance")</f>
        <v>Romance</v>
      </c>
      <c r="D52" s="5">
        <f>IFERROR(__xludf.DUMMYFUNCTION("""COMPUTED_VALUE"""),1034.0)</f>
        <v>1034</v>
      </c>
      <c r="E52" s="8">
        <f>IFERROR(__xludf.DUMMYFUNCTION("""COMPUTED_VALUE"""),0.971926427879961)</f>
        <v>0.9719264279</v>
      </c>
      <c r="F52" s="8">
        <f>IFERROR(__xludf.DUMMYFUNCTION("""COMPUTED_VALUE"""),0.412391093901258)</f>
        <v>0.4123910939</v>
      </c>
      <c r="G52" s="8">
        <f>IFERROR(__xludf.DUMMYFUNCTION("""COMPUTED_VALUE"""),0.373668925459825)</f>
        <v>0.3736689255</v>
      </c>
      <c r="H52" s="8">
        <f>IFERROR(__xludf.DUMMYFUNCTION("""COMPUTED_VALUE"""),0.353339787028073)</f>
        <v>0.353339787</v>
      </c>
      <c r="I52" s="8">
        <f>IFERROR(__xludf.DUMMYFUNCTION("""COMPUTED_VALUE"""),0.329776915615906)</f>
        <v>0.3297769156</v>
      </c>
      <c r="J52" s="8">
        <f>IFERROR(__xludf.DUMMYFUNCTION("""COMPUTED_VALUE"""),0.30552861299709)</f>
        <v>0.305528613</v>
      </c>
      <c r="K52" s="8">
        <f>IFERROR(__xludf.DUMMYFUNCTION("""COMPUTED_VALUE"""),0.292919495635305)</f>
        <v>0.2929194956</v>
      </c>
      <c r="L52" s="8">
        <f>IFERROR(__xludf.DUMMYFUNCTION("""COMPUTED_VALUE"""),0.28252427184466)</f>
        <v>0.2825242718</v>
      </c>
      <c r="M52" s="8">
        <f>IFERROR(__xludf.DUMMYFUNCTION("""COMPUTED_VALUE"""),0.26504854368932)</f>
        <v>0.2650485437</v>
      </c>
      <c r="N52" s="8">
        <f>IFERROR(__xludf.DUMMYFUNCTION("""COMPUTED_VALUE"""),0.257531584062196)</f>
        <v>0.2575315841</v>
      </c>
      <c r="O52" s="8">
        <f>IFERROR(__xludf.DUMMYFUNCTION("""COMPUTED_VALUE"""),0.186680121089808)</f>
        <v>0.1866801211</v>
      </c>
      <c r="P52" s="8">
        <f>IFERROR(__xludf.DUMMYFUNCTION("""COMPUTED_VALUE"""),0.136666666666666)</f>
        <v>0.1366666667</v>
      </c>
      <c r="Q52" s="8">
        <f>IFERROR(__xludf.DUMMYFUNCTION("""COMPUTED_VALUE"""),0.0750407830342577)</f>
        <v>0.07504078303</v>
      </c>
      <c r="R52" s="8">
        <f>IFERROR(__xludf.DUMMYFUNCTION("""COMPUTED_VALUE"""),0.0614886731391585)</f>
        <v>0.06148867314</v>
      </c>
      <c r="S52" s="8">
        <f>IFERROR(__xludf.DUMMYFUNCTION("""COMPUTED_VALUE"""),0.0526315789473684)</f>
        <v>0.05263157895</v>
      </c>
      <c r="T52" s="8">
        <f>IFERROR(__xludf.DUMMYFUNCTION("""COMPUTED_VALUE"""),0.0)</f>
        <v>0</v>
      </c>
      <c r="U52" s="8">
        <f>IFERROR(__xludf.DUMMYFUNCTION("""COMPUTED_VALUE"""),0.0)</f>
        <v>0</v>
      </c>
      <c r="V52" s="8">
        <f>IFERROR(__xludf.DUMMYFUNCTION("""COMPUTED_VALUE"""),0.0)</f>
        <v>0</v>
      </c>
      <c r="W52" s="8">
        <f>IFERROR(__xludf.DUMMYFUNCTION("""COMPUTED_VALUE"""),0.0)</f>
        <v>0</v>
      </c>
      <c r="X52" s="8">
        <f>IFERROR(__xludf.DUMMYFUNCTION("""COMPUTED_VALUE"""),0.0)</f>
        <v>0</v>
      </c>
      <c r="Y52" s="8">
        <f>IFERROR(__xludf.DUMMYFUNCTION("""COMPUTED_VALUE"""),0.0)</f>
        <v>0</v>
      </c>
      <c r="Z52" s="8">
        <f>IFERROR(__xludf.DUMMYFUNCTION("""COMPUTED_VALUE"""),0.0)</f>
        <v>0</v>
      </c>
      <c r="AA52" s="8">
        <f>IFERROR(__xludf.DUMMYFUNCTION("""COMPUTED_VALUE"""),0.0)</f>
        <v>0</v>
      </c>
      <c r="AB52" s="8">
        <f>IFERROR(__xludf.DUMMYFUNCTION("""COMPUTED_VALUE"""),0.0)</f>
        <v>0</v>
      </c>
      <c r="AC52" s="8">
        <f>IFERROR(__xludf.DUMMYFUNCTION("""COMPUTED_VALUE"""),0.0)</f>
        <v>0</v>
      </c>
    </row>
    <row r="53" ht="15.75" customHeight="1">
      <c r="A53" s="6" t="str">
        <f>IFERROR(__xludf.DUMMYFUNCTION("""COMPUTED_VALUE"""),"2a8120a20d0bebaa0f325746e4058859d5e610ee")</f>
        <v>2a8120a20d0bebaa0f325746e4058859d5e610ee</v>
      </c>
      <c r="B53" s="6" t="str">
        <f>IFERROR(__xludf.DUMMYFUNCTION("""COMPUTED_VALUE"""),"Cultivated Love")</f>
        <v>Cultivated Love</v>
      </c>
      <c r="C53" s="6" t="str">
        <f>IFERROR(__xludf.DUMMYFUNCTION("""COMPUTED_VALUE"""),"Romance")</f>
        <v>Romance</v>
      </c>
      <c r="D53" s="5">
        <f>IFERROR(__xludf.DUMMYFUNCTION("""COMPUTED_VALUE"""),254.0)</f>
        <v>254</v>
      </c>
      <c r="E53" s="8">
        <f>IFERROR(__xludf.DUMMYFUNCTION("""COMPUTED_VALUE"""),0.913043478260869)</f>
        <v>0.9130434783</v>
      </c>
      <c r="F53" s="8">
        <f>IFERROR(__xludf.DUMMYFUNCTION("""COMPUTED_VALUE"""),0.227091633466135)</f>
        <v>0.2270916335</v>
      </c>
      <c r="G53" s="8">
        <f>IFERROR(__xludf.DUMMYFUNCTION("""COMPUTED_VALUE"""),0.2)</f>
        <v>0.2</v>
      </c>
      <c r="H53" s="8">
        <f>IFERROR(__xludf.DUMMYFUNCTION("""COMPUTED_VALUE"""),0.15040650406504)</f>
        <v>0.1504065041</v>
      </c>
      <c r="I53" s="8">
        <f>IFERROR(__xludf.DUMMYFUNCTION("""COMPUTED_VALUE"""),0.156378600823045)</f>
        <v>0.1563786008</v>
      </c>
      <c r="J53" s="8">
        <f>IFERROR(__xludf.DUMMYFUNCTION("""COMPUTED_VALUE"""),0.163865546218487)</f>
        <v>0.1638655462</v>
      </c>
      <c r="K53" s="8">
        <f>IFERROR(__xludf.DUMMYFUNCTION("""COMPUTED_VALUE"""),0.131355932203389)</f>
        <v>0.1313559322</v>
      </c>
      <c r="L53" s="8">
        <f>IFERROR(__xludf.DUMMYFUNCTION("""COMPUTED_VALUE"""),0.137777777777777)</f>
        <v>0.1377777778</v>
      </c>
      <c r="M53" s="8">
        <f>IFERROR(__xludf.DUMMYFUNCTION("""COMPUTED_VALUE"""),0.162895927601809)</f>
        <v>0.1628959276</v>
      </c>
      <c r="N53" s="8">
        <f>IFERROR(__xludf.DUMMYFUNCTION("""COMPUTED_VALUE"""),0.131455399061032)</f>
        <v>0.1314553991</v>
      </c>
      <c r="O53" s="8">
        <f>IFERROR(__xludf.DUMMYFUNCTION("""COMPUTED_VALUE"""),0.136904761904761)</f>
        <v>0.1369047619</v>
      </c>
      <c r="P53" s="8">
        <f>IFERROR(__xludf.DUMMYFUNCTION("""COMPUTED_VALUE"""),0.0958083832335329)</f>
        <v>0.09580838323</v>
      </c>
      <c r="Q53" s="8">
        <f>IFERROR(__xludf.DUMMYFUNCTION("""COMPUTED_VALUE"""),0.0620689655172413)</f>
        <v>0.06206896552</v>
      </c>
      <c r="R53" s="8">
        <f>IFERROR(__xludf.DUMMYFUNCTION("""COMPUTED_VALUE"""),0.0561797752808988)</f>
        <v>0.05617977528</v>
      </c>
      <c r="S53" s="8">
        <f>IFERROR(__xludf.DUMMYFUNCTION("""COMPUTED_VALUE"""),0.0428571428571428)</f>
        <v>0.04285714286</v>
      </c>
      <c r="T53" s="8">
        <f>IFERROR(__xludf.DUMMYFUNCTION("""COMPUTED_VALUE"""),0.102564102564102)</f>
        <v>0.1025641026</v>
      </c>
      <c r="U53" s="8">
        <f>IFERROR(__xludf.DUMMYFUNCTION("""COMPUTED_VALUE"""),0.0)</f>
        <v>0</v>
      </c>
      <c r="V53" s="8">
        <f>IFERROR(__xludf.DUMMYFUNCTION("""COMPUTED_VALUE"""),0.0)</f>
        <v>0</v>
      </c>
      <c r="W53" s="8">
        <f>IFERROR(__xludf.DUMMYFUNCTION("""COMPUTED_VALUE"""),0.0)</f>
        <v>0</v>
      </c>
      <c r="X53" s="8">
        <f>IFERROR(__xludf.DUMMYFUNCTION("""COMPUTED_VALUE"""),0.0)</f>
        <v>0</v>
      </c>
      <c r="Y53" s="8">
        <f>IFERROR(__xludf.DUMMYFUNCTION("""COMPUTED_VALUE"""),0.0)</f>
        <v>0</v>
      </c>
      <c r="Z53" s="8">
        <f>IFERROR(__xludf.DUMMYFUNCTION("""COMPUTED_VALUE"""),0.0)</f>
        <v>0</v>
      </c>
      <c r="AA53" s="8">
        <f>IFERROR(__xludf.DUMMYFUNCTION("""COMPUTED_VALUE"""),0.0)</f>
        <v>0</v>
      </c>
      <c r="AB53" s="8">
        <f>IFERROR(__xludf.DUMMYFUNCTION("""COMPUTED_VALUE"""),0.0)</f>
        <v>0</v>
      </c>
      <c r="AC53" s="8">
        <f>IFERROR(__xludf.DUMMYFUNCTION("""COMPUTED_VALUE"""),0.0)</f>
        <v>0</v>
      </c>
    </row>
    <row r="54" ht="15.75" customHeight="1">
      <c r="A54" s="6" t="str">
        <f>IFERROR(__xludf.DUMMYFUNCTION("""COMPUTED_VALUE"""),"2b967281ca19c941aa99d03c959adaf6349da9b3")</f>
        <v>2b967281ca19c941aa99d03c959adaf6349da9b3</v>
      </c>
      <c r="B54" s="6" t="str">
        <f>IFERROR(__xludf.DUMMYFUNCTION("""COMPUTED_VALUE"""),"The Unlikely Heiress")</f>
        <v>The Unlikely Heiress</v>
      </c>
      <c r="C54" s="6" t="str">
        <f>IFERROR(__xludf.DUMMYFUNCTION("""COMPUTED_VALUE"""),"Romance")</f>
        <v>Romance</v>
      </c>
      <c r="D54" s="5">
        <f>IFERROR(__xludf.DUMMYFUNCTION("""COMPUTED_VALUE"""),11634.0)</f>
        <v>11634</v>
      </c>
      <c r="E54" s="8">
        <f>IFERROR(__xludf.DUMMYFUNCTION("""COMPUTED_VALUE"""),0.940893056869999)</f>
        <v>0.9408930569</v>
      </c>
      <c r="F54" s="8">
        <f>IFERROR(__xludf.DUMMYFUNCTION("""COMPUTED_VALUE"""),0.470385378049831)</f>
        <v>0.470385378</v>
      </c>
      <c r="G54" s="8">
        <f>IFERROR(__xludf.DUMMYFUNCTION("""COMPUTED_VALUE"""),0.441153613677575)</f>
        <v>0.4411536137</v>
      </c>
      <c r="H54" s="8">
        <f>IFERROR(__xludf.DUMMYFUNCTION("""COMPUTED_VALUE"""),0.415161206673005)</f>
        <v>0.4151612067</v>
      </c>
      <c r="I54" s="8">
        <f>IFERROR(__xludf.DUMMYFUNCTION("""COMPUTED_VALUE"""),0.398615318044136)</f>
        <v>0.398615318</v>
      </c>
      <c r="J54" s="8">
        <f>IFERROR(__xludf.DUMMYFUNCTION("""COMPUTED_VALUE"""),0.38214904679376)</f>
        <v>0.3821490468</v>
      </c>
      <c r="K54" s="8">
        <f>IFERROR(__xludf.DUMMYFUNCTION("""COMPUTED_VALUE"""),0.364850798056904)</f>
        <v>0.3648507981</v>
      </c>
      <c r="L54" s="8">
        <f>IFERROR(__xludf.DUMMYFUNCTION("""COMPUTED_VALUE"""),0.350347826086956)</f>
        <v>0.3503478261</v>
      </c>
      <c r="M54" s="8">
        <f>IFERROR(__xludf.DUMMYFUNCTION("""COMPUTED_VALUE"""),0.340762667595333)</f>
        <v>0.3407626676</v>
      </c>
      <c r="N54" s="8">
        <f>IFERROR(__xludf.DUMMYFUNCTION("""COMPUTED_VALUE"""),0.337198151861215)</f>
        <v>0.3371981519</v>
      </c>
      <c r="O54" s="8">
        <f>IFERROR(__xludf.DUMMYFUNCTION("""COMPUTED_VALUE"""),0.300710962871938)</f>
        <v>0.3007109629</v>
      </c>
      <c r="P54" s="8">
        <f>IFERROR(__xludf.DUMMYFUNCTION("""COMPUTED_VALUE"""),0.243887313961729)</f>
        <v>0.243887314</v>
      </c>
      <c r="Q54" s="8">
        <f>IFERROR(__xludf.DUMMYFUNCTION("""COMPUTED_VALUE"""),0.167914932963476)</f>
        <v>0.167914933</v>
      </c>
      <c r="R54" s="8">
        <f>IFERROR(__xludf.DUMMYFUNCTION("""COMPUTED_VALUE"""),0.149255147547205)</f>
        <v>0.1492551475</v>
      </c>
      <c r="S54" s="8">
        <f>IFERROR(__xludf.DUMMYFUNCTION("""COMPUTED_VALUE"""),0.120248709526044)</f>
        <v>0.1202487095</v>
      </c>
      <c r="T54" s="8">
        <f>IFERROR(__xludf.DUMMYFUNCTION("""COMPUTED_VALUE"""),0.0827312138728323)</f>
        <v>0.08273121387</v>
      </c>
      <c r="U54" s="8">
        <f>IFERROR(__xludf.DUMMYFUNCTION("""COMPUTED_VALUE"""),0.0072992700729927)</f>
        <v>0.007299270073</v>
      </c>
      <c r="V54" s="8">
        <f>IFERROR(__xludf.DUMMYFUNCTION("""COMPUTED_VALUE"""),0.0)</f>
        <v>0</v>
      </c>
      <c r="W54" s="8">
        <f>IFERROR(__xludf.DUMMYFUNCTION("""COMPUTED_VALUE"""),0.0)</f>
        <v>0</v>
      </c>
      <c r="X54" s="8">
        <f>IFERROR(__xludf.DUMMYFUNCTION("""COMPUTED_VALUE"""),0.0)</f>
        <v>0</v>
      </c>
      <c r="Y54" s="8">
        <f>IFERROR(__xludf.DUMMYFUNCTION("""COMPUTED_VALUE"""),0.0)</f>
        <v>0</v>
      </c>
      <c r="Z54" s="8">
        <f>IFERROR(__xludf.DUMMYFUNCTION("""COMPUTED_VALUE"""),0.0)</f>
        <v>0</v>
      </c>
      <c r="AA54" s="8">
        <f>IFERROR(__xludf.DUMMYFUNCTION("""COMPUTED_VALUE"""),0.0)</f>
        <v>0</v>
      </c>
      <c r="AB54" s="8">
        <f>IFERROR(__xludf.DUMMYFUNCTION("""COMPUTED_VALUE"""),0.0)</f>
        <v>0</v>
      </c>
      <c r="AC54" s="8">
        <f>IFERROR(__xludf.DUMMYFUNCTION("""COMPUTED_VALUE"""),0.0)</f>
        <v>0</v>
      </c>
    </row>
    <row r="55" ht="15.75" customHeight="1">
      <c r="A55" s="6" t="str">
        <f>IFERROR(__xludf.DUMMYFUNCTION("""COMPUTED_VALUE"""),"2fb79ac2c90574002aaeec2f842f6693eb8ff7c2")</f>
        <v>2fb79ac2c90574002aaeec2f842f6693eb8ff7c2</v>
      </c>
      <c r="B55" s="6" t="str">
        <f>IFERROR(__xludf.DUMMYFUNCTION("""COMPUTED_VALUE"""),"Dear Boss")</f>
        <v>Dear Boss</v>
      </c>
      <c r="C55" s="6" t="str">
        <f>IFERROR(__xludf.DUMMYFUNCTION("""COMPUTED_VALUE"""),"Romance")</f>
        <v>Romance</v>
      </c>
      <c r="D55" s="5">
        <f>IFERROR(__xludf.DUMMYFUNCTION("""COMPUTED_VALUE"""),740.0)</f>
        <v>740</v>
      </c>
      <c r="E55" s="8">
        <f>IFERROR(__xludf.DUMMYFUNCTION("""COMPUTED_VALUE"""),0.972936400541272)</f>
        <v>0.9729364005</v>
      </c>
      <c r="F55" s="8">
        <f>IFERROR(__xludf.DUMMYFUNCTION("""COMPUTED_VALUE"""),0.540027137042062)</f>
        <v>0.540027137</v>
      </c>
      <c r="G55" s="8">
        <f>IFERROR(__xludf.DUMMYFUNCTION("""COMPUTED_VALUE"""),0.470827679782903)</f>
        <v>0.4708276798</v>
      </c>
      <c r="H55" s="8">
        <f>IFERROR(__xludf.DUMMYFUNCTION("""COMPUTED_VALUE"""),0.429931972789115)</f>
        <v>0.4299319728</v>
      </c>
      <c r="I55" s="8">
        <f>IFERROR(__xludf.DUMMYFUNCTION("""COMPUTED_VALUE"""),0.406802721088435)</f>
        <v>0.4068027211</v>
      </c>
      <c r="J55" s="8">
        <f>IFERROR(__xludf.DUMMYFUNCTION("""COMPUTED_VALUE"""),0.363762102351313)</f>
        <v>0.3637621024</v>
      </c>
      <c r="K55" s="8">
        <f>IFERROR(__xludf.DUMMYFUNCTION("""COMPUTED_VALUE"""),0.342736248236953)</f>
        <v>0.3427362482</v>
      </c>
      <c r="L55" s="8">
        <f>IFERROR(__xludf.DUMMYFUNCTION("""COMPUTED_VALUE"""),0.326589595375722)</f>
        <v>0.3265895954</v>
      </c>
      <c r="M55" s="8">
        <f>IFERROR(__xludf.DUMMYFUNCTION("""COMPUTED_VALUE"""),0.314194577352472)</f>
        <v>0.3141945774</v>
      </c>
      <c r="N55" s="8">
        <f>IFERROR(__xludf.DUMMYFUNCTION("""COMPUTED_VALUE"""),0.321626617375231)</f>
        <v>0.3216266174</v>
      </c>
      <c r="O55" s="8">
        <f>IFERROR(__xludf.DUMMYFUNCTION("""COMPUTED_VALUE"""),0.307317073170731)</f>
        <v>0.3073170732</v>
      </c>
      <c r="P55" s="8">
        <f>IFERROR(__xludf.DUMMYFUNCTION("""COMPUTED_VALUE"""),0.244897959183673)</f>
        <v>0.2448979592</v>
      </c>
      <c r="Q55" s="8">
        <f>IFERROR(__xludf.DUMMYFUNCTION("""COMPUTED_VALUE"""),0.0)</f>
        <v>0</v>
      </c>
      <c r="R55" s="8">
        <f>IFERROR(__xludf.DUMMYFUNCTION("""COMPUTED_VALUE"""),0.0)</f>
        <v>0</v>
      </c>
      <c r="S55" s="8">
        <f>IFERROR(__xludf.DUMMYFUNCTION("""COMPUTED_VALUE"""),0.0)</f>
        <v>0</v>
      </c>
      <c r="T55" s="8">
        <f>IFERROR(__xludf.DUMMYFUNCTION("""COMPUTED_VALUE"""),0.0)</f>
        <v>0</v>
      </c>
      <c r="U55" s="8">
        <f>IFERROR(__xludf.DUMMYFUNCTION("""COMPUTED_VALUE"""),0.0)</f>
        <v>0</v>
      </c>
      <c r="V55" s="8">
        <f>IFERROR(__xludf.DUMMYFUNCTION("""COMPUTED_VALUE"""),0.0)</f>
        <v>0</v>
      </c>
      <c r="W55" s="8">
        <f>IFERROR(__xludf.DUMMYFUNCTION("""COMPUTED_VALUE"""),0.0)</f>
        <v>0</v>
      </c>
      <c r="X55" s="8">
        <f>IFERROR(__xludf.DUMMYFUNCTION("""COMPUTED_VALUE"""),0.0)</f>
        <v>0</v>
      </c>
      <c r="Y55" s="8">
        <f>IFERROR(__xludf.DUMMYFUNCTION("""COMPUTED_VALUE"""),0.0)</f>
        <v>0</v>
      </c>
      <c r="Z55" s="8">
        <f>IFERROR(__xludf.DUMMYFUNCTION("""COMPUTED_VALUE"""),0.0)</f>
        <v>0</v>
      </c>
      <c r="AA55" s="8">
        <f>IFERROR(__xludf.DUMMYFUNCTION("""COMPUTED_VALUE"""),0.0)</f>
        <v>0</v>
      </c>
      <c r="AB55" s="8">
        <f>IFERROR(__xludf.DUMMYFUNCTION("""COMPUTED_VALUE"""),0.0)</f>
        <v>0</v>
      </c>
      <c r="AC55" s="8">
        <f>IFERROR(__xludf.DUMMYFUNCTION("""COMPUTED_VALUE"""),0.0)</f>
        <v>0</v>
      </c>
    </row>
    <row r="56" ht="15.75" customHeight="1">
      <c r="A56" s="6" t="str">
        <f>IFERROR(__xludf.DUMMYFUNCTION("""COMPUTED_VALUE"""),"31b86ee5ffeadf52fab3148c3add083a2f90b442")</f>
        <v>31b86ee5ffeadf52fab3148c3add083a2f90b442</v>
      </c>
      <c r="B56" s="6" t="str">
        <f>IFERROR(__xludf.DUMMYFUNCTION("""COMPUTED_VALUE"""),"Enchanted by Blood ")</f>
        <v>Enchanted by Blood </v>
      </c>
      <c r="C56" s="6" t="str">
        <f>IFERROR(__xludf.DUMMYFUNCTION("""COMPUTED_VALUE"""),"Romantasy")</f>
        <v>Romantasy</v>
      </c>
      <c r="D56" s="5">
        <f>IFERROR(__xludf.DUMMYFUNCTION("""COMPUTED_VALUE"""),182.0)</f>
        <v>182</v>
      </c>
      <c r="E56" s="8">
        <f>IFERROR(__xludf.DUMMYFUNCTION("""COMPUTED_VALUE"""),0.977011494252873)</f>
        <v>0.9770114943</v>
      </c>
      <c r="F56" s="8">
        <f>IFERROR(__xludf.DUMMYFUNCTION("""COMPUTED_VALUE"""),0.333333333333333)</f>
        <v>0.3333333333</v>
      </c>
      <c r="G56" s="8">
        <f>IFERROR(__xludf.DUMMYFUNCTION("""COMPUTED_VALUE"""),0.260355029585798)</f>
        <v>0.2603550296</v>
      </c>
      <c r="H56" s="8">
        <f>IFERROR(__xludf.DUMMYFUNCTION("""COMPUTED_VALUE"""),0.222222222222222)</f>
        <v>0.2222222222</v>
      </c>
      <c r="I56" s="8">
        <f>IFERROR(__xludf.DUMMYFUNCTION("""COMPUTED_VALUE"""),0.196202531645569)</f>
        <v>0.1962025316</v>
      </c>
      <c r="J56" s="8">
        <f>IFERROR(__xludf.DUMMYFUNCTION("""COMPUTED_VALUE"""),0.15032679738562)</f>
        <v>0.1503267974</v>
      </c>
      <c r="K56" s="8">
        <f>IFERROR(__xludf.DUMMYFUNCTION("""COMPUTED_VALUE"""),0.134228187919463)</f>
        <v>0.1342281879</v>
      </c>
      <c r="L56" s="8">
        <f>IFERROR(__xludf.DUMMYFUNCTION("""COMPUTED_VALUE"""),0.131386861313868)</f>
        <v>0.1313868613</v>
      </c>
      <c r="M56" s="8">
        <f>IFERROR(__xludf.DUMMYFUNCTION("""COMPUTED_VALUE"""),0.128)</f>
        <v>0.128</v>
      </c>
      <c r="N56" s="8">
        <f>IFERROR(__xludf.DUMMYFUNCTION("""COMPUTED_VALUE"""),0.113043478260869)</f>
        <v>0.1130434783</v>
      </c>
      <c r="O56" s="8">
        <f>IFERROR(__xludf.DUMMYFUNCTION("""COMPUTED_VALUE"""),0.123076923076923)</f>
        <v>0.1230769231</v>
      </c>
      <c r="P56" s="8">
        <f>IFERROR(__xludf.DUMMYFUNCTION("""COMPUTED_VALUE"""),0.123076923076923)</f>
        <v>0.1230769231</v>
      </c>
      <c r="Q56" s="8">
        <f>IFERROR(__xludf.DUMMYFUNCTION("""COMPUTED_VALUE"""),0.101694915254237)</f>
        <v>0.1016949153</v>
      </c>
      <c r="R56" s="8">
        <f>IFERROR(__xludf.DUMMYFUNCTION("""COMPUTED_VALUE"""),0.0)</f>
        <v>0</v>
      </c>
      <c r="S56" s="8">
        <f>IFERROR(__xludf.DUMMYFUNCTION("""COMPUTED_VALUE"""),0.0)</f>
        <v>0</v>
      </c>
      <c r="T56" s="8">
        <f>IFERROR(__xludf.DUMMYFUNCTION("""COMPUTED_VALUE"""),0.0)</f>
        <v>0</v>
      </c>
      <c r="U56" s="8">
        <f>IFERROR(__xludf.DUMMYFUNCTION("""COMPUTED_VALUE"""),0.0)</f>
        <v>0</v>
      </c>
      <c r="V56" s="8">
        <f>IFERROR(__xludf.DUMMYFUNCTION("""COMPUTED_VALUE"""),0.0)</f>
        <v>0</v>
      </c>
      <c r="W56" s="8">
        <f>IFERROR(__xludf.DUMMYFUNCTION("""COMPUTED_VALUE"""),0.0)</f>
        <v>0</v>
      </c>
      <c r="X56" s="8">
        <f>IFERROR(__xludf.DUMMYFUNCTION("""COMPUTED_VALUE"""),0.0)</f>
        <v>0</v>
      </c>
      <c r="Y56" s="8">
        <f>IFERROR(__xludf.DUMMYFUNCTION("""COMPUTED_VALUE"""),0.0)</f>
        <v>0</v>
      </c>
      <c r="Z56" s="8">
        <f>IFERROR(__xludf.DUMMYFUNCTION("""COMPUTED_VALUE"""),0.0)</f>
        <v>0</v>
      </c>
      <c r="AA56" s="8">
        <f>IFERROR(__xludf.DUMMYFUNCTION("""COMPUTED_VALUE"""),0.0)</f>
        <v>0</v>
      </c>
      <c r="AB56" s="8">
        <f>IFERROR(__xludf.DUMMYFUNCTION("""COMPUTED_VALUE"""),0.0)</f>
        <v>0</v>
      </c>
      <c r="AC56" s="8">
        <f>IFERROR(__xludf.DUMMYFUNCTION("""COMPUTED_VALUE"""),0.0)</f>
        <v>0</v>
      </c>
    </row>
    <row r="57" ht="15.75" customHeight="1">
      <c r="A57" s="6" t="str">
        <f>IFERROR(__xludf.DUMMYFUNCTION("""COMPUTED_VALUE"""),"31e58f7ec421b1daaed1f4ac654ecd9eb855bc93")</f>
        <v>31e58f7ec421b1daaed1f4ac654ecd9eb855bc93</v>
      </c>
      <c r="B57" s="6" t="str">
        <f>IFERROR(__xludf.DUMMYFUNCTION("""COMPUTED_VALUE"""),"The Forsaken Path")</f>
        <v>The Forsaken Path</v>
      </c>
      <c r="C57" s="6" t="str">
        <f>IFERROR(__xludf.DUMMYFUNCTION("""COMPUTED_VALUE"""),"Fantasy")</f>
        <v>Fantasy</v>
      </c>
      <c r="D57" s="5">
        <f>IFERROR(__xludf.DUMMYFUNCTION("""COMPUTED_VALUE"""),1176.0)</f>
        <v>1176</v>
      </c>
      <c r="E57" s="8">
        <f>IFERROR(__xludf.DUMMYFUNCTION("""COMPUTED_VALUE"""),0.982964224872231)</f>
        <v>0.9829642249</v>
      </c>
      <c r="F57" s="8">
        <f>IFERROR(__xludf.DUMMYFUNCTION("""COMPUTED_VALUE"""),0.514505119453925)</f>
        <v>0.5145051195</v>
      </c>
      <c r="G57" s="8">
        <f>IFERROR(__xludf.DUMMYFUNCTION("""COMPUTED_VALUE"""),0.456874466268146)</f>
        <v>0.4568744663</v>
      </c>
      <c r="H57" s="8">
        <f>IFERROR(__xludf.DUMMYFUNCTION("""COMPUTED_VALUE"""),0.391416309012875)</f>
        <v>0.391416309</v>
      </c>
      <c r="I57" s="8">
        <f>IFERROR(__xludf.DUMMYFUNCTION("""COMPUTED_VALUE"""),0.367558239861949)</f>
        <v>0.3675582399</v>
      </c>
      <c r="J57" s="8">
        <f>IFERROR(__xludf.DUMMYFUNCTION("""COMPUTED_VALUE"""),0.352787456445993)</f>
        <v>0.3527874564</v>
      </c>
      <c r="K57" s="8">
        <f>IFERROR(__xludf.DUMMYFUNCTION("""COMPUTED_VALUE"""),0.336291038154392)</f>
        <v>0.3362910382</v>
      </c>
      <c r="L57" s="8">
        <f>IFERROR(__xludf.DUMMYFUNCTION("""COMPUTED_VALUE"""),0.327699530516431)</f>
        <v>0.3276995305</v>
      </c>
      <c r="M57" s="8">
        <f>IFERROR(__xludf.DUMMYFUNCTION("""COMPUTED_VALUE"""),0.314121037463976)</f>
        <v>0.3141210375</v>
      </c>
      <c r="N57" s="8">
        <f>IFERROR(__xludf.DUMMYFUNCTION("""COMPUTED_VALUE"""),0.291313559322033)</f>
        <v>0.2913135593</v>
      </c>
      <c r="O57" s="8">
        <f>IFERROR(__xludf.DUMMYFUNCTION("""COMPUTED_VALUE"""),0.210896309314587)</f>
        <v>0.2108963093</v>
      </c>
      <c r="P57" s="8">
        <f>IFERROR(__xludf.DUMMYFUNCTION("""COMPUTED_VALUE"""),0.146198830409356)</f>
        <v>0.1461988304</v>
      </c>
      <c r="Q57" s="8">
        <f>IFERROR(__xludf.DUMMYFUNCTION("""COMPUTED_VALUE"""),0.0909090909090909)</f>
        <v>0.09090909091</v>
      </c>
      <c r="R57" s="8">
        <f>IFERROR(__xludf.DUMMYFUNCTION("""COMPUTED_VALUE"""),0.5)</f>
        <v>0.5</v>
      </c>
      <c r="S57" s="8">
        <f>IFERROR(__xludf.DUMMYFUNCTION("""COMPUTED_VALUE"""),0.0)</f>
        <v>0</v>
      </c>
      <c r="T57" s="8">
        <f>IFERROR(__xludf.DUMMYFUNCTION("""COMPUTED_VALUE"""),0.0)</f>
        <v>0</v>
      </c>
      <c r="U57" s="8">
        <f>IFERROR(__xludf.DUMMYFUNCTION("""COMPUTED_VALUE"""),0.0)</f>
        <v>0</v>
      </c>
      <c r="V57" s="8">
        <f>IFERROR(__xludf.DUMMYFUNCTION("""COMPUTED_VALUE"""),0.0)</f>
        <v>0</v>
      </c>
      <c r="W57" s="8">
        <f>IFERROR(__xludf.DUMMYFUNCTION("""COMPUTED_VALUE"""),0.0)</f>
        <v>0</v>
      </c>
      <c r="X57" s="8">
        <f>IFERROR(__xludf.DUMMYFUNCTION("""COMPUTED_VALUE"""),0.0)</f>
        <v>0</v>
      </c>
      <c r="Y57" s="8">
        <f>IFERROR(__xludf.DUMMYFUNCTION("""COMPUTED_VALUE"""),0.0)</f>
        <v>0</v>
      </c>
      <c r="Z57" s="8">
        <f>IFERROR(__xludf.DUMMYFUNCTION("""COMPUTED_VALUE"""),0.0)</f>
        <v>0</v>
      </c>
      <c r="AA57" s="8">
        <f>IFERROR(__xludf.DUMMYFUNCTION("""COMPUTED_VALUE"""),0.0)</f>
        <v>0</v>
      </c>
      <c r="AB57" s="8">
        <f>IFERROR(__xludf.DUMMYFUNCTION("""COMPUTED_VALUE"""),0.0)</f>
        <v>0</v>
      </c>
      <c r="AC57" s="8">
        <f>IFERROR(__xludf.DUMMYFUNCTION("""COMPUTED_VALUE"""),0.0)</f>
        <v>0</v>
      </c>
    </row>
    <row r="58" ht="15.75" customHeight="1">
      <c r="A58" s="6" t="str">
        <f>IFERROR(__xludf.DUMMYFUNCTION("""COMPUTED_VALUE"""),"328a6c95d732271bc4717aa2abf3a7c15f89a25e")</f>
        <v>328a6c95d732271bc4717aa2abf3a7c15f89a25e</v>
      </c>
      <c r="B58" s="6" t="str">
        <f>IFERROR(__xludf.DUMMYFUNCTION("""COMPUTED_VALUE"""),"Braving the Rapid Waters")</f>
        <v>Braving the Rapid Waters</v>
      </c>
      <c r="C58" s="6" t="str">
        <f>IFERROR(__xludf.DUMMYFUNCTION("""COMPUTED_VALUE"""),"Romance")</f>
        <v>Romance</v>
      </c>
      <c r="D58" s="5">
        <f>IFERROR(__xludf.DUMMYFUNCTION("""COMPUTED_VALUE"""),745.0)</f>
        <v>745</v>
      </c>
      <c r="E58" s="8">
        <f>IFERROR(__xludf.DUMMYFUNCTION("""COMPUTED_VALUE"""),0.970469798657718)</f>
        <v>0.9704697987</v>
      </c>
      <c r="F58" s="8">
        <f>IFERROR(__xludf.DUMMYFUNCTION("""COMPUTED_VALUE"""),0.519463087248322)</f>
        <v>0.5194630872</v>
      </c>
      <c r="G58" s="8">
        <f>IFERROR(__xludf.DUMMYFUNCTION("""COMPUTED_VALUE"""),0.442953020134228)</f>
        <v>0.4429530201</v>
      </c>
      <c r="H58" s="8">
        <f>IFERROR(__xludf.DUMMYFUNCTION("""COMPUTED_VALUE"""),0.41744966442953)</f>
        <v>0.4174496644</v>
      </c>
      <c r="I58" s="8">
        <f>IFERROR(__xludf.DUMMYFUNCTION("""COMPUTED_VALUE"""),0.389261744966442)</f>
        <v>0.389261745</v>
      </c>
      <c r="J58" s="8">
        <f>IFERROR(__xludf.DUMMYFUNCTION("""COMPUTED_VALUE"""),0.382550335570469)</f>
        <v>0.3825503356</v>
      </c>
      <c r="K58" s="8">
        <f>IFERROR(__xludf.DUMMYFUNCTION("""COMPUTED_VALUE"""),0.356182795698924)</f>
        <v>0.3561827957</v>
      </c>
      <c r="L58" s="8">
        <f>IFERROR(__xludf.DUMMYFUNCTION("""COMPUTED_VALUE"""),0.336473755047106)</f>
        <v>0.336473755</v>
      </c>
      <c r="M58" s="8">
        <f>IFERROR(__xludf.DUMMYFUNCTION("""COMPUTED_VALUE"""),0.325706594885598)</f>
        <v>0.3257065949</v>
      </c>
      <c r="N58" s="8">
        <f>IFERROR(__xludf.DUMMYFUNCTION("""COMPUTED_VALUE"""),0.308209959623149)</f>
        <v>0.3082099596</v>
      </c>
      <c r="O58" s="8">
        <f>IFERROR(__xludf.DUMMYFUNCTION("""COMPUTED_VALUE"""),0.230662983425414)</f>
        <v>0.2306629834</v>
      </c>
      <c r="P58" s="8">
        <f>IFERROR(__xludf.DUMMYFUNCTION("""COMPUTED_VALUE"""),0.12863070539419)</f>
        <v>0.1286307054</v>
      </c>
      <c r="Q58" s="8">
        <f>IFERROR(__xludf.DUMMYFUNCTION("""COMPUTED_VALUE"""),0.075046904315197)</f>
        <v>0.07504690432</v>
      </c>
      <c r="R58" s="8">
        <f>IFERROR(__xludf.DUMMYFUNCTION("""COMPUTED_VALUE"""),0.0316205533596837)</f>
        <v>0.03162055336</v>
      </c>
      <c r="S58" s="8">
        <f>IFERROR(__xludf.DUMMYFUNCTION("""COMPUTED_VALUE"""),0.0)</f>
        <v>0</v>
      </c>
      <c r="T58" s="8">
        <f>IFERROR(__xludf.DUMMYFUNCTION("""COMPUTED_VALUE"""),0.0)</f>
        <v>0</v>
      </c>
      <c r="U58" s="8">
        <f>IFERROR(__xludf.DUMMYFUNCTION("""COMPUTED_VALUE"""),0.0)</f>
        <v>0</v>
      </c>
      <c r="V58" s="8">
        <f>IFERROR(__xludf.DUMMYFUNCTION("""COMPUTED_VALUE"""),0.0)</f>
        <v>0</v>
      </c>
      <c r="W58" s="8">
        <f>IFERROR(__xludf.DUMMYFUNCTION("""COMPUTED_VALUE"""),0.0)</f>
        <v>0</v>
      </c>
      <c r="X58" s="8">
        <f>IFERROR(__xludf.DUMMYFUNCTION("""COMPUTED_VALUE"""),0.0)</f>
        <v>0</v>
      </c>
      <c r="Y58" s="8">
        <f>IFERROR(__xludf.DUMMYFUNCTION("""COMPUTED_VALUE"""),0.0)</f>
        <v>0</v>
      </c>
      <c r="Z58" s="8">
        <f>IFERROR(__xludf.DUMMYFUNCTION("""COMPUTED_VALUE"""),0.0)</f>
        <v>0</v>
      </c>
      <c r="AA58" s="8">
        <f>IFERROR(__xludf.DUMMYFUNCTION("""COMPUTED_VALUE"""),0.0)</f>
        <v>0</v>
      </c>
      <c r="AB58" s="8">
        <f>IFERROR(__xludf.DUMMYFUNCTION("""COMPUTED_VALUE"""),0.0)</f>
        <v>0</v>
      </c>
      <c r="AC58" s="8">
        <f>IFERROR(__xludf.DUMMYFUNCTION("""COMPUTED_VALUE"""),0.0)</f>
        <v>0</v>
      </c>
    </row>
    <row r="59" ht="15.75" customHeight="1">
      <c r="A59" s="6" t="str">
        <f>IFERROR(__xludf.DUMMYFUNCTION("""COMPUTED_VALUE"""),"328d4b017d5db890a886902acdade960088fb3d8")</f>
        <v>328d4b017d5db890a886902acdade960088fb3d8</v>
      </c>
      <c r="B59" s="6" t="str">
        <f>IFERROR(__xludf.DUMMYFUNCTION("""COMPUTED_VALUE"""),"Her Worthless Son-in-Law")</f>
        <v>Her Worthless Son-in-Law</v>
      </c>
      <c r="C59" s="6" t="str">
        <f>IFERROR(__xludf.DUMMYFUNCTION("""COMPUTED_VALUE"""),"System and Superpower")</f>
        <v>System and Superpower</v>
      </c>
      <c r="D59" s="5">
        <f>IFERROR(__xludf.DUMMYFUNCTION("""COMPUTED_VALUE"""),423.0)</f>
        <v>423</v>
      </c>
      <c r="E59" s="8">
        <f>IFERROR(__xludf.DUMMYFUNCTION("""COMPUTED_VALUE"""),0.938388625592417)</f>
        <v>0.9383886256</v>
      </c>
      <c r="F59" s="8">
        <f>IFERROR(__xludf.DUMMYFUNCTION("""COMPUTED_VALUE"""),0.726618705035971)</f>
        <v>0.726618705</v>
      </c>
      <c r="G59" s="8">
        <f>IFERROR(__xludf.DUMMYFUNCTION("""COMPUTED_VALUE"""),0.672289156626506)</f>
        <v>0.6722891566</v>
      </c>
      <c r="H59" s="8">
        <f>IFERROR(__xludf.DUMMYFUNCTION("""COMPUTED_VALUE"""),0.646766169154228)</f>
        <v>0.6467661692</v>
      </c>
      <c r="I59" s="8">
        <f>IFERROR(__xludf.DUMMYFUNCTION("""COMPUTED_VALUE"""),0.615577889447236)</f>
        <v>0.6155778894</v>
      </c>
      <c r="J59" s="8">
        <f>IFERROR(__xludf.DUMMYFUNCTION("""COMPUTED_VALUE"""),0.576142131979695)</f>
        <v>0.576142132</v>
      </c>
      <c r="K59" s="8">
        <f>IFERROR(__xludf.DUMMYFUNCTION("""COMPUTED_VALUE"""),0.567774936061381)</f>
        <v>0.5677749361</v>
      </c>
      <c r="L59" s="8">
        <f>IFERROR(__xludf.DUMMYFUNCTION("""COMPUTED_VALUE"""),0.542416452442159)</f>
        <v>0.5424164524</v>
      </c>
      <c r="M59" s="8">
        <f>IFERROR(__xludf.DUMMYFUNCTION("""COMPUTED_VALUE"""),0.533505154639175)</f>
        <v>0.5335051546</v>
      </c>
      <c r="N59" s="8">
        <f>IFERROR(__xludf.DUMMYFUNCTION("""COMPUTED_VALUE"""),0.511688311688311)</f>
        <v>0.5116883117</v>
      </c>
      <c r="O59" s="8">
        <f>IFERROR(__xludf.DUMMYFUNCTION("""COMPUTED_VALUE"""),0.411444141689373)</f>
        <v>0.4114441417</v>
      </c>
      <c r="P59" s="8">
        <f>IFERROR(__xludf.DUMMYFUNCTION("""COMPUTED_VALUE"""),0.308196721311475)</f>
        <v>0.3081967213</v>
      </c>
      <c r="Q59" s="8">
        <f>IFERROR(__xludf.DUMMYFUNCTION("""COMPUTED_VALUE"""),0.1875)</f>
        <v>0.1875</v>
      </c>
      <c r="R59" s="8">
        <f>IFERROR(__xludf.DUMMYFUNCTION("""COMPUTED_VALUE"""),0.0909090909090909)</f>
        <v>0.09090909091</v>
      </c>
      <c r="S59" s="8">
        <f>IFERROR(__xludf.DUMMYFUNCTION("""COMPUTED_VALUE"""),0.0)</f>
        <v>0</v>
      </c>
      <c r="T59" s="8">
        <f>IFERROR(__xludf.DUMMYFUNCTION("""COMPUTED_VALUE"""),0.0)</f>
        <v>0</v>
      </c>
      <c r="U59" s="8">
        <f>IFERROR(__xludf.DUMMYFUNCTION("""COMPUTED_VALUE"""),0.0)</f>
        <v>0</v>
      </c>
      <c r="V59" s="8">
        <f>IFERROR(__xludf.DUMMYFUNCTION("""COMPUTED_VALUE"""),0.0)</f>
        <v>0</v>
      </c>
      <c r="W59" s="8">
        <f>IFERROR(__xludf.DUMMYFUNCTION("""COMPUTED_VALUE"""),0.0)</f>
        <v>0</v>
      </c>
      <c r="X59" s="8">
        <f>IFERROR(__xludf.DUMMYFUNCTION("""COMPUTED_VALUE"""),0.0)</f>
        <v>0</v>
      </c>
      <c r="Y59" s="8">
        <f>IFERROR(__xludf.DUMMYFUNCTION("""COMPUTED_VALUE"""),0.0)</f>
        <v>0</v>
      </c>
      <c r="Z59" s="8">
        <f>IFERROR(__xludf.DUMMYFUNCTION("""COMPUTED_VALUE"""),0.0)</f>
        <v>0</v>
      </c>
      <c r="AA59" s="8">
        <f>IFERROR(__xludf.DUMMYFUNCTION("""COMPUTED_VALUE"""),0.0)</f>
        <v>0</v>
      </c>
      <c r="AB59" s="8">
        <f>IFERROR(__xludf.DUMMYFUNCTION("""COMPUTED_VALUE"""),0.0)</f>
        <v>0</v>
      </c>
      <c r="AC59" s="8">
        <f>IFERROR(__xludf.DUMMYFUNCTION("""COMPUTED_VALUE"""),0.0)</f>
        <v>0</v>
      </c>
    </row>
    <row r="60" ht="15.75" customHeight="1">
      <c r="A60" s="6" t="str">
        <f>IFERROR(__xludf.DUMMYFUNCTION("""COMPUTED_VALUE"""),"33e8ab0db9ae32917785af78276932f16eac10c0")</f>
        <v>33e8ab0db9ae32917785af78276932f16eac10c0</v>
      </c>
      <c r="B60" s="6" t="str">
        <f>IFERROR(__xludf.DUMMYFUNCTION("""COMPUTED_VALUE"""),"The Crowns Selection")</f>
        <v>The Crowns Selection</v>
      </c>
      <c r="C60" s="6" t="str">
        <f>IFERROR(__xludf.DUMMYFUNCTION("""COMPUTED_VALUE"""),"Romance")</f>
        <v>Romance</v>
      </c>
      <c r="D60" s="5">
        <f>IFERROR(__xludf.DUMMYFUNCTION("""COMPUTED_VALUE"""),1545.0)</f>
        <v>1545</v>
      </c>
      <c r="E60" s="8">
        <f>IFERROR(__xludf.DUMMYFUNCTION("""COMPUTED_VALUE"""),0.976036269430051)</f>
        <v>0.9760362694</v>
      </c>
      <c r="F60" s="8">
        <f>IFERROR(__xludf.DUMMYFUNCTION("""COMPUTED_VALUE"""),0.523157208088714)</f>
        <v>0.5231572081</v>
      </c>
      <c r="G60" s="8">
        <f>IFERROR(__xludf.DUMMYFUNCTION("""COMPUTED_VALUE"""),0.465179175118323)</f>
        <v>0.4651791751</v>
      </c>
      <c r="H60" s="8">
        <f>IFERROR(__xludf.DUMMYFUNCTION("""COMPUTED_VALUE"""),0.433571428571428)</f>
        <v>0.4335714286</v>
      </c>
      <c r="I60" s="8">
        <f>IFERROR(__xludf.DUMMYFUNCTION("""COMPUTED_VALUE"""),0.344877344877344)</f>
        <v>0.3448773449</v>
      </c>
      <c r="J60" s="8">
        <f>IFERROR(__xludf.DUMMYFUNCTION("""COMPUTED_VALUE"""),0.327420546932742)</f>
        <v>0.3274205469</v>
      </c>
      <c r="K60" s="8">
        <f>IFERROR(__xludf.DUMMYFUNCTION("""COMPUTED_VALUE"""),0.298841698841698)</f>
        <v>0.2988416988</v>
      </c>
      <c r="L60" s="8">
        <f>IFERROR(__xludf.DUMMYFUNCTION("""COMPUTED_VALUE"""),0.280998389694041)</f>
        <v>0.2809983897</v>
      </c>
      <c r="M60" s="8">
        <f>IFERROR(__xludf.DUMMYFUNCTION("""COMPUTED_VALUE"""),0.264309764309764)</f>
        <v>0.2643097643</v>
      </c>
      <c r="N60" s="8">
        <f>IFERROR(__xludf.DUMMYFUNCTION("""COMPUTED_VALUE"""),0.253430924062214)</f>
        <v>0.2534309241</v>
      </c>
      <c r="O60" s="8">
        <f>IFERROR(__xludf.DUMMYFUNCTION("""COMPUTED_VALUE"""),0.215590742996345)</f>
        <v>0.215590743</v>
      </c>
      <c r="P60" s="8">
        <f>IFERROR(__xludf.DUMMYFUNCTION("""COMPUTED_VALUE"""),0.203208556149732)</f>
        <v>0.2032085561</v>
      </c>
      <c r="Q60" s="8">
        <f>IFERROR(__xludf.DUMMYFUNCTION("""COMPUTED_VALUE"""),0.714285714285714)</f>
        <v>0.7142857143</v>
      </c>
      <c r="R60" s="8">
        <f>IFERROR(__xludf.DUMMYFUNCTION("""COMPUTED_VALUE"""),0.0)</f>
        <v>0</v>
      </c>
      <c r="S60" s="8">
        <f>IFERROR(__xludf.DUMMYFUNCTION("""COMPUTED_VALUE"""),0.0)</f>
        <v>0</v>
      </c>
      <c r="T60" s="8">
        <f>IFERROR(__xludf.DUMMYFUNCTION("""COMPUTED_VALUE"""),0.0)</f>
        <v>0</v>
      </c>
      <c r="U60" s="8">
        <f>IFERROR(__xludf.DUMMYFUNCTION("""COMPUTED_VALUE"""),0.0)</f>
        <v>0</v>
      </c>
      <c r="V60" s="8">
        <f>IFERROR(__xludf.DUMMYFUNCTION("""COMPUTED_VALUE"""),0.0)</f>
        <v>0</v>
      </c>
      <c r="W60" s="8">
        <f>IFERROR(__xludf.DUMMYFUNCTION("""COMPUTED_VALUE"""),0.0)</f>
        <v>0</v>
      </c>
      <c r="X60" s="8">
        <f>IFERROR(__xludf.DUMMYFUNCTION("""COMPUTED_VALUE"""),0.0)</f>
        <v>0</v>
      </c>
      <c r="Y60" s="8">
        <f>IFERROR(__xludf.DUMMYFUNCTION("""COMPUTED_VALUE"""),0.0)</f>
        <v>0</v>
      </c>
      <c r="Z60" s="8">
        <f>IFERROR(__xludf.DUMMYFUNCTION("""COMPUTED_VALUE"""),0.0)</f>
        <v>0</v>
      </c>
      <c r="AA60" s="8">
        <f>IFERROR(__xludf.DUMMYFUNCTION("""COMPUTED_VALUE"""),0.0)</f>
        <v>0</v>
      </c>
      <c r="AB60" s="8">
        <f>IFERROR(__xludf.DUMMYFUNCTION("""COMPUTED_VALUE"""),0.0)</f>
        <v>0</v>
      </c>
      <c r="AC60" s="8">
        <f>IFERROR(__xludf.DUMMYFUNCTION("""COMPUTED_VALUE"""),0.0)</f>
        <v>0</v>
      </c>
    </row>
    <row r="61" ht="15.75" customHeight="1">
      <c r="A61" s="6" t="str">
        <f>IFERROR(__xludf.DUMMYFUNCTION("""COMPUTED_VALUE"""),"344fcbb2ea419c5e240def842cb2949db59acee4")</f>
        <v>344fcbb2ea419c5e240def842cb2949db59acee4</v>
      </c>
      <c r="B61" s="6" t="str">
        <f>IFERROR(__xludf.DUMMYFUNCTION("""COMPUTED_VALUE"""),"Gate of Immortality")</f>
        <v>Gate of Immortality</v>
      </c>
      <c r="C61" s="6" t="str">
        <f>IFERROR(__xludf.DUMMYFUNCTION("""COMPUTED_VALUE"""),"Drama")</f>
        <v>Drama</v>
      </c>
      <c r="D61" s="5">
        <f>IFERROR(__xludf.DUMMYFUNCTION("""COMPUTED_VALUE"""),600.0)</f>
        <v>600</v>
      </c>
      <c r="E61" s="8">
        <f>IFERROR(__xludf.DUMMYFUNCTION("""COMPUTED_VALUE"""),0.985865724381625)</f>
        <v>0.9858657244</v>
      </c>
      <c r="F61" s="8">
        <f>IFERROR(__xludf.DUMMYFUNCTION("""COMPUTED_VALUE"""),0.588910133843212)</f>
        <v>0.5889101338</v>
      </c>
      <c r="G61" s="8">
        <f>IFERROR(__xludf.DUMMYFUNCTION("""COMPUTED_VALUE"""),0.532908704883227)</f>
        <v>0.5329087049</v>
      </c>
      <c r="H61" s="8">
        <f>IFERROR(__xludf.DUMMYFUNCTION("""COMPUTED_VALUE"""),0.485148514851485)</f>
        <v>0.4851485149</v>
      </c>
      <c r="I61" s="8">
        <f>IFERROR(__xludf.DUMMYFUNCTION("""COMPUTED_VALUE"""),0.448275862068965)</f>
        <v>0.4482758621</v>
      </c>
      <c r="J61" s="8">
        <f>IFERROR(__xludf.DUMMYFUNCTION("""COMPUTED_VALUE"""),0.407185628742514)</f>
        <v>0.4071856287</v>
      </c>
      <c r="K61" s="8">
        <f>IFERROR(__xludf.DUMMYFUNCTION("""COMPUTED_VALUE"""),0.349834983498349)</f>
        <v>0.3498349835</v>
      </c>
      <c r="L61" s="8">
        <f>IFERROR(__xludf.DUMMYFUNCTION("""COMPUTED_VALUE"""),0.319548872180451)</f>
        <v>0.3195488722</v>
      </c>
      <c r="M61" s="8">
        <f>IFERROR(__xludf.DUMMYFUNCTION("""COMPUTED_VALUE"""),0.291666666666666)</f>
        <v>0.2916666667</v>
      </c>
      <c r="N61" s="8">
        <f>IFERROR(__xludf.DUMMYFUNCTION("""COMPUTED_VALUE"""),0.28310502283105)</f>
        <v>0.2831050228</v>
      </c>
      <c r="O61" s="8">
        <f>IFERROR(__xludf.DUMMYFUNCTION("""COMPUTED_VALUE"""),0.19298245614035)</f>
        <v>0.1929824561</v>
      </c>
      <c r="P61" s="8">
        <f>IFERROR(__xludf.DUMMYFUNCTION("""COMPUTED_VALUE"""),0.181818181818181)</f>
        <v>0.1818181818</v>
      </c>
      <c r="Q61" s="8">
        <f>IFERROR(__xludf.DUMMYFUNCTION("""COMPUTED_VALUE"""),0.0909090909090909)</f>
        <v>0.09090909091</v>
      </c>
      <c r="R61" s="8">
        <f>IFERROR(__xludf.DUMMYFUNCTION("""COMPUTED_VALUE"""),0.0)</f>
        <v>0</v>
      </c>
      <c r="S61" s="8">
        <f>IFERROR(__xludf.DUMMYFUNCTION("""COMPUTED_VALUE"""),0.0)</f>
        <v>0</v>
      </c>
      <c r="T61" s="8">
        <f>IFERROR(__xludf.DUMMYFUNCTION("""COMPUTED_VALUE"""),0.0)</f>
        <v>0</v>
      </c>
      <c r="U61" s="8">
        <f>IFERROR(__xludf.DUMMYFUNCTION("""COMPUTED_VALUE"""),0.0)</f>
        <v>0</v>
      </c>
      <c r="V61" s="8">
        <f>IFERROR(__xludf.DUMMYFUNCTION("""COMPUTED_VALUE"""),0.0)</f>
        <v>0</v>
      </c>
      <c r="W61" s="8">
        <f>IFERROR(__xludf.DUMMYFUNCTION("""COMPUTED_VALUE"""),0.0)</f>
        <v>0</v>
      </c>
      <c r="X61" s="8">
        <f>IFERROR(__xludf.DUMMYFUNCTION("""COMPUTED_VALUE"""),0.0)</f>
        <v>0</v>
      </c>
      <c r="Y61" s="8">
        <f>IFERROR(__xludf.DUMMYFUNCTION("""COMPUTED_VALUE"""),0.0)</f>
        <v>0</v>
      </c>
      <c r="Z61" s="8">
        <f>IFERROR(__xludf.DUMMYFUNCTION("""COMPUTED_VALUE"""),0.0)</f>
        <v>0</v>
      </c>
      <c r="AA61" s="8">
        <f>IFERROR(__xludf.DUMMYFUNCTION("""COMPUTED_VALUE"""),0.0)</f>
        <v>0</v>
      </c>
      <c r="AB61" s="8">
        <f>IFERROR(__xludf.DUMMYFUNCTION("""COMPUTED_VALUE"""),0.0)</f>
        <v>0</v>
      </c>
      <c r="AC61" s="8">
        <f>IFERROR(__xludf.DUMMYFUNCTION("""COMPUTED_VALUE"""),0.0)</f>
        <v>0</v>
      </c>
    </row>
    <row r="62" ht="15.75" customHeight="1">
      <c r="A62" s="6" t="str">
        <f>IFERROR(__xludf.DUMMYFUNCTION("""COMPUTED_VALUE"""),"34997bc4167305107b251e0bf8431553064ef3a5")</f>
        <v>34997bc4167305107b251e0bf8431553064ef3a5</v>
      </c>
      <c r="B62" s="6" t="str">
        <f>IFERROR(__xludf.DUMMYFUNCTION("""COMPUTED_VALUE"""),"The Ghost Heiress")</f>
        <v>The Ghost Heiress</v>
      </c>
      <c r="C62" s="6" t="str">
        <f>IFERROR(__xludf.DUMMYFUNCTION("""COMPUTED_VALUE"""),"Romance")</f>
        <v>Romance</v>
      </c>
      <c r="D62" s="5">
        <f>IFERROR(__xludf.DUMMYFUNCTION("""COMPUTED_VALUE"""),652.0)</f>
        <v>652</v>
      </c>
      <c r="E62" s="8">
        <f>IFERROR(__xludf.DUMMYFUNCTION("""COMPUTED_VALUE"""),0.95886075949367)</f>
        <v>0.9588607595</v>
      </c>
      <c r="F62" s="8">
        <f>IFERROR(__xludf.DUMMYFUNCTION("""COMPUTED_VALUE"""),0.564013840830449)</f>
        <v>0.5640138408</v>
      </c>
      <c r="G62" s="8">
        <f>IFERROR(__xludf.DUMMYFUNCTION("""COMPUTED_VALUE"""),0.500897666068222)</f>
        <v>0.5008976661</v>
      </c>
      <c r="H62" s="8">
        <f>IFERROR(__xludf.DUMMYFUNCTION("""COMPUTED_VALUE"""),0.448343079922027)</f>
        <v>0.4483430799</v>
      </c>
      <c r="I62" s="8">
        <f>IFERROR(__xludf.DUMMYFUNCTION("""COMPUTED_VALUE"""),0.41260162601626)</f>
        <v>0.412601626</v>
      </c>
      <c r="J62" s="8">
        <f>IFERROR(__xludf.DUMMYFUNCTION("""COMPUTED_VALUE"""),0.365384615384615)</f>
        <v>0.3653846154</v>
      </c>
      <c r="K62" s="8">
        <f>IFERROR(__xludf.DUMMYFUNCTION("""COMPUTED_VALUE"""),0.278396436525612)</f>
        <v>0.2783964365</v>
      </c>
      <c r="L62" s="8">
        <f>IFERROR(__xludf.DUMMYFUNCTION("""COMPUTED_VALUE"""),0.297709923664122)</f>
        <v>0.2977099237</v>
      </c>
      <c r="M62" s="8">
        <f>IFERROR(__xludf.DUMMYFUNCTION("""COMPUTED_VALUE"""),0.326923076923076)</f>
        <v>0.3269230769</v>
      </c>
      <c r="N62" s="8">
        <f>IFERROR(__xludf.DUMMYFUNCTION("""COMPUTED_VALUE"""),0.340425531914893)</f>
        <v>0.3404255319</v>
      </c>
      <c r="O62" s="8">
        <f>IFERROR(__xludf.DUMMYFUNCTION("""COMPUTED_VALUE"""),0.229665071770334)</f>
        <v>0.2296650718</v>
      </c>
      <c r="P62" s="8">
        <f>IFERROR(__xludf.DUMMYFUNCTION("""COMPUTED_VALUE"""),0.195530726256983)</f>
        <v>0.1955307263</v>
      </c>
      <c r="Q62" s="8">
        <f>IFERROR(__xludf.DUMMYFUNCTION("""COMPUTED_VALUE"""),0.5)</f>
        <v>0.5</v>
      </c>
      <c r="R62" s="8">
        <f>IFERROR(__xludf.DUMMYFUNCTION("""COMPUTED_VALUE"""),0.0)</f>
        <v>0</v>
      </c>
      <c r="S62" s="8">
        <f>IFERROR(__xludf.DUMMYFUNCTION("""COMPUTED_VALUE"""),0.0)</f>
        <v>0</v>
      </c>
      <c r="T62" s="8">
        <f>IFERROR(__xludf.DUMMYFUNCTION("""COMPUTED_VALUE"""),0.0)</f>
        <v>0</v>
      </c>
      <c r="U62" s="8">
        <f>IFERROR(__xludf.DUMMYFUNCTION("""COMPUTED_VALUE"""),0.0)</f>
        <v>0</v>
      </c>
      <c r="V62" s="8">
        <f>IFERROR(__xludf.DUMMYFUNCTION("""COMPUTED_VALUE"""),0.0)</f>
        <v>0</v>
      </c>
      <c r="W62" s="8">
        <f>IFERROR(__xludf.DUMMYFUNCTION("""COMPUTED_VALUE"""),0.0)</f>
        <v>0</v>
      </c>
      <c r="X62" s="8">
        <f>IFERROR(__xludf.DUMMYFUNCTION("""COMPUTED_VALUE"""),0.0)</f>
        <v>0</v>
      </c>
      <c r="Y62" s="8">
        <f>IFERROR(__xludf.DUMMYFUNCTION("""COMPUTED_VALUE"""),0.0)</f>
        <v>0</v>
      </c>
      <c r="Z62" s="8">
        <f>IFERROR(__xludf.DUMMYFUNCTION("""COMPUTED_VALUE"""),0.0)</f>
        <v>0</v>
      </c>
      <c r="AA62" s="8">
        <f>IFERROR(__xludf.DUMMYFUNCTION("""COMPUTED_VALUE"""),0.0)</f>
        <v>0</v>
      </c>
      <c r="AB62" s="8">
        <f>IFERROR(__xludf.DUMMYFUNCTION("""COMPUTED_VALUE"""),0.0)</f>
        <v>0</v>
      </c>
      <c r="AC62" s="8">
        <f>IFERROR(__xludf.DUMMYFUNCTION("""COMPUTED_VALUE"""),0.0)</f>
        <v>0</v>
      </c>
    </row>
    <row r="63" ht="15.75" customHeight="1">
      <c r="A63" s="6" t="str">
        <f>IFERROR(__xludf.DUMMYFUNCTION("""COMPUTED_VALUE"""),"34f2f307c600eaadeadd185f5681a891034fb635")</f>
        <v>34f2f307c600eaadeadd185f5681a891034fb635</v>
      </c>
      <c r="B63" s="6" t="str">
        <f>IFERROR(__xludf.DUMMYFUNCTION("""COMPUTED_VALUE"""),"Complete Deception")</f>
        <v>Complete Deception</v>
      </c>
      <c r="C63" s="6" t="str">
        <f>IFERROR(__xludf.DUMMYFUNCTION("""COMPUTED_VALUE"""),"Romance")</f>
        <v>Romance</v>
      </c>
      <c r="D63" s="5">
        <f>IFERROR(__xludf.DUMMYFUNCTION("""COMPUTED_VALUE"""),634.0)</f>
        <v>634</v>
      </c>
      <c r="E63" s="8">
        <f>IFERROR(__xludf.DUMMYFUNCTION("""COMPUTED_VALUE"""),0.965244865718799)</f>
        <v>0.9652448657</v>
      </c>
      <c r="F63" s="8">
        <f>IFERROR(__xludf.DUMMYFUNCTION("""COMPUTED_VALUE"""),0.524564183835182)</f>
        <v>0.5245641838</v>
      </c>
      <c r="G63" s="8">
        <f>IFERROR(__xludf.DUMMYFUNCTION("""COMPUTED_VALUE"""),0.411111111111111)</f>
        <v>0.4111111111</v>
      </c>
      <c r="H63" s="8">
        <f>IFERROR(__xludf.DUMMYFUNCTION("""COMPUTED_VALUE"""),0.373015873015873)</f>
        <v>0.373015873</v>
      </c>
      <c r="I63" s="8">
        <f>IFERROR(__xludf.DUMMYFUNCTION("""COMPUTED_VALUE"""),0.374603174603174)</f>
        <v>0.3746031746</v>
      </c>
      <c r="J63" s="8">
        <f>IFERROR(__xludf.DUMMYFUNCTION("""COMPUTED_VALUE"""),0.331746031746031)</f>
        <v>0.3317460317</v>
      </c>
      <c r="K63" s="8">
        <f>IFERROR(__xludf.DUMMYFUNCTION("""COMPUTED_VALUE"""),0.298887122416534)</f>
        <v>0.2988871224</v>
      </c>
      <c r="L63" s="8">
        <f>IFERROR(__xludf.DUMMYFUNCTION("""COMPUTED_VALUE"""),0.290271132376395)</f>
        <v>0.2902711324</v>
      </c>
      <c r="M63" s="8">
        <f>IFERROR(__xludf.DUMMYFUNCTION("""COMPUTED_VALUE"""),0.294212218649517)</f>
        <v>0.2942122186</v>
      </c>
      <c r="N63" s="8">
        <f>IFERROR(__xludf.DUMMYFUNCTION("""COMPUTED_VALUE"""),0.292642140468227)</f>
        <v>0.2926421405</v>
      </c>
      <c r="O63" s="8">
        <f>IFERROR(__xludf.DUMMYFUNCTION("""COMPUTED_VALUE"""),0.259259259259259)</f>
        <v>0.2592592593</v>
      </c>
      <c r="P63" s="8">
        <f>IFERROR(__xludf.DUMMYFUNCTION("""COMPUTED_VALUE"""),0.194444444444444)</f>
        <v>0.1944444444</v>
      </c>
      <c r="Q63" s="8">
        <f>IFERROR(__xludf.DUMMYFUNCTION("""COMPUTED_VALUE"""),0.0909090909090909)</f>
        <v>0.09090909091</v>
      </c>
      <c r="R63" s="8">
        <f>IFERROR(__xludf.DUMMYFUNCTION("""COMPUTED_VALUE"""),0.0561403508771929)</f>
        <v>0.05614035088</v>
      </c>
      <c r="S63" s="8">
        <f>IFERROR(__xludf.DUMMYFUNCTION("""COMPUTED_VALUE"""),0.0387323943661971)</f>
        <v>0.03873239437</v>
      </c>
      <c r="T63" s="8">
        <f>IFERROR(__xludf.DUMMYFUNCTION("""COMPUTED_VALUE"""),0.0291970802919708)</f>
        <v>0.02919708029</v>
      </c>
      <c r="U63" s="8">
        <f>IFERROR(__xludf.DUMMYFUNCTION("""COMPUTED_VALUE"""),0.0307692307692307)</f>
        <v>0.03076923077</v>
      </c>
      <c r="V63" s="8">
        <f>IFERROR(__xludf.DUMMYFUNCTION("""COMPUTED_VALUE"""),0.008130081300813)</f>
        <v>0.008130081301</v>
      </c>
      <c r="W63" s="8">
        <f>IFERROR(__xludf.DUMMYFUNCTION("""COMPUTED_VALUE"""),0.0)</f>
        <v>0</v>
      </c>
      <c r="X63" s="8">
        <f>IFERROR(__xludf.DUMMYFUNCTION("""COMPUTED_VALUE"""),0.0)</f>
        <v>0</v>
      </c>
      <c r="Y63" s="8">
        <f>IFERROR(__xludf.DUMMYFUNCTION("""COMPUTED_VALUE"""),0.0)</f>
        <v>0</v>
      </c>
      <c r="Z63" s="8">
        <f>IFERROR(__xludf.DUMMYFUNCTION("""COMPUTED_VALUE"""),0.0)</f>
        <v>0</v>
      </c>
      <c r="AA63" s="8">
        <f>IFERROR(__xludf.DUMMYFUNCTION("""COMPUTED_VALUE"""),0.0)</f>
        <v>0</v>
      </c>
      <c r="AB63" s="8">
        <f>IFERROR(__xludf.DUMMYFUNCTION("""COMPUTED_VALUE"""),0.0)</f>
        <v>0</v>
      </c>
      <c r="AC63" s="8">
        <f>IFERROR(__xludf.DUMMYFUNCTION("""COMPUTED_VALUE"""),0.0)</f>
        <v>0</v>
      </c>
    </row>
    <row r="64" ht="15.75" customHeight="1">
      <c r="A64" s="6" t="str">
        <f>IFERROR(__xludf.DUMMYFUNCTION("""COMPUTED_VALUE"""),"362902a5f0edf9862b88e64b166bdf3fa44487fc")</f>
        <v>362902a5f0edf9862b88e64b166bdf3fa44487fc</v>
      </c>
      <c r="B64" s="6" t="str">
        <f>IFERROR(__xludf.DUMMYFUNCTION("""COMPUTED_VALUE"""),"Almighty Sword Domain")</f>
        <v>Almighty Sword Domain</v>
      </c>
      <c r="C64" s="6" t="str">
        <f>IFERROR(__xludf.DUMMYFUNCTION("""COMPUTED_VALUE"""),"Fantasy")</f>
        <v>Fantasy</v>
      </c>
      <c r="D64" s="5">
        <f>IFERROR(__xludf.DUMMYFUNCTION("""COMPUTED_VALUE"""),217.0)</f>
        <v>217</v>
      </c>
      <c r="E64" s="8">
        <f>IFERROR(__xludf.DUMMYFUNCTION("""COMPUTED_VALUE"""),0.984536082474226)</f>
        <v>0.9845360825</v>
      </c>
      <c r="F64" s="8">
        <f>IFERROR(__xludf.DUMMYFUNCTION("""COMPUTED_VALUE"""),0.343065693430656)</f>
        <v>0.3430656934</v>
      </c>
      <c r="G64" s="8">
        <f>IFERROR(__xludf.DUMMYFUNCTION("""COMPUTED_VALUE"""),0.346534653465346)</f>
        <v>0.3465346535</v>
      </c>
      <c r="H64" s="8">
        <f>IFERROR(__xludf.DUMMYFUNCTION("""COMPUTED_VALUE"""),0.333333333333333)</f>
        <v>0.3333333333</v>
      </c>
      <c r="I64" s="8">
        <f>IFERROR(__xludf.DUMMYFUNCTION("""COMPUTED_VALUE"""),0.296296296296296)</f>
        <v>0.2962962963</v>
      </c>
      <c r="J64" s="8">
        <f>IFERROR(__xludf.DUMMYFUNCTION("""COMPUTED_VALUE"""),0.307692307692307)</f>
        <v>0.3076923077</v>
      </c>
      <c r="K64" s="8">
        <f>IFERROR(__xludf.DUMMYFUNCTION("""COMPUTED_VALUE"""),0.333333333333333)</f>
        <v>0.3333333333</v>
      </c>
      <c r="L64" s="8">
        <f>IFERROR(__xludf.DUMMYFUNCTION("""COMPUTED_VALUE"""),0.375)</f>
        <v>0.375</v>
      </c>
      <c r="M64" s="8">
        <f>IFERROR(__xludf.DUMMYFUNCTION("""COMPUTED_VALUE"""),0.391304347826087)</f>
        <v>0.3913043478</v>
      </c>
      <c r="N64" s="8">
        <f>IFERROR(__xludf.DUMMYFUNCTION("""COMPUTED_VALUE"""),0.304347826086956)</f>
        <v>0.3043478261</v>
      </c>
      <c r="O64" s="8">
        <f>IFERROR(__xludf.DUMMYFUNCTION("""COMPUTED_VALUE"""),0.304347826086956)</f>
        <v>0.3043478261</v>
      </c>
      <c r="P64" s="8">
        <f>IFERROR(__xludf.DUMMYFUNCTION("""COMPUTED_VALUE"""),0.318181818181818)</f>
        <v>0.3181818182</v>
      </c>
      <c r="Q64" s="8">
        <f>IFERROR(__xludf.DUMMYFUNCTION("""COMPUTED_VALUE"""),0.285714285714285)</f>
        <v>0.2857142857</v>
      </c>
      <c r="R64" s="8">
        <f>IFERROR(__xludf.DUMMYFUNCTION("""COMPUTED_VALUE"""),0.31578947368421)</f>
        <v>0.3157894737</v>
      </c>
      <c r="S64" s="8">
        <f>IFERROR(__xludf.DUMMYFUNCTION("""COMPUTED_VALUE"""),0.3125)</f>
        <v>0.3125</v>
      </c>
      <c r="T64" s="8">
        <f>IFERROR(__xludf.DUMMYFUNCTION("""COMPUTED_VALUE"""),0.2)</f>
        <v>0.2</v>
      </c>
      <c r="U64" s="8">
        <f>IFERROR(__xludf.DUMMYFUNCTION("""COMPUTED_VALUE"""),0.0)</f>
        <v>0</v>
      </c>
      <c r="V64" s="8">
        <f>IFERROR(__xludf.DUMMYFUNCTION("""COMPUTED_VALUE"""),0.0)</f>
        <v>0</v>
      </c>
      <c r="W64" s="8">
        <f>IFERROR(__xludf.DUMMYFUNCTION("""COMPUTED_VALUE"""),0.0)</f>
        <v>0</v>
      </c>
      <c r="X64" s="8">
        <f>IFERROR(__xludf.DUMMYFUNCTION("""COMPUTED_VALUE"""),0.0)</f>
        <v>0</v>
      </c>
      <c r="Y64" s="8">
        <f>IFERROR(__xludf.DUMMYFUNCTION("""COMPUTED_VALUE"""),0.0)</f>
        <v>0</v>
      </c>
      <c r="Z64" s="8">
        <f>IFERROR(__xludf.DUMMYFUNCTION("""COMPUTED_VALUE"""),0.0)</f>
        <v>0</v>
      </c>
      <c r="AA64" s="8">
        <f>IFERROR(__xludf.DUMMYFUNCTION("""COMPUTED_VALUE"""),0.0)</f>
        <v>0</v>
      </c>
      <c r="AB64" s="8">
        <f>IFERROR(__xludf.DUMMYFUNCTION("""COMPUTED_VALUE"""),0.0)</f>
        <v>0</v>
      </c>
      <c r="AC64" s="8">
        <f>IFERROR(__xludf.DUMMYFUNCTION("""COMPUTED_VALUE"""),0.0)</f>
        <v>0</v>
      </c>
    </row>
    <row r="65" ht="15.75" customHeight="1">
      <c r="A65" s="6" t="str">
        <f>IFERROR(__xludf.DUMMYFUNCTION("""COMPUTED_VALUE"""),"37a4619595e440ac361cdc0df4d1bd0a9bd5d60c")</f>
        <v>37a4619595e440ac361cdc0df4d1bd0a9bd5d60c</v>
      </c>
      <c r="B65" s="6" t="str">
        <f>IFERROR(__xludf.DUMMYFUNCTION("""COMPUTED_VALUE"""),"The Bloodline Copy System")</f>
        <v>The Bloodline Copy System</v>
      </c>
      <c r="C65" s="6" t="str">
        <f>IFERROR(__xludf.DUMMYFUNCTION("""COMPUTED_VALUE"""),"System and Superpower")</f>
        <v>System and Superpower</v>
      </c>
      <c r="D65" s="5">
        <f>IFERROR(__xludf.DUMMYFUNCTION("""COMPUTED_VALUE"""),1448.0)</f>
        <v>1448</v>
      </c>
      <c r="E65" s="8">
        <f>IFERROR(__xludf.DUMMYFUNCTION("""COMPUTED_VALUE"""),0.977854671280276)</f>
        <v>0.9778546713</v>
      </c>
      <c r="F65" s="8">
        <f>IFERROR(__xludf.DUMMYFUNCTION("""COMPUTED_VALUE"""),0.647955647955648)</f>
        <v>0.647955648</v>
      </c>
      <c r="G65" s="8">
        <f>IFERROR(__xludf.DUMMYFUNCTION("""COMPUTED_VALUE"""),0.592489568845618)</f>
        <v>0.5924895688</v>
      </c>
      <c r="H65" s="8">
        <f>IFERROR(__xludf.DUMMYFUNCTION("""COMPUTED_VALUE"""),0.53319357092942)</f>
        <v>0.5331935709</v>
      </c>
      <c r="I65" s="8">
        <f>IFERROR(__xludf.DUMMYFUNCTION("""COMPUTED_VALUE"""),0.501404494382022)</f>
        <v>0.5014044944</v>
      </c>
      <c r="J65" s="8">
        <f>IFERROR(__xludf.DUMMYFUNCTION("""COMPUTED_VALUE"""),0.468882602545968)</f>
        <v>0.4688826025</v>
      </c>
      <c r="K65" s="8">
        <f>IFERROR(__xludf.DUMMYFUNCTION("""COMPUTED_VALUE"""),0.44349070100143)</f>
        <v>0.443490701</v>
      </c>
      <c r="L65" s="8">
        <f>IFERROR(__xludf.DUMMYFUNCTION("""COMPUTED_VALUE"""),0.432735426008968)</f>
        <v>0.432735426</v>
      </c>
      <c r="M65" s="8">
        <f>IFERROR(__xludf.DUMMYFUNCTION("""COMPUTED_VALUE"""),0.419705197827773)</f>
        <v>0.4197051978</v>
      </c>
      <c r="N65" s="8">
        <f>IFERROR(__xludf.DUMMYFUNCTION("""COMPUTED_VALUE"""),0.405405405405405)</f>
        <v>0.4054054054</v>
      </c>
      <c r="O65" s="8">
        <f>IFERROR(__xludf.DUMMYFUNCTION("""COMPUTED_VALUE"""),0.354609929078014)</f>
        <v>0.3546099291</v>
      </c>
      <c r="P65" s="8">
        <f>IFERROR(__xludf.DUMMYFUNCTION("""COMPUTED_VALUE"""),0.265367316341829)</f>
        <v>0.2653673163</v>
      </c>
      <c r="Q65" s="8">
        <f>IFERROR(__xludf.DUMMYFUNCTION("""COMPUTED_VALUE"""),0.133663366336633)</f>
        <v>0.1336633663</v>
      </c>
      <c r="R65" s="8">
        <f>IFERROR(__xludf.DUMMYFUNCTION("""COMPUTED_VALUE"""),0.0888888888888888)</f>
        <v>0.08888888889</v>
      </c>
      <c r="S65" s="8">
        <f>IFERROR(__xludf.DUMMYFUNCTION("""COMPUTED_VALUE"""),0.104477611940298)</f>
        <v>0.1044776119</v>
      </c>
      <c r="T65" s="8">
        <f>IFERROR(__xludf.DUMMYFUNCTION("""COMPUTED_VALUE"""),0.037037037037037)</f>
        <v>0.03703703704</v>
      </c>
      <c r="U65" s="8">
        <f>IFERROR(__xludf.DUMMYFUNCTION("""COMPUTED_VALUE"""),0.0)</f>
        <v>0</v>
      </c>
      <c r="V65" s="8">
        <f>IFERROR(__xludf.DUMMYFUNCTION("""COMPUTED_VALUE"""),0.0)</f>
        <v>0</v>
      </c>
      <c r="W65" s="8">
        <f>IFERROR(__xludf.DUMMYFUNCTION("""COMPUTED_VALUE"""),0.0)</f>
        <v>0</v>
      </c>
      <c r="X65" s="8">
        <f>IFERROR(__xludf.DUMMYFUNCTION("""COMPUTED_VALUE"""),0.0)</f>
        <v>0</v>
      </c>
      <c r="Y65" s="8">
        <f>IFERROR(__xludf.DUMMYFUNCTION("""COMPUTED_VALUE"""),0.0)</f>
        <v>0</v>
      </c>
      <c r="Z65" s="8">
        <f>IFERROR(__xludf.DUMMYFUNCTION("""COMPUTED_VALUE"""),0.0)</f>
        <v>0</v>
      </c>
      <c r="AA65" s="8">
        <f>IFERROR(__xludf.DUMMYFUNCTION("""COMPUTED_VALUE"""),0.0)</f>
        <v>0</v>
      </c>
      <c r="AB65" s="8">
        <f>IFERROR(__xludf.DUMMYFUNCTION("""COMPUTED_VALUE"""),0.0)</f>
        <v>0</v>
      </c>
      <c r="AC65" s="8">
        <f>IFERROR(__xludf.DUMMYFUNCTION("""COMPUTED_VALUE"""),0.0)</f>
        <v>0</v>
      </c>
    </row>
    <row r="66" ht="15.75" customHeight="1">
      <c r="A66" s="6" t="str">
        <f>IFERROR(__xludf.DUMMYFUNCTION("""COMPUTED_VALUE"""),"381f2f23cfe6043e04a4a705bfde2d0832cb6847")</f>
        <v>381f2f23cfe6043e04a4a705bfde2d0832cb6847</v>
      </c>
      <c r="B66" s="6" t="str">
        <f>IFERROR(__xludf.DUMMYFUNCTION("""COMPUTED_VALUE"""),"The Personal Maid")</f>
        <v>The Personal Maid</v>
      </c>
      <c r="C66" s="6" t="str">
        <f>IFERROR(__xludf.DUMMYFUNCTION("""COMPUTED_VALUE"""),"Romance")</f>
        <v>Romance</v>
      </c>
      <c r="D66" s="5">
        <f>IFERROR(__xludf.DUMMYFUNCTION("""COMPUTED_VALUE"""),126.0)</f>
        <v>126</v>
      </c>
      <c r="E66" s="8">
        <f>IFERROR(__xludf.DUMMYFUNCTION("""COMPUTED_VALUE"""),0.92063492063492)</f>
        <v>0.9206349206</v>
      </c>
      <c r="F66" s="8">
        <f>IFERROR(__xludf.DUMMYFUNCTION("""COMPUTED_VALUE"""),0.523809523809523)</f>
        <v>0.5238095238</v>
      </c>
      <c r="G66" s="8">
        <f>IFERROR(__xludf.DUMMYFUNCTION("""COMPUTED_VALUE"""),0.388888888888888)</f>
        <v>0.3888888889</v>
      </c>
      <c r="H66" s="8">
        <f>IFERROR(__xludf.DUMMYFUNCTION("""COMPUTED_VALUE"""),0.388888888888888)</f>
        <v>0.3888888889</v>
      </c>
      <c r="I66" s="8">
        <f>IFERROR(__xludf.DUMMYFUNCTION("""COMPUTED_VALUE"""),0.388888888888888)</f>
        <v>0.3888888889</v>
      </c>
      <c r="J66" s="8">
        <f>IFERROR(__xludf.DUMMYFUNCTION("""COMPUTED_VALUE"""),0.341269841269841)</f>
        <v>0.3412698413</v>
      </c>
      <c r="K66" s="8">
        <f>IFERROR(__xludf.DUMMYFUNCTION("""COMPUTED_VALUE"""),0.301587301587301)</f>
        <v>0.3015873016</v>
      </c>
      <c r="L66" s="8">
        <f>IFERROR(__xludf.DUMMYFUNCTION("""COMPUTED_VALUE"""),0.261904761904761)</f>
        <v>0.2619047619</v>
      </c>
      <c r="M66" s="8">
        <f>IFERROR(__xludf.DUMMYFUNCTION("""COMPUTED_VALUE"""),0.224)</f>
        <v>0.224</v>
      </c>
      <c r="N66" s="8">
        <f>IFERROR(__xludf.DUMMYFUNCTION("""COMPUTED_VALUE"""),0.216)</f>
        <v>0.216</v>
      </c>
      <c r="O66" s="8">
        <f>IFERROR(__xludf.DUMMYFUNCTION("""COMPUTED_VALUE"""),0.224)</f>
        <v>0.224</v>
      </c>
      <c r="P66" s="8">
        <f>IFERROR(__xludf.DUMMYFUNCTION("""COMPUTED_VALUE"""),0.144)</f>
        <v>0.144</v>
      </c>
      <c r="Q66" s="8">
        <f>IFERROR(__xludf.DUMMYFUNCTION("""COMPUTED_VALUE"""),0.048780487804878)</f>
        <v>0.0487804878</v>
      </c>
      <c r="R66" s="8">
        <f>IFERROR(__xludf.DUMMYFUNCTION("""COMPUTED_VALUE"""),0.0)</f>
        <v>0</v>
      </c>
      <c r="S66" s="8">
        <f>IFERROR(__xludf.DUMMYFUNCTION("""COMPUTED_VALUE"""),0.0)</f>
        <v>0</v>
      </c>
      <c r="T66" s="8">
        <f>IFERROR(__xludf.DUMMYFUNCTION("""COMPUTED_VALUE"""),0.0)</f>
        <v>0</v>
      </c>
      <c r="U66" s="8">
        <f>IFERROR(__xludf.DUMMYFUNCTION("""COMPUTED_VALUE"""),0.0)</f>
        <v>0</v>
      </c>
      <c r="V66" s="8">
        <f>IFERROR(__xludf.DUMMYFUNCTION("""COMPUTED_VALUE"""),0.0)</f>
        <v>0</v>
      </c>
      <c r="W66" s="8">
        <f>IFERROR(__xludf.DUMMYFUNCTION("""COMPUTED_VALUE"""),0.0)</f>
        <v>0</v>
      </c>
      <c r="X66" s="8">
        <f>IFERROR(__xludf.DUMMYFUNCTION("""COMPUTED_VALUE"""),0.0)</f>
        <v>0</v>
      </c>
      <c r="Y66" s="8">
        <f>IFERROR(__xludf.DUMMYFUNCTION("""COMPUTED_VALUE"""),0.0)</f>
        <v>0</v>
      </c>
      <c r="Z66" s="8">
        <f>IFERROR(__xludf.DUMMYFUNCTION("""COMPUTED_VALUE"""),0.0)</f>
        <v>0</v>
      </c>
      <c r="AA66" s="8">
        <f>IFERROR(__xludf.DUMMYFUNCTION("""COMPUTED_VALUE"""),0.0)</f>
        <v>0</v>
      </c>
      <c r="AB66" s="8">
        <f>IFERROR(__xludf.DUMMYFUNCTION("""COMPUTED_VALUE"""),0.0)</f>
        <v>0</v>
      </c>
      <c r="AC66" s="8">
        <f>IFERROR(__xludf.DUMMYFUNCTION("""COMPUTED_VALUE"""),0.0)</f>
        <v>0</v>
      </c>
    </row>
    <row r="67" ht="15.75" customHeight="1">
      <c r="A67" s="6" t="str">
        <f>IFERROR(__xludf.DUMMYFUNCTION("""COMPUTED_VALUE"""),"3a6212d18e444c9585676ce7dba35b7111dd1613")</f>
        <v>3a6212d18e444c9585676ce7dba35b7111dd1613</v>
      </c>
      <c r="B67" s="6" t="str">
        <f>IFERROR(__xludf.DUMMYFUNCTION("""COMPUTED_VALUE"""),"King of Throne")</f>
        <v>King of Throne</v>
      </c>
      <c r="C67" s="6" t="str">
        <f>IFERROR(__xludf.DUMMYFUNCTION("""COMPUTED_VALUE"""),"Fantasy")</f>
        <v>Fantasy</v>
      </c>
      <c r="D67" s="5">
        <f>IFERROR(__xludf.DUMMYFUNCTION("""COMPUTED_VALUE"""),444.0)</f>
        <v>444</v>
      </c>
      <c r="E67" s="8">
        <f>IFERROR(__xludf.DUMMYFUNCTION("""COMPUTED_VALUE"""),0.993039443155452)</f>
        <v>0.9930394432</v>
      </c>
      <c r="F67" s="8">
        <f>IFERROR(__xludf.DUMMYFUNCTION("""COMPUTED_VALUE"""),0.433766233766233)</f>
        <v>0.4337662338</v>
      </c>
      <c r="G67" s="8">
        <f>IFERROR(__xludf.DUMMYFUNCTION("""COMPUTED_VALUE"""),0.365930599369085)</f>
        <v>0.3659305994</v>
      </c>
      <c r="H67" s="8">
        <f>IFERROR(__xludf.DUMMYFUNCTION("""COMPUTED_VALUE"""),0.380710659898477)</f>
        <v>0.3807106599</v>
      </c>
      <c r="I67" s="8">
        <f>IFERROR(__xludf.DUMMYFUNCTION("""COMPUTED_VALUE"""),0.394904458598726)</f>
        <v>0.3949044586</v>
      </c>
      <c r="J67" s="8">
        <f>IFERROR(__xludf.DUMMYFUNCTION("""COMPUTED_VALUE"""),0.36)</f>
        <v>0.36</v>
      </c>
      <c r="K67" s="8">
        <f>IFERROR(__xludf.DUMMYFUNCTION("""COMPUTED_VALUE"""),0.23076923076923)</f>
        <v>0.2307692308</v>
      </c>
      <c r="L67" s="8">
        <f>IFERROR(__xludf.DUMMYFUNCTION("""COMPUTED_VALUE"""),0.333333333333333)</f>
        <v>0.3333333333</v>
      </c>
      <c r="M67" s="8">
        <f>IFERROR(__xludf.DUMMYFUNCTION("""COMPUTED_VALUE"""),0.0)</f>
        <v>0</v>
      </c>
      <c r="N67" s="8">
        <f>IFERROR(__xludf.DUMMYFUNCTION("""COMPUTED_VALUE"""),0.0)</f>
        <v>0</v>
      </c>
      <c r="O67" s="8">
        <f>IFERROR(__xludf.DUMMYFUNCTION("""COMPUTED_VALUE"""),0.0)</f>
        <v>0</v>
      </c>
      <c r="P67" s="8">
        <f>IFERROR(__xludf.DUMMYFUNCTION("""COMPUTED_VALUE"""),0.0)</f>
        <v>0</v>
      </c>
      <c r="Q67" s="8">
        <f>IFERROR(__xludf.DUMMYFUNCTION("""COMPUTED_VALUE"""),0.0)</f>
        <v>0</v>
      </c>
      <c r="R67" s="8">
        <f>IFERROR(__xludf.DUMMYFUNCTION("""COMPUTED_VALUE"""),0.0)</f>
        <v>0</v>
      </c>
      <c r="S67" s="8">
        <f>IFERROR(__xludf.DUMMYFUNCTION("""COMPUTED_VALUE"""),0.0)</f>
        <v>0</v>
      </c>
      <c r="T67" s="8">
        <f>IFERROR(__xludf.DUMMYFUNCTION("""COMPUTED_VALUE"""),0.0)</f>
        <v>0</v>
      </c>
      <c r="U67" s="8">
        <f>IFERROR(__xludf.DUMMYFUNCTION("""COMPUTED_VALUE"""),0.0)</f>
        <v>0</v>
      </c>
      <c r="V67" s="8">
        <f>IFERROR(__xludf.DUMMYFUNCTION("""COMPUTED_VALUE"""),0.0)</f>
        <v>0</v>
      </c>
      <c r="W67" s="8">
        <f>IFERROR(__xludf.DUMMYFUNCTION("""COMPUTED_VALUE"""),0.0)</f>
        <v>0</v>
      </c>
      <c r="X67" s="8">
        <f>IFERROR(__xludf.DUMMYFUNCTION("""COMPUTED_VALUE"""),0.0)</f>
        <v>0</v>
      </c>
      <c r="Y67" s="8">
        <f>IFERROR(__xludf.DUMMYFUNCTION("""COMPUTED_VALUE"""),0.0)</f>
        <v>0</v>
      </c>
      <c r="Z67" s="8">
        <f>IFERROR(__xludf.DUMMYFUNCTION("""COMPUTED_VALUE"""),0.0)</f>
        <v>0</v>
      </c>
      <c r="AA67" s="8">
        <f>IFERROR(__xludf.DUMMYFUNCTION("""COMPUTED_VALUE"""),0.0)</f>
        <v>0</v>
      </c>
      <c r="AB67" s="8">
        <f>IFERROR(__xludf.DUMMYFUNCTION("""COMPUTED_VALUE"""),0.0)</f>
        <v>0</v>
      </c>
      <c r="AC67" s="8">
        <f>IFERROR(__xludf.DUMMYFUNCTION("""COMPUTED_VALUE"""),0.0)</f>
        <v>0</v>
      </c>
    </row>
    <row r="68" ht="15.75" customHeight="1">
      <c r="A68" s="6" t="str">
        <f>IFERROR(__xludf.DUMMYFUNCTION("""COMPUTED_VALUE"""),"3b626e0d14c34edb82f4b215f3b8d2e50455bbdd")</f>
        <v>3b626e0d14c34edb82f4b215f3b8d2e50455bbdd</v>
      </c>
      <c r="B68" s="6" t="str">
        <f>IFERROR(__xludf.DUMMYFUNCTION("""COMPUTED_VALUE"""),"His Lady Boss Is a Mafia")</f>
        <v>His Lady Boss Is a Mafia</v>
      </c>
      <c r="C68" s="6" t="str">
        <f>IFERROR(__xludf.DUMMYFUNCTION("""COMPUTED_VALUE"""),"Romance")</f>
        <v>Romance</v>
      </c>
      <c r="D68" s="5">
        <f>IFERROR(__xludf.DUMMYFUNCTION("""COMPUTED_VALUE"""),1189.0)</f>
        <v>1189</v>
      </c>
      <c r="E68" s="8">
        <f>IFERROR(__xludf.DUMMYFUNCTION("""COMPUTED_VALUE"""),0.940677966101695)</f>
        <v>0.9406779661</v>
      </c>
      <c r="F68" s="8">
        <f>IFERROR(__xludf.DUMMYFUNCTION("""COMPUTED_VALUE"""),0.461471861471861)</f>
        <v>0.4614718615</v>
      </c>
      <c r="G68" s="8">
        <f>IFERROR(__xludf.DUMMYFUNCTION("""COMPUTED_VALUE"""),0.431216931216931)</f>
        <v>0.4312169312</v>
      </c>
      <c r="H68" s="8">
        <f>IFERROR(__xludf.DUMMYFUNCTION("""COMPUTED_VALUE"""),0.395721925133689)</f>
        <v>0.3957219251</v>
      </c>
      <c r="I68" s="8">
        <f>IFERROR(__xludf.DUMMYFUNCTION("""COMPUTED_VALUE"""),0.368231046931407)</f>
        <v>0.3682310469</v>
      </c>
      <c r="J68" s="8">
        <f>IFERROR(__xludf.DUMMYFUNCTION("""COMPUTED_VALUE"""),0.347905282331511)</f>
        <v>0.3479052823</v>
      </c>
      <c r="K68" s="8">
        <f>IFERROR(__xludf.DUMMYFUNCTION("""COMPUTED_VALUE"""),0.326286764705882)</f>
        <v>0.3262867647</v>
      </c>
      <c r="L68" s="8">
        <f>IFERROR(__xludf.DUMMYFUNCTION("""COMPUTED_VALUE"""),0.312441534144059)</f>
        <v>0.3124415341</v>
      </c>
      <c r="M68" s="8">
        <f>IFERROR(__xludf.DUMMYFUNCTION("""COMPUTED_VALUE"""),0.315145813734713)</f>
        <v>0.3151458137</v>
      </c>
      <c r="N68" s="8">
        <f>IFERROR(__xludf.DUMMYFUNCTION("""COMPUTED_VALUE"""),0.308206106870229)</f>
        <v>0.3082061069</v>
      </c>
      <c r="O68" s="8">
        <f>IFERROR(__xludf.DUMMYFUNCTION("""COMPUTED_VALUE"""),0.28)</f>
        <v>0.28</v>
      </c>
      <c r="P68" s="8">
        <f>IFERROR(__xludf.DUMMYFUNCTION("""COMPUTED_VALUE"""),0.232809430255402)</f>
        <v>0.2328094303</v>
      </c>
      <c r="Q68" s="8">
        <f>IFERROR(__xludf.DUMMYFUNCTION("""COMPUTED_VALUE"""),1.0)</f>
        <v>1</v>
      </c>
      <c r="R68" s="8">
        <f>IFERROR(__xludf.DUMMYFUNCTION("""COMPUTED_VALUE"""),0.0)</f>
        <v>0</v>
      </c>
      <c r="S68" s="8">
        <f>IFERROR(__xludf.DUMMYFUNCTION("""COMPUTED_VALUE"""),0.0)</f>
        <v>0</v>
      </c>
      <c r="T68" s="8">
        <f>IFERROR(__xludf.DUMMYFUNCTION("""COMPUTED_VALUE"""),0.0)</f>
        <v>0</v>
      </c>
      <c r="U68" s="8">
        <f>IFERROR(__xludf.DUMMYFUNCTION("""COMPUTED_VALUE"""),0.0)</f>
        <v>0</v>
      </c>
      <c r="V68" s="8">
        <f>IFERROR(__xludf.DUMMYFUNCTION("""COMPUTED_VALUE"""),0.0)</f>
        <v>0</v>
      </c>
      <c r="W68" s="8">
        <f>IFERROR(__xludf.DUMMYFUNCTION("""COMPUTED_VALUE"""),0.0)</f>
        <v>0</v>
      </c>
      <c r="X68" s="8">
        <f>IFERROR(__xludf.DUMMYFUNCTION("""COMPUTED_VALUE"""),0.0)</f>
        <v>0</v>
      </c>
      <c r="Y68" s="8">
        <f>IFERROR(__xludf.DUMMYFUNCTION("""COMPUTED_VALUE"""),0.0)</f>
        <v>0</v>
      </c>
      <c r="Z68" s="8">
        <f>IFERROR(__xludf.DUMMYFUNCTION("""COMPUTED_VALUE"""),0.0)</f>
        <v>0</v>
      </c>
      <c r="AA68" s="8">
        <f>IFERROR(__xludf.DUMMYFUNCTION("""COMPUTED_VALUE"""),0.0)</f>
        <v>0</v>
      </c>
      <c r="AB68" s="8">
        <f>IFERROR(__xludf.DUMMYFUNCTION("""COMPUTED_VALUE"""),0.0)</f>
        <v>0</v>
      </c>
      <c r="AC68" s="8">
        <f>IFERROR(__xludf.DUMMYFUNCTION("""COMPUTED_VALUE"""),0.0)</f>
        <v>0</v>
      </c>
    </row>
    <row r="69" ht="15.75" customHeight="1">
      <c r="A69" s="6" t="str">
        <f>IFERROR(__xludf.DUMMYFUNCTION("""COMPUTED_VALUE"""),"3c57dd9bd6f929bdb36d8716aa9f261a72778e24")</f>
        <v>3c57dd9bd6f929bdb36d8716aa9f261a72778e24</v>
      </c>
      <c r="B69" s="6" t="str">
        <f>IFERROR(__xludf.DUMMYFUNCTION("""COMPUTED_VALUE"""),"Resurrected as a Secret Billionaire Liam Carson")</f>
        <v>Resurrected as a Secret Billionaire Liam Carson</v>
      </c>
      <c r="C69" s="6" t="str">
        <f>IFERROR(__xludf.DUMMYFUNCTION("""COMPUTED_VALUE"""),"Fantasy")</f>
        <v>Fantasy</v>
      </c>
      <c r="D69" s="5">
        <f>IFERROR(__xludf.DUMMYFUNCTION("""COMPUTED_VALUE"""),38120.0)</f>
        <v>38120</v>
      </c>
      <c r="E69" s="8">
        <f>IFERROR(__xludf.DUMMYFUNCTION("""COMPUTED_VALUE"""),0.893858267716535)</f>
        <v>0.8938582677</v>
      </c>
      <c r="F69" s="8">
        <f>IFERROR(__xludf.DUMMYFUNCTION("""COMPUTED_VALUE"""),0.428342400588714)</f>
        <v>0.4283424006</v>
      </c>
      <c r="G69" s="8">
        <f>IFERROR(__xludf.DUMMYFUNCTION("""COMPUTED_VALUE"""),0.3807394940304)</f>
        <v>0.380739494</v>
      </c>
      <c r="H69" s="8">
        <f>IFERROR(__xludf.DUMMYFUNCTION("""COMPUTED_VALUE"""),0.357629840216904)</f>
        <v>0.3576298402</v>
      </c>
      <c r="I69" s="8">
        <f>IFERROR(__xludf.DUMMYFUNCTION("""COMPUTED_VALUE"""),0.341583636459486)</f>
        <v>0.3415836365</v>
      </c>
      <c r="J69" s="8">
        <f>IFERROR(__xludf.DUMMYFUNCTION("""COMPUTED_VALUE"""),0.329040090791522)</f>
        <v>0.3290400908</v>
      </c>
      <c r="K69" s="8">
        <f>IFERROR(__xludf.DUMMYFUNCTION("""COMPUTED_VALUE"""),0.324404290167485)</f>
        <v>0.3244042902</v>
      </c>
      <c r="L69" s="8">
        <f>IFERROR(__xludf.DUMMYFUNCTION("""COMPUTED_VALUE"""),0.316467414303851)</f>
        <v>0.3164674143</v>
      </c>
      <c r="M69" s="8">
        <f>IFERROR(__xludf.DUMMYFUNCTION("""COMPUTED_VALUE"""),0.3092035585681)</f>
        <v>0.3092035586</v>
      </c>
      <c r="N69" s="8">
        <f>IFERROR(__xludf.DUMMYFUNCTION("""COMPUTED_VALUE"""),0.305445872532131)</f>
        <v>0.3054458725</v>
      </c>
      <c r="O69" s="8">
        <f>IFERROR(__xludf.DUMMYFUNCTION("""COMPUTED_VALUE"""),0.290746077489593)</f>
        <v>0.2907460775</v>
      </c>
      <c r="P69" s="8">
        <f>IFERROR(__xludf.DUMMYFUNCTION("""COMPUTED_VALUE"""),0.256720430107526)</f>
        <v>0.2567204301</v>
      </c>
      <c r="Q69" s="8">
        <f>IFERROR(__xludf.DUMMYFUNCTION("""COMPUTED_VALUE"""),0.207857979143409)</f>
        <v>0.2078579791</v>
      </c>
      <c r="R69" s="8">
        <f>IFERROR(__xludf.DUMMYFUNCTION("""COMPUTED_VALUE"""),0.177770466633766)</f>
        <v>0.1777704666</v>
      </c>
      <c r="S69" s="8">
        <f>IFERROR(__xludf.DUMMYFUNCTION("""COMPUTED_VALUE"""),0.144390782392714)</f>
        <v>0.1443907824</v>
      </c>
      <c r="T69" s="8">
        <f>IFERROR(__xludf.DUMMYFUNCTION("""COMPUTED_VALUE"""),0.125354777672658)</f>
        <v>0.1253547777</v>
      </c>
      <c r="U69" s="8">
        <f>IFERROR(__xludf.DUMMYFUNCTION("""COMPUTED_VALUE"""),0.114402362751911)</f>
        <v>0.1144023628</v>
      </c>
      <c r="V69" s="8">
        <f>IFERROR(__xludf.DUMMYFUNCTION("""COMPUTED_VALUE"""),0.104914161140884)</f>
        <v>0.1049141611</v>
      </c>
      <c r="W69" s="8">
        <f>IFERROR(__xludf.DUMMYFUNCTION("""COMPUTED_VALUE"""),0.108846899593202)</f>
        <v>0.1088468996</v>
      </c>
      <c r="X69" s="8">
        <f>IFERROR(__xludf.DUMMYFUNCTION("""COMPUTED_VALUE"""),0.088695652173913)</f>
        <v>0.08869565217</v>
      </c>
      <c r="Y69" s="8">
        <f>IFERROR(__xludf.DUMMYFUNCTION("""COMPUTED_VALUE"""),0.0417995444191343)</f>
        <v>0.04179954442</v>
      </c>
      <c r="Z69" s="8">
        <f>IFERROR(__xludf.DUMMYFUNCTION("""COMPUTED_VALUE"""),0.0304423243712055)</f>
        <v>0.03044232437</v>
      </c>
      <c r="AA69" s="8">
        <f>IFERROR(__xludf.DUMMYFUNCTION("""COMPUTED_VALUE"""),0.0243537705618457)</f>
        <v>0.02435377056</v>
      </c>
      <c r="AB69" s="8">
        <f>IFERROR(__xludf.DUMMYFUNCTION("""COMPUTED_VALUE"""),0.0)</f>
        <v>0</v>
      </c>
      <c r="AC69" s="8">
        <f>IFERROR(__xludf.DUMMYFUNCTION("""COMPUTED_VALUE"""),0.0)</f>
        <v>0</v>
      </c>
    </row>
    <row r="70" ht="15.75" customHeight="1">
      <c r="A70" s="6" t="str">
        <f>IFERROR(__xludf.DUMMYFUNCTION("""COMPUTED_VALUE"""),"4010f733ac400156fd9f4d75852b8ebdeabe1689")</f>
        <v>4010f733ac400156fd9f4d75852b8ebdeabe1689</v>
      </c>
      <c r="B70" s="6" t="str">
        <f>IFERROR(__xludf.DUMMYFUNCTION("""COMPUTED_VALUE"""),"My Ceo Husband's Secret")</f>
        <v>My Ceo Husband's Secret</v>
      </c>
      <c r="C70" s="6" t="str">
        <f>IFERROR(__xludf.DUMMYFUNCTION("""COMPUTED_VALUE"""),"Romance")</f>
        <v>Romance</v>
      </c>
      <c r="D70" s="5">
        <f>IFERROR(__xludf.DUMMYFUNCTION("""COMPUTED_VALUE"""),1186.0)</f>
        <v>1186</v>
      </c>
      <c r="E70" s="8">
        <f>IFERROR(__xludf.DUMMYFUNCTION("""COMPUTED_VALUE"""),0.946835443037974)</f>
        <v>0.946835443</v>
      </c>
      <c r="F70" s="8">
        <f>IFERROR(__xludf.DUMMYFUNCTION("""COMPUTED_VALUE"""),0.650887573964497)</f>
        <v>0.650887574</v>
      </c>
      <c r="G70" s="8">
        <f>IFERROR(__xludf.DUMMYFUNCTION("""COMPUTED_VALUE"""),0.579526226734348)</f>
        <v>0.5795262267</v>
      </c>
      <c r="H70" s="8">
        <f>IFERROR(__xludf.DUMMYFUNCTION("""COMPUTED_VALUE"""),0.537679932260795)</f>
        <v>0.5376799323</v>
      </c>
      <c r="I70" s="8">
        <f>IFERROR(__xludf.DUMMYFUNCTION("""COMPUTED_VALUE"""),0.497883149872989)</f>
        <v>0.4978831499</v>
      </c>
      <c r="J70" s="8">
        <f>IFERROR(__xludf.DUMMYFUNCTION("""COMPUTED_VALUE"""),0.458863443596268)</f>
        <v>0.4588634436</v>
      </c>
      <c r="K70" s="8">
        <f>IFERROR(__xludf.DUMMYFUNCTION("""COMPUTED_VALUE"""),0.435114503816793)</f>
        <v>0.4351145038</v>
      </c>
      <c r="L70" s="8">
        <f>IFERROR(__xludf.DUMMYFUNCTION("""COMPUTED_VALUE"""),0.401192504258943)</f>
        <v>0.4011925043</v>
      </c>
      <c r="M70" s="8">
        <f>IFERROR(__xludf.DUMMYFUNCTION("""COMPUTED_VALUE"""),0.371696504688832)</f>
        <v>0.3716965047</v>
      </c>
      <c r="N70" s="8">
        <f>IFERROR(__xludf.DUMMYFUNCTION("""COMPUTED_VALUE"""),0.343563512361466)</f>
        <v>0.3435635124</v>
      </c>
      <c r="O70" s="8">
        <f>IFERROR(__xludf.DUMMYFUNCTION("""COMPUTED_VALUE"""),0.304990757855822)</f>
        <v>0.3049907579</v>
      </c>
      <c r="P70" s="8">
        <f>IFERROR(__xludf.DUMMYFUNCTION("""COMPUTED_VALUE"""),0.275754422476586)</f>
        <v>0.2757544225</v>
      </c>
      <c r="Q70" s="8">
        <f>IFERROR(__xludf.DUMMYFUNCTION("""COMPUTED_VALUE"""),0.316998468606431)</f>
        <v>0.3169984686</v>
      </c>
      <c r="R70" s="8">
        <f>IFERROR(__xludf.DUMMYFUNCTION("""COMPUTED_VALUE"""),0.305900621118012)</f>
        <v>0.3059006211</v>
      </c>
      <c r="S70" s="8">
        <f>IFERROR(__xludf.DUMMYFUNCTION("""COMPUTED_VALUE"""),0.218543046357615)</f>
        <v>0.2185430464</v>
      </c>
      <c r="T70" s="8">
        <f>IFERROR(__xludf.DUMMYFUNCTION("""COMPUTED_VALUE"""),0.102766798418972)</f>
        <v>0.1027667984</v>
      </c>
      <c r="U70" s="8">
        <f>IFERROR(__xludf.DUMMYFUNCTION("""COMPUTED_VALUE"""),0.0689655172413793)</f>
        <v>0.06896551724</v>
      </c>
      <c r="V70" s="8">
        <f>IFERROR(__xludf.DUMMYFUNCTION("""COMPUTED_VALUE"""),0.0)</f>
        <v>0</v>
      </c>
      <c r="W70" s="8">
        <f>IFERROR(__xludf.DUMMYFUNCTION("""COMPUTED_VALUE"""),0.0)</f>
        <v>0</v>
      </c>
      <c r="X70" s="8">
        <f>IFERROR(__xludf.DUMMYFUNCTION("""COMPUTED_VALUE"""),0.0)</f>
        <v>0</v>
      </c>
      <c r="Y70" s="8">
        <f>IFERROR(__xludf.DUMMYFUNCTION("""COMPUTED_VALUE"""),0.0)</f>
        <v>0</v>
      </c>
      <c r="Z70" s="8">
        <f>IFERROR(__xludf.DUMMYFUNCTION("""COMPUTED_VALUE"""),0.0)</f>
        <v>0</v>
      </c>
      <c r="AA70" s="8">
        <f>IFERROR(__xludf.DUMMYFUNCTION("""COMPUTED_VALUE"""),0.0)</f>
        <v>0</v>
      </c>
      <c r="AB70" s="8">
        <f>IFERROR(__xludf.DUMMYFUNCTION("""COMPUTED_VALUE"""),0.0)</f>
        <v>0</v>
      </c>
      <c r="AC70" s="8">
        <f>IFERROR(__xludf.DUMMYFUNCTION("""COMPUTED_VALUE"""),0.0)</f>
        <v>0</v>
      </c>
    </row>
    <row r="71" ht="15.75" customHeight="1">
      <c r="A71" s="6" t="str">
        <f>IFERROR(__xludf.DUMMYFUNCTION("""COMPUTED_VALUE"""),"4056d8e031445adbb80d52b1fd723609be585a3b")</f>
        <v>4056d8e031445adbb80d52b1fd723609be585a3b</v>
      </c>
      <c r="B71" s="6" t="str">
        <f>IFERROR(__xludf.DUMMYFUNCTION("""COMPUTED_VALUE"""),"Only Boy on the Bus")</f>
        <v>Only Boy on the Bus</v>
      </c>
      <c r="C71" s="6" t="str">
        <f>IFERROR(__xludf.DUMMYFUNCTION("""COMPUTED_VALUE"""),"Fantasy")</f>
        <v>Fantasy</v>
      </c>
      <c r="D71" s="5">
        <f>IFERROR(__xludf.DUMMYFUNCTION("""COMPUTED_VALUE"""),625.0)</f>
        <v>625</v>
      </c>
      <c r="E71" s="8">
        <f>IFERROR(__xludf.DUMMYFUNCTION("""COMPUTED_VALUE"""),0.9744)</f>
        <v>0.9744</v>
      </c>
      <c r="F71" s="8">
        <f>IFERROR(__xludf.DUMMYFUNCTION("""COMPUTED_VALUE"""),0.6288)</f>
        <v>0.6288</v>
      </c>
      <c r="G71" s="8">
        <f>IFERROR(__xludf.DUMMYFUNCTION("""COMPUTED_VALUE"""),0.538461538461538)</f>
        <v>0.5384615385</v>
      </c>
      <c r="H71" s="8">
        <f>IFERROR(__xludf.DUMMYFUNCTION("""COMPUTED_VALUE"""),0.493548387096774)</f>
        <v>0.4935483871</v>
      </c>
      <c r="I71" s="8">
        <f>IFERROR(__xludf.DUMMYFUNCTION("""COMPUTED_VALUE"""),0.460420032310177)</f>
        <v>0.4604200323</v>
      </c>
      <c r="J71" s="8">
        <f>IFERROR(__xludf.DUMMYFUNCTION("""COMPUTED_VALUE"""),0.442996742671009)</f>
        <v>0.4429967427</v>
      </c>
      <c r="K71" s="8">
        <f>IFERROR(__xludf.DUMMYFUNCTION("""COMPUTED_VALUE"""),0.398692810457516)</f>
        <v>0.3986928105</v>
      </c>
      <c r="L71" s="8">
        <f>IFERROR(__xludf.DUMMYFUNCTION("""COMPUTED_VALUE"""),0.386885245901639)</f>
        <v>0.3868852459</v>
      </c>
      <c r="M71" s="8">
        <f>IFERROR(__xludf.DUMMYFUNCTION("""COMPUTED_VALUE"""),0.383855024711696)</f>
        <v>0.3838550247</v>
      </c>
      <c r="N71" s="8">
        <f>IFERROR(__xludf.DUMMYFUNCTION("""COMPUTED_VALUE"""),0.376859504132231)</f>
        <v>0.3768595041</v>
      </c>
      <c r="O71" s="8">
        <f>IFERROR(__xludf.DUMMYFUNCTION("""COMPUTED_VALUE"""),0.364791288566243)</f>
        <v>0.3647912886</v>
      </c>
      <c r="P71" s="8">
        <f>IFERROR(__xludf.DUMMYFUNCTION("""COMPUTED_VALUE"""),0.291169451073985)</f>
        <v>0.2911694511</v>
      </c>
      <c r="Q71" s="8">
        <f>IFERROR(__xludf.DUMMYFUNCTION("""COMPUTED_VALUE"""),0.0766283524904214)</f>
        <v>0.07662835249</v>
      </c>
      <c r="R71" s="8">
        <f>IFERROR(__xludf.DUMMYFUNCTION("""COMPUTED_VALUE"""),0.0)</f>
        <v>0</v>
      </c>
      <c r="S71" s="8">
        <f>IFERROR(__xludf.DUMMYFUNCTION("""COMPUTED_VALUE"""),0.0)</f>
        <v>0</v>
      </c>
      <c r="T71" s="8">
        <f>IFERROR(__xludf.DUMMYFUNCTION("""COMPUTED_VALUE"""),0.0)</f>
        <v>0</v>
      </c>
      <c r="U71" s="8">
        <f>IFERROR(__xludf.DUMMYFUNCTION("""COMPUTED_VALUE"""),0.0)</f>
        <v>0</v>
      </c>
      <c r="V71" s="8">
        <f>IFERROR(__xludf.DUMMYFUNCTION("""COMPUTED_VALUE"""),0.0)</f>
        <v>0</v>
      </c>
      <c r="W71" s="8">
        <f>IFERROR(__xludf.DUMMYFUNCTION("""COMPUTED_VALUE"""),0.0)</f>
        <v>0</v>
      </c>
      <c r="X71" s="8">
        <f>IFERROR(__xludf.DUMMYFUNCTION("""COMPUTED_VALUE"""),0.0)</f>
        <v>0</v>
      </c>
      <c r="Y71" s="8">
        <f>IFERROR(__xludf.DUMMYFUNCTION("""COMPUTED_VALUE"""),0.0)</f>
        <v>0</v>
      </c>
      <c r="Z71" s="8">
        <f>IFERROR(__xludf.DUMMYFUNCTION("""COMPUTED_VALUE"""),0.0)</f>
        <v>0</v>
      </c>
      <c r="AA71" s="8">
        <f>IFERROR(__xludf.DUMMYFUNCTION("""COMPUTED_VALUE"""),0.0)</f>
        <v>0</v>
      </c>
      <c r="AB71" s="8">
        <f>IFERROR(__xludf.DUMMYFUNCTION("""COMPUTED_VALUE"""),0.0)</f>
        <v>0</v>
      </c>
      <c r="AC71" s="8">
        <f>IFERROR(__xludf.DUMMYFUNCTION("""COMPUTED_VALUE"""),0.0)</f>
        <v>0</v>
      </c>
    </row>
    <row r="72" ht="15.75" customHeight="1">
      <c r="A72" s="6" t="str">
        <f>IFERROR(__xludf.DUMMYFUNCTION("""COMPUTED_VALUE"""),"40e06046d3679811f910f8beed9306369f59c60e")</f>
        <v>40e06046d3679811f910f8beed9306369f59c60e</v>
      </c>
      <c r="B72" s="6" t="str">
        <f>IFERROR(__xludf.DUMMYFUNCTION("""COMPUTED_VALUE"""),"Lycan Unity Academy")</f>
        <v>Lycan Unity Academy</v>
      </c>
      <c r="C72" s="6" t="str">
        <f>IFERROR(__xludf.DUMMYFUNCTION("""COMPUTED_VALUE"""),"Romantasy")</f>
        <v>Romantasy</v>
      </c>
      <c r="D72" s="5">
        <f>IFERROR(__xludf.DUMMYFUNCTION("""COMPUTED_VALUE"""),1820.0)</f>
        <v>1820</v>
      </c>
      <c r="E72" s="8">
        <f>IFERROR(__xludf.DUMMYFUNCTION("""COMPUTED_VALUE"""),0.968595041322314)</f>
        <v>0.9685950413</v>
      </c>
      <c r="F72" s="8">
        <f>IFERROR(__xludf.DUMMYFUNCTION("""COMPUTED_VALUE"""),0.528989508558807)</f>
        <v>0.5289895086</v>
      </c>
      <c r="G72" s="8">
        <f>IFERROR(__xludf.DUMMYFUNCTION("""COMPUTED_VALUE"""),0.464601769911504)</f>
        <v>0.4646017699</v>
      </c>
      <c r="H72" s="8">
        <f>IFERROR(__xludf.DUMMYFUNCTION("""COMPUTED_VALUE"""),0.425567238516878)</f>
        <v>0.4255672385</v>
      </c>
      <c r="I72" s="8">
        <f>IFERROR(__xludf.DUMMYFUNCTION("""COMPUTED_VALUE"""),0.389811738648947)</f>
        <v>0.3898117386</v>
      </c>
      <c r="J72" s="8">
        <f>IFERROR(__xludf.DUMMYFUNCTION("""COMPUTED_VALUE"""),0.373200442967884)</f>
        <v>0.373200443</v>
      </c>
      <c r="K72" s="8">
        <f>IFERROR(__xludf.DUMMYFUNCTION("""COMPUTED_VALUE"""),0.362527716186252)</f>
        <v>0.3625277162</v>
      </c>
      <c r="L72" s="8">
        <f>IFERROR(__xludf.DUMMYFUNCTION("""COMPUTED_VALUE"""),0.337590227651304)</f>
        <v>0.3375902277</v>
      </c>
      <c r="M72" s="8">
        <f>IFERROR(__xludf.DUMMYFUNCTION("""COMPUTED_VALUE"""),0.314794215795328)</f>
        <v>0.3147942158</v>
      </c>
      <c r="N72" s="8">
        <f>IFERROR(__xludf.DUMMYFUNCTION("""COMPUTED_VALUE"""),0.306190741773563)</f>
        <v>0.3061907418</v>
      </c>
      <c r="O72" s="8">
        <f>IFERROR(__xludf.DUMMYFUNCTION("""COMPUTED_VALUE"""),0.265721331689272)</f>
        <v>0.2657213317</v>
      </c>
      <c r="P72" s="8">
        <f>IFERROR(__xludf.DUMMYFUNCTION("""COMPUTED_VALUE"""),0.203400503778337)</f>
        <v>0.2034005038</v>
      </c>
      <c r="Q72" s="8">
        <f>IFERROR(__xludf.DUMMYFUNCTION("""COMPUTED_VALUE"""),0.122086570477247)</f>
        <v>0.1220865705</v>
      </c>
      <c r="R72" s="8">
        <f>IFERROR(__xludf.DUMMYFUNCTION("""COMPUTED_VALUE"""),0.156862745098039)</f>
        <v>0.1568627451</v>
      </c>
      <c r="S72" s="8">
        <f>IFERROR(__xludf.DUMMYFUNCTION("""COMPUTED_VALUE"""),0.0)</f>
        <v>0</v>
      </c>
      <c r="T72" s="8">
        <f>IFERROR(__xludf.DUMMYFUNCTION("""COMPUTED_VALUE"""),0.0)</f>
        <v>0</v>
      </c>
      <c r="U72" s="8">
        <f>IFERROR(__xludf.DUMMYFUNCTION("""COMPUTED_VALUE"""),0.0)</f>
        <v>0</v>
      </c>
      <c r="V72" s="8">
        <f>IFERROR(__xludf.DUMMYFUNCTION("""COMPUTED_VALUE"""),0.0)</f>
        <v>0</v>
      </c>
      <c r="W72" s="8">
        <f>IFERROR(__xludf.DUMMYFUNCTION("""COMPUTED_VALUE"""),0.0)</f>
        <v>0</v>
      </c>
      <c r="X72" s="8">
        <f>IFERROR(__xludf.DUMMYFUNCTION("""COMPUTED_VALUE"""),0.0)</f>
        <v>0</v>
      </c>
      <c r="Y72" s="8">
        <f>IFERROR(__xludf.DUMMYFUNCTION("""COMPUTED_VALUE"""),0.0)</f>
        <v>0</v>
      </c>
      <c r="Z72" s="8">
        <f>IFERROR(__xludf.DUMMYFUNCTION("""COMPUTED_VALUE"""),0.0)</f>
        <v>0</v>
      </c>
      <c r="AA72" s="8">
        <f>IFERROR(__xludf.DUMMYFUNCTION("""COMPUTED_VALUE"""),0.0)</f>
        <v>0</v>
      </c>
      <c r="AB72" s="8">
        <f>IFERROR(__xludf.DUMMYFUNCTION("""COMPUTED_VALUE"""),0.0)</f>
        <v>0</v>
      </c>
      <c r="AC72" s="8">
        <f>IFERROR(__xludf.DUMMYFUNCTION("""COMPUTED_VALUE"""),0.0)</f>
        <v>0</v>
      </c>
    </row>
    <row r="73" ht="15.75" customHeight="1">
      <c r="A73" s="6" t="str">
        <f>IFERROR(__xludf.DUMMYFUNCTION("""COMPUTED_VALUE"""),"41afeacb4e481e249d618ae39936f1173864e026")</f>
        <v>41afeacb4e481e249d618ae39936f1173864e026</v>
      </c>
      <c r="B73" s="6" t="str">
        <f>IFERROR(__xludf.DUMMYFUNCTION("""COMPUTED_VALUE"""),"Disguised Successor")</f>
        <v>Disguised Successor</v>
      </c>
      <c r="C73" s="6" t="str">
        <f>IFERROR(__xludf.DUMMYFUNCTION("""COMPUTED_VALUE"""),"Drama")</f>
        <v>Drama</v>
      </c>
      <c r="D73" s="5">
        <f>IFERROR(__xludf.DUMMYFUNCTION("""COMPUTED_VALUE"""),982.0)</f>
        <v>982</v>
      </c>
      <c r="E73" s="8">
        <f>IFERROR(__xludf.DUMMYFUNCTION("""COMPUTED_VALUE"""),0.952089704383282)</f>
        <v>0.9520897044</v>
      </c>
      <c r="F73" s="8">
        <f>IFERROR(__xludf.DUMMYFUNCTION("""COMPUTED_VALUE"""),0.65137614678899)</f>
        <v>0.6513761468</v>
      </c>
      <c r="G73" s="8">
        <f>IFERROR(__xludf.DUMMYFUNCTION("""COMPUTED_VALUE"""),0.589194699286442)</f>
        <v>0.5891946993</v>
      </c>
      <c r="H73" s="8">
        <f>IFERROR(__xludf.DUMMYFUNCTION("""COMPUTED_VALUE"""),0.541836734693877)</f>
        <v>0.5418367347</v>
      </c>
      <c r="I73" s="8">
        <f>IFERROR(__xludf.DUMMYFUNCTION("""COMPUTED_VALUE"""),0.518367346938775)</f>
        <v>0.5183673469</v>
      </c>
      <c r="J73" s="8">
        <f>IFERROR(__xludf.DUMMYFUNCTION("""COMPUTED_VALUE"""),0.487205731832139)</f>
        <v>0.4872057318</v>
      </c>
      <c r="K73" s="8">
        <f>IFERROR(__xludf.DUMMYFUNCTION("""COMPUTED_VALUE"""),0.453333333333333)</f>
        <v>0.4533333333</v>
      </c>
      <c r="L73" s="8">
        <f>IFERROR(__xludf.DUMMYFUNCTION("""COMPUTED_VALUE"""),0.441358024691358)</f>
        <v>0.4413580247</v>
      </c>
      <c r="M73" s="8">
        <f>IFERROR(__xludf.DUMMYFUNCTION("""COMPUTED_VALUE"""),0.411946446961895)</f>
        <v>0.411946447</v>
      </c>
      <c r="N73" s="8">
        <f>IFERROR(__xludf.DUMMYFUNCTION("""COMPUTED_VALUE"""),0.382868937048503)</f>
        <v>0.382868937</v>
      </c>
      <c r="O73" s="8">
        <f>IFERROR(__xludf.DUMMYFUNCTION("""COMPUTED_VALUE"""),0.312362030905077)</f>
        <v>0.3123620309</v>
      </c>
      <c r="P73" s="8">
        <f>IFERROR(__xludf.DUMMYFUNCTION("""COMPUTED_VALUE"""),0.220828105395232)</f>
        <v>0.2208281054</v>
      </c>
      <c r="Q73" s="8">
        <f>IFERROR(__xludf.DUMMYFUNCTION("""COMPUTED_VALUE"""),0.137345679012345)</f>
        <v>0.137345679</v>
      </c>
      <c r="R73" s="8">
        <f>IFERROR(__xludf.DUMMYFUNCTION("""COMPUTED_VALUE"""),0.0566893424036281)</f>
        <v>0.0566893424</v>
      </c>
      <c r="S73" s="8">
        <f>IFERROR(__xludf.DUMMYFUNCTION("""COMPUTED_VALUE"""),0.0)</f>
        <v>0</v>
      </c>
      <c r="T73" s="8">
        <f>IFERROR(__xludf.DUMMYFUNCTION("""COMPUTED_VALUE"""),0.0)</f>
        <v>0</v>
      </c>
      <c r="U73" s="8">
        <f>IFERROR(__xludf.DUMMYFUNCTION("""COMPUTED_VALUE"""),0.0)</f>
        <v>0</v>
      </c>
      <c r="V73" s="8">
        <f>IFERROR(__xludf.DUMMYFUNCTION("""COMPUTED_VALUE"""),0.0)</f>
        <v>0</v>
      </c>
      <c r="W73" s="8">
        <f>IFERROR(__xludf.DUMMYFUNCTION("""COMPUTED_VALUE"""),0.0)</f>
        <v>0</v>
      </c>
      <c r="X73" s="8">
        <f>IFERROR(__xludf.DUMMYFUNCTION("""COMPUTED_VALUE"""),0.0)</f>
        <v>0</v>
      </c>
      <c r="Y73" s="8">
        <f>IFERROR(__xludf.DUMMYFUNCTION("""COMPUTED_VALUE"""),0.0)</f>
        <v>0</v>
      </c>
      <c r="Z73" s="8">
        <f>IFERROR(__xludf.DUMMYFUNCTION("""COMPUTED_VALUE"""),0.0)</f>
        <v>0</v>
      </c>
      <c r="AA73" s="8">
        <f>IFERROR(__xludf.DUMMYFUNCTION("""COMPUTED_VALUE"""),0.0)</f>
        <v>0</v>
      </c>
      <c r="AB73" s="8">
        <f>IFERROR(__xludf.DUMMYFUNCTION("""COMPUTED_VALUE"""),0.0)</f>
        <v>0</v>
      </c>
      <c r="AC73" s="8">
        <f>IFERROR(__xludf.DUMMYFUNCTION("""COMPUTED_VALUE"""),0.0)</f>
        <v>0</v>
      </c>
    </row>
    <row r="74" ht="15.75" customHeight="1">
      <c r="A74" s="6" t="str">
        <f>IFERROR(__xludf.DUMMYFUNCTION("""COMPUTED_VALUE"""),"41fe3152f98c34f655d93ac2fc85bf506eac3371")</f>
        <v>41fe3152f98c34f655d93ac2fc85bf506eac3371</v>
      </c>
      <c r="B74" s="6" t="str">
        <f>IFERROR(__xludf.DUMMYFUNCTION("""COMPUTED_VALUE"""),"Owen &amp; Liam")</f>
        <v>Owen &amp; Liam</v>
      </c>
      <c r="C74" s="6" t="str">
        <f>IFERROR(__xludf.DUMMYFUNCTION("""COMPUTED_VALUE"""),"Romance")</f>
        <v>Romance</v>
      </c>
      <c r="D74" s="5">
        <f>IFERROR(__xludf.DUMMYFUNCTION("""COMPUTED_VALUE"""),17957.0)</f>
        <v>17957</v>
      </c>
      <c r="E74" s="8">
        <f>IFERROR(__xludf.DUMMYFUNCTION("""COMPUTED_VALUE"""),0.917502228163992)</f>
        <v>0.9175022282</v>
      </c>
      <c r="F74" s="8">
        <f>IFERROR(__xludf.DUMMYFUNCTION("""COMPUTED_VALUE"""),0.508915635796277)</f>
        <v>0.5089156358</v>
      </c>
      <c r="G74" s="8">
        <f>IFERROR(__xludf.DUMMYFUNCTION("""COMPUTED_VALUE"""),0.426803434050618)</f>
        <v>0.4268034341</v>
      </c>
      <c r="H74" s="8">
        <f>IFERROR(__xludf.DUMMYFUNCTION("""COMPUTED_VALUE"""),0.384173544501449)</f>
        <v>0.3841735445</v>
      </c>
      <c r="I74" s="8">
        <f>IFERROR(__xludf.DUMMYFUNCTION("""COMPUTED_VALUE"""),0.356022987223121)</f>
        <v>0.3560229872</v>
      </c>
      <c r="J74" s="8">
        <f>IFERROR(__xludf.DUMMYFUNCTION("""COMPUTED_VALUE"""),0.339100346020761)</f>
        <v>0.339100346</v>
      </c>
      <c r="K74" s="8">
        <f>IFERROR(__xludf.DUMMYFUNCTION("""COMPUTED_VALUE"""),0.319267693681625)</f>
        <v>0.3192676937</v>
      </c>
      <c r="L74" s="8">
        <f>IFERROR(__xludf.DUMMYFUNCTION("""COMPUTED_VALUE"""),0.308521331248604)</f>
        <v>0.3085213312</v>
      </c>
      <c r="M74" s="8">
        <f>IFERROR(__xludf.DUMMYFUNCTION("""COMPUTED_VALUE"""),0.299206881143878)</f>
        <v>0.2992068811</v>
      </c>
      <c r="N74" s="8">
        <f>IFERROR(__xludf.DUMMYFUNCTION("""COMPUTED_VALUE"""),0.288125174629784)</f>
        <v>0.2881251746</v>
      </c>
      <c r="O74" s="8">
        <f>IFERROR(__xludf.DUMMYFUNCTION("""COMPUTED_VALUE"""),0.26001790911126)</f>
        <v>0.2600179091</v>
      </c>
      <c r="P74" s="8">
        <f>IFERROR(__xludf.DUMMYFUNCTION("""COMPUTED_VALUE"""),0.230739037792979)</f>
        <v>0.2307390378</v>
      </c>
      <c r="Q74" s="8">
        <f>IFERROR(__xludf.DUMMYFUNCTION("""COMPUTED_VALUE"""),0.183413361787894)</f>
        <v>0.1834133618</v>
      </c>
      <c r="R74" s="8">
        <f>IFERROR(__xludf.DUMMYFUNCTION("""COMPUTED_VALUE"""),0.141203551463334)</f>
        <v>0.1412035515</v>
      </c>
      <c r="S74" s="8">
        <f>IFERROR(__xludf.DUMMYFUNCTION("""COMPUTED_VALUE"""),0.122409038341784)</f>
        <v>0.1224090383</v>
      </c>
      <c r="T74" s="8">
        <f>IFERROR(__xludf.DUMMYFUNCTION("""COMPUTED_VALUE"""),0.107983973419329)</f>
        <v>0.1079839734</v>
      </c>
      <c r="U74" s="8">
        <f>IFERROR(__xludf.DUMMYFUNCTION("""COMPUTED_VALUE"""),0.0968887032783462)</f>
        <v>0.09688870328</v>
      </c>
      <c r="V74" s="8">
        <f>IFERROR(__xludf.DUMMYFUNCTION("""COMPUTED_VALUE"""),0.0887024608501118)</f>
        <v>0.08870246085</v>
      </c>
      <c r="W74" s="8">
        <f>IFERROR(__xludf.DUMMYFUNCTION("""COMPUTED_VALUE"""),0.0763897336090499)</f>
        <v>0.07638973361</v>
      </c>
      <c r="X74" s="8">
        <f>IFERROR(__xludf.DUMMYFUNCTION("""COMPUTED_VALUE"""),0.0701730665224445)</f>
        <v>0.07017306652</v>
      </c>
      <c r="Y74" s="8">
        <f>IFERROR(__xludf.DUMMYFUNCTION("""COMPUTED_VALUE"""),0.0629316960859554)</f>
        <v>0.06293169609</v>
      </c>
      <c r="Z74" s="8">
        <f>IFERROR(__xludf.DUMMYFUNCTION("""COMPUTED_VALUE"""),0.106280193236714)</f>
        <v>0.1062801932</v>
      </c>
      <c r="AA74" s="8">
        <f>IFERROR(__xludf.DUMMYFUNCTION("""COMPUTED_VALUE"""),0.0)</f>
        <v>0</v>
      </c>
      <c r="AB74" s="8">
        <f>IFERROR(__xludf.DUMMYFUNCTION("""COMPUTED_VALUE"""),0.0)</f>
        <v>0</v>
      </c>
      <c r="AC74" s="8">
        <f>IFERROR(__xludf.DUMMYFUNCTION("""COMPUTED_VALUE"""),0.0)</f>
        <v>0</v>
      </c>
    </row>
    <row r="75" ht="15.75" customHeight="1">
      <c r="A75" s="6" t="str">
        <f>IFERROR(__xludf.DUMMYFUNCTION("""COMPUTED_VALUE"""),"424b450dc35cc4bf4fc088069830e978aa97884a")</f>
        <v>424b450dc35cc4bf4fc088069830e978aa97884a</v>
      </c>
      <c r="B75" s="6" t="str">
        <f>IFERROR(__xludf.DUMMYFUNCTION("""COMPUTED_VALUE"""),"The Alpha's Witch")</f>
        <v>The Alpha's Witch</v>
      </c>
      <c r="C75" s="6" t="str">
        <f>IFERROR(__xludf.DUMMYFUNCTION("""COMPUTED_VALUE"""),"Romantasy")</f>
        <v>Romantasy</v>
      </c>
      <c r="D75" s="5">
        <f>IFERROR(__xludf.DUMMYFUNCTION("""COMPUTED_VALUE"""),1791.0)</f>
        <v>1791</v>
      </c>
      <c r="E75" s="8">
        <f>IFERROR(__xludf.DUMMYFUNCTION("""COMPUTED_VALUE"""),0.979899497487437)</f>
        <v>0.9798994975</v>
      </c>
      <c r="F75" s="8">
        <f>IFERROR(__xludf.DUMMYFUNCTION("""COMPUTED_VALUE"""),0.592737430167597)</f>
        <v>0.5927374302</v>
      </c>
      <c r="G75" s="8">
        <f>IFERROR(__xludf.DUMMYFUNCTION("""COMPUTED_VALUE"""),0.520402459474566)</f>
        <v>0.5204024595</v>
      </c>
      <c r="H75" s="8">
        <f>IFERROR(__xludf.DUMMYFUNCTION("""COMPUTED_VALUE"""),0.456375838926174)</f>
        <v>0.4563758389</v>
      </c>
      <c r="I75" s="8">
        <f>IFERROR(__xludf.DUMMYFUNCTION("""COMPUTED_VALUE"""),0.422172452407614)</f>
        <v>0.4221724524</v>
      </c>
      <c r="J75" s="8">
        <f>IFERROR(__xludf.DUMMYFUNCTION("""COMPUTED_VALUE"""),0.4006734006734)</f>
        <v>0.4006734007</v>
      </c>
      <c r="K75" s="8">
        <f>IFERROR(__xludf.DUMMYFUNCTION("""COMPUTED_VALUE"""),0.385176866928691)</f>
        <v>0.3851768669</v>
      </c>
      <c r="L75" s="8">
        <f>IFERROR(__xludf.DUMMYFUNCTION("""COMPUTED_VALUE"""),0.377178189994378)</f>
        <v>0.37717819</v>
      </c>
      <c r="M75" s="8">
        <f>IFERROR(__xludf.DUMMYFUNCTION("""COMPUTED_VALUE"""),0.367738296672306)</f>
        <v>0.3677382967</v>
      </c>
      <c r="N75" s="8">
        <f>IFERROR(__xludf.DUMMYFUNCTION("""COMPUTED_VALUE"""),0.349887133182844)</f>
        <v>0.3498871332</v>
      </c>
      <c r="O75" s="8">
        <f>IFERROR(__xludf.DUMMYFUNCTION("""COMPUTED_VALUE"""),0.216763005780346)</f>
        <v>0.2167630058</v>
      </c>
      <c r="P75" s="8">
        <f>IFERROR(__xludf.DUMMYFUNCTION("""COMPUTED_VALUE"""),0.187540558079169)</f>
        <v>0.1875405581</v>
      </c>
      <c r="Q75" s="8">
        <f>IFERROR(__xludf.DUMMYFUNCTION("""COMPUTED_VALUE"""),0.158792650918635)</f>
        <v>0.1587926509</v>
      </c>
      <c r="R75" s="8">
        <f>IFERROR(__xludf.DUMMYFUNCTION("""COMPUTED_VALUE"""),0.161290322580645)</f>
        <v>0.1612903226</v>
      </c>
      <c r="S75" s="8">
        <f>IFERROR(__xludf.DUMMYFUNCTION("""COMPUTED_VALUE"""),0.0)</f>
        <v>0</v>
      </c>
      <c r="T75" s="8">
        <f>IFERROR(__xludf.DUMMYFUNCTION("""COMPUTED_VALUE"""),0.0)</f>
        <v>0</v>
      </c>
      <c r="U75" s="8">
        <f>IFERROR(__xludf.DUMMYFUNCTION("""COMPUTED_VALUE"""),0.0)</f>
        <v>0</v>
      </c>
      <c r="V75" s="8">
        <f>IFERROR(__xludf.DUMMYFUNCTION("""COMPUTED_VALUE"""),0.0)</f>
        <v>0</v>
      </c>
      <c r="W75" s="8">
        <f>IFERROR(__xludf.DUMMYFUNCTION("""COMPUTED_VALUE"""),0.0)</f>
        <v>0</v>
      </c>
      <c r="X75" s="8">
        <f>IFERROR(__xludf.DUMMYFUNCTION("""COMPUTED_VALUE"""),0.0)</f>
        <v>0</v>
      </c>
      <c r="Y75" s="8">
        <f>IFERROR(__xludf.DUMMYFUNCTION("""COMPUTED_VALUE"""),0.0)</f>
        <v>0</v>
      </c>
      <c r="Z75" s="8">
        <f>IFERROR(__xludf.DUMMYFUNCTION("""COMPUTED_VALUE"""),0.0)</f>
        <v>0</v>
      </c>
      <c r="AA75" s="8">
        <f>IFERROR(__xludf.DUMMYFUNCTION("""COMPUTED_VALUE"""),0.0)</f>
        <v>0</v>
      </c>
      <c r="AB75" s="8">
        <f>IFERROR(__xludf.DUMMYFUNCTION("""COMPUTED_VALUE"""),0.0)</f>
        <v>0</v>
      </c>
      <c r="AC75" s="8">
        <f>IFERROR(__xludf.DUMMYFUNCTION("""COMPUTED_VALUE"""),0.0)</f>
        <v>0</v>
      </c>
    </row>
    <row r="76" ht="15.75" customHeight="1">
      <c r="A76" s="6" t="str">
        <f>IFERROR(__xludf.DUMMYFUNCTION("""COMPUTED_VALUE"""),"42515091e7b47b7b2d2381d7512fdb9f9866aa1e")</f>
        <v>42515091e7b47b7b2d2381d7512fdb9f9866aa1e</v>
      </c>
      <c r="B76" s="6" t="str">
        <f>IFERROR(__xludf.DUMMYFUNCTION("""COMPUTED_VALUE"""),"The Tomboy Love Story")</f>
        <v>The Tomboy Love Story</v>
      </c>
      <c r="C76" s="6" t="str">
        <f>IFERROR(__xludf.DUMMYFUNCTION("""COMPUTED_VALUE"""),"Romance")</f>
        <v>Romance</v>
      </c>
      <c r="D76" s="5">
        <f>IFERROR(__xludf.DUMMYFUNCTION("""COMPUTED_VALUE"""),3794.0)</f>
        <v>3794</v>
      </c>
      <c r="E76" s="8">
        <f>IFERROR(__xludf.DUMMYFUNCTION("""COMPUTED_VALUE"""),0.962169312169312)</f>
        <v>0.9621693122</v>
      </c>
      <c r="F76" s="8">
        <f>IFERROR(__xludf.DUMMYFUNCTION("""COMPUTED_VALUE"""),0.538849111641474)</f>
        <v>0.5388491116</v>
      </c>
      <c r="G76" s="8">
        <f>IFERROR(__xludf.DUMMYFUNCTION("""COMPUTED_VALUE"""),0.463110403397027)</f>
        <v>0.4631104034</v>
      </c>
      <c r="H76" s="8">
        <f>IFERROR(__xludf.DUMMYFUNCTION("""COMPUTED_VALUE"""),0.423904382470119)</f>
        <v>0.4239043825</v>
      </c>
      <c r="I76" s="8">
        <f>IFERROR(__xludf.DUMMYFUNCTION("""COMPUTED_VALUE"""),0.3990435706695)</f>
        <v>0.3990435707</v>
      </c>
      <c r="J76" s="8">
        <f>IFERROR(__xludf.DUMMYFUNCTION("""COMPUTED_VALUE"""),0.380015944724953)</f>
        <v>0.3800159447</v>
      </c>
      <c r="K76" s="8">
        <f>IFERROR(__xludf.DUMMYFUNCTION("""COMPUTED_VALUE"""),0.368323146425724)</f>
        <v>0.3683231464</v>
      </c>
      <c r="L76" s="8">
        <f>IFERROR(__xludf.DUMMYFUNCTION("""COMPUTED_VALUE"""),0.36182108626198)</f>
        <v>0.3618210863</v>
      </c>
      <c r="M76" s="8">
        <f>IFERROR(__xludf.DUMMYFUNCTION("""COMPUTED_VALUE"""),0.352502662406815)</f>
        <v>0.3525026624</v>
      </c>
      <c r="N76" s="8">
        <f>IFERROR(__xludf.DUMMYFUNCTION("""COMPUTED_VALUE"""),0.346830047948854)</f>
        <v>0.3468300479</v>
      </c>
      <c r="O76" s="8">
        <f>IFERROR(__xludf.DUMMYFUNCTION("""COMPUTED_VALUE"""),0.316058002148227)</f>
        <v>0.3160580021</v>
      </c>
      <c r="P76" s="8">
        <f>IFERROR(__xludf.DUMMYFUNCTION("""COMPUTED_VALUE"""),0.242389098289359)</f>
        <v>0.2423890983</v>
      </c>
      <c r="Q76" s="8">
        <f>IFERROR(__xludf.DUMMYFUNCTION("""COMPUTED_VALUE"""),0.176267848350566)</f>
        <v>0.1762678484</v>
      </c>
      <c r="R76" s="8">
        <f>IFERROR(__xludf.DUMMYFUNCTION("""COMPUTED_VALUE"""),0.131608548931383)</f>
        <v>0.1316085489</v>
      </c>
      <c r="S76" s="8">
        <f>IFERROR(__xludf.DUMMYFUNCTION("""COMPUTED_VALUE"""),0.171428571428571)</f>
        <v>0.1714285714</v>
      </c>
      <c r="T76" s="8">
        <f>IFERROR(__xludf.DUMMYFUNCTION("""COMPUTED_VALUE"""),0.0)</f>
        <v>0</v>
      </c>
      <c r="U76" s="8">
        <f>IFERROR(__xludf.DUMMYFUNCTION("""COMPUTED_VALUE"""),0.0)</f>
        <v>0</v>
      </c>
      <c r="V76" s="8">
        <f>IFERROR(__xludf.DUMMYFUNCTION("""COMPUTED_VALUE"""),0.0)</f>
        <v>0</v>
      </c>
      <c r="W76" s="8">
        <f>IFERROR(__xludf.DUMMYFUNCTION("""COMPUTED_VALUE"""),0.0)</f>
        <v>0</v>
      </c>
      <c r="X76" s="8">
        <f>IFERROR(__xludf.DUMMYFUNCTION("""COMPUTED_VALUE"""),0.0)</f>
        <v>0</v>
      </c>
      <c r="Y76" s="8">
        <f>IFERROR(__xludf.DUMMYFUNCTION("""COMPUTED_VALUE"""),0.0)</f>
        <v>0</v>
      </c>
      <c r="Z76" s="8">
        <f>IFERROR(__xludf.DUMMYFUNCTION("""COMPUTED_VALUE"""),0.0)</f>
        <v>0</v>
      </c>
      <c r="AA76" s="8">
        <f>IFERROR(__xludf.DUMMYFUNCTION("""COMPUTED_VALUE"""),0.0)</f>
        <v>0</v>
      </c>
      <c r="AB76" s="8">
        <f>IFERROR(__xludf.DUMMYFUNCTION("""COMPUTED_VALUE"""),0.0)</f>
        <v>0</v>
      </c>
      <c r="AC76" s="8">
        <f>IFERROR(__xludf.DUMMYFUNCTION("""COMPUTED_VALUE"""),0.0)</f>
        <v>0</v>
      </c>
    </row>
    <row r="77" ht="15.75" customHeight="1">
      <c r="A77" s="6" t="str">
        <f>IFERROR(__xludf.DUMMYFUNCTION("""COMPUTED_VALUE"""),"4335258b71733375cbccc0fbf7ce0bf0975b095d")</f>
        <v>4335258b71733375cbccc0fbf7ce0bf0975b095d</v>
      </c>
      <c r="B77" s="6" t="str">
        <f>IFERROR(__xludf.DUMMYFUNCTION("""COMPUTED_VALUE"""),"Alex &amp; the Prison System")</f>
        <v>Alex &amp; the Prison System</v>
      </c>
      <c r="C77" s="6" t="str">
        <f>IFERROR(__xludf.DUMMYFUNCTION("""COMPUTED_VALUE"""),"System and Superpower")</f>
        <v>System and Superpower</v>
      </c>
      <c r="D77" s="5">
        <f>IFERROR(__xludf.DUMMYFUNCTION("""COMPUTED_VALUE"""),1671.0)</f>
        <v>1671</v>
      </c>
      <c r="E77" s="8">
        <f>IFERROR(__xludf.DUMMYFUNCTION("""COMPUTED_VALUE"""),0.952637889688249)</f>
        <v>0.9526378897</v>
      </c>
      <c r="F77" s="8">
        <f>IFERROR(__xludf.DUMMYFUNCTION("""COMPUTED_VALUE"""),0.696514423076923)</f>
        <v>0.6965144231</v>
      </c>
      <c r="G77" s="8">
        <f>IFERROR(__xludf.DUMMYFUNCTION("""COMPUTED_VALUE"""),0.637733574442435)</f>
        <v>0.6377335744</v>
      </c>
      <c r="H77" s="8">
        <f>IFERROR(__xludf.DUMMYFUNCTION("""COMPUTED_VALUE"""),0.620084694494857)</f>
        <v>0.6200846945</v>
      </c>
      <c r="I77" s="8">
        <f>IFERROR(__xludf.DUMMYFUNCTION("""COMPUTED_VALUE"""),0.594414086217364)</f>
        <v>0.5944140862</v>
      </c>
      <c r="J77" s="8">
        <f>IFERROR(__xludf.DUMMYFUNCTION("""COMPUTED_VALUE"""),0.582978723404255)</f>
        <v>0.5829787234</v>
      </c>
      <c r="K77" s="8">
        <f>IFERROR(__xludf.DUMMYFUNCTION("""COMPUTED_VALUE"""),0.576126674786845)</f>
        <v>0.5761266748</v>
      </c>
      <c r="L77" s="8">
        <f>IFERROR(__xludf.DUMMYFUNCTION("""COMPUTED_VALUE"""),0.563992651561543)</f>
        <v>0.5639926516</v>
      </c>
      <c r="M77" s="8">
        <f>IFERROR(__xludf.DUMMYFUNCTION("""COMPUTED_VALUE"""),0.54723926380368)</f>
        <v>0.5472392638</v>
      </c>
      <c r="N77" s="8">
        <f>IFERROR(__xludf.DUMMYFUNCTION("""COMPUTED_VALUE"""),0.523456790123456)</f>
        <v>0.5234567901</v>
      </c>
      <c r="O77" s="8">
        <f>IFERROR(__xludf.DUMMYFUNCTION("""COMPUTED_VALUE"""),0.431468531468531)</f>
        <v>0.4314685315</v>
      </c>
      <c r="P77" s="8">
        <f>IFERROR(__xludf.DUMMYFUNCTION("""COMPUTED_VALUE"""),0.31053901850362)</f>
        <v>0.3105390185</v>
      </c>
      <c r="Q77" s="8">
        <f>IFERROR(__xludf.DUMMYFUNCTION("""COMPUTED_VALUE"""),0.247549019607843)</f>
        <v>0.2475490196</v>
      </c>
      <c r="R77" s="8">
        <f>IFERROR(__xludf.DUMMYFUNCTION("""COMPUTED_VALUE"""),0.265306122448979)</f>
        <v>0.2653061224</v>
      </c>
      <c r="S77" s="8">
        <f>IFERROR(__xludf.DUMMYFUNCTION("""COMPUTED_VALUE"""),0.142857142857142)</f>
        <v>0.1428571429</v>
      </c>
      <c r="T77" s="8">
        <f>IFERROR(__xludf.DUMMYFUNCTION("""COMPUTED_VALUE"""),0.0)</f>
        <v>0</v>
      </c>
      <c r="U77" s="8">
        <f>IFERROR(__xludf.DUMMYFUNCTION("""COMPUTED_VALUE"""),0.0)</f>
        <v>0</v>
      </c>
      <c r="V77" s="8">
        <f>IFERROR(__xludf.DUMMYFUNCTION("""COMPUTED_VALUE"""),0.0)</f>
        <v>0</v>
      </c>
      <c r="W77" s="8">
        <f>IFERROR(__xludf.DUMMYFUNCTION("""COMPUTED_VALUE"""),0.0)</f>
        <v>0</v>
      </c>
      <c r="X77" s="8">
        <f>IFERROR(__xludf.DUMMYFUNCTION("""COMPUTED_VALUE"""),0.0)</f>
        <v>0</v>
      </c>
      <c r="Y77" s="8">
        <f>IFERROR(__xludf.DUMMYFUNCTION("""COMPUTED_VALUE"""),0.0)</f>
        <v>0</v>
      </c>
      <c r="Z77" s="8">
        <f>IFERROR(__xludf.DUMMYFUNCTION("""COMPUTED_VALUE"""),0.0)</f>
        <v>0</v>
      </c>
      <c r="AA77" s="8">
        <f>IFERROR(__xludf.DUMMYFUNCTION("""COMPUTED_VALUE"""),0.0)</f>
        <v>0</v>
      </c>
      <c r="AB77" s="8">
        <f>IFERROR(__xludf.DUMMYFUNCTION("""COMPUTED_VALUE"""),0.0)</f>
        <v>0</v>
      </c>
      <c r="AC77" s="8">
        <f>IFERROR(__xludf.DUMMYFUNCTION("""COMPUTED_VALUE"""),0.0)</f>
        <v>0</v>
      </c>
    </row>
    <row r="78" ht="15.75" customHeight="1">
      <c r="A78" s="6" t="str">
        <f>IFERROR(__xludf.DUMMYFUNCTION("""COMPUTED_VALUE"""),"43de49339ed40a2c4d8acef5644870ce292f541e")</f>
        <v>43de49339ed40a2c4d8acef5644870ce292f541e</v>
      </c>
      <c r="B78" s="6" t="str">
        <f>IFERROR(__xludf.DUMMYFUNCTION("""COMPUTED_VALUE"""),"Second Chances: Reborn to Be a CEO’s Wife")</f>
        <v>Second Chances: Reborn to Be a CEO’s Wife</v>
      </c>
      <c r="C78" s="6" t="str">
        <f>IFERROR(__xludf.DUMMYFUNCTION("""COMPUTED_VALUE"""),"Romance")</f>
        <v>Romance</v>
      </c>
      <c r="D78" s="5">
        <f>IFERROR(__xludf.DUMMYFUNCTION("""COMPUTED_VALUE"""),1144.0)</f>
        <v>1144</v>
      </c>
      <c r="E78" s="8">
        <f>IFERROR(__xludf.DUMMYFUNCTION("""COMPUTED_VALUE"""),0.932692307692307)</f>
        <v>0.9326923077</v>
      </c>
      <c r="F78" s="8">
        <f>IFERROR(__xludf.DUMMYFUNCTION("""COMPUTED_VALUE"""),0.62062937062937)</f>
        <v>0.6206293706</v>
      </c>
      <c r="G78" s="8">
        <f>IFERROR(__xludf.DUMMYFUNCTION("""COMPUTED_VALUE"""),0.553900087642418)</f>
        <v>0.5539000876</v>
      </c>
      <c r="H78" s="8">
        <f>IFERROR(__xludf.DUMMYFUNCTION("""COMPUTED_VALUE"""),0.48902546093064)</f>
        <v>0.4890254609</v>
      </c>
      <c r="I78" s="8">
        <f>IFERROR(__xludf.DUMMYFUNCTION("""COMPUTED_VALUE"""),0.457746478873239)</f>
        <v>0.4577464789</v>
      </c>
      <c r="J78" s="8">
        <f>IFERROR(__xludf.DUMMYFUNCTION("""COMPUTED_VALUE"""),0.419383259911894)</f>
        <v>0.4193832599</v>
      </c>
      <c r="K78" s="8">
        <f>IFERROR(__xludf.DUMMYFUNCTION("""COMPUTED_VALUE"""),0.388888888888888)</f>
        <v>0.3888888889</v>
      </c>
      <c r="L78" s="8">
        <f>IFERROR(__xludf.DUMMYFUNCTION("""COMPUTED_VALUE"""),0.372236958443855)</f>
        <v>0.3722369584</v>
      </c>
      <c r="M78" s="8">
        <f>IFERROR(__xludf.DUMMYFUNCTION("""COMPUTED_VALUE"""),0.341009743135518)</f>
        <v>0.3410097431</v>
      </c>
      <c r="N78" s="8">
        <f>IFERROR(__xludf.DUMMYFUNCTION("""COMPUTED_VALUE"""),0.317657497781721)</f>
        <v>0.3176574978</v>
      </c>
      <c r="O78" s="8">
        <f>IFERROR(__xludf.DUMMYFUNCTION("""COMPUTED_VALUE"""),0.277280858676207)</f>
        <v>0.2772808587</v>
      </c>
      <c r="P78" s="8">
        <f>IFERROR(__xludf.DUMMYFUNCTION("""COMPUTED_VALUE"""),0.139872842870118)</f>
        <v>0.1398728429</v>
      </c>
      <c r="Q78" s="8">
        <f>IFERROR(__xludf.DUMMYFUNCTION("""COMPUTED_VALUE"""),0.0353159851301115)</f>
        <v>0.03531598513</v>
      </c>
      <c r="R78" s="8">
        <f>IFERROR(__xludf.DUMMYFUNCTION("""COMPUTED_VALUE"""),0.0)</f>
        <v>0</v>
      </c>
      <c r="S78" s="8">
        <f>IFERROR(__xludf.DUMMYFUNCTION("""COMPUTED_VALUE"""),0.0)</f>
        <v>0</v>
      </c>
      <c r="T78" s="8">
        <f>IFERROR(__xludf.DUMMYFUNCTION("""COMPUTED_VALUE"""),0.0)</f>
        <v>0</v>
      </c>
      <c r="U78" s="8">
        <f>IFERROR(__xludf.DUMMYFUNCTION("""COMPUTED_VALUE"""),0.0)</f>
        <v>0</v>
      </c>
      <c r="V78" s="8">
        <f>IFERROR(__xludf.DUMMYFUNCTION("""COMPUTED_VALUE"""),0.0)</f>
        <v>0</v>
      </c>
      <c r="W78" s="8">
        <f>IFERROR(__xludf.DUMMYFUNCTION("""COMPUTED_VALUE"""),0.0)</f>
        <v>0</v>
      </c>
      <c r="X78" s="8">
        <f>IFERROR(__xludf.DUMMYFUNCTION("""COMPUTED_VALUE"""),0.0)</f>
        <v>0</v>
      </c>
      <c r="Y78" s="8">
        <f>IFERROR(__xludf.DUMMYFUNCTION("""COMPUTED_VALUE"""),0.0)</f>
        <v>0</v>
      </c>
      <c r="Z78" s="8">
        <f>IFERROR(__xludf.DUMMYFUNCTION("""COMPUTED_VALUE"""),0.0)</f>
        <v>0</v>
      </c>
      <c r="AA78" s="8">
        <f>IFERROR(__xludf.DUMMYFUNCTION("""COMPUTED_VALUE"""),0.0)</f>
        <v>0</v>
      </c>
      <c r="AB78" s="8">
        <f>IFERROR(__xludf.DUMMYFUNCTION("""COMPUTED_VALUE"""),0.0)</f>
        <v>0</v>
      </c>
      <c r="AC78" s="8">
        <f>IFERROR(__xludf.DUMMYFUNCTION("""COMPUTED_VALUE"""),0.0)</f>
        <v>0</v>
      </c>
    </row>
    <row r="79" ht="15.75" customHeight="1">
      <c r="A79" s="6" t="str">
        <f>IFERROR(__xludf.DUMMYFUNCTION("""COMPUTED_VALUE"""),"442d4dce8ca376c2bb4438209980daa53b761b51")</f>
        <v>442d4dce8ca376c2bb4438209980daa53b761b51</v>
      </c>
      <c r="B79" s="6" t="str">
        <f>IFERROR(__xludf.DUMMYFUNCTION("""COMPUTED_VALUE"""),"Rejected and Craved")</f>
        <v>Rejected and Craved</v>
      </c>
      <c r="C79" s="6" t="str">
        <f>IFERROR(__xludf.DUMMYFUNCTION("""COMPUTED_VALUE"""),"Romantasy")</f>
        <v>Romantasy</v>
      </c>
      <c r="D79" s="5">
        <f>IFERROR(__xludf.DUMMYFUNCTION("""COMPUTED_VALUE"""),930.0)</f>
        <v>930</v>
      </c>
      <c r="E79" s="8">
        <f>IFERROR(__xludf.DUMMYFUNCTION("""COMPUTED_VALUE"""),0.964516129032258)</f>
        <v>0.964516129</v>
      </c>
      <c r="F79" s="8">
        <f>IFERROR(__xludf.DUMMYFUNCTION("""COMPUTED_VALUE"""),0.623250807319698)</f>
        <v>0.6232508073</v>
      </c>
      <c r="G79" s="8">
        <f>IFERROR(__xludf.DUMMYFUNCTION("""COMPUTED_VALUE"""),0.591594827586206)</f>
        <v>0.5915948276</v>
      </c>
      <c r="H79" s="8">
        <f>IFERROR(__xludf.DUMMYFUNCTION("""COMPUTED_VALUE"""),0.57497303128371)</f>
        <v>0.5749730313</v>
      </c>
      <c r="I79" s="8">
        <f>IFERROR(__xludf.DUMMYFUNCTION("""COMPUTED_VALUE"""),0.556277056277056)</f>
        <v>0.5562770563</v>
      </c>
      <c r="J79" s="8">
        <f>IFERROR(__xludf.DUMMYFUNCTION("""COMPUTED_VALUE"""),0.520652173913043)</f>
        <v>0.5206521739</v>
      </c>
      <c r="K79" s="8">
        <f>IFERROR(__xludf.DUMMYFUNCTION("""COMPUTED_VALUE"""),0.502173913043478)</f>
        <v>0.502173913</v>
      </c>
      <c r="L79" s="8">
        <f>IFERROR(__xludf.DUMMYFUNCTION("""COMPUTED_VALUE"""),0.484782608695652)</f>
        <v>0.4847826087</v>
      </c>
      <c r="M79" s="8">
        <f>IFERROR(__xludf.DUMMYFUNCTION("""COMPUTED_VALUE"""),0.494565217391304)</f>
        <v>0.4945652174</v>
      </c>
      <c r="N79" s="8">
        <f>IFERROR(__xludf.DUMMYFUNCTION("""COMPUTED_VALUE"""),0.469565217391304)</f>
        <v>0.4695652174</v>
      </c>
      <c r="O79" s="8">
        <f>IFERROR(__xludf.DUMMYFUNCTION("""COMPUTED_VALUE"""),0.390103567318757)</f>
        <v>0.3901035673</v>
      </c>
      <c r="P79" s="8">
        <f>IFERROR(__xludf.DUMMYFUNCTION("""COMPUTED_VALUE"""),0.268321513002364)</f>
        <v>0.268321513</v>
      </c>
      <c r="Q79" s="8">
        <f>IFERROR(__xludf.DUMMYFUNCTION("""COMPUTED_VALUE"""),0.075107296137339)</f>
        <v>0.07510729614</v>
      </c>
      <c r="R79" s="8">
        <f>IFERROR(__xludf.DUMMYFUNCTION("""COMPUTED_VALUE"""),0.0)</f>
        <v>0</v>
      </c>
      <c r="S79" s="8">
        <f>IFERROR(__xludf.DUMMYFUNCTION("""COMPUTED_VALUE"""),0.0)</f>
        <v>0</v>
      </c>
      <c r="T79" s="8">
        <f>IFERROR(__xludf.DUMMYFUNCTION("""COMPUTED_VALUE"""),0.0)</f>
        <v>0</v>
      </c>
      <c r="U79" s="8">
        <f>IFERROR(__xludf.DUMMYFUNCTION("""COMPUTED_VALUE"""),0.0)</f>
        <v>0</v>
      </c>
      <c r="V79" s="8">
        <f>IFERROR(__xludf.DUMMYFUNCTION("""COMPUTED_VALUE"""),0.0)</f>
        <v>0</v>
      </c>
      <c r="W79" s="8">
        <f>IFERROR(__xludf.DUMMYFUNCTION("""COMPUTED_VALUE"""),0.0)</f>
        <v>0</v>
      </c>
      <c r="X79" s="8">
        <f>IFERROR(__xludf.DUMMYFUNCTION("""COMPUTED_VALUE"""),0.0)</f>
        <v>0</v>
      </c>
      <c r="Y79" s="8">
        <f>IFERROR(__xludf.DUMMYFUNCTION("""COMPUTED_VALUE"""),0.0)</f>
        <v>0</v>
      </c>
      <c r="Z79" s="8">
        <f>IFERROR(__xludf.DUMMYFUNCTION("""COMPUTED_VALUE"""),0.0)</f>
        <v>0</v>
      </c>
      <c r="AA79" s="8">
        <f>IFERROR(__xludf.DUMMYFUNCTION("""COMPUTED_VALUE"""),0.0)</f>
        <v>0</v>
      </c>
      <c r="AB79" s="8">
        <f>IFERROR(__xludf.DUMMYFUNCTION("""COMPUTED_VALUE"""),0.0)</f>
        <v>0</v>
      </c>
      <c r="AC79" s="8">
        <f>IFERROR(__xludf.DUMMYFUNCTION("""COMPUTED_VALUE"""),0.0)</f>
        <v>0</v>
      </c>
    </row>
    <row r="80" ht="15.75" customHeight="1">
      <c r="A80" s="6" t="str">
        <f>IFERROR(__xludf.DUMMYFUNCTION("""COMPUTED_VALUE"""),"446d5769edafce0d5daf04c6cfc40515f289004f")</f>
        <v>446d5769edafce0d5daf04c6cfc40515f289004f</v>
      </c>
      <c r="B80" s="6" t="str">
        <f>IFERROR(__xludf.DUMMYFUNCTION("""COMPUTED_VALUE"""),"The Cloaked Mogul")</f>
        <v>The Cloaked Mogul</v>
      </c>
      <c r="C80" s="6" t="str">
        <f>IFERROR(__xludf.DUMMYFUNCTION("""COMPUTED_VALUE"""),"Drama")</f>
        <v>Drama</v>
      </c>
      <c r="D80" s="5">
        <f>IFERROR(__xludf.DUMMYFUNCTION("""COMPUTED_VALUE"""),8025.0)</f>
        <v>8025</v>
      </c>
      <c r="E80" s="8">
        <f>IFERROR(__xludf.DUMMYFUNCTION("""COMPUTED_VALUE"""),0.911794102948525)</f>
        <v>0.9117941029</v>
      </c>
      <c r="F80" s="8">
        <f>IFERROR(__xludf.DUMMYFUNCTION("""COMPUTED_VALUE"""),0.45128526645768)</f>
        <v>0.4512852665</v>
      </c>
      <c r="G80" s="8">
        <f>IFERROR(__xludf.DUMMYFUNCTION("""COMPUTED_VALUE"""),0.408417085427135)</f>
        <v>0.4084170854</v>
      </c>
      <c r="H80" s="8">
        <f>IFERROR(__xludf.DUMMYFUNCTION("""COMPUTED_VALUE"""),0.385303755986891)</f>
        <v>0.385303756</v>
      </c>
      <c r="I80" s="8">
        <f>IFERROR(__xludf.DUMMYFUNCTION("""COMPUTED_VALUE"""),0.367788461538461)</f>
        <v>0.3677884615</v>
      </c>
      <c r="J80" s="8">
        <f>IFERROR(__xludf.DUMMYFUNCTION("""COMPUTED_VALUE"""),0.357687420584498)</f>
        <v>0.3576874206</v>
      </c>
      <c r="K80" s="8">
        <f>IFERROR(__xludf.DUMMYFUNCTION("""COMPUTED_VALUE"""),0.347931562819203)</f>
        <v>0.3479315628</v>
      </c>
      <c r="L80" s="8">
        <f>IFERROR(__xludf.DUMMYFUNCTION("""COMPUTED_VALUE"""),0.340338288057406)</f>
        <v>0.3403382881</v>
      </c>
      <c r="M80" s="8">
        <f>IFERROR(__xludf.DUMMYFUNCTION("""COMPUTED_VALUE"""),0.336250160854458)</f>
        <v>0.3362501609</v>
      </c>
      <c r="N80" s="8">
        <f>IFERROR(__xludf.DUMMYFUNCTION("""COMPUTED_VALUE"""),0.327735434698359)</f>
        <v>0.3277354347</v>
      </c>
      <c r="O80" s="8">
        <f>IFERROR(__xludf.DUMMYFUNCTION("""COMPUTED_VALUE"""),0.306496244564501)</f>
        <v>0.3064962446</v>
      </c>
      <c r="P80" s="8">
        <f>IFERROR(__xludf.DUMMYFUNCTION("""COMPUTED_VALUE"""),0.269969123372264)</f>
        <v>0.2699691234</v>
      </c>
      <c r="Q80" s="8">
        <f>IFERROR(__xludf.DUMMYFUNCTION("""COMPUTED_VALUE"""),0.201928530913216)</f>
        <v>0.2019285309</v>
      </c>
      <c r="R80" s="8">
        <f>IFERROR(__xludf.DUMMYFUNCTION("""COMPUTED_VALUE"""),0.130289346044489)</f>
        <v>0.130289346</v>
      </c>
      <c r="S80" s="8">
        <f>IFERROR(__xludf.DUMMYFUNCTION("""COMPUTED_VALUE"""),0.11654403038215)</f>
        <v>0.1165440304</v>
      </c>
      <c r="T80" s="8">
        <f>IFERROR(__xludf.DUMMYFUNCTION("""COMPUTED_VALUE"""),0.10762331838565)</f>
        <v>0.1076233184</v>
      </c>
      <c r="U80" s="8">
        <f>IFERROR(__xludf.DUMMYFUNCTION("""COMPUTED_VALUE"""),0.0917254650416933)</f>
        <v>0.09172546504</v>
      </c>
      <c r="V80" s="8">
        <f>IFERROR(__xludf.DUMMYFUNCTION("""COMPUTED_VALUE"""),0.0800157666535277)</f>
        <v>0.08001576665</v>
      </c>
      <c r="W80" s="8">
        <f>IFERROR(__xludf.DUMMYFUNCTION("""COMPUTED_VALUE"""),0.0431547619047619)</f>
        <v>0.0431547619</v>
      </c>
      <c r="X80" s="8">
        <f>IFERROR(__xludf.DUMMYFUNCTION("""COMPUTED_VALUE"""),0.0)</f>
        <v>0</v>
      </c>
      <c r="Y80" s="8">
        <f>IFERROR(__xludf.DUMMYFUNCTION("""COMPUTED_VALUE"""),0.0)</f>
        <v>0</v>
      </c>
      <c r="Z80" s="8">
        <f>IFERROR(__xludf.DUMMYFUNCTION("""COMPUTED_VALUE"""),0.0)</f>
        <v>0</v>
      </c>
      <c r="AA80" s="8">
        <f>IFERROR(__xludf.DUMMYFUNCTION("""COMPUTED_VALUE"""),0.0)</f>
        <v>0</v>
      </c>
      <c r="AB80" s="8">
        <f>IFERROR(__xludf.DUMMYFUNCTION("""COMPUTED_VALUE"""),0.0)</f>
        <v>0</v>
      </c>
      <c r="AC80" s="8">
        <f>IFERROR(__xludf.DUMMYFUNCTION("""COMPUTED_VALUE"""),0.0)</f>
        <v>0</v>
      </c>
    </row>
    <row r="81" ht="15.75" customHeight="1">
      <c r="A81" s="6" t="str">
        <f>IFERROR(__xludf.DUMMYFUNCTION("""COMPUTED_VALUE"""),"44c616c59b6b2cd7fcb80263ece968b250ad9dbe")</f>
        <v>44c616c59b6b2cd7fcb80263ece968b250ad9dbe</v>
      </c>
      <c r="B81" s="6" t="str">
        <f>IFERROR(__xludf.DUMMYFUNCTION("""COMPUTED_VALUE"""),"Supreme Miracle Doctor")</f>
        <v>Supreme Miracle Doctor</v>
      </c>
      <c r="C81" s="6" t="str">
        <f>IFERROR(__xludf.DUMMYFUNCTION("""COMPUTED_VALUE"""),"Drama")</f>
        <v>Drama</v>
      </c>
      <c r="D81" s="5">
        <f>IFERROR(__xludf.DUMMYFUNCTION("""COMPUTED_VALUE"""),642.0)</f>
        <v>642</v>
      </c>
      <c r="E81" s="8">
        <f>IFERROR(__xludf.DUMMYFUNCTION("""COMPUTED_VALUE"""),0.974276527331189)</f>
        <v>0.9742765273</v>
      </c>
      <c r="F81" s="8">
        <f>IFERROR(__xludf.DUMMYFUNCTION("""COMPUTED_VALUE"""),0.567521367521367)</f>
        <v>0.5675213675</v>
      </c>
      <c r="G81" s="8">
        <f>IFERROR(__xludf.DUMMYFUNCTION("""COMPUTED_VALUE"""),0.483928571428571)</f>
        <v>0.4839285714</v>
      </c>
      <c r="H81" s="8">
        <f>IFERROR(__xludf.DUMMYFUNCTION("""COMPUTED_VALUE"""),0.426136363636363)</f>
        <v>0.4261363636</v>
      </c>
      <c r="I81" s="8">
        <f>IFERROR(__xludf.DUMMYFUNCTION("""COMPUTED_VALUE"""),0.397260273972602)</f>
        <v>0.397260274</v>
      </c>
      <c r="J81" s="8">
        <f>IFERROR(__xludf.DUMMYFUNCTION("""COMPUTED_VALUE"""),0.356107660455486)</f>
        <v>0.3561076605</v>
      </c>
      <c r="K81" s="8">
        <f>IFERROR(__xludf.DUMMYFUNCTION("""COMPUTED_VALUE"""),0.336225596529284)</f>
        <v>0.3362255965</v>
      </c>
      <c r="L81" s="8">
        <f>IFERROR(__xludf.DUMMYFUNCTION("""COMPUTED_VALUE"""),0.340632603406326)</f>
        <v>0.3406326034</v>
      </c>
      <c r="M81" s="8">
        <f>IFERROR(__xludf.DUMMYFUNCTION("""COMPUTED_VALUE"""),0.312820512820512)</f>
        <v>0.3128205128</v>
      </c>
      <c r="N81" s="8">
        <f>IFERROR(__xludf.DUMMYFUNCTION("""COMPUTED_VALUE"""),0.299450549450549)</f>
        <v>0.2994505495</v>
      </c>
      <c r="O81" s="8">
        <f>IFERROR(__xludf.DUMMYFUNCTION("""COMPUTED_VALUE"""),0.20446096654275)</f>
        <v>0.2044609665</v>
      </c>
      <c r="P81" s="8">
        <f>IFERROR(__xludf.DUMMYFUNCTION("""COMPUTED_VALUE"""),0.149659863945578)</f>
        <v>0.1496598639</v>
      </c>
      <c r="Q81" s="8">
        <f>IFERROR(__xludf.DUMMYFUNCTION("""COMPUTED_VALUE"""),0.0)</f>
        <v>0</v>
      </c>
      <c r="R81" s="8">
        <f>IFERROR(__xludf.DUMMYFUNCTION("""COMPUTED_VALUE"""),0.0)</f>
        <v>0</v>
      </c>
      <c r="S81" s="8">
        <f>IFERROR(__xludf.DUMMYFUNCTION("""COMPUTED_VALUE"""),0.0)</f>
        <v>0</v>
      </c>
      <c r="T81" s="8">
        <f>IFERROR(__xludf.DUMMYFUNCTION("""COMPUTED_VALUE"""),0.0)</f>
        <v>0</v>
      </c>
      <c r="U81" s="8">
        <f>IFERROR(__xludf.DUMMYFUNCTION("""COMPUTED_VALUE"""),0.0)</f>
        <v>0</v>
      </c>
      <c r="V81" s="8">
        <f>IFERROR(__xludf.DUMMYFUNCTION("""COMPUTED_VALUE"""),0.0)</f>
        <v>0</v>
      </c>
      <c r="W81" s="8">
        <f>IFERROR(__xludf.DUMMYFUNCTION("""COMPUTED_VALUE"""),0.0)</f>
        <v>0</v>
      </c>
      <c r="X81" s="8">
        <f>IFERROR(__xludf.DUMMYFUNCTION("""COMPUTED_VALUE"""),0.0)</f>
        <v>0</v>
      </c>
      <c r="Y81" s="8">
        <f>IFERROR(__xludf.DUMMYFUNCTION("""COMPUTED_VALUE"""),0.0)</f>
        <v>0</v>
      </c>
      <c r="Z81" s="8">
        <f>IFERROR(__xludf.DUMMYFUNCTION("""COMPUTED_VALUE"""),0.0)</f>
        <v>0</v>
      </c>
      <c r="AA81" s="8">
        <f>IFERROR(__xludf.DUMMYFUNCTION("""COMPUTED_VALUE"""),0.0)</f>
        <v>0</v>
      </c>
      <c r="AB81" s="8">
        <f>IFERROR(__xludf.DUMMYFUNCTION("""COMPUTED_VALUE"""),0.0)</f>
        <v>0</v>
      </c>
      <c r="AC81" s="8">
        <f>IFERROR(__xludf.DUMMYFUNCTION("""COMPUTED_VALUE"""),0.0)</f>
        <v>0</v>
      </c>
    </row>
    <row r="82" ht="15.75" customHeight="1">
      <c r="A82" s="6" t="str">
        <f>IFERROR(__xludf.DUMMYFUNCTION("""COMPUTED_VALUE"""),"44f5a6fb4876567a5eec3722df1d0a3d436d8bdf")</f>
        <v>44f5a6fb4876567a5eec3722df1d0a3d436d8bdf</v>
      </c>
      <c r="B82" s="6" t="str">
        <f>IFERROR(__xludf.DUMMYFUNCTION("""COMPUTED_VALUE"""),"Alpha Kyros")</f>
        <v>Alpha Kyros</v>
      </c>
      <c r="C82" s="6" t="str">
        <f>IFERROR(__xludf.DUMMYFUNCTION("""COMPUTED_VALUE"""),"Romantasy")</f>
        <v>Romantasy</v>
      </c>
      <c r="D82" s="5">
        <f>IFERROR(__xludf.DUMMYFUNCTION("""COMPUTED_VALUE"""),6432.0)</f>
        <v>6432</v>
      </c>
      <c r="E82" s="8">
        <f>IFERROR(__xludf.DUMMYFUNCTION("""COMPUTED_VALUE"""),0.962645914396887)</f>
        <v>0.9626459144</v>
      </c>
      <c r="F82" s="8">
        <f>IFERROR(__xludf.DUMMYFUNCTION("""COMPUTED_VALUE"""),0.582554517133956)</f>
        <v>0.5825545171</v>
      </c>
      <c r="G82" s="8">
        <f>IFERROR(__xludf.DUMMYFUNCTION("""COMPUTED_VALUE"""),0.532876285447179)</f>
        <v>0.5328762854</v>
      </c>
      <c r="H82" s="8">
        <f>IFERROR(__xludf.DUMMYFUNCTION("""COMPUTED_VALUE"""),0.509195760598503)</f>
        <v>0.5091957606</v>
      </c>
      <c r="I82" s="8">
        <f>IFERROR(__xludf.DUMMYFUNCTION("""COMPUTED_VALUE"""),0.492825951341235)</f>
        <v>0.4928259513</v>
      </c>
      <c r="J82" s="8">
        <f>IFERROR(__xludf.DUMMYFUNCTION("""COMPUTED_VALUE"""),0.474570982839313)</f>
        <v>0.4745709828</v>
      </c>
      <c r="K82" s="8">
        <f>IFERROR(__xludf.DUMMYFUNCTION("""COMPUTED_VALUE"""),0.462919594067135)</f>
        <v>0.4629195941</v>
      </c>
      <c r="L82" s="8">
        <f>IFERROR(__xludf.DUMMYFUNCTION("""COMPUTED_VALUE"""),0.453393806693775)</f>
        <v>0.4533938067</v>
      </c>
      <c r="M82" s="8">
        <f>IFERROR(__xludf.DUMMYFUNCTION("""COMPUTED_VALUE"""),0.440112728980742)</f>
        <v>0.440112729</v>
      </c>
      <c r="N82" s="8">
        <f>IFERROR(__xludf.DUMMYFUNCTION("""COMPUTED_VALUE"""),0.430228911884603)</f>
        <v>0.4302289119</v>
      </c>
      <c r="O82" s="8">
        <f>IFERROR(__xludf.DUMMYFUNCTION("""COMPUTED_VALUE"""),0.379299103504482)</f>
        <v>0.3792991035</v>
      </c>
      <c r="P82" s="8">
        <f>IFERROR(__xludf.DUMMYFUNCTION("""COMPUTED_VALUE"""),0.322544849269465)</f>
        <v>0.3225448493</v>
      </c>
      <c r="Q82" s="8">
        <f>IFERROR(__xludf.DUMMYFUNCTION("""COMPUTED_VALUE"""),0.185291700903861)</f>
        <v>0.1852917009</v>
      </c>
      <c r="R82" s="8">
        <f>IFERROR(__xludf.DUMMYFUNCTION("""COMPUTED_VALUE"""),0.0625)</f>
        <v>0.0625</v>
      </c>
      <c r="S82" s="8">
        <f>IFERROR(__xludf.DUMMYFUNCTION("""COMPUTED_VALUE"""),0.0)</f>
        <v>0</v>
      </c>
      <c r="T82" s="8">
        <f>IFERROR(__xludf.DUMMYFUNCTION("""COMPUTED_VALUE"""),0.0)</f>
        <v>0</v>
      </c>
      <c r="U82" s="8">
        <f>IFERROR(__xludf.DUMMYFUNCTION("""COMPUTED_VALUE"""),0.0)</f>
        <v>0</v>
      </c>
      <c r="V82" s="8">
        <f>IFERROR(__xludf.DUMMYFUNCTION("""COMPUTED_VALUE"""),0.0)</f>
        <v>0</v>
      </c>
      <c r="W82" s="8">
        <f>IFERROR(__xludf.DUMMYFUNCTION("""COMPUTED_VALUE"""),0.0)</f>
        <v>0</v>
      </c>
      <c r="X82" s="8">
        <f>IFERROR(__xludf.DUMMYFUNCTION("""COMPUTED_VALUE"""),0.0)</f>
        <v>0</v>
      </c>
      <c r="Y82" s="8">
        <f>IFERROR(__xludf.DUMMYFUNCTION("""COMPUTED_VALUE"""),0.0)</f>
        <v>0</v>
      </c>
      <c r="Z82" s="8">
        <f>IFERROR(__xludf.DUMMYFUNCTION("""COMPUTED_VALUE"""),0.0)</f>
        <v>0</v>
      </c>
      <c r="AA82" s="8">
        <f>IFERROR(__xludf.DUMMYFUNCTION("""COMPUTED_VALUE"""),0.0)</f>
        <v>0</v>
      </c>
      <c r="AB82" s="8">
        <f>IFERROR(__xludf.DUMMYFUNCTION("""COMPUTED_VALUE"""),0.0)</f>
        <v>0</v>
      </c>
      <c r="AC82" s="8">
        <f>IFERROR(__xludf.DUMMYFUNCTION("""COMPUTED_VALUE"""),0.0)</f>
        <v>0</v>
      </c>
    </row>
    <row r="83" ht="15.75" customHeight="1">
      <c r="A83" s="6" t="str">
        <f>IFERROR(__xludf.DUMMYFUNCTION("""COMPUTED_VALUE"""),"462b561ac0c6d238fc5ed6d8ce632a9e6a2152d9")</f>
        <v>462b561ac0c6d238fc5ed6d8ce632a9e6a2152d9</v>
      </c>
      <c r="B83" s="6" t="str">
        <f>IFERROR(__xludf.DUMMYFUNCTION("""COMPUTED_VALUE"""),"My Billionaire System")</f>
        <v>My Billionaire System</v>
      </c>
      <c r="C83" s="6" t="str">
        <f>IFERROR(__xludf.DUMMYFUNCTION("""COMPUTED_VALUE"""),"System and Superpower")</f>
        <v>System and Superpower</v>
      </c>
      <c r="D83" s="5">
        <f>IFERROR(__xludf.DUMMYFUNCTION("""COMPUTED_VALUE"""),1086.0)</f>
        <v>1086</v>
      </c>
      <c r="E83" s="8">
        <f>IFERROR(__xludf.DUMMYFUNCTION("""COMPUTED_VALUE"""),0.981566820276497)</f>
        <v>0.9815668203</v>
      </c>
      <c r="F83" s="8">
        <f>IFERROR(__xludf.DUMMYFUNCTION("""COMPUTED_VALUE"""),0.619223659889094)</f>
        <v>0.6192236599</v>
      </c>
      <c r="G83" s="8">
        <f>IFERROR(__xludf.DUMMYFUNCTION("""COMPUTED_VALUE"""),0.532961931290622)</f>
        <v>0.5329619313</v>
      </c>
      <c r="H83" s="8">
        <f>IFERROR(__xludf.DUMMYFUNCTION("""COMPUTED_VALUE"""),0.463687150837988)</f>
        <v>0.4636871508</v>
      </c>
      <c r="I83" s="8">
        <f>IFERROR(__xludf.DUMMYFUNCTION("""COMPUTED_VALUE"""),0.402061855670103)</f>
        <v>0.4020618557</v>
      </c>
      <c r="J83" s="8">
        <f>IFERROR(__xludf.DUMMYFUNCTION("""COMPUTED_VALUE"""),0.364068441064638)</f>
        <v>0.3640684411</v>
      </c>
      <c r="K83" s="8">
        <f>IFERROR(__xludf.DUMMYFUNCTION("""COMPUTED_VALUE"""),0.314814814814814)</f>
        <v>0.3148148148</v>
      </c>
      <c r="L83" s="8">
        <f>IFERROR(__xludf.DUMMYFUNCTION("""COMPUTED_VALUE"""),0.289915966386554)</f>
        <v>0.2899159664</v>
      </c>
      <c r="M83" s="8">
        <f>IFERROR(__xludf.DUMMYFUNCTION("""COMPUTED_VALUE"""),0.267895878524945)</f>
        <v>0.2678958785</v>
      </c>
      <c r="N83" s="8">
        <f>IFERROR(__xludf.DUMMYFUNCTION("""COMPUTED_VALUE"""),0.258148631029987)</f>
        <v>0.258148631</v>
      </c>
      <c r="O83" s="8">
        <f>IFERROR(__xludf.DUMMYFUNCTION("""COMPUTED_VALUE"""),0.220963172804532)</f>
        <v>0.2209631728</v>
      </c>
      <c r="P83" s="8">
        <f>IFERROR(__xludf.DUMMYFUNCTION("""COMPUTED_VALUE"""),0.223958333333333)</f>
        <v>0.2239583333</v>
      </c>
      <c r="Q83" s="8">
        <f>IFERROR(__xludf.DUMMYFUNCTION("""COMPUTED_VALUE"""),0.0)</f>
        <v>0</v>
      </c>
      <c r="R83" s="8">
        <f>IFERROR(__xludf.DUMMYFUNCTION("""COMPUTED_VALUE"""),0.0)</f>
        <v>0</v>
      </c>
      <c r="S83" s="8">
        <f>IFERROR(__xludf.DUMMYFUNCTION("""COMPUTED_VALUE"""),0.0)</f>
        <v>0</v>
      </c>
      <c r="T83" s="8">
        <f>IFERROR(__xludf.DUMMYFUNCTION("""COMPUTED_VALUE"""),0.0)</f>
        <v>0</v>
      </c>
      <c r="U83" s="8">
        <f>IFERROR(__xludf.DUMMYFUNCTION("""COMPUTED_VALUE"""),0.0)</f>
        <v>0</v>
      </c>
      <c r="V83" s="8">
        <f>IFERROR(__xludf.DUMMYFUNCTION("""COMPUTED_VALUE"""),0.0)</f>
        <v>0</v>
      </c>
      <c r="W83" s="8">
        <f>IFERROR(__xludf.DUMMYFUNCTION("""COMPUTED_VALUE"""),0.0)</f>
        <v>0</v>
      </c>
      <c r="X83" s="8">
        <f>IFERROR(__xludf.DUMMYFUNCTION("""COMPUTED_VALUE"""),0.0)</f>
        <v>0</v>
      </c>
      <c r="Y83" s="8">
        <f>IFERROR(__xludf.DUMMYFUNCTION("""COMPUTED_VALUE"""),0.0)</f>
        <v>0</v>
      </c>
      <c r="Z83" s="8">
        <f>IFERROR(__xludf.DUMMYFUNCTION("""COMPUTED_VALUE"""),0.0)</f>
        <v>0</v>
      </c>
      <c r="AA83" s="8">
        <f>IFERROR(__xludf.DUMMYFUNCTION("""COMPUTED_VALUE"""),0.0)</f>
        <v>0</v>
      </c>
      <c r="AB83" s="8">
        <f>IFERROR(__xludf.DUMMYFUNCTION("""COMPUTED_VALUE"""),0.0)</f>
        <v>0</v>
      </c>
      <c r="AC83" s="8">
        <f>IFERROR(__xludf.DUMMYFUNCTION("""COMPUTED_VALUE"""),0.0)</f>
        <v>0</v>
      </c>
    </row>
    <row r="84" ht="15.75" customHeight="1">
      <c r="A84" s="6" t="str">
        <f>IFERROR(__xludf.DUMMYFUNCTION("""COMPUTED_VALUE"""),"46b27558432dbda1475a912729ae1e1dee8ac6fa")</f>
        <v>46b27558432dbda1475a912729ae1e1dee8ac6fa</v>
      </c>
      <c r="B84" s="6" t="str">
        <f>IFERROR(__xludf.DUMMYFUNCTION("""COMPUTED_VALUE"""),"Secrets of Thunder Eyes ")</f>
        <v>Secrets of Thunder Eyes </v>
      </c>
      <c r="C84" s="6" t="str">
        <f>IFERROR(__xludf.DUMMYFUNCTION("""COMPUTED_VALUE"""),"Fantasy")</f>
        <v>Fantasy</v>
      </c>
      <c r="D84" s="5">
        <f>IFERROR(__xludf.DUMMYFUNCTION("""COMPUTED_VALUE"""),386.0)</f>
        <v>386</v>
      </c>
      <c r="E84" s="8">
        <f>IFERROR(__xludf.DUMMYFUNCTION("""COMPUTED_VALUE"""),0.970509383378016)</f>
        <v>0.9705093834</v>
      </c>
      <c r="F84" s="8">
        <f>IFERROR(__xludf.DUMMYFUNCTION("""COMPUTED_VALUE"""),0.318181818181818)</f>
        <v>0.3181818182</v>
      </c>
      <c r="G84" s="8">
        <f>IFERROR(__xludf.DUMMYFUNCTION("""COMPUTED_VALUE"""),0.236526946107784)</f>
        <v>0.2365269461</v>
      </c>
      <c r="H84" s="8">
        <f>IFERROR(__xludf.DUMMYFUNCTION("""COMPUTED_VALUE"""),0.216129032258064)</f>
        <v>0.2161290323</v>
      </c>
      <c r="I84" s="8">
        <f>IFERROR(__xludf.DUMMYFUNCTION("""COMPUTED_VALUE"""),0.188552188552188)</f>
        <v>0.1885521886</v>
      </c>
      <c r="J84" s="8">
        <f>IFERROR(__xludf.DUMMYFUNCTION("""COMPUTED_VALUE"""),0.172661870503597)</f>
        <v>0.1726618705</v>
      </c>
      <c r="K84" s="8">
        <f>IFERROR(__xludf.DUMMYFUNCTION("""COMPUTED_VALUE"""),0.132575757575757)</f>
        <v>0.1325757576</v>
      </c>
      <c r="L84" s="8">
        <f>IFERROR(__xludf.DUMMYFUNCTION("""COMPUTED_VALUE"""),0.127753303964757)</f>
        <v>0.127753304</v>
      </c>
      <c r="M84" s="8">
        <f>IFERROR(__xludf.DUMMYFUNCTION("""COMPUTED_VALUE"""),0.126168224299065)</f>
        <v>0.1261682243</v>
      </c>
      <c r="N84" s="8">
        <f>IFERROR(__xludf.DUMMYFUNCTION("""COMPUTED_VALUE"""),0.122222222222222)</f>
        <v>0.1222222222</v>
      </c>
      <c r="O84" s="8">
        <f>IFERROR(__xludf.DUMMYFUNCTION("""COMPUTED_VALUE"""),0.158536585365853)</f>
        <v>0.1585365854</v>
      </c>
      <c r="P84" s="8">
        <f>IFERROR(__xludf.DUMMYFUNCTION("""COMPUTED_VALUE"""),0.1125)</f>
        <v>0.1125</v>
      </c>
      <c r="Q84" s="8">
        <f>IFERROR(__xludf.DUMMYFUNCTION("""COMPUTED_VALUE"""),0.0533333333333333)</f>
        <v>0.05333333333</v>
      </c>
      <c r="R84" s="8">
        <f>IFERROR(__xludf.DUMMYFUNCTION("""COMPUTED_VALUE"""),0.0405405405405405)</f>
        <v>0.04054054054</v>
      </c>
      <c r="S84" s="8">
        <f>IFERROR(__xludf.DUMMYFUNCTION("""COMPUTED_VALUE"""),0.027027027027027)</f>
        <v>0.02702702703</v>
      </c>
      <c r="T84" s="8">
        <f>IFERROR(__xludf.DUMMYFUNCTION("""COMPUTED_VALUE"""),0.0289855072463768)</f>
        <v>0.02898550725</v>
      </c>
      <c r="U84" s="8">
        <f>IFERROR(__xludf.DUMMYFUNCTION("""COMPUTED_VALUE"""),0.0491803278688524)</f>
        <v>0.04918032787</v>
      </c>
      <c r="V84" s="8">
        <f>IFERROR(__xludf.DUMMYFUNCTION("""COMPUTED_VALUE"""),0.0363636363636363)</f>
        <v>0.03636363636</v>
      </c>
      <c r="W84" s="8">
        <f>IFERROR(__xludf.DUMMYFUNCTION("""COMPUTED_VALUE"""),0.0384615384615384)</f>
        <v>0.03846153846</v>
      </c>
      <c r="X84" s="8">
        <f>IFERROR(__xludf.DUMMYFUNCTION("""COMPUTED_VALUE"""),0.0)</f>
        <v>0</v>
      </c>
      <c r="Y84" s="8">
        <f>IFERROR(__xludf.DUMMYFUNCTION("""COMPUTED_VALUE"""),0.0)</f>
        <v>0</v>
      </c>
      <c r="Z84" s="8">
        <f>IFERROR(__xludf.DUMMYFUNCTION("""COMPUTED_VALUE"""),0.0)</f>
        <v>0</v>
      </c>
      <c r="AA84" s="8">
        <f>IFERROR(__xludf.DUMMYFUNCTION("""COMPUTED_VALUE"""),0.0)</f>
        <v>0</v>
      </c>
      <c r="AB84" s="8">
        <f>IFERROR(__xludf.DUMMYFUNCTION("""COMPUTED_VALUE"""),0.0)</f>
        <v>0</v>
      </c>
      <c r="AC84" s="8">
        <f>IFERROR(__xludf.DUMMYFUNCTION("""COMPUTED_VALUE"""),0.0)</f>
        <v>0</v>
      </c>
    </row>
    <row r="85" ht="15.75" customHeight="1">
      <c r="A85" s="6" t="str">
        <f>IFERROR(__xludf.DUMMYFUNCTION("""COMPUTED_VALUE"""),"48b422f2dbf0dc909fde9fadad832fde3d20f4a4")</f>
        <v>48b422f2dbf0dc909fde9fadad832fde3d20f4a4</v>
      </c>
      <c r="B85" s="6" t="str">
        <f>IFERROR(__xludf.DUMMYFUNCTION("""COMPUTED_VALUE"""),"Bride of the Ice Ceo")</f>
        <v>Bride of the Ice Ceo</v>
      </c>
      <c r="C85" s="6" t="str">
        <f>IFERROR(__xludf.DUMMYFUNCTION("""COMPUTED_VALUE"""),"Romance")</f>
        <v>Romance</v>
      </c>
      <c r="D85" s="5">
        <f>IFERROR(__xludf.DUMMYFUNCTION("""COMPUTED_VALUE"""),1267.0)</f>
        <v>1267</v>
      </c>
      <c r="E85" s="8">
        <f>IFERROR(__xludf.DUMMYFUNCTION("""COMPUTED_VALUE"""),0.962115232833464)</f>
        <v>0.9621152328</v>
      </c>
      <c r="F85" s="8">
        <f>IFERROR(__xludf.DUMMYFUNCTION("""COMPUTED_VALUE"""),0.683794466403162)</f>
        <v>0.6837944664</v>
      </c>
      <c r="G85" s="8">
        <f>IFERROR(__xludf.DUMMYFUNCTION("""COMPUTED_VALUE"""),0.621044303797468)</f>
        <v>0.6210443038</v>
      </c>
      <c r="H85" s="8">
        <f>IFERROR(__xludf.DUMMYFUNCTION("""COMPUTED_VALUE"""),0.586698337292161)</f>
        <v>0.5866983373</v>
      </c>
      <c r="I85" s="8">
        <f>IFERROR(__xludf.DUMMYFUNCTION("""COMPUTED_VALUE"""),0.547977795400475)</f>
        <v>0.5479777954</v>
      </c>
      <c r="J85" s="8">
        <f>IFERROR(__xludf.DUMMYFUNCTION("""COMPUTED_VALUE"""),0.52101506740682)</f>
        <v>0.5210150674</v>
      </c>
      <c r="K85" s="8">
        <f>IFERROR(__xludf.DUMMYFUNCTION("""COMPUTED_VALUE"""),0.495238095238095)</f>
        <v>0.4952380952</v>
      </c>
      <c r="L85" s="8">
        <f>IFERROR(__xludf.DUMMYFUNCTION("""COMPUTED_VALUE"""),0.487688641779189)</f>
        <v>0.4876886418</v>
      </c>
      <c r="M85" s="8">
        <f>IFERROR(__xludf.DUMMYFUNCTION("""COMPUTED_VALUE"""),0.473391580619539)</f>
        <v>0.4733915806</v>
      </c>
      <c r="N85" s="8">
        <f>IFERROR(__xludf.DUMMYFUNCTION("""COMPUTED_VALUE"""),0.447725458898643)</f>
        <v>0.4477254589</v>
      </c>
      <c r="O85" s="8">
        <f>IFERROR(__xludf.DUMMYFUNCTION("""COMPUTED_VALUE"""),0.387823185988323)</f>
        <v>0.387823186</v>
      </c>
      <c r="P85" s="8">
        <f>IFERROR(__xludf.DUMMYFUNCTION("""COMPUTED_VALUE"""),0.313351498637602)</f>
        <v>0.3133514986</v>
      </c>
      <c r="Q85" s="8">
        <f>IFERROR(__xludf.DUMMYFUNCTION("""COMPUTED_VALUE"""),0.187869822485207)</f>
        <v>0.1878698225</v>
      </c>
      <c r="R85" s="8">
        <f>IFERROR(__xludf.DUMMYFUNCTION("""COMPUTED_VALUE"""),0.132854578096947)</f>
        <v>0.1328545781</v>
      </c>
      <c r="S85" s="8">
        <f>IFERROR(__xludf.DUMMYFUNCTION("""COMPUTED_VALUE"""),0.0)</f>
        <v>0</v>
      </c>
      <c r="T85" s="8">
        <f>IFERROR(__xludf.DUMMYFUNCTION("""COMPUTED_VALUE"""),0.0)</f>
        <v>0</v>
      </c>
      <c r="U85" s="8">
        <f>IFERROR(__xludf.DUMMYFUNCTION("""COMPUTED_VALUE"""),0.0)</f>
        <v>0</v>
      </c>
      <c r="V85" s="8">
        <f>IFERROR(__xludf.DUMMYFUNCTION("""COMPUTED_VALUE"""),0.0)</f>
        <v>0</v>
      </c>
      <c r="W85" s="8">
        <f>IFERROR(__xludf.DUMMYFUNCTION("""COMPUTED_VALUE"""),0.0)</f>
        <v>0</v>
      </c>
      <c r="X85" s="8">
        <f>IFERROR(__xludf.DUMMYFUNCTION("""COMPUTED_VALUE"""),0.0)</f>
        <v>0</v>
      </c>
      <c r="Y85" s="8">
        <f>IFERROR(__xludf.DUMMYFUNCTION("""COMPUTED_VALUE"""),0.0)</f>
        <v>0</v>
      </c>
      <c r="Z85" s="8">
        <f>IFERROR(__xludf.DUMMYFUNCTION("""COMPUTED_VALUE"""),0.0)</f>
        <v>0</v>
      </c>
      <c r="AA85" s="8">
        <f>IFERROR(__xludf.DUMMYFUNCTION("""COMPUTED_VALUE"""),0.0)</f>
        <v>0</v>
      </c>
      <c r="AB85" s="8">
        <f>IFERROR(__xludf.DUMMYFUNCTION("""COMPUTED_VALUE"""),0.0)</f>
        <v>0</v>
      </c>
      <c r="AC85" s="8">
        <f>IFERROR(__xludf.DUMMYFUNCTION("""COMPUTED_VALUE"""),0.0)</f>
        <v>0</v>
      </c>
    </row>
    <row r="86" ht="15.75" customHeight="1">
      <c r="A86" s="6" t="str">
        <f>IFERROR(__xludf.DUMMYFUNCTION("""COMPUTED_VALUE"""),"4a310051c4c56c2fab46c3a7f528a09901399ecd")</f>
        <v>4a310051c4c56c2fab46c3a7f528a09901399ecd</v>
      </c>
      <c r="B86" s="6" t="str">
        <f>IFERROR(__xludf.DUMMYFUNCTION("""COMPUTED_VALUE"""),"Strongest Warlock ")</f>
        <v>Strongest Warlock </v>
      </c>
      <c r="C86" s="6" t="str">
        <f>IFERROR(__xludf.DUMMYFUNCTION("""COMPUTED_VALUE"""),"Fantasy")</f>
        <v>Fantasy</v>
      </c>
      <c r="D86" s="5">
        <f>IFERROR(__xludf.DUMMYFUNCTION("""COMPUTED_VALUE"""),95735.0)</f>
        <v>95735</v>
      </c>
      <c r="E86" s="8">
        <f>IFERROR(__xludf.DUMMYFUNCTION("""COMPUTED_VALUE"""),0.923688810273908)</f>
        <v>0.9236888103</v>
      </c>
      <c r="F86" s="8">
        <f>IFERROR(__xludf.DUMMYFUNCTION("""COMPUTED_VALUE"""),0.499816220871008)</f>
        <v>0.4998162209</v>
      </c>
      <c r="G86" s="8">
        <f>IFERROR(__xludf.DUMMYFUNCTION("""COMPUTED_VALUE"""),0.452859399684044)</f>
        <v>0.4528593997</v>
      </c>
      <c r="H86" s="8">
        <f>IFERROR(__xludf.DUMMYFUNCTION("""COMPUTED_VALUE"""),0.42243837526139)</f>
        <v>0.4224383753</v>
      </c>
      <c r="I86" s="8">
        <f>IFERROR(__xludf.DUMMYFUNCTION("""COMPUTED_VALUE"""),0.402391198354991)</f>
        <v>0.4023911984</v>
      </c>
      <c r="J86" s="8">
        <f>IFERROR(__xludf.DUMMYFUNCTION("""COMPUTED_VALUE"""),0.388408571276652)</f>
        <v>0.3884085713</v>
      </c>
      <c r="K86" s="8">
        <f>IFERROR(__xludf.DUMMYFUNCTION("""COMPUTED_VALUE"""),0.372730957104157)</f>
        <v>0.3727309571</v>
      </c>
      <c r="L86" s="8">
        <f>IFERROR(__xludf.DUMMYFUNCTION("""COMPUTED_VALUE"""),0.363403635428828)</f>
        <v>0.3634036354</v>
      </c>
      <c r="M86" s="8">
        <f>IFERROR(__xludf.DUMMYFUNCTION("""COMPUTED_VALUE"""),0.355288177472202)</f>
        <v>0.3552881775</v>
      </c>
      <c r="N86" s="8">
        <f>IFERROR(__xludf.DUMMYFUNCTION("""COMPUTED_VALUE"""),0.347872924903314)</f>
        <v>0.3478729249</v>
      </c>
      <c r="O86" s="8">
        <f>IFERROR(__xludf.DUMMYFUNCTION("""COMPUTED_VALUE"""),0.321211188995583)</f>
        <v>0.321211189</v>
      </c>
      <c r="P86" s="8">
        <f>IFERROR(__xludf.DUMMYFUNCTION("""COMPUTED_VALUE"""),0.286674761647778)</f>
        <v>0.2866747616</v>
      </c>
      <c r="Q86" s="8">
        <f>IFERROR(__xludf.DUMMYFUNCTION("""COMPUTED_VALUE"""),0.230441083658633)</f>
        <v>0.2304410837</v>
      </c>
      <c r="R86" s="8">
        <f>IFERROR(__xludf.DUMMYFUNCTION("""COMPUTED_VALUE"""),0.195323016809025)</f>
        <v>0.1953230168</v>
      </c>
      <c r="S86" s="8">
        <f>IFERROR(__xludf.DUMMYFUNCTION("""COMPUTED_VALUE"""),0.166583933652158)</f>
        <v>0.1665839337</v>
      </c>
      <c r="T86" s="8">
        <f>IFERROR(__xludf.DUMMYFUNCTION("""COMPUTED_VALUE"""),0.148134001946699)</f>
        <v>0.1481340019</v>
      </c>
      <c r="U86" s="8">
        <f>IFERROR(__xludf.DUMMYFUNCTION("""COMPUTED_VALUE"""),0.135215192097699)</f>
        <v>0.1352151921</v>
      </c>
      <c r="V86" s="8">
        <f>IFERROR(__xludf.DUMMYFUNCTION("""COMPUTED_VALUE"""),0.124926506301285)</f>
        <v>0.1249265063</v>
      </c>
      <c r="W86" s="8">
        <f>IFERROR(__xludf.DUMMYFUNCTION("""COMPUTED_VALUE"""),0.115386116713291)</f>
        <v>0.1153861167</v>
      </c>
      <c r="X86" s="8">
        <f>IFERROR(__xludf.DUMMYFUNCTION("""COMPUTED_VALUE"""),0.0990789508509117)</f>
        <v>0.09907895085</v>
      </c>
      <c r="Y86" s="8">
        <f>IFERROR(__xludf.DUMMYFUNCTION("""COMPUTED_VALUE"""),0.0702787646898059)</f>
        <v>0.07027876469</v>
      </c>
      <c r="Z86" s="8">
        <f>IFERROR(__xludf.DUMMYFUNCTION("""COMPUTED_VALUE"""),0.0101613347442271)</f>
        <v>0.01016133474</v>
      </c>
      <c r="AA86" s="8">
        <f>IFERROR(__xludf.DUMMYFUNCTION("""COMPUTED_VALUE"""),0.0)</f>
        <v>0</v>
      </c>
      <c r="AB86" s="8">
        <f>IFERROR(__xludf.DUMMYFUNCTION("""COMPUTED_VALUE"""),0.0)</f>
        <v>0</v>
      </c>
      <c r="AC86" s="8">
        <f>IFERROR(__xludf.DUMMYFUNCTION("""COMPUTED_VALUE"""),0.0)</f>
        <v>0</v>
      </c>
    </row>
    <row r="87" ht="15.75" customHeight="1">
      <c r="A87" s="6" t="str">
        <f>IFERROR(__xludf.DUMMYFUNCTION("""COMPUTED_VALUE"""),"4b2d918a2f639175cf29754151e058356b36f273")</f>
        <v>4b2d918a2f639175cf29754151e058356b36f273</v>
      </c>
      <c r="B87" s="6" t="str">
        <f>IFERROR(__xludf.DUMMYFUNCTION("""COMPUTED_VALUE"""),"Surviving Zombies Rising")</f>
        <v>Surviving Zombies Rising</v>
      </c>
      <c r="C87" s="6" t="str">
        <f>IFERROR(__xludf.DUMMYFUNCTION("""COMPUTED_VALUE"""),"Sci-Fi")</f>
        <v>Sci-Fi</v>
      </c>
      <c r="D87" s="5">
        <f>IFERROR(__xludf.DUMMYFUNCTION("""COMPUTED_VALUE"""),606.0)</f>
        <v>606</v>
      </c>
      <c r="E87" s="8">
        <f>IFERROR(__xludf.DUMMYFUNCTION("""COMPUTED_VALUE"""),0.979899497487437)</f>
        <v>0.9798994975</v>
      </c>
      <c r="F87" s="8">
        <f>IFERROR(__xludf.DUMMYFUNCTION("""COMPUTED_VALUE"""),0.473043478260869)</f>
        <v>0.4730434783</v>
      </c>
      <c r="G87" s="8">
        <f>IFERROR(__xludf.DUMMYFUNCTION("""COMPUTED_VALUE"""),0.385435168738898)</f>
        <v>0.3854351687</v>
      </c>
      <c r="H87" s="8">
        <f>IFERROR(__xludf.DUMMYFUNCTION("""COMPUTED_VALUE"""),0.335779816513761)</f>
        <v>0.3357798165</v>
      </c>
      <c r="I87" s="8">
        <f>IFERROR(__xludf.DUMMYFUNCTION("""COMPUTED_VALUE"""),0.304832713754646)</f>
        <v>0.3048327138</v>
      </c>
      <c r="J87" s="8">
        <f>IFERROR(__xludf.DUMMYFUNCTION("""COMPUTED_VALUE"""),0.291115311909262)</f>
        <v>0.2911153119</v>
      </c>
      <c r="K87" s="8">
        <f>IFERROR(__xludf.DUMMYFUNCTION("""COMPUTED_VALUE"""),0.274809160305343)</f>
        <v>0.2748091603</v>
      </c>
      <c r="L87" s="8">
        <f>IFERROR(__xludf.DUMMYFUNCTION("""COMPUTED_VALUE"""),0.253384912959381)</f>
        <v>0.253384913</v>
      </c>
      <c r="M87" s="8">
        <f>IFERROR(__xludf.DUMMYFUNCTION("""COMPUTED_VALUE"""),0.249512670565302)</f>
        <v>0.2495126706</v>
      </c>
      <c r="N87" s="8">
        <f>IFERROR(__xludf.DUMMYFUNCTION("""COMPUTED_VALUE"""),0.239685658153241)</f>
        <v>0.2396856582</v>
      </c>
      <c r="O87" s="8">
        <f>IFERROR(__xludf.DUMMYFUNCTION("""COMPUTED_VALUE"""),0.21161825726141)</f>
        <v>0.2116182573</v>
      </c>
      <c r="P87" s="8">
        <f>IFERROR(__xludf.DUMMYFUNCTION("""COMPUTED_VALUE"""),0.164893617021276)</f>
        <v>0.164893617</v>
      </c>
      <c r="Q87" s="8">
        <f>IFERROR(__xludf.DUMMYFUNCTION("""COMPUTED_VALUE"""),0.104089219330855)</f>
        <v>0.1040892193</v>
      </c>
      <c r="R87" s="8">
        <f>IFERROR(__xludf.DUMMYFUNCTION("""COMPUTED_VALUE"""),0.0)</f>
        <v>0</v>
      </c>
      <c r="S87" s="8">
        <f>IFERROR(__xludf.DUMMYFUNCTION("""COMPUTED_VALUE"""),0.0)</f>
        <v>0</v>
      </c>
      <c r="T87" s="8">
        <f>IFERROR(__xludf.DUMMYFUNCTION("""COMPUTED_VALUE"""),0.0)</f>
        <v>0</v>
      </c>
      <c r="U87" s="8">
        <f>IFERROR(__xludf.DUMMYFUNCTION("""COMPUTED_VALUE"""),0.0)</f>
        <v>0</v>
      </c>
      <c r="V87" s="8">
        <f>IFERROR(__xludf.DUMMYFUNCTION("""COMPUTED_VALUE"""),0.0)</f>
        <v>0</v>
      </c>
      <c r="W87" s="8">
        <f>IFERROR(__xludf.DUMMYFUNCTION("""COMPUTED_VALUE"""),0.0)</f>
        <v>0</v>
      </c>
      <c r="X87" s="8">
        <f>IFERROR(__xludf.DUMMYFUNCTION("""COMPUTED_VALUE"""),0.0)</f>
        <v>0</v>
      </c>
      <c r="Y87" s="8">
        <f>IFERROR(__xludf.DUMMYFUNCTION("""COMPUTED_VALUE"""),0.0)</f>
        <v>0</v>
      </c>
      <c r="Z87" s="8">
        <f>IFERROR(__xludf.DUMMYFUNCTION("""COMPUTED_VALUE"""),0.0)</f>
        <v>0</v>
      </c>
      <c r="AA87" s="8">
        <f>IFERROR(__xludf.DUMMYFUNCTION("""COMPUTED_VALUE"""),0.0)</f>
        <v>0</v>
      </c>
      <c r="AB87" s="8">
        <f>IFERROR(__xludf.DUMMYFUNCTION("""COMPUTED_VALUE"""),0.0)</f>
        <v>0</v>
      </c>
      <c r="AC87" s="8">
        <f>IFERROR(__xludf.DUMMYFUNCTION("""COMPUTED_VALUE"""),0.0)</f>
        <v>0</v>
      </c>
    </row>
    <row r="88" ht="15.75" customHeight="1">
      <c r="A88" s="6" t="str">
        <f>IFERROR(__xludf.DUMMYFUNCTION("""COMPUTED_VALUE"""),"4bb85319b3dd3ab4ec654bdd13098e3f37cb3e3b")</f>
        <v>4bb85319b3dd3ab4ec654bdd13098e3f37cb3e3b</v>
      </c>
      <c r="B88" s="6" t="str">
        <f>IFERROR(__xludf.DUMMYFUNCTION("""COMPUTED_VALUE"""),"Shadowed Wealth")</f>
        <v>Shadowed Wealth</v>
      </c>
      <c r="C88" s="6" t="str">
        <f>IFERROR(__xludf.DUMMYFUNCTION("""COMPUTED_VALUE"""),"System and Superpower")</f>
        <v>System and Superpower</v>
      </c>
      <c r="D88" s="5">
        <f>IFERROR(__xludf.DUMMYFUNCTION("""COMPUTED_VALUE"""),322.0)</f>
        <v>322</v>
      </c>
      <c r="E88" s="8">
        <f>IFERROR(__xludf.DUMMYFUNCTION("""COMPUTED_VALUE"""),0.89751552795031)</f>
        <v>0.897515528</v>
      </c>
      <c r="F88" s="8">
        <f>IFERROR(__xludf.DUMMYFUNCTION("""COMPUTED_VALUE"""),0.596273291925465)</f>
        <v>0.5962732919</v>
      </c>
      <c r="G88" s="8">
        <f>IFERROR(__xludf.DUMMYFUNCTION("""COMPUTED_VALUE"""),0.537267080745341)</f>
        <v>0.5372670807</v>
      </c>
      <c r="H88" s="8">
        <f>IFERROR(__xludf.DUMMYFUNCTION("""COMPUTED_VALUE"""),0.481366459627329)</f>
        <v>0.4813664596</v>
      </c>
      <c r="I88" s="8">
        <f>IFERROR(__xludf.DUMMYFUNCTION("""COMPUTED_VALUE"""),0.391304347826087)</f>
        <v>0.3913043478</v>
      </c>
      <c r="J88" s="8">
        <f>IFERROR(__xludf.DUMMYFUNCTION("""COMPUTED_VALUE"""),0.336448598130841)</f>
        <v>0.3364485981</v>
      </c>
      <c r="K88" s="8">
        <f>IFERROR(__xludf.DUMMYFUNCTION("""COMPUTED_VALUE"""),0.342679127725856)</f>
        <v>0.3426791277</v>
      </c>
      <c r="L88" s="8">
        <f>IFERROR(__xludf.DUMMYFUNCTION("""COMPUTED_VALUE"""),0.323987538940809)</f>
        <v>0.3239875389</v>
      </c>
      <c r="M88" s="8">
        <f>IFERROR(__xludf.DUMMYFUNCTION("""COMPUTED_VALUE"""),0.311526479750778)</f>
        <v>0.3115264798</v>
      </c>
      <c r="N88" s="8">
        <f>IFERROR(__xludf.DUMMYFUNCTION("""COMPUTED_VALUE"""),0.304075235109717)</f>
        <v>0.3040752351</v>
      </c>
      <c r="O88" s="8">
        <f>IFERROR(__xludf.DUMMYFUNCTION("""COMPUTED_VALUE"""),0.254777070063694)</f>
        <v>0.2547770701</v>
      </c>
      <c r="P88" s="8">
        <f>IFERROR(__xludf.DUMMYFUNCTION("""COMPUTED_VALUE"""),0.150641025641025)</f>
        <v>0.1506410256</v>
      </c>
      <c r="Q88" s="8">
        <f>IFERROR(__xludf.DUMMYFUNCTION("""COMPUTED_VALUE"""),0.0519480519480519)</f>
        <v>0.05194805195</v>
      </c>
      <c r="R88" s="8">
        <f>IFERROR(__xludf.DUMMYFUNCTION("""COMPUTED_VALUE"""),0.0)</f>
        <v>0</v>
      </c>
      <c r="S88" s="8">
        <f>IFERROR(__xludf.DUMMYFUNCTION("""COMPUTED_VALUE"""),0.0)</f>
        <v>0</v>
      </c>
      <c r="T88" s="8">
        <f>IFERROR(__xludf.DUMMYFUNCTION("""COMPUTED_VALUE"""),0.0)</f>
        <v>0</v>
      </c>
      <c r="U88" s="8">
        <f>IFERROR(__xludf.DUMMYFUNCTION("""COMPUTED_VALUE"""),0.0)</f>
        <v>0</v>
      </c>
      <c r="V88" s="8">
        <f>IFERROR(__xludf.DUMMYFUNCTION("""COMPUTED_VALUE"""),0.0)</f>
        <v>0</v>
      </c>
      <c r="W88" s="8">
        <f>IFERROR(__xludf.DUMMYFUNCTION("""COMPUTED_VALUE"""),0.0)</f>
        <v>0</v>
      </c>
      <c r="X88" s="8">
        <f>IFERROR(__xludf.DUMMYFUNCTION("""COMPUTED_VALUE"""),0.0)</f>
        <v>0</v>
      </c>
      <c r="Y88" s="8">
        <f>IFERROR(__xludf.DUMMYFUNCTION("""COMPUTED_VALUE"""),0.0)</f>
        <v>0</v>
      </c>
      <c r="Z88" s="8">
        <f>IFERROR(__xludf.DUMMYFUNCTION("""COMPUTED_VALUE"""),0.0)</f>
        <v>0</v>
      </c>
      <c r="AA88" s="8">
        <f>IFERROR(__xludf.DUMMYFUNCTION("""COMPUTED_VALUE"""),0.0)</f>
        <v>0</v>
      </c>
      <c r="AB88" s="8">
        <f>IFERROR(__xludf.DUMMYFUNCTION("""COMPUTED_VALUE"""),0.0)</f>
        <v>0</v>
      </c>
      <c r="AC88" s="8">
        <f>IFERROR(__xludf.DUMMYFUNCTION("""COMPUTED_VALUE"""),0.0)</f>
        <v>0</v>
      </c>
    </row>
    <row r="89" ht="15.75" customHeight="1">
      <c r="A89" s="6" t="str">
        <f>IFERROR(__xludf.DUMMYFUNCTION("""COMPUTED_VALUE"""),"4c43207d3f7885c90d8aaafbb8952de80561f21d")</f>
        <v>4c43207d3f7885c90d8aaafbb8952de80561f21d</v>
      </c>
      <c r="B89" s="6" t="str">
        <f>IFERROR(__xludf.DUMMYFUNCTION("""COMPUTED_VALUE"""),"The Boss &amp; His Fake Wife")</f>
        <v>The Boss &amp; His Fake Wife</v>
      </c>
      <c r="C89" s="6" t="str">
        <f>IFERROR(__xludf.DUMMYFUNCTION("""COMPUTED_VALUE"""),"Romance")</f>
        <v>Romance</v>
      </c>
      <c r="D89" s="5">
        <f>IFERROR(__xludf.DUMMYFUNCTION("""COMPUTED_VALUE"""),1165.0)</f>
        <v>1165</v>
      </c>
      <c r="E89" s="8">
        <f>IFERROR(__xludf.DUMMYFUNCTION("""COMPUTED_VALUE"""),0.965277777777777)</f>
        <v>0.9652777778</v>
      </c>
      <c r="F89" s="8">
        <f>IFERROR(__xludf.DUMMYFUNCTION("""COMPUTED_VALUE"""),0.529556650246305)</f>
        <v>0.5295566502</v>
      </c>
      <c r="G89" s="8">
        <f>IFERROR(__xludf.DUMMYFUNCTION("""COMPUTED_VALUE"""),0.493201483312731)</f>
        <v>0.4932014833</v>
      </c>
      <c r="H89" s="8">
        <f>IFERROR(__xludf.DUMMYFUNCTION("""COMPUTED_VALUE"""),0.480793060718711)</f>
        <v>0.4807930607</v>
      </c>
      <c r="I89" s="8">
        <f>IFERROR(__xludf.DUMMYFUNCTION("""COMPUTED_VALUE"""),0.454545454545454)</f>
        <v>0.4545454545</v>
      </c>
      <c r="J89" s="8">
        <f>IFERROR(__xludf.DUMMYFUNCTION("""COMPUTED_VALUE"""),0.438202247191011)</f>
        <v>0.4382022472</v>
      </c>
      <c r="K89" s="8">
        <f>IFERROR(__xludf.DUMMYFUNCTION("""COMPUTED_VALUE"""),0.423028785982478)</f>
        <v>0.423028786</v>
      </c>
      <c r="L89" s="8">
        <f>IFERROR(__xludf.DUMMYFUNCTION("""COMPUTED_VALUE"""),0.424090338770389)</f>
        <v>0.4240903388</v>
      </c>
      <c r="M89" s="8">
        <f>IFERROR(__xludf.DUMMYFUNCTION("""COMPUTED_VALUE"""),0.416772554002541)</f>
        <v>0.416772554</v>
      </c>
      <c r="N89" s="8">
        <f>IFERROR(__xludf.DUMMYFUNCTION("""COMPUTED_VALUE"""),0.398218829516539)</f>
        <v>0.3982188295</v>
      </c>
      <c r="O89" s="8">
        <f>IFERROR(__xludf.DUMMYFUNCTION("""COMPUTED_VALUE"""),0.361851332398316)</f>
        <v>0.3618513324</v>
      </c>
      <c r="P89" s="8">
        <f>IFERROR(__xludf.DUMMYFUNCTION("""COMPUTED_VALUE"""),0.28021978021978)</f>
        <v>0.2802197802</v>
      </c>
      <c r="Q89" s="8">
        <f>IFERROR(__xludf.DUMMYFUNCTION("""COMPUTED_VALUE"""),0.0)</f>
        <v>0</v>
      </c>
      <c r="R89" s="8">
        <f>IFERROR(__xludf.DUMMYFUNCTION("""COMPUTED_VALUE"""),0.0)</f>
        <v>0</v>
      </c>
      <c r="S89" s="8">
        <f>IFERROR(__xludf.DUMMYFUNCTION("""COMPUTED_VALUE"""),0.0)</f>
        <v>0</v>
      </c>
      <c r="T89" s="8">
        <f>IFERROR(__xludf.DUMMYFUNCTION("""COMPUTED_VALUE"""),0.0)</f>
        <v>0</v>
      </c>
      <c r="U89" s="8">
        <f>IFERROR(__xludf.DUMMYFUNCTION("""COMPUTED_VALUE"""),0.0)</f>
        <v>0</v>
      </c>
      <c r="V89" s="8">
        <f>IFERROR(__xludf.DUMMYFUNCTION("""COMPUTED_VALUE"""),0.0)</f>
        <v>0</v>
      </c>
      <c r="W89" s="8">
        <f>IFERROR(__xludf.DUMMYFUNCTION("""COMPUTED_VALUE"""),0.0)</f>
        <v>0</v>
      </c>
      <c r="X89" s="8">
        <f>IFERROR(__xludf.DUMMYFUNCTION("""COMPUTED_VALUE"""),0.0)</f>
        <v>0</v>
      </c>
      <c r="Y89" s="8">
        <f>IFERROR(__xludf.DUMMYFUNCTION("""COMPUTED_VALUE"""),0.0)</f>
        <v>0</v>
      </c>
      <c r="Z89" s="8">
        <f>IFERROR(__xludf.DUMMYFUNCTION("""COMPUTED_VALUE"""),0.0)</f>
        <v>0</v>
      </c>
      <c r="AA89" s="8">
        <f>IFERROR(__xludf.DUMMYFUNCTION("""COMPUTED_VALUE"""),0.0)</f>
        <v>0</v>
      </c>
      <c r="AB89" s="8">
        <f>IFERROR(__xludf.DUMMYFUNCTION("""COMPUTED_VALUE"""),0.0)</f>
        <v>0</v>
      </c>
      <c r="AC89" s="8">
        <f>IFERROR(__xludf.DUMMYFUNCTION("""COMPUTED_VALUE"""),0.0)</f>
        <v>0</v>
      </c>
    </row>
    <row r="90" ht="15.75" customHeight="1">
      <c r="A90" s="6" t="str">
        <f>IFERROR(__xludf.DUMMYFUNCTION("""COMPUTED_VALUE"""),"4d01d84cdfff217f33b380cdb07a2a1c706749ea")</f>
        <v>4d01d84cdfff217f33b380cdb07a2a1c706749ea</v>
      </c>
      <c r="B90" s="6" t="str">
        <f>IFERROR(__xludf.DUMMYFUNCTION("""COMPUTED_VALUE"""),"The Fifth Bride")</f>
        <v>The Fifth Bride</v>
      </c>
      <c r="C90" s="6" t="str">
        <f>IFERROR(__xludf.DUMMYFUNCTION("""COMPUTED_VALUE"""),"Suspense or Thriller")</f>
        <v>Suspense or Thriller</v>
      </c>
      <c r="D90" s="5">
        <f>IFERROR(__xludf.DUMMYFUNCTION("""COMPUTED_VALUE"""),221.0)</f>
        <v>221</v>
      </c>
      <c r="E90" s="8">
        <f>IFERROR(__xludf.DUMMYFUNCTION("""COMPUTED_VALUE"""),0.923076923076923)</f>
        <v>0.9230769231</v>
      </c>
      <c r="F90" s="8">
        <f>IFERROR(__xludf.DUMMYFUNCTION("""COMPUTED_VALUE"""),0.488687782805429)</f>
        <v>0.4886877828</v>
      </c>
      <c r="G90" s="8">
        <f>IFERROR(__xludf.DUMMYFUNCTION("""COMPUTED_VALUE"""),0.416289592760181)</f>
        <v>0.4162895928</v>
      </c>
      <c r="H90" s="8">
        <f>IFERROR(__xludf.DUMMYFUNCTION("""COMPUTED_VALUE"""),0.389140271493212)</f>
        <v>0.3891402715</v>
      </c>
      <c r="I90" s="8">
        <f>IFERROR(__xludf.DUMMYFUNCTION("""COMPUTED_VALUE"""),0.380090497737556)</f>
        <v>0.3800904977</v>
      </c>
      <c r="J90" s="8">
        <f>IFERROR(__xludf.DUMMYFUNCTION("""COMPUTED_VALUE"""),0.357466063348416)</f>
        <v>0.3574660633</v>
      </c>
      <c r="K90" s="8">
        <f>IFERROR(__xludf.DUMMYFUNCTION("""COMPUTED_VALUE"""),0.343891402714932)</f>
        <v>0.3438914027</v>
      </c>
      <c r="L90" s="8">
        <f>IFERROR(__xludf.DUMMYFUNCTION("""COMPUTED_VALUE"""),0.312217194570135)</f>
        <v>0.3122171946</v>
      </c>
      <c r="M90" s="8">
        <f>IFERROR(__xludf.DUMMYFUNCTION("""COMPUTED_VALUE"""),0.316742081447963)</f>
        <v>0.3167420814</v>
      </c>
      <c r="N90" s="8">
        <f>IFERROR(__xludf.DUMMYFUNCTION("""COMPUTED_VALUE"""),0.285067873303167)</f>
        <v>0.2850678733</v>
      </c>
      <c r="O90" s="8">
        <f>IFERROR(__xludf.DUMMYFUNCTION("""COMPUTED_VALUE"""),0.259090909090909)</f>
        <v>0.2590909091</v>
      </c>
      <c r="P90" s="8">
        <f>IFERROR(__xludf.DUMMYFUNCTION("""COMPUTED_VALUE"""),0.195454545454545)</f>
        <v>0.1954545455</v>
      </c>
      <c r="Q90" s="8">
        <f>IFERROR(__xludf.DUMMYFUNCTION("""COMPUTED_VALUE"""),0.0797546012269938)</f>
        <v>0.07975460123</v>
      </c>
      <c r="R90" s="8">
        <f>IFERROR(__xludf.DUMMYFUNCTION("""COMPUTED_VALUE"""),0.0)</f>
        <v>0</v>
      </c>
      <c r="S90" s="8">
        <f>IFERROR(__xludf.DUMMYFUNCTION("""COMPUTED_VALUE"""),0.0)</f>
        <v>0</v>
      </c>
      <c r="T90" s="8">
        <f>IFERROR(__xludf.DUMMYFUNCTION("""COMPUTED_VALUE"""),0.0)</f>
        <v>0</v>
      </c>
      <c r="U90" s="8">
        <f>IFERROR(__xludf.DUMMYFUNCTION("""COMPUTED_VALUE"""),0.0)</f>
        <v>0</v>
      </c>
      <c r="V90" s="8">
        <f>IFERROR(__xludf.DUMMYFUNCTION("""COMPUTED_VALUE"""),0.0)</f>
        <v>0</v>
      </c>
      <c r="W90" s="8">
        <f>IFERROR(__xludf.DUMMYFUNCTION("""COMPUTED_VALUE"""),0.0)</f>
        <v>0</v>
      </c>
      <c r="X90" s="8">
        <f>IFERROR(__xludf.DUMMYFUNCTION("""COMPUTED_VALUE"""),0.0)</f>
        <v>0</v>
      </c>
      <c r="Y90" s="8">
        <f>IFERROR(__xludf.DUMMYFUNCTION("""COMPUTED_VALUE"""),0.0)</f>
        <v>0</v>
      </c>
      <c r="Z90" s="8">
        <f>IFERROR(__xludf.DUMMYFUNCTION("""COMPUTED_VALUE"""),0.0)</f>
        <v>0</v>
      </c>
      <c r="AA90" s="8">
        <f>IFERROR(__xludf.DUMMYFUNCTION("""COMPUTED_VALUE"""),0.0)</f>
        <v>0</v>
      </c>
      <c r="AB90" s="8">
        <f>IFERROR(__xludf.DUMMYFUNCTION("""COMPUTED_VALUE"""),0.0)</f>
        <v>0</v>
      </c>
      <c r="AC90" s="8">
        <f>IFERROR(__xludf.DUMMYFUNCTION("""COMPUTED_VALUE"""),0.0)</f>
        <v>0</v>
      </c>
    </row>
    <row r="91" ht="15.75" customHeight="1">
      <c r="A91" s="6" t="str">
        <f>IFERROR(__xludf.DUMMYFUNCTION("""COMPUTED_VALUE"""),"4d887dec2a071a00150fdcd6417f16bcaf5f02b0")</f>
        <v>4d887dec2a071a00150fdcd6417f16bcaf5f02b0</v>
      </c>
      <c r="B91" s="6" t="str">
        <f>IFERROR(__xludf.DUMMYFUNCTION("""COMPUTED_VALUE"""),"Loving Nathaniel Hawthorne: The Billionaire Playboy")</f>
        <v>Loving Nathaniel Hawthorne: The Billionaire Playboy</v>
      </c>
      <c r="C91" s="6" t="str">
        <f>IFERROR(__xludf.DUMMYFUNCTION("""COMPUTED_VALUE"""),"Romance")</f>
        <v>Romance</v>
      </c>
      <c r="D91" s="5">
        <f>IFERROR(__xludf.DUMMYFUNCTION("""COMPUTED_VALUE"""),22112.0)</f>
        <v>22112</v>
      </c>
      <c r="E91" s="8">
        <f>IFERROR(__xludf.DUMMYFUNCTION("""COMPUTED_VALUE"""),0.8874112272131)</f>
        <v>0.8874112272</v>
      </c>
      <c r="F91" s="8">
        <f>IFERROR(__xludf.DUMMYFUNCTION("""COMPUTED_VALUE"""),0.454454952712792)</f>
        <v>0.4544549527</v>
      </c>
      <c r="G91" s="8">
        <f>IFERROR(__xludf.DUMMYFUNCTION("""COMPUTED_VALUE"""),0.410002262955419)</f>
        <v>0.410002263</v>
      </c>
      <c r="H91" s="8">
        <f>IFERROR(__xludf.DUMMYFUNCTION("""COMPUTED_VALUE"""),0.386283386147578)</f>
        <v>0.3862833861</v>
      </c>
      <c r="I91" s="8">
        <f>IFERROR(__xludf.DUMMYFUNCTION("""COMPUTED_VALUE"""),0.365463847512111)</f>
        <v>0.3654638475</v>
      </c>
      <c r="J91" s="8">
        <f>IFERROR(__xludf.DUMMYFUNCTION("""COMPUTED_VALUE"""),0.35532512226046)</f>
        <v>0.3553251223</v>
      </c>
      <c r="K91" s="8">
        <f>IFERROR(__xludf.DUMMYFUNCTION("""COMPUTED_VALUE"""),0.340385050962627)</f>
        <v>0.340385051</v>
      </c>
      <c r="L91" s="8">
        <f>IFERROR(__xludf.DUMMYFUNCTION("""COMPUTED_VALUE"""),0.331550559760685)</f>
        <v>0.3315505598</v>
      </c>
      <c r="M91" s="8">
        <f>IFERROR(__xludf.DUMMYFUNCTION("""COMPUTED_VALUE"""),0.325822830719013)</f>
        <v>0.3258228307</v>
      </c>
      <c r="N91" s="8">
        <f>IFERROR(__xludf.DUMMYFUNCTION("""COMPUTED_VALUE"""),0.321195356430255)</f>
        <v>0.3211953564</v>
      </c>
      <c r="O91" s="8">
        <f>IFERROR(__xludf.DUMMYFUNCTION("""COMPUTED_VALUE"""),0.305005450581395)</f>
        <v>0.3050054506</v>
      </c>
      <c r="P91" s="8">
        <f>IFERROR(__xludf.DUMMYFUNCTION("""COMPUTED_VALUE"""),0.256959606986899)</f>
        <v>0.256959607</v>
      </c>
      <c r="Q91" s="8">
        <f>IFERROR(__xludf.DUMMYFUNCTION("""COMPUTED_VALUE"""),0.193025697202063)</f>
        <v>0.1930256972</v>
      </c>
      <c r="R91" s="8">
        <f>IFERROR(__xludf.DUMMYFUNCTION("""COMPUTED_VALUE"""),0.155360249015838)</f>
        <v>0.155360249</v>
      </c>
      <c r="S91" s="8">
        <f>IFERROR(__xludf.DUMMYFUNCTION("""COMPUTED_VALUE"""),0.134822698288912)</f>
        <v>0.1348226983</v>
      </c>
      <c r="T91" s="8">
        <f>IFERROR(__xludf.DUMMYFUNCTION("""COMPUTED_VALUE"""),0.124286766059267)</f>
        <v>0.1242867661</v>
      </c>
      <c r="U91" s="8">
        <f>IFERROR(__xludf.DUMMYFUNCTION("""COMPUTED_VALUE"""),0.116494082840236)</f>
        <v>0.1164940828</v>
      </c>
      <c r="V91" s="8">
        <f>IFERROR(__xludf.DUMMYFUNCTION("""COMPUTED_VALUE"""),0.110644865673081)</f>
        <v>0.1106448657</v>
      </c>
      <c r="W91" s="8">
        <f>IFERROR(__xludf.DUMMYFUNCTION("""COMPUTED_VALUE"""),0.103606444584599)</f>
        <v>0.1036064446</v>
      </c>
      <c r="X91" s="8">
        <f>IFERROR(__xludf.DUMMYFUNCTION("""COMPUTED_VALUE"""),0.10166037735849)</f>
        <v>0.1016603774</v>
      </c>
      <c r="Y91" s="8">
        <f>IFERROR(__xludf.DUMMYFUNCTION("""COMPUTED_VALUE"""),0.0967571842868441)</f>
        <v>0.09675718429</v>
      </c>
      <c r="Z91" s="8">
        <f>IFERROR(__xludf.DUMMYFUNCTION("""COMPUTED_VALUE"""),0.0731923965180316)</f>
        <v>0.07319239652</v>
      </c>
      <c r="AA91" s="8">
        <f>IFERROR(__xludf.DUMMYFUNCTION("""COMPUTED_VALUE"""),0.0)</f>
        <v>0</v>
      </c>
      <c r="AB91" s="8">
        <f>IFERROR(__xludf.DUMMYFUNCTION("""COMPUTED_VALUE"""),0.0)</f>
        <v>0</v>
      </c>
      <c r="AC91" s="8">
        <f>IFERROR(__xludf.DUMMYFUNCTION("""COMPUTED_VALUE"""),0.0)</f>
        <v>0</v>
      </c>
    </row>
    <row r="92" ht="15.75" customHeight="1">
      <c r="A92" s="6" t="str">
        <f>IFERROR(__xludf.DUMMYFUNCTION("""COMPUTED_VALUE"""),"4e3bbfc86993cf8c574bdebca34a49627f4a386a")</f>
        <v>4e3bbfc86993cf8c574bdebca34a49627f4a386a</v>
      </c>
      <c r="B92" s="6" t="str">
        <f>IFERROR(__xludf.DUMMYFUNCTION("""COMPUTED_VALUE"""),"Our Beloved Villains ")</f>
        <v>Our Beloved Villains </v>
      </c>
      <c r="C92" s="6" t="str">
        <f>IFERROR(__xludf.DUMMYFUNCTION("""COMPUTED_VALUE"""),"Fantasy")</f>
        <v>Fantasy</v>
      </c>
      <c r="D92" s="5">
        <f>IFERROR(__xludf.DUMMYFUNCTION("""COMPUTED_VALUE"""),341.0)</f>
        <v>341</v>
      </c>
      <c r="E92" s="8">
        <f>IFERROR(__xludf.DUMMYFUNCTION("""COMPUTED_VALUE"""),0.964809384164222)</f>
        <v>0.9648093842</v>
      </c>
      <c r="F92" s="8">
        <f>IFERROR(__xludf.DUMMYFUNCTION("""COMPUTED_VALUE"""),0.407624633431085)</f>
        <v>0.4076246334</v>
      </c>
      <c r="G92" s="8">
        <f>IFERROR(__xludf.DUMMYFUNCTION("""COMPUTED_VALUE"""),0.32258064516129)</f>
        <v>0.3225806452</v>
      </c>
      <c r="H92" s="8">
        <f>IFERROR(__xludf.DUMMYFUNCTION("""COMPUTED_VALUE"""),0.259587020648967)</f>
        <v>0.2595870206</v>
      </c>
      <c r="I92" s="8">
        <f>IFERROR(__xludf.DUMMYFUNCTION("""COMPUTED_VALUE"""),0.236686390532544)</f>
        <v>0.2366863905</v>
      </c>
      <c r="J92" s="8">
        <f>IFERROR(__xludf.DUMMYFUNCTION("""COMPUTED_VALUE"""),0.214285714285714)</f>
        <v>0.2142857143</v>
      </c>
      <c r="K92" s="8">
        <f>IFERROR(__xludf.DUMMYFUNCTION("""COMPUTED_VALUE"""),0.196428571428571)</f>
        <v>0.1964285714</v>
      </c>
      <c r="L92" s="8">
        <f>IFERROR(__xludf.DUMMYFUNCTION("""COMPUTED_VALUE"""),0.163690476190476)</f>
        <v>0.1636904762</v>
      </c>
      <c r="M92" s="8">
        <f>IFERROR(__xludf.DUMMYFUNCTION("""COMPUTED_VALUE"""),0.13731343283582)</f>
        <v>0.1373134328</v>
      </c>
      <c r="N92" s="8">
        <f>IFERROR(__xludf.DUMMYFUNCTION("""COMPUTED_VALUE"""),0.116417910447761)</f>
        <v>0.1164179104</v>
      </c>
      <c r="O92" s="8">
        <f>IFERROR(__xludf.DUMMYFUNCTION("""COMPUTED_VALUE"""),0.0784982935153583)</f>
        <v>0.07849829352</v>
      </c>
      <c r="P92" s="8">
        <f>IFERROR(__xludf.DUMMYFUNCTION("""COMPUTED_VALUE"""),0.0538461538461538)</f>
        <v>0.05384615385</v>
      </c>
      <c r="Q92" s="8">
        <f>IFERROR(__xludf.DUMMYFUNCTION("""COMPUTED_VALUE"""),0.0297872340425531)</f>
        <v>0.02978723404</v>
      </c>
      <c r="R92" s="8">
        <f>IFERROR(__xludf.DUMMYFUNCTION("""COMPUTED_VALUE"""),0.010752688172043)</f>
        <v>0.01075268817</v>
      </c>
      <c r="S92" s="8">
        <f>IFERROR(__xludf.DUMMYFUNCTION("""COMPUTED_VALUE"""),0.0)</f>
        <v>0</v>
      </c>
      <c r="T92" s="8">
        <f>IFERROR(__xludf.DUMMYFUNCTION("""COMPUTED_VALUE"""),0.0)</f>
        <v>0</v>
      </c>
      <c r="U92" s="8">
        <f>IFERROR(__xludf.DUMMYFUNCTION("""COMPUTED_VALUE"""),0.0)</f>
        <v>0</v>
      </c>
      <c r="V92" s="8">
        <f>IFERROR(__xludf.DUMMYFUNCTION("""COMPUTED_VALUE"""),0.0)</f>
        <v>0</v>
      </c>
      <c r="W92" s="8">
        <f>IFERROR(__xludf.DUMMYFUNCTION("""COMPUTED_VALUE"""),0.0)</f>
        <v>0</v>
      </c>
      <c r="X92" s="8">
        <f>IFERROR(__xludf.DUMMYFUNCTION("""COMPUTED_VALUE"""),0.0)</f>
        <v>0</v>
      </c>
      <c r="Y92" s="8">
        <f>IFERROR(__xludf.DUMMYFUNCTION("""COMPUTED_VALUE"""),0.0)</f>
        <v>0</v>
      </c>
      <c r="Z92" s="8">
        <f>IFERROR(__xludf.DUMMYFUNCTION("""COMPUTED_VALUE"""),0.0)</f>
        <v>0</v>
      </c>
      <c r="AA92" s="8">
        <f>IFERROR(__xludf.DUMMYFUNCTION("""COMPUTED_VALUE"""),0.0)</f>
        <v>0</v>
      </c>
      <c r="AB92" s="8">
        <f>IFERROR(__xludf.DUMMYFUNCTION("""COMPUTED_VALUE"""),0.0)</f>
        <v>0</v>
      </c>
      <c r="AC92" s="8">
        <f>IFERROR(__xludf.DUMMYFUNCTION("""COMPUTED_VALUE"""),0.0)</f>
        <v>0</v>
      </c>
    </row>
    <row r="93" ht="15.75" customHeight="1">
      <c r="A93" s="6" t="str">
        <f>IFERROR(__xludf.DUMMYFUNCTION("""COMPUTED_VALUE"""),"4e767fe3eae1eb30991fabcb73be16e9925ab124")</f>
        <v>4e767fe3eae1eb30991fabcb73be16e9925ab124</v>
      </c>
      <c r="B93" s="6" t="str">
        <f>IFERROR(__xludf.DUMMYFUNCTION("""COMPUTED_VALUE"""),"The Ill-Fated Aristocrat")</f>
        <v>The Ill-Fated Aristocrat</v>
      </c>
      <c r="C93" s="6" t="str">
        <f>IFERROR(__xludf.DUMMYFUNCTION("""COMPUTED_VALUE"""),"Romance")</f>
        <v>Romance</v>
      </c>
      <c r="D93" s="5">
        <f>IFERROR(__xludf.DUMMYFUNCTION("""COMPUTED_VALUE"""),1224.0)</f>
        <v>1224</v>
      </c>
      <c r="E93" s="8">
        <f>IFERROR(__xludf.DUMMYFUNCTION("""COMPUTED_VALUE"""),0.954210956663941)</f>
        <v>0.9542109567</v>
      </c>
      <c r="F93" s="8">
        <f>IFERROR(__xludf.DUMMYFUNCTION("""COMPUTED_VALUE"""),0.512799339388934)</f>
        <v>0.5127993394</v>
      </c>
      <c r="G93" s="8">
        <f>IFERROR(__xludf.DUMMYFUNCTION("""COMPUTED_VALUE"""),0.472682119205298)</f>
        <v>0.4726821192</v>
      </c>
      <c r="H93" s="8">
        <f>IFERROR(__xludf.DUMMYFUNCTION("""COMPUTED_VALUE"""),0.423236514522821)</f>
        <v>0.4232365145</v>
      </c>
      <c r="I93" s="8">
        <f>IFERROR(__xludf.DUMMYFUNCTION("""COMPUTED_VALUE"""),0.39683860232945)</f>
        <v>0.3968386023</v>
      </c>
      <c r="J93" s="8">
        <f>IFERROR(__xludf.DUMMYFUNCTION("""COMPUTED_VALUE"""),0.371880199667221)</f>
        <v>0.3718801997</v>
      </c>
      <c r="K93" s="8">
        <f>IFERROR(__xludf.DUMMYFUNCTION("""COMPUTED_VALUE"""),0.358034970857618)</f>
        <v>0.3580349709</v>
      </c>
      <c r="L93" s="8">
        <f>IFERROR(__xludf.DUMMYFUNCTION("""COMPUTED_VALUE"""),0.342214820982514)</f>
        <v>0.342214821</v>
      </c>
      <c r="M93" s="8">
        <f>IFERROR(__xludf.DUMMYFUNCTION("""COMPUTED_VALUE"""),0.327227310574521)</f>
        <v>0.3272273106</v>
      </c>
      <c r="N93" s="8">
        <f>IFERROR(__xludf.DUMMYFUNCTION("""COMPUTED_VALUE"""),0.31473771856786)</f>
        <v>0.3147377186</v>
      </c>
      <c r="O93" s="8">
        <f>IFERROR(__xludf.DUMMYFUNCTION("""COMPUTED_VALUE"""),0.292743953294412)</f>
        <v>0.2927439533</v>
      </c>
      <c r="P93" s="8">
        <f>IFERROR(__xludf.DUMMYFUNCTION("""COMPUTED_VALUE"""),0.234256926952141)</f>
        <v>0.234256927</v>
      </c>
      <c r="Q93" s="8">
        <f>IFERROR(__xludf.DUMMYFUNCTION("""COMPUTED_VALUE"""),0.174004192872117)</f>
        <v>0.1740041929</v>
      </c>
      <c r="R93" s="8">
        <f>IFERROR(__xludf.DUMMYFUNCTION("""COMPUTED_VALUE"""),0.0975274725274725)</f>
        <v>0.09752747253</v>
      </c>
      <c r="S93" s="8">
        <f>IFERROR(__xludf.DUMMYFUNCTION("""COMPUTED_VALUE"""),0.0625)</f>
        <v>0.0625</v>
      </c>
      <c r="T93" s="8">
        <f>IFERROR(__xludf.DUMMYFUNCTION("""COMPUTED_VALUE"""),0.0)</f>
        <v>0</v>
      </c>
      <c r="U93" s="8">
        <f>IFERROR(__xludf.DUMMYFUNCTION("""COMPUTED_VALUE"""),0.0)</f>
        <v>0</v>
      </c>
      <c r="V93" s="8">
        <f>IFERROR(__xludf.DUMMYFUNCTION("""COMPUTED_VALUE"""),0.0)</f>
        <v>0</v>
      </c>
      <c r="W93" s="8">
        <f>IFERROR(__xludf.DUMMYFUNCTION("""COMPUTED_VALUE"""),0.0)</f>
        <v>0</v>
      </c>
      <c r="X93" s="8">
        <f>IFERROR(__xludf.DUMMYFUNCTION("""COMPUTED_VALUE"""),0.0)</f>
        <v>0</v>
      </c>
      <c r="Y93" s="8">
        <f>IFERROR(__xludf.DUMMYFUNCTION("""COMPUTED_VALUE"""),0.0)</f>
        <v>0</v>
      </c>
      <c r="Z93" s="8">
        <f>IFERROR(__xludf.DUMMYFUNCTION("""COMPUTED_VALUE"""),0.0)</f>
        <v>0</v>
      </c>
      <c r="AA93" s="8">
        <f>IFERROR(__xludf.DUMMYFUNCTION("""COMPUTED_VALUE"""),0.0)</f>
        <v>0</v>
      </c>
      <c r="AB93" s="8">
        <f>IFERROR(__xludf.DUMMYFUNCTION("""COMPUTED_VALUE"""),0.0)</f>
        <v>0</v>
      </c>
      <c r="AC93" s="8">
        <f>IFERROR(__xludf.DUMMYFUNCTION("""COMPUTED_VALUE"""),0.0)</f>
        <v>0</v>
      </c>
    </row>
    <row r="94" ht="15.75" customHeight="1">
      <c r="A94" s="6" t="str">
        <f>IFERROR(__xludf.DUMMYFUNCTION("""COMPUTED_VALUE"""),"4e82e5be987e78daa5bb2bb67006b68256170925")</f>
        <v>4e82e5be987e78daa5bb2bb67006b68256170925</v>
      </c>
      <c r="B94" s="6" t="str">
        <f>IFERROR(__xludf.DUMMYFUNCTION("""COMPUTED_VALUE"""),"Machine Invasion")</f>
        <v>Machine Invasion</v>
      </c>
      <c r="C94" s="6" t="str">
        <f>IFERROR(__xludf.DUMMYFUNCTION("""COMPUTED_VALUE"""),"System and Superpower")</f>
        <v>System and Superpower</v>
      </c>
      <c r="D94" s="5">
        <f>IFERROR(__xludf.DUMMYFUNCTION("""COMPUTED_VALUE"""),2408.0)</f>
        <v>2408</v>
      </c>
      <c r="E94" s="8">
        <f>IFERROR(__xludf.DUMMYFUNCTION("""COMPUTED_VALUE"""),0.962609056917324)</f>
        <v>0.9626090569</v>
      </c>
      <c r="F94" s="8">
        <f>IFERROR(__xludf.DUMMYFUNCTION("""COMPUTED_VALUE"""),0.583437369954223)</f>
        <v>0.58343737</v>
      </c>
      <c r="G94" s="8">
        <f>IFERROR(__xludf.DUMMYFUNCTION("""COMPUTED_VALUE"""),0.532110091743119)</f>
        <v>0.5321100917</v>
      </c>
      <c r="H94" s="8">
        <f>IFERROR(__xludf.DUMMYFUNCTION("""COMPUTED_VALUE"""),0.500625782227784)</f>
        <v>0.5006257822</v>
      </c>
      <c r="I94" s="8">
        <f>IFERROR(__xludf.DUMMYFUNCTION("""COMPUTED_VALUE"""),0.483479715600167)</f>
        <v>0.4834797156</v>
      </c>
      <c r="J94" s="8">
        <f>IFERROR(__xludf.DUMMYFUNCTION("""COMPUTED_VALUE"""),0.45500209292591)</f>
        <v>0.4550020929</v>
      </c>
      <c r="K94" s="8">
        <f>IFERROR(__xludf.DUMMYFUNCTION("""COMPUTED_VALUE"""),0.439882697947214)</f>
        <v>0.4398826979</v>
      </c>
      <c r="L94" s="8">
        <f>IFERROR(__xludf.DUMMYFUNCTION("""COMPUTED_VALUE"""),0.4121110176619)</f>
        <v>0.4121110177</v>
      </c>
      <c r="M94" s="8">
        <f>IFERROR(__xludf.DUMMYFUNCTION("""COMPUTED_VALUE"""),0.408094435075885)</f>
        <v>0.4080944351</v>
      </c>
      <c r="N94" s="8">
        <f>IFERROR(__xludf.DUMMYFUNCTION("""COMPUTED_VALUE"""),0.397804054054054)</f>
        <v>0.3978040541</v>
      </c>
      <c r="O94" s="8">
        <f>IFERROR(__xludf.DUMMYFUNCTION("""COMPUTED_VALUE"""),0.360053739364084)</f>
        <v>0.3600537394</v>
      </c>
      <c r="P94" s="8">
        <f>IFERROR(__xludf.DUMMYFUNCTION("""COMPUTED_VALUE"""),0.287066246056782)</f>
        <v>0.2870662461</v>
      </c>
      <c r="Q94" s="8">
        <f>IFERROR(__xludf.DUMMYFUNCTION("""COMPUTED_VALUE"""),0.235127478753541)</f>
        <v>0.2351274788</v>
      </c>
      <c r="R94" s="8">
        <f>IFERROR(__xludf.DUMMYFUNCTION("""COMPUTED_VALUE"""),0.0)</f>
        <v>0</v>
      </c>
      <c r="S94" s="8">
        <f>IFERROR(__xludf.DUMMYFUNCTION("""COMPUTED_VALUE"""),0.0)</f>
        <v>0</v>
      </c>
      <c r="T94" s="8">
        <f>IFERROR(__xludf.DUMMYFUNCTION("""COMPUTED_VALUE"""),0.0)</f>
        <v>0</v>
      </c>
      <c r="U94" s="8">
        <f>IFERROR(__xludf.DUMMYFUNCTION("""COMPUTED_VALUE"""),0.0)</f>
        <v>0</v>
      </c>
      <c r="V94" s="8">
        <f>IFERROR(__xludf.DUMMYFUNCTION("""COMPUTED_VALUE"""),0.0)</f>
        <v>0</v>
      </c>
      <c r="W94" s="8">
        <f>IFERROR(__xludf.DUMMYFUNCTION("""COMPUTED_VALUE"""),0.0)</f>
        <v>0</v>
      </c>
      <c r="X94" s="8">
        <f>IFERROR(__xludf.DUMMYFUNCTION("""COMPUTED_VALUE"""),0.0)</f>
        <v>0</v>
      </c>
      <c r="Y94" s="8">
        <f>IFERROR(__xludf.DUMMYFUNCTION("""COMPUTED_VALUE"""),0.0)</f>
        <v>0</v>
      </c>
      <c r="Z94" s="8">
        <f>IFERROR(__xludf.DUMMYFUNCTION("""COMPUTED_VALUE"""),0.0)</f>
        <v>0</v>
      </c>
      <c r="AA94" s="8">
        <f>IFERROR(__xludf.DUMMYFUNCTION("""COMPUTED_VALUE"""),0.0)</f>
        <v>0</v>
      </c>
      <c r="AB94" s="8">
        <f>IFERROR(__xludf.DUMMYFUNCTION("""COMPUTED_VALUE"""),0.0)</f>
        <v>0</v>
      </c>
      <c r="AC94" s="8">
        <f>IFERROR(__xludf.DUMMYFUNCTION("""COMPUTED_VALUE"""),0.0)</f>
        <v>0</v>
      </c>
    </row>
    <row r="95" ht="15.75" customHeight="1">
      <c r="A95" s="6" t="str">
        <f>IFERROR(__xludf.DUMMYFUNCTION("""COMPUTED_VALUE"""),"4e8fc1ec90ca0e70f873bdd45aea984fc56b5c89")</f>
        <v>4e8fc1ec90ca0e70f873bdd45aea984fc56b5c89</v>
      </c>
      <c r="B95" s="6" t="str">
        <f>IFERROR(__xludf.DUMMYFUNCTION("""COMPUTED_VALUE"""),"When Strangers Say I Do")</f>
        <v>When Strangers Say I Do</v>
      </c>
      <c r="C95" s="6" t="str">
        <f>IFERROR(__xludf.DUMMYFUNCTION("""COMPUTED_VALUE"""),"Drama")</f>
        <v>Drama</v>
      </c>
      <c r="D95" s="5">
        <f>IFERROR(__xludf.DUMMYFUNCTION("""COMPUTED_VALUE"""),661.0)</f>
        <v>661</v>
      </c>
      <c r="E95" s="8">
        <f>IFERROR(__xludf.DUMMYFUNCTION("""COMPUTED_VALUE"""),0.983257229832572)</f>
        <v>0.9832572298</v>
      </c>
      <c r="F95" s="8">
        <f>IFERROR(__xludf.DUMMYFUNCTION("""COMPUTED_VALUE"""),0.448698315467075)</f>
        <v>0.4486983155</v>
      </c>
      <c r="G95" s="8">
        <f>IFERROR(__xludf.DUMMYFUNCTION("""COMPUTED_VALUE"""),0.372881355932203)</f>
        <v>0.3728813559</v>
      </c>
      <c r="H95" s="8">
        <f>IFERROR(__xludf.DUMMYFUNCTION("""COMPUTED_VALUE"""),0.306376360808709)</f>
        <v>0.3063763608</v>
      </c>
      <c r="I95" s="8">
        <f>IFERROR(__xludf.DUMMYFUNCTION("""COMPUTED_VALUE"""),0.267496111975116)</f>
        <v>0.267496112</v>
      </c>
      <c r="J95" s="8">
        <f>IFERROR(__xludf.DUMMYFUNCTION("""COMPUTED_VALUE"""),0.23861852433281)</f>
        <v>0.2386185243</v>
      </c>
      <c r="K95" s="8">
        <f>IFERROR(__xludf.DUMMYFUNCTION("""COMPUTED_VALUE"""),0.232704402515723)</f>
        <v>0.2327044025</v>
      </c>
      <c r="L95" s="8">
        <f>IFERROR(__xludf.DUMMYFUNCTION("""COMPUTED_VALUE"""),0.215189873417721)</f>
        <v>0.2151898734</v>
      </c>
      <c r="M95" s="8">
        <f>IFERROR(__xludf.DUMMYFUNCTION("""COMPUTED_VALUE"""),0.202875399361022)</f>
        <v>0.2028753994</v>
      </c>
      <c r="N95" s="8">
        <f>IFERROR(__xludf.DUMMYFUNCTION("""COMPUTED_VALUE"""),0.184339314845024)</f>
        <v>0.1843393148</v>
      </c>
      <c r="O95" s="8">
        <f>IFERROR(__xludf.DUMMYFUNCTION("""COMPUTED_VALUE"""),0.159680638722554)</f>
        <v>0.1596806387</v>
      </c>
      <c r="P95" s="8">
        <f>IFERROR(__xludf.DUMMYFUNCTION("""COMPUTED_VALUE"""),0.10576923076923)</f>
        <v>0.1057692308</v>
      </c>
      <c r="Q95" s="8">
        <f>IFERROR(__xludf.DUMMYFUNCTION("""COMPUTED_VALUE"""),0.0476190476190476)</f>
        <v>0.04761904762</v>
      </c>
      <c r="R95" s="8">
        <f>IFERROR(__xludf.DUMMYFUNCTION("""COMPUTED_VALUE"""),0.0)</f>
        <v>0</v>
      </c>
      <c r="S95" s="8">
        <f>IFERROR(__xludf.DUMMYFUNCTION("""COMPUTED_VALUE"""),0.0)</f>
        <v>0</v>
      </c>
      <c r="T95" s="8">
        <f>IFERROR(__xludf.DUMMYFUNCTION("""COMPUTED_VALUE"""),0.0)</f>
        <v>0</v>
      </c>
      <c r="U95" s="8">
        <f>IFERROR(__xludf.DUMMYFUNCTION("""COMPUTED_VALUE"""),0.0)</f>
        <v>0</v>
      </c>
      <c r="V95" s="8">
        <f>IFERROR(__xludf.DUMMYFUNCTION("""COMPUTED_VALUE"""),0.0)</f>
        <v>0</v>
      </c>
      <c r="W95" s="8">
        <f>IFERROR(__xludf.DUMMYFUNCTION("""COMPUTED_VALUE"""),0.0)</f>
        <v>0</v>
      </c>
      <c r="X95" s="8">
        <f>IFERROR(__xludf.DUMMYFUNCTION("""COMPUTED_VALUE"""),0.0)</f>
        <v>0</v>
      </c>
      <c r="Y95" s="8">
        <f>IFERROR(__xludf.DUMMYFUNCTION("""COMPUTED_VALUE"""),0.0)</f>
        <v>0</v>
      </c>
      <c r="Z95" s="8">
        <f>IFERROR(__xludf.DUMMYFUNCTION("""COMPUTED_VALUE"""),0.0)</f>
        <v>0</v>
      </c>
      <c r="AA95" s="8">
        <f>IFERROR(__xludf.DUMMYFUNCTION("""COMPUTED_VALUE"""),0.0)</f>
        <v>0</v>
      </c>
      <c r="AB95" s="8">
        <f>IFERROR(__xludf.DUMMYFUNCTION("""COMPUTED_VALUE"""),0.0)</f>
        <v>0</v>
      </c>
      <c r="AC95" s="8">
        <f>IFERROR(__xludf.DUMMYFUNCTION("""COMPUTED_VALUE"""),0.0)</f>
        <v>0</v>
      </c>
    </row>
    <row r="96" ht="15.75" customHeight="1">
      <c r="A96" s="6" t="str">
        <f>IFERROR(__xludf.DUMMYFUNCTION("""COMPUTED_VALUE"""),"4ef829b74ddfb2f550d1c5ceb22a6d68f5936dff")</f>
        <v>4ef829b74ddfb2f550d1c5ceb22a6d68f5936dff</v>
      </c>
      <c r="B96" s="6" t="str">
        <f>IFERROR(__xludf.DUMMYFUNCTION("""COMPUTED_VALUE"""),"The Mad Alpha’s True Luna")</f>
        <v>The Mad Alpha’s True Luna</v>
      </c>
      <c r="C96" s="6" t="str">
        <f>IFERROR(__xludf.DUMMYFUNCTION("""COMPUTED_VALUE"""),"Romantasy")</f>
        <v>Romantasy</v>
      </c>
      <c r="D96" s="5">
        <f>IFERROR(__xludf.DUMMYFUNCTION("""COMPUTED_VALUE"""),1026.0)</f>
        <v>1026</v>
      </c>
      <c r="E96" s="8">
        <f>IFERROR(__xludf.DUMMYFUNCTION("""COMPUTED_VALUE"""),0.969607843137254)</f>
        <v>0.9696078431</v>
      </c>
      <c r="F96" s="8">
        <f>IFERROR(__xludf.DUMMYFUNCTION("""COMPUTED_VALUE"""),0.642405063291139)</f>
        <v>0.6424050633</v>
      </c>
      <c r="G96" s="8">
        <f>IFERROR(__xludf.DUMMYFUNCTION("""COMPUTED_VALUE"""),0.54126213592233)</f>
        <v>0.5412621359</v>
      </c>
      <c r="H96" s="8">
        <f>IFERROR(__xludf.DUMMYFUNCTION("""COMPUTED_VALUE"""),0.502121640735502)</f>
        <v>0.5021216407</v>
      </c>
      <c r="I96" s="8">
        <f>IFERROR(__xludf.DUMMYFUNCTION("""COMPUTED_VALUE"""),0.46551724137931)</f>
        <v>0.4655172414</v>
      </c>
      <c r="J96" s="8">
        <f>IFERROR(__xludf.DUMMYFUNCTION("""COMPUTED_VALUE"""),0.424311926605504)</f>
        <v>0.4243119266</v>
      </c>
      <c r="K96" s="8">
        <f>IFERROR(__xludf.DUMMYFUNCTION("""COMPUTED_VALUE"""),0.406947890818858)</f>
        <v>0.4069478908</v>
      </c>
      <c r="L96" s="8">
        <f>IFERROR(__xludf.DUMMYFUNCTION("""COMPUTED_VALUE"""),0.40149625935162)</f>
        <v>0.4014962594</v>
      </c>
      <c r="M96" s="8">
        <f>IFERROR(__xludf.DUMMYFUNCTION("""COMPUTED_VALUE"""),0.368421052631578)</f>
        <v>0.3684210526</v>
      </c>
      <c r="N96" s="8">
        <f>IFERROR(__xludf.DUMMYFUNCTION("""COMPUTED_VALUE"""),0.355889724310776)</f>
        <v>0.3558897243</v>
      </c>
      <c r="O96" s="8">
        <f>IFERROR(__xludf.DUMMYFUNCTION("""COMPUTED_VALUE"""),0.296875)</f>
        <v>0.296875</v>
      </c>
      <c r="P96" s="8">
        <f>IFERROR(__xludf.DUMMYFUNCTION("""COMPUTED_VALUE"""),0.21875)</f>
        <v>0.21875</v>
      </c>
      <c r="Q96" s="8">
        <f>IFERROR(__xludf.DUMMYFUNCTION("""COMPUTED_VALUE"""),0.0)</f>
        <v>0</v>
      </c>
      <c r="R96" s="8">
        <f>IFERROR(__xludf.DUMMYFUNCTION("""COMPUTED_VALUE"""),0.0)</f>
        <v>0</v>
      </c>
      <c r="S96" s="8">
        <f>IFERROR(__xludf.DUMMYFUNCTION("""COMPUTED_VALUE"""),0.0)</f>
        <v>0</v>
      </c>
      <c r="T96" s="8">
        <f>IFERROR(__xludf.DUMMYFUNCTION("""COMPUTED_VALUE"""),0.0)</f>
        <v>0</v>
      </c>
      <c r="U96" s="8">
        <f>IFERROR(__xludf.DUMMYFUNCTION("""COMPUTED_VALUE"""),0.0)</f>
        <v>0</v>
      </c>
      <c r="V96" s="8">
        <f>IFERROR(__xludf.DUMMYFUNCTION("""COMPUTED_VALUE"""),0.0)</f>
        <v>0</v>
      </c>
      <c r="W96" s="8">
        <f>IFERROR(__xludf.DUMMYFUNCTION("""COMPUTED_VALUE"""),0.0)</f>
        <v>0</v>
      </c>
      <c r="X96" s="8">
        <f>IFERROR(__xludf.DUMMYFUNCTION("""COMPUTED_VALUE"""),0.0)</f>
        <v>0</v>
      </c>
      <c r="Y96" s="8">
        <f>IFERROR(__xludf.DUMMYFUNCTION("""COMPUTED_VALUE"""),0.0)</f>
        <v>0</v>
      </c>
      <c r="Z96" s="8">
        <f>IFERROR(__xludf.DUMMYFUNCTION("""COMPUTED_VALUE"""),0.0)</f>
        <v>0</v>
      </c>
      <c r="AA96" s="8">
        <f>IFERROR(__xludf.DUMMYFUNCTION("""COMPUTED_VALUE"""),0.0)</f>
        <v>0</v>
      </c>
      <c r="AB96" s="8">
        <f>IFERROR(__xludf.DUMMYFUNCTION("""COMPUTED_VALUE"""),0.0)</f>
        <v>0</v>
      </c>
      <c r="AC96" s="8">
        <f>IFERROR(__xludf.DUMMYFUNCTION("""COMPUTED_VALUE"""),0.0)</f>
        <v>0</v>
      </c>
    </row>
    <row r="97" ht="15.75" customHeight="1">
      <c r="A97" s="6" t="str">
        <f>IFERROR(__xludf.DUMMYFUNCTION("""COMPUTED_VALUE"""),"4fed71af64877bcaf79252f171bf022a3b80e926")</f>
        <v>4fed71af64877bcaf79252f171bf022a3b80e926</v>
      </c>
      <c r="B97" s="6" t="str">
        <f>IFERROR(__xludf.DUMMYFUNCTION("""COMPUTED_VALUE"""),"Doomsday Hoarder")</f>
        <v>Doomsday Hoarder</v>
      </c>
      <c r="C97" s="6" t="str">
        <f>IFERROR(__xludf.DUMMYFUNCTION("""COMPUTED_VALUE"""),"Fantasy")</f>
        <v>Fantasy</v>
      </c>
      <c r="D97" s="5">
        <f>IFERROR(__xludf.DUMMYFUNCTION("""COMPUTED_VALUE"""),109.0)</f>
        <v>109</v>
      </c>
      <c r="E97" s="8">
        <f>IFERROR(__xludf.DUMMYFUNCTION("""COMPUTED_VALUE"""),0.954128440366972)</f>
        <v>0.9541284404</v>
      </c>
      <c r="F97" s="8">
        <f>IFERROR(__xludf.DUMMYFUNCTION("""COMPUTED_VALUE"""),0.660550458715596)</f>
        <v>0.6605504587</v>
      </c>
      <c r="G97" s="8">
        <f>IFERROR(__xludf.DUMMYFUNCTION("""COMPUTED_VALUE"""),0.623853211009174)</f>
        <v>0.623853211</v>
      </c>
      <c r="H97" s="8">
        <f>IFERROR(__xludf.DUMMYFUNCTION("""COMPUTED_VALUE"""),0.605504587155963)</f>
        <v>0.6055045872</v>
      </c>
      <c r="I97" s="8">
        <f>IFERROR(__xludf.DUMMYFUNCTION("""COMPUTED_VALUE"""),0.605504587155963)</f>
        <v>0.6055045872</v>
      </c>
      <c r="J97" s="8">
        <f>IFERROR(__xludf.DUMMYFUNCTION("""COMPUTED_VALUE"""),0.605504587155963)</f>
        <v>0.6055045872</v>
      </c>
      <c r="K97" s="8">
        <f>IFERROR(__xludf.DUMMYFUNCTION("""COMPUTED_VALUE"""),0.596330275229357)</f>
        <v>0.5963302752</v>
      </c>
      <c r="L97" s="8">
        <f>IFERROR(__xludf.DUMMYFUNCTION("""COMPUTED_VALUE"""),0.577981651376146)</f>
        <v>0.5779816514</v>
      </c>
      <c r="M97" s="8">
        <f>IFERROR(__xludf.DUMMYFUNCTION("""COMPUTED_VALUE"""),0.532110091743119)</f>
        <v>0.5321100917</v>
      </c>
      <c r="N97" s="8">
        <f>IFERROR(__xludf.DUMMYFUNCTION("""COMPUTED_VALUE"""),0.522935779816513)</f>
        <v>0.5229357798</v>
      </c>
      <c r="O97" s="8">
        <f>IFERROR(__xludf.DUMMYFUNCTION("""COMPUTED_VALUE"""),0.388888888888888)</f>
        <v>0.3888888889</v>
      </c>
      <c r="P97" s="8">
        <f>IFERROR(__xludf.DUMMYFUNCTION("""COMPUTED_VALUE"""),0.316831683168316)</f>
        <v>0.3168316832</v>
      </c>
      <c r="Q97" s="8">
        <f>IFERROR(__xludf.DUMMYFUNCTION("""COMPUTED_VALUE"""),0.246153846153846)</f>
        <v>0.2461538462</v>
      </c>
      <c r="R97" s="8">
        <f>IFERROR(__xludf.DUMMYFUNCTION("""COMPUTED_VALUE"""),0.0)</f>
        <v>0</v>
      </c>
      <c r="S97" s="8">
        <f>IFERROR(__xludf.DUMMYFUNCTION("""COMPUTED_VALUE"""),0.0)</f>
        <v>0</v>
      </c>
      <c r="T97" s="8">
        <f>IFERROR(__xludf.DUMMYFUNCTION("""COMPUTED_VALUE"""),0.0)</f>
        <v>0</v>
      </c>
      <c r="U97" s="8">
        <f>IFERROR(__xludf.DUMMYFUNCTION("""COMPUTED_VALUE"""),0.0)</f>
        <v>0</v>
      </c>
      <c r="V97" s="8">
        <f>IFERROR(__xludf.DUMMYFUNCTION("""COMPUTED_VALUE"""),0.0)</f>
        <v>0</v>
      </c>
      <c r="W97" s="8">
        <f>IFERROR(__xludf.DUMMYFUNCTION("""COMPUTED_VALUE"""),0.0)</f>
        <v>0</v>
      </c>
      <c r="X97" s="8">
        <f>IFERROR(__xludf.DUMMYFUNCTION("""COMPUTED_VALUE"""),0.0)</f>
        <v>0</v>
      </c>
      <c r="Y97" s="8">
        <f>IFERROR(__xludf.DUMMYFUNCTION("""COMPUTED_VALUE"""),0.0)</f>
        <v>0</v>
      </c>
      <c r="Z97" s="8">
        <f>IFERROR(__xludf.DUMMYFUNCTION("""COMPUTED_VALUE"""),0.0)</f>
        <v>0</v>
      </c>
      <c r="AA97" s="8">
        <f>IFERROR(__xludf.DUMMYFUNCTION("""COMPUTED_VALUE"""),0.0)</f>
        <v>0</v>
      </c>
      <c r="AB97" s="8">
        <f>IFERROR(__xludf.DUMMYFUNCTION("""COMPUTED_VALUE"""),0.0)</f>
        <v>0</v>
      </c>
      <c r="AC97" s="8">
        <f>IFERROR(__xludf.DUMMYFUNCTION("""COMPUTED_VALUE"""),0.0)</f>
        <v>0</v>
      </c>
    </row>
    <row r="98" ht="15.75" customHeight="1">
      <c r="A98" s="6" t="str">
        <f>IFERROR(__xludf.DUMMYFUNCTION("""COMPUTED_VALUE"""),"514efd834428337923e640a1254ea9d7477b18b3")</f>
        <v>514efd834428337923e640a1254ea9d7477b18b3</v>
      </c>
      <c r="B98" s="6" t="str">
        <f>IFERROR(__xludf.DUMMYFUNCTION("""COMPUTED_VALUE"""),"Bride of a Dragon")</f>
        <v>Bride of a Dragon</v>
      </c>
      <c r="C98" s="6" t="str">
        <f>IFERROR(__xludf.DUMMYFUNCTION("""COMPUTED_VALUE"""),"Romantasy")</f>
        <v>Romantasy</v>
      </c>
      <c r="D98" s="5">
        <f>IFERROR(__xludf.DUMMYFUNCTION("""COMPUTED_VALUE"""),7730.0)</f>
        <v>7730</v>
      </c>
      <c r="E98" s="8">
        <f>IFERROR(__xludf.DUMMYFUNCTION("""COMPUTED_VALUE"""),0.929981813458041)</f>
        <v>0.9299818135</v>
      </c>
      <c r="F98" s="8">
        <f>IFERROR(__xludf.DUMMYFUNCTION("""COMPUTED_VALUE"""),0.6)</f>
        <v>0.6</v>
      </c>
      <c r="G98" s="8">
        <f>IFERROR(__xludf.DUMMYFUNCTION("""COMPUTED_VALUE"""),0.559597016878189)</f>
        <v>0.5595970169</v>
      </c>
      <c r="H98" s="8">
        <f>IFERROR(__xludf.DUMMYFUNCTION("""COMPUTED_VALUE"""),0.518372703412073)</f>
        <v>0.5183727034</v>
      </c>
      <c r="I98" s="8">
        <f>IFERROR(__xludf.DUMMYFUNCTION("""COMPUTED_VALUE"""),0.501778421815307)</f>
        <v>0.5017784218</v>
      </c>
      <c r="J98" s="8">
        <f>IFERROR(__xludf.DUMMYFUNCTION("""COMPUTED_VALUE"""),0.472960465423773)</f>
        <v>0.4729604654</v>
      </c>
      <c r="K98" s="8">
        <f>IFERROR(__xludf.DUMMYFUNCTION("""COMPUTED_VALUE"""),0.468144411998938)</f>
        <v>0.468144412</v>
      </c>
      <c r="L98" s="8">
        <f>IFERROR(__xludf.DUMMYFUNCTION("""COMPUTED_VALUE"""),0.451875584034174)</f>
        <v>0.451875584</v>
      </c>
      <c r="M98" s="8">
        <f>IFERROR(__xludf.DUMMYFUNCTION("""COMPUTED_VALUE"""),0.440659782754458)</f>
        <v>0.4406597828</v>
      </c>
      <c r="N98" s="8">
        <f>IFERROR(__xludf.DUMMYFUNCTION("""COMPUTED_VALUE"""),0.433364775636706)</f>
        <v>0.4333647756</v>
      </c>
      <c r="O98" s="8">
        <f>IFERROR(__xludf.DUMMYFUNCTION("""COMPUTED_VALUE"""),0.388927335640138)</f>
        <v>0.3889273356</v>
      </c>
      <c r="P98" s="8">
        <f>IFERROR(__xludf.DUMMYFUNCTION("""COMPUTED_VALUE"""),0.358217509671872)</f>
        <v>0.3582175097</v>
      </c>
      <c r="Q98" s="8">
        <f>IFERROR(__xludf.DUMMYFUNCTION("""COMPUTED_VALUE"""),0.312706414044846)</f>
        <v>0.312706414</v>
      </c>
      <c r="R98" s="8">
        <f>IFERROR(__xludf.DUMMYFUNCTION("""COMPUTED_VALUE"""),0.28304164152082)</f>
        <v>0.2830416415</v>
      </c>
      <c r="S98" s="8">
        <f>IFERROR(__xludf.DUMMYFUNCTION("""COMPUTED_VALUE"""),0.232934325461015)</f>
        <v>0.2329343255</v>
      </c>
      <c r="T98" s="8">
        <f>IFERROR(__xludf.DUMMYFUNCTION("""COMPUTED_VALUE"""),0.132701421800947)</f>
        <v>0.1327014218</v>
      </c>
      <c r="U98" s="8">
        <f>IFERROR(__xludf.DUMMYFUNCTION("""COMPUTED_VALUE"""),0.0769230769230769)</f>
        <v>0.07692307692</v>
      </c>
      <c r="V98" s="8">
        <f>IFERROR(__xludf.DUMMYFUNCTION("""COMPUTED_VALUE"""),0.0)</f>
        <v>0</v>
      </c>
      <c r="W98" s="8">
        <f>IFERROR(__xludf.DUMMYFUNCTION("""COMPUTED_VALUE"""),0.0)</f>
        <v>0</v>
      </c>
      <c r="X98" s="8">
        <f>IFERROR(__xludf.DUMMYFUNCTION("""COMPUTED_VALUE"""),0.0)</f>
        <v>0</v>
      </c>
      <c r="Y98" s="8">
        <f>IFERROR(__xludf.DUMMYFUNCTION("""COMPUTED_VALUE"""),0.0)</f>
        <v>0</v>
      </c>
      <c r="Z98" s="8">
        <f>IFERROR(__xludf.DUMMYFUNCTION("""COMPUTED_VALUE"""),0.0)</f>
        <v>0</v>
      </c>
      <c r="AA98" s="8">
        <f>IFERROR(__xludf.DUMMYFUNCTION("""COMPUTED_VALUE"""),0.0)</f>
        <v>0</v>
      </c>
      <c r="AB98" s="8">
        <f>IFERROR(__xludf.DUMMYFUNCTION("""COMPUTED_VALUE"""),0.0)</f>
        <v>0</v>
      </c>
      <c r="AC98" s="8">
        <f>IFERROR(__xludf.DUMMYFUNCTION("""COMPUTED_VALUE"""),0.0)</f>
        <v>0</v>
      </c>
    </row>
    <row r="99" ht="15.75" customHeight="1">
      <c r="A99" s="6" t="str">
        <f>IFERROR(__xludf.DUMMYFUNCTION("""COMPUTED_VALUE"""),"5269f35d5665dd7c25aa81eac9fa9e452b693897")</f>
        <v>5269f35d5665dd7c25aa81eac9fa9e452b693897</v>
      </c>
      <c r="B99" s="6" t="str">
        <f>IFERROR(__xludf.DUMMYFUNCTION("""COMPUTED_VALUE"""),"Her Royal Vampire")</f>
        <v>Her Royal Vampire</v>
      </c>
      <c r="C99" s="6" t="str">
        <f>IFERROR(__xludf.DUMMYFUNCTION("""COMPUTED_VALUE"""),"Romantasy")</f>
        <v>Romantasy</v>
      </c>
      <c r="D99" s="5">
        <f>IFERROR(__xludf.DUMMYFUNCTION("""COMPUTED_VALUE"""),2007.0)</f>
        <v>2007</v>
      </c>
      <c r="E99" s="8">
        <f>IFERROR(__xludf.DUMMYFUNCTION("""COMPUTED_VALUE"""),0.958624127617148)</f>
        <v>0.9586241276</v>
      </c>
      <c r="F99" s="8">
        <f>IFERROR(__xludf.DUMMYFUNCTION("""COMPUTED_VALUE"""),0.592796398199099)</f>
        <v>0.5927963982</v>
      </c>
      <c r="G99" s="8">
        <f>IFERROR(__xludf.DUMMYFUNCTION("""COMPUTED_VALUE"""),0.530591775325977)</f>
        <v>0.5305917753</v>
      </c>
      <c r="H99" s="8">
        <f>IFERROR(__xludf.DUMMYFUNCTION("""COMPUTED_VALUE"""),0.490461847389558)</f>
        <v>0.4904618474</v>
      </c>
      <c r="I99" s="8">
        <f>IFERROR(__xludf.DUMMYFUNCTION("""COMPUTED_VALUE"""),0.461383139828369)</f>
        <v>0.4613831398</v>
      </c>
      <c r="J99" s="8">
        <f>IFERROR(__xludf.DUMMYFUNCTION("""COMPUTED_VALUE"""),0.439493670886075)</f>
        <v>0.4394936709</v>
      </c>
      <c r="K99" s="8">
        <f>IFERROR(__xludf.DUMMYFUNCTION("""COMPUTED_VALUE"""),0.426761277242777)</f>
        <v>0.4267612772</v>
      </c>
      <c r="L99" s="8">
        <f>IFERROR(__xludf.DUMMYFUNCTION("""COMPUTED_VALUE"""),0.419847328244274)</f>
        <v>0.4198473282</v>
      </c>
      <c r="M99" s="8">
        <f>IFERROR(__xludf.DUMMYFUNCTION("""COMPUTED_VALUE"""),0.407975460122699)</f>
        <v>0.4079754601</v>
      </c>
      <c r="N99" s="8">
        <f>IFERROR(__xludf.DUMMYFUNCTION("""COMPUTED_VALUE"""),0.390834191555097)</f>
        <v>0.3908341916</v>
      </c>
      <c r="O99" s="8">
        <f>IFERROR(__xludf.DUMMYFUNCTION("""COMPUTED_VALUE"""),0.334554334554334)</f>
        <v>0.3345543346</v>
      </c>
      <c r="P99" s="8">
        <f>IFERROR(__xludf.DUMMYFUNCTION("""COMPUTED_VALUE"""),0.25891472868217)</f>
        <v>0.2589147287</v>
      </c>
      <c r="Q99" s="8">
        <f>IFERROR(__xludf.DUMMYFUNCTION("""COMPUTED_VALUE"""),0.172161172161172)</f>
        <v>0.1721611722</v>
      </c>
      <c r="R99" s="8">
        <f>IFERROR(__xludf.DUMMYFUNCTION("""COMPUTED_VALUE"""),0.0953516090584028)</f>
        <v>0.09535160906</v>
      </c>
      <c r="S99" s="8">
        <f>IFERROR(__xludf.DUMMYFUNCTION("""COMPUTED_VALUE"""),0.0736842105263157)</f>
        <v>0.07368421053</v>
      </c>
      <c r="T99" s="8">
        <f>IFERROR(__xludf.DUMMYFUNCTION("""COMPUTED_VALUE"""),0.0408163265306122)</f>
        <v>0.04081632653</v>
      </c>
      <c r="U99" s="8">
        <f>IFERROR(__xludf.DUMMYFUNCTION("""COMPUTED_VALUE"""),0.0)</f>
        <v>0</v>
      </c>
      <c r="V99" s="8">
        <f>IFERROR(__xludf.DUMMYFUNCTION("""COMPUTED_VALUE"""),0.0)</f>
        <v>0</v>
      </c>
      <c r="W99" s="8">
        <f>IFERROR(__xludf.DUMMYFUNCTION("""COMPUTED_VALUE"""),0.0)</f>
        <v>0</v>
      </c>
      <c r="X99" s="8">
        <f>IFERROR(__xludf.DUMMYFUNCTION("""COMPUTED_VALUE"""),0.0)</f>
        <v>0</v>
      </c>
      <c r="Y99" s="8">
        <f>IFERROR(__xludf.DUMMYFUNCTION("""COMPUTED_VALUE"""),0.0)</f>
        <v>0</v>
      </c>
      <c r="Z99" s="8">
        <f>IFERROR(__xludf.DUMMYFUNCTION("""COMPUTED_VALUE"""),0.0)</f>
        <v>0</v>
      </c>
      <c r="AA99" s="8">
        <f>IFERROR(__xludf.DUMMYFUNCTION("""COMPUTED_VALUE"""),0.0)</f>
        <v>0</v>
      </c>
      <c r="AB99" s="8">
        <f>IFERROR(__xludf.DUMMYFUNCTION("""COMPUTED_VALUE"""),0.0)</f>
        <v>0</v>
      </c>
      <c r="AC99" s="8">
        <f>IFERROR(__xludf.DUMMYFUNCTION("""COMPUTED_VALUE"""),0.0)</f>
        <v>0</v>
      </c>
    </row>
    <row r="100" ht="15.75" customHeight="1">
      <c r="A100" s="6" t="str">
        <f>IFERROR(__xludf.DUMMYFUNCTION("""COMPUTED_VALUE"""),"5276da779c8fe48836102d34eea2143d4421865c")</f>
        <v>5276da779c8fe48836102d34eea2143d4421865c</v>
      </c>
      <c r="B100" s="6" t="str">
        <f>IFERROR(__xludf.DUMMYFUNCTION("""COMPUTED_VALUE"""),"The Single Father's Surrender")</f>
        <v>The Single Father's Surrender</v>
      </c>
      <c r="C100" s="6" t="str">
        <f>IFERROR(__xludf.DUMMYFUNCTION("""COMPUTED_VALUE"""),"Romance")</f>
        <v>Romance</v>
      </c>
      <c r="D100" s="5">
        <f>IFERROR(__xludf.DUMMYFUNCTION("""COMPUTED_VALUE"""),749.0)</f>
        <v>749</v>
      </c>
      <c r="E100" s="8">
        <f>IFERROR(__xludf.DUMMYFUNCTION("""COMPUTED_VALUE"""),0.962365591397849)</f>
        <v>0.9623655914</v>
      </c>
      <c r="F100" s="8">
        <f>IFERROR(__xludf.DUMMYFUNCTION("""COMPUTED_VALUE"""),0.632653061224489)</f>
        <v>0.6326530612</v>
      </c>
      <c r="G100" s="8">
        <f>IFERROR(__xludf.DUMMYFUNCTION("""COMPUTED_VALUE"""),0.550684931506849)</f>
        <v>0.5506849315</v>
      </c>
      <c r="H100" s="8">
        <f>IFERROR(__xludf.DUMMYFUNCTION("""COMPUTED_VALUE"""),0.497925311203319)</f>
        <v>0.4979253112</v>
      </c>
      <c r="I100" s="8">
        <f>IFERROR(__xludf.DUMMYFUNCTION("""COMPUTED_VALUE"""),0.474789915966386)</f>
        <v>0.474789916</v>
      </c>
      <c r="J100" s="8">
        <f>IFERROR(__xludf.DUMMYFUNCTION("""COMPUTED_VALUE"""),0.451704545454545)</f>
        <v>0.4517045455</v>
      </c>
      <c r="K100" s="8">
        <f>IFERROR(__xludf.DUMMYFUNCTION("""COMPUTED_VALUE"""),0.427325581395348)</f>
        <v>0.4273255814</v>
      </c>
      <c r="L100" s="8">
        <f>IFERROR(__xludf.DUMMYFUNCTION("""COMPUTED_VALUE"""),0.416793893129771)</f>
        <v>0.4167938931</v>
      </c>
      <c r="M100" s="8">
        <f>IFERROR(__xludf.DUMMYFUNCTION("""COMPUTED_VALUE"""),0.378164556962025)</f>
        <v>0.378164557</v>
      </c>
      <c r="N100" s="8">
        <f>IFERROR(__xludf.DUMMYFUNCTION("""COMPUTED_VALUE"""),0.37331081081081)</f>
        <v>0.3733108108</v>
      </c>
      <c r="O100" s="8">
        <f>IFERROR(__xludf.DUMMYFUNCTION("""COMPUTED_VALUE"""),0.354838709677419)</f>
        <v>0.3548387097</v>
      </c>
      <c r="P100" s="8">
        <f>IFERROR(__xludf.DUMMYFUNCTION("""COMPUTED_VALUE"""),0.274193548387096)</f>
        <v>0.2741935484</v>
      </c>
      <c r="Q100" s="8">
        <f>IFERROR(__xludf.DUMMYFUNCTION("""COMPUTED_VALUE"""),0.166666666666666)</f>
        <v>0.1666666667</v>
      </c>
      <c r="R100" s="8">
        <f>IFERROR(__xludf.DUMMYFUNCTION("""COMPUTED_VALUE"""),0.0649350649350649)</f>
        <v>0.06493506494</v>
      </c>
      <c r="S100" s="8">
        <f>IFERROR(__xludf.DUMMYFUNCTION("""COMPUTED_VALUE"""),0.024390243902439)</f>
        <v>0.0243902439</v>
      </c>
      <c r="T100" s="8">
        <f>IFERROR(__xludf.DUMMYFUNCTION("""COMPUTED_VALUE"""),0.0)</f>
        <v>0</v>
      </c>
      <c r="U100" s="8">
        <f>IFERROR(__xludf.DUMMYFUNCTION("""COMPUTED_VALUE"""),0.0)</f>
        <v>0</v>
      </c>
      <c r="V100" s="8">
        <f>IFERROR(__xludf.DUMMYFUNCTION("""COMPUTED_VALUE"""),0.0)</f>
        <v>0</v>
      </c>
      <c r="W100" s="8">
        <f>IFERROR(__xludf.DUMMYFUNCTION("""COMPUTED_VALUE"""),0.0)</f>
        <v>0</v>
      </c>
      <c r="X100" s="8">
        <f>IFERROR(__xludf.DUMMYFUNCTION("""COMPUTED_VALUE"""),0.0)</f>
        <v>0</v>
      </c>
      <c r="Y100" s="8">
        <f>IFERROR(__xludf.DUMMYFUNCTION("""COMPUTED_VALUE"""),0.0)</f>
        <v>0</v>
      </c>
      <c r="Z100" s="8">
        <f>IFERROR(__xludf.DUMMYFUNCTION("""COMPUTED_VALUE"""),0.0)</f>
        <v>0</v>
      </c>
      <c r="AA100" s="8">
        <f>IFERROR(__xludf.DUMMYFUNCTION("""COMPUTED_VALUE"""),0.0)</f>
        <v>0</v>
      </c>
      <c r="AB100" s="8">
        <f>IFERROR(__xludf.DUMMYFUNCTION("""COMPUTED_VALUE"""),0.0)</f>
        <v>0</v>
      </c>
      <c r="AC100" s="8">
        <f>IFERROR(__xludf.DUMMYFUNCTION("""COMPUTED_VALUE"""),0.0)</f>
        <v>0</v>
      </c>
    </row>
    <row r="101" ht="15.75" customHeight="1">
      <c r="A101" s="6" t="str">
        <f>IFERROR(__xludf.DUMMYFUNCTION("""COMPUTED_VALUE"""),"53bd90147df4228136243c0a218345e3a338b8c1")</f>
        <v>53bd90147df4228136243c0a218345e3a338b8c1</v>
      </c>
      <c r="B101" s="6" t="str">
        <f>IFERROR(__xludf.DUMMYFUNCTION("""COMPUTED_VALUE"""),"His Abandoned Wife")</f>
        <v>His Abandoned Wife</v>
      </c>
      <c r="C101" s="6" t="str">
        <f>IFERROR(__xludf.DUMMYFUNCTION("""COMPUTED_VALUE"""),"Romance")</f>
        <v>Romance</v>
      </c>
      <c r="D101" s="5">
        <f>IFERROR(__xludf.DUMMYFUNCTION("""COMPUTED_VALUE"""),177.0)</f>
        <v>177</v>
      </c>
      <c r="E101" s="8">
        <f>IFERROR(__xludf.DUMMYFUNCTION("""COMPUTED_VALUE"""),0.965714285714285)</f>
        <v>0.9657142857</v>
      </c>
      <c r="F101" s="8">
        <f>IFERROR(__xludf.DUMMYFUNCTION("""COMPUTED_VALUE"""),0.527272727272727)</f>
        <v>0.5272727273</v>
      </c>
      <c r="G101" s="8">
        <f>IFERROR(__xludf.DUMMYFUNCTION("""COMPUTED_VALUE"""),0.475)</f>
        <v>0.475</v>
      </c>
      <c r="H101" s="8">
        <f>IFERROR(__xludf.DUMMYFUNCTION("""COMPUTED_VALUE"""),0.44078947368421)</f>
        <v>0.4407894737</v>
      </c>
      <c r="I101" s="8">
        <f>IFERROR(__xludf.DUMMYFUNCTION("""COMPUTED_VALUE"""),0.404109589041095)</f>
        <v>0.404109589</v>
      </c>
      <c r="J101" s="8">
        <f>IFERROR(__xludf.DUMMYFUNCTION("""COMPUTED_VALUE"""),0.371428571428571)</f>
        <v>0.3714285714</v>
      </c>
      <c r="K101" s="8">
        <f>IFERROR(__xludf.DUMMYFUNCTION("""COMPUTED_VALUE"""),0.37410071942446)</f>
        <v>0.3741007194</v>
      </c>
      <c r="L101" s="8">
        <f>IFERROR(__xludf.DUMMYFUNCTION("""COMPUTED_VALUE"""),0.345323741007194)</f>
        <v>0.345323741</v>
      </c>
      <c r="M101" s="8">
        <f>IFERROR(__xludf.DUMMYFUNCTION("""COMPUTED_VALUE"""),0.302158273381295)</f>
        <v>0.3021582734</v>
      </c>
      <c r="N101" s="8">
        <f>IFERROR(__xludf.DUMMYFUNCTION("""COMPUTED_VALUE"""),0.287769784172661)</f>
        <v>0.2877697842</v>
      </c>
      <c r="O101" s="8">
        <f>IFERROR(__xludf.DUMMYFUNCTION("""COMPUTED_VALUE"""),0.222222222222222)</f>
        <v>0.2222222222</v>
      </c>
      <c r="P101" s="8">
        <f>IFERROR(__xludf.DUMMYFUNCTION("""COMPUTED_VALUE"""),0.241379310344827)</f>
        <v>0.2413793103</v>
      </c>
      <c r="Q101" s="8">
        <f>IFERROR(__xludf.DUMMYFUNCTION("""COMPUTED_VALUE"""),0.0)</f>
        <v>0</v>
      </c>
      <c r="R101" s="8">
        <f>IFERROR(__xludf.DUMMYFUNCTION("""COMPUTED_VALUE"""),0.0)</f>
        <v>0</v>
      </c>
      <c r="S101" s="8">
        <f>IFERROR(__xludf.DUMMYFUNCTION("""COMPUTED_VALUE"""),0.0)</f>
        <v>0</v>
      </c>
      <c r="T101" s="8">
        <f>IFERROR(__xludf.DUMMYFUNCTION("""COMPUTED_VALUE"""),0.0)</f>
        <v>0</v>
      </c>
      <c r="U101" s="8">
        <f>IFERROR(__xludf.DUMMYFUNCTION("""COMPUTED_VALUE"""),0.0)</f>
        <v>0</v>
      </c>
      <c r="V101" s="8">
        <f>IFERROR(__xludf.DUMMYFUNCTION("""COMPUTED_VALUE"""),0.0)</f>
        <v>0</v>
      </c>
      <c r="W101" s="8">
        <f>IFERROR(__xludf.DUMMYFUNCTION("""COMPUTED_VALUE"""),0.0)</f>
        <v>0</v>
      </c>
      <c r="X101" s="8">
        <f>IFERROR(__xludf.DUMMYFUNCTION("""COMPUTED_VALUE"""),0.0)</f>
        <v>0</v>
      </c>
      <c r="Y101" s="8">
        <f>IFERROR(__xludf.DUMMYFUNCTION("""COMPUTED_VALUE"""),0.0)</f>
        <v>0</v>
      </c>
      <c r="Z101" s="8">
        <f>IFERROR(__xludf.DUMMYFUNCTION("""COMPUTED_VALUE"""),0.0)</f>
        <v>0</v>
      </c>
      <c r="AA101" s="8">
        <f>IFERROR(__xludf.DUMMYFUNCTION("""COMPUTED_VALUE"""),0.0)</f>
        <v>0</v>
      </c>
      <c r="AB101" s="8">
        <f>IFERROR(__xludf.DUMMYFUNCTION("""COMPUTED_VALUE"""),0.0)</f>
        <v>0</v>
      </c>
      <c r="AC101" s="8">
        <f>IFERROR(__xludf.DUMMYFUNCTION("""COMPUTED_VALUE"""),0.0)</f>
        <v>0</v>
      </c>
    </row>
    <row r="102" ht="15.75" customHeight="1">
      <c r="A102" s="6" t="str">
        <f>IFERROR(__xludf.DUMMYFUNCTION("""COMPUTED_VALUE"""),"54a2cb963cd2e93491b9f03d9cf379ed72d3271f")</f>
        <v>54a2cb963cd2e93491b9f03d9cf379ed72d3271f</v>
      </c>
      <c r="B102" s="6" t="str">
        <f>IFERROR(__xludf.DUMMYFUNCTION("""COMPUTED_VALUE"""),"The One He Can't Break")</f>
        <v>The One He Can't Break</v>
      </c>
      <c r="C102" s="6" t="str">
        <f>IFERROR(__xludf.DUMMYFUNCTION("""COMPUTED_VALUE"""),"Romance")</f>
        <v>Romance</v>
      </c>
      <c r="D102" s="5">
        <f>IFERROR(__xludf.DUMMYFUNCTION("""COMPUTED_VALUE"""),1335.0)</f>
        <v>1335</v>
      </c>
      <c r="E102" s="8">
        <f>IFERROR(__xludf.DUMMYFUNCTION("""COMPUTED_VALUE"""),0.96551724137931)</f>
        <v>0.9655172414</v>
      </c>
      <c r="F102" s="8">
        <f>IFERROR(__xludf.DUMMYFUNCTION("""COMPUTED_VALUE"""),0.55813953488372)</f>
        <v>0.5581395349</v>
      </c>
      <c r="G102" s="8">
        <f>IFERROR(__xludf.DUMMYFUNCTION("""COMPUTED_VALUE"""),0.479729729729729)</f>
        <v>0.4797297297</v>
      </c>
      <c r="H102" s="8">
        <f>IFERROR(__xludf.DUMMYFUNCTION("""COMPUTED_VALUE"""),0.416603773584905)</f>
        <v>0.4166037736</v>
      </c>
      <c r="I102" s="8">
        <f>IFERROR(__xludf.DUMMYFUNCTION("""COMPUTED_VALUE"""),0.391370174110522)</f>
        <v>0.3913701741</v>
      </c>
      <c r="J102" s="8">
        <f>IFERROR(__xludf.DUMMYFUNCTION("""COMPUTED_VALUE"""),0.362029208301306)</f>
        <v>0.3620292083</v>
      </c>
      <c r="K102" s="8">
        <f>IFERROR(__xludf.DUMMYFUNCTION("""COMPUTED_VALUE"""),0.349803921568627)</f>
        <v>0.3498039216</v>
      </c>
      <c r="L102" s="8">
        <f>IFERROR(__xludf.DUMMYFUNCTION("""COMPUTED_VALUE"""),0.310931174089068)</f>
        <v>0.3109311741</v>
      </c>
      <c r="M102" s="8">
        <f>IFERROR(__xludf.DUMMYFUNCTION("""COMPUTED_VALUE"""),0.309060118543607)</f>
        <v>0.3090601185</v>
      </c>
      <c r="N102" s="8">
        <f>IFERROR(__xludf.DUMMYFUNCTION("""COMPUTED_VALUE"""),0.282074613284804)</f>
        <v>0.2820746133</v>
      </c>
      <c r="O102" s="8">
        <f>IFERROR(__xludf.DUMMYFUNCTION("""COMPUTED_VALUE"""),0.228155339805825)</f>
        <v>0.2281553398</v>
      </c>
      <c r="P102" s="8">
        <f>IFERROR(__xludf.DUMMYFUNCTION("""COMPUTED_VALUE"""),0.130162703379224)</f>
        <v>0.1301627034</v>
      </c>
      <c r="Q102" s="8">
        <f>IFERROR(__xludf.DUMMYFUNCTION("""COMPUTED_VALUE"""),0.0930232558139534)</f>
        <v>0.09302325581</v>
      </c>
      <c r="R102" s="8">
        <f>IFERROR(__xludf.DUMMYFUNCTION("""COMPUTED_VALUE"""),0.0858468677494199)</f>
        <v>0.08584686775</v>
      </c>
      <c r="S102" s="8">
        <f>IFERROR(__xludf.DUMMYFUNCTION("""COMPUTED_VALUE"""),0.0519480519480519)</f>
        <v>0.05194805195</v>
      </c>
      <c r="T102" s="8">
        <f>IFERROR(__xludf.DUMMYFUNCTION("""COMPUTED_VALUE"""),0.0)</f>
        <v>0</v>
      </c>
      <c r="U102" s="8">
        <f>IFERROR(__xludf.DUMMYFUNCTION("""COMPUTED_VALUE"""),0.0)</f>
        <v>0</v>
      </c>
      <c r="V102" s="8">
        <f>IFERROR(__xludf.DUMMYFUNCTION("""COMPUTED_VALUE"""),0.0)</f>
        <v>0</v>
      </c>
      <c r="W102" s="8">
        <f>IFERROR(__xludf.DUMMYFUNCTION("""COMPUTED_VALUE"""),0.0)</f>
        <v>0</v>
      </c>
      <c r="X102" s="8">
        <f>IFERROR(__xludf.DUMMYFUNCTION("""COMPUTED_VALUE"""),0.0)</f>
        <v>0</v>
      </c>
      <c r="Y102" s="8">
        <f>IFERROR(__xludf.DUMMYFUNCTION("""COMPUTED_VALUE"""),0.0)</f>
        <v>0</v>
      </c>
      <c r="Z102" s="8">
        <f>IFERROR(__xludf.DUMMYFUNCTION("""COMPUTED_VALUE"""),0.0)</f>
        <v>0</v>
      </c>
      <c r="AA102" s="8">
        <f>IFERROR(__xludf.DUMMYFUNCTION("""COMPUTED_VALUE"""),0.0)</f>
        <v>0</v>
      </c>
      <c r="AB102" s="8">
        <f>IFERROR(__xludf.DUMMYFUNCTION("""COMPUTED_VALUE"""),0.0)</f>
        <v>0</v>
      </c>
      <c r="AC102" s="8">
        <f>IFERROR(__xludf.DUMMYFUNCTION("""COMPUTED_VALUE"""),0.0)</f>
        <v>0</v>
      </c>
    </row>
    <row r="103" ht="15.75" customHeight="1">
      <c r="A103" s="6" t="str">
        <f>IFERROR(__xludf.DUMMYFUNCTION("""COMPUTED_VALUE"""),"55254a77c40862bb825ededf69a85438157d664f")</f>
        <v>55254a77c40862bb825ededf69a85438157d664f</v>
      </c>
      <c r="B103" s="6" t="str">
        <f>IFERROR(__xludf.DUMMYFUNCTION("""COMPUTED_VALUE"""),"The Billionaire With Mask")</f>
        <v>The Billionaire With Mask</v>
      </c>
      <c r="C103" s="6" t="str">
        <f>IFERROR(__xludf.DUMMYFUNCTION("""COMPUTED_VALUE"""),"Drama")</f>
        <v>Drama</v>
      </c>
      <c r="D103" s="5">
        <f>IFERROR(__xludf.DUMMYFUNCTION("""COMPUTED_VALUE"""),642.0)</f>
        <v>642</v>
      </c>
      <c r="E103" s="8">
        <f>IFERROR(__xludf.DUMMYFUNCTION("""COMPUTED_VALUE"""),0.955974842767295)</f>
        <v>0.9559748428</v>
      </c>
      <c r="F103" s="8">
        <f>IFERROR(__xludf.DUMMYFUNCTION("""COMPUTED_VALUE"""),0.592767295597484)</f>
        <v>0.5927672956</v>
      </c>
      <c r="G103" s="8">
        <f>IFERROR(__xludf.DUMMYFUNCTION("""COMPUTED_VALUE"""),0.517295597484276)</f>
        <v>0.5172955975</v>
      </c>
      <c r="H103" s="8">
        <f>IFERROR(__xludf.DUMMYFUNCTION("""COMPUTED_VALUE"""),0.472440944881889)</f>
        <v>0.4724409449</v>
      </c>
      <c r="I103" s="8">
        <f>IFERROR(__xludf.DUMMYFUNCTION("""COMPUTED_VALUE"""),0.434645669291338)</f>
        <v>0.4346456693</v>
      </c>
      <c r="J103" s="8">
        <f>IFERROR(__xludf.DUMMYFUNCTION("""COMPUTED_VALUE"""),0.414826498422712)</f>
        <v>0.4148264984</v>
      </c>
      <c r="K103" s="8">
        <f>IFERROR(__xludf.DUMMYFUNCTION("""COMPUTED_VALUE"""),0.397476340694006)</f>
        <v>0.3974763407</v>
      </c>
      <c r="L103" s="8">
        <f>IFERROR(__xludf.DUMMYFUNCTION("""COMPUTED_VALUE"""),0.386435331230283)</f>
        <v>0.3864353312</v>
      </c>
      <c r="M103" s="8">
        <f>IFERROR(__xludf.DUMMYFUNCTION("""COMPUTED_VALUE"""),0.376971608832807)</f>
        <v>0.3769716088</v>
      </c>
      <c r="N103" s="8">
        <f>IFERROR(__xludf.DUMMYFUNCTION("""COMPUTED_VALUE"""),0.364353312302839)</f>
        <v>0.3643533123</v>
      </c>
      <c r="O103" s="8">
        <f>IFERROR(__xludf.DUMMYFUNCTION("""COMPUTED_VALUE"""),0.327014218009478)</f>
        <v>0.327014218</v>
      </c>
      <c r="P103" s="8">
        <f>IFERROR(__xludf.DUMMYFUNCTION("""COMPUTED_VALUE"""),0.303858520900321)</f>
        <v>0.3038585209</v>
      </c>
      <c r="Q103" s="8">
        <f>IFERROR(__xludf.DUMMYFUNCTION("""COMPUTED_VALUE"""),0.220588235294117)</f>
        <v>0.2205882353</v>
      </c>
      <c r="R103" s="8">
        <f>IFERROR(__xludf.DUMMYFUNCTION("""COMPUTED_VALUE"""),0.155172413793103)</f>
        <v>0.1551724138</v>
      </c>
      <c r="S103" s="8">
        <f>IFERROR(__xludf.DUMMYFUNCTION("""COMPUTED_VALUE"""),0.151832460732984)</f>
        <v>0.1518324607</v>
      </c>
      <c r="T103" s="8">
        <f>IFERROR(__xludf.DUMMYFUNCTION("""COMPUTED_VALUE"""),0.0)</f>
        <v>0</v>
      </c>
      <c r="U103" s="8">
        <f>IFERROR(__xludf.DUMMYFUNCTION("""COMPUTED_VALUE"""),0.0)</f>
        <v>0</v>
      </c>
      <c r="V103" s="8">
        <f>IFERROR(__xludf.DUMMYFUNCTION("""COMPUTED_VALUE"""),0.0)</f>
        <v>0</v>
      </c>
      <c r="W103" s="8">
        <f>IFERROR(__xludf.DUMMYFUNCTION("""COMPUTED_VALUE"""),0.0)</f>
        <v>0</v>
      </c>
      <c r="X103" s="8">
        <f>IFERROR(__xludf.DUMMYFUNCTION("""COMPUTED_VALUE"""),0.0)</f>
        <v>0</v>
      </c>
      <c r="Y103" s="8">
        <f>IFERROR(__xludf.DUMMYFUNCTION("""COMPUTED_VALUE"""),0.0)</f>
        <v>0</v>
      </c>
      <c r="Z103" s="8">
        <f>IFERROR(__xludf.DUMMYFUNCTION("""COMPUTED_VALUE"""),0.0)</f>
        <v>0</v>
      </c>
      <c r="AA103" s="8">
        <f>IFERROR(__xludf.DUMMYFUNCTION("""COMPUTED_VALUE"""),0.0)</f>
        <v>0</v>
      </c>
      <c r="AB103" s="8">
        <f>IFERROR(__xludf.DUMMYFUNCTION("""COMPUTED_VALUE"""),0.0)</f>
        <v>0</v>
      </c>
      <c r="AC103" s="8">
        <f>IFERROR(__xludf.DUMMYFUNCTION("""COMPUTED_VALUE"""),0.0)</f>
        <v>0</v>
      </c>
    </row>
    <row r="104" ht="15.75" customHeight="1">
      <c r="A104" s="6" t="str">
        <f>IFERROR(__xludf.DUMMYFUNCTION("""COMPUTED_VALUE"""),"559db21e99cf5bc0720a814784386a0617e020b9")</f>
        <v>559db21e99cf5bc0720a814784386a0617e020b9</v>
      </c>
      <c r="B104" s="6" t="str">
        <f>IFERROR(__xludf.DUMMYFUNCTION("""COMPUTED_VALUE"""),"The Reborn Sovereign")</f>
        <v>The Reborn Sovereign</v>
      </c>
      <c r="C104" s="6" t="str">
        <f>IFERROR(__xludf.DUMMYFUNCTION("""COMPUTED_VALUE"""),"Fantasy")</f>
        <v>Fantasy</v>
      </c>
      <c r="D104" s="5">
        <f>IFERROR(__xludf.DUMMYFUNCTION("""COMPUTED_VALUE"""),2970.0)</f>
        <v>2970</v>
      </c>
      <c r="E104" s="8">
        <f>IFERROR(__xludf.DUMMYFUNCTION("""COMPUTED_VALUE"""),0.952662721893491)</f>
        <v>0.9526627219</v>
      </c>
      <c r="F104" s="8">
        <f>IFERROR(__xludf.DUMMYFUNCTION("""COMPUTED_VALUE"""),0.671828908554572)</f>
        <v>0.6718289086</v>
      </c>
      <c r="G104" s="8">
        <f>IFERROR(__xludf.DUMMYFUNCTION("""COMPUTED_VALUE"""),0.638150289017341)</f>
        <v>0.638150289</v>
      </c>
      <c r="H104" s="8">
        <f>IFERROR(__xludf.DUMMYFUNCTION("""COMPUTED_VALUE"""),0.622756933115823)</f>
        <v>0.6227569331</v>
      </c>
      <c r="I104" s="8">
        <f>IFERROR(__xludf.DUMMYFUNCTION("""COMPUTED_VALUE"""),0.605854900296987)</f>
        <v>0.6058549003</v>
      </c>
      <c r="J104" s="8">
        <f>IFERROR(__xludf.DUMMYFUNCTION("""COMPUTED_VALUE"""),0.581062974542206)</f>
        <v>0.5810629745</v>
      </c>
      <c r="K104" s="8">
        <f>IFERROR(__xludf.DUMMYFUNCTION("""COMPUTED_VALUE"""),0.565197428833792)</f>
        <v>0.5651974288</v>
      </c>
      <c r="L104" s="8">
        <f>IFERROR(__xludf.DUMMYFUNCTION("""COMPUTED_VALUE"""),0.553435114503816)</f>
        <v>0.5534351145</v>
      </c>
      <c r="M104" s="8">
        <f>IFERROR(__xludf.DUMMYFUNCTION("""COMPUTED_VALUE"""),0.545366327025715)</f>
        <v>0.545366327</v>
      </c>
      <c r="N104" s="8">
        <f>IFERROR(__xludf.DUMMYFUNCTION("""COMPUTED_VALUE"""),0.539)</f>
        <v>0.539</v>
      </c>
      <c r="O104" s="8">
        <f>IFERROR(__xludf.DUMMYFUNCTION("""COMPUTED_VALUE"""),0.474006116207951)</f>
        <v>0.4740061162</v>
      </c>
      <c r="P104" s="8">
        <f>IFERROR(__xludf.DUMMYFUNCTION("""COMPUTED_VALUE"""),0.39077265147304)</f>
        <v>0.3907726515</v>
      </c>
      <c r="Q104" s="8">
        <f>IFERROR(__xludf.DUMMYFUNCTION("""COMPUTED_VALUE"""),0.31038961038961)</f>
        <v>0.3103896104</v>
      </c>
      <c r="R104" s="8">
        <f>IFERROR(__xludf.DUMMYFUNCTION("""COMPUTED_VALUE"""),0.2483537158984)</f>
        <v>0.2483537159</v>
      </c>
      <c r="S104" s="8">
        <f>IFERROR(__xludf.DUMMYFUNCTION("""COMPUTED_VALUE"""),0.172782874617737)</f>
        <v>0.1727828746</v>
      </c>
      <c r="T104" s="8">
        <f>IFERROR(__xludf.DUMMYFUNCTION("""COMPUTED_VALUE"""),0.0)</f>
        <v>0</v>
      </c>
      <c r="U104" s="8">
        <f>IFERROR(__xludf.DUMMYFUNCTION("""COMPUTED_VALUE"""),0.0)</f>
        <v>0</v>
      </c>
      <c r="V104" s="8">
        <f>IFERROR(__xludf.DUMMYFUNCTION("""COMPUTED_VALUE"""),0.0)</f>
        <v>0</v>
      </c>
      <c r="W104" s="8">
        <f>IFERROR(__xludf.DUMMYFUNCTION("""COMPUTED_VALUE"""),0.0)</f>
        <v>0</v>
      </c>
      <c r="X104" s="8">
        <f>IFERROR(__xludf.DUMMYFUNCTION("""COMPUTED_VALUE"""),0.0)</f>
        <v>0</v>
      </c>
      <c r="Y104" s="8">
        <f>IFERROR(__xludf.DUMMYFUNCTION("""COMPUTED_VALUE"""),0.0)</f>
        <v>0</v>
      </c>
      <c r="Z104" s="8">
        <f>IFERROR(__xludf.DUMMYFUNCTION("""COMPUTED_VALUE"""),0.0)</f>
        <v>0</v>
      </c>
      <c r="AA104" s="8">
        <f>IFERROR(__xludf.DUMMYFUNCTION("""COMPUTED_VALUE"""),0.0)</f>
        <v>0</v>
      </c>
      <c r="AB104" s="8">
        <f>IFERROR(__xludf.DUMMYFUNCTION("""COMPUTED_VALUE"""),0.0)</f>
        <v>0</v>
      </c>
      <c r="AC104" s="8">
        <f>IFERROR(__xludf.DUMMYFUNCTION("""COMPUTED_VALUE"""),0.0)</f>
        <v>0</v>
      </c>
    </row>
    <row r="105" ht="15.75" customHeight="1">
      <c r="A105" s="6" t="str">
        <f>IFERROR(__xludf.DUMMYFUNCTION("""COMPUTED_VALUE"""),"562f725dcc83392df0b3d429b6d1ff538f81e71b")</f>
        <v>562f725dcc83392df0b3d429b6d1ff538f81e71b</v>
      </c>
      <c r="B105" s="6" t="str">
        <f>IFERROR(__xludf.DUMMYFUNCTION("""COMPUTED_VALUE"""),"Their Contracted Hearts")</f>
        <v>Their Contracted Hearts</v>
      </c>
      <c r="C105" s="6" t="str">
        <f>IFERROR(__xludf.DUMMYFUNCTION("""COMPUTED_VALUE"""),"Romance")</f>
        <v>Romance</v>
      </c>
      <c r="D105" s="5">
        <f>IFERROR(__xludf.DUMMYFUNCTION("""COMPUTED_VALUE"""),945.0)</f>
        <v>945</v>
      </c>
      <c r="E105" s="8">
        <f>IFERROR(__xludf.DUMMYFUNCTION("""COMPUTED_VALUE"""),0.957627118644067)</f>
        <v>0.9576271186</v>
      </c>
      <c r="F105" s="8">
        <f>IFERROR(__xludf.DUMMYFUNCTION("""COMPUTED_VALUE"""),0.602754237288135)</f>
        <v>0.6027542373</v>
      </c>
      <c r="G105" s="8">
        <f>IFERROR(__xludf.DUMMYFUNCTION("""COMPUTED_VALUE"""),0.6118769883351)</f>
        <v>0.6118769883</v>
      </c>
      <c r="H105" s="8">
        <f>IFERROR(__xludf.DUMMYFUNCTION("""COMPUTED_VALUE"""),0.563694267515923)</f>
        <v>0.5636942675</v>
      </c>
      <c r="I105" s="8">
        <f>IFERROR(__xludf.DUMMYFUNCTION("""COMPUTED_VALUE"""),0.559447983014862)</f>
        <v>0.559447983</v>
      </c>
      <c r="J105" s="8">
        <f>IFERROR(__xludf.DUMMYFUNCTION("""COMPUTED_VALUE"""),0.498405951115834)</f>
        <v>0.4984059511</v>
      </c>
      <c r="K105" s="8">
        <f>IFERROR(__xludf.DUMMYFUNCTION("""COMPUTED_VALUE"""),0.463336875664187)</f>
        <v>0.4633368757</v>
      </c>
      <c r="L105" s="8">
        <f>IFERROR(__xludf.DUMMYFUNCTION("""COMPUTED_VALUE"""),0.479277364505844)</f>
        <v>0.4792773645</v>
      </c>
      <c r="M105" s="8">
        <f>IFERROR(__xludf.DUMMYFUNCTION("""COMPUTED_VALUE"""),0.447396386822529)</f>
        <v>0.4473963868</v>
      </c>
      <c r="N105" s="8">
        <f>IFERROR(__xludf.DUMMYFUNCTION("""COMPUTED_VALUE"""),0.422954303931987)</f>
        <v>0.4229543039</v>
      </c>
      <c r="O105" s="8">
        <f>IFERROR(__xludf.DUMMYFUNCTION("""COMPUTED_VALUE"""),0.322471910112359)</f>
        <v>0.3224719101</v>
      </c>
      <c r="P105" s="8">
        <f>IFERROR(__xludf.DUMMYFUNCTION("""COMPUTED_VALUE"""),0.18395061728395)</f>
        <v>0.1839506173</v>
      </c>
      <c r="Q105" s="8">
        <f>IFERROR(__xludf.DUMMYFUNCTION("""COMPUTED_VALUE"""),0.186335403726708)</f>
        <v>0.1863354037</v>
      </c>
      <c r="R105" s="8">
        <f>IFERROR(__xludf.DUMMYFUNCTION("""COMPUTED_VALUE"""),0.155234657039711)</f>
        <v>0.155234657</v>
      </c>
      <c r="S105" s="8">
        <f>IFERROR(__xludf.DUMMYFUNCTION("""COMPUTED_VALUE"""),0.0602409638554216)</f>
        <v>0.06024096386</v>
      </c>
      <c r="T105" s="8">
        <f>IFERROR(__xludf.DUMMYFUNCTION("""COMPUTED_VALUE"""),0.0)</f>
        <v>0</v>
      </c>
      <c r="U105" s="8">
        <f>IFERROR(__xludf.DUMMYFUNCTION("""COMPUTED_VALUE"""),0.0)</f>
        <v>0</v>
      </c>
      <c r="V105" s="8">
        <f>IFERROR(__xludf.DUMMYFUNCTION("""COMPUTED_VALUE"""),0.0)</f>
        <v>0</v>
      </c>
      <c r="W105" s="8">
        <f>IFERROR(__xludf.DUMMYFUNCTION("""COMPUTED_VALUE"""),0.0)</f>
        <v>0</v>
      </c>
      <c r="X105" s="8">
        <f>IFERROR(__xludf.DUMMYFUNCTION("""COMPUTED_VALUE"""),0.0)</f>
        <v>0</v>
      </c>
      <c r="Y105" s="8">
        <f>IFERROR(__xludf.DUMMYFUNCTION("""COMPUTED_VALUE"""),0.0)</f>
        <v>0</v>
      </c>
      <c r="Z105" s="8">
        <f>IFERROR(__xludf.DUMMYFUNCTION("""COMPUTED_VALUE"""),0.0)</f>
        <v>0</v>
      </c>
      <c r="AA105" s="8">
        <f>IFERROR(__xludf.DUMMYFUNCTION("""COMPUTED_VALUE"""),0.0)</f>
        <v>0</v>
      </c>
      <c r="AB105" s="8">
        <f>IFERROR(__xludf.DUMMYFUNCTION("""COMPUTED_VALUE"""),0.0)</f>
        <v>0</v>
      </c>
      <c r="AC105" s="8">
        <f>IFERROR(__xludf.DUMMYFUNCTION("""COMPUTED_VALUE"""),0.0)</f>
        <v>0</v>
      </c>
    </row>
    <row r="106" ht="15.75" customHeight="1">
      <c r="A106" s="6" t="str">
        <f>IFERROR(__xludf.DUMMYFUNCTION("""COMPUTED_VALUE"""),"56fd2f13dbccca0c55f9b02f7334d302737ec3df")</f>
        <v>56fd2f13dbccca0c55f9b02f7334d302737ec3df</v>
      </c>
      <c r="B106" s="6" t="str">
        <f>IFERROR(__xludf.DUMMYFUNCTION("""COMPUTED_VALUE"""),"Heaven-Shaking Doctor")</f>
        <v>Heaven-Shaking Doctor</v>
      </c>
      <c r="C106" s="6" t="str">
        <f>IFERROR(__xludf.DUMMYFUNCTION("""COMPUTED_VALUE"""),"Drama")</f>
        <v>Drama</v>
      </c>
      <c r="D106" s="5">
        <f>IFERROR(__xludf.DUMMYFUNCTION("""COMPUTED_VALUE"""),608.0)</f>
        <v>608</v>
      </c>
      <c r="E106" s="8">
        <f>IFERROR(__xludf.DUMMYFUNCTION("""COMPUTED_VALUE"""),0.985197368421052)</f>
        <v>0.9851973684</v>
      </c>
      <c r="F106" s="8">
        <f>IFERROR(__xludf.DUMMYFUNCTION("""COMPUTED_VALUE"""),0.583881578947368)</f>
        <v>0.5838815789</v>
      </c>
      <c r="G106" s="8">
        <f>IFERROR(__xludf.DUMMYFUNCTION("""COMPUTED_VALUE"""),0.475247524752475)</f>
        <v>0.4752475248</v>
      </c>
      <c r="H106" s="8">
        <f>IFERROR(__xludf.DUMMYFUNCTION("""COMPUTED_VALUE"""),0.402640264026402)</f>
        <v>0.402640264</v>
      </c>
      <c r="I106" s="8">
        <f>IFERROR(__xludf.DUMMYFUNCTION("""COMPUTED_VALUE"""),0.333884297520661)</f>
        <v>0.3338842975</v>
      </c>
      <c r="J106" s="8">
        <f>IFERROR(__xludf.DUMMYFUNCTION("""COMPUTED_VALUE"""),0.29519071310116)</f>
        <v>0.2951907131</v>
      </c>
      <c r="K106" s="8">
        <f>IFERROR(__xludf.DUMMYFUNCTION("""COMPUTED_VALUE"""),0.269102990033222)</f>
        <v>0.26910299</v>
      </c>
      <c r="L106" s="8">
        <f>IFERROR(__xludf.DUMMYFUNCTION("""COMPUTED_VALUE"""),0.234608985024958)</f>
        <v>0.234608985</v>
      </c>
      <c r="M106" s="8">
        <f>IFERROR(__xludf.DUMMYFUNCTION("""COMPUTED_VALUE"""),0.201666666666666)</f>
        <v>0.2016666667</v>
      </c>
      <c r="N106" s="8">
        <f>IFERROR(__xludf.DUMMYFUNCTION("""COMPUTED_VALUE"""),0.183946488294314)</f>
        <v>0.1839464883</v>
      </c>
      <c r="O106" s="8">
        <f>IFERROR(__xludf.DUMMYFUNCTION("""COMPUTED_VALUE"""),0.12478336221837)</f>
        <v>0.1247833622</v>
      </c>
      <c r="P106" s="8">
        <f>IFERROR(__xludf.DUMMYFUNCTION("""COMPUTED_VALUE"""),0.0789473684210526)</f>
        <v>0.07894736842</v>
      </c>
      <c r="Q106" s="8">
        <f>IFERROR(__xludf.DUMMYFUNCTION("""COMPUTED_VALUE"""),0.0)</f>
        <v>0</v>
      </c>
      <c r="R106" s="8">
        <f>IFERROR(__xludf.DUMMYFUNCTION("""COMPUTED_VALUE"""),0.0)</f>
        <v>0</v>
      </c>
      <c r="S106" s="8">
        <f>IFERROR(__xludf.DUMMYFUNCTION("""COMPUTED_VALUE"""),0.0)</f>
        <v>0</v>
      </c>
      <c r="T106" s="8">
        <f>IFERROR(__xludf.DUMMYFUNCTION("""COMPUTED_VALUE"""),0.0)</f>
        <v>0</v>
      </c>
      <c r="U106" s="8">
        <f>IFERROR(__xludf.DUMMYFUNCTION("""COMPUTED_VALUE"""),0.0)</f>
        <v>0</v>
      </c>
      <c r="V106" s="8">
        <f>IFERROR(__xludf.DUMMYFUNCTION("""COMPUTED_VALUE"""),0.0)</f>
        <v>0</v>
      </c>
      <c r="W106" s="8">
        <f>IFERROR(__xludf.DUMMYFUNCTION("""COMPUTED_VALUE"""),0.0)</f>
        <v>0</v>
      </c>
      <c r="X106" s="8">
        <f>IFERROR(__xludf.DUMMYFUNCTION("""COMPUTED_VALUE"""),0.0)</f>
        <v>0</v>
      </c>
      <c r="Y106" s="8">
        <f>IFERROR(__xludf.DUMMYFUNCTION("""COMPUTED_VALUE"""),0.0)</f>
        <v>0</v>
      </c>
      <c r="Z106" s="8">
        <f>IFERROR(__xludf.DUMMYFUNCTION("""COMPUTED_VALUE"""),0.0)</f>
        <v>0</v>
      </c>
      <c r="AA106" s="8">
        <f>IFERROR(__xludf.DUMMYFUNCTION("""COMPUTED_VALUE"""),0.0)</f>
        <v>0</v>
      </c>
      <c r="AB106" s="8">
        <f>IFERROR(__xludf.DUMMYFUNCTION("""COMPUTED_VALUE"""),0.0)</f>
        <v>0</v>
      </c>
      <c r="AC106" s="8">
        <f>IFERROR(__xludf.DUMMYFUNCTION("""COMPUTED_VALUE"""),0.0)</f>
        <v>0</v>
      </c>
    </row>
    <row r="107" ht="15.75" customHeight="1">
      <c r="A107" s="6" t="str">
        <f>IFERROR(__xludf.DUMMYFUNCTION("""COMPUTED_VALUE"""),"5710ee62e2cd01947d8f11e6bcaaa653fd1281b2")</f>
        <v>5710ee62e2cd01947d8f11e6bcaaa653fd1281b2</v>
      </c>
      <c r="B107" s="6" t="str">
        <f>IFERROR(__xludf.DUMMYFUNCTION("""COMPUTED_VALUE"""),"The Greatest Son-in-Law")</f>
        <v>The Greatest Son-in-Law</v>
      </c>
      <c r="C107" s="6" t="str">
        <f>IFERROR(__xludf.DUMMYFUNCTION("""COMPUTED_VALUE"""),"Drama")</f>
        <v>Drama</v>
      </c>
      <c r="D107" s="5">
        <f>IFERROR(__xludf.DUMMYFUNCTION("""COMPUTED_VALUE"""),901.0)</f>
        <v>901</v>
      </c>
      <c r="E107" s="8">
        <f>IFERROR(__xludf.DUMMYFUNCTION("""COMPUTED_VALUE"""),0.973273942093541)</f>
        <v>0.9732739421</v>
      </c>
      <c r="F107" s="8">
        <f>IFERROR(__xludf.DUMMYFUNCTION("""COMPUTED_VALUE"""),0.550724637681159)</f>
        <v>0.5507246377</v>
      </c>
      <c r="G107" s="8">
        <f>IFERROR(__xludf.DUMMYFUNCTION("""COMPUTED_VALUE"""),0.445566778900112)</f>
        <v>0.4455667789</v>
      </c>
      <c r="H107" s="8">
        <f>IFERROR(__xludf.DUMMYFUNCTION("""COMPUTED_VALUE"""),0.381776239907727)</f>
        <v>0.3817762399</v>
      </c>
      <c r="I107" s="8">
        <f>IFERROR(__xludf.DUMMYFUNCTION("""COMPUTED_VALUE"""),0.325301204819277)</f>
        <v>0.3253012048</v>
      </c>
      <c r="J107" s="8">
        <f>IFERROR(__xludf.DUMMYFUNCTION("""COMPUTED_VALUE"""),0.289333333333333)</f>
        <v>0.2893333333</v>
      </c>
      <c r="K107" s="8">
        <f>IFERROR(__xludf.DUMMYFUNCTION("""COMPUTED_VALUE"""),0.262108262108262)</f>
        <v>0.2621082621</v>
      </c>
      <c r="L107" s="8">
        <f>IFERROR(__xludf.DUMMYFUNCTION("""COMPUTED_VALUE"""),0.253067484662576)</f>
        <v>0.2530674847</v>
      </c>
      <c r="M107" s="8">
        <f>IFERROR(__xludf.DUMMYFUNCTION("""COMPUTED_VALUE"""),0.241438356164383)</f>
        <v>0.2414383562</v>
      </c>
      <c r="N107" s="8">
        <f>IFERROR(__xludf.DUMMYFUNCTION("""COMPUTED_VALUE"""),0.230460921843687)</f>
        <v>0.2304609218</v>
      </c>
      <c r="O107" s="8">
        <f>IFERROR(__xludf.DUMMYFUNCTION("""COMPUTED_VALUE"""),0.185975609756097)</f>
        <v>0.1859756098</v>
      </c>
      <c r="P107" s="8">
        <f>IFERROR(__xludf.DUMMYFUNCTION("""COMPUTED_VALUE"""),0.167224080267558)</f>
        <v>0.1672240803</v>
      </c>
      <c r="Q107" s="8">
        <f>IFERROR(__xludf.DUMMYFUNCTION("""COMPUTED_VALUE"""),0.142857142857142)</f>
        <v>0.1428571429</v>
      </c>
      <c r="R107" s="8">
        <f>IFERROR(__xludf.DUMMYFUNCTION("""COMPUTED_VALUE"""),0.0)</f>
        <v>0</v>
      </c>
      <c r="S107" s="8">
        <f>IFERROR(__xludf.DUMMYFUNCTION("""COMPUTED_VALUE"""),0.0)</f>
        <v>0</v>
      </c>
      <c r="T107" s="8">
        <f>IFERROR(__xludf.DUMMYFUNCTION("""COMPUTED_VALUE"""),0.0)</f>
        <v>0</v>
      </c>
      <c r="U107" s="8">
        <f>IFERROR(__xludf.DUMMYFUNCTION("""COMPUTED_VALUE"""),0.0)</f>
        <v>0</v>
      </c>
      <c r="V107" s="8">
        <f>IFERROR(__xludf.DUMMYFUNCTION("""COMPUTED_VALUE"""),0.0)</f>
        <v>0</v>
      </c>
      <c r="W107" s="8">
        <f>IFERROR(__xludf.DUMMYFUNCTION("""COMPUTED_VALUE"""),0.0)</f>
        <v>0</v>
      </c>
      <c r="X107" s="8">
        <f>IFERROR(__xludf.DUMMYFUNCTION("""COMPUTED_VALUE"""),0.0)</f>
        <v>0</v>
      </c>
      <c r="Y107" s="8">
        <f>IFERROR(__xludf.DUMMYFUNCTION("""COMPUTED_VALUE"""),0.0)</f>
        <v>0</v>
      </c>
      <c r="Z107" s="8">
        <f>IFERROR(__xludf.DUMMYFUNCTION("""COMPUTED_VALUE"""),0.0)</f>
        <v>0</v>
      </c>
      <c r="AA107" s="8">
        <f>IFERROR(__xludf.DUMMYFUNCTION("""COMPUTED_VALUE"""),0.0)</f>
        <v>0</v>
      </c>
      <c r="AB107" s="8">
        <f>IFERROR(__xludf.DUMMYFUNCTION("""COMPUTED_VALUE"""),0.0)</f>
        <v>0</v>
      </c>
      <c r="AC107" s="8">
        <f>IFERROR(__xludf.DUMMYFUNCTION("""COMPUTED_VALUE"""),0.0)</f>
        <v>0</v>
      </c>
    </row>
    <row r="108" ht="15.75" customHeight="1">
      <c r="A108" s="6" t="str">
        <f>IFERROR(__xludf.DUMMYFUNCTION("""COMPUTED_VALUE"""),"57c4ad36d88c94c3d6132c931c371b08f21ab0e1")</f>
        <v>57c4ad36d88c94c3d6132c931c371b08f21ab0e1</v>
      </c>
      <c r="B108" s="6" t="str">
        <f>IFERROR(__xludf.DUMMYFUNCTION("""COMPUTED_VALUE"""),"Warlord of the Frozen Daw")</f>
        <v>Warlord of the Frozen Daw</v>
      </c>
      <c r="C108" s="6" t="str">
        <f>IFERROR(__xludf.DUMMYFUNCTION("""COMPUTED_VALUE"""),"Drama")</f>
        <v>Drama</v>
      </c>
      <c r="D108" s="5">
        <f>IFERROR(__xludf.DUMMYFUNCTION("""COMPUTED_VALUE"""),72.0)</f>
        <v>72</v>
      </c>
      <c r="E108" s="8">
        <f>IFERROR(__xludf.DUMMYFUNCTION("""COMPUTED_VALUE"""),0.972222222222222)</f>
        <v>0.9722222222</v>
      </c>
      <c r="F108" s="8">
        <f>IFERROR(__xludf.DUMMYFUNCTION("""COMPUTED_VALUE"""),0.541666666666666)</f>
        <v>0.5416666667</v>
      </c>
      <c r="G108" s="8">
        <f>IFERROR(__xludf.DUMMYFUNCTION("""COMPUTED_VALUE"""),0.402777777777777)</f>
        <v>0.4027777778</v>
      </c>
      <c r="H108" s="8">
        <f>IFERROR(__xludf.DUMMYFUNCTION("""COMPUTED_VALUE"""),0.375)</f>
        <v>0.375</v>
      </c>
      <c r="I108" s="8">
        <f>IFERROR(__xludf.DUMMYFUNCTION("""COMPUTED_VALUE"""),0.347222222222222)</f>
        <v>0.3472222222</v>
      </c>
      <c r="J108" s="8">
        <f>IFERROR(__xludf.DUMMYFUNCTION("""COMPUTED_VALUE"""),0.333333333333333)</f>
        <v>0.3333333333</v>
      </c>
      <c r="K108" s="8">
        <f>IFERROR(__xludf.DUMMYFUNCTION("""COMPUTED_VALUE"""),0.295774647887323)</f>
        <v>0.2957746479</v>
      </c>
      <c r="L108" s="8">
        <f>IFERROR(__xludf.DUMMYFUNCTION("""COMPUTED_VALUE"""),0.275362318840579)</f>
        <v>0.2753623188</v>
      </c>
      <c r="M108" s="8">
        <f>IFERROR(__xludf.DUMMYFUNCTION("""COMPUTED_VALUE"""),0.260869565217391)</f>
        <v>0.2608695652</v>
      </c>
      <c r="N108" s="8">
        <f>IFERROR(__xludf.DUMMYFUNCTION("""COMPUTED_VALUE"""),0.231884057971014)</f>
        <v>0.231884058</v>
      </c>
      <c r="O108" s="8">
        <f>IFERROR(__xludf.DUMMYFUNCTION("""COMPUTED_VALUE"""),0.238095238095238)</f>
        <v>0.2380952381</v>
      </c>
      <c r="P108" s="8">
        <f>IFERROR(__xludf.DUMMYFUNCTION("""COMPUTED_VALUE"""),0.166666666666666)</f>
        <v>0.1666666667</v>
      </c>
      <c r="Q108" s="8">
        <f>IFERROR(__xludf.DUMMYFUNCTION("""COMPUTED_VALUE"""),0.135593220338983)</f>
        <v>0.1355932203</v>
      </c>
      <c r="R108" s="8">
        <f>IFERROR(__xludf.DUMMYFUNCTION("""COMPUTED_VALUE"""),0.0666666666666666)</f>
        <v>0.06666666667</v>
      </c>
      <c r="S108" s="8">
        <f>IFERROR(__xludf.DUMMYFUNCTION("""COMPUTED_VALUE"""),0.0)</f>
        <v>0</v>
      </c>
      <c r="T108" s="8">
        <f>IFERROR(__xludf.DUMMYFUNCTION("""COMPUTED_VALUE"""),0.0)</f>
        <v>0</v>
      </c>
      <c r="U108" s="8">
        <f>IFERROR(__xludf.DUMMYFUNCTION("""COMPUTED_VALUE"""),0.0)</f>
        <v>0</v>
      </c>
      <c r="V108" s="8">
        <f>IFERROR(__xludf.DUMMYFUNCTION("""COMPUTED_VALUE"""),0.0)</f>
        <v>0</v>
      </c>
      <c r="W108" s="8">
        <f>IFERROR(__xludf.DUMMYFUNCTION("""COMPUTED_VALUE"""),0.0)</f>
        <v>0</v>
      </c>
      <c r="X108" s="8">
        <f>IFERROR(__xludf.DUMMYFUNCTION("""COMPUTED_VALUE"""),0.0)</f>
        <v>0</v>
      </c>
      <c r="Y108" s="8">
        <f>IFERROR(__xludf.DUMMYFUNCTION("""COMPUTED_VALUE"""),0.0)</f>
        <v>0</v>
      </c>
      <c r="Z108" s="8">
        <f>IFERROR(__xludf.DUMMYFUNCTION("""COMPUTED_VALUE"""),0.0)</f>
        <v>0</v>
      </c>
      <c r="AA108" s="8">
        <f>IFERROR(__xludf.DUMMYFUNCTION("""COMPUTED_VALUE"""),0.0)</f>
        <v>0</v>
      </c>
      <c r="AB108" s="8">
        <f>IFERROR(__xludf.DUMMYFUNCTION("""COMPUTED_VALUE"""),0.0)</f>
        <v>0</v>
      </c>
      <c r="AC108" s="8">
        <f>IFERROR(__xludf.DUMMYFUNCTION("""COMPUTED_VALUE"""),0.0)</f>
        <v>0</v>
      </c>
    </row>
    <row r="109" ht="15.75" customHeight="1">
      <c r="A109" s="6" t="str">
        <f>IFERROR(__xludf.DUMMYFUNCTION("""COMPUTED_VALUE"""),"57e670da35fed12abf270953b1cf3cf942fc89e1")</f>
        <v>57e670da35fed12abf270953b1cf3cf942fc89e1</v>
      </c>
      <c r="B109" s="6" t="str">
        <f>IFERROR(__xludf.DUMMYFUNCTION("""COMPUTED_VALUE"""),"You Are Mine Alone, Love")</f>
        <v>You Are Mine Alone, Love</v>
      </c>
      <c r="C109" s="6" t="str">
        <f>IFERROR(__xludf.DUMMYFUNCTION("""COMPUTED_VALUE"""),"Romance")</f>
        <v>Romance</v>
      </c>
      <c r="D109" s="5">
        <f>IFERROR(__xludf.DUMMYFUNCTION("""COMPUTED_VALUE"""),455.0)</f>
        <v>455</v>
      </c>
      <c r="E109" s="8">
        <f>IFERROR(__xludf.DUMMYFUNCTION("""COMPUTED_VALUE"""),0.964757709251101)</f>
        <v>0.9647577093</v>
      </c>
      <c r="F109" s="8">
        <f>IFERROR(__xludf.DUMMYFUNCTION("""COMPUTED_VALUE"""),0.551111111111111)</f>
        <v>0.5511111111</v>
      </c>
      <c r="G109" s="8">
        <f>IFERROR(__xludf.DUMMYFUNCTION("""COMPUTED_VALUE"""),0.459641255605381)</f>
        <v>0.4596412556</v>
      </c>
      <c r="H109" s="8">
        <f>IFERROR(__xludf.DUMMYFUNCTION("""COMPUTED_VALUE"""),0.397228637413394)</f>
        <v>0.3972286374</v>
      </c>
      <c r="I109" s="8">
        <f>IFERROR(__xludf.DUMMYFUNCTION("""COMPUTED_VALUE"""),0.364705882352941)</f>
        <v>0.3647058824</v>
      </c>
      <c r="J109" s="8">
        <f>IFERROR(__xludf.DUMMYFUNCTION("""COMPUTED_VALUE"""),0.330143540669856)</f>
        <v>0.3301435407</v>
      </c>
      <c r="K109" s="8">
        <f>IFERROR(__xludf.DUMMYFUNCTION("""COMPUTED_VALUE"""),0.294403892944038)</f>
        <v>0.2944038929</v>
      </c>
      <c r="L109" s="8">
        <f>IFERROR(__xludf.DUMMYFUNCTION("""COMPUTED_VALUE"""),0.281012658227848)</f>
        <v>0.2810126582</v>
      </c>
      <c r="M109" s="8">
        <f>IFERROR(__xludf.DUMMYFUNCTION("""COMPUTED_VALUE"""),0.255263157894736)</f>
        <v>0.2552631579</v>
      </c>
      <c r="N109" s="8">
        <f>IFERROR(__xludf.DUMMYFUNCTION("""COMPUTED_VALUE"""),0.24931506849315)</f>
        <v>0.2493150685</v>
      </c>
      <c r="O109" s="8">
        <f>IFERROR(__xludf.DUMMYFUNCTION("""COMPUTED_VALUE"""),0.198795180722891)</f>
        <v>0.1987951807</v>
      </c>
      <c r="P109" s="8">
        <f>IFERROR(__xludf.DUMMYFUNCTION("""COMPUTED_VALUE"""),0.12087912087912)</f>
        <v>0.1208791209</v>
      </c>
      <c r="Q109" s="8">
        <f>IFERROR(__xludf.DUMMYFUNCTION("""COMPUTED_VALUE"""),0.0782608695652174)</f>
        <v>0.07826086957</v>
      </c>
      <c r="R109" s="8">
        <f>IFERROR(__xludf.DUMMYFUNCTION("""COMPUTED_VALUE"""),0.0)</f>
        <v>0</v>
      </c>
      <c r="S109" s="8">
        <f>IFERROR(__xludf.DUMMYFUNCTION("""COMPUTED_VALUE"""),0.0)</f>
        <v>0</v>
      </c>
      <c r="T109" s="8">
        <f>IFERROR(__xludf.DUMMYFUNCTION("""COMPUTED_VALUE"""),0.0)</f>
        <v>0</v>
      </c>
      <c r="U109" s="8">
        <f>IFERROR(__xludf.DUMMYFUNCTION("""COMPUTED_VALUE"""),0.0)</f>
        <v>0</v>
      </c>
      <c r="V109" s="8">
        <f>IFERROR(__xludf.DUMMYFUNCTION("""COMPUTED_VALUE"""),0.0)</f>
        <v>0</v>
      </c>
      <c r="W109" s="8">
        <f>IFERROR(__xludf.DUMMYFUNCTION("""COMPUTED_VALUE"""),0.0)</f>
        <v>0</v>
      </c>
      <c r="X109" s="8">
        <f>IFERROR(__xludf.DUMMYFUNCTION("""COMPUTED_VALUE"""),0.0)</f>
        <v>0</v>
      </c>
      <c r="Y109" s="8">
        <f>IFERROR(__xludf.DUMMYFUNCTION("""COMPUTED_VALUE"""),0.0)</f>
        <v>0</v>
      </c>
      <c r="Z109" s="8">
        <f>IFERROR(__xludf.DUMMYFUNCTION("""COMPUTED_VALUE"""),0.0)</f>
        <v>0</v>
      </c>
      <c r="AA109" s="8">
        <f>IFERROR(__xludf.DUMMYFUNCTION("""COMPUTED_VALUE"""),0.0)</f>
        <v>0</v>
      </c>
      <c r="AB109" s="8">
        <f>IFERROR(__xludf.DUMMYFUNCTION("""COMPUTED_VALUE"""),0.0)</f>
        <v>0</v>
      </c>
      <c r="AC109" s="8">
        <f>IFERROR(__xludf.DUMMYFUNCTION("""COMPUTED_VALUE"""),0.0)</f>
        <v>0</v>
      </c>
    </row>
    <row r="110" ht="15.75" customHeight="1">
      <c r="A110" s="6" t="str">
        <f>IFERROR(__xludf.DUMMYFUNCTION("""COMPUTED_VALUE"""),"57ebfa5b58a3257a521a5b9c12c5af19771e4403")</f>
        <v>57ebfa5b58a3257a521a5b9c12c5af19771e4403</v>
      </c>
      <c r="B110" s="6" t="str">
        <f>IFERROR(__xludf.DUMMYFUNCTION("""COMPUTED_VALUE"""),"Unmasking the Bride")</f>
        <v>Unmasking the Bride</v>
      </c>
      <c r="C110" s="6" t="str">
        <f>IFERROR(__xludf.DUMMYFUNCTION("""COMPUTED_VALUE"""),"Romance")</f>
        <v>Romance</v>
      </c>
      <c r="D110" s="5">
        <f>IFERROR(__xludf.DUMMYFUNCTION("""COMPUTED_VALUE"""),525.0)</f>
        <v>525</v>
      </c>
      <c r="E110" s="8">
        <f>IFERROR(__xludf.DUMMYFUNCTION("""COMPUTED_VALUE"""),0.887619047619047)</f>
        <v>0.8876190476</v>
      </c>
      <c r="F110" s="8">
        <f>IFERROR(__xludf.DUMMYFUNCTION("""COMPUTED_VALUE"""),0.407619047619047)</f>
        <v>0.4076190476</v>
      </c>
      <c r="G110" s="8">
        <f>IFERROR(__xludf.DUMMYFUNCTION("""COMPUTED_VALUE"""),0.365714285714285)</f>
        <v>0.3657142857</v>
      </c>
      <c r="H110" s="8">
        <f>IFERROR(__xludf.DUMMYFUNCTION("""COMPUTED_VALUE"""),0.329523809523809)</f>
        <v>0.3295238095</v>
      </c>
      <c r="I110" s="8">
        <f>IFERROR(__xludf.DUMMYFUNCTION("""COMPUTED_VALUE"""),0.311068702290076)</f>
        <v>0.3110687023</v>
      </c>
      <c r="J110" s="8">
        <f>IFERROR(__xludf.DUMMYFUNCTION("""COMPUTED_VALUE"""),0.280534351145038)</f>
        <v>0.2805343511</v>
      </c>
      <c r="K110" s="8">
        <f>IFERROR(__xludf.DUMMYFUNCTION("""COMPUTED_VALUE"""),0.267175572519083)</f>
        <v>0.2671755725</v>
      </c>
      <c r="L110" s="8">
        <f>IFERROR(__xludf.DUMMYFUNCTION("""COMPUTED_VALUE"""),0.253816793893129)</f>
        <v>0.2538167939</v>
      </c>
      <c r="M110" s="8">
        <f>IFERROR(__xludf.DUMMYFUNCTION("""COMPUTED_VALUE"""),0.237093690248565)</f>
        <v>0.2370936902</v>
      </c>
      <c r="N110" s="8">
        <f>IFERROR(__xludf.DUMMYFUNCTION("""COMPUTED_VALUE"""),0.224137931034482)</f>
        <v>0.224137931</v>
      </c>
      <c r="O110" s="8">
        <f>IFERROR(__xludf.DUMMYFUNCTION("""COMPUTED_VALUE"""),0.18375241779497)</f>
        <v>0.1837524178</v>
      </c>
      <c r="P110" s="8">
        <f>IFERROR(__xludf.DUMMYFUNCTION("""COMPUTED_VALUE"""),0.107505070993914)</f>
        <v>0.107505071</v>
      </c>
      <c r="Q110" s="8">
        <f>IFERROR(__xludf.DUMMYFUNCTION("""COMPUTED_VALUE"""),0.065)</f>
        <v>0.065</v>
      </c>
      <c r="R110" s="8">
        <f>IFERROR(__xludf.DUMMYFUNCTION("""COMPUTED_VALUE"""),0.0)</f>
        <v>0</v>
      </c>
      <c r="S110" s="8">
        <f>IFERROR(__xludf.DUMMYFUNCTION("""COMPUTED_VALUE"""),0.0)</f>
        <v>0</v>
      </c>
      <c r="T110" s="8">
        <f>IFERROR(__xludf.DUMMYFUNCTION("""COMPUTED_VALUE"""),0.0)</f>
        <v>0</v>
      </c>
      <c r="U110" s="8">
        <f>IFERROR(__xludf.DUMMYFUNCTION("""COMPUTED_VALUE"""),0.0)</f>
        <v>0</v>
      </c>
      <c r="V110" s="8">
        <f>IFERROR(__xludf.DUMMYFUNCTION("""COMPUTED_VALUE"""),0.0)</f>
        <v>0</v>
      </c>
      <c r="W110" s="8">
        <f>IFERROR(__xludf.DUMMYFUNCTION("""COMPUTED_VALUE"""),0.0)</f>
        <v>0</v>
      </c>
      <c r="X110" s="8">
        <f>IFERROR(__xludf.DUMMYFUNCTION("""COMPUTED_VALUE"""),0.0)</f>
        <v>0</v>
      </c>
      <c r="Y110" s="8">
        <f>IFERROR(__xludf.DUMMYFUNCTION("""COMPUTED_VALUE"""),0.0)</f>
        <v>0</v>
      </c>
      <c r="Z110" s="8">
        <f>IFERROR(__xludf.DUMMYFUNCTION("""COMPUTED_VALUE"""),0.0)</f>
        <v>0</v>
      </c>
      <c r="AA110" s="8">
        <f>IFERROR(__xludf.DUMMYFUNCTION("""COMPUTED_VALUE"""),0.0)</f>
        <v>0</v>
      </c>
      <c r="AB110" s="8">
        <f>IFERROR(__xludf.DUMMYFUNCTION("""COMPUTED_VALUE"""),0.0)</f>
        <v>0</v>
      </c>
      <c r="AC110" s="8">
        <f>IFERROR(__xludf.DUMMYFUNCTION("""COMPUTED_VALUE"""),0.0)</f>
        <v>0</v>
      </c>
    </row>
    <row r="111" ht="15.75" customHeight="1">
      <c r="A111" s="6" t="str">
        <f>IFERROR(__xludf.DUMMYFUNCTION("""COMPUTED_VALUE"""),"5843f25ac24c8ba34301e2cfe9e73ddc0bfd8fc7")</f>
        <v>5843f25ac24c8ba34301e2cfe9e73ddc0bfd8fc7</v>
      </c>
      <c r="B111" s="6" t="str">
        <f>IFERROR(__xludf.DUMMYFUNCTION("""COMPUTED_VALUE"""),"The Fire Reborn Xavier")</f>
        <v>The Fire Reborn Xavier</v>
      </c>
      <c r="C111" s="6" t="str">
        <f>IFERROR(__xludf.DUMMYFUNCTION("""COMPUTED_VALUE"""),"System and Superpower")</f>
        <v>System and Superpower</v>
      </c>
      <c r="D111" s="5">
        <f>IFERROR(__xludf.DUMMYFUNCTION("""COMPUTED_VALUE"""),986.0)</f>
        <v>986</v>
      </c>
      <c r="E111" s="8">
        <f>IFERROR(__xludf.DUMMYFUNCTION("""COMPUTED_VALUE"""),0.976673427991886)</f>
        <v>0.976673428</v>
      </c>
      <c r="F111" s="8">
        <f>IFERROR(__xludf.DUMMYFUNCTION("""COMPUTED_VALUE"""),0.504568527918781)</f>
        <v>0.5045685279</v>
      </c>
      <c r="G111" s="8">
        <f>IFERROR(__xludf.DUMMYFUNCTION("""COMPUTED_VALUE"""),0.424057084607543)</f>
        <v>0.4240570846</v>
      </c>
      <c r="H111" s="8">
        <f>IFERROR(__xludf.DUMMYFUNCTION("""COMPUTED_VALUE"""),0.369765066394279)</f>
        <v>0.3697650664</v>
      </c>
      <c r="I111" s="8">
        <f>IFERROR(__xludf.DUMMYFUNCTION("""COMPUTED_VALUE"""),0.339835728952772)</f>
        <v>0.339835729</v>
      </c>
      <c r="J111" s="8">
        <f>IFERROR(__xludf.DUMMYFUNCTION("""COMPUTED_VALUE"""),0.307933194154488)</f>
        <v>0.3079331942</v>
      </c>
      <c r="K111" s="8">
        <f>IFERROR(__xludf.DUMMYFUNCTION("""COMPUTED_VALUE"""),0.291044776119403)</f>
        <v>0.2910447761</v>
      </c>
      <c r="L111" s="8">
        <f>IFERROR(__xludf.DUMMYFUNCTION("""COMPUTED_VALUE"""),0.282976324689966)</f>
        <v>0.2829763247</v>
      </c>
      <c r="M111" s="8">
        <f>IFERROR(__xludf.DUMMYFUNCTION("""COMPUTED_VALUE"""),0.263473053892215)</f>
        <v>0.2634730539</v>
      </c>
      <c r="N111" s="8">
        <f>IFERROR(__xludf.DUMMYFUNCTION("""COMPUTED_VALUE"""),0.241290322580645)</f>
        <v>0.2412903226</v>
      </c>
      <c r="O111" s="8">
        <f>IFERROR(__xludf.DUMMYFUNCTION("""COMPUTED_VALUE"""),0.183544303797468)</f>
        <v>0.1835443038</v>
      </c>
      <c r="P111" s="8">
        <f>IFERROR(__xludf.DUMMYFUNCTION("""COMPUTED_VALUE"""),0.173501577287066)</f>
        <v>0.1735015773</v>
      </c>
      <c r="Q111" s="8">
        <f>IFERROR(__xludf.DUMMYFUNCTION("""COMPUTED_VALUE"""),0.107266435986159)</f>
        <v>0.107266436</v>
      </c>
      <c r="R111" s="8">
        <f>IFERROR(__xludf.DUMMYFUNCTION("""COMPUTED_VALUE"""),0.108843537414965)</f>
        <v>0.1088435374</v>
      </c>
      <c r="S111" s="8">
        <f>IFERROR(__xludf.DUMMYFUNCTION("""COMPUTED_VALUE"""),0.048076923076923)</f>
        <v>0.04807692308</v>
      </c>
      <c r="T111" s="8">
        <f>IFERROR(__xludf.DUMMYFUNCTION("""COMPUTED_VALUE"""),0.0)</f>
        <v>0</v>
      </c>
      <c r="U111" s="8">
        <f>IFERROR(__xludf.DUMMYFUNCTION("""COMPUTED_VALUE"""),0.0)</f>
        <v>0</v>
      </c>
      <c r="V111" s="8">
        <f>IFERROR(__xludf.DUMMYFUNCTION("""COMPUTED_VALUE"""),0.0)</f>
        <v>0</v>
      </c>
      <c r="W111" s="8">
        <f>IFERROR(__xludf.DUMMYFUNCTION("""COMPUTED_VALUE"""),0.0)</f>
        <v>0</v>
      </c>
      <c r="X111" s="8">
        <f>IFERROR(__xludf.DUMMYFUNCTION("""COMPUTED_VALUE"""),0.0)</f>
        <v>0</v>
      </c>
      <c r="Y111" s="8">
        <f>IFERROR(__xludf.DUMMYFUNCTION("""COMPUTED_VALUE"""),0.0)</f>
        <v>0</v>
      </c>
      <c r="Z111" s="8">
        <f>IFERROR(__xludf.DUMMYFUNCTION("""COMPUTED_VALUE"""),0.0)</f>
        <v>0</v>
      </c>
      <c r="AA111" s="8">
        <f>IFERROR(__xludf.DUMMYFUNCTION("""COMPUTED_VALUE"""),0.0)</f>
        <v>0</v>
      </c>
      <c r="AB111" s="8">
        <f>IFERROR(__xludf.DUMMYFUNCTION("""COMPUTED_VALUE"""),0.0)</f>
        <v>0</v>
      </c>
      <c r="AC111" s="8">
        <f>IFERROR(__xludf.DUMMYFUNCTION("""COMPUTED_VALUE"""),0.0)</f>
        <v>0</v>
      </c>
    </row>
    <row r="112" ht="15.75" customHeight="1">
      <c r="A112" s="6" t="str">
        <f>IFERROR(__xludf.DUMMYFUNCTION("""COMPUTED_VALUE"""),"596d213162507bbf543b3c2a618f8bb54acd4623")</f>
        <v>596d213162507bbf543b3c2a618f8bb54acd4623</v>
      </c>
      <c r="B112" s="6" t="str">
        <f>IFERROR(__xludf.DUMMYFUNCTION("""COMPUTED_VALUE"""),"Echoes of Regrets")</f>
        <v>Echoes of Regrets</v>
      </c>
      <c r="C112" s="6" t="str">
        <f>IFERROR(__xludf.DUMMYFUNCTION("""COMPUTED_VALUE"""),"Romance")</f>
        <v>Romance</v>
      </c>
      <c r="D112" s="5">
        <f>IFERROR(__xludf.DUMMYFUNCTION("""COMPUTED_VALUE"""),356.0)</f>
        <v>356</v>
      </c>
      <c r="E112" s="8">
        <f>IFERROR(__xludf.DUMMYFUNCTION("""COMPUTED_VALUE"""),0.979228486646884)</f>
        <v>0.9792284866</v>
      </c>
      <c r="F112" s="8">
        <f>IFERROR(__xludf.DUMMYFUNCTION("""COMPUTED_VALUE"""),0.611111111111111)</f>
        <v>0.6111111111</v>
      </c>
      <c r="G112" s="8">
        <f>IFERROR(__xludf.DUMMYFUNCTION("""COMPUTED_VALUE"""),0.503378378378378)</f>
        <v>0.5033783784</v>
      </c>
      <c r="H112" s="8">
        <f>IFERROR(__xludf.DUMMYFUNCTION("""COMPUTED_VALUE"""),0.384892086330935)</f>
        <v>0.3848920863</v>
      </c>
      <c r="I112" s="8">
        <f>IFERROR(__xludf.DUMMYFUNCTION("""COMPUTED_VALUE"""),0.325757575757575)</f>
        <v>0.3257575758</v>
      </c>
      <c r="J112" s="8">
        <f>IFERROR(__xludf.DUMMYFUNCTION("""COMPUTED_VALUE"""),0.3)</f>
        <v>0.3</v>
      </c>
      <c r="K112" s="8">
        <f>IFERROR(__xludf.DUMMYFUNCTION("""COMPUTED_VALUE"""),0.277056277056277)</f>
        <v>0.2770562771</v>
      </c>
      <c r="L112" s="8">
        <f>IFERROR(__xludf.DUMMYFUNCTION("""COMPUTED_VALUE"""),0.264705882352941)</f>
        <v>0.2647058824</v>
      </c>
      <c r="M112" s="8">
        <f>IFERROR(__xludf.DUMMYFUNCTION("""COMPUTED_VALUE"""),0.239361702127659)</f>
        <v>0.2393617021</v>
      </c>
      <c r="N112" s="8">
        <f>IFERROR(__xludf.DUMMYFUNCTION("""COMPUTED_VALUE"""),0.175141242937853)</f>
        <v>0.1751412429</v>
      </c>
      <c r="O112" s="8">
        <f>IFERROR(__xludf.DUMMYFUNCTION("""COMPUTED_VALUE"""),0.174698795180722)</f>
        <v>0.1746987952</v>
      </c>
      <c r="P112" s="8">
        <f>IFERROR(__xludf.DUMMYFUNCTION("""COMPUTED_VALUE"""),0.156626506024096)</f>
        <v>0.156626506</v>
      </c>
      <c r="Q112" s="8">
        <f>IFERROR(__xludf.DUMMYFUNCTION("""COMPUTED_VALUE"""),0.141791044776119)</f>
        <v>0.1417910448</v>
      </c>
      <c r="R112" s="8">
        <f>IFERROR(__xludf.DUMMYFUNCTION("""COMPUTED_VALUE"""),0.088235294117647)</f>
        <v>0.08823529412</v>
      </c>
      <c r="S112" s="8">
        <f>IFERROR(__xludf.DUMMYFUNCTION("""COMPUTED_VALUE"""),0.0)</f>
        <v>0</v>
      </c>
      <c r="T112" s="8">
        <f>IFERROR(__xludf.DUMMYFUNCTION("""COMPUTED_VALUE"""),0.0)</f>
        <v>0</v>
      </c>
      <c r="U112" s="8">
        <f>IFERROR(__xludf.DUMMYFUNCTION("""COMPUTED_VALUE"""),0.0)</f>
        <v>0</v>
      </c>
      <c r="V112" s="8">
        <f>IFERROR(__xludf.DUMMYFUNCTION("""COMPUTED_VALUE"""),0.0)</f>
        <v>0</v>
      </c>
      <c r="W112" s="8">
        <f>IFERROR(__xludf.DUMMYFUNCTION("""COMPUTED_VALUE"""),0.0)</f>
        <v>0</v>
      </c>
      <c r="X112" s="8">
        <f>IFERROR(__xludf.DUMMYFUNCTION("""COMPUTED_VALUE"""),0.0)</f>
        <v>0</v>
      </c>
      <c r="Y112" s="8">
        <f>IFERROR(__xludf.DUMMYFUNCTION("""COMPUTED_VALUE"""),0.0)</f>
        <v>0</v>
      </c>
      <c r="Z112" s="8">
        <f>IFERROR(__xludf.DUMMYFUNCTION("""COMPUTED_VALUE"""),0.0)</f>
        <v>0</v>
      </c>
      <c r="AA112" s="8">
        <f>IFERROR(__xludf.DUMMYFUNCTION("""COMPUTED_VALUE"""),0.0)</f>
        <v>0</v>
      </c>
      <c r="AB112" s="8">
        <f>IFERROR(__xludf.DUMMYFUNCTION("""COMPUTED_VALUE"""),0.0)</f>
        <v>0</v>
      </c>
      <c r="AC112" s="8">
        <f>IFERROR(__xludf.DUMMYFUNCTION("""COMPUTED_VALUE"""),0.0)</f>
        <v>0</v>
      </c>
    </row>
    <row r="113" ht="15.75" customHeight="1">
      <c r="A113" s="6" t="str">
        <f>IFERROR(__xludf.DUMMYFUNCTION("""COMPUTED_VALUE"""),"5c0a4a3bda3c16a4ed94c8945bade52e165a2848")</f>
        <v>5c0a4a3bda3c16a4ed94c8945bade52e165a2848</v>
      </c>
      <c r="B113" s="6" t="str">
        <f>IFERROR(__xludf.DUMMYFUNCTION("""COMPUTED_VALUE"""),"Bound to Reclusive Alpha")</f>
        <v>Bound to Reclusive Alpha</v>
      </c>
      <c r="C113" s="6" t="str">
        <f>IFERROR(__xludf.DUMMYFUNCTION("""COMPUTED_VALUE"""),"Fantasy")</f>
        <v>Fantasy</v>
      </c>
      <c r="D113" s="5">
        <f>IFERROR(__xludf.DUMMYFUNCTION("""COMPUTED_VALUE"""),1198.0)</f>
        <v>1198</v>
      </c>
      <c r="E113" s="8">
        <f>IFERROR(__xludf.DUMMYFUNCTION("""COMPUTED_VALUE"""),0.978279030910609)</f>
        <v>0.9782790309</v>
      </c>
      <c r="F113" s="8">
        <f>IFERROR(__xludf.DUMMYFUNCTION("""COMPUTED_VALUE"""),0.512562814070351)</f>
        <v>0.5125628141</v>
      </c>
      <c r="G113" s="8">
        <f>IFERROR(__xludf.DUMMYFUNCTION("""COMPUTED_VALUE"""),0.436810856658184)</f>
        <v>0.4368108567</v>
      </c>
      <c r="H113" s="8">
        <f>IFERROR(__xludf.DUMMYFUNCTION("""COMPUTED_VALUE"""),0.406926406926406)</f>
        <v>0.4069264069</v>
      </c>
      <c r="I113" s="8">
        <f>IFERROR(__xludf.DUMMYFUNCTION("""COMPUTED_VALUE"""),0.372822299651567)</f>
        <v>0.3728222997</v>
      </c>
      <c r="J113" s="8">
        <f>IFERROR(__xludf.DUMMYFUNCTION("""COMPUTED_VALUE"""),0.342151675485008)</f>
        <v>0.3421516755</v>
      </c>
      <c r="K113" s="8">
        <f>IFERROR(__xludf.DUMMYFUNCTION("""COMPUTED_VALUE"""),0.312333629103815)</f>
        <v>0.3123336291</v>
      </c>
      <c r="L113" s="8">
        <f>IFERROR(__xludf.DUMMYFUNCTION("""COMPUTED_VALUE"""),0.28971119133574)</f>
        <v>0.2897111913</v>
      </c>
      <c r="M113" s="8">
        <f>IFERROR(__xludf.DUMMYFUNCTION("""COMPUTED_VALUE"""),0.26704014939309)</f>
        <v>0.2670401494</v>
      </c>
      <c r="N113" s="8">
        <f>IFERROR(__xludf.DUMMYFUNCTION("""COMPUTED_VALUE"""),0.24065196548418)</f>
        <v>0.2406519655</v>
      </c>
      <c r="O113" s="8">
        <f>IFERROR(__xludf.DUMMYFUNCTION("""COMPUTED_VALUE"""),0.184478371501272)</f>
        <v>0.1844783715</v>
      </c>
      <c r="P113" s="8">
        <f>IFERROR(__xludf.DUMMYFUNCTION("""COMPUTED_VALUE"""),0.150729335494327)</f>
        <v>0.1507293355</v>
      </c>
      <c r="Q113" s="8">
        <f>IFERROR(__xludf.DUMMYFUNCTION("""COMPUTED_VALUE"""),0.033167495854063)</f>
        <v>0.03316749585</v>
      </c>
      <c r="R113" s="8">
        <f>IFERROR(__xludf.DUMMYFUNCTION("""COMPUTED_VALUE"""),0.0450819672131147)</f>
        <v>0.04508196721</v>
      </c>
      <c r="S113" s="8">
        <f>IFERROR(__xludf.DUMMYFUNCTION("""COMPUTED_VALUE"""),0.0769230769230769)</f>
        <v>0.07692307692</v>
      </c>
      <c r="T113" s="8">
        <f>IFERROR(__xludf.DUMMYFUNCTION("""COMPUTED_VALUE"""),0.0)</f>
        <v>0</v>
      </c>
      <c r="U113" s="8">
        <f>IFERROR(__xludf.DUMMYFUNCTION("""COMPUTED_VALUE"""),0.0)</f>
        <v>0</v>
      </c>
      <c r="V113" s="8">
        <f>IFERROR(__xludf.DUMMYFUNCTION("""COMPUTED_VALUE"""),0.0)</f>
        <v>0</v>
      </c>
      <c r="W113" s="8">
        <f>IFERROR(__xludf.DUMMYFUNCTION("""COMPUTED_VALUE"""),0.0)</f>
        <v>0</v>
      </c>
      <c r="X113" s="8">
        <f>IFERROR(__xludf.DUMMYFUNCTION("""COMPUTED_VALUE"""),0.0)</f>
        <v>0</v>
      </c>
      <c r="Y113" s="8">
        <f>IFERROR(__xludf.DUMMYFUNCTION("""COMPUTED_VALUE"""),0.0)</f>
        <v>0</v>
      </c>
      <c r="Z113" s="8">
        <f>IFERROR(__xludf.DUMMYFUNCTION("""COMPUTED_VALUE"""),0.0)</f>
        <v>0</v>
      </c>
      <c r="AA113" s="8">
        <f>IFERROR(__xludf.DUMMYFUNCTION("""COMPUTED_VALUE"""),0.0)</f>
        <v>0</v>
      </c>
      <c r="AB113" s="8">
        <f>IFERROR(__xludf.DUMMYFUNCTION("""COMPUTED_VALUE"""),0.0)</f>
        <v>0</v>
      </c>
      <c r="AC113" s="8">
        <f>IFERROR(__xludf.DUMMYFUNCTION("""COMPUTED_VALUE"""),0.0)</f>
        <v>0</v>
      </c>
    </row>
    <row r="114" ht="15.75" customHeight="1">
      <c r="A114" s="6" t="str">
        <f>IFERROR(__xludf.DUMMYFUNCTION("""COMPUTED_VALUE"""),"5cf4b46f18d6bb7294440595874ef70922a2b9a3")</f>
        <v>5cf4b46f18d6bb7294440595874ef70922a2b9a3</v>
      </c>
      <c r="B114" s="6" t="str">
        <f>IFERROR(__xludf.DUMMYFUNCTION("""COMPUTED_VALUE"""),"Alabama Royal")</f>
        <v>Alabama Royal</v>
      </c>
      <c r="C114" s="6" t="str">
        <f>IFERROR(__xludf.DUMMYFUNCTION("""COMPUTED_VALUE"""),"Romance")</f>
        <v>Romance</v>
      </c>
      <c r="D114" s="5">
        <f>IFERROR(__xludf.DUMMYFUNCTION("""COMPUTED_VALUE"""),1108.0)</f>
        <v>1108</v>
      </c>
      <c r="E114" s="8">
        <f>IFERROR(__xludf.DUMMYFUNCTION("""COMPUTED_VALUE"""),0.977396021699819)</f>
        <v>0.9773960217</v>
      </c>
      <c r="F114" s="8">
        <f>IFERROR(__xludf.DUMMYFUNCTION("""COMPUTED_VALUE"""),0.455696202531645)</f>
        <v>0.4556962025</v>
      </c>
      <c r="G114" s="8">
        <f>IFERROR(__xludf.DUMMYFUNCTION("""COMPUTED_VALUE"""),0.400542495479204)</f>
        <v>0.4005424955</v>
      </c>
      <c r="H114" s="8">
        <f>IFERROR(__xludf.DUMMYFUNCTION("""COMPUTED_VALUE"""),0.369230769230769)</f>
        <v>0.3692307692</v>
      </c>
      <c r="I114" s="8">
        <f>IFERROR(__xludf.DUMMYFUNCTION("""COMPUTED_VALUE"""),0.345108695652173)</f>
        <v>0.3451086957</v>
      </c>
      <c r="J114" s="8">
        <f>IFERROR(__xludf.DUMMYFUNCTION("""COMPUTED_VALUE"""),0.317316409791477)</f>
        <v>0.3173164098</v>
      </c>
      <c r="K114" s="8">
        <f>IFERROR(__xludf.DUMMYFUNCTION("""COMPUTED_VALUE"""),0.30327868852459)</f>
        <v>0.3032786885</v>
      </c>
      <c r="L114" s="8">
        <f>IFERROR(__xludf.DUMMYFUNCTION("""COMPUTED_VALUE"""),0.290528233151184)</f>
        <v>0.2905282332</v>
      </c>
      <c r="M114" s="8">
        <f>IFERROR(__xludf.DUMMYFUNCTION("""COMPUTED_VALUE"""),0.27803099361896)</f>
        <v>0.2780309936</v>
      </c>
      <c r="N114" s="8">
        <f>IFERROR(__xludf.DUMMYFUNCTION("""COMPUTED_VALUE"""),0.26813590449954)</f>
        <v>0.2681359045</v>
      </c>
      <c r="O114" s="8">
        <f>IFERROR(__xludf.DUMMYFUNCTION("""COMPUTED_VALUE"""),0.225579053373615)</f>
        <v>0.2255790534</v>
      </c>
      <c r="P114" s="8">
        <f>IFERROR(__xludf.DUMMYFUNCTION("""COMPUTED_VALUE"""),0.203336809176225)</f>
        <v>0.2033368092</v>
      </c>
      <c r="Q114" s="8">
        <f>IFERROR(__xludf.DUMMYFUNCTION("""COMPUTED_VALUE"""),0.143507972665148)</f>
        <v>0.1435079727</v>
      </c>
      <c r="R114" s="8">
        <f>IFERROR(__xludf.DUMMYFUNCTION("""COMPUTED_VALUE"""),0.0)</f>
        <v>0</v>
      </c>
      <c r="S114" s="8">
        <f>IFERROR(__xludf.DUMMYFUNCTION("""COMPUTED_VALUE"""),0.0)</f>
        <v>0</v>
      </c>
      <c r="T114" s="8">
        <f>IFERROR(__xludf.DUMMYFUNCTION("""COMPUTED_VALUE"""),0.0)</f>
        <v>0</v>
      </c>
      <c r="U114" s="8">
        <f>IFERROR(__xludf.DUMMYFUNCTION("""COMPUTED_VALUE"""),0.0)</f>
        <v>0</v>
      </c>
      <c r="V114" s="8">
        <f>IFERROR(__xludf.DUMMYFUNCTION("""COMPUTED_VALUE"""),0.0)</f>
        <v>0</v>
      </c>
      <c r="W114" s="8">
        <f>IFERROR(__xludf.DUMMYFUNCTION("""COMPUTED_VALUE"""),0.0)</f>
        <v>0</v>
      </c>
      <c r="X114" s="8">
        <f>IFERROR(__xludf.DUMMYFUNCTION("""COMPUTED_VALUE"""),0.0)</f>
        <v>0</v>
      </c>
      <c r="Y114" s="8">
        <f>IFERROR(__xludf.DUMMYFUNCTION("""COMPUTED_VALUE"""),0.0)</f>
        <v>0</v>
      </c>
      <c r="Z114" s="8">
        <f>IFERROR(__xludf.DUMMYFUNCTION("""COMPUTED_VALUE"""),0.0)</f>
        <v>0</v>
      </c>
      <c r="AA114" s="8">
        <f>IFERROR(__xludf.DUMMYFUNCTION("""COMPUTED_VALUE"""),0.0)</f>
        <v>0</v>
      </c>
      <c r="AB114" s="8">
        <f>IFERROR(__xludf.DUMMYFUNCTION("""COMPUTED_VALUE"""),0.0)</f>
        <v>0</v>
      </c>
      <c r="AC114" s="8">
        <f>IFERROR(__xludf.DUMMYFUNCTION("""COMPUTED_VALUE"""),0.0)</f>
        <v>0</v>
      </c>
    </row>
    <row r="115" ht="15.75" customHeight="1">
      <c r="A115" s="6" t="str">
        <f>IFERROR(__xludf.DUMMYFUNCTION("""COMPUTED_VALUE"""),"5d4e7e8696e74e383e0ea0e4f4f535ba9758496a")</f>
        <v>5d4e7e8696e74e383e0ea0e4f4f535ba9758496a</v>
      </c>
      <c r="B115" s="6" t="str">
        <f>IFERROR(__xludf.DUMMYFUNCTION("""COMPUTED_VALUE"""),"Who Fathered My Twins")</f>
        <v>Who Fathered My Twins</v>
      </c>
      <c r="C115" s="6" t="str">
        <f>IFERROR(__xludf.DUMMYFUNCTION("""COMPUTED_VALUE"""),"Romance")</f>
        <v>Romance</v>
      </c>
      <c r="D115" s="5">
        <f>IFERROR(__xludf.DUMMYFUNCTION("""COMPUTED_VALUE"""),372.0)</f>
        <v>372</v>
      </c>
      <c r="E115" s="8">
        <f>IFERROR(__xludf.DUMMYFUNCTION("""COMPUTED_VALUE"""),0.938172043010752)</f>
        <v>0.938172043</v>
      </c>
      <c r="F115" s="8">
        <f>IFERROR(__xludf.DUMMYFUNCTION("""COMPUTED_VALUE"""),0.60752688172043)</f>
        <v>0.6075268817</v>
      </c>
      <c r="G115" s="8">
        <f>IFERROR(__xludf.DUMMYFUNCTION("""COMPUTED_VALUE"""),0.533692722371967)</f>
        <v>0.5336927224</v>
      </c>
      <c r="H115" s="8">
        <f>IFERROR(__xludf.DUMMYFUNCTION("""COMPUTED_VALUE"""),0.529729729729729)</f>
        <v>0.5297297297</v>
      </c>
      <c r="I115" s="8">
        <f>IFERROR(__xludf.DUMMYFUNCTION("""COMPUTED_VALUE"""),0.482384823848238)</f>
        <v>0.4823848238</v>
      </c>
      <c r="J115" s="8">
        <f>IFERROR(__xludf.DUMMYFUNCTION("""COMPUTED_VALUE"""),0.490514905149051)</f>
        <v>0.4905149051</v>
      </c>
      <c r="K115" s="8">
        <f>IFERROR(__xludf.DUMMYFUNCTION("""COMPUTED_VALUE"""),0.463414634146341)</f>
        <v>0.4634146341</v>
      </c>
      <c r="L115" s="8">
        <f>IFERROR(__xludf.DUMMYFUNCTION("""COMPUTED_VALUE"""),0.455284552845528)</f>
        <v>0.4552845528</v>
      </c>
      <c r="M115" s="8">
        <f>IFERROR(__xludf.DUMMYFUNCTION("""COMPUTED_VALUE"""),0.43360433604336)</f>
        <v>0.433604336</v>
      </c>
      <c r="N115" s="8">
        <f>IFERROR(__xludf.DUMMYFUNCTION("""COMPUTED_VALUE"""),0.438547486033519)</f>
        <v>0.438547486</v>
      </c>
      <c r="O115" s="8">
        <f>IFERROR(__xludf.DUMMYFUNCTION("""COMPUTED_VALUE"""),0.377358490566037)</f>
        <v>0.3773584906</v>
      </c>
      <c r="P115" s="8">
        <f>IFERROR(__xludf.DUMMYFUNCTION("""COMPUTED_VALUE"""),0.25)</f>
        <v>0.25</v>
      </c>
      <c r="Q115" s="8">
        <f>IFERROR(__xludf.DUMMYFUNCTION("""COMPUTED_VALUE"""),0.122270742358078)</f>
        <v>0.1222707424</v>
      </c>
      <c r="R115" s="8">
        <f>IFERROR(__xludf.DUMMYFUNCTION("""COMPUTED_VALUE"""),0.126666666666666)</f>
        <v>0.1266666667</v>
      </c>
      <c r="S115" s="8">
        <f>IFERROR(__xludf.DUMMYFUNCTION("""COMPUTED_VALUE"""),0.0)</f>
        <v>0</v>
      </c>
      <c r="T115" s="8">
        <f>IFERROR(__xludf.DUMMYFUNCTION("""COMPUTED_VALUE"""),0.0)</f>
        <v>0</v>
      </c>
      <c r="U115" s="8">
        <f>IFERROR(__xludf.DUMMYFUNCTION("""COMPUTED_VALUE"""),0.0)</f>
        <v>0</v>
      </c>
      <c r="V115" s="8">
        <f>IFERROR(__xludf.DUMMYFUNCTION("""COMPUTED_VALUE"""),0.0)</f>
        <v>0</v>
      </c>
      <c r="W115" s="8">
        <f>IFERROR(__xludf.DUMMYFUNCTION("""COMPUTED_VALUE"""),0.0)</f>
        <v>0</v>
      </c>
      <c r="X115" s="8">
        <f>IFERROR(__xludf.DUMMYFUNCTION("""COMPUTED_VALUE"""),0.0)</f>
        <v>0</v>
      </c>
      <c r="Y115" s="8">
        <f>IFERROR(__xludf.DUMMYFUNCTION("""COMPUTED_VALUE"""),0.0)</f>
        <v>0</v>
      </c>
      <c r="Z115" s="8">
        <f>IFERROR(__xludf.DUMMYFUNCTION("""COMPUTED_VALUE"""),0.0)</f>
        <v>0</v>
      </c>
      <c r="AA115" s="8">
        <f>IFERROR(__xludf.DUMMYFUNCTION("""COMPUTED_VALUE"""),0.0)</f>
        <v>0</v>
      </c>
      <c r="AB115" s="8">
        <f>IFERROR(__xludf.DUMMYFUNCTION("""COMPUTED_VALUE"""),0.0)</f>
        <v>0</v>
      </c>
      <c r="AC115" s="8">
        <f>IFERROR(__xludf.DUMMYFUNCTION("""COMPUTED_VALUE"""),0.0)</f>
        <v>0</v>
      </c>
    </row>
    <row r="116" ht="15.75" customHeight="1">
      <c r="A116" s="6" t="str">
        <f>IFERROR(__xludf.DUMMYFUNCTION("""COMPUTED_VALUE"""),"5e570d3fccfb5029774b4d9f9669429f580d0791")</f>
        <v>5e570d3fccfb5029774b4d9f9669429f580d0791</v>
      </c>
      <c r="B116" s="6" t="str">
        <f>IFERROR(__xludf.DUMMYFUNCTION("""COMPUTED_VALUE"""),"Princess Ebony &amp; the Silver Dragon")</f>
        <v>Princess Ebony &amp; the Silver Dragon</v>
      </c>
      <c r="C116" s="6" t="str">
        <f>IFERROR(__xludf.DUMMYFUNCTION("""COMPUTED_VALUE"""),"Fantasy")</f>
        <v>Fantasy</v>
      </c>
      <c r="D116" s="5">
        <f>IFERROR(__xludf.DUMMYFUNCTION("""COMPUTED_VALUE"""),3392.0)</f>
        <v>3392</v>
      </c>
      <c r="E116" s="8">
        <f>IFERROR(__xludf.DUMMYFUNCTION("""COMPUTED_VALUE"""),0.832497788263049)</f>
        <v>0.8324977883</v>
      </c>
      <c r="F116" s="8">
        <f>IFERROR(__xludf.DUMMYFUNCTION("""COMPUTED_VALUE"""),0.502658003544004)</f>
        <v>0.5026580035</v>
      </c>
      <c r="G116" s="8">
        <f>IFERROR(__xludf.DUMMYFUNCTION("""COMPUTED_VALUE"""),0.452155936207914)</f>
        <v>0.4521559362</v>
      </c>
      <c r="H116" s="8">
        <f>IFERROR(__xludf.DUMMYFUNCTION("""COMPUTED_VALUE"""),0.423508564678086)</f>
        <v>0.4235085647</v>
      </c>
      <c r="I116" s="8">
        <f>IFERROR(__xludf.DUMMYFUNCTION("""COMPUTED_VALUE"""),0.409627879503839)</f>
        <v>0.4096278795</v>
      </c>
      <c r="J116" s="8">
        <f>IFERROR(__xludf.DUMMYFUNCTION("""COMPUTED_VALUE"""),0.39722386296515)</f>
        <v>0.397223863</v>
      </c>
      <c r="K116" s="8">
        <f>IFERROR(__xludf.DUMMYFUNCTION("""COMPUTED_VALUE"""),0.378322504430005)</f>
        <v>0.3783225044</v>
      </c>
      <c r="L116" s="8">
        <f>IFERROR(__xludf.DUMMYFUNCTION("""COMPUTED_VALUE"""),0.370972509606857)</f>
        <v>0.3709725096</v>
      </c>
      <c r="M116" s="8">
        <f>IFERROR(__xludf.DUMMYFUNCTION("""COMPUTED_VALUE"""),0.364765001477978)</f>
        <v>0.3647650015</v>
      </c>
      <c r="N116" s="8">
        <f>IFERROR(__xludf.DUMMYFUNCTION("""COMPUTED_VALUE"""),0.358853088974283)</f>
        <v>0.358853089</v>
      </c>
      <c r="O116" s="8">
        <f>IFERROR(__xludf.DUMMYFUNCTION("""COMPUTED_VALUE"""),0.332741792369121)</f>
        <v>0.3327417924</v>
      </c>
      <c r="P116" s="8">
        <f>IFERROR(__xludf.DUMMYFUNCTION("""COMPUTED_VALUE"""),0.292221236320615)</f>
        <v>0.2922212363</v>
      </c>
      <c r="Q116" s="8">
        <f>IFERROR(__xludf.DUMMYFUNCTION("""COMPUTED_VALUE"""),0.243251260753485)</f>
        <v>0.2432512608</v>
      </c>
      <c r="R116" s="8">
        <f>IFERROR(__xludf.DUMMYFUNCTION("""COMPUTED_VALUE"""),0.219780219780219)</f>
        <v>0.2197802198</v>
      </c>
      <c r="S116" s="8">
        <f>IFERROR(__xludf.DUMMYFUNCTION("""COMPUTED_VALUE"""),0.192330558858501)</f>
        <v>0.1923305589</v>
      </c>
      <c r="T116" s="8">
        <f>IFERROR(__xludf.DUMMYFUNCTION("""COMPUTED_VALUE"""),0.1679548156956)</f>
        <v>0.1679548157</v>
      </c>
      <c r="U116" s="8">
        <f>IFERROR(__xludf.DUMMYFUNCTION("""COMPUTED_VALUE"""),0.158995815899581)</f>
        <v>0.1589958159</v>
      </c>
      <c r="V116" s="8">
        <f>IFERROR(__xludf.DUMMYFUNCTION("""COMPUTED_VALUE"""),0.144278606965174)</f>
        <v>0.144278607</v>
      </c>
      <c r="W116" s="8">
        <f>IFERROR(__xludf.DUMMYFUNCTION("""COMPUTED_VALUE"""),0.132692307692307)</f>
        <v>0.1326923077</v>
      </c>
      <c r="X116" s="8">
        <f>IFERROR(__xludf.DUMMYFUNCTION("""COMPUTED_VALUE"""),0.0365448504983388)</f>
        <v>0.0365448505</v>
      </c>
      <c r="Y116" s="8">
        <f>IFERROR(__xludf.DUMMYFUNCTION("""COMPUTED_VALUE"""),0.137614678899082)</f>
        <v>0.1376146789</v>
      </c>
      <c r="Z116" s="8">
        <f>IFERROR(__xludf.DUMMYFUNCTION("""COMPUTED_VALUE"""),0.0)</f>
        <v>0</v>
      </c>
      <c r="AA116" s="8">
        <f>IFERROR(__xludf.DUMMYFUNCTION("""COMPUTED_VALUE"""),0.0)</f>
        <v>0</v>
      </c>
      <c r="AB116" s="8">
        <f>IFERROR(__xludf.DUMMYFUNCTION("""COMPUTED_VALUE"""),0.0)</f>
        <v>0</v>
      </c>
      <c r="AC116" s="8">
        <f>IFERROR(__xludf.DUMMYFUNCTION("""COMPUTED_VALUE"""),0.0)</f>
        <v>0</v>
      </c>
    </row>
    <row r="117" ht="15.75" customHeight="1">
      <c r="A117" s="6" t="str">
        <f>IFERROR(__xludf.DUMMYFUNCTION("""COMPUTED_VALUE"""),"600fd3dce36442cc62b42d3dc874d91d13e1d8e4")</f>
        <v>600fd3dce36442cc62b42d3dc874d91d13e1d8e4</v>
      </c>
      <c r="B117" s="6" t="str">
        <f>IFERROR(__xludf.DUMMYFUNCTION("""COMPUTED_VALUE"""),"Solo Leveling Respawn")</f>
        <v>Solo Leveling Respawn</v>
      </c>
      <c r="C117" s="6" t="str">
        <f>IFERROR(__xludf.DUMMYFUNCTION("""COMPUTED_VALUE"""),"System and Superpower")</f>
        <v>System and Superpower</v>
      </c>
      <c r="D117" s="5">
        <f>IFERROR(__xludf.DUMMYFUNCTION("""COMPUTED_VALUE"""),131.0)</f>
        <v>131</v>
      </c>
      <c r="E117" s="8">
        <f>IFERROR(__xludf.DUMMYFUNCTION("""COMPUTED_VALUE"""),0.98473282442748)</f>
        <v>0.9847328244</v>
      </c>
      <c r="F117" s="8">
        <f>IFERROR(__xludf.DUMMYFUNCTION("""COMPUTED_VALUE"""),0.43076923076923)</f>
        <v>0.4307692308</v>
      </c>
      <c r="G117" s="8">
        <f>IFERROR(__xludf.DUMMYFUNCTION("""COMPUTED_VALUE"""),0.286821705426356)</f>
        <v>0.2868217054</v>
      </c>
      <c r="H117" s="8">
        <f>IFERROR(__xludf.DUMMYFUNCTION("""COMPUTED_VALUE"""),0.251968503937007)</f>
        <v>0.2519685039</v>
      </c>
      <c r="I117" s="8">
        <f>IFERROR(__xludf.DUMMYFUNCTION("""COMPUTED_VALUE"""),0.222222222222222)</f>
        <v>0.2222222222</v>
      </c>
      <c r="J117" s="8">
        <f>IFERROR(__xludf.DUMMYFUNCTION("""COMPUTED_VALUE"""),0.168)</f>
        <v>0.168</v>
      </c>
      <c r="K117" s="8">
        <f>IFERROR(__xludf.DUMMYFUNCTION("""COMPUTED_VALUE"""),0.137096774193548)</f>
        <v>0.1370967742</v>
      </c>
      <c r="L117" s="8">
        <f>IFERROR(__xludf.DUMMYFUNCTION("""COMPUTED_VALUE"""),0.139344262295081)</f>
        <v>0.1393442623</v>
      </c>
      <c r="M117" s="8">
        <f>IFERROR(__xludf.DUMMYFUNCTION("""COMPUTED_VALUE"""),0.132231404958677)</f>
        <v>0.132231405</v>
      </c>
      <c r="N117" s="8">
        <f>IFERROR(__xludf.DUMMYFUNCTION("""COMPUTED_VALUE"""),0.116666666666666)</f>
        <v>0.1166666667</v>
      </c>
      <c r="O117" s="8">
        <f>IFERROR(__xludf.DUMMYFUNCTION("""COMPUTED_VALUE"""),0.0973451327433628)</f>
        <v>0.09734513274</v>
      </c>
      <c r="P117" s="8">
        <f>IFERROR(__xludf.DUMMYFUNCTION("""COMPUTED_VALUE"""),0.1)</f>
        <v>0.1</v>
      </c>
      <c r="Q117" s="8">
        <f>IFERROR(__xludf.DUMMYFUNCTION("""COMPUTED_VALUE"""),0.0515463917525773)</f>
        <v>0.05154639175</v>
      </c>
      <c r="R117" s="8">
        <f>IFERROR(__xludf.DUMMYFUNCTION("""COMPUTED_VALUE"""),0.0235294117647058)</f>
        <v>0.02352941176</v>
      </c>
      <c r="S117" s="8">
        <f>IFERROR(__xludf.DUMMYFUNCTION("""COMPUTED_VALUE"""),0.0428571428571428)</f>
        <v>0.04285714286</v>
      </c>
      <c r="T117" s="8">
        <f>IFERROR(__xludf.DUMMYFUNCTION("""COMPUTED_VALUE"""),0.0357142857142857)</f>
        <v>0.03571428571</v>
      </c>
      <c r="U117" s="8">
        <f>IFERROR(__xludf.DUMMYFUNCTION("""COMPUTED_VALUE"""),0.0454545454545454)</f>
        <v>0.04545454545</v>
      </c>
      <c r="V117" s="8">
        <f>IFERROR(__xludf.DUMMYFUNCTION("""COMPUTED_VALUE"""),0.0)</f>
        <v>0</v>
      </c>
      <c r="W117" s="8">
        <f>IFERROR(__xludf.DUMMYFUNCTION("""COMPUTED_VALUE"""),0.0)</f>
        <v>0</v>
      </c>
      <c r="X117" s="8">
        <f>IFERROR(__xludf.DUMMYFUNCTION("""COMPUTED_VALUE"""),0.0)</f>
        <v>0</v>
      </c>
      <c r="Y117" s="8">
        <f>IFERROR(__xludf.DUMMYFUNCTION("""COMPUTED_VALUE"""),0.0)</f>
        <v>0</v>
      </c>
      <c r="Z117" s="8">
        <f>IFERROR(__xludf.DUMMYFUNCTION("""COMPUTED_VALUE"""),0.0)</f>
        <v>0</v>
      </c>
      <c r="AA117" s="8">
        <f>IFERROR(__xludf.DUMMYFUNCTION("""COMPUTED_VALUE"""),0.0)</f>
        <v>0</v>
      </c>
      <c r="AB117" s="8">
        <f>IFERROR(__xludf.DUMMYFUNCTION("""COMPUTED_VALUE"""),0.0)</f>
        <v>0</v>
      </c>
      <c r="AC117" s="8">
        <f>IFERROR(__xludf.DUMMYFUNCTION("""COMPUTED_VALUE"""),0.0)</f>
        <v>0</v>
      </c>
    </row>
    <row r="118" ht="15.75" customHeight="1">
      <c r="A118" s="6" t="str">
        <f>IFERROR(__xludf.DUMMYFUNCTION("""COMPUTED_VALUE"""),"607c0f609185406d26ef53f75ec53702dfb292d7")</f>
        <v>607c0f609185406d26ef53f75ec53702dfb292d7</v>
      </c>
      <c r="B118" s="6" t="str">
        <f>IFERROR(__xludf.DUMMYFUNCTION("""COMPUTED_VALUE"""),"The Chaosborn Child")</f>
        <v>The Chaosborn Child</v>
      </c>
      <c r="C118" s="6" t="str">
        <f>IFERROR(__xludf.DUMMYFUNCTION("""COMPUTED_VALUE"""),"Fantasy")</f>
        <v>Fantasy</v>
      </c>
      <c r="D118" s="5">
        <f>IFERROR(__xludf.DUMMYFUNCTION("""COMPUTED_VALUE"""),302.0)</f>
        <v>302</v>
      </c>
      <c r="E118" s="8">
        <f>IFERROR(__xludf.DUMMYFUNCTION("""COMPUTED_VALUE"""),0.97682119205298)</f>
        <v>0.9768211921</v>
      </c>
      <c r="F118" s="8">
        <f>IFERROR(__xludf.DUMMYFUNCTION("""COMPUTED_VALUE"""),0.629139072847682)</f>
        <v>0.6291390728</v>
      </c>
      <c r="G118" s="8">
        <f>IFERROR(__xludf.DUMMYFUNCTION("""COMPUTED_VALUE"""),0.533112582781456)</f>
        <v>0.5331125828</v>
      </c>
      <c r="H118" s="8">
        <f>IFERROR(__xludf.DUMMYFUNCTION("""COMPUTED_VALUE"""),0.496688741721854)</f>
        <v>0.4966887417</v>
      </c>
      <c r="I118" s="8">
        <f>IFERROR(__xludf.DUMMYFUNCTION("""COMPUTED_VALUE"""),0.460264900662251)</f>
        <v>0.4602649007</v>
      </c>
      <c r="J118" s="8">
        <f>IFERROR(__xludf.DUMMYFUNCTION("""COMPUTED_VALUE"""),0.444816053511705)</f>
        <v>0.4448160535</v>
      </c>
      <c r="K118" s="8">
        <f>IFERROR(__xludf.DUMMYFUNCTION("""COMPUTED_VALUE"""),0.414715719063545)</f>
        <v>0.4147157191</v>
      </c>
      <c r="L118" s="8">
        <f>IFERROR(__xludf.DUMMYFUNCTION("""COMPUTED_VALUE"""),0.374581939799331)</f>
        <v>0.3745819398</v>
      </c>
      <c r="M118" s="8">
        <f>IFERROR(__xludf.DUMMYFUNCTION("""COMPUTED_VALUE"""),0.361774744027303)</f>
        <v>0.361774744</v>
      </c>
      <c r="N118" s="8">
        <f>IFERROR(__xludf.DUMMYFUNCTION("""COMPUTED_VALUE"""),0.334470989761092)</f>
        <v>0.3344709898</v>
      </c>
      <c r="O118" s="8">
        <f>IFERROR(__xludf.DUMMYFUNCTION("""COMPUTED_VALUE"""),0.268)</f>
        <v>0.268</v>
      </c>
      <c r="P118" s="8">
        <f>IFERROR(__xludf.DUMMYFUNCTION("""COMPUTED_VALUE"""),0.227272727272727)</f>
        <v>0.2272727273</v>
      </c>
      <c r="Q118" s="8">
        <f>IFERROR(__xludf.DUMMYFUNCTION("""COMPUTED_VALUE"""),0.136986301369863)</f>
        <v>0.1369863014</v>
      </c>
      <c r="R118" s="8">
        <f>IFERROR(__xludf.DUMMYFUNCTION("""COMPUTED_VALUE"""),0.106060606060606)</f>
        <v>0.1060606061</v>
      </c>
      <c r="S118" s="8">
        <f>IFERROR(__xludf.DUMMYFUNCTION("""COMPUTED_VALUE"""),0.0)</f>
        <v>0</v>
      </c>
      <c r="T118" s="8">
        <f>IFERROR(__xludf.DUMMYFUNCTION("""COMPUTED_VALUE"""),0.0)</f>
        <v>0</v>
      </c>
      <c r="U118" s="8">
        <f>IFERROR(__xludf.DUMMYFUNCTION("""COMPUTED_VALUE"""),0.0)</f>
        <v>0</v>
      </c>
      <c r="V118" s="8">
        <f>IFERROR(__xludf.DUMMYFUNCTION("""COMPUTED_VALUE"""),0.0)</f>
        <v>0</v>
      </c>
      <c r="W118" s="8">
        <f>IFERROR(__xludf.DUMMYFUNCTION("""COMPUTED_VALUE"""),0.0)</f>
        <v>0</v>
      </c>
      <c r="X118" s="8">
        <f>IFERROR(__xludf.DUMMYFUNCTION("""COMPUTED_VALUE"""),0.0)</f>
        <v>0</v>
      </c>
      <c r="Y118" s="8">
        <f>IFERROR(__xludf.DUMMYFUNCTION("""COMPUTED_VALUE"""),0.0)</f>
        <v>0</v>
      </c>
      <c r="Z118" s="8">
        <f>IFERROR(__xludf.DUMMYFUNCTION("""COMPUTED_VALUE"""),0.0)</f>
        <v>0</v>
      </c>
      <c r="AA118" s="8">
        <f>IFERROR(__xludf.DUMMYFUNCTION("""COMPUTED_VALUE"""),0.0)</f>
        <v>0</v>
      </c>
      <c r="AB118" s="8">
        <f>IFERROR(__xludf.DUMMYFUNCTION("""COMPUTED_VALUE"""),0.0)</f>
        <v>0</v>
      </c>
      <c r="AC118" s="8">
        <f>IFERROR(__xludf.DUMMYFUNCTION("""COMPUTED_VALUE"""),0.0)</f>
        <v>0</v>
      </c>
    </row>
    <row r="119" ht="15.75" customHeight="1">
      <c r="A119" s="6" t="str">
        <f>IFERROR(__xludf.DUMMYFUNCTION("""COMPUTED_VALUE"""),"616431aa030a50bfb34a59a1919f5a8db0c29017")</f>
        <v>616431aa030a50bfb34a59a1919f5a8db0c29017</v>
      </c>
      <c r="B119" s="6" t="str">
        <f>IFERROR(__xludf.DUMMYFUNCTION("""COMPUTED_VALUE"""),"She Came Back Fabulous")</f>
        <v>She Came Back Fabulous</v>
      </c>
      <c r="C119" s="6" t="str">
        <f>IFERROR(__xludf.DUMMYFUNCTION("""COMPUTED_VALUE"""),"Romance")</f>
        <v>Romance</v>
      </c>
      <c r="D119" s="5">
        <f>IFERROR(__xludf.DUMMYFUNCTION("""COMPUTED_VALUE"""),876.0)</f>
        <v>876</v>
      </c>
      <c r="E119" s="8">
        <f>IFERROR(__xludf.DUMMYFUNCTION("""COMPUTED_VALUE"""),0.962068965517241)</f>
        <v>0.9620689655</v>
      </c>
      <c r="F119" s="8">
        <f>IFERROR(__xludf.DUMMYFUNCTION("""COMPUTED_VALUE"""),0.561260210035005)</f>
        <v>0.56126021</v>
      </c>
      <c r="G119" s="8">
        <f>IFERROR(__xludf.DUMMYFUNCTION("""COMPUTED_VALUE"""),0.504705882352941)</f>
        <v>0.5047058824</v>
      </c>
      <c r="H119" s="8">
        <f>IFERROR(__xludf.DUMMYFUNCTION("""COMPUTED_VALUE"""),0.454653937947494)</f>
        <v>0.4546539379</v>
      </c>
      <c r="I119" s="8">
        <f>IFERROR(__xludf.DUMMYFUNCTION("""COMPUTED_VALUE"""),0.420989143546441)</f>
        <v>0.4209891435</v>
      </c>
      <c r="J119" s="8">
        <f>IFERROR(__xludf.DUMMYFUNCTION("""COMPUTED_VALUE"""),0.385661310259579)</f>
        <v>0.3856613103</v>
      </c>
      <c r="K119" s="8">
        <f>IFERROR(__xludf.DUMMYFUNCTION("""COMPUTED_VALUE"""),0.361538461538461)</f>
        <v>0.3615384615</v>
      </c>
      <c r="L119" s="8">
        <f>IFERROR(__xludf.DUMMYFUNCTION("""COMPUTED_VALUE"""),0.327978580990629)</f>
        <v>0.327978581</v>
      </c>
      <c r="M119" s="8">
        <f>IFERROR(__xludf.DUMMYFUNCTION("""COMPUTED_VALUE"""),0.325874125874125)</f>
        <v>0.3258741259</v>
      </c>
      <c r="N119" s="8">
        <f>IFERROR(__xludf.DUMMYFUNCTION("""COMPUTED_VALUE"""),0.304597701149425)</f>
        <v>0.3045977011</v>
      </c>
      <c r="O119" s="8">
        <f>IFERROR(__xludf.DUMMYFUNCTION("""COMPUTED_VALUE"""),0.256064690026954)</f>
        <v>0.25606469</v>
      </c>
      <c r="P119" s="8">
        <f>IFERROR(__xludf.DUMMYFUNCTION("""COMPUTED_VALUE"""),0.277153558052434)</f>
        <v>0.2771535581</v>
      </c>
      <c r="Q119" s="8">
        <f>IFERROR(__xludf.DUMMYFUNCTION("""COMPUTED_VALUE"""),0.142857142857142)</f>
        <v>0.1428571429</v>
      </c>
      <c r="R119" s="8">
        <f>IFERROR(__xludf.DUMMYFUNCTION("""COMPUTED_VALUE"""),0.0)</f>
        <v>0</v>
      </c>
      <c r="S119" s="8">
        <f>IFERROR(__xludf.DUMMYFUNCTION("""COMPUTED_VALUE"""),0.0)</f>
        <v>0</v>
      </c>
      <c r="T119" s="8">
        <f>IFERROR(__xludf.DUMMYFUNCTION("""COMPUTED_VALUE"""),0.0)</f>
        <v>0</v>
      </c>
      <c r="U119" s="8">
        <f>IFERROR(__xludf.DUMMYFUNCTION("""COMPUTED_VALUE"""),0.0)</f>
        <v>0</v>
      </c>
      <c r="V119" s="8">
        <f>IFERROR(__xludf.DUMMYFUNCTION("""COMPUTED_VALUE"""),0.0)</f>
        <v>0</v>
      </c>
      <c r="W119" s="8">
        <f>IFERROR(__xludf.DUMMYFUNCTION("""COMPUTED_VALUE"""),0.0)</f>
        <v>0</v>
      </c>
      <c r="X119" s="8">
        <f>IFERROR(__xludf.DUMMYFUNCTION("""COMPUTED_VALUE"""),0.0)</f>
        <v>0</v>
      </c>
      <c r="Y119" s="8">
        <f>IFERROR(__xludf.DUMMYFUNCTION("""COMPUTED_VALUE"""),0.0)</f>
        <v>0</v>
      </c>
      <c r="Z119" s="8">
        <f>IFERROR(__xludf.DUMMYFUNCTION("""COMPUTED_VALUE"""),0.0)</f>
        <v>0</v>
      </c>
      <c r="AA119" s="8">
        <f>IFERROR(__xludf.DUMMYFUNCTION("""COMPUTED_VALUE"""),0.0)</f>
        <v>0</v>
      </c>
      <c r="AB119" s="8">
        <f>IFERROR(__xludf.DUMMYFUNCTION("""COMPUTED_VALUE"""),0.0)</f>
        <v>0</v>
      </c>
      <c r="AC119" s="8">
        <f>IFERROR(__xludf.DUMMYFUNCTION("""COMPUTED_VALUE"""),0.0)</f>
        <v>0</v>
      </c>
    </row>
    <row r="120" ht="15.75" customHeight="1">
      <c r="A120" s="6" t="str">
        <f>IFERROR(__xludf.DUMMYFUNCTION("""COMPUTED_VALUE"""),"6214ecac2801afde28aa63c555faf06203321c85")</f>
        <v>6214ecac2801afde28aa63c555faf06203321c85</v>
      </c>
      <c r="B120" s="6" t="str">
        <f>IFERROR(__xludf.DUMMYFUNCTION("""COMPUTED_VALUE"""),"Love Behind the Screen")</f>
        <v>Love Behind the Screen</v>
      </c>
      <c r="C120" s="6" t="str">
        <f>IFERROR(__xludf.DUMMYFUNCTION("""COMPUTED_VALUE"""),"Romance")</f>
        <v>Romance</v>
      </c>
      <c r="D120" s="5">
        <f>IFERROR(__xludf.DUMMYFUNCTION("""COMPUTED_VALUE"""),1140.0)</f>
        <v>1140</v>
      </c>
      <c r="E120" s="8">
        <f>IFERROR(__xludf.DUMMYFUNCTION("""COMPUTED_VALUE"""),0.953427065026362)</f>
        <v>0.953427065</v>
      </c>
      <c r="F120" s="8">
        <f>IFERROR(__xludf.DUMMYFUNCTION("""COMPUTED_VALUE"""),0.531277533039647)</f>
        <v>0.531277533</v>
      </c>
      <c r="G120" s="8">
        <f>IFERROR(__xludf.DUMMYFUNCTION("""COMPUTED_VALUE"""),0.464726631393298)</f>
        <v>0.4647266314</v>
      </c>
      <c r="H120" s="8">
        <f>IFERROR(__xludf.DUMMYFUNCTION("""COMPUTED_VALUE"""),0.443462897526501)</f>
        <v>0.4434628975</v>
      </c>
      <c r="I120" s="8">
        <f>IFERROR(__xludf.DUMMYFUNCTION("""COMPUTED_VALUE"""),0.412908930150309)</f>
        <v>0.4129089302</v>
      </c>
      <c r="J120" s="8">
        <f>IFERROR(__xludf.DUMMYFUNCTION("""COMPUTED_VALUE"""),0.395925597874225)</f>
        <v>0.3959255979</v>
      </c>
      <c r="K120" s="8">
        <f>IFERROR(__xludf.DUMMYFUNCTION("""COMPUTED_VALUE"""),0.377107364685004)</f>
        <v>0.3771073647</v>
      </c>
      <c r="L120" s="8">
        <f>IFERROR(__xludf.DUMMYFUNCTION("""COMPUTED_VALUE"""),0.359680284191829)</f>
        <v>0.3596802842</v>
      </c>
      <c r="M120" s="8">
        <f>IFERROR(__xludf.DUMMYFUNCTION("""COMPUTED_VALUE"""),0.34313725490196)</f>
        <v>0.3431372549</v>
      </c>
      <c r="N120" s="8">
        <f>IFERROR(__xludf.DUMMYFUNCTION("""COMPUTED_VALUE"""),0.336021505376344)</f>
        <v>0.3360215054</v>
      </c>
      <c r="O120" s="8">
        <f>IFERROR(__xludf.DUMMYFUNCTION("""COMPUTED_VALUE"""),0.321917808219178)</f>
        <v>0.3219178082</v>
      </c>
      <c r="P120" s="8">
        <f>IFERROR(__xludf.DUMMYFUNCTION("""COMPUTED_VALUE"""),0.203703703703703)</f>
        <v>0.2037037037</v>
      </c>
      <c r="Q120" s="8">
        <f>IFERROR(__xludf.DUMMYFUNCTION("""COMPUTED_VALUE"""),0.127922971114167)</f>
        <v>0.1279229711</v>
      </c>
      <c r="R120" s="8">
        <f>IFERROR(__xludf.DUMMYFUNCTION("""COMPUTED_VALUE"""),0.0988023952095808)</f>
        <v>0.09880239521</v>
      </c>
      <c r="S120" s="8">
        <f>IFERROR(__xludf.DUMMYFUNCTION("""COMPUTED_VALUE"""),0.0717948717948717)</f>
        <v>0.07179487179</v>
      </c>
      <c r="T120" s="8">
        <f>IFERROR(__xludf.DUMMYFUNCTION("""COMPUTED_VALUE"""),0.0)</f>
        <v>0</v>
      </c>
      <c r="U120" s="8">
        <f>IFERROR(__xludf.DUMMYFUNCTION("""COMPUTED_VALUE"""),0.0)</f>
        <v>0</v>
      </c>
      <c r="V120" s="8">
        <f>IFERROR(__xludf.DUMMYFUNCTION("""COMPUTED_VALUE"""),0.0)</f>
        <v>0</v>
      </c>
      <c r="W120" s="8">
        <f>IFERROR(__xludf.DUMMYFUNCTION("""COMPUTED_VALUE"""),0.0)</f>
        <v>0</v>
      </c>
      <c r="X120" s="8">
        <f>IFERROR(__xludf.DUMMYFUNCTION("""COMPUTED_VALUE"""),0.0)</f>
        <v>0</v>
      </c>
      <c r="Y120" s="8">
        <f>IFERROR(__xludf.DUMMYFUNCTION("""COMPUTED_VALUE"""),0.0)</f>
        <v>0</v>
      </c>
      <c r="Z120" s="8">
        <f>IFERROR(__xludf.DUMMYFUNCTION("""COMPUTED_VALUE"""),0.0)</f>
        <v>0</v>
      </c>
      <c r="AA120" s="8">
        <f>IFERROR(__xludf.DUMMYFUNCTION("""COMPUTED_VALUE"""),0.0)</f>
        <v>0</v>
      </c>
      <c r="AB120" s="8">
        <f>IFERROR(__xludf.DUMMYFUNCTION("""COMPUTED_VALUE"""),0.0)</f>
        <v>0</v>
      </c>
      <c r="AC120" s="8">
        <f>IFERROR(__xludf.DUMMYFUNCTION("""COMPUTED_VALUE"""),0.0)</f>
        <v>0</v>
      </c>
    </row>
    <row r="121" ht="15.75" customHeight="1">
      <c r="A121" s="6" t="str">
        <f>IFERROR(__xludf.DUMMYFUNCTION("""COMPUTED_VALUE"""),"622c96a576425047d6bff8447205921132d7f61c")</f>
        <v>622c96a576425047d6bff8447205921132d7f61c</v>
      </c>
      <c r="B121" s="6" t="str">
        <f>IFERROR(__xludf.DUMMYFUNCTION("""COMPUTED_VALUE"""),"The Exit Nobody Expected")</f>
        <v>The Exit Nobody Expected</v>
      </c>
      <c r="C121" s="6" t="str">
        <f>IFERROR(__xludf.DUMMYFUNCTION("""COMPUTED_VALUE"""),"Suspense or Thriller")</f>
        <v>Suspense or Thriller</v>
      </c>
      <c r="D121" s="5">
        <f>IFERROR(__xludf.DUMMYFUNCTION("""COMPUTED_VALUE"""),111.0)</f>
        <v>111</v>
      </c>
      <c r="E121" s="8">
        <f>IFERROR(__xludf.DUMMYFUNCTION("""COMPUTED_VALUE"""),0.953271028037383)</f>
        <v>0.953271028</v>
      </c>
      <c r="F121" s="8">
        <f>IFERROR(__xludf.DUMMYFUNCTION("""COMPUTED_VALUE"""),0.372549019607843)</f>
        <v>0.3725490196</v>
      </c>
      <c r="G121" s="8">
        <f>IFERROR(__xludf.DUMMYFUNCTION("""COMPUTED_VALUE"""),0.353535353535353)</f>
        <v>0.3535353535</v>
      </c>
      <c r="H121" s="8">
        <f>IFERROR(__xludf.DUMMYFUNCTION("""COMPUTED_VALUE"""),0.350515463917525)</f>
        <v>0.3505154639</v>
      </c>
      <c r="I121" s="8">
        <f>IFERROR(__xludf.DUMMYFUNCTION("""COMPUTED_VALUE"""),0.266666666666666)</f>
        <v>0.2666666667</v>
      </c>
      <c r="J121" s="8">
        <f>IFERROR(__xludf.DUMMYFUNCTION("""COMPUTED_VALUE"""),0.25)</f>
        <v>0.25</v>
      </c>
      <c r="K121" s="8">
        <f>IFERROR(__xludf.DUMMYFUNCTION("""COMPUTED_VALUE"""),0.25)</f>
        <v>0.25</v>
      </c>
      <c r="L121" s="8">
        <f>IFERROR(__xludf.DUMMYFUNCTION("""COMPUTED_VALUE"""),0.236111111111111)</f>
        <v>0.2361111111</v>
      </c>
      <c r="M121" s="8">
        <f>IFERROR(__xludf.DUMMYFUNCTION("""COMPUTED_VALUE"""),0.217391304347826)</f>
        <v>0.2173913043</v>
      </c>
      <c r="N121" s="8">
        <f>IFERROR(__xludf.DUMMYFUNCTION("""COMPUTED_VALUE"""),0.203125)</f>
        <v>0.203125</v>
      </c>
      <c r="O121" s="8">
        <f>IFERROR(__xludf.DUMMYFUNCTION("""COMPUTED_VALUE"""),0.134615384615384)</f>
        <v>0.1346153846</v>
      </c>
      <c r="P121" s="8">
        <f>IFERROR(__xludf.DUMMYFUNCTION("""COMPUTED_VALUE"""),0.127659574468085)</f>
        <v>0.1276595745</v>
      </c>
      <c r="Q121" s="8">
        <f>IFERROR(__xludf.DUMMYFUNCTION("""COMPUTED_VALUE"""),0.136363636363636)</f>
        <v>0.1363636364</v>
      </c>
      <c r="R121" s="8">
        <f>IFERROR(__xludf.DUMMYFUNCTION("""COMPUTED_VALUE"""),0.0)</f>
        <v>0</v>
      </c>
      <c r="S121" s="8">
        <f>IFERROR(__xludf.DUMMYFUNCTION("""COMPUTED_VALUE"""),0.0)</f>
        <v>0</v>
      </c>
      <c r="T121" s="8">
        <f>IFERROR(__xludf.DUMMYFUNCTION("""COMPUTED_VALUE"""),0.0)</f>
        <v>0</v>
      </c>
      <c r="U121" s="8">
        <f>IFERROR(__xludf.DUMMYFUNCTION("""COMPUTED_VALUE"""),0.0)</f>
        <v>0</v>
      </c>
      <c r="V121" s="8">
        <f>IFERROR(__xludf.DUMMYFUNCTION("""COMPUTED_VALUE"""),0.0)</f>
        <v>0</v>
      </c>
      <c r="W121" s="8">
        <f>IFERROR(__xludf.DUMMYFUNCTION("""COMPUTED_VALUE"""),0.0)</f>
        <v>0</v>
      </c>
      <c r="X121" s="8">
        <f>IFERROR(__xludf.DUMMYFUNCTION("""COMPUTED_VALUE"""),0.0)</f>
        <v>0</v>
      </c>
      <c r="Y121" s="8">
        <f>IFERROR(__xludf.DUMMYFUNCTION("""COMPUTED_VALUE"""),0.0)</f>
        <v>0</v>
      </c>
      <c r="Z121" s="8">
        <f>IFERROR(__xludf.DUMMYFUNCTION("""COMPUTED_VALUE"""),0.0)</f>
        <v>0</v>
      </c>
      <c r="AA121" s="8">
        <f>IFERROR(__xludf.DUMMYFUNCTION("""COMPUTED_VALUE"""),0.0)</f>
        <v>0</v>
      </c>
      <c r="AB121" s="8">
        <f>IFERROR(__xludf.DUMMYFUNCTION("""COMPUTED_VALUE"""),0.0)</f>
        <v>0</v>
      </c>
      <c r="AC121" s="8">
        <f>IFERROR(__xludf.DUMMYFUNCTION("""COMPUTED_VALUE"""),0.0)</f>
        <v>0</v>
      </c>
    </row>
    <row r="122" ht="15.75" customHeight="1">
      <c r="A122" s="6" t="str">
        <f>IFERROR(__xludf.DUMMYFUNCTION("""COMPUTED_VALUE"""),"6346e154f10078de4f17cbc6268066519b02789f")</f>
        <v>6346e154f10078de4f17cbc6268066519b02789f</v>
      </c>
      <c r="B122" s="6" t="str">
        <f>IFERROR(__xludf.DUMMYFUNCTION("""COMPUTED_VALUE"""),"Doctor Young")</f>
        <v>Doctor Young</v>
      </c>
      <c r="C122" s="6" t="str">
        <f>IFERROR(__xludf.DUMMYFUNCTION("""COMPUTED_VALUE"""),"Suspense or Thriller")</f>
        <v>Suspense or Thriller</v>
      </c>
      <c r="D122" s="5">
        <f>IFERROR(__xludf.DUMMYFUNCTION("""COMPUTED_VALUE"""),365.0)</f>
        <v>365</v>
      </c>
      <c r="E122" s="8">
        <f>IFERROR(__xludf.DUMMYFUNCTION("""COMPUTED_VALUE"""),0.958563535911602)</f>
        <v>0.9585635359</v>
      </c>
      <c r="F122" s="8">
        <f>IFERROR(__xludf.DUMMYFUNCTION("""COMPUTED_VALUE"""),0.452777777777777)</f>
        <v>0.4527777778</v>
      </c>
      <c r="G122" s="8">
        <f>IFERROR(__xludf.DUMMYFUNCTION("""COMPUTED_VALUE"""),0.359331476323119)</f>
        <v>0.3593314763</v>
      </c>
      <c r="H122" s="8">
        <f>IFERROR(__xludf.DUMMYFUNCTION("""COMPUTED_VALUE"""),0.321022727272727)</f>
        <v>0.3210227273</v>
      </c>
      <c r="I122" s="8">
        <f>IFERROR(__xludf.DUMMYFUNCTION("""COMPUTED_VALUE"""),0.272727272727272)</f>
        <v>0.2727272727</v>
      </c>
      <c r="J122" s="8">
        <f>IFERROR(__xludf.DUMMYFUNCTION("""COMPUTED_VALUE"""),0.271428571428571)</f>
        <v>0.2714285714</v>
      </c>
      <c r="K122" s="8">
        <f>IFERROR(__xludf.DUMMYFUNCTION("""COMPUTED_VALUE"""),0.239193083573487)</f>
        <v>0.2391930836</v>
      </c>
      <c r="L122" s="8">
        <f>IFERROR(__xludf.DUMMYFUNCTION("""COMPUTED_VALUE"""),0.223529411764705)</f>
        <v>0.2235294118</v>
      </c>
      <c r="M122" s="8">
        <f>IFERROR(__xludf.DUMMYFUNCTION("""COMPUTED_VALUE"""),0.208333333333333)</f>
        <v>0.2083333333</v>
      </c>
      <c r="N122" s="8">
        <f>IFERROR(__xludf.DUMMYFUNCTION("""COMPUTED_VALUE"""),0.210526315789473)</f>
        <v>0.2105263158</v>
      </c>
      <c r="O122" s="8">
        <f>IFERROR(__xludf.DUMMYFUNCTION("""COMPUTED_VALUE"""),0.181818181818181)</f>
        <v>0.1818181818</v>
      </c>
      <c r="P122" s="8">
        <f>IFERROR(__xludf.DUMMYFUNCTION("""COMPUTED_VALUE"""),0.138297872340425)</f>
        <v>0.1382978723</v>
      </c>
      <c r="Q122" s="8">
        <f>IFERROR(__xludf.DUMMYFUNCTION("""COMPUTED_VALUE"""),0.105454545454545)</f>
        <v>0.1054545455</v>
      </c>
      <c r="R122" s="8">
        <f>IFERROR(__xludf.DUMMYFUNCTION("""COMPUTED_VALUE"""),0.0732600732600732)</f>
        <v>0.07326007326</v>
      </c>
      <c r="S122" s="8">
        <f>IFERROR(__xludf.DUMMYFUNCTION("""COMPUTED_VALUE"""),0.0)</f>
        <v>0</v>
      </c>
      <c r="T122" s="8">
        <f>IFERROR(__xludf.DUMMYFUNCTION("""COMPUTED_VALUE"""),0.0)</f>
        <v>0</v>
      </c>
      <c r="U122" s="8">
        <f>IFERROR(__xludf.DUMMYFUNCTION("""COMPUTED_VALUE"""),0.0)</f>
        <v>0</v>
      </c>
      <c r="V122" s="8">
        <f>IFERROR(__xludf.DUMMYFUNCTION("""COMPUTED_VALUE"""),0.0)</f>
        <v>0</v>
      </c>
      <c r="W122" s="8">
        <f>IFERROR(__xludf.DUMMYFUNCTION("""COMPUTED_VALUE"""),0.0)</f>
        <v>0</v>
      </c>
      <c r="X122" s="8">
        <f>IFERROR(__xludf.DUMMYFUNCTION("""COMPUTED_VALUE"""),0.0)</f>
        <v>0</v>
      </c>
      <c r="Y122" s="8">
        <f>IFERROR(__xludf.DUMMYFUNCTION("""COMPUTED_VALUE"""),0.0)</f>
        <v>0</v>
      </c>
      <c r="Z122" s="8">
        <f>IFERROR(__xludf.DUMMYFUNCTION("""COMPUTED_VALUE"""),0.0)</f>
        <v>0</v>
      </c>
      <c r="AA122" s="8">
        <f>IFERROR(__xludf.DUMMYFUNCTION("""COMPUTED_VALUE"""),0.0)</f>
        <v>0</v>
      </c>
      <c r="AB122" s="8">
        <f>IFERROR(__xludf.DUMMYFUNCTION("""COMPUTED_VALUE"""),0.0)</f>
        <v>0</v>
      </c>
      <c r="AC122" s="8">
        <f>IFERROR(__xludf.DUMMYFUNCTION("""COMPUTED_VALUE"""),0.0)</f>
        <v>0</v>
      </c>
    </row>
    <row r="123" ht="15.75" customHeight="1">
      <c r="A123" s="6" t="str">
        <f>IFERROR(__xludf.DUMMYFUNCTION("""COMPUTED_VALUE"""),"646112abf2d6a5c232155a853f029ad1737b504e")</f>
        <v>646112abf2d6a5c232155a853f029ad1737b504e</v>
      </c>
      <c r="B123" s="6" t="str">
        <f>IFERROR(__xludf.DUMMYFUNCTION("""COMPUTED_VALUE"""),"Gatebreak")</f>
        <v>Gatebreak</v>
      </c>
      <c r="C123" s="6" t="str">
        <f>IFERROR(__xludf.DUMMYFUNCTION("""COMPUTED_VALUE"""),"Fantasy")</f>
        <v>Fantasy</v>
      </c>
      <c r="D123" s="5">
        <f>IFERROR(__xludf.DUMMYFUNCTION("""COMPUTED_VALUE"""),950.0)</f>
        <v>950</v>
      </c>
      <c r="E123" s="8">
        <f>IFERROR(__xludf.DUMMYFUNCTION("""COMPUTED_VALUE"""),0.946202531645569)</f>
        <v>0.9462025316</v>
      </c>
      <c r="F123" s="8">
        <f>IFERROR(__xludf.DUMMYFUNCTION("""COMPUTED_VALUE"""),0.642328042328042)</f>
        <v>0.6423280423</v>
      </c>
      <c r="G123" s="8">
        <f>IFERROR(__xludf.DUMMYFUNCTION("""COMPUTED_VALUE"""),0.592553191489361)</f>
        <v>0.5925531915</v>
      </c>
      <c r="H123" s="8">
        <f>IFERROR(__xludf.DUMMYFUNCTION("""COMPUTED_VALUE"""),0.556745182012848)</f>
        <v>0.556745182</v>
      </c>
      <c r="I123" s="8">
        <f>IFERROR(__xludf.DUMMYFUNCTION("""COMPUTED_VALUE"""),0.541442411194833)</f>
        <v>0.5414424112</v>
      </c>
      <c r="J123" s="8">
        <f>IFERROR(__xludf.DUMMYFUNCTION("""COMPUTED_VALUE"""),0.525350593311758)</f>
        <v>0.5253505933</v>
      </c>
      <c r="K123" s="8">
        <f>IFERROR(__xludf.DUMMYFUNCTION("""COMPUTED_VALUE"""),0.518358531317494)</f>
        <v>0.5183585313</v>
      </c>
      <c r="L123" s="8">
        <f>IFERROR(__xludf.DUMMYFUNCTION("""COMPUTED_VALUE"""),0.509761388286334)</f>
        <v>0.5097613883</v>
      </c>
      <c r="M123" s="8">
        <f>IFERROR(__xludf.DUMMYFUNCTION("""COMPUTED_VALUE"""),0.498915401301518)</f>
        <v>0.4989154013</v>
      </c>
      <c r="N123" s="8">
        <f>IFERROR(__xludf.DUMMYFUNCTION("""COMPUTED_VALUE"""),0.498908296943231)</f>
        <v>0.4989082969</v>
      </c>
      <c r="O123" s="8">
        <f>IFERROR(__xludf.DUMMYFUNCTION("""COMPUTED_VALUE"""),0.433856502242152)</f>
        <v>0.4338565022</v>
      </c>
      <c r="P123" s="8">
        <f>IFERROR(__xludf.DUMMYFUNCTION("""COMPUTED_VALUE"""),0.326834862385321)</f>
        <v>0.3268348624</v>
      </c>
      <c r="Q123" s="8">
        <f>IFERROR(__xludf.DUMMYFUNCTION("""COMPUTED_VALUE"""),0.230130486358244)</f>
        <v>0.2301304864</v>
      </c>
      <c r="R123" s="8">
        <f>IFERROR(__xludf.DUMMYFUNCTION("""COMPUTED_VALUE"""),0.168289290681502)</f>
        <v>0.1682892907</v>
      </c>
      <c r="S123" s="8">
        <f>IFERROR(__xludf.DUMMYFUNCTION("""COMPUTED_VALUE"""),0.133020344287949)</f>
        <v>0.1330203443</v>
      </c>
      <c r="T123" s="8">
        <f>IFERROR(__xludf.DUMMYFUNCTION("""COMPUTED_VALUE"""),0.11620294599018)</f>
        <v>0.116202946</v>
      </c>
      <c r="U123" s="8">
        <f>IFERROR(__xludf.DUMMYFUNCTION("""COMPUTED_VALUE"""),0.0833333333333333)</f>
        <v>0.08333333333</v>
      </c>
      <c r="V123" s="8">
        <f>IFERROR(__xludf.DUMMYFUNCTION("""COMPUTED_VALUE"""),0.0)</f>
        <v>0</v>
      </c>
      <c r="W123" s="8">
        <f>IFERROR(__xludf.DUMMYFUNCTION("""COMPUTED_VALUE"""),0.0)</f>
        <v>0</v>
      </c>
      <c r="X123" s="8">
        <f>IFERROR(__xludf.DUMMYFUNCTION("""COMPUTED_VALUE"""),0.0)</f>
        <v>0</v>
      </c>
      <c r="Y123" s="8">
        <f>IFERROR(__xludf.DUMMYFUNCTION("""COMPUTED_VALUE"""),0.0)</f>
        <v>0</v>
      </c>
      <c r="Z123" s="8">
        <f>IFERROR(__xludf.DUMMYFUNCTION("""COMPUTED_VALUE"""),0.0)</f>
        <v>0</v>
      </c>
      <c r="AA123" s="8">
        <f>IFERROR(__xludf.DUMMYFUNCTION("""COMPUTED_VALUE"""),0.0)</f>
        <v>0</v>
      </c>
      <c r="AB123" s="8">
        <f>IFERROR(__xludf.DUMMYFUNCTION("""COMPUTED_VALUE"""),0.0)</f>
        <v>0</v>
      </c>
      <c r="AC123" s="8">
        <f>IFERROR(__xludf.DUMMYFUNCTION("""COMPUTED_VALUE"""),0.0)</f>
        <v>0</v>
      </c>
    </row>
    <row r="124" ht="15.75" customHeight="1">
      <c r="A124" s="6" t="str">
        <f>IFERROR(__xludf.DUMMYFUNCTION("""COMPUTED_VALUE"""),"6537ebcf99ebb2572c378cc92edd07b6d165b13b")</f>
        <v>6537ebcf99ebb2572c378cc92edd07b6d165b13b</v>
      </c>
      <c r="B124" s="6" t="str">
        <f>IFERROR(__xludf.DUMMYFUNCTION("""COMPUTED_VALUE"""),"The Legendary Beast Archi")</f>
        <v>The Legendary Beast Archi</v>
      </c>
      <c r="C124" s="6" t="str">
        <f>IFERROR(__xludf.DUMMYFUNCTION("""COMPUTED_VALUE"""),"Fantasy")</f>
        <v>Fantasy</v>
      </c>
      <c r="D124" s="5">
        <f>IFERROR(__xludf.DUMMYFUNCTION("""COMPUTED_VALUE"""),673.0)</f>
        <v>673</v>
      </c>
      <c r="E124" s="8">
        <f>IFERROR(__xludf.DUMMYFUNCTION("""COMPUTED_VALUE"""),0.97913561847988)</f>
        <v>0.9791356185</v>
      </c>
      <c r="F124" s="8">
        <f>IFERROR(__xludf.DUMMYFUNCTION("""COMPUTED_VALUE"""),0.56071964017991)</f>
        <v>0.5607196402</v>
      </c>
      <c r="G124" s="8">
        <f>IFERROR(__xludf.DUMMYFUNCTION("""COMPUTED_VALUE"""),0.503003003003003)</f>
        <v>0.503003003</v>
      </c>
      <c r="H124" s="8">
        <f>IFERROR(__xludf.DUMMYFUNCTION("""COMPUTED_VALUE"""),0.461654135338345)</f>
        <v>0.4616541353</v>
      </c>
      <c r="I124" s="8">
        <f>IFERROR(__xludf.DUMMYFUNCTION("""COMPUTED_VALUE"""),0.432137285491419)</f>
        <v>0.4321372855</v>
      </c>
      <c r="J124" s="8">
        <f>IFERROR(__xludf.DUMMYFUNCTION("""COMPUTED_VALUE"""),0.396468699839486)</f>
        <v>0.3964686998</v>
      </c>
      <c r="K124" s="8">
        <f>IFERROR(__xludf.DUMMYFUNCTION("""COMPUTED_VALUE"""),0.394642857142857)</f>
        <v>0.3946428571</v>
      </c>
      <c r="L124" s="8">
        <f>IFERROR(__xludf.DUMMYFUNCTION("""COMPUTED_VALUE"""),0.371937639198218)</f>
        <v>0.3719376392</v>
      </c>
      <c r="M124" s="8">
        <f>IFERROR(__xludf.DUMMYFUNCTION("""COMPUTED_VALUE"""),0.348519362186788)</f>
        <v>0.3485193622</v>
      </c>
      <c r="N124" s="8">
        <f>IFERROR(__xludf.DUMMYFUNCTION("""COMPUTED_VALUE"""),0.318493150684931)</f>
        <v>0.3184931507</v>
      </c>
      <c r="O124" s="8">
        <f>IFERROR(__xludf.DUMMYFUNCTION("""COMPUTED_VALUE"""),0.25)</f>
        <v>0.25</v>
      </c>
      <c r="P124" s="8">
        <f>IFERROR(__xludf.DUMMYFUNCTION("""COMPUTED_VALUE"""),0.0909090909090909)</f>
        <v>0.09090909091</v>
      </c>
      <c r="Q124" s="8">
        <f>IFERROR(__xludf.DUMMYFUNCTION("""COMPUTED_VALUE"""),0.0)</f>
        <v>0</v>
      </c>
      <c r="R124" s="8">
        <f>IFERROR(__xludf.DUMMYFUNCTION("""COMPUTED_VALUE"""),0.0)</f>
        <v>0</v>
      </c>
      <c r="S124" s="8">
        <f>IFERROR(__xludf.DUMMYFUNCTION("""COMPUTED_VALUE"""),0.0)</f>
        <v>0</v>
      </c>
      <c r="T124" s="8">
        <f>IFERROR(__xludf.DUMMYFUNCTION("""COMPUTED_VALUE"""),0.0)</f>
        <v>0</v>
      </c>
      <c r="U124" s="8">
        <f>IFERROR(__xludf.DUMMYFUNCTION("""COMPUTED_VALUE"""),0.0)</f>
        <v>0</v>
      </c>
      <c r="V124" s="8">
        <f>IFERROR(__xludf.DUMMYFUNCTION("""COMPUTED_VALUE"""),0.0)</f>
        <v>0</v>
      </c>
      <c r="W124" s="8">
        <f>IFERROR(__xludf.DUMMYFUNCTION("""COMPUTED_VALUE"""),0.0)</f>
        <v>0</v>
      </c>
      <c r="X124" s="8">
        <f>IFERROR(__xludf.DUMMYFUNCTION("""COMPUTED_VALUE"""),0.0)</f>
        <v>0</v>
      </c>
      <c r="Y124" s="8">
        <f>IFERROR(__xludf.DUMMYFUNCTION("""COMPUTED_VALUE"""),0.0)</f>
        <v>0</v>
      </c>
      <c r="Z124" s="8">
        <f>IFERROR(__xludf.DUMMYFUNCTION("""COMPUTED_VALUE"""),0.0)</f>
        <v>0</v>
      </c>
      <c r="AA124" s="8">
        <f>IFERROR(__xludf.DUMMYFUNCTION("""COMPUTED_VALUE"""),0.0)</f>
        <v>0</v>
      </c>
      <c r="AB124" s="8">
        <f>IFERROR(__xludf.DUMMYFUNCTION("""COMPUTED_VALUE"""),0.0)</f>
        <v>0</v>
      </c>
      <c r="AC124" s="8">
        <f>IFERROR(__xludf.DUMMYFUNCTION("""COMPUTED_VALUE"""),0.0)</f>
        <v>0</v>
      </c>
    </row>
    <row r="125" ht="15.75" customHeight="1">
      <c r="A125" s="6" t="str">
        <f>IFERROR(__xludf.DUMMYFUNCTION("""COMPUTED_VALUE"""),"66e5597d741c6d87c2bc8e35ec83065242c0e34d")</f>
        <v>66e5597d741c6d87c2bc8e35ec83065242c0e34d</v>
      </c>
      <c r="B125" s="6" t="str">
        <f>IFERROR(__xludf.DUMMYFUNCTION("""COMPUTED_VALUE"""),"Sky Lord")</f>
        <v>Sky Lord</v>
      </c>
      <c r="C125" s="6" t="str">
        <f>IFERROR(__xludf.DUMMYFUNCTION("""COMPUTED_VALUE"""),"Fantasy")</f>
        <v>Fantasy</v>
      </c>
      <c r="D125" s="5">
        <f>IFERROR(__xludf.DUMMYFUNCTION("""COMPUTED_VALUE"""),940.0)</f>
        <v>940</v>
      </c>
      <c r="E125" s="8">
        <f>IFERROR(__xludf.DUMMYFUNCTION("""COMPUTED_VALUE"""),0.964743589743589)</f>
        <v>0.9647435897</v>
      </c>
      <c r="F125" s="8">
        <f>IFERROR(__xludf.DUMMYFUNCTION("""COMPUTED_VALUE"""),0.643318965517241)</f>
        <v>0.6433189655</v>
      </c>
      <c r="G125" s="8">
        <f>IFERROR(__xludf.DUMMYFUNCTION("""COMPUTED_VALUE"""),0.592872570194384)</f>
        <v>0.5928725702</v>
      </c>
      <c r="H125" s="8">
        <f>IFERROR(__xludf.DUMMYFUNCTION("""COMPUTED_VALUE"""),0.570806100217864)</f>
        <v>0.5708061002</v>
      </c>
      <c r="I125" s="8">
        <f>IFERROR(__xludf.DUMMYFUNCTION("""COMPUTED_VALUE"""),0.526893523600439)</f>
        <v>0.5268935236</v>
      </c>
      <c r="J125" s="8">
        <f>IFERROR(__xludf.DUMMYFUNCTION("""COMPUTED_VALUE"""),0.508361204013377)</f>
        <v>0.508361204</v>
      </c>
      <c r="K125" s="8">
        <f>IFERROR(__xludf.DUMMYFUNCTION("""COMPUTED_VALUE"""),0.471395881006864)</f>
        <v>0.471395881</v>
      </c>
      <c r="L125" s="8">
        <f>IFERROR(__xludf.DUMMYFUNCTION("""COMPUTED_VALUE"""),0.445797807551766)</f>
        <v>0.4457978076</v>
      </c>
      <c r="M125" s="8">
        <f>IFERROR(__xludf.DUMMYFUNCTION("""COMPUTED_VALUE"""),0.428571428571428)</f>
        <v>0.4285714286</v>
      </c>
      <c r="N125" s="8">
        <f>IFERROR(__xludf.DUMMYFUNCTION("""COMPUTED_VALUE"""),0.406460296096904)</f>
        <v>0.4064602961</v>
      </c>
      <c r="O125" s="8">
        <f>IFERROR(__xludf.DUMMYFUNCTION("""COMPUTED_VALUE"""),0.313432835820895)</f>
        <v>0.3134328358</v>
      </c>
      <c r="P125" s="8">
        <f>IFERROR(__xludf.DUMMYFUNCTION("""COMPUTED_VALUE"""),0.38095238095238)</f>
        <v>0.380952381</v>
      </c>
      <c r="Q125" s="8">
        <f>IFERROR(__xludf.DUMMYFUNCTION("""COMPUTED_VALUE"""),0.0)</f>
        <v>0</v>
      </c>
      <c r="R125" s="8">
        <f>IFERROR(__xludf.DUMMYFUNCTION("""COMPUTED_VALUE"""),0.0)</f>
        <v>0</v>
      </c>
      <c r="S125" s="8">
        <f>IFERROR(__xludf.DUMMYFUNCTION("""COMPUTED_VALUE"""),0.0)</f>
        <v>0</v>
      </c>
      <c r="T125" s="8">
        <f>IFERROR(__xludf.DUMMYFUNCTION("""COMPUTED_VALUE"""),0.0)</f>
        <v>0</v>
      </c>
      <c r="U125" s="8">
        <f>IFERROR(__xludf.DUMMYFUNCTION("""COMPUTED_VALUE"""),0.0)</f>
        <v>0</v>
      </c>
      <c r="V125" s="8">
        <f>IFERROR(__xludf.DUMMYFUNCTION("""COMPUTED_VALUE"""),0.0)</f>
        <v>0</v>
      </c>
      <c r="W125" s="8">
        <f>IFERROR(__xludf.DUMMYFUNCTION("""COMPUTED_VALUE"""),0.0)</f>
        <v>0</v>
      </c>
      <c r="X125" s="8">
        <f>IFERROR(__xludf.DUMMYFUNCTION("""COMPUTED_VALUE"""),0.0)</f>
        <v>0</v>
      </c>
      <c r="Y125" s="8">
        <f>IFERROR(__xludf.DUMMYFUNCTION("""COMPUTED_VALUE"""),0.0)</f>
        <v>0</v>
      </c>
      <c r="Z125" s="8">
        <f>IFERROR(__xludf.DUMMYFUNCTION("""COMPUTED_VALUE"""),0.0)</f>
        <v>0</v>
      </c>
      <c r="AA125" s="8">
        <f>IFERROR(__xludf.DUMMYFUNCTION("""COMPUTED_VALUE"""),0.0)</f>
        <v>0</v>
      </c>
      <c r="AB125" s="8">
        <f>IFERROR(__xludf.DUMMYFUNCTION("""COMPUTED_VALUE"""),0.0)</f>
        <v>0</v>
      </c>
      <c r="AC125" s="8">
        <f>IFERROR(__xludf.DUMMYFUNCTION("""COMPUTED_VALUE"""),0.0)</f>
        <v>0</v>
      </c>
    </row>
    <row r="126" ht="15.75" customHeight="1">
      <c r="A126" s="6" t="str">
        <f>IFERROR(__xludf.DUMMYFUNCTION("""COMPUTED_VALUE"""),"69e29d606b65c300fffe9a9af149d4b81b170a78")</f>
        <v>69e29d606b65c300fffe9a9af149d4b81b170a78</v>
      </c>
      <c r="B126" s="6" t="str">
        <f>IFERROR(__xludf.DUMMYFUNCTION("""COMPUTED_VALUE"""),"Unexpectedly Entwined")</f>
        <v>Unexpectedly Entwined</v>
      </c>
      <c r="C126" s="6" t="str">
        <f>IFERROR(__xludf.DUMMYFUNCTION("""COMPUTED_VALUE"""),"Romance")</f>
        <v>Romance</v>
      </c>
      <c r="D126" s="5">
        <f>IFERROR(__xludf.DUMMYFUNCTION("""COMPUTED_VALUE"""),430.0)</f>
        <v>430</v>
      </c>
      <c r="E126" s="8">
        <f>IFERROR(__xludf.DUMMYFUNCTION("""COMPUTED_VALUE"""),0.965116279069767)</f>
        <v>0.9651162791</v>
      </c>
      <c r="F126" s="8">
        <f>IFERROR(__xludf.DUMMYFUNCTION("""COMPUTED_VALUE"""),0.451162790697674)</f>
        <v>0.4511627907</v>
      </c>
      <c r="G126" s="8">
        <f>IFERROR(__xludf.DUMMYFUNCTION("""COMPUTED_VALUE"""),0.397674418604651)</f>
        <v>0.3976744186</v>
      </c>
      <c r="H126" s="8">
        <f>IFERROR(__xludf.DUMMYFUNCTION("""COMPUTED_VALUE"""),0.348130841121495)</f>
        <v>0.3481308411</v>
      </c>
      <c r="I126" s="8">
        <f>IFERROR(__xludf.DUMMYFUNCTION("""COMPUTED_VALUE"""),0.322429906542056)</f>
        <v>0.3224299065</v>
      </c>
      <c r="J126" s="8">
        <f>IFERROR(__xludf.DUMMYFUNCTION("""COMPUTED_VALUE"""),0.281030444964871)</f>
        <v>0.281030445</v>
      </c>
      <c r="K126" s="8">
        <f>IFERROR(__xludf.DUMMYFUNCTION("""COMPUTED_VALUE"""),0.26463700234192)</f>
        <v>0.2646370023</v>
      </c>
      <c r="L126" s="8">
        <f>IFERROR(__xludf.DUMMYFUNCTION("""COMPUTED_VALUE"""),0.243559718969555)</f>
        <v>0.243559719</v>
      </c>
      <c r="M126" s="8">
        <f>IFERROR(__xludf.DUMMYFUNCTION("""COMPUTED_VALUE"""),0.206088992974238)</f>
        <v>0.206088993</v>
      </c>
      <c r="N126" s="8">
        <f>IFERROR(__xludf.DUMMYFUNCTION("""COMPUTED_VALUE"""),0.21311475409836)</f>
        <v>0.2131147541</v>
      </c>
      <c r="O126" s="8">
        <f>IFERROR(__xludf.DUMMYFUNCTION("""COMPUTED_VALUE"""),0.179856115107913)</f>
        <v>0.1798561151</v>
      </c>
      <c r="P126" s="8">
        <f>IFERROR(__xludf.DUMMYFUNCTION("""COMPUTED_VALUE"""),0.107317073170731)</f>
        <v>0.1073170732</v>
      </c>
      <c r="Q126" s="8">
        <f>IFERROR(__xludf.DUMMYFUNCTION("""COMPUTED_VALUE"""),0.100358422939068)</f>
        <v>0.1003584229</v>
      </c>
      <c r="R126" s="8">
        <f>IFERROR(__xludf.DUMMYFUNCTION("""COMPUTED_VALUE"""),0.101694915254237)</f>
        <v>0.1016949153</v>
      </c>
      <c r="S126" s="8">
        <f>IFERROR(__xludf.DUMMYFUNCTION("""COMPUTED_VALUE"""),0.111111111111111)</f>
        <v>0.1111111111</v>
      </c>
      <c r="T126" s="8">
        <f>IFERROR(__xludf.DUMMYFUNCTION("""COMPUTED_VALUE"""),0.037037037037037)</f>
        <v>0.03703703704</v>
      </c>
      <c r="U126" s="8">
        <f>IFERROR(__xludf.DUMMYFUNCTION("""COMPUTED_VALUE"""),0.0)</f>
        <v>0</v>
      </c>
      <c r="V126" s="8">
        <f>IFERROR(__xludf.DUMMYFUNCTION("""COMPUTED_VALUE"""),0.0)</f>
        <v>0</v>
      </c>
      <c r="W126" s="8">
        <f>IFERROR(__xludf.DUMMYFUNCTION("""COMPUTED_VALUE"""),0.0)</f>
        <v>0</v>
      </c>
      <c r="X126" s="8">
        <f>IFERROR(__xludf.DUMMYFUNCTION("""COMPUTED_VALUE"""),0.0)</f>
        <v>0</v>
      </c>
      <c r="Y126" s="8">
        <f>IFERROR(__xludf.DUMMYFUNCTION("""COMPUTED_VALUE"""),0.0)</f>
        <v>0</v>
      </c>
      <c r="Z126" s="8">
        <f>IFERROR(__xludf.DUMMYFUNCTION("""COMPUTED_VALUE"""),0.0)</f>
        <v>0</v>
      </c>
      <c r="AA126" s="8">
        <f>IFERROR(__xludf.DUMMYFUNCTION("""COMPUTED_VALUE"""),0.0)</f>
        <v>0</v>
      </c>
      <c r="AB126" s="8">
        <f>IFERROR(__xludf.DUMMYFUNCTION("""COMPUTED_VALUE"""),0.0)</f>
        <v>0</v>
      </c>
      <c r="AC126" s="8">
        <f>IFERROR(__xludf.DUMMYFUNCTION("""COMPUTED_VALUE"""),0.0)</f>
        <v>0</v>
      </c>
    </row>
    <row r="127" ht="15.75" customHeight="1">
      <c r="A127" s="6" t="str">
        <f>IFERROR(__xludf.DUMMYFUNCTION("""COMPUTED_VALUE"""),"69e2eb3772b49e749fed57ae96a86147dde154cb")</f>
        <v>69e2eb3772b49e749fed57ae96a86147dde154cb</v>
      </c>
      <c r="B127" s="6" t="str">
        <f>IFERROR(__xludf.DUMMYFUNCTION("""COMPUTED_VALUE"""),"The Alpha She Chose")</f>
        <v>The Alpha She Chose</v>
      </c>
      <c r="C127" s="6" t="str">
        <f>IFERROR(__xludf.DUMMYFUNCTION("""COMPUTED_VALUE"""),"Romantasy")</f>
        <v>Romantasy</v>
      </c>
      <c r="D127" s="5">
        <f>IFERROR(__xludf.DUMMYFUNCTION("""COMPUTED_VALUE"""),1321.0)</f>
        <v>1321</v>
      </c>
      <c r="E127" s="8">
        <f>IFERROR(__xludf.DUMMYFUNCTION("""COMPUTED_VALUE"""),0.951293759512937)</f>
        <v>0.9512937595</v>
      </c>
      <c r="F127" s="8">
        <f>IFERROR(__xludf.DUMMYFUNCTION("""COMPUTED_VALUE"""),0.577011494252873)</f>
        <v>0.5770114943</v>
      </c>
      <c r="G127" s="8">
        <f>IFERROR(__xludf.DUMMYFUNCTION("""COMPUTED_VALUE"""),0.539645881447267)</f>
        <v>0.5396458814</v>
      </c>
      <c r="H127" s="8">
        <f>IFERROR(__xludf.DUMMYFUNCTION("""COMPUTED_VALUE"""),0.498069498069498)</f>
        <v>0.4980694981</v>
      </c>
      <c r="I127" s="8">
        <f>IFERROR(__xludf.DUMMYFUNCTION("""COMPUTED_VALUE"""),0.473276529821843)</f>
        <v>0.4732765298</v>
      </c>
      <c r="J127" s="8">
        <f>IFERROR(__xludf.DUMMYFUNCTION("""COMPUTED_VALUE"""),0.452844894777864)</f>
        <v>0.4528448948</v>
      </c>
      <c r="K127" s="8">
        <f>IFERROR(__xludf.DUMMYFUNCTION("""COMPUTED_VALUE"""),0.433858267716535)</f>
        <v>0.4338582677</v>
      </c>
      <c r="L127" s="8">
        <f>IFERROR(__xludf.DUMMYFUNCTION("""COMPUTED_VALUE"""),0.418769716088328)</f>
        <v>0.4187697161</v>
      </c>
      <c r="M127" s="8">
        <f>IFERROR(__xludf.DUMMYFUNCTION("""COMPUTED_VALUE"""),0.40625)</f>
        <v>0.40625</v>
      </c>
      <c r="N127" s="8">
        <f>IFERROR(__xludf.DUMMYFUNCTION("""COMPUTED_VALUE"""),0.390223695111847)</f>
        <v>0.3902236951</v>
      </c>
      <c r="O127" s="8">
        <f>IFERROR(__xludf.DUMMYFUNCTION("""COMPUTED_VALUE"""),0.356067316209034)</f>
        <v>0.3560673162</v>
      </c>
      <c r="P127" s="8">
        <f>IFERROR(__xludf.DUMMYFUNCTION("""COMPUTED_VALUE"""),0.293569431500466)</f>
        <v>0.2935694315</v>
      </c>
      <c r="Q127" s="8">
        <f>IFERROR(__xludf.DUMMYFUNCTION("""COMPUTED_VALUE"""),0.245005257623554)</f>
        <v>0.2450052576</v>
      </c>
      <c r="R127" s="8">
        <f>IFERROR(__xludf.DUMMYFUNCTION("""COMPUTED_VALUE"""),0.201449275362318)</f>
        <v>0.2014492754</v>
      </c>
      <c r="S127" s="8">
        <f>IFERROR(__xludf.DUMMYFUNCTION("""COMPUTED_VALUE"""),0.111111111111111)</f>
        <v>0.1111111111</v>
      </c>
      <c r="T127" s="8">
        <f>IFERROR(__xludf.DUMMYFUNCTION("""COMPUTED_VALUE"""),0.0)</f>
        <v>0</v>
      </c>
      <c r="U127" s="8">
        <f>IFERROR(__xludf.DUMMYFUNCTION("""COMPUTED_VALUE"""),0.0)</f>
        <v>0</v>
      </c>
      <c r="V127" s="8">
        <f>IFERROR(__xludf.DUMMYFUNCTION("""COMPUTED_VALUE"""),0.0)</f>
        <v>0</v>
      </c>
      <c r="W127" s="8">
        <f>IFERROR(__xludf.DUMMYFUNCTION("""COMPUTED_VALUE"""),0.0)</f>
        <v>0</v>
      </c>
      <c r="X127" s="8">
        <f>IFERROR(__xludf.DUMMYFUNCTION("""COMPUTED_VALUE"""),0.0)</f>
        <v>0</v>
      </c>
      <c r="Y127" s="8">
        <f>IFERROR(__xludf.DUMMYFUNCTION("""COMPUTED_VALUE"""),0.0)</f>
        <v>0</v>
      </c>
      <c r="Z127" s="8">
        <f>IFERROR(__xludf.DUMMYFUNCTION("""COMPUTED_VALUE"""),0.0)</f>
        <v>0</v>
      </c>
      <c r="AA127" s="8">
        <f>IFERROR(__xludf.DUMMYFUNCTION("""COMPUTED_VALUE"""),0.0)</f>
        <v>0</v>
      </c>
      <c r="AB127" s="8">
        <f>IFERROR(__xludf.DUMMYFUNCTION("""COMPUTED_VALUE"""),0.0)</f>
        <v>0</v>
      </c>
      <c r="AC127" s="8">
        <f>IFERROR(__xludf.DUMMYFUNCTION("""COMPUTED_VALUE"""),0.0)</f>
        <v>0</v>
      </c>
    </row>
    <row r="128" ht="15.75" customHeight="1">
      <c r="A128" s="6" t="str">
        <f>IFERROR(__xludf.DUMMYFUNCTION("""COMPUTED_VALUE"""),"6c13ac0e01a86e60a2d75bbcee5bb8f9be472700")</f>
        <v>6c13ac0e01a86e60a2d75bbcee5bb8f9be472700</v>
      </c>
      <c r="B128" s="6" t="str">
        <f>IFERROR(__xludf.DUMMYFUNCTION("""COMPUTED_VALUE"""),"Fated to You")</f>
        <v>Fated to You</v>
      </c>
      <c r="C128" s="6" t="str">
        <f>IFERROR(__xludf.DUMMYFUNCTION("""COMPUTED_VALUE"""),"Romance")</f>
        <v>Romance</v>
      </c>
      <c r="D128" s="5">
        <f>IFERROR(__xludf.DUMMYFUNCTION("""COMPUTED_VALUE"""),249.0)</f>
        <v>249</v>
      </c>
      <c r="E128" s="8">
        <f>IFERROR(__xludf.DUMMYFUNCTION("""COMPUTED_VALUE"""),0.393574297188755)</f>
        <v>0.3935742972</v>
      </c>
      <c r="F128" s="8">
        <f>IFERROR(__xludf.DUMMYFUNCTION("""COMPUTED_VALUE"""),0.253012048192771)</f>
        <v>0.2530120482</v>
      </c>
      <c r="G128" s="8">
        <f>IFERROR(__xludf.DUMMYFUNCTION("""COMPUTED_VALUE"""),0.244979919678714)</f>
        <v>0.2449799197</v>
      </c>
      <c r="H128" s="8">
        <f>IFERROR(__xludf.DUMMYFUNCTION("""COMPUTED_VALUE"""),0.225806451612903)</f>
        <v>0.2258064516</v>
      </c>
      <c r="I128" s="8">
        <f>IFERROR(__xludf.DUMMYFUNCTION("""COMPUTED_VALUE"""),0.185483870967741)</f>
        <v>0.185483871</v>
      </c>
      <c r="J128" s="8">
        <f>IFERROR(__xludf.DUMMYFUNCTION("""COMPUTED_VALUE"""),0.178861788617886)</f>
        <v>0.1788617886</v>
      </c>
      <c r="K128" s="8">
        <f>IFERROR(__xludf.DUMMYFUNCTION("""COMPUTED_VALUE"""),0.174796747967479)</f>
        <v>0.174796748</v>
      </c>
      <c r="L128" s="8">
        <f>IFERROR(__xludf.DUMMYFUNCTION("""COMPUTED_VALUE"""),0.178861788617886)</f>
        <v>0.1788617886</v>
      </c>
      <c r="M128" s="8">
        <f>IFERROR(__xludf.DUMMYFUNCTION("""COMPUTED_VALUE"""),0.163265306122448)</f>
        <v>0.1632653061</v>
      </c>
      <c r="N128" s="8">
        <f>IFERROR(__xludf.DUMMYFUNCTION("""COMPUTED_VALUE"""),0.200819672131147)</f>
        <v>0.2008196721</v>
      </c>
      <c r="O128" s="8">
        <f>IFERROR(__xludf.DUMMYFUNCTION("""COMPUTED_VALUE"""),0.154166666666666)</f>
        <v>0.1541666667</v>
      </c>
      <c r="P128" s="8">
        <f>IFERROR(__xludf.DUMMYFUNCTION("""COMPUTED_VALUE"""),0.175)</f>
        <v>0.175</v>
      </c>
      <c r="Q128" s="8">
        <f>IFERROR(__xludf.DUMMYFUNCTION("""COMPUTED_VALUE"""),0.0966386554621848)</f>
        <v>0.09663865546</v>
      </c>
      <c r="R128" s="8">
        <f>IFERROR(__xludf.DUMMYFUNCTION("""COMPUTED_VALUE"""),0.051063829787234)</f>
        <v>0.05106382979</v>
      </c>
      <c r="S128" s="8">
        <f>IFERROR(__xludf.DUMMYFUNCTION("""COMPUTED_VALUE"""),0.0585106382978723)</f>
        <v>0.0585106383</v>
      </c>
      <c r="T128" s="8">
        <f>IFERROR(__xludf.DUMMYFUNCTION("""COMPUTED_VALUE"""),0.0419580419580419)</f>
        <v>0.04195804196</v>
      </c>
      <c r="U128" s="8">
        <f>IFERROR(__xludf.DUMMYFUNCTION("""COMPUTED_VALUE"""),0.0214285714285714)</f>
        <v>0.02142857143</v>
      </c>
      <c r="V128" s="8">
        <f>IFERROR(__xludf.DUMMYFUNCTION("""COMPUTED_VALUE"""),0.0289855072463768)</f>
        <v>0.02898550725</v>
      </c>
      <c r="W128" s="8">
        <f>IFERROR(__xludf.DUMMYFUNCTION("""COMPUTED_VALUE"""),0.0223880597014925)</f>
        <v>0.0223880597</v>
      </c>
      <c r="X128" s="8">
        <f>IFERROR(__xludf.DUMMYFUNCTION("""COMPUTED_VALUE"""),0.0153846153846153)</f>
        <v>0.01538461538</v>
      </c>
      <c r="Y128" s="8">
        <f>IFERROR(__xludf.DUMMYFUNCTION("""COMPUTED_VALUE"""),0.0)</f>
        <v>0</v>
      </c>
      <c r="Z128" s="8">
        <f>IFERROR(__xludf.DUMMYFUNCTION("""COMPUTED_VALUE"""),0.0357142857142857)</f>
        <v>0.03571428571</v>
      </c>
      <c r="AA128" s="8">
        <f>IFERROR(__xludf.DUMMYFUNCTION("""COMPUTED_VALUE"""),0.0434782608695652)</f>
        <v>0.04347826087</v>
      </c>
      <c r="AB128" s="8">
        <f>IFERROR(__xludf.DUMMYFUNCTION("""COMPUTED_VALUE"""),0.0)</f>
        <v>0</v>
      </c>
      <c r="AC128" s="8">
        <f>IFERROR(__xludf.DUMMYFUNCTION("""COMPUTED_VALUE"""),0.0)</f>
        <v>0</v>
      </c>
    </row>
    <row r="129" ht="15.75" customHeight="1">
      <c r="A129" s="6" t="str">
        <f>IFERROR(__xludf.DUMMYFUNCTION("""COMPUTED_VALUE"""),"6e9cd8b5ce597e73f12a6a180c18888a89f8aac3")</f>
        <v>6e9cd8b5ce597e73f12a6a180c18888a89f8aac3</v>
      </c>
      <c r="B129" s="6" t="str">
        <f>IFERROR(__xludf.DUMMYFUNCTION("""COMPUTED_VALUE"""),"Sovereign Retribution")</f>
        <v>Sovereign Retribution</v>
      </c>
      <c r="C129" s="6" t="str">
        <f>IFERROR(__xludf.DUMMYFUNCTION("""COMPUTED_VALUE"""),"Drama")</f>
        <v>Drama</v>
      </c>
      <c r="D129" s="5">
        <f>IFERROR(__xludf.DUMMYFUNCTION("""COMPUTED_VALUE"""),1586.0)</f>
        <v>1586</v>
      </c>
      <c r="E129" s="8">
        <f>IFERROR(__xludf.DUMMYFUNCTION("""COMPUTED_VALUE"""),0.935056746532156)</f>
        <v>0.9350567465</v>
      </c>
      <c r="F129" s="8">
        <f>IFERROR(__xludf.DUMMYFUNCTION("""COMPUTED_VALUE"""),0.706179066834804)</f>
        <v>0.7061790668</v>
      </c>
      <c r="G129" s="8">
        <f>IFERROR(__xludf.DUMMYFUNCTION("""COMPUTED_VALUE"""),0.668560606060606)</f>
        <v>0.6685606061</v>
      </c>
      <c r="H129" s="8">
        <f>IFERROR(__xludf.DUMMYFUNCTION("""COMPUTED_VALUE"""),0.639520202020202)</f>
        <v>0.639520202</v>
      </c>
      <c r="I129" s="8">
        <f>IFERROR(__xludf.DUMMYFUNCTION("""COMPUTED_VALUE"""),0.612373737373737)</f>
        <v>0.6123737374</v>
      </c>
      <c r="J129" s="8">
        <f>IFERROR(__xludf.DUMMYFUNCTION("""COMPUTED_VALUE"""),0.596967782691092)</f>
        <v>0.5969677827</v>
      </c>
      <c r="K129" s="8">
        <f>IFERROR(__xludf.DUMMYFUNCTION("""COMPUTED_VALUE"""),0.580543272267845)</f>
        <v>0.5805432723</v>
      </c>
      <c r="L129" s="8">
        <f>IFERROR(__xludf.DUMMYFUNCTION("""COMPUTED_VALUE"""),0.560682680151706)</f>
        <v>0.5606826802</v>
      </c>
      <c r="M129" s="8">
        <f>IFERROR(__xludf.DUMMYFUNCTION("""COMPUTED_VALUE"""),0.546202531645569)</f>
        <v>0.5462025316</v>
      </c>
      <c r="N129" s="8">
        <f>IFERROR(__xludf.DUMMYFUNCTION("""COMPUTED_VALUE"""),0.537682077264091)</f>
        <v>0.5376820773</v>
      </c>
      <c r="O129" s="8">
        <f>IFERROR(__xludf.DUMMYFUNCTION("""COMPUTED_VALUE"""),0.476221498371335)</f>
        <v>0.4762214984</v>
      </c>
      <c r="P129" s="8">
        <f>IFERROR(__xludf.DUMMYFUNCTION("""COMPUTED_VALUE"""),0.374635568513119)</f>
        <v>0.3746355685</v>
      </c>
      <c r="Q129" s="8">
        <f>IFERROR(__xludf.DUMMYFUNCTION("""COMPUTED_VALUE"""),0.260869565217391)</f>
        <v>0.2608695652</v>
      </c>
      <c r="R129" s="8">
        <f>IFERROR(__xludf.DUMMYFUNCTION("""COMPUTED_VALUE"""),0.3)</f>
        <v>0.3</v>
      </c>
      <c r="S129" s="8">
        <f>IFERROR(__xludf.DUMMYFUNCTION("""COMPUTED_VALUE"""),0.217391304347826)</f>
        <v>0.2173913043</v>
      </c>
      <c r="T129" s="8">
        <f>IFERROR(__xludf.DUMMYFUNCTION("""COMPUTED_VALUE"""),0.0)</f>
        <v>0</v>
      </c>
      <c r="U129" s="8">
        <f>IFERROR(__xludf.DUMMYFUNCTION("""COMPUTED_VALUE"""),0.0)</f>
        <v>0</v>
      </c>
      <c r="V129" s="8">
        <f>IFERROR(__xludf.DUMMYFUNCTION("""COMPUTED_VALUE"""),0.0)</f>
        <v>0</v>
      </c>
      <c r="W129" s="8">
        <f>IFERROR(__xludf.DUMMYFUNCTION("""COMPUTED_VALUE"""),0.0)</f>
        <v>0</v>
      </c>
      <c r="X129" s="8">
        <f>IFERROR(__xludf.DUMMYFUNCTION("""COMPUTED_VALUE"""),0.0)</f>
        <v>0</v>
      </c>
      <c r="Y129" s="8">
        <f>IFERROR(__xludf.DUMMYFUNCTION("""COMPUTED_VALUE"""),0.0)</f>
        <v>0</v>
      </c>
      <c r="Z129" s="8">
        <f>IFERROR(__xludf.DUMMYFUNCTION("""COMPUTED_VALUE"""),0.0)</f>
        <v>0</v>
      </c>
      <c r="AA129" s="8">
        <f>IFERROR(__xludf.DUMMYFUNCTION("""COMPUTED_VALUE"""),0.0)</f>
        <v>0</v>
      </c>
      <c r="AB129" s="8">
        <f>IFERROR(__xludf.DUMMYFUNCTION("""COMPUTED_VALUE"""),0.0)</f>
        <v>0</v>
      </c>
      <c r="AC129" s="8">
        <f>IFERROR(__xludf.DUMMYFUNCTION("""COMPUTED_VALUE"""),0.0)</f>
        <v>0</v>
      </c>
    </row>
    <row r="130" ht="15.75" customHeight="1">
      <c r="A130" s="6" t="str">
        <f>IFERROR(__xludf.DUMMYFUNCTION("""COMPUTED_VALUE"""),"6f82cdfa2792a89aec9172918610c124246ad8bd")</f>
        <v>6f82cdfa2792a89aec9172918610c124246ad8bd</v>
      </c>
      <c r="B130" s="6" t="str">
        <f>IFERROR(__xludf.DUMMYFUNCTION("""COMPUTED_VALUE"""),"Hector's Rise to Power")</f>
        <v>Hector's Rise to Power</v>
      </c>
      <c r="C130" s="6" t="str">
        <f>IFERROR(__xludf.DUMMYFUNCTION("""COMPUTED_VALUE"""),"Drama")</f>
        <v>Drama</v>
      </c>
      <c r="D130" s="5">
        <f>IFERROR(__xludf.DUMMYFUNCTION("""COMPUTED_VALUE"""),317.0)</f>
        <v>317</v>
      </c>
      <c r="E130" s="8">
        <f>IFERROR(__xludf.DUMMYFUNCTION("""COMPUTED_VALUE"""),0.968354430379746)</f>
        <v>0.9683544304</v>
      </c>
      <c r="F130" s="8">
        <f>IFERROR(__xludf.DUMMYFUNCTION("""COMPUTED_VALUE"""),0.683544303797468)</f>
        <v>0.6835443038</v>
      </c>
      <c r="G130" s="8">
        <f>IFERROR(__xludf.DUMMYFUNCTION("""COMPUTED_VALUE"""),0.534810126582278)</f>
        <v>0.5348101266</v>
      </c>
      <c r="H130" s="8">
        <f>IFERROR(__xludf.DUMMYFUNCTION("""COMPUTED_VALUE"""),0.481012658227848)</f>
        <v>0.4810126582</v>
      </c>
      <c r="I130" s="8">
        <f>IFERROR(__xludf.DUMMYFUNCTION("""COMPUTED_VALUE"""),0.417721518987341)</f>
        <v>0.417721519</v>
      </c>
      <c r="J130" s="8">
        <f>IFERROR(__xludf.DUMMYFUNCTION("""COMPUTED_VALUE"""),0.401273885350318)</f>
        <v>0.4012738854</v>
      </c>
      <c r="K130" s="8">
        <f>IFERROR(__xludf.DUMMYFUNCTION("""COMPUTED_VALUE"""),0.365384615384615)</f>
        <v>0.3653846154</v>
      </c>
      <c r="L130" s="8">
        <f>IFERROR(__xludf.DUMMYFUNCTION("""COMPUTED_VALUE"""),0.336538461538461)</f>
        <v>0.3365384615</v>
      </c>
      <c r="M130" s="8">
        <f>IFERROR(__xludf.DUMMYFUNCTION("""COMPUTED_VALUE"""),0.301282051282051)</f>
        <v>0.3012820513</v>
      </c>
      <c r="N130" s="8">
        <f>IFERROR(__xludf.DUMMYFUNCTION("""COMPUTED_VALUE"""),0.272435897435897)</f>
        <v>0.2724358974</v>
      </c>
      <c r="O130" s="8">
        <f>IFERROR(__xludf.DUMMYFUNCTION("""COMPUTED_VALUE"""),0.229166666666666)</f>
        <v>0.2291666667</v>
      </c>
      <c r="P130" s="8">
        <f>IFERROR(__xludf.DUMMYFUNCTION("""COMPUTED_VALUE"""),0.147058823529411)</f>
        <v>0.1470588235</v>
      </c>
      <c r="Q130" s="8">
        <f>IFERROR(__xludf.DUMMYFUNCTION("""COMPUTED_VALUE"""),0.0714285714285714)</f>
        <v>0.07142857143</v>
      </c>
      <c r="R130" s="8">
        <f>IFERROR(__xludf.DUMMYFUNCTION("""COMPUTED_VALUE"""),0.0)</f>
        <v>0</v>
      </c>
      <c r="S130" s="8">
        <f>IFERROR(__xludf.DUMMYFUNCTION("""COMPUTED_VALUE"""),0.0)</f>
        <v>0</v>
      </c>
      <c r="T130" s="8">
        <f>IFERROR(__xludf.DUMMYFUNCTION("""COMPUTED_VALUE"""),0.0)</f>
        <v>0</v>
      </c>
      <c r="U130" s="8">
        <f>IFERROR(__xludf.DUMMYFUNCTION("""COMPUTED_VALUE"""),0.0)</f>
        <v>0</v>
      </c>
      <c r="V130" s="8">
        <f>IFERROR(__xludf.DUMMYFUNCTION("""COMPUTED_VALUE"""),0.0)</f>
        <v>0</v>
      </c>
      <c r="W130" s="8">
        <f>IFERROR(__xludf.DUMMYFUNCTION("""COMPUTED_VALUE"""),0.0)</f>
        <v>0</v>
      </c>
      <c r="X130" s="8">
        <f>IFERROR(__xludf.DUMMYFUNCTION("""COMPUTED_VALUE"""),0.0)</f>
        <v>0</v>
      </c>
      <c r="Y130" s="8">
        <f>IFERROR(__xludf.DUMMYFUNCTION("""COMPUTED_VALUE"""),0.0)</f>
        <v>0</v>
      </c>
      <c r="Z130" s="8">
        <f>IFERROR(__xludf.DUMMYFUNCTION("""COMPUTED_VALUE"""),0.0)</f>
        <v>0</v>
      </c>
      <c r="AA130" s="8">
        <f>IFERROR(__xludf.DUMMYFUNCTION("""COMPUTED_VALUE"""),0.0)</f>
        <v>0</v>
      </c>
      <c r="AB130" s="8">
        <f>IFERROR(__xludf.DUMMYFUNCTION("""COMPUTED_VALUE"""),0.0)</f>
        <v>0</v>
      </c>
      <c r="AC130" s="8">
        <f>IFERROR(__xludf.DUMMYFUNCTION("""COMPUTED_VALUE"""),0.0)</f>
        <v>0</v>
      </c>
    </row>
    <row r="131" ht="15.75" customHeight="1">
      <c r="A131" s="6" t="str">
        <f>IFERROR(__xludf.DUMMYFUNCTION("""COMPUTED_VALUE"""),"6f907f1e2ab28d03dcc8246bf380f11b97d00c06")</f>
        <v>6f907f1e2ab28d03dcc8246bf380f11b97d00c06</v>
      </c>
      <c r="B131" s="6" t="str">
        <f>IFERROR(__xludf.DUMMYFUNCTION("""COMPUTED_VALUE"""),"CEO Inherited Bride ")</f>
        <v>CEO Inherited Bride </v>
      </c>
      <c r="C131" s="6" t="str">
        <f>IFERROR(__xludf.DUMMYFUNCTION("""COMPUTED_VALUE"""),"Romance")</f>
        <v>Romance</v>
      </c>
      <c r="D131" s="5">
        <f>IFERROR(__xludf.DUMMYFUNCTION("""COMPUTED_VALUE"""),323.0)</f>
        <v>323</v>
      </c>
      <c r="E131" s="8">
        <f>IFERROR(__xludf.DUMMYFUNCTION("""COMPUTED_VALUE"""),0.972136222910216)</f>
        <v>0.9721362229</v>
      </c>
      <c r="F131" s="8">
        <f>IFERROR(__xludf.DUMMYFUNCTION("""COMPUTED_VALUE"""),0.668730650154798)</f>
        <v>0.6687306502</v>
      </c>
      <c r="G131" s="8">
        <f>IFERROR(__xludf.DUMMYFUNCTION("""COMPUTED_VALUE"""),0.600619195046439)</f>
        <v>0.600619195</v>
      </c>
      <c r="H131" s="8">
        <f>IFERROR(__xludf.DUMMYFUNCTION("""COMPUTED_VALUE"""),0.58204334365325)</f>
        <v>0.5820433437</v>
      </c>
      <c r="I131" s="8">
        <f>IFERROR(__xludf.DUMMYFUNCTION("""COMPUTED_VALUE"""),0.557275541795665)</f>
        <v>0.5572755418</v>
      </c>
      <c r="J131" s="8">
        <f>IFERROR(__xludf.DUMMYFUNCTION("""COMPUTED_VALUE"""),0.4984520123839)</f>
        <v>0.4984520124</v>
      </c>
      <c r="K131" s="8">
        <f>IFERROR(__xludf.DUMMYFUNCTION("""COMPUTED_VALUE"""),0.48297213622291)</f>
        <v>0.4829721362</v>
      </c>
      <c r="L131" s="8">
        <f>IFERROR(__xludf.DUMMYFUNCTION("""COMPUTED_VALUE"""),0.44891640866873)</f>
        <v>0.4489164087</v>
      </c>
      <c r="M131" s="8">
        <f>IFERROR(__xludf.DUMMYFUNCTION("""COMPUTED_VALUE"""),0.436532507739938)</f>
        <v>0.4365325077</v>
      </c>
      <c r="N131" s="8">
        <f>IFERROR(__xludf.DUMMYFUNCTION("""COMPUTED_VALUE"""),0.417956656346749)</f>
        <v>0.4179566563</v>
      </c>
      <c r="O131" s="8">
        <f>IFERROR(__xludf.DUMMYFUNCTION("""COMPUTED_VALUE"""),0.338709677419354)</f>
        <v>0.3387096774</v>
      </c>
      <c r="P131" s="8">
        <f>IFERROR(__xludf.DUMMYFUNCTION("""COMPUTED_VALUE"""),0.271241830065359)</f>
        <v>0.2712418301</v>
      </c>
      <c r="Q131" s="8">
        <f>IFERROR(__xludf.DUMMYFUNCTION("""COMPUTED_VALUE"""),0.180327868852459)</f>
        <v>0.1803278689</v>
      </c>
      <c r="R131" s="8">
        <f>IFERROR(__xludf.DUMMYFUNCTION("""COMPUTED_VALUE"""),0.111111111111111)</f>
        <v>0.1111111111</v>
      </c>
      <c r="S131" s="8">
        <f>IFERROR(__xludf.DUMMYFUNCTION("""COMPUTED_VALUE"""),0.063063063063063)</f>
        <v>0.06306306306</v>
      </c>
      <c r="T131" s="8">
        <f>IFERROR(__xludf.DUMMYFUNCTION("""COMPUTED_VALUE"""),0.078125)</f>
        <v>0.078125</v>
      </c>
      <c r="U131" s="8">
        <f>IFERROR(__xludf.DUMMYFUNCTION("""COMPUTED_VALUE"""),0.0)</f>
        <v>0</v>
      </c>
      <c r="V131" s="8">
        <f>IFERROR(__xludf.DUMMYFUNCTION("""COMPUTED_VALUE"""),0.0)</f>
        <v>0</v>
      </c>
      <c r="W131" s="8">
        <f>IFERROR(__xludf.DUMMYFUNCTION("""COMPUTED_VALUE"""),0.0)</f>
        <v>0</v>
      </c>
      <c r="X131" s="8">
        <f>IFERROR(__xludf.DUMMYFUNCTION("""COMPUTED_VALUE"""),0.0)</f>
        <v>0</v>
      </c>
      <c r="Y131" s="8">
        <f>IFERROR(__xludf.DUMMYFUNCTION("""COMPUTED_VALUE"""),0.0)</f>
        <v>0</v>
      </c>
      <c r="Z131" s="8">
        <f>IFERROR(__xludf.DUMMYFUNCTION("""COMPUTED_VALUE"""),0.0)</f>
        <v>0</v>
      </c>
      <c r="AA131" s="8">
        <f>IFERROR(__xludf.DUMMYFUNCTION("""COMPUTED_VALUE"""),0.0)</f>
        <v>0</v>
      </c>
      <c r="AB131" s="8">
        <f>IFERROR(__xludf.DUMMYFUNCTION("""COMPUTED_VALUE"""),0.0)</f>
        <v>0</v>
      </c>
      <c r="AC131" s="8">
        <f>IFERROR(__xludf.DUMMYFUNCTION("""COMPUTED_VALUE"""),0.0)</f>
        <v>0</v>
      </c>
    </row>
    <row r="132" ht="15.75" customHeight="1">
      <c r="A132" s="6" t="str">
        <f>IFERROR(__xludf.DUMMYFUNCTION("""COMPUTED_VALUE"""),"71bfacd374965f4c980894477e36ea695b41c609")</f>
        <v>71bfacd374965f4c980894477e36ea695b41c609</v>
      </c>
      <c r="B132" s="6" t="str">
        <f>IFERROR(__xludf.DUMMYFUNCTION("""COMPUTED_VALUE"""),"Bride Who Didn't Want Him")</f>
        <v>Bride Who Didn't Want Him</v>
      </c>
      <c r="C132" s="6" t="str">
        <f>IFERROR(__xludf.DUMMYFUNCTION("""COMPUTED_VALUE"""),"Romance")</f>
        <v>Romance</v>
      </c>
      <c r="D132" s="5">
        <f>IFERROR(__xludf.DUMMYFUNCTION("""COMPUTED_VALUE"""),930.0)</f>
        <v>930</v>
      </c>
      <c r="E132" s="8">
        <f>IFERROR(__xludf.DUMMYFUNCTION("""COMPUTED_VALUE"""),0.975215517241379)</f>
        <v>0.9752155172</v>
      </c>
      <c r="F132" s="8">
        <f>IFERROR(__xludf.DUMMYFUNCTION("""COMPUTED_VALUE"""),0.538793103448275)</f>
        <v>0.5387931034</v>
      </c>
      <c r="G132" s="8">
        <f>IFERROR(__xludf.DUMMYFUNCTION("""COMPUTED_VALUE"""),0.46875)</f>
        <v>0.46875</v>
      </c>
      <c r="H132" s="8">
        <f>IFERROR(__xludf.DUMMYFUNCTION("""COMPUTED_VALUE"""),0.410560344827586)</f>
        <v>0.4105603448</v>
      </c>
      <c r="I132" s="8">
        <f>IFERROR(__xludf.DUMMYFUNCTION("""COMPUTED_VALUE"""),0.389008620689655)</f>
        <v>0.3890086207</v>
      </c>
      <c r="J132" s="8">
        <f>IFERROR(__xludf.DUMMYFUNCTION("""COMPUTED_VALUE"""),0.36353829557713)</f>
        <v>0.3635382956</v>
      </c>
      <c r="K132" s="8">
        <f>IFERROR(__xludf.DUMMYFUNCTION("""COMPUTED_VALUE"""),0.344492440604751)</f>
        <v>0.3444924406</v>
      </c>
      <c r="L132" s="8">
        <f>IFERROR(__xludf.DUMMYFUNCTION("""COMPUTED_VALUE"""),0.328293736501079)</f>
        <v>0.3282937365</v>
      </c>
      <c r="M132" s="8">
        <f>IFERROR(__xludf.DUMMYFUNCTION("""COMPUTED_VALUE"""),0.327567567567567)</f>
        <v>0.3275675676</v>
      </c>
      <c r="N132" s="8">
        <f>IFERROR(__xludf.DUMMYFUNCTION("""COMPUTED_VALUE"""),0.32034632034632)</f>
        <v>0.3203463203</v>
      </c>
      <c r="O132" s="8">
        <f>IFERROR(__xludf.DUMMYFUNCTION("""COMPUTED_VALUE"""),0.295929592959295)</f>
        <v>0.295929593</v>
      </c>
      <c r="P132" s="8">
        <f>IFERROR(__xludf.DUMMYFUNCTION("""COMPUTED_VALUE"""),0.228982300884955)</f>
        <v>0.2289823009</v>
      </c>
      <c r="Q132" s="8">
        <f>IFERROR(__xludf.DUMMYFUNCTION("""COMPUTED_VALUE"""),0.135755258126195)</f>
        <v>0.1357552581</v>
      </c>
      <c r="R132" s="8">
        <f>IFERROR(__xludf.DUMMYFUNCTION("""COMPUTED_VALUE"""),0.0)</f>
        <v>0</v>
      </c>
      <c r="S132" s="8">
        <f>IFERROR(__xludf.DUMMYFUNCTION("""COMPUTED_VALUE"""),0.0)</f>
        <v>0</v>
      </c>
      <c r="T132" s="8">
        <f>IFERROR(__xludf.DUMMYFUNCTION("""COMPUTED_VALUE"""),0.0)</f>
        <v>0</v>
      </c>
      <c r="U132" s="8">
        <f>IFERROR(__xludf.DUMMYFUNCTION("""COMPUTED_VALUE"""),0.0)</f>
        <v>0</v>
      </c>
      <c r="V132" s="8">
        <f>IFERROR(__xludf.DUMMYFUNCTION("""COMPUTED_VALUE"""),0.0)</f>
        <v>0</v>
      </c>
      <c r="W132" s="8">
        <f>IFERROR(__xludf.DUMMYFUNCTION("""COMPUTED_VALUE"""),0.0)</f>
        <v>0</v>
      </c>
      <c r="X132" s="8">
        <f>IFERROR(__xludf.DUMMYFUNCTION("""COMPUTED_VALUE"""),0.0)</f>
        <v>0</v>
      </c>
      <c r="Y132" s="8">
        <f>IFERROR(__xludf.DUMMYFUNCTION("""COMPUTED_VALUE"""),0.0)</f>
        <v>0</v>
      </c>
      <c r="Z132" s="8">
        <f>IFERROR(__xludf.DUMMYFUNCTION("""COMPUTED_VALUE"""),0.0)</f>
        <v>0</v>
      </c>
      <c r="AA132" s="8">
        <f>IFERROR(__xludf.DUMMYFUNCTION("""COMPUTED_VALUE"""),0.0)</f>
        <v>0</v>
      </c>
      <c r="AB132" s="8">
        <f>IFERROR(__xludf.DUMMYFUNCTION("""COMPUTED_VALUE"""),0.0)</f>
        <v>0</v>
      </c>
      <c r="AC132" s="8">
        <f>IFERROR(__xludf.DUMMYFUNCTION("""COMPUTED_VALUE"""),0.0)</f>
        <v>0</v>
      </c>
    </row>
    <row r="133" ht="15.75" customHeight="1">
      <c r="A133" s="6" t="str">
        <f>IFERROR(__xludf.DUMMYFUNCTION("""COMPUTED_VALUE"""),"730a3d0d6b094f151aed0a3dff6794a1d2fedee3")</f>
        <v>730a3d0d6b094f151aed0a3dff6794a1d2fedee3</v>
      </c>
      <c r="B133" s="6" t="str">
        <f>IFERROR(__xludf.DUMMYFUNCTION("""COMPUTED_VALUE"""),"Her Beauty Is Reborn")</f>
        <v>Her Beauty Is Reborn</v>
      </c>
      <c r="C133" s="6" t="str">
        <f>IFERROR(__xludf.DUMMYFUNCTION("""COMPUTED_VALUE"""),"Romance")</f>
        <v>Romance</v>
      </c>
      <c r="D133" s="5">
        <f>IFERROR(__xludf.DUMMYFUNCTION("""COMPUTED_VALUE"""),6888.0)</f>
        <v>6888</v>
      </c>
      <c r="E133" s="8">
        <f>IFERROR(__xludf.DUMMYFUNCTION("""COMPUTED_VALUE"""),0.930739073616959)</f>
        <v>0.9307390736</v>
      </c>
      <c r="F133" s="8">
        <f>IFERROR(__xludf.DUMMYFUNCTION("""COMPUTED_VALUE"""),0.519529548424568)</f>
        <v>0.5195295484</v>
      </c>
      <c r="G133" s="8">
        <f>IFERROR(__xludf.DUMMYFUNCTION("""COMPUTED_VALUE"""),0.46348192246261)</f>
        <v>0.4634819225</v>
      </c>
      <c r="H133" s="8">
        <f>IFERROR(__xludf.DUMMYFUNCTION("""COMPUTED_VALUE"""),0.427326847684042)</f>
        <v>0.4273268477</v>
      </c>
      <c r="I133" s="8">
        <f>IFERROR(__xludf.DUMMYFUNCTION("""COMPUTED_VALUE"""),0.406998693190068)</f>
        <v>0.4069986932</v>
      </c>
      <c r="J133" s="8">
        <f>IFERROR(__xludf.DUMMYFUNCTION("""COMPUTED_VALUE"""),0.388324135927969)</f>
        <v>0.3883241359</v>
      </c>
      <c r="K133" s="8">
        <f>IFERROR(__xludf.DUMMYFUNCTION("""COMPUTED_VALUE"""),0.37220447284345)</f>
        <v>0.3722044728</v>
      </c>
      <c r="L133" s="8">
        <f>IFERROR(__xludf.DUMMYFUNCTION("""COMPUTED_VALUE"""),0.3608082570141)</f>
        <v>0.360808257</v>
      </c>
      <c r="M133" s="8">
        <f>IFERROR(__xludf.DUMMYFUNCTION("""COMPUTED_VALUE"""),0.351846466996219)</f>
        <v>0.351846467</v>
      </c>
      <c r="N133" s="8">
        <f>IFERROR(__xludf.DUMMYFUNCTION("""COMPUTED_VALUE"""),0.344190780863748)</f>
        <v>0.3441907809</v>
      </c>
      <c r="O133" s="8">
        <f>IFERROR(__xludf.DUMMYFUNCTION("""COMPUTED_VALUE"""),0.314385658067337)</f>
        <v>0.3143856581</v>
      </c>
      <c r="P133" s="8">
        <f>IFERROR(__xludf.DUMMYFUNCTION("""COMPUTED_VALUE"""),0.27121123464014)</f>
        <v>0.2712112346</v>
      </c>
      <c r="Q133" s="8">
        <f>IFERROR(__xludf.DUMMYFUNCTION("""COMPUTED_VALUE"""),0.225298188779266)</f>
        <v>0.2252981888</v>
      </c>
      <c r="R133" s="8">
        <f>IFERROR(__xludf.DUMMYFUNCTION("""COMPUTED_VALUE"""),0.179217746643315)</f>
        <v>0.1792177466</v>
      </c>
      <c r="S133" s="8">
        <f>IFERROR(__xludf.DUMMYFUNCTION("""COMPUTED_VALUE"""),0.157859827548087)</f>
        <v>0.1578598275</v>
      </c>
      <c r="T133" s="8">
        <f>IFERROR(__xludf.DUMMYFUNCTION("""COMPUTED_VALUE"""),0.139689013510068)</f>
        <v>0.1396890135</v>
      </c>
      <c r="U133" s="8">
        <f>IFERROR(__xludf.DUMMYFUNCTION("""COMPUTED_VALUE"""),0.126360808709175)</f>
        <v>0.1263608087</v>
      </c>
      <c r="V133" s="8">
        <f>IFERROR(__xludf.DUMMYFUNCTION("""COMPUTED_VALUE"""),0.1172868582195)</f>
        <v>0.1172868582</v>
      </c>
      <c r="W133" s="8">
        <f>IFERROR(__xludf.DUMMYFUNCTION("""COMPUTED_VALUE"""),0.104782375067168)</f>
        <v>0.1047823751</v>
      </c>
      <c r="X133" s="8">
        <f>IFERROR(__xludf.DUMMYFUNCTION("""COMPUTED_VALUE"""),0.0905562742561448)</f>
        <v>0.09055627426</v>
      </c>
      <c r="Y133" s="8">
        <f>IFERROR(__xludf.DUMMYFUNCTION("""COMPUTED_VALUE"""),0.0252206809583858)</f>
        <v>0.02522068096</v>
      </c>
      <c r="Z133" s="8">
        <f>IFERROR(__xludf.DUMMYFUNCTION("""COMPUTED_VALUE"""),0.0)</f>
        <v>0</v>
      </c>
      <c r="AA133" s="8">
        <f>IFERROR(__xludf.DUMMYFUNCTION("""COMPUTED_VALUE"""),0.0)</f>
        <v>0</v>
      </c>
      <c r="AB133" s="8">
        <f>IFERROR(__xludf.DUMMYFUNCTION("""COMPUTED_VALUE"""),0.0)</f>
        <v>0</v>
      </c>
      <c r="AC133" s="8">
        <f>IFERROR(__xludf.DUMMYFUNCTION("""COMPUTED_VALUE"""),0.0)</f>
        <v>0</v>
      </c>
    </row>
    <row r="134" ht="15.75" customHeight="1">
      <c r="A134" s="6" t="str">
        <f>IFERROR(__xludf.DUMMYFUNCTION("""COMPUTED_VALUE"""),"7315dca13e406894d8407cd6d050c5d3b69eec10")</f>
        <v>7315dca13e406894d8407cd6d050c5d3b69eec10</v>
      </c>
      <c r="B134" s="6" t="str">
        <f>IFERROR(__xludf.DUMMYFUNCTION("""COMPUTED_VALUE"""),"The Uncle Who Chose Me")</f>
        <v>The Uncle Who Chose Me</v>
      </c>
      <c r="C134" s="6" t="str">
        <f>IFERROR(__xludf.DUMMYFUNCTION("""COMPUTED_VALUE"""),"Romance")</f>
        <v>Romance</v>
      </c>
      <c r="D134" s="5">
        <f>IFERROR(__xludf.DUMMYFUNCTION("""COMPUTED_VALUE"""),614.0)</f>
        <v>614</v>
      </c>
      <c r="E134" s="8">
        <f>IFERROR(__xludf.DUMMYFUNCTION("""COMPUTED_VALUE"""),0.97389885807504)</f>
        <v>0.9738988581</v>
      </c>
      <c r="F134" s="8">
        <f>IFERROR(__xludf.DUMMYFUNCTION("""COMPUTED_VALUE"""),0.610114192495921)</f>
        <v>0.6101141925</v>
      </c>
      <c r="G134" s="8">
        <f>IFERROR(__xludf.DUMMYFUNCTION("""COMPUTED_VALUE"""),0.500815660685154)</f>
        <v>0.5008156607</v>
      </c>
      <c r="H134" s="8">
        <f>IFERROR(__xludf.DUMMYFUNCTION("""COMPUTED_VALUE"""),0.459150326797385)</f>
        <v>0.4591503268</v>
      </c>
      <c r="I134" s="8">
        <f>IFERROR(__xludf.DUMMYFUNCTION("""COMPUTED_VALUE"""),0.413398692810457)</f>
        <v>0.4133986928</v>
      </c>
      <c r="J134" s="8">
        <f>IFERROR(__xludf.DUMMYFUNCTION("""COMPUTED_VALUE"""),0.377450980392156)</f>
        <v>0.3774509804</v>
      </c>
      <c r="K134" s="8">
        <f>IFERROR(__xludf.DUMMYFUNCTION("""COMPUTED_VALUE"""),0.354575163398692)</f>
        <v>0.3545751634</v>
      </c>
      <c r="L134" s="8">
        <f>IFERROR(__xludf.DUMMYFUNCTION("""COMPUTED_VALUE"""),0.338259441707717)</f>
        <v>0.3382594417</v>
      </c>
      <c r="M134" s="8">
        <f>IFERROR(__xludf.DUMMYFUNCTION("""COMPUTED_VALUE"""),0.328407224958949)</f>
        <v>0.328407225</v>
      </c>
      <c r="N134" s="8">
        <f>IFERROR(__xludf.DUMMYFUNCTION("""COMPUTED_VALUE"""),0.303776683087027)</f>
        <v>0.3037766831</v>
      </c>
      <c r="O134" s="8">
        <f>IFERROR(__xludf.DUMMYFUNCTION("""COMPUTED_VALUE"""),0.244224422442244)</f>
        <v>0.2442244224</v>
      </c>
      <c r="P134" s="8">
        <f>IFERROR(__xludf.DUMMYFUNCTION("""COMPUTED_VALUE"""),0.169520547945205)</f>
        <v>0.1695205479</v>
      </c>
      <c r="Q134" s="8">
        <f>IFERROR(__xludf.DUMMYFUNCTION("""COMPUTED_VALUE"""),0.0808510638297872)</f>
        <v>0.08085106383</v>
      </c>
      <c r="R134" s="8">
        <f>IFERROR(__xludf.DUMMYFUNCTION("""COMPUTED_VALUE"""),0.0)</f>
        <v>0</v>
      </c>
      <c r="S134" s="8">
        <f>IFERROR(__xludf.DUMMYFUNCTION("""COMPUTED_VALUE"""),0.0)</f>
        <v>0</v>
      </c>
      <c r="T134" s="8">
        <f>IFERROR(__xludf.DUMMYFUNCTION("""COMPUTED_VALUE"""),0.0)</f>
        <v>0</v>
      </c>
      <c r="U134" s="8">
        <f>IFERROR(__xludf.DUMMYFUNCTION("""COMPUTED_VALUE"""),0.0)</f>
        <v>0</v>
      </c>
      <c r="V134" s="8">
        <f>IFERROR(__xludf.DUMMYFUNCTION("""COMPUTED_VALUE"""),0.0)</f>
        <v>0</v>
      </c>
      <c r="W134" s="8">
        <f>IFERROR(__xludf.DUMMYFUNCTION("""COMPUTED_VALUE"""),0.0)</f>
        <v>0</v>
      </c>
      <c r="X134" s="8">
        <f>IFERROR(__xludf.DUMMYFUNCTION("""COMPUTED_VALUE"""),0.0)</f>
        <v>0</v>
      </c>
      <c r="Y134" s="8">
        <f>IFERROR(__xludf.DUMMYFUNCTION("""COMPUTED_VALUE"""),0.0)</f>
        <v>0</v>
      </c>
      <c r="Z134" s="8">
        <f>IFERROR(__xludf.DUMMYFUNCTION("""COMPUTED_VALUE"""),0.0)</f>
        <v>0</v>
      </c>
      <c r="AA134" s="8">
        <f>IFERROR(__xludf.DUMMYFUNCTION("""COMPUTED_VALUE"""),0.0)</f>
        <v>0</v>
      </c>
      <c r="AB134" s="8">
        <f>IFERROR(__xludf.DUMMYFUNCTION("""COMPUTED_VALUE"""),0.0)</f>
        <v>0</v>
      </c>
      <c r="AC134" s="8">
        <f>IFERROR(__xludf.DUMMYFUNCTION("""COMPUTED_VALUE"""),0.0)</f>
        <v>0</v>
      </c>
    </row>
    <row r="135" ht="15.75" customHeight="1">
      <c r="A135" s="6" t="str">
        <f>IFERROR(__xludf.DUMMYFUNCTION("""COMPUTED_VALUE"""),"749524eadbd429949b1a44242bd8fb3559f3626c")</f>
        <v>749524eadbd429949b1a44242bd8fb3559f3626c</v>
      </c>
      <c r="B135" s="6" t="str">
        <f>IFERROR(__xludf.DUMMYFUNCTION("""COMPUTED_VALUE"""),"Monarch of His Shadows")</f>
        <v>Monarch of His Shadows</v>
      </c>
      <c r="C135" s="6" t="str">
        <f>IFERROR(__xludf.DUMMYFUNCTION("""COMPUTED_VALUE"""),"Fantasy")</f>
        <v>Fantasy</v>
      </c>
      <c r="D135" s="5">
        <f>IFERROR(__xludf.DUMMYFUNCTION("""COMPUTED_VALUE"""),536.0)</f>
        <v>536</v>
      </c>
      <c r="E135" s="8">
        <f>IFERROR(__xludf.DUMMYFUNCTION("""COMPUTED_VALUE"""),0.973831775700934)</f>
        <v>0.9738317757</v>
      </c>
      <c r="F135" s="8">
        <f>IFERROR(__xludf.DUMMYFUNCTION("""COMPUTED_VALUE"""),0.650467289719626)</f>
        <v>0.6504672897</v>
      </c>
      <c r="G135" s="8">
        <f>IFERROR(__xludf.DUMMYFUNCTION("""COMPUTED_VALUE"""),0.610486891385767)</f>
        <v>0.6104868914</v>
      </c>
      <c r="H135" s="8">
        <f>IFERROR(__xludf.DUMMYFUNCTION("""COMPUTED_VALUE"""),0.555347091932457)</f>
        <v>0.5553470919</v>
      </c>
      <c r="I135" s="8">
        <f>IFERROR(__xludf.DUMMYFUNCTION("""COMPUTED_VALUE"""),0.509398496240601)</f>
        <v>0.5093984962</v>
      </c>
      <c r="J135" s="8">
        <f>IFERROR(__xludf.DUMMYFUNCTION("""COMPUTED_VALUE"""),0.486792452830188)</f>
        <v>0.4867924528</v>
      </c>
      <c r="K135" s="8">
        <f>IFERROR(__xludf.DUMMYFUNCTION("""COMPUTED_VALUE"""),0.461247637051039)</f>
        <v>0.4612476371</v>
      </c>
      <c r="L135" s="8">
        <f>IFERROR(__xludf.DUMMYFUNCTION("""COMPUTED_VALUE"""),0.431001890359168)</f>
        <v>0.4310018904</v>
      </c>
      <c r="M135" s="8">
        <f>IFERROR(__xludf.DUMMYFUNCTION("""COMPUTED_VALUE"""),0.410984848484848)</f>
        <v>0.4109848485</v>
      </c>
      <c r="N135" s="8">
        <f>IFERROR(__xludf.DUMMYFUNCTION("""COMPUTED_VALUE"""),0.399621212121212)</f>
        <v>0.3996212121</v>
      </c>
      <c r="O135" s="8">
        <f>IFERROR(__xludf.DUMMYFUNCTION("""COMPUTED_VALUE"""),0.295366795366795)</f>
        <v>0.2953667954</v>
      </c>
      <c r="P135" s="8">
        <f>IFERROR(__xludf.DUMMYFUNCTION("""COMPUTED_VALUE"""),0.163346613545816)</f>
        <v>0.1633466135</v>
      </c>
      <c r="Q135" s="8">
        <f>IFERROR(__xludf.DUMMYFUNCTION("""COMPUTED_VALUE"""),0.0)</f>
        <v>0</v>
      </c>
      <c r="R135" s="8">
        <f>IFERROR(__xludf.DUMMYFUNCTION("""COMPUTED_VALUE"""),0.0)</f>
        <v>0</v>
      </c>
      <c r="S135" s="8">
        <f>IFERROR(__xludf.DUMMYFUNCTION("""COMPUTED_VALUE"""),0.0)</f>
        <v>0</v>
      </c>
      <c r="T135" s="8">
        <f>IFERROR(__xludf.DUMMYFUNCTION("""COMPUTED_VALUE"""),0.0)</f>
        <v>0</v>
      </c>
      <c r="U135" s="8">
        <f>IFERROR(__xludf.DUMMYFUNCTION("""COMPUTED_VALUE"""),0.0)</f>
        <v>0</v>
      </c>
      <c r="V135" s="8">
        <f>IFERROR(__xludf.DUMMYFUNCTION("""COMPUTED_VALUE"""),0.0)</f>
        <v>0</v>
      </c>
      <c r="W135" s="8">
        <f>IFERROR(__xludf.DUMMYFUNCTION("""COMPUTED_VALUE"""),0.0)</f>
        <v>0</v>
      </c>
      <c r="X135" s="8">
        <f>IFERROR(__xludf.DUMMYFUNCTION("""COMPUTED_VALUE"""),0.0)</f>
        <v>0</v>
      </c>
      <c r="Y135" s="8">
        <f>IFERROR(__xludf.DUMMYFUNCTION("""COMPUTED_VALUE"""),0.0)</f>
        <v>0</v>
      </c>
      <c r="Z135" s="8">
        <f>IFERROR(__xludf.DUMMYFUNCTION("""COMPUTED_VALUE"""),0.0)</f>
        <v>0</v>
      </c>
      <c r="AA135" s="8">
        <f>IFERROR(__xludf.DUMMYFUNCTION("""COMPUTED_VALUE"""),0.0)</f>
        <v>0</v>
      </c>
      <c r="AB135" s="8">
        <f>IFERROR(__xludf.DUMMYFUNCTION("""COMPUTED_VALUE"""),0.0)</f>
        <v>0</v>
      </c>
      <c r="AC135" s="8">
        <f>IFERROR(__xludf.DUMMYFUNCTION("""COMPUTED_VALUE"""),0.0)</f>
        <v>0</v>
      </c>
    </row>
    <row r="136" ht="15.75" customHeight="1">
      <c r="A136" s="6" t="str">
        <f>IFERROR(__xludf.DUMMYFUNCTION("""COMPUTED_VALUE"""),"75537e31c1c79bdbb6ca1cd286c8e6bcb2697a51")</f>
        <v>75537e31c1c79bdbb6ca1cd286c8e6bcb2697a51</v>
      </c>
      <c r="B136" s="6" t="str">
        <f>IFERROR(__xludf.DUMMYFUNCTION("""COMPUTED_VALUE"""),"The Story of the CEO and the Heiress")</f>
        <v>The Story of the CEO and the Heiress</v>
      </c>
      <c r="C136" s="6" t="str">
        <f>IFERROR(__xludf.DUMMYFUNCTION("""COMPUTED_VALUE"""),"Romance")</f>
        <v>Romance</v>
      </c>
      <c r="D136" s="5">
        <f>IFERROR(__xludf.DUMMYFUNCTION("""COMPUTED_VALUE"""),13093.0)</f>
        <v>13093</v>
      </c>
      <c r="E136" s="8">
        <f>IFERROR(__xludf.DUMMYFUNCTION("""COMPUTED_VALUE"""),0.904084442404772)</f>
        <v>0.9040844424</v>
      </c>
      <c r="F136" s="8">
        <f>IFERROR(__xludf.DUMMYFUNCTION("""COMPUTED_VALUE"""),0.458253469293874)</f>
        <v>0.4582534693</v>
      </c>
      <c r="G136" s="8">
        <f>IFERROR(__xludf.DUMMYFUNCTION("""COMPUTED_VALUE"""),0.398094067015063)</f>
        <v>0.398094067</v>
      </c>
      <c r="H136" s="8">
        <f>IFERROR(__xludf.DUMMYFUNCTION("""COMPUTED_VALUE"""),0.368542612980214)</f>
        <v>0.368542613</v>
      </c>
      <c r="I136" s="8">
        <f>IFERROR(__xludf.DUMMYFUNCTION("""COMPUTED_VALUE"""),0.343113032736256)</f>
        <v>0.3431130327</v>
      </c>
      <c r="J136" s="8">
        <f>IFERROR(__xludf.DUMMYFUNCTION("""COMPUTED_VALUE"""),0.328668625328591)</f>
        <v>0.3286686253</v>
      </c>
      <c r="K136" s="8">
        <f>IFERROR(__xludf.DUMMYFUNCTION("""COMPUTED_VALUE"""),0.31681251452025)</f>
        <v>0.3168125145</v>
      </c>
      <c r="L136" s="8">
        <f>IFERROR(__xludf.DUMMYFUNCTION("""COMPUTED_VALUE"""),0.311228451622922)</f>
        <v>0.3112284516</v>
      </c>
      <c r="M136" s="8">
        <f>IFERROR(__xludf.DUMMYFUNCTION("""COMPUTED_VALUE"""),0.300598709276106)</f>
        <v>0.3005987093</v>
      </c>
      <c r="N136" s="8">
        <f>IFERROR(__xludf.DUMMYFUNCTION("""COMPUTED_VALUE"""),0.291053492174725)</f>
        <v>0.2910534922</v>
      </c>
      <c r="O136" s="8">
        <f>IFERROR(__xludf.DUMMYFUNCTION("""COMPUTED_VALUE"""),0.283697452480479)</f>
        <v>0.2836974525</v>
      </c>
      <c r="P136" s="8">
        <f>IFERROR(__xludf.DUMMYFUNCTION("""COMPUTED_VALUE"""),0.250796939751354)</f>
        <v>0.2507969398</v>
      </c>
      <c r="Q136" s="8">
        <f>IFERROR(__xludf.DUMMYFUNCTION("""COMPUTED_VALUE"""),0.205469447374827)</f>
        <v>0.2054694474</v>
      </c>
      <c r="R136" s="8">
        <f>IFERROR(__xludf.DUMMYFUNCTION("""COMPUTED_VALUE"""),0.171449595290654)</f>
        <v>0.1714495953</v>
      </c>
      <c r="S136" s="8">
        <f>IFERROR(__xludf.DUMMYFUNCTION("""COMPUTED_VALUE"""),0.1523534269199)</f>
        <v>0.1523534269</v>
      </c>
      <c r="T136" s="8">
        <f>IFERROR(__xludf.DUMMYFUNCTION("""COMPUTED_VALUE"""),0.111596250160523)</f>
        <v>0.1115962502</v>
      </c>
      <c r="U136" s="8">
        <f>IFERROR(__xludf.DUMMYFUNCTION("""COMPUTED_VALUE"""),0.0938351498637602)</f>
        <v>0.09383514986</v>
      </c>
      <c r="V136" s="8">
        <f>IFERROR(__xludf.DUMMYFUNCTION("""COMPUTED_VALUE"""),0.0737463126843657)</f>
        <v>0.07374631268</v>
      </c>
      <c r="W136" s="8">
        <f>IFERROR(__xludf.DUMMYFUNCTION("""COMPUTED_VALUE"""),0.0577344701583434)</f>
        <v>0.05773447016</v>
      </c>
      <c r="X136" s="8">
        <f>IFERROR(__xludf.DUMMYFUNCTION("""COMPUTED_VALUE"""),0.0)</f>
        <v>0</v>
      </c>
      <c r="Y136" s="8">
        <f>IFERROR(__xludf.DUMMYFUNCTION("""COMPUTED_VALUE"""),0.0)</f>
        <v>0</v>
      </c>
      <c r="Z136" s="8">
        <f>IFERROR(__xludf.DUMMYFUNCTION("""COMPUTED_VALUE"""),0.0)</f>
        <v>0</v>
      </c>
      <c r="AA136" s="8">
        <f>IFERROR(__xludf.DUMMYFUNCTION("""COMPUTED_VALUE"""),0.0)</f>
        <v>0</v>
      </c>
      <c r="AB136" s="8">
        <f>IFERROR(__xludf.DUMMYFUNCTION("""COMPUTED_VALUE"""),0.0)</f>
        <v>0</v>
      </c>
      <c r="AC136" s="8">
        <f>IFERROR(__xludf.DUMMYFUNCTION("""COMPUTED_VALUE"""),0.0)</f>
        <v>0</v>
      </c>
    </row>
    <row r="137" ht="15.75" customHeight="1">
      <c r="A137" s="6" t="str">
        <f>IFERROR(__xludf.DUMMYFUNCTION("""COMPUTED_VALUE"""),"767e135d338072c6a947db01691ead3f3174c6e1")</f>
        <v>767e135d338072c6a947db01691ead3f3174c6e1</v>
      </c>
      <c r="B137" s="6" t="str">
        <f>IFERROR(__xludf.DUMMYFUNCTION("""COMPUTED_VALUE"""),"The Hidden Heir Returns")</f>
        <v>The Hidden Heir Returns</v>
      </c>
      <c r="C137" s="6" t="str">
        <f>IFERROR(__xludf.DUMMYFUNCTION("""COMPUTED_VALUE"""),"Drama")</f>
        <v>Drama</v>
      </c>
      <c r="D137" s="5">
        <f>IFERROR(__xludf.DUMMYFUNCTION("""COMPUTED_VALUE"""),10683.0)</f>
        <v>10683</v>
      </c>
      <c r="E137" s="8">
        <f>IFERROR(__xludf.DUMMYFUNCTION("""COMPUTED_VALUE"""),0.812482402627874)</f>
        <v>0.8124824026</v>
      </c>
      <c r="F137" s="8">
        <f>IFERROR(__xludf.DUMMYFUNCTION("""COMPUTED_VALUE"""),0.391706810238972)</f>
        <v>0.3917068102</v>
      </c>
      <c r="G137" s="8">
        <f>IFERROR(__xludf.DUMMYFUNCTION("""COMPUTED_VALUE"""),0.355420543003607)</f>
        <v>0.355420543</v>
      </c>
      <c r="H137" s="8">
        <f>IFERROR(__xludf.DUMMYFUNCTION("""COMPUTED_VALUE"""),0.323166650731427)</f>
        <v>0.3231666507</v>
      </c>
      <c r="I137" s="8">
        <f>IFERROR(__xludf.DUMMYFUNCTION("""COMPUTED_VALUE"""),0.298768757214313)</f>
        <v>0.2987687572</v>
      </c>
      <c r="J137" s="8">
        <f>IFERROR(__xludf.DUMMYFUNCTION("""COMPUTED_VALUE"""),0.275278180938558)</f>
        <v>0.2752781809</v>
      </c>
      <c r="K137" s="8">
        <f>IFERROR(__xludf.DUMMYFUNCTION("""COMPUTED_VALUE"""),0.266855027279812)</f>
        <v>0.2668550273</v>
      </c>
      <c r="L137" s="8">
        <f>IFERROR(__xludf.DUMMYFUNCTION("""COMPUTED_VALUE"""),0.249681403783942)</f>
        <v>0.2496814038</v>
      </c>
      <c r="M137" s="8">
        <f>IFERROR(__xludf.DUMMYFUNCTION("""COMPUTED_VALUE"""),0.23923963360583)</f>
        <v>0.2392396336</v>
      </c>
      <c r="N137" s="8">
        <f>IFERROR(__xludf.DUMMYFUNCTION("""COMPUTED_VALUE"""),0.227511133102424)</f>
        <v>0.2275111331</v>
      </c>
      <c r="O137" s="8">
        <f>IFERROR(__xludf.DUMMYFUNCTION("""COMPUTED_VALUE"""),0.203730420445177)</f>
        <v>0.2037304204</v>
      </c>
      <c r="P137" s="8">
        <f>IFERROR(__xludf.DUMMYFUNCTION("""COMPUTED_VALUE"""),0.1820617231033)</f>
        <v>0.1820617231</v>
      </c>
      <c r="Q137" s="8">
        <f>IFERROR(__xludf.DUMMYFUNCTION("""COMPUTED_VALUE"""),0.1417747675353)</f>
        <v>0.1417747675</v>
      </c>
      <c r="R137" s="8">
        <f>IFERROR(__xludf.DUMMYFUNCTION("""COMPUTED_VALUE"""),0.10715587413437)</f>
        <v>0.1071558741</v>
      </c>
      <c r="S137" s="8">
        <f>IFERROR(__xludf.DUMMYFUNCTION("""COMPUTED_VALUE"""),0.0867081376158435)</f>
        <v>0.08670813762</v>
      </c>
      <c r="T137" s="8">
        <f>IFERROR(__xludf.DUMMYFUNCTION("""COMPUTED_VALUE"""),0.0714285714285714)</f>
        <v>0.07142857143</v>
      </c>
      <c r="U137" s="8">
        <f>IFERROR(__xludf.DUMMYFUNCTION("""COMPUTED_VALUE"""),0.0644375253824285)</f>
        <v>0.06443752538</v>
      </c>
      <c r="V137" s="8">
        <f>IFERROR(__xludf.DUMMYFUNCTION("""COMPUTED_VALUE"""),0.0577928500777165)</f>
        <v>0.05779285008</v>
      </c>
      <c r="W137" s="8">
        <f>IFERROR(__xludf.DUMMYFUNCTION("""COMPUTED_VALUE"""),0.0521187066292632)</f>
        <v>0.05211870663</v>
      </c>
      <c r="X137" s="8">
        <f>IFERROR(__xludf.DUMMYFUNCTION("""COMPUTED_VALUE"""),0.0523997569866342)</f>
        <v>0.05239975699</v>
      </c>
      <c r="Y137" s="8">
        <f>IFERROR(__xludf.DUMMYFUNCTION("""COMPUTED_VALUE"""),0.0435269643142902)</f>
        <v>0.04352696431</v>
      </c>
      <c r="Z137" s="8">
        <f>IFERROR(__xludf.DUMMYFUNCTION("""COMPUTED_VALUE"""),0.0408093861588165)</f>
        <v>0.04080938616</v>
      </c>
      <c r="AA137" s="8">
        <f>IFERROR(__xludf.DUMMYFUNCTION("""COMPUTED_VALUE"""),0.029968454258675)</f>
        <v>0.02996845426</v>
      </c>
      <c r="AB137" s="8">
        <f>IFERROR(__xludf.DUMMYFUNCTION("""COMPUTED_VALUE"""),0.0182264283210655)</f>
        <v>0.01822642832</v>
      </c>
      <c r="AC137" s="8">
        <f>IFERROR(__xludf.DUMMYFUNCTION("""COMPUTED_VALUE"""),2.33317778814745E-4)</f>
        <v>0.0002333177788</v>
      </c>
    </row>
    <row r="138" ht="15.75" customHeight="1">
      <c r="A138" s="6" t="str">
        <f>IFERROR(__xludf.DUMMYFUNCTION("""COMPUTED_VALUE"""),"778663539ccabc8ee781b66d2bf6ff6a7f527163")</f>
        <v>778663539ccabc8ee781b66d2bf6ff6a7f527163</v>
      </c>
      <c r="B138" s="6" t="str">
        <f>IFERROR(__xludf.DUMMYFUNCTION("""COMPUTED_VALUE"""),"The Lazuras Engine System")</f>
        <v>The Lazuras Engine System</v>
      </c>
      <c r="C138" s="6" t="str">
        <f>IFERROR(__xludf.DUMMYFUNCTION("""COMPUTED_VALUE"""),"System and Superpower")</f>
        <v>System and Superpower</v>
      </c>
      <c r="D138" s="5">
        <f>IFERROR(__xludf.DUMMYFUNCTION("""COMPUTED_VALUE"""),305.0)</f>
        <v>305</v>
      </c>
      <c r="E138" s="8">
        <f>IFERROR(__xludf.DUMMYFUNCTION("""COMPUTED_VALUE"""),0.944262295081967)</f>
        <v>0.9442622951</v>
      </c>
      <c r="F138" s="8">
        <f>IFERROR(__xludf.DUMMYFUNCTION("""COMPUTED_VALUE"""),0.567213114754098)</f>
        <v>0.5672131148</v>
      </c>
      <c r="G138" s="8">
        <f>IFERROR(__xludf.DUMMYFUNCTION("""COMPUTED_VALUE"""),0.468852459016393)</f>
        <v>0.468852459</v>
      </c>
      <c r="H138" s="8">
        <f>IFERROR(__xludf.DUMMYFUNCTION("""COMPUTED_VALUE"""),0.419672131147541)</f>
        <v>0.4196721311</v>
      </c>
      <c r="I138" s="8">
        <f>IFERROR(__xludf.DUMMYFUNCTION("""COMPUTED_VALUE"""),0.390163934426229)</f>
        <v>0.3901639344</v>
      </c>
      <c r="J138" s="8">
        <f>IFERROR(__xludf.DUMMYFUNCTION("""COMPUTED_VALUE"""),0.370491803278688)</f>
        <v>0.3704918033</v>
      </c>
      <c r="K138" s="8">
        <f>IFERROR(__xludf.DUMMYFUNCTION("""COMPUTED_VALUE"""),0.354098360655737)</f>
        <v>0.3540983607</v>
      </c>
      <c r="L138" s="8">
        <f>IFERROR(__xludf.DUMMYFUNCTION("""COMPUTED_VALUE"""),0.337704918032786)</f>
        <v>0.337704918</v>
      </c>
      <c r="M138" s="8">
        <f>IFERROR(__xludf.DUMMYFUNCTION("""COMPUTED_VALUE"""),0.321311475409836)</f>
        <v>0.3213114754</v>
      </c>
      <c r="N138" s="8">
        <f>IFERROR(__xludf.DUMMYFUNCTION("""COMPUTED_VALUE"""),0.298360655737704)</f>
        <v>0.2983606557</v>
      </c>
      <c r="O138" s="8">
        <f>IFERROR(__xludf.DUMMYFUNCTION("""COMPUTED_VALUE"""),0.234567901234567)</f>
        <v>0.2345679012</v>
      </c>
      <c r="P138" s="8">
        <f>IFERROR(__xludf.DUMMYFUNCTION("""COMPUTED_VALUE"""),0.204347826086956)</f>
        <v>0.2043478261</v>
      </c>
      <c r="Q138" s="8">
        <f>IFERROR(__xludf.DUMMYFUNCTION("""COMPUTED_VALUE"""),0.154838709677419)</f>
        <v>0.1548387097</v>
      </c>
      <c r="R138" s="8">
        <f>IFERROR(__xludf.DUMMYFUNCTION("""COMPUTED_VALUE"""),0.0416666666666666)</f>
        <v>0.04166666667</v>
      </c>
      <c r="S138" s="8">
        <f>IFERROR(__xludf.DUMMYFUNCTION("""COMPUTED_VALUE"""),0.0)</f>
        <v>0</v>
      </c>
      <c r="T138" s="8">
        <f>IFERROR(__xludf.DUMMYFUNCTION("""COMPUTED_VALUE"""),0.0)</f>
        <v>0</v>
      </c>
      <c r="U138" s="8">
        <f>IFERROR(__xludf.DUMMYFUNCTION("""COMPUTED_VALUE"""),0.0)</f>
        <v>0</v>
      </c>
      <c r="V138" s="8">
        <f>IFERROR(__xludf.DUMMYFUNCTION("""COMPUTED_VALUE"""),0.0)</f>
        <v>0</v>
      </c>
      <c r="W138" s="8">
        <f>IFERROR(__xludf.DUMMYFUNCTION("""COMPUTED_VALUE"""),0.0)</f>
        <v>0</v>
      </c>
      <c r="X138" s="8">
        <f>IFERROR(__xludf.DUMMYFUNCTION("""COMPUTED_VALUE"""),0.0)</f>
        <v>0</v>
      </c>
      <c r="Y138" s="8">
        <f>IFERROR(__xludf.DUMMYFUNCTION("""COMPUTED_VALUE"""),0.0)</f>
        <v>0</v>
      </c>
      <c r="Z138" s="8">
        <f>IFERROR(__xludf.DUMMYFUNCTION("""COMPUTED_VALUE"""),0.0)</f>
        <v>0</v>
      </c>
      <c r="AA138" s="8">
        <f>IFERROR(__xludf.DUMMYFUNCTION("""COMPUTED_VALUE"""),0.0)</f>
        <v>0</v>
      </c>
      <c r="AB138" s="8">
        <f>IFERROR(__xludf.DUMMYFUNCTION("""COMPUTED_VALUE"""),0.0)</f>
        <v>0</v>
      </c>
      <c r="AC138" s="8">
        <f>IFERROR(__xludf.DUMMYFUNCTION("""COMPUTED_VALUE"""),0.0)</f>
        <v>0</v>
      </c>
    </row>
    <row r="139" ht="15.75" customHeight="1">
      <c r="A139" s="6" t="str">
        <f>IFERROR(__xludf.DUMMYFUNCTION("""COMPUTED_VALUE"""),"7b3a625b0f5bbaa9080a6795b2d70e994716f8a5")</f>
        <v>7b3a625b0f5bbaa9080a6795b2d70e994716f8a5</v>
      </c>
      <c r="B139" s="6" t="str">
        <f>IFERROR(__xludf.DUMMYFUNCTION("""COMPUTED_VALUE"""),"Unexpectedly Yours")</f>
        <v>Unexpectedly Yours</v>
      </c>
      <c r="C139" s="6" t="str">
        <f>IFERROR(__xludf.DUMMYFUNCTION("""COMPUTED_VALUE"""),"Romance")</f>
        <v>Romance</v>
      </c>
      <c r="D139" s="5">
        <f>IFERROR(__xludf.DUMMYFUNCTION("""COMPUTED_VALUE"""),272.0)</f>
        <v>272</v>
      </c>
      <c r="E139" s="8">
        <f>IFERROR(__xludf.DUMMYFUNCTION("""COMPUTED_VALUE"""),0.930232558139534)</f>
        <v>0.9302325581</v>
      </c>
      <c r="F139" s="8">
        <f>IFERROR(__xludf.DUMMYFUNCTION("""COMPUTED_VALUE"""),0.376681614349775)</f>
        <v>0.3766816143</v>
      </c>
      <c r="G139" s="8">
        <f>IFERROR(__xludf.DUMMYFUNCTION("""COMPUTED_VALUE"""),0.34975369458128)</f>
        <v>0.3497536946</v>
      </c>
      <c r="H139" s="8">
        <f>IFERROR(__xludf.DUMMYFUNCTION("""COMPUTED_VALUE"""),0.29090909090909)</f>
        <v>0.2909090909</v>
      </c>
      <c r="I139" s="8">
        <f>IFERROR(__xludf.DUMMYFUNCTION("""COMPUTED_VALUE"""),0.254658385093167)</f>
        <v>0.2546583851</v>
      </c>
      <c r="J139" s="8">
        <f>IFERROR(__xludf.DUMMYFUNCTION("""COMPUTED_VALUE"""),0.23972602739726)</f>
        <v>0.2397260274</v>
      </c>
      <c r="K139" s="8">
        <f>IFERROR(__xludf.DUMMYFUNCTION("""COMPUTED_VALUE"""),0.236111111111111)</f>
        <v>0.2361111111</v>
      </c>
      <c r="L139" s="8">
        <f>IFERROR(__xludf.DUMMYFUNCTION("""COMPUTED_VALUE"""),0.232394366197183)</f>
        <v>0.2323943662</v>
      </c>
      <c r="M139" s="8">
        <f>IFERROR(__xludf.DUMMYFUNCTION("""COMPUTED_VALUE"""),0.211267605633802)</f>
        <v>0.2112676056</v>
      </c>
      <c r="N139" s="8">
        <f>IFERROR(__xludf.DUMMYFUNCTION("""COMPUTED_VALUE"""),0.215827338129496)</f>
        <v>0.2158273381</v>
      </c>
      <c r="O139" s="8">
        <f>IFERROR(__xludf.DUMMYFUNCTION("""COMPUTED_VALUE"""),0.102564102564102)</f>
        <v>0.1025641026</v>
      </c>
      <c r="P139" s="8">
        <f>IFERROR(__xludf.DUMMYFUNCTION("""COMPUTED_VALUE"""),0.127272727272727)</f>
        <v>0.1272727273</v>
      </c>
      <c r="Q139" s="8">
        <f>IFERROR(__xludf.DUMMYFUNCTION("""COMPUTED_VALUE"""),0.0)</f>
        <v>0</v>
      </c>
      <c r="R139" s="8">
        <f>IFERROR(__xludf.DUMMYFUNCTION("""COMPUTED_VALUE"""),0.0)</f>
        <v>0</v>
      </c>
      <c r="S139" s="8">
        <f>IFERROR(__xludf.DUMMYFUNCTION("""COMPUTED_VALUE"""),0.0)</f>
        <v>0</v>
      </c>
      <c r="T139" s="8">
        <f>IFERROR(__xludf.DUMMYFUNCTION("""COMPUTED_VALUE"""),0.0)</f>
        <v>0</v>
      </c>
      <c r="U139" s="8">
        <f>IFERROR(__xludf.DUMMYFUNCTION("""COMPUTED_VALUE"""),0.0)</f>
        <v>0</v>
      </c>
      <c r="V139" s="8">
        <f>IFERROR(__xludf.DUMMYFUNCTION("""COMPUTED_VALUE"""),0.0)</f>
        <v>0</v>
      </c>
      <c r="W139" s="8">
        <f>IFERROR(__xludf.DUMMYFUNCTION("""COMPUTED_VALUE"""),0.0)</f>
        <v>0</v>
      </c>
      <c r="X139" s="8">
        <f>IFERROR(__xludf.DUMMYFUNCTION("""COMPUTED_VALUE"""),0.0)</f>
        <v>0</v>
      </c>
      <c r="Y139" s="8">
        <f>IFERROR(__xludf.DUMMYFUNCTION("""COMPUTED_VALUE"""),0.0)</f>
        <v>0</v>
      </c>
      <c r="Z139" s="8">
        <f>IFERROR(__xludf.DUMMYFUNCTION("""COMPUTED_VALUE"""),0.0)</f>
        <v>0</v>
      </c>
      <c r="AA139" s="8">
        <f>IFERROR(__xludf.DUMMYFUNCTION("""COMPUTED_VALUE"""),0.0)</f>
        <v>0</v>
      </c>
      <c r="AB139" s="8">
        <f>IFERROR(__xludf.DUMMYFUNCTION("""COMPUTED_VALUE"""),0.0)</f>
        <v>0</v>
      </c>
      <c r="AC139" s="8">
        <f>IFERROR(__xludf.DUMMYFUNCTION("""COMPUTED_VALUE"""),0.0)</f>
        <v>0</v>
      </c>
    </row>
    <row r="140" ht="15.75" customHeight="1">
      <c r="A140" s="6" t="str">
        <f>IFERROR(__xludf.DUMMYFUNCTION("""COMPUTED_VALUE"""),"7c9e3c835e58a5ec8e21381910eaaf785ea5ddfc")</f>
        <v>7c9e3c835e58a5ec8e21381910eaaf785ea5ddfc</v>
      </c>
      <c r="B140" s="6" t="str">
        <f>IFERROR(__xludf.DUMMYFUNCTION("""COMPUTED_VALUE"""),"I Do ... Or Do I? ")</f>
        <v>I Do ... Or Do I? </v>
      </c>
      <c r="C140" s="6" t="str">
        <f>IFERROR(__xludf.DUMMYFUNCTION("""COMPUTED_VALUE"""),"Romance")</f>
        <v>Romance</v>
      </c>
      <c r="D140" s="5">
        <f>IFERROR(__xludf.DUMMYFUNCTION("""COMPUTED_VALUE"""),664.0)</f>
        <v>664</v>
      </c>
      <c r="E140" s="8">
        <f>IFERROR(__xludf.DUMMYFUNCTION("""COMPUTED_VALUE"""),0.947129909365559)</f>
        <v>0.9471299094</v>
      </c>
      <c r="F140" s="8">
        <f>IFERROR(__xludf.DUMMYFUNCTION("""COMPUTED_VALUE"""),0.577272727272727)</f>
        <v>0.5772727273</v>
      </c>
      <c r="G140" s="8">
        <f>IFERROR(__xludf.DUMMYFUNCTION("""COMPUTED_VALUE"""),0.537993920972644)</f>
        <v>0.537993921</v>
      </c>
      <c r="H140" s="8">
        <f>IFERROR(__xludf.DUMMYFUNCTION("""COMPUTED_VALUE"""),0.517884914463452)</f>
        <v>0.5178849145</v>
      </c>
      <c r="I140" s="8">
        <f>IFERROR(__xludf.DUMMYFUNCTION("""COMPUTED_VALUE"""),0.5)</f>
        <v>0.5</v>
      </c>
      <c r="J140" s="8">
        <f>IFERROR(__xludf.DUMMYFUNCTION("""COMPUTED_VALUE"""),0.486312399355877)</f>
        <v>0.4863123994</v>
      </c>
      <c r="K140" s="8">
        <f>IFERROR(__xludf.DUMMYFUNCTION("""COMPUTED_VALUE"""),0.456342668863261)</f>
        <v>0.4563426689</v>
      </c>
      <c r="L140" s="8">
        <f>IFERROR(__xludf.DUMMYFUNCTION("""COMPUTED_VALUE"""),0.423011844331641)</f>
        <v>0.4230118443</v>
      </c>
      <c r="M140" s="8">
        <f>IFERROR(__xludf.DUMMYFUNCTION("""COMPUTED_VALUE"""),0.39543057996485)</f>
        <v>0.39543058</v>
      </c>
      <c r="N140" s="8">
        <f>IFERROR(__xludf.DUMMYFUNCTION("""COMPUTED_VALUE"""),0.380228136882129)</f>
        <v>0.3802281369</v>
      </c>
      <c r="O140" s="8">
        <f>IFERROR(__xludf.DUMMYFUNCTION("""COMPUTED_VALUE"""),0.347533632286995)</f>
        <v>0.3475336323</v>
      </c>
      <c r="P140" s="8">
        <f>IFERROR(__xludf.DUMMYFUNCTION("""COMPUTED_VALUE"""),0.216101694915254)</f>
        <v>0.2161016949</v>
      </c>
      <c r="Q140" s="8">
        <f>IFERROR(__xludf.DUMMYFUNCTION("""COMPUTED_VALUE"""),0.132075471698113)</f>
        <v>0.1320754717</v>
      </c>
      <c r="R140" s="8">
        <f>IFERROR(__xludf.DUMMYFUNCTION("""COMPUTED_VALUE"""),0.0)</f>
        <v>0</v>
      </c>
      <c r="S140" s="8">
        <f>IFERROR(__xludf.DUMMYFUNCTION("""COMPUTED_VALUE"""),0.0)</f>
        <v>0</v>
      </c>
      <c r="T140" s="8">
        <f>IFERROR(__xludf.DUMMYFUNCTION("""COMPUTED_VALUE"""),0.0)</f>
        <v>0</v>
      </c>
      <c r="U140" s="8">
        <f>IFERROR(__xludf.DUMMYFUNCTION("""COMPUTED_VALUE"""),0.0)</f>
        <v>0</v>
      </c>
      <c r="V140" s="8">
        <f>IFERROR(__xludf.DUMMYFUNCTION("""COMPUTED_VALUE"""),0.0)</f>
        <v>0</v>
      </c>
      <c r="W140" s="8">
        <f>IFERROR(__xludf.DUMMYFUNCTION("""COMPUTED_VALUE"""),0.0)</f>
        <v>0</v>
      </c>
      <c r="X140" s="8">
        <f>IFERROR(__xludf.DUMMYFUNCTION("""COMPUTED_VALUE"""),0.0)</f>
        <v>0</v>
      </c>
      <c r="Y140" s="8">
        <f>IFERROR(__xludf.DUMMYFUNCTION("""COMPUTED_VALUE"""),0.0)</f>
        <v>0</v>
      </c>
      <c r="Z140" s="8">
        <f>IFERROR(__xludf.DUMMYFUNCTION("""COMPUTED_VALUE"""),0.0)</f>
        <v>0</v>
      </c>
      <c r="AA140" s="8">
        <f>IFERROR(__xludf.DUMMYFUNCTION("""COMPUTED_VALUE"""),0.0)</f>
        <v>0</v>
      </c>
      <c r="AB140" s="8">
        <f>IFERROR(__xludf.DUMMYFUNCTION("""COMPUTED_VALUE"""),0.0)</f>
        <v>0</v>
      </c>
      <c r="AC140" s="8">
        <f>IFERROR(__xludf.DUMMYFUNCTION("""COMPUTED_VALUE"""),0.0)</f>
        <v>0</v>
      </c>
    </row>
    <row r="141" ht="15.75" customHeight="1">
      <c r="A141" s="6" t="str">
        <f>IFERROR(__xludf.DUMMYFUNCTION("""COMPUTED_VALUE"""),"7d18c26c9a61af0d543d74280e7328e01a907988")</f>
        <v>7d18c26c9a61af0d543d74280e7328e01a907988</v>
      </c>
      <c r="B141" s="6" t="str">
        <f>IFERROR(__xludf.DUMMYFUNCTION("""COMPUTED_VALUE"""),"Empire of Love and War")</f>
        <v>Empire of Love and War</v>
      </c>
      <c r="C141" s="6" t="str">
        <f>IFERROR(__xludf.DUMMYFUNCTION("""COMPUTED_VALUE"""),"Romance")</f>
        <v>Romance</v>
      </c>
      <c r="D141" s="5">
        <f>IFERROR(__xludf.DUMMYFUNCTION("""COMPUTED_VALUE"""),5230.0)</f>
        <v>5230</v>
      </c>
      <c r="E141" s="8">
        <f>IFERROR(__xludf.DUMMYFUNCTION("""COMPUTED_VALUE"""),0.976628352490421)</f>
        <v>0.9766283525</v>
      </c>
      <c r="F141" s="8">
        <f>IFERROR(__xludf.DUMMYFUNCTION("""COMPUTED_VALUE"""),0.545314900153609)</f>
        <v>0.5453149002</v>
      </c>
      <c r="G141" s="8">
        <f>IFERROR(__xludf.DUMMYFUNCTION("""COMPUTED_VALUE"""),0.488264717198922)</f>
        <v>0.4882647172</v>
      </c>
      <c r="H141" s="8">
        <f>IFERROR(__xludf.DUMMYFUNCTION("""COMPUTED_VALUE"""),0.434891808346213)</f>
        <v>0.4348918083</v>
      </c>
      <c r="I141" s="8">
        <f>IFERROR(__xludf.DUMMYFUNCTION("""COMPUTED_VALUE"""),0.399417475728155)</f>
        <v>0.3994174757</v>
      </c>
      <c r="J141" s="8">
        <f>IFERROR(__xludf.DUMMYFUNCTION("""COMPUTED_VALUE"""),0.368462138953942)</f>
        <v>0.368462139</v>
      </c>
      <c r="K141" s="8">
        <f>IFERROR(__xludf.DUMMYFUNCTION("""COMPUTED_VALUE"""),0.343676355066771)</f>
        <v>0.3436763551</v>
      </c>
      <c r="L141" s="8">
        <f>IFERROR(__xludf.DUMMYFUNCTION("""COMPUTED_VALUE"""),0.321371610845295)</f>
        <v>0.3213716108</v>
      </c>
      <c r="M141" s="8">
        <f>IFERROR(__xludf.DUMMYFUNCTION("""COMPUTED_VALUE"""),0.3048903199839)</f>
        <v>0.30489032</v>
      </c>
      <c r="N141" s="8">
        <f>IFERROR(__xludf.DUMMYFUNCTION("""COMPUTED_VALUE"""),0.284665579119086)</f>
        <v>0.2846655791</v>
      </c>
      <c r="O141" s="8">
        <f>IFERROR(__xludf.DUMMYFUNCTION("""COMPUTED_VALUE"""),0.197210300429184)</f>
        <v>0.1972103004</v>
      </c>
      <c r="P141" s="8">
        <f>IFERROR(__xludf.DUMMYFUNCTION("""COMPUTED_VALUE"""),0.132743362831858)</f>
        <v>0.1327433628</v>
      </c>
      <c r="Q141" s="8">
        <f>IFERROR(__xludf.DUMMYFUNCTION("""COMPUTED_VALUE"""),0.0880733944954128)</f>
        <v>0.0880733945</v>
      </c>
      <c r="R141" s="8">
        <f>IFERROR(__xludf.DUMMYFUNCTION("""COMPUTED_VALUE"""),0.0)</f>
        <v>0</v>
      </c>
      <c r="S141" s="8">
        <f>IFERROR(__xludf.DUMMYFUNCTION("""COMPUTED_VALUE"""),0.0)</f>
        <v>0</v>
      </c>
      <c r="T141" s="8">
        <f>IFERROR(__xludf.DUMMYFUNCTION("""COMPUTED_VALUE"""),0.0)</f>
        <v>0</v>
      </c>
      <c r="U141" s="8">
        <f>IFERROR(__xludf.DUMMYFUNCTION("""COMPUTED_VALUE"""),0.0)</f>
        <v>0</v>
      </c>
      <c r="V141" s="8">
        <f>IFERROR(__xludf.DUMMYFUNCTION("""COMPUTED_VALUE"""),0.0)</f>
        <v>0</v>
      </c>
      <c r="W141" s="8">
        <f>IFERROR(__xludf.DUMMYFUNCTION("""COMPUTED_VALUE"""),0.0)</f>
        <v>0</v>
      </c>
      <c r="X141" s="8">
        <f>IFERROR(__xludf.DUMMYFUNCTION("""COMPUTED_VALUE"""),0.0)</f>
        <v>0</v>
      </c>
      <c r="Y141" s="8">
        <f>IFERROR(__xludf.DUMMYFUNCTION("""COMPUTED_VALUE"""),0.0)</f>
        <v>0</v>
      </c>
      <c r="Z141" s="8">
        <f>IFERROR(__xludf.DUMMYFUNCTION("""COMPUTED_VALUE"""),0.0)</f>
        <v>0</v>
      </c>
      <c r="AA141" s="8">
        <f>IFERROR(__xludf.DUMMYFUNCTION("""COMPUTED_VALUE"""),0.0)</f>
        <v>0</v>
      </c>
      <c r="AB141" s="8">
        <f>IFERROR(__xludf.DUMMYFUNCTION("""COMPUTED_VALUE"""),0.0)</f>
        <v>0</v>
      </c>
      <c r="AC141" s="8">
        <f>IFERROR(__xludf.DUMMYFUNCTION("""COMPUTED_VALUE"""),0.0)</f>
        <v>0</v>
      </c>
    </row>
    <row r="142" ht="15.75" customHeight="1">
      <c r="A142" s="6" t="str">
        <f>IFERROR(__xludf.DUMMYFUNCTION("""COMPUTED_VALUE"""),"7dcd0d4c632448440b17285c811990532a31efec")</f>
        <v>7dcd0d4c632448440b17285c811990532a31efec</v>
      </c>
      <c r="B142" s="6" t="str">
        <f>IFERROR(__xludf.DUMMYFUNCTION("""COMPUTED_VALUE"""),"The Scentless Luna")</f>
        <v>The Scentless Luna</v>
      </c>
      <c r="C142" s="6" t="str">
        <f>IFERROR(__xludf.DUMMYFUNCTION("""COMPUTED_VALUE"""),"Romantasy")</f>
        <v>Romantasy</v>
      </c>
      <c r="D142" s="5">
        <f>IFERROR(__xludf.DUMMYFUNCTION("""COMPUTED_VALUE"""),931.0)</f>
        <v>931</v>
      </c>
      <c r="E142" s="8">
        <f>IFERROR(__xludf.DUMMYFUNCTION("""COMPUTED_VALUE"""),0.980327868852459)</f>
        <v>0.9803278689</v>
      </c>
      <c r="F142" s="8">
        <f>IFERROR(__xludf.DUMMYFUNCTION("""COMPUTED_VALUE"""),0.598862019914651)</f>
        <v>0.5988620199</v>
      </c>
      <c r="G142" s="8">
        <f>IFERROR(__xludf.DUMMYFUNCTION("""COMPUTED_VALUE"""),0.554607508532423)</f>
        <v>0.5546075085</v>
      </c>
      <c r="H142" s="8">
        <f>IFERROR(__xludf.DUMMYFUNCTION("""COMPUTED_VALUE"""),0.49063670411985)</f>
        <v>0.4906367041</v>
      </c>
      <c r="I142" s="8">
        <f>IFERROR(__xludf.DUMMYFUNCTION("""COMPUTED_VALUE"""),0.46067415730337)</f>
        <v>0.4606741573</v>
      </c>
      <c r="J142" s="8">
        <f>IFERROR(__xludf.DUMMYFUNCTION("""COMPUTED_VALUE"""),0.437148217636022)</f>
        <v>0.4371482176</v>
      </c>
      <c r="K142" s="8">
        <f>IFERROR(__xludf.DUMMYFUNCTION("""COMPUTED_VALUE"""),0.414634146341463)</f>
        <v>0.4146341463</v>
      </c>
      <c r="L142" s="8">
        <f>IFERROR(__xludf.DUMMYFUNCTION("""COMPUTED_VALUE"""),0.381578947368421)</f>
        <v>0.3815789474</v>
      </c>
      <c r="M142" s="8">
        <f>IFERROR(__xludf.DUMMYFUNCTION("""COMPUTED_VALUE"""),0.355263157894736)</f>
        <v>0.3552631579</v>
      </c>
      <c r="N142" s="8">
        <f>IFERROR(__xludf.DUMMYFUNCTION("""COMPUTED_VALUE"""),0.335216572504708)</f>
        <v>0.3352165725</v>
      </c>
      <c r="O142" s="8">
        <f>IFERROR(__xludf.DUMMYFUNCTION("""COMPUTED_VALUE"""),0.218503937007874)</f>
        <v>0.218503937</v>
      </c>
      <c r="P142" s="8">
        <f>IFERROR(__xludf.DUMMYFUNCTION("""COMPUTED_VALUE"""),0.130784708249496)</f>
        <v>0.1307847082</v>
      </c>
      <c r="Q142" s="8">
        <f>IFERROR(__xludf.DUMMYFUNCTION("""COMPUTED_VALUE"""),0.0836501901140684)</f>
        <v>0.08365019011</v>
      </c>
      <c r="R142" s="8">
        <f>IFERROR(__xludf.DUMMYFUNCTION("""COMPUTED_VALUE"""),0.125)</f>
        <v>0.125</v>
      </c>
      <c r="S142" s="8">
        <f>IFERROR(__xludf.DUMMYFUNCTION("""COMPUTED_VALUE"""),0.0)</f>
        <v>0</v>
      </c>
      <c r="T142" s="8">
        <f>IFERROR(__xludf.DUMMYFUNCTION("""COMPUTED_VALUE"""),0.0)</f>
        <v>0</v>
      </c>
      <c r="U142" s="8">
        <f>IFERROR(__xludf.DUMMYFUNCTION("""COMPUTED_VALUE"""),0.0)</f>
        <v>0</v>
      </c>
      <c r="V142" s="8">
        <f>IFERROR(__xludf.DUMMYFUNCTION("""COMPUTED_VALUE"""),0.0)</f>
        <v>0</v>
      </c>
      <c r="W142" s="8">
        <f>IFERROR(__xludf.DUMMYFUNCTION("""COMPUTED_VALUE"""),0.0)</f>
        <v>0</v>
      </c>
      <c r="X142" s="8">
        <f>IFERROR(__xludf.DUMMYFUNCTION("""COMPUTED_VALUE"""),0.0)</f>
        <v>0</v>
      </c>
      <c r="Y142" s="8">
        <f>IFERROR(__xludf.DUMMYFUNCTION("""COMPUTED_VALUE"""),0.0)</f>
        <v>0</v>
      </c>
      <c r="Z142" s="8">
        <f>IFERROR(__xludf.DUMMYFUNCTION("""COMPUTED_VALUE"""),0.0)</f>
        <v>0</v>
      </c>
      <c r="AA142" s="8">
        <f>IFERROR(__xludf.DUMMYFUNCTION("""COMPUTED_VALUE"""),0.0)</f>
        <v>0</v>
      </c>
      <c r="AB142" s="8">
        <f>IFERROR(__xludf.DUMMYFUNCTION("""COMPUTED_VALUE"""),0.0)</f>
        <v>0</v>
      </c>
      <c r="AC142" s="8">
        <f>IFERROR(__xludf.DUMMYFUNCTION("""COMPUTED_VALUE"""),0.0)</f>
        <v>0</v>
      </c>
    </row>
    <row r="143" ht="15.75" customHeight="1">
      <c r="A143" s="6" t="str">
        <f>IFERROR(__xludf.DUMMYFUNCTION("""COMPUTED_VALUE"""),"7fb3b080b1ad8976195f7a18e1df497bc23037fa")</f>
        <v>7fb3b080b1ad8976195f7a18e1df497bc23037fa</v>
      </c>
      <c r="B143" s="6" t="str">
        <f>IFERROR(__xludf.DUMMYFUNCTION("""COMPUTED_VALUE"""),"The Ghostwalker")</f>
        <v>The Ghostwalker</v>
      </c>
      <c r="C143" s="6" t="str">
        <f>IFERROR(__xludf.DUMMYFUNCTION("""COMPUTED_VALUE"""),"Suspense or Thriller")</f>
        <v>Suspense or Thriller</v>
      </c>
      <c r="D143" s="5">
        <f>IFERROR(__xludf.DUMMYFUNCTION("""COMPUTED_VALUE"""),1886.0)</f>
        <v>1886</v>
      </c>
      <c r="E143" s="8">
        <f>IFERROR(__xludf.DUMMYFUNCTION("""COMPUTED_VALUE"""),0.981363152289669)</f>
        <v>0.9813631523</v>
      </c>
      <c r="F143" s="8">
        <f>IFERROR(__xludf.DUMMYFUNCTION("""COMPUTED_VALUE"""),0.436256051640667)</f>
        <v>0.4362560516</v>
      </c>
      <c r="G143" s="8">
        <f>IFERROR(__xludf.DUMMYFUNCTION("""COMPUTED_VALUE"""),0.342347214710654)</f>
        <v>0.3423472147</v>
      </c>
      <c r="H143" s="8">
        <f>IFERROR(__xludf.DUMMYFUNCTION("""COMPUTED_VALUE"""),0.298045602605863)</f>
        <v>0.2980456026</v>
      </c>
      <c r="I143" s="8">
        <f>IFERROR(__xludf.DUMMYFUNCTION("""COMPUTED_VALUE"""),0.266120218579234)</f>
        <v>0.2661202186</v>
      </c>
      <c r="J143" s="8">
        <f>IFERROR(__xludf.DUMMYFUNCTION("""COMPUTED_VALUE"""),0.239714755896873)</f>
        <v>0.2397147559</v>
      </c>
      <c r="K143" s="8">
        <f>IFERROR(__xludf.DUMMYFUNCTION("""COMPUTED_VALUE"""),0.217079889807162)</f>
        <v>0.2170798898</v>
      </c>
      <c r="L143" s="8">
        <f>IFERROR(__xludf.DUMMYFUNCTION("""COMPUTED_VALUE"""),0.202334630350194)</f>
        <v>0.2023346304</v>
      </c>
      <c r="M143" s="8">
        <f>IFERROR(__xludf.DUMMYFUNCTION("""COMPUTED_VALUE"""),0.187255449972051)</f>
        <v>0.18725545</v>
      </c>
      <c r="N143" s="8">
        <f>IFERROR(__xludf.DUMMYFUNCTION("""COMPUTED_VALUE"""),0.176770538243626)</f>
        <v>0.1767705382</v>
      </c>
      <c r="O143" s="8">
        <f>IFERROR(__xludf.DUMMYFUNCTION("""COMPUTED_VALUE"""),0.133885438233264)</f>
        <v>0.1338854382</v>
      </c>
      <c r="P143" s="8">
        <f>IFERROR(__xludf.DUMMYFUNCTION("""COMPUTED_VALUE"""),0.0987654320987654)</f>
        <v>0.0987654321</v>
      </c>
      <c r="Q143" s="8">
        <f>IFERROR(__xludf.DUMMYFUNCTION("""COMPUTED_VALUE"""),0.0)</f>
        <v>0</v>
      </c>
      <c r="R143" s="8">
        <f>IFERROR(__xludf.DUMMYFUNCTION("""COMPUTED_VALUE"""),0.0)</f>
        <v>0</v>
      </c>
      <c r="S143" s="8">
        <f>IFERROR(__xludf.DUMMYFUNCTION("""COMPUTED_VALUE"""),0.0)</f>
        <v>0</v>
      </c>
      <c r="T143" s="8">
        <f>IFERROR(__xludf.DUMMYFUNCTION("""COMPUTED_VALUE"""),0.0)</f>
        <v>0</v>
      </c>
      <c r="U143" s="8">
        <f>IFERROR(__xludf.DUMMYFUNCTION("""COMPUTED_VALUE"""),0.0)</f>
        <v>0</v>
      </c>
      <c r="V143" s="8">
        <f>IFERROR(__xludf.DUMMYFUNCTION("""COMPUTED_VALUE"""),0.0)</f>
        <v>0</v>
      </c>
      <c r="W143" s="8">
        <f>IFERROR(__xludf.DUMMYFUNCTION("""COMPUTED_VALUE"""),0.0)</f>
        <v>0</v>
      </c>
      <c r="X143" s="8">
        <f>IFERROR(__xludf.DUMMYFUNCTION("""COMPUTED_VALUE"""),0.0)</f>
        <v>0</v>
      </c>
      <c r="Y143" s="8">
        <f>IFERROR(__xludf.DUMMYFUNCTION("""COMPUTED_VALUE"""),0.0)</f>
        <v>0</v>
      </c>
      <c r="Z143" s="8">
        <f>IFERROR(__xludf.DUMMYFUNCTION("""COMPUTED_VALUE"""),0.0)</f>
        <v>0</v>
      </c>
      <c r="AA143" s="8">
        <f>IFERROR(__xludf.DUMMYFUNCTION("""COMPUTED_VALUE"""),0.0)</f>
        <v>0</v>
      </c>
      <c r="AB143" s="8">
        <f>IFERROR(__xludf.DUMMYFUNCTION("""COMPUTED_VALUE"""),0.0)</f>
        <v>0</v>
      </c>
      <c r="AC143" s="8">
        <f>IFERROR(__xludf.DUMMYFUNCTION("""COMPUTED_VALUE"""),0.0)</f>
        <v>0</v>
      </c>
    </row>
    <row r="144" ht="15.75" customHeight="1">
      <c r="A144" s="6" t="str">
        <f>IFERROR(__xludf.DUMMYFUNCTION("""COMPUTED_VALUE"""),"7fd747e6520471a8653824ad1a2ba2ad33b91835")</f>
        <v>7fd747e6520471a8653824ad1a2ba2ad33b91835</v>
      </c>
      <c r="B144" s="6" t="str">
        <f>IFERROR(__xludf.DUMMYFUNCTION("""COMPUTED_VALUE"""),"Evolution Online")</f>
        <v>Evolution Online</v>
      </c>
      <c r="C144" s="6" t="str">
        <f>IFERROR(__xludf.DUMMYFUNCTION("""COMPUTED_VALUE"""),"Fantasy")</f>
        <v>Fantasy</v>
      </c>
      <c r="D144" s="5">
        <f>IFERROR(__xludf.DUMMYFUNCTION("""COMPUTED_VALUE"""),309.0)</f>
        <v>309</v>
      </c>
      <c r="E144" s="8">
        <f>IFERROR(__xludf.DUMMYFUNCTION("""COMPUTED_VALUE"""),0.967637540453074)</f>
        <v>0.9676375405</v>
      </c>
      <c r="F144" s="8">
        <f>IFERROR(__xludf.DUMMYFUNCTION("""COMPUTED_VALUE"""),0.651465798045602)</f>
        <v>0.651465798</v>
      </c>
      <c r="G144" s="8">
        <f>IFERROR(__xludf.DUMMYFUNCTION("""COMPUTED_VALUE"""),0.472312703583061)</f>
        <v>0.4723127036</v>
      </c>
      <c r="H144" s="8">
        <f>IFERROR(__xludf.DUMMYFUNCTION("""COMPUTED_VALUE"""),0.454248366013071)</f>
        <v>0.454248366</v>
      </c>
      <c r="I144" s="8">
        <f>IFERROR(__xludf.DUMMYFUNCTION("""COMPUTED_VALUE"""),0.429508196721311)</f>
        <v>0.4295081967</v>
      </c>
      <c r="J144" s="8">
        <f>IFERROR(__xludf.DUMMYFUNCTION("""COMPUTED_VALUE"""),0.40327868852459)</f>
        <v>0.4032786885</v>
      </c>
      <c r="K144" s="8">
        <f>IFERROR(__xludf.DUMMYFUNCTION("""COMPUTED_VALUE"""),0.363934426229508)</f>
        <v>0.3639344262</v>
      </c>
      <c r="L144" s="8">
        <f>IFERROR(__xludf.DUMMYFUNCTION("""COMPUTED_VALUE"""),0.344262295081967)</f>
        <v>0.3442622951</v>
      </c>
      <c r="M144" s="8">
        <f>IFERROR(__xludf.DUMMYFUNCTION("""COMPUTED_VALUE"""),0.322368421052631)</f>
        <v>0.3223684211</v>
      </c>
      <c r="N144" s="8">
        <f>IFERROR(__xludf.DUMMYFUNCTION("""COMPUTED_VALUE"""),0.299342105263157)</f>
        <v>0.2993421053</v>
      </c>
      <c r="O144" s="8">
        <f>IFERROR(__xludf.DUMMYFUNCTION("""COMPUTED_VALUE"""),0.228260869565217)</f>
        <v>0.2282608696</v>
      </c>
      <c r="P144" s="8">
        <f>IFERROR(__xludf.DUMMYFUNCTION("""COMPUTED_VALUE"""),0.202952029520295)</f>
        <v>0.2029520295</v>
      </c>
      <c r="Q144" s="8">
        <f>IFERROR(__xludf.DUMMYFUNCTION("""COMPUTED_VALUE"""),0.161434977578475)</f>
        <v>0.1614349776</v>
      </c>
      <c r="R144" s="8">
        <f>IFERROR(__xludf.DUMMYFUNCTION("""COMPUTED_VALUE"""),0.0)</f>
        <v>0</v>
      </c>
      <c r="S144" s="8">
        <f>IFERROR(__xludf.DUMMYFUNCTION("""COMPUTED_VALUE"""),0.0)</f>
        <v>0</v>
      </c>
      <c r="T144" s="8">
        <f>IFERROR(__xludf.DUMMYFUNCTION("""COMPUTED_VALUE"""),0.0)</f>
        <v>0</v>
      </c>
      <c r="U144" s="8">
        <f>IFERROR(__xludf.DUMMYFUNCTION("""COMPUTED_VALUE"""),0.0)</f>
        <v>0</v>
      </c>
      <c r="V144" s="8">
        <f>IFERROR(__xludf.DUMMYFUNCTION("""COMPUTED_VALUE"""),0.0)</f>
        <v>0</v>
      </c>
      <c r="W144" s="8">
        <f>IFERROR(__xludf.DUMMYFUNCTION("""COMPUTED_VALUE"""),0.0)</f>
        <v>0</v>
      </c>
      <c r="X144" s="8">
        <f>IFERROR(__xludf.DUMMYFUNCTION("""COMPUTED_VALUE"""),0.0)</f>
        <v>0</v>
      </c>
      <c r="Y144" s="8">
        <f>IFERROR(__xludf.DUMMYFUNCTION("""COMPUTED_VALUE"""),0.0)</f>
        <v>0</v>
      </c>
      <c r="Z144" s="8">
        <f>IFERROR(__xludf.DUMMYFUNCTION("""COMPUTED_VALUE"""),0.0)</f>
        <v>0</v>
      </c>
      <c r="AA144" s="8">
        <f>IFERROR(__xludf.DUMMYFUNCTION("""COMPUTED_VALUE"""),0.0)</f>
        <v>0</v>
      </c>
      <c r="AB144" s="8">
        <f>IFERROR(__xludf.DUMMYFUNCTION("""COMPUTED_VALUE"""),0.0)</f>
        <v>0</v>
      </c>
      <c r="AC144" s="8">
        <f>IFERROR(__xludf.DUMMYFUNCTION("""COMPUTED_VALUE"""),0.0)</f>
        <v>0</v>
      </c>
    </row>
    <row r="145" ht="15.75" customHeight="1">
      <c r="A145" s="6" t="str">
        <f>IFERROR(__xludf.DUMMYFUNCTION("""COMPUTED_VALUE"""),"80e6be6f7d165552c60a2fc7cbf39746d2ab2466")</f>
        <v>80e6be6f7d165552c60a2fc7cbf39746d2ab2466</v>
      </c>
      <c r="B145" s="6" t="str">
        <f>IFERROR(__xludf.DUMMYFUNCTION("""COMPUTED_VALUE"""),"Marked by Him: True Mate")</f>
        <v>Marked by Him: True Mate</v>
      </c>
      <c r="C145" s="6" t="str">
        <f>IFERROR(__xludf.DUMMYFUNCTION("""COMPUTED_VALUE"""),"Romantasy")</f>
        <v>Romantasy</v>
      </c>
      <c r="D145" s="5">
        <f>IFERROR(__xludf.DUMMYFUNCTION("""COMPUTED_VALUE"""),1590.0)</f>
        <v>1590</v>
      </c>
      <c r="E145" s="8">
        <f>IFERROR(__xludf.DUMMYFUNCTION("""COMPUTED_VALUE"""),0.961635220125786)</f>
        <v>0.9616352201</v>
      </c>
      <c r="F145" s="8">
        <f>IFERROR(__xludf.DUMMYFUNCTION("""COMPUTED_VALUE"""),0.595342983008181)</f>
        <v>0.595342983</v>
      </c>
      <c r="G145" s="8">
        <f>IFERROR(__xludf.DUMMYFUNCTION("""COMPUTED_VALUE"""),0.535264483627204)</f>
        <v>0.5352644836</v>
      </c>
      <c r="H145" s="8">
        <f>IFERROR(__xludf.DUMMYFUNCTION("""COMPUTED_VALUE"""),0.506926952141058)</f>
        <v>0.5069269521</v>
      </c>
      <c r="I145" s="8">
        <f>IFERROR(__xludf.DUMMYFUNCTION("""COMPUTED_VALUE"""),0.486742424242424)</f>
        <v>0.4867424242</v>
      </c>
      <c r="J145" s="8">
        <f>IFERROR(__xludf.DUMMYFUNCTION("""COMPUTED_VALUE"""),0.460709759188846)</f>
        <v>0.4607097592</v>
      </c>
      <c r="K145" s="8">
        <f>IFERROR(__xludf.DUMMYFUNCTION("""COMPUTED_VALUE"""),0.447588424437299)</f>
        <v>0.4475884244</v>
      </c>
      <c r="L145" s="8">
        <f>IFERROR(__xludf.DUMMYFUNCTION("""COMPUTED_VALUE"""),0.439104674127715)</f>
        <v>0.4391046741</v>
      </c>
      <c r="M145" s="8">
        <f>IFERROR(__xludf.DUMMYFUNCTION("""COMPUTED_VALUE"""),0.429435483870967)</f>
        <v>0.4294354839</v>
      </c>
      <c r="N145" s="8">
        <f>IFERROR(__xludf.DUMMYFUNCTION("""COMPUTED_VALUE"""),0.422145328719723)</f>
        <v>0.4221453287</v>
      </c>
      <c r="O145" s="8">
        <f>IFERROR(__xludf.DUMMYFUNCTION("""COMPUTED_VALUE"""),0.40764331210191)</f>
        <v>0.4076433121</v>
      </c>
      <c r="P145" s="8">
        <f>IFERROR(__xludf.DUMMYFUNCTION("""COMPUTED_VALUE"""),0.340366972477064)</f>
        <v>0.3403669725</v>
      </c>
      <c r="Q145" s="8">
        <f>IFERROR(__xludf.DUMMYFUNCTION("""COMPUTED_VALUE"""),0.204951856946354)</f>
        <v>0.2049518569</v>
      </c>
      <c r="R145" s="8">
        <f>IFERROR(__xludf.DUMMYFUNCTION("""COMPUTED_VALUE"""),0.0697674418604651)</f>
        <v>0.06976744186</v>
      </c>
      <c r="S145" s="8">
        <f>IFERROR(__xludf.DUMMYFUNCTION("""COMPUTED_VALUE"""),0.0)</f>
        <v>0</v>
      </c>
      <c r="T145" s="8">
        <f>IFERROR(__xludf.DUMMYFUNCTION("""COMPUTED_VALUE"""),0.0)</f>
        <v>0</v>
      </c>
      <c r="U145" s="8">
        <f>IFERROR(__xludf.DUMMYFUNCTION("""COMPUTED_VALUE"""),0.0)</f>
        <v>0</v>
      </c>
      <c r="V145" s="8">
        <f>IFERROR(__xludf.DUMMYFUNCTION("""COMPUTED_VALUE"""),0.0)</f>
        <v>0</v>
      </c>
      <c r="W145" s="8">
        <f>IFERROR(__xludf.DUMMYFUNCTION("""COMPUTED_VALUE"""),0.0)</f>
        <v>0</v>
      </c>
      <c r="X145" s="8">
        <f>IFERROR(__xludf.DUMMYFUNCTION("""COMPUTED_VALUE"""),0.0)</f>
        <v>0</v>
      </c>
      <c r="Y145" s="8">
        <f>IFERROR(__xludf.DUMMYFUNCTION("""COMPUTED_VALUE"""),0.0)</f>
        <v>0</v>
      </c>
      <c r="Z145" s="8">
        <f>IFERROR(__xludf.DUMMYFUNCTION("""COMPUTED_VALUE"""),0.0)</f>
        <v>0</v>
      </c>
      <c r="AA145" s="8">
        <f>IFERROR(__xludf.DUMMYFUNCTION("""COMPUTED_VALUE"""),0.0)</f>
        <v>0</v>
      </c>
      <c r="AB145" s="8">
        <f>IFERROR(__xludf.DUMMYFUNCTION("""COMPUTED_VALUE"""),0.0)</f>
        <v>0</v>
      </c>
      <c r="AC145" s="8">
        <f>IFERROR(__xludf.DUMMYFUNCTION("""COMPUTED_VALUE"""),0.0)</f>
        <v>0</v>
      </c>
    </row>
    <row r="146" ht="15.75" customHeight="1">
      <c r="A146" s="6" t="str">
        <f>IFERROR(__xludf.DUMMYFUNCTION("""COMPUTED_VALUE"""),"820e3a2951adfcd3997c3ea5696cb62bc975f0a0")</f>
        <v>820e3a2951adfcd3997c3ea5696cb62bc975f0a0</v>
      </c>
      <c r="B146" s="6" t="str">
        <f>IFERROR(__xludf.DUMMYFUNCTION("""COMPUTED_VALUE"""),"The Return of Master ")</f>
        <v>The Return of Master </v>
      </c>
      <c r="C146" s="6" t="str">
        <f>IFERROR(__xludf.DUMMYFUNCTION("""COMPUTED_VALUE"""),"Fantasy")</f>
        <v>Fantasy</v>
      </c>
      <c r="D146" s="5">
        <f>IFERROR(__xludf.DUMMYFUNCTION("""COMPUTED_VALUE"""),166.0)</f>
        <v>166</v>
      </c>
      <c r="E146" s="8">
        <f>IFERROR(__xludf.DUMMYFUNCTION("""COMPUTED_VALUE"""),0.963855421686747)</f>
        <v>0.9638554217</v>
      </c>
      <c r="F146" s="8">
        <f>IFERROR(__xludf.DUMMYFUNCTION("""COMPUTED_VALUE"""),0.686746987951807)</f>
        <v>0.686746988</v>
      </c>
      <c r="G146" s="8">
        <f>IFERROR(__xludf.DUMMYFUNCTION("""COMPUTED_VALUE"""),0.626506024096385)</f>
        <v>0.6265060241</v>
      </c>
      <c r="H146" s="8">
        <f>IFERROR(__xludf.DUMMYFUNCTION("""COMPUTED_VALUE"""),0.542168674698795)</f>
        <v>0.5421686747</v>
      </c>
      <c r="I146" s="8">
        <f>IFERROR(__xludf.DUMMYFUNCTION("""COMPUTED_VALUE"""),0.5)</f>
        <v>0.5</v>
      </c>
      <c r="J146" s="8">
        <f>IFERROR(__xludf.DUMMYFUNCTION("""COMPUTED_VALUE"""),0.44578313253012)</f>
        <v>0.4457831325</v>
      </c>
      <c r="K146" s="8">
        <f>IFERROR(__xludf.DUMMYFUNCTION("""COMPUTED_VALUE"""),0.39156626506024)</f>
        <v>0.3915662651</v>
      </c>
      <c r="L146" s="8">
        <f>IFERROR(__xludf.DUMMYFUNCTION("""COMPUTED_VALUE"""),0.349397590361445)</f>
        <v>0.3493975904</v>
      </c>
      <c r="M146" s="8">
        <f>IFERROR(__xludf.DUMMYFUNCTION("""COMPUTED_VALUE"""),0.331325301204819)</f>
        <v>0.3313253012</v>
      </c>
      <c r="N146" s="8">
        <f>IFERROR(__xludf.DUMMYFUNCTION("""COMPUTED_VALUE"""),0.331325301204819)</f>
        <v>0.3313253012</v>
      </c>
      <c r="O146" s="8">
        <f>IFERROR(__xludf.DUMMYFUNCTION("""COMPUTED_VALUE"""),0.233128834355828)</f>
        <v>0.2331288344</v>
      </c>
      <c r="P146" s="8">
        <f>IFERROR(__xludf.DUMMYFUNCTION("""COMPUTED_VALUE"""),0.167701863354037)</f>
        <v>0.1677018634</v>
      </c>
      <c r="Q146" s="8">
        <f>IFERROR(__xludf.DUMMYFUNCTION("""COMPUTED_VALUE"""),0.0526315789473684)</f>
        <v>0.05263157895</v>
      </c>
      <c r="R146" s="8">
        <f>IFERROR(__xludf.DUMMYFUNCTION("""COMPUTED_VALUE"""),0.0)</f>
        <v>0</v>
      </c>
      <c r="S146" s="8">
        <f>IFERROR(__xludf.DUMMYFUNCTION("""COMPUTED_VALUE"""),0.0)</f>
        <v>0</v>
      </c>
      <c r="T146" s="8">
        <f>IFERROR(__xludf.DUMMYFUNCTION("""COMPUTED_VALUE"""),0.0)</f>
        <v>0</v>
      </c>
      <c r="U146" s="8">
        <f>IFERROR(__xludf.DUMMYFUNCTION("""COMPUTED_VALUE"""),0.0)</f>
        <v>0</v>
      </c>
      <c r="V146" s="8">
        <f>IFERROR(__xludf.DUMMYFUNCTION("""COMPUTED_VALUE"""),0.0)</f>
        <v>0</v>
      </c>
      <c r="W146" s="8">
        <f>IFERROR(__xludf.DUMMYFUNCTION("""COMPUTED_VALUE"""),0.0)</f>
        <v>0</v>
      </c>
      <c r="X146" s="8">
        <f>IFERROR(__xludf.DUMMYFUNCTION("""COMPUTED_VALUE"""),0.0)</f>
        <v>0</v>
      </c>
      <c r="Y146" s="8">
        <f>IFERROR(__xludf.DUMMYFUNCTION("""COMPUTED_VALUE"""),0.0)</f>
        <v>0</v>
      </c>
      <c r="Z146" s="8">
        <f>IFERROR(__xludf.DUMMYFUNCTION("""COMPUTED_VALUE"""),0.0)</f>
        <v>0</v>
      </c>
      <c r="AA146" s="8">
        <f>IFERROR(__xludf.DUMMYFUNCTION("""COMPUTED_VALUE"""),0.0)</f>
        <v>0</v>
      </c>
      <c r="AB146" s="8">
        <f>IFERROR(__xludf.DUMMYFUNCTION("""COMPUTED_VALUE"""),0.0)</f>
        <v>0</v>
      </c>
      <c r="AC146" s="8">
        <f>IFERROR(__xludf.DUMMYFUNCTION("""COMPUTED_VALUE"""),0.0)</f>
        <v>0</v>
      </c>
    </row>
    <row r="147" ht="15.75" customHeight="1">
      <c r="A147" s="6" t="str">
        <f>IFERROR(__xludf.DUMMYFUNCTION("""COMPUTED_VALUE"""),"82ff8ba01d1e1fbcea7c734b687b1a9ff858733d")</f>
        <v>82ff8ba01d1e1fbcea7c734b687b1a9ff858733d</v>
      </c>
      <c r="B147" s="6" t="str">
        <f>IFERROR(__xludf.DUMMYFUNCTION("""COMPUTED_VALUE"""),"Twin Realms Traveler")</f>
        <v>Twin Realms Traveler</v>
      </c>
      <c r="C147" s="6" t="str">
        <f>IFERROR(__xludf.DUMMYFUNCTION("""COMPUTED_VALUE"""),"System and Superpower")</f>
        <v>System and Superpower</v>
      </c>
      <c r="D147" s="5">
        <f>IFERROR(__xludf.DUMMYFUNCTION("""COMPUTED_VALUE"""),67.0)</f>
        <v>67</v>
      </c>
      <c r="E147" s="8">
        <f>IFERROR(__xludf.DUMMYFUNCTION("""COMPUTED_VALUE"""),1.0)</f>
        <v>1</v>
      </c>
      <c r="F147" s="8">
        <f>IFERROR(__xludf.DUMMYFUNCTION("""COMPUTED_VALUE"""),0.313432835820895)</f>
        <v>0.3134328358</v>
      </c>
      <c r="G147" s="8">
        <f>IFERROR(__xludf.DUMMYFUNCTION("""COMPUTED_VALUE"""),0.253731343283582)</f>
        <v>0.2537313433</v>
      </c>
      <c r="H147" s="8">
        <f>IFERROR(__xludf.DUMMYFUNCTION("""COMPUTED_VALUE"""),0.257575757575757)</f>
        <v>0.2575757576</v>
      </c>
      <c r="I147" s="8">
        <f>IFERROR(__xludf.DUMMYFUNCTION("""COMPUTED_VALUE"""),0.212121212121212)</f>
        <v>0.2121212121</v>
      </c>
      <c r="J147" s="8">
        <f>IFERROR(__xludf.DUMMYFUNCTION("""COMPUTED_VALUE"""),0.2)</f>
        <v>0.2</v>
      </c>
      <c r="K147" s="8">
        <f>IFERROR(__xludf.DUMMYFUNCTION("""COMPUTED_VALUE"""),0.184615384615384)</f>
        <v>0.1846153846</v>
      </c>
      <c r="L147" s="8">
        <f>IFERROR(__xludf.DUMMYFUNCTION("""COMPUTED_VALUE"""),0.2)</f>
        <v>0.2</v>
      </c>
      <c r="M147" s="8">
        <f>IFERROR(__xludf.DUMMYFUNCTION("""COMPUTED_VALUE"""),0.2)</f>
        <v>0.2</v>
      </c>
      <c r="N147" s="8">
        <f>IFERROR(__xludf.DUMMYFUNCTION("""COMPUTED_VALUE"""),0.184615384615384)</f>
        <v>0.1846153846</v>
      </c>
      <c r="O147" s="8">
        <f>IFERROR(__xludf.DUMMYFUNCTION("""COMPUTED_VALUE"""),0.140625)</f>
        <v>0.140625</v>
      </c>
      <c r="P147" s="8">
        <f>IFERROR(__xludf.DUMMYFUNCTION("""COMPUTED_VALUE"""),0.129032258064516)</f>
        <v>0.1290322581</v>
      </c>
      <c r="Q147" s="8">
        <f>IFERROR(__xludf.DUMMYFUNCTION("""COMPUTED_VALUE"""),0.120689655172413)</f>
        <v>0.1206896552</v>
      </c>
      <c r="R147" s="8">
        <f>IFERROR(__xludf.DUMMYFUNCTION("""COMPUTED_VALUE"""),0.117647058823529)</f>
        <v>0.1176470588</v>
      </c>
      <c r="S147" s="8">
        <f>IFERROR(__xludf.DUMMYFUNCTION("""COMPUTED_VALUE"""),0.1)</f>
        <v>0.1</v>
      </c>
      <c r="T147" s="8">
        <f>IFERROR(__xludf.DUMMYFUNCTION("""COMPUTED_VALUE"""),0.153846153846153)</f>
        <v>0.1538461538</v>
      </c>
      <c r="U147" s="8">
        <f>IFERROR(__xludf.DUMMYFUNCTION("""COMPUTED_VALUE"""),0.25)</f>
        <v>0.25</v>
      </c>
      <c r="V147" s="8">
        <f>IFERROR(__xludf.DUMMYFUNCTION("""COMPUTED_VALUE"""),0.0)</f>
        <v>0</v>
      </c>
      <c r="W147" s="8">
        <f>IFERROR(__xludf.DUMMYFUNCTION("""COMPUTED_VALUE"""),0.0)</f>
        <v>0</v>
      </c>
      <c r="X147" s="8">
        <f>IFERROR(__xludf.DUMMYFUNCTION("""COMPUTED_VALUE"""),0.0)</f>
        <v>0</v>
      </c>
      <c r="Y147" s="8">
        <f>IFERROR(__xludf.DUMMYFUNCTION("""COMPUTED_VALUE"""),0.0)</f>
        <v>0</v>
      </c>
      <c r="Z147" s="8">
        <f>IFERROR(__xludf.DUMMYFUNCTION("""COMPUTED_VALUE"""),0.0)</f>
        <v>0</v>
      </c>
      <c r="AA147" s="8">
        <f>IFERROR(__xludf.DUMMYFUNCTION("""COMPUTED_VALUE"""),0.0)</f>
        <v>0</v>
      </c>
      <c r="AB147" s="8">
        <f>IFERROR(__xludf.DUMMYFUNCTION("""COMPUTED_VALUE"""),0.0)</f>
        <v>0</v>
      </c>
      <c r="AC147" s="8">
        <f>IFERROR(__xludf.DUMMYFUNCTION("""COMPUTED_VALUE"""),0.0)</f>
        <v>0</v>
      </c>
    </row>
    <row r="148" ht="15.75" customHeight="1">
      <c r="A148" s="6" t="str">
        <f>IFERROR(__xludf.DUMMYFUNCTION("""COMPUTED_VALUE"""),"84289ce4a2b527c3aa47651760eaff877da6adad")</f>
        <v>84289ce4a2b527c3aa47651760eaff877da6adad</v>
      </c>
      <c r="B148" s="6" t="str">
        <f>IFERROR(__xludf.DUMMYFUNCTION("""COMPUTED_VALUE"""),"Contracted by Love")</f>
        <v>Contracted by Love</v>
      </c>
      <c r="C148" s="6" t="str">
        <f>IFERROR(__xludf.DUMMYFUNCTION("""COMPUTED_VALUE"""),"Romance")</f>
        <v>Romance</v>
      </c>
      <c r="D148" s="5">
        <f>IFERROR(__xludf.DUMMYFUNCTION("""COMPUTED_VALUE"""),847.0)</f>
        <v>847</v>
      </c>
      <c r="E148" s="8">
        <f>IFERROR(__xludf.DUMMYFUNCTION("""COMPUTED_VALUE"""),0.981109799291617)</f>
        <v>0.9811097993</v>
      </c>
      <c r="F148" s="8">
        <f>IFERROR(__xludf.DUMMYFUNCTION("""COMPUTED_VALUE"""),0.533727810650887)</f>
        <v>0.5337278107</v>
      </c>
      <c r="G148" s="8">
        <f>IFERROR(__xludf.DUMMYFUNCTION("""COMPUTED_VALUE"""),0.494075829383886)</f>
        <v>0.4940758294</v>
      </c>
      <c r="H148" s="8">
        <f>IFERROR(__xludf.DUMMYFUNCTION("""COMPUTED_VALUE"""),0.451421800947867)</f>
        <v>0.4514218009</v>
      </c>
      <c r="I148" s="8">
        <f>IFERROR(__xludf.DUMMYFUNCTION("""COMPUTED_VALUE"""),0.414691943127962)</f>
        <v>0.4146919431</v>
      </c>
      <c r="J148" s="8">
        <f>IFERROR(__xludf.DUMMYFUNCTION("""COMPUTED_VALUE"""),0.382422802850356)</f>
        <v>0.3824228029</v>
      </c>
      <c r="K148" s="8">
        <f>IFERROR(__xludf.DUMMYFUNCTION("""COMPUTED_VALUE"""),0.353151010701545)</f>
        <v>0.3531510107</v>
      </c>
      <c r="L148" s="8">
        <f>IFERROR(__xludf.DUMMYFUNCTION("""COMPUTED_VALUE"""),0.326579261025029)</f>
        <v>0.326579261</v>
      </c>
      <c r="M148" s="8">
        <f>IFERROR(__xludf.DUMMYFUNCTION("""COMPUTED_VALUE"""),0.294776119402985)</f>
        <v>0.2947761194</v>
      </c>
      <c r="N148" s="8">
        <f>IFERROR(__xludf.DUMMYFUNCTION("""COMPUTED_VALUE"""),0.289002557544757)</f>
        <v>0.2890025575</v>
      </c>
      <c r="O148" s="8">
        <f>IFERROR(__xludf.DUMMYFUNCTION("""COMPUTED_VALUE"""),0.243186582809224)</f>
        <v>0.2431865828</v>
      </c>
      <c r="P148" s="8">
        <f>IFERROR(__xludf.DUMMYFUNCTION("""COMPUTED_VALUE"""),0.202380952380952)</f>
        <v>0.2023809524</v>
      </c>
      <c r="Q148" s="8">
        <f>IFERROR(__xludf.DUMMYFUNCTION("""COMPUTED_VALUE"""),0.0)</f>
        <v>0</v>
      </c>
      <c r="R148" s="8">
        <f>IFERROR(__xludf.DUMMYFUNCTION("""COMPUTED_VALUE"""),0.0)</f>
        <v>0</v>
      </c>
      <c r="S148" s="8">
        <f>IFERROR(__xludf.DUMMYFUNCTION("""COMPUTED_VALUE"""),0.0)</f>
        <v>0</v>
      </c>
      <c r="T148" s="8">
        <f>IFERROR(__xludf.DUMMYFUNCTION("""COMPUTED_VALUE"""),0.0)</f>
        <v>0</v>
      </c>
      <c r="U148" s="8">
        <f>IFERROR(__xludf.DUMMYFUNCTION("""COMPUTED_VALUE"""),0.0)</f>
        <v>0</v>
      </c>
      <c r="V148" s="8">
        <f>IFERROR(__xludf.DUMMYFUNCTION("""COMPUTED_VALUE"""),0.0)</f>
        <v>0</v>
      </c>
      <c r="W148" s="8">
        <f>IFERROR(__xludf.DUMMYFUNCTION("""COMPUTED_VALUE"""),0.0)</f>
        <v>0</v>
      </c>
      <c r="X148" s="8">
        <f>IFERROR(__xludf.DUMMYFUNCTION("""COMPUTED_VALUE"""),0.0)</f>
        <v>0</v>
      </c>
      <c r="Y148" s="8">
        <f>IFERROR(__xludf.DUMMYFUNCTION("""COMPUTED_VALUE"""),0.0)</f>
        <v>0</v>
      </c>
      <c r="Z148" s="8">
        <f>IFERROR(__xludf.DUMMYFUNCTION("""COMPUTED_VALUE"""),0.0)</f>
        <v>0</v>
      </c>
      <c r="AA148" s="8">
        <f>IFERROR(__xludf.DUMMYFUNCTION("""COMPUTED_VALUE"""),0.0)</f>
        <v>0</v>
      </c>
      <c r="AB148" s="8">
        <f>IFERROR(__xludf.DUMMYFUNCTION("""COMPUTED_VALUE"""),0.0)</f>
        <v>0</v>
      </c>
      <c r="AC148" s="8">
        <f>IFERROR(__xludf.DUMMYFUNCTION("""COMPUTED_VALUE"""),0.0)</f>
        <v>0</v>
      </c>
    </row>
    <row r="149" ht="15.75" customHeight="1">
      <c r="A149" s="6" t="str">
        <f>IFERROR(__xludf.DUMMYFUNCTION("""COMPUTED_VALUE"""),"87b65acb9b6fcd4bc45f30d46f017fa847a0ce3c")</f>
        <v>87b65acb9b6fcd4bc45f30d46f017fa847a0ce3c</v>
      </c>
      <c r="B149" s="6" t="str">
        <f>IFERROR(__xludf.DUMMYFUNCTION("""COMPUTED_VALUE"""),"The Wife's Sweet Revenge")</f>
        <v>The Wife's Sweet Revenge</v>
      </c>
      <c r="C149" s="6" t="str">
        <f>IFERROR(__xludf.DUMMYFUNCTION("""COMPUTED_VALUE"""),"Romance")</f>
        <v>Romance</v>
      </c>
      <c r="D149" s="5">
        <f>IFERROR(__xludf.DUMMYFUNCTION("""COMPUTED_VALUE"""),235.0)</f>
        <v>235</v>
      </c>
      <c r="E149" s="8">
        <f>IFERROR(__xludf.DUMMYFUNCTION("""COMPUTED_VALUE"""),0.982456140350877)</f>
        <v>0.9824561404</v>
      </c>
      <c r="F149" s="8">
        <f>IFERROR(__xludf.DUMMYFUNCTION("""COMPUTED_VALUE"""),0.5177304964539)</f>
        <v>0.5177304965</v>
      </c>
      <c r="G149" s="8">
        <f>IFERROR(__xludf.DUMMYFUNCTION("""COMPUTED_VALUE"""),0.411214953271028)</f>
        <v>0.4112149533</v>
      </c>
      <c r="H149" s="8">
        <f>IFERROR(__xludf.DUMMYFUNCTION("""COMPUTED_VALUE"""),0.372340425531914)</f>
        <v>0.3723404255</v>
      </c>
      <c r="I149" s="8">
        <f>IFERROR(__xludf.DUMMYFUNCTION("""COMPUTED_VALUE"""),0.311688311688311)</f>
        <v>0.3116883117</v>
      </c>
      <c r="J149" s="8">
        <f>IFERROR(__xludf.DUMMYFUNCTION("""COMPUTED_VALUE"""),0.338709677419354)</f>
        <v>0.3387096774</v>
      </c>
      <c r="K149" s="8">
        <f>IFERROR(__xludf.DUMMYFUNCTION("""COMPUTED_VALUE"""),0.272727272727272)</f>
        <v>0.2727272727</v>
      </c>
      <c r="L149" s="8">
        <f>IFERROR(__xludf.DUMMYFUNCTION("""COMPUTED_VALUE"""),0.333333333333333)</f>
        <v>0.3333333333</v>
      </c>
      <c r="M149" s="8">
        <f>IFERROR(__xludf.DUMMYFUNCTION("""COMPUTED_VALUE"""),0.5)</f>
        <v>0.5</v>
      </c>
      <c r="N149" s="8">
        <f>IFERROR(__xludf.DUMMYFUNCTION("""COMPUTED_VALUE"""),0.5)</f>
        <v>0.5</v>
      </c>
      <c r="O149" s="8">
        <f>IFERROR(__xludf.DUMMYFUNCTION("""COMPUTED_VALUE"""),0.0)</f>
        <v>0</v>
      </c>
      <c r="P149" s="8">
        <f>IFERROR(__xludf.DUMMYFUNCTION("""COMPUTED_VALUE"""),0.0)</f>
        <v>0</v>
      </c>
      <c r="Q149" s="8">
        <f>IFERROR(__xludf.DUMMYFUNCTION("""COMPUTED_VALUE"""),0.0)</f>
        <v>0</v>
      </c>
      <c r="R149" s="8">
        <f>IFERROR(__xludf.DUMMYFUNCTION("""COMPUTED_VALUE"""),0.0)</f>
        <v>0</v>
      </c>
      <c r="S149" s="8">
        <f>IFERROR(__xludf.DUMMYFUNCTION("""COMPUTED_VALUE"""),0.0)</f>
        <v>0</v>
      </c>
      <c r="T149" s="8">
        <f>IFERROR(__xludf.DUMMYFUNCTION("""COMPUTED_VALUE"""),0.0)</f>
        <v>0</v>
      </c>
      <c r="U149" s="8">
        <f>IFERROR(__xludf.DUMMYFUNCTION("""COMPUTED_VALUE"""),0.0)</f>
        <v>0</v>
      </c>
      <c r="V149" s="8">
        <f>IFERROR(__xludf.DUMMYFUNCTION("""COMPUTED_VALUE"""),0.0)</f>
        <v>0</v>
      </c>
      <c r="W149" s="8">
        <f>IFERROR(__xludf.DUMMYFUNCTION("""COMPUTED_VALUE"""),0.0)</f>
        <v>0</v>
      </c>
      <c r="X149" s="8">
        <f>IFERROR(__xludf.DUMMYFUNCTION("""COMPUTED_VALUE"""),0.0)</f>
        <v>0</v>
      </c>
      <c r="Y149" s="8">
        <f>IFERROR(__xludf.DUMMYFUNCTION("""COMPUTED_VALUE"""),0.0)</f>
        <v>0</v>
      </c>
      <c r="Z149" s="8">
        <f>IFERROR(__xludf.DUMMYFUNCTION("""COMPUTED_VALUE"""),0.0)</f>
        <v>0</v>
      </c>
      <c r="AA149" s="8">
        <f>IFERROR(__xludf.DUMMYFUNCTION("""COMPUTED_VALUE"""),0.0)</f>
        <v>0</v>
      </c>
      <c r="AB149" s="8">
        <f>IFERROR(__xludf.DUMMYFUNCTION("""COMPUTED_VALUE"""),0.0)</f>
        <v>0</v>
      </c>
      <c r="AC149" s="8">
        <f>IFERROR(__xludf.DUMMYFUNCTION("""COMPUTED_VALUE"""),0.0)</f>
        <v>0</v>
      </c>
    </row>
    <row r="150" ht="15.75" customHeight="1">
      <c r="A150" s="6" t="str">
        <f>IFERROR(__xludf.DUMMYFUNCTION("""COMPUTED_VALUE"""),"8824fc43e4267c5a0e2b7acff644eae4b8b2222d")</f>
        <v>8824fc43e4267c5a0e2b7acff644eae4b8b2222d</v>
      </c>
      <c r="B150" s="6" t="str">
        <f>IFERROR(__xludf.DUMMYFUNCTION("""COMPUTED_VALUE"""),"Was It Only Lust?")</f>
        <v>Was It Only Lust?</v>
      </c>
      <c r="C150" s="6" t="str">
        <f>IFERROR(__xludf.DUMMYFUNCTION("""COMPUTED_VALUE"""),"Romance")</f>
        <v>Romance</v>
      </c>
      <c r="D150" s="5">
        <f>IFERROR(__xludf.DUMMYFUNCTION("""COMPUTED_VALUE"""),984.0)</f>
        <v>984</v>
      </c>
      <c r="E150" s="8">
        <f>IFERROR(__xludf.DUMMYFUNCTION("""COMPUTED_VALUE"""),0.968495934959349)</f>
        <v>0.968495935</v>
      </c>
      <c r="F150" s="8">
        <f>IFERROR(__xludf.DUMMYFUNCTION("""COMPUTED_VALUE"""),0.558943089430894)</f>
        <v>0.5589430894</v>
      </c>
      <c r="G150" s="8">
        <f>IFERROR(__xludf.DUMMYFUNCTION("""COMPUTED_VALUE"""),0.489837398373983)</f>
        <v>0.4898373984</v>
      </c>
      <c r="H150" s="8">
        <f>IFERROR(__xludf.DUMMYFUNCTION("""COMPUTED_VALUE"""),0.448626653102746)</f>
        <v>0.4486266531</v>
      </c>
      <c r="I150" s="8">
        <f>IFERROR(__xludf.DUMMYFUNCTION("""COMPUTED_VALUE"""),0.423901940755873)</f>
        <v>0.4239019408</v>
      </c>
      <c r="J150" s="8">
        <f>IFERROR(__xludf.DUMMYFUNCTION("""COMPUTED_VALUE"""),0.423901940755873)</f>
        <v>0.4239019408</v>
      </c>
      <c r="K150" s="8">
        <f>IFERROR(__xludf.DUMMYFUNCTION("""COMPUTED_VALUE"""),0.396728016359918)</f>
        <v>0.3967280164</v>
      </c>
      <c r="L150" s="8">
        <f>IFERROR(__xludf.DUMMYFUNCTION("""COMPUTED_VALUE"""),0.357883817427385)</f>
        <v>0.3578838174</v>
      </c>
      <c r="M150" s="8">
        <f>IFERROR(__xludf.DUMMYFUNCTION("""COMPUTED_VALUE"""),0.337526205450733)</f>
        <v>0.3375262055</v>
      </c>
      <c r="N150" s="8">
        <f>IFERROR(__xludf.DUMMYFUNCTION("""COMPUTED_VALUE"""),0.316508937960042)</f>
        <v>0.316508938</v>
      </c>
      <c r="O150" s="8">
        <f>IFERROR(__xludf.DUMMYFUNCTION("""COMPUTED_VALUE"""),0.208067940552017)</f>
        <v>0.2080679406</v>
      </c>
      <c r="P150" s="8">
        <f>IFERROR(__xludf.DUMMYFUNCTION("""COMPUTED_VALUE"""),0.128605769230769)</f>
        <v>0.1286057692</v>
      </c>
      <c r="Q150" s="8">
        <f>IFERROR(__xludf.DUMMYFUNCTION("""COMPUTED_VALUE"""),0.121863799283154)</f>
        <v>0.1218637993</v>
      </c>
      <c r="R150" s="8">
        <f>IFERROR(__xludf.DUMMYFUNCTION("""COMPUTED_VALUE"""),0.0)</f>
        <v>0</v>
      </c>
      <c r="S150" s="8">
        <f>IFERROR(__xludf.DUMMYFUNCTION("""COMPUTED_VALUE"""),0.0)</f>
        <v>0</v>
      </c>
      <c r="T150" s="8">
        <f>IFERROR(__xludf.DUMMYFUNCTION("""COMPUTED_VALUE"""),0.0)</f>
        <v>0</v>
      </c>
      <c r="U150" s="8">
        <f>IFERROR(__xludf.DUMMYFUNCTION("""COMPUTED_VALUE"""),0.0)</f>
        <v>0</v>
      </c>
      <c r="V150" s="8">
        <f>IFERROR(__xludf.DUMMYFUNCTION("""COMPUTED_VALUE"""),0.0)</f>
        <v>0</v>
      </c>
      <c r="W150" s="8">
        <f>IFERROR(__xludf.DUMMYFUNCTION("""COMPUTED_VALUE"""),0.0)</f>
        <v>0</v>
      </c>
      <c r="X150" s="8">
        <f>IFERROR(__xludf.DUMMYFUNCTION("""COMPUTED_VALUE"""),0.0)</f>
        <v>0</v>
      </c>
      <c r="Y150" s="8">
        <f>IFERROR(__xludf.DUMMYFUNCTION("""COMPUTED_VALUE"""),0.0)</f>
        <v>0</v>
      </c>
      <c r="Z150" s="8">
        <f>IFERROR(__xludf.DUMMYFUNCTION("""COMPUTED_VALUE"""),0.0)</f>
        <v>0</v>
      </c>
      <c r="AA150" s="8">
        <f>IFERROR(__xludf.DUMMYFUNCTION("""COMPUTED_VALUE"""),0.0)</f>
        <v>0</v>
      </c>
      <c r="AB150" s="8">
        <f>IFERROR(__xludf.DUMMYFUNCTION("""COMPUTED_VALUE"""),0.0)</f>
        <v>0</v>
      </c>
      <c r="AC150" s="8">
        <f>IFERROR(__xludf.DUMMYFUNCTION("""COMPUTED_VALUE"""),0.0)</f>
        <v>0</v>
      </c>
    </row>
    <row r="151" ht="15.75" customHeight="1">
      <c r="A151" s="6" t="str">
        <f>IFERROR(__xludf.DUMMYFUNCTION("""COMPUTED_VALUE"""),"8aab13cef66595bf85428c05007cefe16b733ba5")</f>
        <v>8aab13cef66595bf85428c05007cefe16b733ba5</v>
      </c>
      <c r="B151" s="6" t="str">
        <f>IFERROR(__xludf.DUMMYFUNCTION("""COMPUTED_VALUE"""),"Reborn Heartbeat")</f>
        <v>Reborn Heartbeat</v>
      </c>
      <c r="C151" s="6" t="str">
        <f>IFERROR(__xludf.DUMMYFUNCTION("""COMPUTED_VALUE"""),"Romance")</f>
        <v>Romance</v>
      </c>
      <c r="D151" s="5">
        <f>IFERROR(__xludf.DUMMYFUNCTION("""COMPUTED_VALUE"""),3010.0)</f>
        <v>3010</v>
      </c>
      <c r="E151" s="8">
        <f>IFERROR(__xludf.DUMMYFUNCTION("""COMPUTED_VALUE"""),0.922565636424061)</f>
        <v>0.9225656364</v>
      </c>
      <c r="F151" s="8">
        <f>IFERROR(__xludf.DUMMYFUNCTION("""COMPUTED_VALUE"""),0.540765391014975)</f>
        <v>0.540765391</v>
      </c>
      <c r="G151" s="8">
        <f>IFERROR(__xludf.DUMMYFUNCTION("""COMPUTED_VALUE"""),0.493333333333333)</f>
        <v>0.4933333333</v>
      </c>
      <c r="H151" s="8">
        <f>IFERROR(__xludf.DUMMYFUNCTION("""COMPUTED_VALUE"""),0.467801134467801)</f>
        <v>0.4678011345</v>
      </c>
      <c r="I151" s="8">
        <f>IFERROR(__xludf.DUMMYFUNCTION("""COMPUTED_VALUE"""),0.453573814295257)</f>
        <v>0.4535738143</v>
      </c>
      <c r="J151" s="8">
        <f>IFERROR(__xludf.DUMMYFUNCTION("""COMPUTED_VALUE"""),0.429145728643216)</f>
        <v>0.4291457286</v>
      </c>
      <c r="K151" s="8">
        <f>IFERROR(__xludf.DUMMYFUNCTION("""COMPUTED_VALUE"""),0.424588511924756)</f>
        <v>0.4245885119</v>
      </c>
      <c r="L151" s="8">
        <f>IFERROR(__xludf.DUMMYFUNCTION("""COMPUTED_VALUE"""),0.416638598854833)</f>
        <v>0.4166385989</v>
      </c>
      <c r="M151" s="8">
        <f>IFERROR(__xludf.DUMMYFUNCTION("""COMPUTED_VALUE"""),0.40080971659919)</f>
        <v>0.4008097166</v>
      </c>
      <c r="N151" s="8">
        <f>IFERROR(__xludf.DUMMYFUNCTION("""COMPUTED_VALUE"""),0.399256254225828)</f>
        <v>0.3992562542</v>
      </c>
      <c r="O151" s="8">
        <f>IFERROR(__xludf.DUMMYFUNCTION("""COMPUTED_VALUE"""),0.385377519644687)</f>
        <v>0.3853775196</v>
      </c>
      <c r="P151" s="8">
        <f>IFERROR(__xludf.DUMMYFUNCTION("""COMPUTED_VALUE"""),0.248112560054907)</f>
        <v>0.2481125601</v>
      </c>
      <c r="Q151" s="8">
        <f>IFERROR(__xludf.DUMMYFUNCTION("""COMPUTED_VALUE"""),0.187025534851621)</f>
        <v>0.1870255349</v>
      </c>
      <c r="R151" s="8">
        <f>IFERROR(__xludf.DUMMYFUNCTION("""COMPUTED_VALUE"""),0.0)</f>
        <v>0</v>
      </c>
      <c r="S151" s="8">
        <f>IFERROR(__xludf.DUMMYFUNCTION("""COMPUTED_VALUE"""),0.0)</f>
        <v>0</v>
      </c>
      <c r="T151" s="8">
        <f>IFERROR(__xludf.DUMMYFUNCTION("""COMPUTED_VALUE"""),0.0)</f>
        <v>0</v>
      </c>
      <c r="U151" s="8">
        <f>IFERROR(__xludf.DUMMYFUNCTION("""COMPUTED_VALUE"""),0.0)</f>
        <v>0</v>
      </c>
      <c r="V151" s="8">
        <f>IFERROR(__xludf.DUMMYFUNCTION("""COMPUTED_VALUE"""),0.0)</f>
        <v>0</v>
      </c>
      <c r="W151" s="8">
        <f>IFERROR(__xludf.DUMMYFUNCTION("""COMPUTED_VALUE"""),0.0)</f>
        <v>0</v>
      </c>
      <c r="X151" s="8">
        <f>IFERROR(__xludf.DUMMYFUNCTION("""COMPUTED_VALUE"""),0.0)</f>
        <v>0</v>
      </c>
      <c r="Y151" s="8">
        <f>IFERROR(__xludf.DUMMYFUNCTION("""COMPUTED_VALUE"""),0.0)</f>
        <v>0</v>
      </c>
      <c r="Z151" s="8">
        <f>IFERROR(__xludf.DUMMYFUNCTION("""COMPUTED_VALUE"""),0.0)</f>
        <v>0</v>
      </c>
      <c r="AA151" s="8">
        <f>IFERROR(__xludf.DUMMYFUNCTION("""COMPUTED_VALUE"""),0.0)</f>
        <v>0</v>
      </c>
      <c r="AB151" s="8">
        <f>IFERROR(__xludf.DUMMYFUNCTION("""COMPUTED_VALUE"""),0.0)</f>
        <v>0</v>
      </c>
      <c r="AC151" s="8">
        <f>IFERROR(__xludf.DUMMYFUNCTION("""COMPUTED_VALUE"""),0.0)</f>
        <v>0</v>
      </c>
    </row>
    <row r="152" ht="15.75" customHeight="1">
      <c r="A152" s="6" t="str">
        <f>IFERROR(__xludf.DUMMYFUNCTION("""COMPUTED_VALUE"""),"8b0fd7aa03d26e2de1586a0fe7c91505431575cc")</f>
        <v>8b0fd7aa03d26e2de1586a0fe7c91505431575cc</v>
      </c>
      <c r="B152" s="6" t="str">
        <f>IFERROR(__xludf.DUMMYFUNCTION("""COMPUTED_VALUE"""),"The Midnight Luna")</f>
        <v>The Midnight Luna</v>
      </c>
      <c r="C152" s="6" t="str">
        <f>IFERROR(__xludf.DUMMYFUNCTION("""COMPUTED_VALUE"""),"Romantasy")</f>
        <v>Romantasy</v>
      </c>
      <c r="D152" s="5">
        <f>IFERROR(__xludf.DUMMYFUNCTION("""COMPUTED_VALUE"""),1385.0)</f>
        <v>1385</v>
      </c>
      <c r="E152" s="8">
        <f>IFERROR(__xludf.DUMMYFUNCTION("""COMPUTED_VALUE"""),0.967367657722987)</f>
        <v>0.9673676577</v>
      </c>
      <c r="F152" s="8">
        <f>IFERROR(__xludf.DUMMYFUNCTION("""COMPUTED_VALUE"""),0.609934258582907)</f>
        <v>0.6099342586</v>
      </c>
      <c r="G152" s="8">
        <f>IFERROR(__xludf.DUMMYFUNCTION("""COMPUTED_VALUE"""),0.550735294117647)</f>
        <v>0.5507352941</v>
      </c>
      <c r="H152" s="8">
        <f>IFERROR(__xludf.DUMMYFUNCTION("""COMPUTED_VALUE"""),0.511094674556213)</f>
        <v>0.5110946746</v>
      </c>
      <c r="I152" s="8">
        <f>IFERROR(__xludf.DUMMYFUNCTION("""COMPUTED_VALUE"""),0.484758364312267)</f>
        <v>0.4847583643</v>
      </c>
      <c r="J152" s="8">
        <f>IFERROR(__xludf.DUMMYFUNCTION("""COMPUTED_VALUE"""),0.465722801788375)</f>
        <v>0.4657228018</v>
      </c>
      <c r="K152" s="8">
        <f>IFERROR(__xludf.DUMMYFUNCTION("""COMPUTED_VALUE"""),0.448353293413173)</f>
        <v>0.4483532934</v>
      </c>
      <c r="L152" s="8">
        <f>IFERROR(__xludf.DUMMYFUNCTION("""COMPUTED_VALUE"""),0.423484848484848)</f>
        <v>0.4234848485</v>
      </c>
      <c r="M152" s="8">
        <f>IFERROR(__xludf.DUMMYFUNCTION("""COMPUTED_VALUE"""),0.413740458015267)</f>
        <v>0.413740458</v>
      </c>
      <c r="N152" s="8">
        <f>IFERROR(__xludf.DUMMYFUNCTION("""COMPUTED_VALUE"""),0.404141104294478)</f>
        <v>0.4041411043</v>
      </c>
      <c r="O152" s="8">
        <f>IFERROR(__xludf.DUMMYFUNCTION("""COMPUTED_VALUE"""),0.36774193548387)</f>
        <v>0.3677419355</v>
      </c>
      <c r="P152" s="8">
        <f>IFERROR(__xludf.DUMMYFUNCTION("""COMPUTED_VALUE"""),0.25)</f>
        <v>0.25</v>
      </c>
      <c r="Q152" s="8">
        <f>IFERROR(__xludf.DUMMYFUNCTION("""COMPUTED_VALUE"""),0.0)</f>
        <v>0</v>
      </c>
      <c r="R152" s="8">
        <f>IFERROR(__xludf.DUMMYFUNCTION("""COMPUTED_VALUE"""),0.0)</f>
        <v>0</v>
      </c>
      <c r="S152" s="8">
        <f>IFERROR(__xludf.DUMMYFUNCTION("""COMPUTED_VALUE"""),0.0)</f>
        <v>0</v>
      </c>
      <c r="T152" s="8">
        <f>IFERROR(__xludf.DUMMYFUNCTION("""COMPUTED_VALUE"""),0.0)</f>
        <v>0</v>
      </c>
      <c r="U152" s="8">
        <f>IFERROR(__xludf.DUMMYFUNCTION("""COMPUTED_VALUE"""),0.0)</f>
        <v>0</v>
      </c>
      <c r="V152" s="8">
        <f>IFERROR(__xludf.DUMMYFUNCTION("""COMPUTED_VALUE"""),0.0)</f>
        <v>0</v>
      </c>
      <c r="W152" s="8">
        <f>IFERROR(__xludf.DUMMYFUNCTION("""COMPUTED_VALUE"""),0.0)</f>
        <v>0</v>
      </c>
      <c r="X152" s="8">
        <f>IFERROR(__xludf.DUMMYFUNCTION("""COMPUTED_VALUE"""),0.0)</f>
        <v>0</v>
      </c>
      <c r="Y152" s="8">
        <f>IFERROR(__xludf.DUMMYFUNCTION("""COMPUTED_VALUE"""),0.0)</f>
        <v>0</v>
      </c>
      <c r="Z152" s="8">
        <f>IFERROR(__xludf.DUMMYFUNCTION("""COMPUTED_VALUE"""),0.0)</f>
        <v>0</v>
      </c>
      <c r="AA152" s="8">
        <f>IFERROR(__xludf.DUMMYFUNCTION("""COMPUTED_VALUE"""),0.0)</f>
        <v>0</v>
      </c>
      <c r="AB152" s="8">
        <f>IFERROR(__xludf.DUMMYFUNCTION("""COMPUTED_VALUE"""),0.0)</f>
        <v>0</v>
      </c>
      <c r="AC152" s="8">
        <f>IFERROR(__xludf.DUMMYFUNCTION("""COMPUTED_VALUE"""),0.0)</f>
        <v>0</v>
      </c>
    </row>
    <row r="153" ht="15.75" customHeight="1">
      <c r="A153" s="6" t="str">
        <f>IFERROR(__xludf.DUMMYFUNCTION("""COMPUTED_VALUE"""),"8bba1c491698de2d4d33abe2f115e5d666e141b2")</f>
        <v>8bba1c491698de2d4d33abe2f115e5d666e141b2</v>
      </c>
      <c r="B153" s="6" t="str">
        <f>IFERROR(__xludf.DUMMYFUNCTION("""COMPUTED_VALUE"""),"Until He Remembers Me")</f>
        <v>Until He Remembers Me</v>
      </c>
      <c r="C153" s="6" t="str">
        <f>IFERROR(__xludf.DUMMYFUNCTION("""COMPUTED_VALUE"""),"Romance")</f>
        <v>Romance</v>
      </c>
      <c r="D153" s="5">
        <f>IFERROR(__xludf.DUMMYFUNCTION("""COMPUTED_VALUE"""),467.0)</f>
        <v>467</v>
      </c>
      <c r="E153" s="8">
        <f>IFERROR(__xludf.DUMMYFUNCTION("""COMPUTED_VALUE"""),0.967462039045553)</f>
        <v>0.967462039</v>
      </c>
      <c r="F153" s="8">
        <f>IFERROR(__xludf.DUMMYFUNCTION("""COMPUTED_VALUE"""),0.472527472527472)</f>
        <v>0.4725274725</v>
      </c>
      <c r="G153" s="8">
        <f>IFERROR(__xludf.DUMMYFUNCTION("""COMPUTED_VALUE"""),0.419426048565121)</f>
        <v>0.4194260486</v>
      </c>
      <c r="H153" s="8">
        <f>IFERROR(__xludf.DUMMYFUNCTION("""COMPUTED_VALUE"""),0.372767857142857)</f>
        <v>0.3727678571</v>
      </c>
      <c r="I153" s="8">
        <f>IFERROR(__xludf.DUMMYFUNCTION("""COMPUTED_VALUE"""),0.346067415730337)</f>
        <v>0.3460674157</v>
      </c>
      <c r="J153" s="8">
        <f>IFERROR(__xludf.DUMMYFUNCTION("""COMPUTED_VALUE"""),0.312785388127853)</f>
        <v>0.3127853881</v>
      </c>
      <c r="K153" s="8">
        <f>IFERROR(__xludf.DUMMYFUNCTION("""COMPUTED_VALUE"""),0.296037296037296)</f>
        <v>0.296037296</v>
      </c>
      <c r="L153" s="8">
        <f>IFERROR(__xludf.DUMMYFUNCTION("""COMPUTED_VALUE"""),0.272941176470588)</f>
        <v>0.2729411765</v>
      </c>
      <c r="M153" s="8">
        <f>IFERROR(__xludf.DUMMYFUNCTION("""COMPUTED_VALUE"""),0.252955082742316)</f>
        <v>0.2529550827</v>
      </c>
      <c r="N153" s="8">
        <f>IFERROR(__xludf.DUMMYFUNCTION("""COMPUTED_VALUE"""),0.242718446601941)</f>
        <v>0.2427184466</v>
      </c>
      <c r="O153" s="8">
        <f>IFERROR(__xludf.DUMMYFUNCTION("""COMPUTED_VALUE"""),0.193548387096774)</f>
        <v>0.1935483871</v>
      </c>
      <c r="P153" s="8">
        <f>IFERROR(__xludf.DUMMYFUNCTION("""COMPUTED_VALUE"""),0.135338345864661)</f>
        <v>0.1353383459</v>
      </c>
      <c r="Q153" s="8">
        <f>IFERROR(__xludf.DUMMYFUNCTION("""COMPUTED_VALUE"""),0.0)</f>
        <v>0</v>
      </c>
      <c r="R153" s="8">
        <f>IFERROR(__xludf.DUMMYFUNCTION("""COMPUTED_VALUE"""),0.0)</f>
        <v>0</v>
      </c>
      <c r="S153" s="8">
        <f>IFERROR(__xludf.DUMMYFUNCTION("""COMPUTED_VALUE"""),0.0)</f>
        <v>0</v>
      </c>
      <c r="T153" s="8">
        <f>IFERROR(__xludf.DUMMYFUNCTION("""COMPUTED_VALUE"""),0.0)</f>
        <v>0</v>
      </c>
      <c r="U153" s="8">
        <f>IFERROR(__xludf.DUMMYFUNCTION("""COMPUTED_VALUE"""),0.0)</f>
        <v>0</v>
      </c>
      <c r="V153" s="8">
        <f>IFERROR(__xludf.DUMMYFUNCTION("""COMPUTED_VALUE"""),0.0)</f>
        <v>0</v>
      </c>
      <c r="W153" s="8">
        <f>IFERROR(__xludf.DUMMYFUNCTION("""COMPUTED_VALUE"""),0.0)</f>
        <v>0</v>
      </c>
      <c r="X153" s="8">
        <f>IFERROR(__xludf.DUMMYFUNCTION("""COMPUTED_VALUE"""),0.0)</f>
        <v>0</v>
      </c>
      <c r="Y153" s="8">
        <f>IFERROR(__xludf.DUMMYFUNCTION("""COMPUTED_VALUE"""),0.0)</f>
        <v>0</v>
      </c>
      <c r="Z153" s="8">
        <f>IFERROR(__xludf.DUMMYFUNCTION("""COMPUTED_VALUE"""),0.0)</f>
        <v>0</v>
      </c>
      <c r="AA153" s="8">
        <f>IFERROR(__xludf.DUMMYFUNCTION("""COMPUTED_VALUE"""),0.0)</f>
        <v>0</v>
      </c>
      <c r="AB153" s="8">
        <f>IFERROR(__xludf.DUMMYFUNCTION("""COMPUTED_VALUE"""),0.0)</f>
        <v>0</v>
      </c>
      <c r="AC153" s="8">
        <f>IFERROR(__xludf.DUMMYFUNCTION("""COMPUTED_VALUE"""),0.0)</f>
        <v>0</v>
      </c>
    </row>
    <row r="154" ht="15.75" customHeight="1">
      <c r="A154" s="6" t="str">
        <f>IFERROR(__xludf.DUMMYFUNCTION("""COMPUTED_VALUE"""),"8bcd1b852cfa9d73ac3583317066946ad2b0abf7")</f>
        <v>8bcd1b852cfa9d73ac3583317066946ad2b0abf7</v>
      </c>
      <c r="B154" s="6" t="str">
        <f>IFERROR(__xludf.DUMMYFUNCTION("""COMPUTED_VALUE"""),"Heir to Draconic Dominion")</f>
        <v>Heir to Draconic Dominion</v>
      </c>
      <c r="C154" s="6" t="str">
        <f>IFERROR(__xludf.DUMMYFUNCTION("""COMPUTED_VALUE"""),"Fantasy")</f>
        <v>Fantasy</v>
      </c>
      <c r="D154" s="5">
        <f>IFERROR(__xludf.DUMMYFUNCTION("""COMPUTED_VALUE"""),1657.0)</f>
        <v>1657</v>
      </c>
      <c r="E154" s="8">
        <f>IFERROR(__xludf.DUMMYFUNCTION("""COMPUTED_VALUE"""),0.969165659008464)</f>
        <v>0.969165659</v>
      </c>
      <c r="F154" s="8">
        <f>IFERROR(__xludf.DUMMYFUNCTION("""COMPUTED_VALUE"""),0.607402912621359)</f>
        <v>0.6074029126</v>
      </c>
      <c r="G154" s="8">
        <f>IFERROR(__xludf.DUMMYFUNCTION("""COMPUTED_VALUE"""),0.554407294832826)</f>
        <v>0.5544072948</v>
      </c>
      <c r="H154" s="8">
        <f>IFERROR(__xludf.DUMMYFUNCTION("""COMPUTED_VALUE"""),0.533779671332927)</f>
        <v>0.5337796713</v>
      </c>
      <c r="I154" s="8">
        <f>IFERROR(__xludf.DUMMYFUNCTION("""COMPUTED_VALUE"""),0.509468540012217)</f>
        <v>0.50946854</v>
      </c>
      <c r="J154" s="8">
        <f>IFERROR(__xludf.DUMMYFUNCTION("""COMPUTED_VALUE"""),0.501530924678505)</f>
        <v>0.5015309247</v>
      </c>
      <c r="K154" s="8">
        <f>IFERROR(__xludf.DUMMYFUNCTION("""COMPUTED_VALUE"""),0.489532019704433)</f>
        <v>0.4895320197</v>
      </c>
      <c r="L154" s="8">
        <f>IFERROR(__xludf.DUMMYFUNCTION("""COMPUTED_VALUE"""),0.47796399751707)</f>
        <v>0.4779639975</v>
      </c>
      <c r="M154" s="8">
        <f>IFERROR(__xludf.DUMMYFUNCTION("""COMPUTED_VALUE"""),0.459611772072636)</f>
        <v>0.4596117721</v>
      </c>
      <c r="N154" s="8">
        <f>IFERROR(__xludf.DUMMYFUNCTION("""COMPUTED_VALUE"""),0.450535601764335)</f>
        <v>0.4505356018</v>
      </c>
      <c r="O154" s="8">
        <f>IFERROR(__xludf.DUMMYFUNCTION("""COMPUTED_VALUE"""),0.419485791610284)</f>
        <v>0.4194857916</v>
      </c>
      <c r="P154" s="8">
        <f>IFERROR(__xludf.DUMMYFUNCTION("""COMPUTED_VALUE"""),0.347407407407407)</f>
        <v>0.3474074074</v>
      </c>
      <c r="Q154" s="8">
        <f>IFERROR(__xludf.DUMMYFUNCTION("""COMPUTED_VALUE"""),0.203836930455635)</f>
        <v>0.2038369305</v>
      </c>
      <c r="R154" s="8">
        <f>IFERROR(__xludf.DUMMYFUNCTION("""COMPUTED_VALUE"""),0.153846153846153)</f>
        <v>0.1538461538</v>
      </c>
      <c r="S154" s="8">
        <f>IFERROR(__xludf.DUMMYFUNCTION("""COMPUTED_VALUE"""),0.0)</f>
        <v>0</v>
      </c>
      <c r="T154" s="8">
        <f>IFERROR(__xludf.DUMMYFUNCTION("""COMPUTED_VALUE"""),0.0)</f>
        <v>0</v>
      </c>
      <c r="U154" s="8">
        <f>IFERROR(__xludf.DUMMYFUNCTION("""COMPUTED_VALUE"""),0.0)</f>
        <v>0</v>
      </c>
      <c r="V154" s="8">
        <f>IFERROR(__xludf.DUMMYFUNCTION("""COMPUTED_VALUE"""),0.0)</f>
        <v>0</v>
      </c>
      <c r="W154" s="8">
        <f>IFERROR(__xludf.DUMMYFUNCTION("""COMPUTED_VALUE"""),0.0)</f>
        <v>0</v>
      </c>
      <c r="X154" s="8">
        <f>IFERROR(__xludf.DUMMYFUNCTION("""COMPUTED_VALUE"""),0.0)</f>
        <v>0</v>
      </c>
      <c r="Y154" s="8">
        <f>IFERROR(__xludf.DUMMYFUNCTION("""COMPUTED_VALUE"""),0.0)</f>
        <v>0</v>
      </c>
      <c r="Z154" s="8">
        <f>IFERROR(__xludf.DUMMYFUNCTION("""COMPUTED_VALUE"""),0.0)</f>
        <v>0</v>
      </c>
      <c r="AA154" s="8">
        <f>IFERROR(__xludf.DUMMYFUNCTION("""COMPUTED_VALUE"""),0.0)</f>
        <v>0</v>
      </c>
      <c r="AB154" s="8">
        <f>IFERROR(__xludf.DUMMYFUNCTION("""COMPUTED_VALUE"""),0.0)</f>
        <v>0</v>
      </c>
      <c r="AC154" s="8">
        <f>IFERROR(__xludf.DUMMYFUNCTION("""COMPUTED_VALUE"""),0.0)</f>
        <v>0</v>
      </c>
    </row>
    <row r="155" ht="15.75" customHeight="1">
      <c r="A155" s="6" t="str">
        <f>IFERROR(__xludf.DUMMYFUNCTION("""COMPUTED_VALUE"""),"8e36a60de34dcee5a96156507eb902741b36cc77")</f>
        <v>8e36a60de34dcee5a96156507eb902741b36cc77</v>
      </c>
      <c r="B155" s="6" t="str">
        <f>IFERROR(__xludf.DUMMYFUNCTION("""COMPUTED_VALUE"""),"It's Crystal")</f>
        <v>It's Crystal</v>
      </c>
      <c r="C155" s="6" t="str">
        <f>IFERROR(__xludf.DUMMYFUNCTION("""COMPUTED_VALUE"""),"Romance")</f>
        <v>Romance</v>
      </c>
      <c r="D155" s="5">
        <f>IFERROR(__xludf.DUMMYFUNCTION("""COMPUTED_VALUE"""),937.0)</f>
        <v>937</v>
      </c>
      <c r="E155" s="8">
        <f>IFERROR(__xludf.DUMMYFUNCTION("""COMPUTED_VALUE"""),0.96051227321238)</f>
        <v>0.9605122732</v>
      </c>
      <c r="F155" s="8">
        <f>IFERROR(__xludf.DUMMYFUNCTION("""COMPUTED_VALUE"""),0.616862326574172)</f>
        <v>0.6168623266</v>
      </c>
      <c r="G155" s="8">
        <f>IFERROR(__xludf.DUMMYFUNCTION("""COMPUTED_VALUE"""),0.569903948772678)</f>
        <v>0.5699039488</v>
      </c>
      <c r="H155" s="8">
        <f>IFERROR(__xludf.DUMMYFUNCTION("""COMPUTED_VALUE"""),0.55282817502668)</f>
        <v>0.552828175</v>
      </c>
      <c r="I155" s="8">
        <f>IFERROR(__xludf.DUMMYFUNCTION("""COMPUTED_VALUE"""),0.551760939167556)</f>
        <v>0.5517609392</v>
      </c>
      <c r="J155" s="8">
        <f>IFERROR(__xludf.DUMMYFUNCTION("""COMPUTED_VALUE"""),0.530982905982906)</f>
        <v>0.530982906</v>
      </c>
      <c r="K155" s="8">
        <f>IFERROR(__xludf.DUMMYFUNCTION("""COMPUTED_VALUE"""),0.512325830653804)</f>
        <v>0.5123258307</v>
      </c>
      <c r="L155" s="8">
        <f>IFERROR(__xludf.DUMMYFUNCTION("""COMPUTED_VALUE"""),0.481243301178992)</f>
        <v>0.4812433012</v>
      </c>
      <c r="M155" s="8">
        <f>IFERROR(__xludf.DUMMYFUNCTION("""COMPUTED_VALUE"""),0.456591639871382)</f>
        <v>0.4565916399</v>
      </c>
      <c r="N155" s="8">
        <f>IFERROR(__xludf.DUMMYFUNCTION("""COMPUTED_VALUE"""),0.447424892703862)</f>
        <v>0.4474248927</v>
      </c>
      <c r="O155" s="8">
        <f>IFERROR(__xludf.DUMMYFUNCTION("""COMPUTED_VALUE"""),0.377584330794341)</f>
        <v>0.3775843308</v>
      </c>
      <c r="P155" s="8">
        <f>IFERROR(__xludf.DUMMYFUNCTION("""COMPUTED_VALUE"""),0.283516483516483)</f>
        <v>0.2835164835</v>
      </c>
      <c r="Q155" s="8">
        <f>IFERROR(__xludf.DUMMYFUNCTION("""COMPUTED_VALUE"""),0.154362416107382)</f>
        <v>0.1543624161</v>
      </c>
      <c r="R155" s="8">
        <f>IFERROR(__xludf.DUMMYFUNCTION("""COMPUTED_VALUE"""),0.101694915254237)</f>
        <v>0.1016949153</v>
      </c>
      <c r="S155" s="8">
        <f>IFERROR(__xludf.DUMMYFUNCTION("""COMPUTED_VALUE"""),0.0)</f>
        <v>0</v>
      </c>
      <c r="T155" s="8">
        <f>IFERROR(__xludf.DUMMYFUNCTION("""COMPUTED_VALUE"""),0.0)</f>
        <v>0</v>
      </c>
      <c r="U155" s="8">
        <f>IFERROR(__xludf.DUMMYFUNCTION("""COMPUTED_VALUE"""),0.0)</f>
        <v>0</v>
      </c>
      <c r="V155" s="8">
        <f>IFERROR(__xludf.DUMMYFUNCTION("""COMPUTED_VALUE"""),0.0)</f>
        <v>0</v>
      </c>
      <c r="W155" s="8">
        <f>IFERROR(__xludf.DUMMYFUNCTION("""COMPUTED_VALUE"""),0.0)</f>
        <v>0</v>
      </c>
      <c r="X155" s="8">
        <f>IFERROR(__xludf.DUMMYFUNCTION("""COMPUTED_VALUE"""),0.0)</f>
        <v>0</v>
      </c>
      <c r="Y155" s="8">
        <f>IFERROR(__xludf.DUMMYFUNCTION("""COMPUTED_VALUE"""),0.0)</f>
        <v>0</v>
      </c>
      <c r="Z155" s="8">
        <f>IFERROR(__xludf.DUMMYFUNCTION("""COMPUTED_VALUE"""),0.0)</f>
        <v>0</v>
      </c>
      <c r="AA155" s="8">
        <f>IFERROR(__xludf.DUMMYFUNCTION("""COMPUTED_VALUE"""),0.0)</f>
        <v>0</v>
      </c>
      <c r="AB155" s="8">
        <f>IFERROR(__xludf.DUMMYFUNCTION("""COMPUTED_VALUE"""),0.0)</f>
        <v>0</v>
      </c>
      <c r="AC155" s="8">
        <f>IFERROR(__xludf.DUMMYFUNCTION("""COMPUTED_VALUE"""),0.0)</f>
        <v>0</v>
      </c>
    </row>
    <row r="156" ht="15.75" customHeight="1">
      <c r="A156" s="6" t="str">
        <f>IFERROR(__xludf.DUMMYFUNCTION("""COMPUTED_VALUE"""),"8e3c4698dede52f8548d10d283645c3e3f83c04a")</f>
        <v>8e3c4698dede52f8548d10d283645c3e3f83c04a</v>
      </c>
      <c r="B156" s="6" t="str">
        <f>IFERROR(__xludf.DUMMYFUNCTION("""COMPUTED_VALUE"""),"The Celestial God’s Heir")</f>
        <v>The Celestial God’s Heir</v>
      </c>
      <c r="C156" s="6" t="str">
        <f>IFERROR(__xludf.DUMMYFUNCTION("""COMPUTED_VALUE"""),"Fantasy")</f>
        <v>Fantasy</v>
      </c>
      <c r="D156" s="5">
        <f>IFERROR(__xludf.DUMMYFUNCTION("""COMPUTED_VALUE"""),99.0)</f>
        <v>99</v>
      </c>
      <c r="E156" s="8">
        <f>IFERROR(__xludf.DUMMYFUNCTION("""COMPUTED_VALUE"""),0.96938775510204)</f>
        <v>0.9693877551</v>
      </c>
      <c r="F156" s="8">
        <f>IFERROR(__xludf.DUMMYFUNCTION("""COMPUTED_VALUE"""),0.546391752577319)</f>
        <v>0.5463917526</v>
      </c>
      <c r="G156" s="8">
        <f>IFERROR(__xludf.DUMMYFUNCTION("""COMPUTED_VALUE"""),0.474226804123711)</f>
        <v>0.4742268041</v>
      </c>
      <c r="H156" s="8">
        <f>IFERROR(__xludf.DUMMYFUNCTION("""COMPUTED_VALUE"""),0.434782608695652)</f>
        <v>0.4347826087</v>
      </c>
      <c r="I156" s="8">
        <f>IFERROR(__xludf.DUMMYFUNCTION("""COMPUTED_VALUE"""),0.363636363636363)</f>
        <v>0.3636363636</v>
      </c>
      <c r="J156" s="8">
        <f>IFERROR(__xludf.DUMMYFUNCTION("""COMPUTED_VALUE"""),0.317073170731707)</f>
        <v>0.3170731707</v>
      </c>
      <c r="K156" s="8">
        <f>IFERROR(__xludf.DUMMYFUNCTION("""COMPUTED_VALUE"""),0.31578947368421)</f>
        <v>0.3157894737</v>
      </c>
      <c r="L156" s="8">
        <f>IFERROR(__xludf.DUMMYFUNCTION("""COMPUTED_VALUE"""),0.323943661971831)</f>
        <v>0.323943662</v>
      </c>
      <c r="M156" s="8">
        <f>IFERROR(__xludf.DUMMYFUNCTION("""COMPUTED_VALUE"""),0.359375)</f>
        <v>0.359375</v>
      </c>
      <c r="N156" s="8">
        <f>IFERROR(__xludf.DUMMYFUNCTION("""COMPUTED_VALUE"""),0.310344827586206)</f>
        <v>0.3103448276</v>
      </c>
      <c r="O156" s="8">
        <f>IFERROR(__xludf.DUMMYFUNCTION("""COMPUTED_VALUE"""),0.0)</f>
        <v>0</v>
      </c>
      <c r="P156" s="8">
        <f>IFERROR(__xludf.DUMMYFUNCTION("""COMPUTED_VALUE"""),0.0)</f>
        <v>0</v>
      </c>
      <c r="Q156" s="8">
        <f>IFERROR(__xludf.DUMMYFUNCTION("""COMPUTED_VALUE"""),0.0)</f>
        <v>0</v>
      </c>
      <c r="R156" s="8">
        <f>IFERROR(__xludf.DUMMYFUNCTION("""COMPUTED_VALUE"""),0.0)</f>
        <v>0</v>
      </c>
      <c r="S156" s="8">
        <f>IFERROR(__xludf.DUMMYFUNCTION("""COMPUTED_VALUE"""),0.0)</f>
        <v>0</v>
      </c>
      <c r="T156" s="8">
        <f>IFERROR(__xludf.DUMMYFUNCTION("""COMPUTED_VALUE"""),0.0)</f>
        <v>0</v>
      </c>
      <c r="U156" s="8">
        <f>IFERROR(__xludf.DUMMYFUNCTION("""COMPUTED_VALUE"""),0.0)</f>
        <v>0</v>
      </c>
      <c r="V156" s="8">
        <f>IFERROR(__xludf.DUMMYFUNCTION("""COMPUTED_VALUE"""),0.0)</f>
        <v>0</v>
      </c>
      <c r="W156" s="8">
        <f>IFERROR(__xludf.DUMMYFUNCTION("""COMPUTED_VALUE"""),0.0)</f>
        <v>0</v>
      </c>
      <c r="X156" s="8">
        <f>IFERROR(__xludf.DUMMYFUNCTION("""COMPUTED_VALUE"""),0.0)</f>
        <v>0</v>
      </c>
      <c r="Y156" s="8">
        <f>IFERROR(__xludf.DUMMYFUNCTION("""COMPUTED_VALUE"""),0.0)</f>
        <v>0</v>
      </c>
      <c r="Z156" s="8">
        <f>IFERROR(__xludf.DUMMYFUNCTION("""COMPUTED_VALUE"""),0.0)</f>
        <v>0</v>
      </c>
      <c r="AA156" s="8">
        <f>IFERROR(__xludf.DUMMYFUNCTION("""COMPUTED_VALUE"""),0.0)</f>
        <v>0</v>
      </c>
      <c r="AB156" s="8">
        <f>IFERROR(__xludf.DUMMYFUNCTION("""COMPUTED_VALUE"""),0.0)</f>
        <v>0</v>
      </c>
      <c r="AC156" s="8">
        <f>IFERROR(__xludf.DUMMYFUNCTION("""COMPUTED_VALUE"""),0.0)</f>
        <v>0</v>
      </c>
    </row>
    <row r="157" ht="15.75" customHeight="1">
      <c r="A157" s="6" t="str">
        <f>IFERROR(__xludf.DUMMYFUNCTION("""COMPUTED_VALUE"""),"8f0fa62650413483426bef0ac7d66ca7627ab11f")</f>
        <v>8f0fa62650413483426bef0ac7d66ca7627ab11f</v>
      </c>
      <c r="B157" s="6" t="str">
        <f>IFERROR(__xludf.DUMMYFUNCTION("""COMPUTED_VALUE"""),"The Mind Reader: A Son-in-Law’s Revenge")</f>
        <v>The Mind Reader: A Son-in-Law’s Revenge</v>
      </c>
      <c r="C157" s="6" t="str">
        <f>IFERROR(__xludf.DUMMYFUNCTION("""COMPUTED_VALUE"""),"Drama")</f>
        <v>Drama</v>
      </c>
      <c r="D157" s="5">
        <f>IFERROR(__xludf.DUMMYFUNCTION("""COMPUTED_VALUE"""),922.0)</f>
        <v>922</v>
      </c>
      <c r="E157" s="8">
        <f>IFERROR(__xludf.DUMMYFUNCTION("""COMPUTED_VALUE"""),0.917936694021102)</f>
        <v>0.917936694</v>
      </c>
      <c r="F157" s="8">
        <f>IFERROR(__xludf.DUMMYFUNCTION("""COMPUTED_VALUE"""),0.638472032742155)</f>
        <v>0.6384720327</v>
      </c>
      <c r="G157" s="8">
        <f>IFERROR(__xludf.DUMMYFUNCTION("""COMPUTED_VALUE"""),0.532467532467532)</f>
        <v>0.5324675325</v>
      </c>
      <c r="H157" s="8">
        <f>IFERROR(__xludf.DUMMYFUNCTION("""COMPUTED_VALUE"""),0.490825688073394)</f>
        <v>0.4908256881</v>
      </c>
      <c r="I157" s="8">
        <f>IFERROR(__xludf.DUMMYFUNCTION("""COMPUTED_VALUE"""),0.428134556574923)</f>
        <v>0.4281345566</v>
      </c>
      <c r="J157" s="8">
        <f>IFERROR(__xludf.DUMMYFUNCTION("""COMPUTED_VALUE"""),0.390505359877488)</f>
        <v>0.3905053599</v>
      </c>
      <c r="K157" s="8">
        <f>IFERROR(__xludf.DUMMYFUNCTION("""COMPUTED_VALUE"""),0.364471669218989)</f>
        <v>0.3644716692</v>
      </c>
      <c r="L157" s="8">
        <f>IFERROR(__xludf.DUMMYFUNCTION("""COMPUTED_VALUE"""),0.335375191424196)</f>
        <v>0.3353751914</v>
      </c>
      <c r="M157" s="8">
        <f>IFERROR(__xludf.DUMMYFUNCTION("""COMPUTED_VALUE"""),0.327718223583461)</f>
        <v>0.3277182236</v>
      </c>
      <c r="N157" s="8">
        <f>IFERROR(__xludf.DUMMYFUNCTION("""COMPUTED_VALUE"""),0.302147239263803)</f>
        <v>0.3021472393</v>
      </c>
      <c r="O157" s="8">
        <f>IFERROR(__xludf.DUMMYFUNCTION("""COMPUTED_VALUE"""),0.25920245398773)</f>
        <v>0.259202454</v>
      </c>
      <c r="P157" s="8">
        <f>IFERROR(__xludf.DUMMYFUNCTION("""COMPUTED_VALUE"""),0.187403993855606)</f>
        <v>0.1874039939</v>
      </c>
      <c r="Q157" s="8">
        <f>IFERROR(__xludf.DUMMYFUNCTION("""COMPUTED_VALUE"""),0.0806201550387596)</f>
        <v>0.08062015504</v>
      </c>
      <c r="R157" s="8">
        <f>IFERROR(__xludf.DUMMYFUNCTION("""COMPUTED_VALUE"""),0.0450310559006211)</f>
        <v>0.0450310559</v>
      </c>
      <c r="S157" s="8">
        <f>IFERROR(__xludf.DUMMYFUNCTION("""COMPUTED_VALUE"""),0.0)</f>
        <v>0</v>
      </c>
      <c r="T157" s="8">
        <f>IFERROR(__xludf.DUMMYFUNCTION("""COMPUTED_VALUE"""),0.0)</f>
        <v>0</v>
      </c>
      <c r="U157" s="8">
        <f>IFERROR(__xludf.DUMMYFUNCTION("""COMPUTED_VALUE"""),0.0)</f>
        <v>0</v>
      </c>
      <c r="V157" s="8">
        <f>IFERROR(__xludf.DUMMYFUNCTION("""COMPUTED_VALUE"""),0.0)</f>
        <v>0</v>
      </c>
      <c r="W157" s="8">
        <f>IFERROR(__xludf.DUMMYFUNCTION("""COMPUTED_VALUE"""),0.0)</f>
        <v>0</v>
      </c>
      <c r="X157" s="8">
        <f>IFERROR(__xludf.DUMMYFUNCTION("""COMPUTED_VALUE"""),0.0)</f>
        <v>0</v>
      </c>
      <c r="Y157" s="8">
        <f>IFERROR(__xludf.DUMMYFUNCTION("""COMPUTED_VALUE"""),0.0)</f>
        <v>0</v>
      </c>
      <c r="Z157" s="8">
        <f>IFERROR(__xludf.DUMMYFUNCTION("""COMPUTED_VALUE"""),0.0)</f>
        <v>0</v>
      </c>
      <c r="AA157" s="8">
        <f>IFERROR(__xludf.DUMMYFUNCTION("""COMPUTED_VALUE"""),0.0)</f>
        <v>0</v>
      </c>
      <c r="AB157" s="8">
        <f>IFERROR(__xludf.DUMMYFUNCTION("""COMPUTED_VALUE"""),0.0)</f>
        <v>0</v>
      </c>
      <c r="AC157" s="8">
        <f>IFERROR(__xludf.DUMMYFUNCTION("""COMPUTED_VALUE"""),0.0)</f>
        <v>0</v>
      </c>
    </row>
    <row r="158" ht="15.75" customHeight="1">
      <c r="A158" s="6" t="str">
        <f>IFERROR(__xludf.DUMMYFUNCTION("""COMPUTED_VALUE"""),"8f9097f70a41e0a3a637a3eb2b6551e036eb16b7")</f>
        <v>8f9097f70a41e0a3a637a3eb2b6551e036eb16b7</v>
      </c>
      <c r="B158" s="6" t="str">
        <f>IFERROR(__xludf.DUMMYFUNCTION("""COMPUTED_VALUE"""),"The Devine Root")</f>
        <v>The Devine Root</v>
      </c>
      <c r="C158" s="6" t="str">
        <f>IFERROR(__xludf.DUMMYFUNCTION("""COMPUTED_VALUE"""),"Fantasy")</f>
        <v>Fantasy</v>
      </c>
      <c r="D158" s="5">
        <f>IFERROR(__xludf.DUMMYFUNCTION("""COMPUTED_VALUE"""),219.0)</f>
        <v>219</v>
      </c>
      <c r="E158" s="8">
        <f>IFERROR(__xludf.DUMMYFUNCTION("""COMPUTED_VALUE"""),0.984251968503937)</f>
        <v>0.9842519685</v>
      </c>
      <c r="F158" s="8">
        <f>IFERROR(__xludf.DUMMYFUNCTION("""COMPUTED_VALUE"""),0.438356164383561)</f>
        <v>0.4383561644</v>
      </c>
      <c r="G158" s="8">
        <f>IFERROR(__xludf.DUMMYFUNCTION("""COMPUTED_VALUE"""),0.462686567164179)</f>
        <v>0.4626865672</v>
      </c>
      <c r="H158" s="8">
        <f>IFERROR(__xludf.DUMMYFUNCTION("""COMPUTED_VALUE"""),0.43076923076923)</f>
        <v>0.4307692308</v>
      </c>
      <c r="I158" s="8">
        <f>IFERROR(__xludf.DUMMYFUNCTION("""COMPUTED_VALUE"""),0.387096774193548)</f>
        <v>0.3870967742</v>
      </c>
      <c r="J158" s="8">
        <f>IFERROR(__xludf.DUMMYFUNCTION("""COMPUTED_VALUE"""),0.360655737704918)</f>
        <v>0.3606557377</v>
      </c>
      <c r="K158" s="8">
        <f>IFERROR(__xludf.DUMMYFUNCTION("""COMPUTED_VALUE"""),0.368421052631578)</f>
        <v>0.3684210526</v>
      </c>
      <c r="L158" s="8">
        <f>IFERROR(__xludf.DUMMYFUNCTION("""COMPUTED_VALUE"""),0.408163265306122)</f>
        <v>0.4081632653</v>
      </c>
      <c r="M158" s="8">
        <f>IFERROR(__xludf.DUMMYFUNCTION("""COMPUTED_VALUE"""),0.408163265306122)</f>
        <v>0.4081632653</v>
      </c>
      <c r="N158" s="8">
        <f>IFERROR(__xludf.DUMMYFUNCTION("""COMPUTED_VALUE"""),0.408163265306122)</f>
        <v>0.4081632653</v>
      </c>
      <c r="O158" s="8">
        <f>IFERROR(__xludf.DUMMYFUNCTION("""COMPUTED_VALUE"""),0.357142857142857)</f>
        <v>0.3571428571</v>
      </c>
      <c r="P158" s="8">
        <f>IFERROR(__xludf.DUMMYFUNCTION("""COMPUTED_VALUE"""),0.0)</f>
        <v>0</v>
      </c>
      <c r="Q158" s="8">
        <f>IFERROR(__xludf.DUMMYFUNCTION("""COMPUTED_VALUE"""),0.0)</f>
        <v>0</v>
      </c>
      <c r="R158" s="8">
        <f>IFERROR(__xludf.DUMMYFUNCTION("""COMPUTED_VALUE"""),0.0)</f>
        <v>0</v>
      </c>
      <c r="S158" s="8">
        <f>IFERROR(__xludf.DUMMYFUNCTION("""COMPUTED_VALUE"""),0.0)</f>
        <v>0</v>
      </c>
      <c r="T158" s="8">
        <f>IFERROR(__xludf.DUMMYFUNCTION("""COMPUTED_VALUE"""),0.0)</f>
        <v>0</v>
      </c>
      <c r="U158" s="8">
        <f>IFERROR(__xludf.DUMMYFUNCTION("""COMPUTED_VALUE"""),0.0)</f>
        <v>0</v>
      </c>
      <c r="V158" s="8">
        <f>IFERROR(__xludf.DUMMYFUNCTION("""COMPUTED_VALUE"""),0.0)</f>
        <v>0</v>
      </c>
      <c r="W158" s="8">
        <f>IFERROR(__xludf.DUMMYFUNCTION("""COMPUTED_VALUE"""),0.0)</f>
        <v>0</v>
      </c>
      <c r="X158" s="8">
        <f>IFERROR(__xludf.DUMMYFUNCTION("""COMPUTED_VALUE"""),0.0)</f>
        <v>0</v>
      </c>
      <c r="Y158" s="8">
        <f>IFERROR(__xludf.DUMMYFUNCTION("""COMPUTED_VALUE"""),0.0)</f>
        <v>0</v>
      </c>
      <c r="Z158" s="8">
        <f>IFERROR(__xludf.DUMMYFUNCTION("""COMPUTED_VALUE"""),0.0)</f>
        <v>0</v>
      </c>
      <c r="AA158" s="8">
        <f>IFERROR(__xludf.DUMMYFUNCTION("""COMPUTED_VALUE"""),0.0)</f>
        <v>0</v>
      </c>
      <c r="AB158" s="8">
        <f>IFERROR(__xludf.DUMMYFUNCTION("""COMPUTED_VALUE"""),0.0)</f>
        <v>0</v>
      </c>
      <c r="AC158" s="8">
        <f>IFERROR(__xludf.DUMMYFUNCTION("""COMPUTED_VALUE"""),0.0)</f>
        <v>0</v>
      </c>
    </row>
    <row r="159" ht="15.75" customHeight="1">
      <c r="A159" s="6" t="str">
        <f>IFERROR(__xludf.DUMMYFUNCTION("""COMPUTED_VALUE"""),"8fc0fc1659f3b419e6fa13d9cb59b0e57bfec096")</f>
        <v>8fc0fc1659f3b419e6fa13d9cb59b0e57bfec096</v>
      </c>
      <c r="B159" s="6" t="str">
        <f>IFERROR(__xludf.DUMMYFUNCTION("""COMPUTED_VALUE"""),"The Exiled Heir")</f>
        <v>The Exiled Heir</v>
      </c>
      <c r="C159" s="6" t="str">
        <f>IFERROR(__xludf.DUMMYFUNCTION("""COMPUTED_VALUE"""),"Drama")</f>
        <v>Drama</v>
      </c>
      <c r="D159" s="5">
        <f>IFERROR(__xludf.DUMMYFUNCTION("""COMPUTED_VALUE"""),9752.0)</f>
        <v>9752</v>
      </c>
      <c r="E159" s="8">
        <f>IFERROR(__xludf.DUMMYFUNCTION("""COMPUTED_VALUE"""),0.929988691271717)</f>
        <v>0.9299886913</v>
      </c>
      <c r="F159" s="8">
        <f>IFERROR(__xludf.DUMMYFUNCTION("""COMPUTED_VALUE"""),0.614788805122379)</f>
        <v>0.6147888051</v>
      </c>
      <c r="G159" s="8">
        <f>IFERROR(__xludf.DUMMYFUNCTION("""COMPUTED_VALUE"""),0.5522713130056)</f>
        <v>0.552271313</v>
      </c>
      <c r="H159" s="8">
        <f>IFERROR(__xludf.DUMMYFUNCTION("""COMPUTED_VALUE"""),0.520458094742321)</f>
        <v>0.5204580947</v>
      </c>
      <c r="I159" s="8">
        <f>IFERROR(__xludf.DUMMYFUNCTION("""COMPUTED_VALUE"""),0.483216563839799)</f>
        <v>0.4832165638</v>
      </c>
      <c r="J159" s="8">
        <f>IFERROR(__xludf.DUMMYFUNCTION("""COMPUTED_VALUE"""),0.458512535403335)</f>
        <v>0.4585125354</v>
      </c>
      <c r="K159" s="8">
        <f>IFERROR(__xludf.DUMMYFUNCTION("""COMPUTED_VALUE"""),0.432403997895844)</f>
        <v>0.4324039979</v>
      </c>
      <c r="L159" s="8">
        <f>IFERROR(__xludf.DUMMYFUNCTION("""COMPUTED_VALUE"""),0.415760008450406)</f>
        <v>0.4157600085</v>
      </c>
      <c r="M159" s="8">
        <f>IFERROR(__xludf.DUMMYFUNCTION("""COMPUTED_VALUE"""),0.400720873529099)</f>
        <v>0.4007208735</v>
      </c>
      <c r="N159" s="8">
        <f>IFERROR(__xludf.DUMMYFUNCTION("""COMPUTED_VALUE"""),0.386660993511328)</f>
        <v>0.3866609935</v>
      </c>
      <c r="O159" s="8">
        <f>IFERROR(__xludf.DUMMYFUNCTION("""COMPUTED_VALUE"""),0.354979298322074)</f>
        <v>0.3549792983</v>
      </c>
      <c r="P159" s="8">
        <f>IFERROR(__xludf.DUMMYFUNCTION("""COMPUTED_VALUE"""),0.285473920358945)</f>
        <v>0.2854739204</v>
      </c>
      <c r="Q159" s="8">
        <f>IFERROR(__xludf.DUMMYFUNCTION("""COMPUTED_VALUE"""),0.196400531465152)</f>
        <v>0.1964005315</v>
      </c>
      <c r="R159" s="8">
        <f>IFERROR(__xludf.DUMMYFUNCTION("""COMPUTED_VALUE"""),0.139987204094689)</f>
        <v>0.1399872041</v>
      </c>
      <c r="S159" s="8">
        <f>IFERROR(__xludf.DUMMYFUNCTION("""COMPUTED_VALUE"""),0.112549363756033)</f>
        <v>0.1125493638</v>
      </c>
      <c r="T159" s="8">
        <f>IFERROR(__xludf.DUMMYFUNCTION("""COMPUTED_VALUE"""),0.0708594194649971)</f>
        <v>0.07085941946</v>
      </c>
      <c r="U159" s="8">
        <f>IFERROR(__xludf.DUMMYFUNCTION("""COMPUTED_VALUE"""),0.0)</f>
        <v>0</v>
      </c>
      <c r="V159" s="8">
        <f>IFERROR(__xludf.DUMMYFUNCTION("""COMPUTED_VALUE"""),0.0)</f>
        <v>0</v>
      </c>
      <c r="W159" s="8">
        <f>IFERROR(__xludf.DUMMYFUNCTION("""COMPUTED_VALUE"""),0.0)</f>
        <v>0</v>
      </c>
      <c r="X159" s="8">
        <f>IFERROR(__xludf.DUMMYFUNCTION("""COMPUTED_VALUE"""),0.0)</f>
        <v>0</v>
      </c>
      <c r="Y159" s="8">
        <f>IFERROR(__xludf.DUMMYFUNCTION("""COMPUTED_VALUE"""),0.0)</f>
        <v>0</v>
      </c>
      <c r="Z159" s="8">
        <f>IFERROR(__xludf.DUMMYFUNCTION("""COMPUTED_VALUE"""),0.0)</f>
        <v>0</v>
      </c>
      <c r="AA159" s="8">
        <f>IFERROR(__xludf.DUMMYFUNCTION("""COMPUTED_VALUE"""),0.0)</f>
        <v>0</v>
      </c>
      <c r="AB159" s="8">
        <f>IFERROR(__xludf.DUMMYFUNCTION("""COMPUTED_VALUE"""),0.0)</f>
        <v>0</v>
      </c>
      <c r="AC159" s="8">
        <f>IFERROR(__xludf.DUMMYFUNCTION("""COMPUTED_VALUE"""),0.0)</f>
        <v>0</v>
      </c>
    </row>
    <row r="160" ht="15.75" customHeight="1">
      <c r="A160" s="6" t="str">
        <f>IFERROR(__xludf.DUMMYFUNCTION("""COMPUTED_VALUE"""),"9187815245dbab381e06e99b89e34db3f811e066")</f>
        <v>9187815245dbab381e06e99b89e34db3f811e066</v>
      </c>
      <c r="B160" s="6" t="str">
        <f>IFERROR(__xludf.DUMMYFUNCTION("""COMPUTED_VALUE"""),"Billionaire's Pursuit")</f>
        <v>Billionaire's Pursuit</v>
      </c>
      <c r="C160" s="6" t="str">
        <f>IFERROR(__xludf.DUMMYFUNCTION("""COMPUTED_VALUE"""),"Romance")</f>
        <v>Romance</v>
      </c>
      <c r="D160" s="5">
        <f>IFERROR(__xludf.DUMMYFUNCTION("""COMPUTED_VALUE"""),433.0)</f>
        <v>433</v>
      </c>
      <c r="E160" s="8">
        <f>IFERROR(__xludf.DUMMYFUNCTION("""COMPUTED_VALUE"""),0.927400468384075)</f>
        <v>0.9274004684</v>
      </c>
      <c r="F160" s="8">
        <f>IFERROR(__xludf.DUMMYFUNCTION("""COMPUTED_VALUE"""),0.447941888619854)</f>
        <v>0.4479418886</v>
      </c>
      <c r="G160" s="8">
        <f>IFERROR(__xludf.DUMMYFUNCTION("""COMPUTED_VALUE"""),0.375)</f>
        <v>0.375</v>
      </c>
      <c r="H160" s="8">
        <f>IFERROR(__xludf.DUMMYFUNCTION("""COMPUTED_VALUE"""),0.317460317460317)</f>
        <v>0.3174603175</v>
      </c>
      <c r="I160" s="8">
        <f>IFERROR(__xludf.DUMMYFUNCTION("""COMPUTED_VALUE"""),0.246648793565683)</f>
        <v>0.2466487936</v>
      </c>
      <c r="J160" s="8">
        <f>IFERROR(__xludf.DUMMYFUNCTION("""COMPUTED_VALUE"""),0.230563002680965)</f>
        <v>0.2305630027</v>
      </c>
      <c r="K160" s="8">
        <f>IFERROR(__xludf.DUMMYFUNCTION("""COMPUTED_VALUE"""),0.214477211796246)</f>
        <v>0.2144772118</v>
      </c>
      <c r="L160" s="8">
        <f>IFERROR(__xludf.DUMMYFUNCTION("""COMPUTED_VALUE"""),0.219839142091152)</f>
        <v>0.2198391421</v>
      </c>
      <c r="M160" s="8">
        <f>IFERROR(__xludf.DUMMYFUNCTION("""COMPUTED_VALUE"""),0.179624664879356)</f>
        <v>0.1796246649</v>
      </c>
      <c r="N160" s="8">
        <f>IFERROR(__xludf.DUMMYFUNCTION("""COMPUTED_VALUE"""),0.166666666666666)</f>
        <v>0.1666666667</v>
      </c>
      <c r="O160" s="8">
        <f>IFERROR(__xludf.DUMMYFUNCTION("""COMPUTED_VALUE"""),0.163841807909604)</f>
        <v>0.1638418079</v>
      </c>
      <c r="P160" s="8">
        <f>IFERROR(__xludf.DUMMYFUNCTION("""COMPUTED_VALUE"""),0.0773638968481375)</f>
        <v>0.07736389685</v>
      </c>
      <c r="Q160" s="8">
        <f>IFERROR(__xludf.DUMMYFUNCTION("""COMPUTED_VALUE"""),0.0547945205479452)</f>
        <v>0.05479452055</v>
      </c>
      <c r="R160" s="8">
        <f>IFERROR(__xludf.DUMMYFUNCTION("""COMPUTED_VALUE"""),0.0)</f>
        <v>0</v>
      </c>
      <c r="S160" s="8">
        <f>IFERROR(__xludf.DUMMYFUNCTION("""COMPUTED_VALUE"""),0.0)</f>
        <v>0</v>
      </c>
      <c r="T160" s="8">
        <f>IFERROR(__xludf.DUMMYFUNCTION("""COMPUTED_VALUE"""),0.0)</f>
        <v>0</v>
      </c>
      <c r="U160" s="8">
        <f>IFERROR(__xludf.DUMMYFUNCTION("""COMPUTED_VALUE"""),0.0)</f>
        <v>0</v>
      </c>
      <c r="V160" s="8">
        <f>IFERROR(__xludf.DUMMYFUNCTION("""COMPUTED_VALUE"""),0.0)</f>
        <v>0</v>
      </c>
      <c r="W160" s="8">
        <f>IFERROR(__xludf.DUMMYFUNCTION("""COMPUTED_VALUE"""),0.0)</f>
        <v>0</v>
      </c>
      <c r="X160" s="8">
        <f>IFERROR(__xludf.DUMMYFUNCTION("""COMPUTED_VALUE"""),0.0)</f>
        <v>0</v>
      </c>
      <c r="Y160" s="8">
        <f>IFERROR(__xludf.DUMMYFUNCTION("""COMPUTED_VALUE"""),0.0)</f>
        <v>0</v>
      </c>
      <c r="Z160" s="8">
        <f>IFERROR(__xludf.DUMMYFUNCTION("""COMPUTED_VALUE"""),0.0)</f>
        <v>0</v>
      </c>
      <c r="AA160" s="8">
        <f>IFERROR(__xludf.DUMMYFUNCTION("""COMPUTED_VALUE"""),0.0)</f>
        <v>0</v>
      </c>
      <c r="AB160" s="8">
        <f>IFERROR(__xludf.DUMMYFUNCTION("""COMPUTED_VALUE"""),0.0)</f>
        <v>0</v>
      </c>
      <c r="AC160" s="8">
        <f>IFERROR(__xludf.DUMMYFUNCTION("""COMPUTED_VALUE"""),0.0)</f>
        <v>0</v>
      </c>
    </row>
    <row r="161" ht="15.75" customHeight="1">
      <c r="A161" s="6" t="str">
        <f>IFERROR(__xludf.DUMMYFUNCTION("""COMPUTED_VALUE"""),"91df72ab8ef7c2a2797ba2a98264b6e4037cebc4")</f>
        <v>91df72ab8ef7c2a2797ba2a98264b6e4037cebc4</v>
      </c>
      <c r="B161" s="6" t="str">
        <f>IFERROR(__xludf.DUMMYFUNCTION("""COMPUTED_VALUE"""),"The Upgrade Gamer")</f>
        <v>The Upgrade Gamer</v>
      </c>
      <c r="C161" s="6" t="str">
        <f>IFERROR(__xludf.DUMMYFUNCTION("""COMPUTED_VALUE"""),"System and Superpower")</f>
        <v>System and Superpower</v>
      </c>
      <c r="D161" s="5">
        <f>IFERROR(__xludf.DUMMYFUNCTION("""COMPUTED_VALUE"""),966.0)</f>
        <v>966</v>
      </c>
      <c r="E161" s="8">
        <f>IFERROR(__xludf.DUMMYFUNCTION("""COMPUTED_VALUE"""),0.982365145228215)</f>
        <v>0.9823651452</v>
      </c>
      <c r="F161" s="8">
        <f>IFERROR(__xludf.DUMMYFUNCTION("""COMPUTED_VALUE"""),0.669102296450939)</f>
        <v>0.6691022965</v>
      </c>
      <c r="G161" s="8">
        <f>IFERROR(__xludf.DUMMYFUNCTION("""COMPUTED_VALUE"""),0.573976915005246)</f>
        <v>0.573976915</v>
      </c>
      <c r="H161" s="8">
        <f>IFERROR(__xludf.DUMMYFUNCTION("""COMPUTED_VALUE"""),0.514830508474576)</f>
        <v>0.5148305085</v>
      </c>
      <c r="I161" s="8">
        <f>IFERROR(__xludf.DUMMYFUNCTION("""COMPUTED_VALUE"""),0.478214665249734)</f>
        <v>0.4782146652</v>
      </c>
      <c r="J161" s="8">
        <f>IFERROR(__xludf.DUMMYFUNCTION("""COMPUTED_VALUE"""),0.447537473233404)</f>
        <v>0.4475374732</v>
      </c>
      <c r="K161" s="8">
        <f>IFERROR(__xludf.DUMMYFUNCTION("""COMPUTED_VALUE"""),0.413067552602436)</f>
        <v>0.4130675526</v>
      </c>
      <c r="L161" s="8">
        <f>IFERROR(__xludf.DUMMYFUNCTION("""COMPUTED_VALUE"""),0.386281588447653)</f>
        <v>0.3862815884</v>
      </c>
      <c r="M161" s="8">
        <f>IFERROR(__xludf.DUMMYFUNCTION("""COMPUTED_VALUE"""),0.344042838018741)</f>
        <v>0.344042838</v>
      </c>
      <c r="N161" s="8">
        <f>IFERROR(__xludf.DUMMYFUNCTION("""COMPUTED_VALUE"""),0.339622641509433)</f>
        <v>0.3396226415</v>
      </c>
      <c r="O161" s="8">
        <f>IFERROR(__xludf.DUMMYFUNCTION("""COMPUTED_VALUE"""),0.304761904761904)</f>
        <v>0.3047619048</v>
      </c>
      <c r="P161" s="8">
        <f>IFERROR(__xludf.DUMMYFUNCTION("""COMPUTED_VALUE"""),0.232673267326732)</f>
        <v>0.2326732673</v>
      </c>
      <c r="Q161" s="8">
        <f>IFERROR(__xludf.DUMMYFUNCTION("""COMPUTED_VALUE"""),0.0)</f>
        <v>0</v>
      </c>
      <c r="R161" s="8">
        <f>IFERROR(__xludf.DUMMYFUNCTION("""COMPUTED_VALUE"""),0.0)</f>
        <v>0</v>
      </c>
      <c r="S161" s="8">
        <f>IFERROR(__xludf.DUMMYFUNCTION("""COMPUTED_VALUE"""),0.0)</f>
        <v>0</v>
      </c>
      <c r="T161" s="8">
        <f>IFERROR(__xludf.DUMMYFUNCTION("""COMPUTED_VALUE"""),0.0)</f>
        <v>0</v>
      </c>
      <c r="U161" s="8">
        <f>IFERROR(__xludf.DUMMYFUNCTION("""COMPUTED_VALUE"""),0.0)</f>
        <v>0</v>
      </c>
      <c r="V161" s="8">
        <f>IFERROR(__xludf.DUMMYFUNCTION("""COMPUTED_VALUE"""),0.0)</f>
        <v>0</v>
      </c>
      <c r="W161" s="8">
        <f>IFERROR(__xludf.DUMMYFUNCTION("""COMPUTED_VALUE"""),0.0)</f>
        <v>0</v>
      </c>
      <c r="X161" s="8">
        <f>IFERROR(__xludf.DUMMYFUNCTION("""COMPUTED_VALUE"""),0.0)</f>
        <v>0</v>
      </c>
      <c r="Y161" s="8">
        <f>IFERROR(__xludf.DUMMYFUNCTION("""COMPUTED_VALUE"""),0.0)</f>
        <v>0</v>
      </c>
      <c r="Z161" s="8">
        <f>IFERROR(__xludf.DUMMYFUNCTION("""COMPUTED_VALUE"""),0.0)</f>
        <v>0</v>
      </c>
      <c r="AA161" s="8">
        <f>IFERROR(__xludf.DUMMYFUNCTION("""COMPUTED_VALUE"""),0.0)</f>
        <v>0</v>
      </c>
      <c r="AB161" s="8">
        <f>IFERROR(__xludf.DUMMYFUNCTION("""COMPUTED_VALUE"""),0.0)</f>
        <v>0</v>
      </c>
      <c r="AC161" s="8">
        <f>IFERROR(__xludf.DUMMYFUNCTION("""COMPUTED_VALUE"""),0.0)</f>
        <v>0</v>
      </c>
    </row>
    <row r="162" ht="15.75" customHeight="1">
      <c r="A162" s="6" t="str">
        <f>IFERROR(__xludf.DUMMYFUNCTION("""COMPUTED_VALUE"""),"9236a79ea4f06488372a41ebcc7a4f0fbfc7b1c3")</f>
        <v>9236a79ea4f06488372a41ebcc7a4f0fbfc7b1c3</v>
      </c>
      <c r="B162" s="6" t="str">
        <f>IFERROR(__xludf.DUMMYFUNCTION("""COMPUTED_VALUE"""),"King of Mercenaries")</f>
        <v>King of Mercenaries</v>
      </c>
      <c r="C162" s="6" t="str">
        <f>IFERROR(__xludf.DUMMYFUNCTION("""COMPUTED_VALUE"""),"Suspense or Thriller")</f>
        <v>Suspense or Thriller</v>
      </c>
      <c r="D162" s="5">
        <f>IFERROR(__xludf.DUMMYFUNCTION("""COMPUTED_VALUE"""),124.0)</f>
        <v>124</v>
      </c>
      <c r="E162" s="8">
        <f>IFERROR(__xludf.DUMMYFUNCTION("""COMPUTED_VALUE"""),0.983050847457627)</f>
        <v>0.9830508475</v>
      </c>
      <c r="F162" s="8">
        <f>IFERROR(__xludf.DUMMYFUNCTION("""COMPUTED_VALUE"""),0.333333333333333)</f>
        <v>0.3333333333</v>
      </c>
      <c r="G162" s="8">
        <f>IFERROR(__xludf.DUMMYFUNCTION("""COMPUTED_VALUE"""),0.355140186915887)</f>
        <v>0.3551401869</v>
      </c>
      <c r="H162" s="8">
        <f>IFERROR(__xludf.DUMMYFUNCTION("""COMPUTED_VALUE"""),0.305263157894736)</f>
        <v>0.3052631579</v>
      </c>
      <c r="I162" s="8">
        <f>IFERROR(__xludf.DUMMYFUNCTION("""COMPUTED_VALUE"""),0.266666666666666)</f>
        <v>0.2666666667</v>
      </c>
      <c r="J162" s="8">
        <f>IFERROR(__xludf.DUMMYFUNCTION("""COMPUTED_VALUE"""),0.214285714285714)</f>
        <v>0.2142857143</v>
      </c>
      <c r="K162" s="8">
        <f>IFERROR(__xludf.DUMMYFUNCTION("""COMPUTED_VALUE"""),0.226666666666666)</f>
        <v>0.2266666667</v>
      </c>
      <c r="L162" s="8">
        <f>IFERROR(__xludf.DUMMYFUNCTION("""COMPUTED_VALUE"""),0.208955223880597)</f>
        <v>0.2089552239</v>
      </c>
      <c r="M162" s="8">
        <f>IFERROR(__xludf.DUMMYFUNCTION("""COMPUTED_VALUE"""),0.222222222222222)</f>
        <v>0.2222222222</v>
      </c>
      <c r="N162" s="8">
        <f>IFERROR(__xludf.DUMMYFUNCTION("""COMPUTED_VALUE"""),0.232142857142857)</f>
        <v>0.2321428571</v>
      </c>
      <c r="O162" s="8">
        <f>IFERROR(__xludf.DUMMYFUNCTION("""COMPUTED_VALUE"""),0.244444444444444)</f>
        <v>0.2444444444</v>
      </c>
      <c r="P162" s="8">
        <f>IFERROR(__xludf.DUMMYFUNCTION("""COMPUTED_VALUE"""),0.244444444444444)</f>
        <v>0.2444444444</v>
      </c>
      <c r="Q162" s="8">
        <f>IFERROR(__xludf.DUMMYFUNCTION("""COMPUTED_VALUE"""),0.177777777777777)</f>
        <v>0.1777777778</v>
      </c>
      <c r="R162" s="8">
        <f>IFERROR(__xludf.DUMMYFUNCTION("""COMPUTED_VALUE"""),0.0909090909090909)</f>
        <v>0.09090909091</v>
      </c>
      <c r="S162" s="8">
        <f>IFERROR(__xludf.DUMMYFUNCTION("""COMPUTED_VALUE"""),0.0)</f>
        <v>0</v>
      </c>
      <c r="T162" s="8">
        <f>IFERROR(__xludf.DUMMYFUNCTION("""COMPUTED_VALUE"""),0.0)</f>
        <v>0</v>
      </c>
      <c r="U162" s="8">
        <f>IFERROR(__xludf.DUMMYFUNCTION("""COMPUTED_VALUE"""),0.0)</f>
        <v>0</v>
      </c>
      <c r="V162" s="8">
        <f>IFERROR(__xludf.DUMMYFUNCTION("""COMPUTED_VALUE"""),0.0)</f>
        <v>0</v>
      </c>
      <c r="W162" s="8">
        <f>IFERROR(__xludf.DUMMYFUNCTION("""COMPUTED_VALUE"""),0.0)</f>
        <v>0</v>
      </c>
      <c r="X162" s="8">
        <f>IFERROR(__xludf.DUMMYFUNCTION("""COMPUTED_VALUE"""),0.0)</f>
        <v>0</v>
      </c>
      <c r="Y162" s="8">
        <f>IFERROR(__xludf.DUMMYFUNCTION("""COMPUTED_VALUE"""),0.0)</f>
        <v>0</v>
      </c>
      <c r="Z162" s="8">
        <f>IFERROR(__xludf.DUMMYFUNCTION("""COMPUTED_VALUE"""),0.0)</f>
        <v>0</v>
      </c>
      <c r="AA162" s="8">
        <f>IFERROR(__xludf.DUMMYFUNCTION("""COMPUTED_VALUE"""),0.0)</f>
        <v>0</v>
      </c>
      <c r="AB162" s="8">
        <f>IFERROR(__xludf.DUMMYFUNCTION("""COMPUTED_VALUE"""),0.0)</f>
        <v>0</v>
      </c>
      <c r="AC162" s="8">
        <f>IFERROR(__xludf.DUMMYFUNCTION("""COMPUTED_VALUE"""),0.0)</f>
        <v>0</v>
      </c>
    </row>
    <row r="163" ht="15.75" customHeight="1">
      <c r="A163" s="6" t="str">
        <f>IFERROR(__xludf.DUMMYFUNCTION("""COMPUTED_VALUE"""),"94d808231f41a64988f80a2739e6a748f1278c28")</f>
        <v>94d808231f41a64988f80a2739e6a748f1278c28</v>
      </c>
      <c r="B163" s="6" t="str">
        <f>IFERROR(__xludf.DUMMYFUNCTION("""COMPUTED_VALUE"""),"My Amazing Husband's Life")</f>
        <v>My Amazing Husband's Life</v>
      </c>
      <c r="C163" s="6" t="str">
        <f>IFERROR(__xludf.DUMMYFUNCTION("""COMPUTED_VALUE"""),"Drama")</f>
        <v>Drama</v>
      </c>
      <c r="D163" s="5">
        <f>IFERROR(__xludf.DUMMYFUNCTION("""COMPUTED_VALUE"""),707.0)</f>
        <v>707</v>
      </c>
      <c r="E163" s="8">
        <f>IFERROR(__xludf.DUMMYFUNCTION("""COMPUTED_VALUE"""),0.966767371601208)</f>
        <v>0.9667673716</v>
      </c>
      <c r="F163" s="8">
        <f>IFERROR(__xludf.DUMMYFUNCTION("""COMPUTED_VALUE"""),0.550632911392405)</f>
        <v>0.5506329114</v>
      </c>
      <c r="G163" s="8">
        <f>IFERROR(__xludf.DUMMYFUNCTION("""COMPUTED_VALUE"""),0.487644151565074)</f>
        <v>0.4876441516</v>
      </c>
      <c r="H163" s="8">
        <f>IFERROR(__xludf.DUMMYFUNCTION("""COMPUTED_VALUE"""),0.449458483754512)</f>
        <v>0.4494584838</v>
      </c>
      <c r="I163" s="8">
        <f>IFERROR(__xludf.DUMMYFUNCTION("""COMPUTED_VALUE"""),0.403441682600382)</f>
        <v>0.4034416826</v>
      </c>
      <c r="J163" s="8">
        <f>IFERROR(__xludf.DUMMYFUNCTION("""COMPUTED_VALUE"""),0.391836734693877)</f>
        <v>0.3918367347</v>
      </c>
      <c r="K163" s="8">
        <f>IFERROR(__xludf.DUMMYFUNCTION("""COMPUTED_VALUE"""),0.367088607594936)</f>
        <v>0.3670886076</v>
      </c>
      <c r="L163" s="8">
        <f>IFERROR(__xludf.DUMMYFUNCTION("""COMPUTED_VALUE"""),0.344036697247706)</f>
        <v>0.3440366972</v>
      </c>
      <c r="M163" s="8">
        <f>IFERROR(__xludf.DUMMYFUNCTION("""COMPUTED_VALUE"""),0.312348668280871)</f>
        <v>0.3123486683</v>
      </c>
      <c r="N163" s="8">
        <f>IFERROR(__xludf.DUMMYFUNCTION("""COMPUTED_VALUE"""),0.295165394402035)</f>
        <v>0.2951653944</v>
      </c>
      <c r="O163" s="8">
        <f>IFERROR(__xludf.DUMMYFUNCTION("""COMPUTED_VALUE"""),0.257861635220125)</f>
        <v>0.2578616352</v>
      </c>
      <c r="P163" s="8">
        <f>IFERROR(__xludf.DUMMYFUNCTION("""COMPUTED_VALUE"""),0.22397476340694)</f>
        <v>0.2239747634</v>
      </c>
      <c r="Q163" s="8">
        <f>IFERROR(__xludf.DUMMYFUNCTION("""COMPUTED_VALUE"""),0.05)</f>
        <v>0.05</v>
      </c>
      <c r="R163" s="8">
        <f>IFERROR(__xludf.DUMMYFUNCTION("""COMPUTED_VALUE"""),0.0)</f>
        <v>0</v>
      </c>
      <c r="S163" s="8">
        <f>IFERROR(__xludf.DUMMYFUNCTION("""COMPUTED_VALUE"""),0.0)</f>
        <v>0</v>
      </c>
      <c r="T163" s="8">
        <f>IFERROR(__xludf.DUMMYFUNCTION("""COMPUTED_VALUE"""),0.0)</f>
        <v>0</v>
      </c>
      <c r="U163" s="8">
        <f>IFERROR(__xludf.DUMMYFUNCTION("""COMPUTED_VALUE"""),0.0)</f>
        <v>0</v>
      </c>
      <c r="V163" s="8">
        <f>IFERROR(__xludf.DUMMYFUNCTION("""COMPUTED_VALUE"""),0.0)</f>
        <v>0</v>
      </c>
      <c r="W163" s="8">
        <f>IFERROR(__xludf.DUMMYFUNCTION("""COMPUTED_VALUE"""),0.0)</f>
        <v>0</v>
      </c>
      <c r="X163" s="8">
        <f>IFERROR(__xludf.DUMMYFUNCTION("""COMPUTED_VALUE"""),0.0)</f>
        <v>0</v>
      </c>
      <c r="Y163" s="8">
        <f>IFERROR(__xludf.DUMMYFUNCTION("""COMPUTED_VALUE"""),0.0)</f>
        <v>0</v>
      </c>
      <c r="Z163" s="8">
        <f>IFERROR(__xludf.DUMMYFUNCTION("""COMPUTED_VALUE"""),0.0)</f>
        <v>0</v>
      </c>
      <c r="AA163" s="8">
        <f>IFERROR(__xludf.DUMMYFUNCTION("""COMPUTED_VALUE"""),0.0)</f>
        <v>0</v>
      </c>
      <c r="AB163" s="8">
        <f>IFERROR(__xludf.DUMMYFUNCTION("""COMPUTED_VALUE"""),0.0)</f>
        <v>0</v>
      </c>
      <c r="AC163" s="8">
        <f>IFERROR(__xludf.DUMMYFUNCTION("""COMPUTED_VALUE"""),0.0)</f>
        <v>0</v>
      </c>
    </row>
    <row r="164" ht="15.75" customHeight="1">
      <c r="A164" s="6" t="str">
        <f>IFERROR(__xludf.DUMMYFUNCTION("""COMPUTED_VALUE"""),"95cfee76565a1eb0481e08f4f0da75fa4a0cdb74")</f>
        <v>95cfee76565a1eb0481e08f4f0da75fa4a0cdb74</v>
      </c>
      <c r="B164" s="6" t="str">
        <f>IFERROR(__xludf.DUMMYFUNCTION("""COMPUTED_VALUE"""),"Revenge Called Athena")</f>
        <v>Revenge Called Athena</v>
      </c>
      <c r="C164" s="6" t="str">
        <f>IFERROR(__xludf.DUMMYFUNCTION("""COMPUTED_VALUE"""),"Drama")</f>
        <v>Drama</v>
      </c>
      <c r="D164" s="5">
        <f>IFERROR(__xludf.DUMMYFUNCTION("""COMPUTED_VALUE"""),1307.0)</f>
        <v>1307</v>
      </c>
      <c r="E164" s="8">
        <f>IFERROR(__xludf.DUMMYFUNCTION("""COMPUTED_VALUE"""),0.931087289433384)</f>
        <v>0.9310872894</v>
      </c>
      <c r="F164" s="8">
        <f>IFERROR(__xludf.DUMMYFUNCTION("""COMPUTED_VALUE"""),0.673312883435582)</f>
        <v>0.6733128834</v>
      </c>
      <c r="G164" s="8">
        <f>IFERROR(__xludf.DUMMYFUNCTION("""COMPUTED_VALUE"""),0.623944742900997)</f>
        <v>0.6239447429</v>
      </c>
      <c r="H164" s="8">
        <f>IFERROR(__xludf.DUMMYFUNCTION("""COMPUTED_VALUE"""),0.595238095238095)</f>
        <v>0.5952380952</v>
      </c>
      <c r="I164" s="8">
        <f>IFERROR(__xludf.DUMMYFUNCTION("""COMPUTED_VALUE"""),0.575057736720554)</f>
        <v>0.5750577367</v>
      </c>
      <c r="J164" s="8">
        <f>IFERROR(__xludf.DUMMYFUNCTION("""COMPUTED_VALUE"""),0.555727554179566)</f>
        <v>0.5557275542</v>
      </c>
      <c r="K164" s="8">
        <f>IFERROR(__xludf.DUMMYFUNCTION("""COMPUTED_VALUE"""),0.533541341653666)</f>
        <v>0.5335413417</v>
      </c>
      <c r="L164" s="8">
        <f>IFERROR(__xludf.DUMMYFUNCTION("""COMPUTED_VALUE"""),0.514859437751004)</f>
        <v>0.5148594378</v>
      </c>
      <c r="M164" s="8">
        <f>IFERROR(__xludf.DUMMYFUNCTION("""COMPUTED_VALUE"""),0.507831821929101)</f>
        <v>0.5078318219</v>
      </c>
      <c r="N164" s="8">
        <f>IFERROR(__xludf.DUMMYFUNCTION("""COMPUTED_VALUE"""),0.4975)</f>
        <v>0.4975</v>
      </c>
      <c r="O164" s="8">
        <f>IFERROR(__xludf.DUMMYFUNCTION("""COMPUTED_VALUE"""),0.474759615384615)</f>
        <v>0.4747596154</v>
      </c>
      <c r="P164" s="8">
        <f>IFERROR(__xludf.DUMMYFUNCTION("""COMPUTED_VALUE"""),0.35506241331484)</f>
        <v>0.3550624133</v>
      </c>
      <c r="Q164" s="8">
        <f>IFERROR(__xludf.DUMMYFUNCTION("""COMPUTED_VALUE"""),0.268085106382978)</f>
        <v>0.2680851064</v>
      </c>
      <c r="R164" s="8">
        <f>IFERROR(__xludf.DUMMYFUNCTION("""COMPUTED_VALUE"""),0.125)</f>
        <v>0.125</v>
      </c>
      <c r="S164" s="8">
        <f>IFERROR(__xludf.DUMMYFUNCTION("""COMPUTED_VALUE"""),0.333333333333333)</f>
        <v>0.3333333333</v>
      </c>
      <c r="T164" s="8">
        <f>IFERROR(__xludf.DUMMYFUNCTION("""COMPUTED_VALUE"""),0.0)</f>
        <v>0</v>
      </c>
      <c r="U164" s="8">
        <f>IFERROR(__xludf.DUMMYFUNCTION("""COMPUTED_VALUE"""),0.0)</f>
        <v>0</v>
      </c>
      <c r="V164" s="8">
        <f>IFERROR(__xludf.DUMMYFUNCTION("""COMPUTED_VALUE"""),0.0)</f>
        <v>0</v>
      </c>
      <c r="W164" s="8">
        <f>IFERROR(__xludf.DUMMYFUNCTION("""COMPUTED_VALUE"""),0.0)</f>
        <v>0</v>
      </c>
      <c r="X164" s="8">
        <f>IFERROR(__xludf.DUMMYFUNCTION("""COMPUTED_VALUE"""),0.0)</f>
        <v>0</v>
      </c>
      <c r="Y164" s="8">
        <f>IFERROR(__xludf.DUMMYFUNCTION("""COMPUTED_VALUE"""),0.0)</f>
        <v>0</v>
      </c>
      <c r="Z164" s="8">
        <f>IFERROR(__xludf.DUMMYFUNCTION("""COMPUTED_VALUE"""),0.0)</f>
        <v>0</v>
      </c>
      <c r="AA164" s="8">
        <f>IFERROR(__xludf.DUMMYFUNCTION("""COMPUTED_VALUE"""),0.0)</f>
        <v>0</v>
      </c>
      <c r="AB164" s="8">
        <f>IFERROR(__xludf.DUMMYFUNCTION("""COMPUTED_VALUE"""),0.0)</f>
        <v>0</v>
      </c>
      <c r="AC164" s="8">
        <f>IFERROR(__xludf.DUMMYFUNCTION("""COMPUTED_VALUE"""),0.0)</f>
        <v>0</v>
      </c>
    </row>
    <row r="165" ht="15.75" customHeight="1">
      <c r="A165" s="6" t="str">
        <f>IFERROR(__xludf.DUMMYFUNCTION("""COMPUTED_VALUE"""),"964c4dbd3e851f0d215e0fc68b9c364303676665")</f>
        <v>964c4dbd3e851f0d215e0fc68b9c364303676665</v>
      </c>
      <c r="B165" s="6" t="str">
        <f>IFERROR(__xludf.DUMMYFUNCTION("""COMPUTED_VALUE"""),"The Governor's Wife")</f>
        <v>The Governor's Wife</v>
      </c>
      <c r="C165" s="6" t="str">
        <f>IFERROR(__xludf.DUMMYFUNCTION("""COMPUTED_VALUE"""),"Romance")</f>
        <v>Romance</v>
      </c>
      <c r="D165" s="5">
        <f>IFERROR(__xludf.DUMMYFUNCTION("""COMPUTED_VALUE"""),566.0)</f>
        <v>566</v>
      </c>
      <c r="E165" s="8">
        <f>IFERROR(__xludf.DUMMYFUNCTION("""COMPUTED_VALUE"""),0.954954954954955)</f>
        <v>0.954954955</v>
      </c>
      <c r="F165" s="8">
        <f>IFERROR(__xludf.DUMMYFUNCTION("""COMPUTED_VALUE"""),0.68984962406015)</f>
        <v>0.6898496241</v>
      </c>
      <c r="G165" s="8">
        <f>IFERROR(__xludf.DUMMYFUNCTION("""COMPUTED_VALUE"""),0.664047151277013)</f>
        <v>0.6640471513</v>
      </c>
      <c r="H165" s="8">
        <f>IFERROR(__xludf.DUMMYFUNCTION("""COMPUTED_VALUE"""),0.624489795918367)</f>
        <v>0.6244897959</v>
      </c>
      <c r="I165" s="8">
        <f>IFERROR(__xludf.DUMMYFUNCTION("""COMPUTED_VALUE"""),0.582978723404255)</f>
        <v>0.5829787234</v>
      </c>
      <c r="J165" s="8">
        <f>IFERROR(__xludf.DUMMYFUNCTION("""COMPUTED_VALUE"""),0.523595505617977)</f>
        <v>0.5235955056</v>
      </c>
      <c r="K165" s="8">
        <f>IFERROR(__xludf.DUMMYFUNCTION("""COMPUTED_VALUE"""),0.480459770114942)</f>
        <v>0.4804597701</v>
      </c>
      <c r="L165" s="8">
        <f>IFERROR(__xludf.DUMMYFUNCTION("""COMPUTED_VALUE"""),0.439205955334987)</f>
        <v>0.4392059553</v>
      </c>
      <c r="M165" s="8">
        <f>IFERROR(__xludf.DUMMYFUNCTION("""COMPUTED_VALUE"""),0.402597402597402)</f>
        <v>0.4025974026</v>
      </c>
      <c r="N165" s="8">
        <f>IFERROR(__xludf.DUMMYFUNCTION("""COMPUTED_VALUE"""),0.347578347578347)</f>
        <v>0.3475783476</v>
      </c>
      <c r="O165" s="8">
        <f>IFERROR(__xludf.DUMMYFUNCTION("""COMPUTED_VALUE"""),0.223728813559322)</f>
        <v>0.2237288136</v>
      </c>
      <c r="P165" s="8">
        <f>IFERROR(__xludf.DUMMYFUNCTION("""COMPUTED_VALUE"""),0.147058823529411)</f>
        <v>0.1470588235</v>
      </c>
      <c r="Q165" s="8">
        <f>IFERROR(__xludf.DUMMYFUNCTION("""COMPUTED_VALUE"""),0.0)</f>
        <v>0</v>
      </c>
      <c r="R165" s="8">
        <f>IFERROR(__xludf.DUMMYFUNCTION("""COMPUTED_VALUE"""),0.0)</f>
        <v>0</v>
      </c>
      <c r="S165" s="8">
        <f>IFERROR(__xludf.DUMMYFUNCTION("""COMPUTED_VALUE"""),0.0)</f>
        <v>0</v>
      </c>
      <c r="T165" s="8">
        <f>IFERROR(__xludf.DUMMYFUNCTION("""COMPUTED_VALUE"""),0.0)</f>
        <v>0</v>
      </c>
      <c r="U165" s="8">
        <f>IFERROR(__xludf.DUMMYFUNCTION("""COMPUTED_VALUE"""),0.0)</f>
        <v>0</v>
      </c>
      <c r="V165" s="8">
        <f>IFERROR(__xludf.DUMMYFUNCTION("""COMPUTED_VALUE"""),0.0)</f>
        <v>0</v>
      </c>
      <c r="W165" s="8">
        <f>IFERROR(__xludf.DUMMYFUNCTION("""COMPUTED_VALUE"""),0.0)</f>
        <v>0</v>
      </c>
      <c r="X165" s="8">
        <f>IFERROR(__xludf.DUMMYFUNCTION("""COMPUTED_VALUE"""),0.0)</f>
        <v>0</v>
      </c>
      <c r="Y165" s="8">
        <f>IFERROR(__xludf.DUMMYFUNCTION("""COMPUTED_VALUE"""),0.0)</f>
        <v>0</v>
      </c>
      <c r="Z165" s="8">
        <f>IFERROR(__xludf.DUMMYFUNCTION("""COMPUTED_VALUE"""),0.0)</f>
        <v>0</v>
      </c>
      <c r="AA165" s="8">
        <f>IFERROR(__xludf.DUMMYFUNCTION("""COMPUTED_VALUE"""),0.0)</f>
        <v>0</v>
      </c>
      <c r="AB165" s="8">
        <f>IFERROR(__xludf.DUMMYFUNCTION("""COMPUTED_VALUE"""),0.0)</f>
        <v>0</v>
      </c>
      <c r="AC165" s="8">
        <f>IFERROR(__xludf.DUMMYFUNCTION("""COMPUTED_VALUE"""),0.0)</f>
        <v>0</v>
      </c>
    </row>
    <row r="166" ht="15.75" customHeight="1">
      <c r="A166" s="6" t="str">
        <f>IFERROR(__xludf.DUMMYFUNCTION("""COMPUTED_VALUE"""),"96f6721dc499b730f42b02d86e640d682f4f665d")</f>
        <v>96f6721dc499b730f42b02d86e640d682f4f665d</v>
      </c>
      <c r="B166" s="6" t="str">
        <f>IFERROR(__xludf.DUMMYFUNCTION("""COMPUTED_VALUE"""),"Last Witch of Swendel")</f>
        <v>Last Witch of Swendel</v>
      </c>
      <c r="C166" s="6" t="str">
        <f>IFERROR(__xludf.DUMMYFUNCTION("""COMPUTED_VALUE"""),"Romantasy")</f>
        <v>Romantasy</v>
      </c>
      <c r="D166" s="5">
        <f>IFERROR(__xludf.DUMMYFUNCTION("""COMPUTED_VALUE"""),3983.0)</f>
        <v>3983</v>
      </c>
      <c r="E166" s="8">
        <f>IFERROR(__xludf.DUMMYFUNCTION("""COMPUTED_VALUE"""),0.943509917147878)</f>
        <v>0.9435099171</v>
      </c>
      <c r="F166" s="8">
        <f>IFERROR(__xludf.DUMMYFUNCTION("""COMPUTED_VALUE"""),0.510681075647147)</f>
        <v>0.5106810756</v>
      </c>
      <c r="G166" s="8">
        <f>IFERROR(__xludf.DUMMYFUNCTION("""COMPUTED_VALUE"""),0.454111139049534)</f>
        <v>0.454111139</v>
      </c>
      <c r="H166" s="8">
        <f>IFERROR(__xludf.DUMMYFUNCTION("""COMPUTED_VALUE"""),0.416813491064686)</f>
        <v>0.4168134911</v>
      </c>
      <c r="I166" s="8">
        <f>IFERROR(__xludf.DUMMYFUNCTION("""COMPUTED_VALUE"""),0.393153788069468)</f>
        <v>0.3931537881</v>
      </c>
      <c r="J166" s="8">
        <f>IFERROR(__xludf.DUMMYFUNCTION("""COMPUTED_VALUE"""),0.37865055387714)</f>
        <v>0.3786505539</v>
      </c>
      <c r="K166" s="8">
        <f>IFERROR(__xludf.DUMMYFUNCTION("""COMPUTED_VALUE"""),0.363384537899773)</f>
        <v>0.3633845379</v>
      </c>
      <c r="L166" s="8">
        <f>IFERROR(__xludf.DUMMYFUNCTION("""COMPUTED_VALUE"""),0.350377833753148)</f>
        <v>0.3503778338</v>
      </c>
      <c r="M166" s="8">
        <f>IFERROR(__xludf.DUMMYFUNCTION("""COMPUTED_VALUE"""),0.342317380352644)</f>
        <v>0.3423173804</v>
      </c>
      <c r="N166" s="8">
        <f>IFERROR(__xludf.DUMMYFUNCTION("""COMPUTED_VALUE"""),0.335687263556116)</f>
        <v>0.3356872636</v>
      </c>
      <c r="O166" s="8">
        <f>IFERROR(__xludf.DUMMYFUNCTION("""COMPUTED_VALUE"""),0.30813953488372)</f>
        <v>0.3081395349</v>
      </c>
      <c r="P166" s="8">
        <f>IFERROR(__xludf.DUMMYFUNCTION("""COMPUTED_VALUE"""),0.243318910664291)</f>
        <v>0.2433189107</v>
      </c>
      <c r="Q166" s="8">
        <f>IFERROR(__xludf.DUMMYFUNCTION("""COMPUTED_VALUE"""),0.20640291514836)</f>
        <v>0.2064029151</v>
      </c>
      <c r="R166" s="8">
        <f>IFERROR(__xludf.DUMMYFUNCTION("""COMPUTED_VALUE"""),0.162587412587412)</f>
        <v>0.1625874126</v>
      </c>
      <c r="S166" s="8">
        <f>IFERROR(__xludf.DUMMYFUNCTION("""COMPUTED_VALUE"""),0.120054570259208)</f>
        <v>0.1200545703</v>
      </c>
      <c r="T166" s="8">
        <f>IFERROR(__xludf.DUMMYFUNCTION("""COMPUTED_VALUE"""),0.0952768729641693)</f>
        <v>0.09527687296</v>
      </c>
      <c r="U166" s="8">
        <f>IFERROR(__xludf.DUMMYFUNCTION("""COMPUTED_VALUE"""),0.0744274809160305)</f>
        <v>0.07442748092</v>
      </c>
      <c r="V166" s="8">
        <f>IFERROR(__xludf.DUMMYFUNCTION("""COMPUTED_VALUE"""),0.0847457627118644)</f>
        <v>0.08474576271</v>
      </c>
      <c r="W166" s="8">
        <f>IFERROR(__xludf.DUMMYFUNCTION("""COMPUTED_VALUE"""),0.0779220779220779)</f>
        <v>0.07792207792</v>
      </c>
      <c r="X166" s="8">
        <f>IFERROR(__xludf.DUMMYFUNCTION("""COMPUTED_VALUE"""),0.0)</f>
        <v>0</v>
      </c>
      <c r="Y166" s="8">
        <f>IFERROR(__xludf.DUMMYFUNCTION("""COMPUTED_VALUE"""),0.0)</f>
        <v>0</v>
      </c>
      <c r="Z166" s="8">
        <f>IFERROR(__xludf.DUMMYFUNCTION("""COMPUTED_VALUE"""),0.0)</f>
        <v>0</v>
      </c>
      <c r="AA166" s="8">
        <f>IFERROR(__xludf.DUMMYFUNCTION("""COMPUTED_VALUE"""),0.0)</f>
        <v>0</v>
      </c>
      <c r="AB166" s="8">
        <f>IFERROR(__xludf.DUMMYFUNCTION("""COMPUTED_VALUE"""),0.0)</f>
        <v>0</v>
      </c>
      <c r="AC166" s="8">
        <f>IFERROR(__xludf.DUMMYFUNCTION("""COMPUTED_VALUE"""),0.0)</f>
        <v>0</v>
      </c>
    </row>
    <row r="167" ht="15.75" customHeight="1">
      <c r="A167" s="6" t="str">
        <f>IFERROR(__xludf.DUMMYFUNCTION("""COMPUTED_VALUE"""),"97bf3d3427830d8b1bc0c5929b0c0832cbf02a25")</f>
        <v>97bf3d3427830d8b1bc0c5929b0c0832cbf02a25</v>
      </c>
      <c r="B167" s="6" t="str">
        <f>IFERROR(__xludf.DUMMYFUNCTION("""COMPUTED_VALUE"""),"The Miraculous Physician")</f>
        <v>The Miraculous Physician</v>
      </c>
      <c r="C167" s="6" t="str">
        <f>IFERROR(__xludf.DUMMYFUNCTION("""COMPUTED_VALUE"""),"System and Superpower")</f>
        <v>System and Superpower</v>
      </c>
      <c r="D167" s="5">
        <f>IFERROR(__xludf.DUMMYFUNCTION("""COMPUTED_VALUE"""),282.0)</f>
        <v>282</v>
      </c>
      <c r="E167" s="8">
        <f>IFERROR(__xludf.DUMMYFUNCTION("""COMPUTED_VALUE"""),0.956043956043956)</f>
        <v>0.956043956</v>
      </c>
      <c r="F167" s="8">
        <f>IFERROR(__xludf.DUMMYFUNCTION("""COMPUTED_VALUE"""),0.496153846153846)</f>
        <v>0.4961538462</v>
      </c>
      <c r="G167" s="8">
        <f>IFERROR(__xludf.DUMMYFUNCTION("""COMPUTED_VALUE"""),0.416666666666666)</f>
        <v>0.4166666667</v>
      </c>
      <c r="H167" s="8">
        <f>IFERROR(__xludf.DUMMYFUNCTION("""COMPUTED_VALUE"""),0.348360655737704)</f>
        <v>0.3483606557</v>
      </c>
      <c r="I167" s="8">
        <f>IFERROR(__xludf.DUMMYFUNCTION("""COMPUTED_VALUE"""),0.327731092436974)</f>
        <v>0.3277310924</v>
      </c>
      <c r="J167" s="8">
        <f>IFERROR(__xludf.DUMMYFUNCTION("""COMPUTED_VALUE"""),0.305309734513274)</f>
        <v>0.3053097345</v>
      </c>
      <c r="K167" s="8">
        <f>IFERROR(__xludf.DUMMYFUNCTION("""COMPUTED_VALUE"""),0.279620853080568)</f>
        <v>0.2796208531</v>
      </c>
      <c r="L167" s="8">
        <f>IFERROR(__xludf.DUMMYFUNCTION("""COMPUTED_VALUE"""),0.259459459459459)</f>
        <v>0.2594594595</v>
      </c>
      <c r="M167" s="8">
        <f>IFERROR(__xludf.DUMMYFUNCTION("""COMPUTED_VALUE"""),0.240963855421686)</f>
        <v>0.2409638554</v>
      </c>
      <c r="N167" s="8">
        <f>IFERROR(__xludf.DUMMYFUNCTION("""COMPUTED_VALUE"""),0.216)</f>
        <v>0.216</v>
      </c>
      <c r="O167" s="8">
        <f>IFERROR(__xludf.DUMMYFUNCTION("""COMPUTED_VALUE"""),0.461538461538461)</f>
        <v>0.4615384615</v>
      </c>
      <c r="P167" s="8">
        <f>IFERROR(__xludf.DUMMYFUNCTION("""COMPUTED_VALUE"""),1.0)</f>
        <v>1</v>
      </c>
      <c r="Q167" s="8">
        <f>IFERROR(__xludf.DUMMYFUNCTION("""COMPUTED_VALUE"""),0.0)</f>
        <v>0</v>
      </c>
      <c r="R167" s="8">
        <f>IFERROR(__xludf.DUMMYFUNCTION("""COMPUTED_VALUE"""),0.0)</f>
        <v>0</v>
      </c>
      <c r="S167" s="8">
        <f>IFERROR(__xludf.DUMMYFUNCTION("""COMPUTED_VALUE"""),0.0)</f>
        <v>0</v>
      </c>
      <c r="T167" s="8">
        <f>IFERROR(__xludf.DUMMYFUNCTION("""COMPUTED_VALUE"""),0.0)</f>
        <v>0</v>
      </c>
      <c r="U167" s="8">
        <f>IFERROR(__xludf.DUMMYFUNCTION("""COMPUTED_VALUE"""),0.0)</f>
        <v>0</v>
      </c>
      <c r="V167" s="8">
        <f>IFERROR(__xludf.DUMMYFUNCTION("""COMPUTED_VALUE"""),0.0)</f>
        <v>0</v>
      </c>
      <c r="W167" s="8">
        <f>IFERROR(__xludf.DUMMYFUNCTION("""COMPUTED_VALUE"""),0.0)</f>
        <v>0</v>
      </c>
      <c r="X167" s="8">
        <f>IFERROR(__xludf.DUMMYFUNCTION("""COMPUTED_VALUE"""),0.0)</f>
        <v>0</v>
      </c>
      <c r="Y167" s="8">
        <f>IFERROR(__xludf.DUMMYFUNCTION("""COMPUTED_VALUE"""),0.0)</f>
        <v>0</v>
      </c>
      <c r="Z167" s="8">
        <f>IFERROR(__xludf.DUMMYFUNCTION("""COMPUTED_VALUE"""),0.0)</f>
        <v>0</v>
      </c>
      <c r="AA167" s="8">
        <f>IFERROR(__xludf.DUMMYFUNCTION("""COMPUTED_VALUE"""),0.0)</f>
        <v>0</v>
      </c>
      <c r="AB167" s="8">
        <f>IFERROR(__xludf.DUMMYFUNCTION("""COMPUTED_VALUE"""),0.0)</f>
        <v>0</v>
      </c>
      <c r="AC167" s="8">
        <f>IFERROR(__xludf.DUMMYFUNCTION("""COMPUTED_VALUE"""),0.0)</f>
        <v>0</v>
      </c>
    </row>
    <row r="168" ht="15.75" customHeight="1">
      <c r="A168" s="6" t="str">
        <f>IFERROR(__xludf.DUMMYFUNCTION("""COMPUTED_VALUE"""),"97d2593a35303e42da5da630e9d8848fa086fc93")</f>
        <v>97d2593a35303e42da5da630e9d8848fa086fc93</v>
      </c>
      <c r="B168" s="6" t="str">
        <f>IFERROR(__xludf.DUMMYFUNCTION("""COMPUTED_VALUE"""),"Spying on My Rebel Alpha")</f>
        <v>Spying on My Rebel Alpha</v>
      </c>
      <c r="C168" s="6" t="str">
        <f>IFERROR(__xludf.DUMMYFUNCTION("""COMPUTED_VALUE"""),"Romantasy")</f>
        <v>Romantasy</v>
      </c>
      <c r="D168" s="5">
        <f>IFERROR(__xludf.DUMMYFUNCTION("""COMPUTED_VALUE"""),2441.0)</f>
        <v>2441</v>
      </c>
      <c r="E168" s="8">
        <f>IFERROR(__xludf.DUMMYFUNCTION("""COMPUTED_VALUE"""),0.966379663796638)</f>
        <v>0.9663796638</v>
      </c>
      <c r="F168" s="8">
        <f>IFERROR(__xludf.DUMMYFUNCTION("""COMPUTED_VALUE"""),0.468775677896466)</f>
        <v>0.4687756779</v>
      </c>
      <c r="G168" s="8">
        <f>IFERROR(__xludf.DUMMYFUNCTION("""COMPUTED_VALUE"""),0.397451705713111)</f>
        <v>0.3974517057</v>
      </c>
      <c r="H168" s="8">
        <f>IFERROR(__xludf.DUMMYFUNCTION("""COMPUTED_VALUE"""),0.360608552631578)</f>
        <v>0.3606085526</v>
      </c>
      <c r="I168" s="8">
        <f>IFERROR(__xludf.DUMMYFUNCTION("""COMPUTED_VALUE"""),0.328536184210526)</f>
        <v>0.3285361842</v>
      </c>
      <c r="J168" s="8">
        <f>IFERROR(__xludf.DUMMYFUNCTION("""COMPUTED_VALUE"""),0.306836902800659)</f>
        <v>0.3068369028</v>
      </c>
      <c r="K168" s="8">
        <f>IFERROR(__xludf.DUMMYFUNCTION("""COMPUTED_VALUE"""),0.293899422918384)</f>
        <v>0.2938994229</v>
      </c>
      <c r="L168" s="8">
        <f>IFERROR(__xludf.DUMMYFUNCTION("""COMPUTED_VALUE"""),0.279867713931376)</f>
        <v>0.2798677139</v>
      </c>
      <c r="M168" s="8">
        <f>IFERROR(__xludf.DUMMYFUNCTION("""COMPUTED_VALUE"""),0.268974145120934)</f>
        <v>0.2689741451</v>
      </c>
      <c r="N168" s="8">
        <f>IFERROR(__xludf.DUMMYFUNCTION("""COMPUTED_VALUE"""),0.264953664700926)</f>
        <v>0.2649536647</v>
      </c>
      <c r="O168" s="8">
        <f>IFERROR(__xludf.DUMMYFUNCTION("""COMPUTED_VALUE"""),0.229931972789115)</f>
        <v>0.2299319728</v>
      </c>
      <c r="P168" s="8">
        <f>IFERROR(__xludf.DUMMYFUNCTION("""COMPUTED_VALUE"""),0.179368745188606)</f>
        <v>0.1793687452</v>
      </c>
      <c r="Q168" s="8">
        <f>IFERROR(__xludf.DUMMYFUNCTION("""COMPUTED_VALUE"""),0.139240506329113)</f>
        <v>0.1392405063</v>
      </c>
      <c r="R168" s="8">
        <f>IFERROR(__xludf.DUMMYFUNCTION("""COMPUTED_VALUE"""),0.0)</f>
        <v>0</v>
      </c>
      <c r="S168" s="8">
        <f>IFERROR(__xludf.DUMMYFUNCTION("""COMPUTED_VALUE"""),0.0)</f>
        <v>0</v>
      </c>
      <c r="T168" s="8">
        <f>IFERROR(__xludf.DUMMYFUNCTION("""COMPUTED_VALUE"""),0.0)</f>
        <v>0</v>
      </c>
      <c r="U168" s="8">
        <f>IFERROR(__xludf.DUMMYFUNCTION("""COMPUTED_VALUE"""),0.0)</f>
        <v>0</v>
      </c>
      <c r="V168" s="8">
        <f>IFERROR(__xludf.DUMMYFUNCTION("""COMPUTED_VALUE"""),0.0)</f>
        <v>0</v>
      </c>
      <c r="W168" s="8">
        <f>IFERROR(__xludf.DUMMYFUNCTION("""COMPUTED_VALUE"""),0.0)</f>
        <v>0</v>
      </c>
      <c r="X168" s="8">
        <f>IFERROR(__xludf.DUMMYFUNCTION("""COMPUTED_VALUE"""),0.0)</f>
        <v>0</v>
      </c>
      <c r="Y168" s="8">
        <f>IFERROR(__xludf.DUMMYFUNCTION("""COMPUTED_VALUE"""),0.0)</f>
        <v>0</v>
      </c>
      <c r="Z168" s="8">
        <f>IFERROR(__xludf.DUMMYFUNCTION("""COMPUTED_VALUE"""),0.0)</f>
        <v>0</v>
      </c>
      <c r="AA168" s="8">
        <f>IFERROR(__xludf.DUMMYFUNCTION("""COMPUTED_VALUE"""),0.0)</f>
        <v>0</v>
      </c>
      <c r="AB168" s="8">
        <f>IFERROR(__xludf.DUMMYFUNCTION("""COMPUTED_VALUE"""),0.0)</f>
        <v>0</v>
      </c>
      <c r="AC168" s="8">
        <f>IFERROR(__xludf.DUMMYFUNCTION("""COMPUTED_VALUE"""),0.0)</f>
        <v>0</v>
      </c>
    </row>
    <row r="169" ht="15.75" customHeight="1">
      <c r="A169" s="6" t="str">
        <f>IFERROR(__xludf.DUMMYFUNCTION("""COMPUTED_VALUE"""),"9897c34ca7143cb319fd56943504e8f8be1550c2")</f>
        <v>9897c34ca7143cb319fd56943504e8f8be1550c2</v>
      </c>
      <c r="B169" s="6" t="str">
        <f>IFERROR(__xludf.DUMMYFUNCTION("""COMPUTED_VALUE"""),"Priced Royal Kiss")</f>
        <v>Priced Royal Kiss</v>
      </c>
      <c r="C169" s="6" t="str">
        <f>IFERROR(__xludf.DUMMYFUNCTION("""COMPUTED_VALUE"""),"Drama")</f>
        <v>Drama</v>
      </c>
      <c r="D169" s="5">
        <f>IFERROR(__xludf.DUMMYFUNCTION("""COMPUTED_VALUE"""),403.0)</f>
        <v>403</v>
      </c>
      <c r="E169" s="8">
        <f>IFERROR(__xludf.DUMMYFUNCTION("""COMPUTED_VALUE"""),0.944584382871536)</f>
        <v>0.9445843829</v>
      </c>
      <c r="F169" s="8">
        <f>IFERROR(__xludf.DUMMYFUNCTION("""COMPUTED_VALUE"""),0.539240506329113)</f>
        <v>0.5392405063</v>
      </c>
      <c r="G169" s="8">
        <f>IFERROR(__xludf.DUMMYFUNCTION("""COMPUTED_VALUE"""),0.491094147582697)</f>
        <v>0.4910941476</v>
      </c>
      <c r="H169" s="8">
        <f>IFERROR(__xludf.DUMMYFUNCTION("""COMPUTED_VALUE"""),0.455242966751918)</f>
        <v>0.4552429668</v>
      </c>
      <c r="I169" s="8">
        <f>IFERROR(__xludf.DUMMYFUNCTION("""COMPUTED_VALUE"""),0.427461139896373)</f>
        <v>0.4274611399</v>
      </c>
      <c r="J169" s="8">
        <f>IFERROR(__xludf.DUMMYFUNCTION("""COMPUTED_VALUE"""),0.393139841688654)</f>
        <v>0.3931398417</v>
      </c>
      <c r="K169" s="8">
        <f>IFERROR(__xludf.DUMMYFUNCTION("""COMPUTED_VALUE"""),0.393617021276595)</f>
        <v>0.3936170213</v>
      </c>
      <c r="L169" s="8">
        <f>IFERROR(__xludf.DUMMYFUNCTION("""COMPUTED_VALUE"""),0.390835579514824)</f>
        <v>0.3908355795</v>
      </c>
      <c r="M169" s="8">
        <f>IFERROR(__xludf.DUMMYFUNCTION("""COMPUTED_VALUE"""),0.393530997304582)</f>
        <v>0.3935309973</v>
      </c>
      <c r="N169" s="8">
        <f>IFERROR(__xludf.DUMMYFUNCTION("""COMPUTED_VALUE"""),0.385674931129476)</f>
        <v>0.3856749311</v>
      </c>
      <c r="O169" s="8">
        <f>IFERROR(__xludf.DUMMYFUNCTION("""COMPUTED_VALUE"""),0.321705426356589)</f>
        <v>0.3217054264</v>
      </c>
      <c r="P169" s="8">
        <f>IFERROR(__xludf.DUMMYFUNCTION("""COMPUTED_VALUE"""),0.269911504424778)</f>
        <v>0.2699115044</v>
      </c>
      <c r="Q169" s="8">
        <f>IFERROR(__xludf.DUMMYFUNCTION("""COMPUTED_VALUE"""),0.186528497409326)</f>
        <v>0.1865284974</v>
      </c>
      <c r="R169" s="8">
        <f>IFERROR(__xludf.DUMMYFUNCTION("""COMPUTED_VALUE"""),0.150943396226415)</f>
        <v>0.1509433962</v>
      </c>
      <c r="S169" s="8">
        <f>IFERROR(__xludf.DUMMYFUNCTION("""COMPUTED_VALUE"""),0.123893805309734)</f>
        <v>0.1238938053</v>
      </c>
      <c r="T169" s="8">
        <f>IFERROR(__xludf.DUMMYFUNCTION("""COMPUTED_VALUE"""),0.106060606060606)</f>
        <v>0.1060606061</v>
      </c>
      <c r="U169" s="8">
        <f>IFERROR(__xludf.DUMMYFUNCTION("""COMPUTED_VALUE"""),0.04)</f>
        <v>0.04</v>
      </c>
      <c r="V169" s="8">
        <f>IFERROR(__xludf.DUMMYFUNCTION("""COMPUTED_VALUE"""),0.0)</f>
        <v>0</v>
      </c>
      <c r="W169" s="8">
        <f>IFERROR(__xludf.DUMMYFUNCTION("""COMPUTED_VALUE"""),0.0)</f>
        <v>0</v>
      </c>
      <c r="X169" s="8">
        <f>IFERROR(__xludf.DUMMYFUNCTION("""COMPUTED_VALUE"""),0.0)</f>
        <v>0</v>
      </c>
      <c r="Y169" s="8">
        <f>IFERROR(__xludf.DUMMYFUNCTION("""COMPUTED_VALUE"""),0.0)</f>
        <v>0</v>
      </c>
      <c r="Z169" s="8">
        <f>IFERROR(__xludf.DUMMYFUNCTION("""COMPUTED_VALUE"""),0.0)</f>
        <v>0</v>
      </c>
      <c r="AA169" s="8">
        <f>IFERROR(__xludf.DUMMYFUNCTION("""COMPUTED_VALUE"""),0.0)</f>
        <v>0</v>
      </c>
      <c r="AB169" s="8">
        <f>IFERROR(__xludf.DUMMYFUNCTION("""COMPUTED_VALUE"""),0.0)</f>
        <v>0</v>
      </c>
      <c r="AC169" s="8">
        <f>IFERROR(__xludf.DUMMYFUNCTION("""COMPUTED_VALUE"""),0.0)</f>
        <v>0</v>
      </c>
    </row>
    <row r="170" ht="15.75" customHeight="1">
      <c r="A170" s="6" t="str">
        <f>IFERROR(__xludf.DUMMYFUNCTION("""COMPUTED_VALUE"""),"9b25cb8fec3919f6398cf69f6cec44382a44749e")</f>
        <v>9b25cb8fec3919f6398cf69f6cec44382a44749e</v>
      </c>
      <c r="B170" s="6" t="str">
        <f>IFERROR(__xludf.DUMMYFUNCTION("""COMPUTED_VALUE"""),"The Immortal's Mark")</f>
        <v>The Immortal's Mark</v>
      </c>
      <c r="C170" s="6" t="str">
        <f>IFERROR(__xludf.DUMMYFUNCTION("""COMPUTED_VALUE"""),"Romantasy")</f>
        <v>Romantasy</v>
      </c>
      <c r="D170" s="5">
        <f>IFERROR(__xludf.DUMMYFUNCTION("""COMPUTED_VALUE"""),2572.0)</f>
        <v>2572</v>
      </c>
      <c r="E170" s="8">
        <f>IFERROR(__xludf.DUMMYFUNCTION("""COMPUTED_VALUE"""),0.968185388845247)</f>
        <v>0.9681853888</v>
      </c>
      <c r="F170" s="8">
        <f>IFERROR(__xludf.DUMMYFUNCTION("""COMPUTED_VALUE"""),0.546248511314013)</f>
        <v>0.5462485113</v>
      </c>
      <c r="G170" s="8">
        <f>IFERROR(__xludf.DUMMYFUNCTION("""COMPUTED_VALUE"""),0.463756507809371)</f>
        <v>0.4637565078</v>
      </c>
      <c r="H170" s="8">
        <f>IFERROR(__xludf.DUMMYFUNCTION("""COMPUTED_VALUE"""),0.393449251920744)</f>
        <v>0.3934492519</v>
      </c>
      <c r="I170" s="8">
        <f>IFERROR(__xludf.DUMMYFUNCTION("""COMPUTED_VALUE"""),0.354285714285714)</f>
        <v>0.3542857143</v>
      </c>
      <c r="J170" s="8">
        <f>IFERROR(__xludf.DUMMYFUNCTION("""COMPUTED_VALUE"""),0.325082508250825)</f>
        <v>0.3250825083</v>
      </c>
      <c r="K170" s="8">
        <f>IFERROR(__xludf.DUMMYFUNCTION("""COMPUTED_VALUE"""),0.298544698544698)</f>
        <v>0.2985446985</v>
      </c>
      <c r="L170" s="8">
        <f>IFERROR(__xludf.DUMMYFUNCTION("""COMPUTED_VALUE"""),0.284450063211125)</f>
        <v>0.2844500632</v>
      </c>
      <c r="M170" s="8">
        <f>IFERROR(__xludf.DUMMYFUNCTION("""COMPUTED_VALUE"""),0.272146507666098)</f>
        <v>0.2721465077</v>
      </c>
      <c r="N170" s="8">
        <f>IFERROR(__xludf.DUMMYFUNCTION("""COMPUTED_VALUE"""),0.255062473071951)</f>
        <v>0.2550624731</v>
      </c>
      <c r="O170" s="8">
        <f>IFERROR(__xludf.DUMMYFUNCTION("""COMPUTED_VALUE"""),0.221498371335504)</f>
        <v>0.2214983713</v>
      </c>
      <c r="P170" s="8">
        <f>IFERROR(__xludf.DUMMYFUNCTION("""COMPUTED_VALUE"""),0.172503920543648)</f>
        <v>0.1725039205</v>
      </c>
      <c r="Q170" s="8">
        <f>IFERROR(__xludf.DUMMYFUNCTION("""COMPUTED_VALUE"""),0.126910299003322)</f>
        <v>0.126910299</v>
      </c>
      <c r="R170" s="8">
        <f>IFERROR(__xludf.DUMMYFUNCTION("""COMPUTED_VALUE"""),0.0974188176519567)</f>
        <v>0.09741881765</v>
      </c>
      <c r="S170" s="8">
        <f>IFERROR(__xludf.DUMMYFUNCTION("""COMPUTED_VALUE"""),0.0663667041619797)</f>
        <v>0.06636670416</v>
      </c>
      <c r="T170" s="8">
        <f>IFERROR(__xludf.DUMMYFUNCTION("""COMPUTED_VALUE"""),0.0676691729323308)</f>
        <v>0.06766917293</v>
      </c>
      <c r="U170" s="8">
        <f>IFERROR(__xludf.DUMMYFUNCTION("""COMPUTED_VALUE"""),0.0833333333333333)</f>
        <v>0.08333333333</v>
      </c>
      <c r="V170" s="8">
        <f>IFERROR(__xludf.DUMMYFUNCTION("""COMPUTED_VALUE"""),0.0)</f>
        <v>0</v>
      </c>
      <c r="W170" s="8">
        <f>IFERROR(__xludf.DUMMYFUNCTION("""COMPUTED_VALUE"""),0.0)</f>
        <v>0</v>
      </c>
      <c r="X170" s="8">
        <f>IFERROR(__xludf.DUMMYFUNCTION("""COMPUTED_VALUE"""),0.0)</f>
        <v>0</v>
      </c>
      <c r="Y170" s="8">
        <f>IFERROR(__xludf.DUMMYFUNCTION("""COMPUTED_VALUE"""),0.0)</f>
        <v>0</v>
      </c>
      <c r="Z170" s="8">
        <f>IFERROR(__xludf.DUMMYFUNCTION("""COMPUTED_VALUE"""),0.0)</f>
        <v>0</v>
      </c>
      <c r="AA170" s="8">
        <f>IFERROR(__xludf.DUMMYFUNCTION("""COMPUTED_VALUE"""),0.0)</f>
        <v>0</v>
      </c>
      <c r="AB170" s="8">
        <f>IFERROR(__xludf.DUMMYFUNCTION("""COMPUTED_VALUE"""),0.0)</f>
        <v>0</v>
      </c>
      <c r="AC170" s="8">
        <f>IFERROR(__xludf.DUMMYFUNCTION("""COMPUTED_VALUE"""),0.0)</f>
        <v>0</v>
      </c>
    </row>
    <row r="171" ht="15.75" customHeight="1">
      <c r="A171" s="6" t="str">
        <f>IFERROR(__xludf.DUMMYFUNCTION("""COMPUTED_VALUE"""),"9c5a320e8591b0aad996347bc17f53479097ac00")</f>
        <v>9c5a320e8591b0aad996347bc17f53479097ac00</v>
      </c>
      <c r="B171" s="6" t="str">
        <f>IFERROR(__xludf.DUMMYFUNCTION("""COMPUTED_VALUE"""),"Dad's a Billionaire")</f>
        <v>Dad's a Billionaire</v>
      </c>
      <c r="C171" s="6" t="str">
        <f>IFERROR(__xludf.DUMMYFUNCTION("""COMPUTED_VALUE"""),"Romance")</f>
        <v>Romance</v>
      </c>
      <c r="D171" s="5">
        <f>IFERROR(__xludf.DUMMYFUNCTION("""COMPUTED_VALUE"""),318.0)</f>
        <v>318</v>
      </c>
      <c r="E171" s="8">
        <f>IFERROR(__xludf.DUMMYFUNCTION("""COMPUTED_VALUE"""),0.973597359735973)</f>
        <v>0.9735973597</v>
      </c>
      <c r="F171" s="8">
        <f>IFERROR(__xludf.DUMMYFUNCTION("""COMPUTED_VALUE"""),0.545454545454545)</f>
        <v>0.5454545455</v>
      </c>
      <c r="G171" s="8">
        <f>IFERROR(__xludf.DUMMYFUNCTION("""COMPUTED_VALUE"""),0.432653061224489)</f>
        <v>0.4326530612</v>
      </c>
      <c r="H171" s="8">
        <f>IFERROR(__xludf.DUMMYFUNCTION("""COMPUTED_VALUE"""),0.408695652173913)</f>
        <v>0.4086956522</v>
      </c>
      <c r="I171" s="8">
        <f>IFERROR(__xludf.DUMMYFUNCTION("""COMPUTED_VALUE"""),0.36036036036036)</f>
        <v>0.3603603604</v>
      </c>
      <c r="J171" s="8">
        <f>IFERROR(__xludf.DUMMYFUNCTION("""COMPUTED_VALUE"""),0.320197044334975)</f>
        <v>0.3201970443</v>
      </c>
      <c r="K171" s="8">
        <f>IFERROR(__xludf.DUMMYFUNCTION("""COMPUTED_VALUE"""),0.284974093264248)</f>
        <v>0.2849740933</v>
      </c>
      <c r="L171" s="8">
        <f>IFERROR(__xludf.DUMMYFUNCTION("""COMPUTED_VALUE"""),0.320441988950276)</f>
        <v>0.320441989</v>
      </c>
      <c r="M171" s="8">
        <f>IFERROR(__xludf.DUMMYFUNCTION("""COMPUTED_VALUE"""),0.311111111111111)</f>
        <v>0.3111111111</v>
      </c>
      <c r="N171" s="8">
        <f>IFERROR(__xludf.DUMMYFUNCTION("""COMPUTED_VALUE"""),0.266666666666666)</f>
        <v>0.2666666667</v>
      </c>
      <c r="O171" s="8">
        <f>IFERROR(__xludf.DUMMYFUNCTION("""COMPUTED_VALUE"""),0.289772727272727)</f>
        <v>0.2897727273</v>
      </c>
      <c r="P171" s="8">
        <f>IFERROR(__xludf.DUMMYFUNCTION("""COMPUTED_VALUE"""),0.221518987341772)</f>
        <v>0.2215189873</v>
      </c>
      <c r="Q171" s="8">
        <f>IFERROR(__xludf.DUMMYFUNCTION("""COMPUTED_VALUE"""),0.0)</f>
        <v>0</v>
      </c>
      <c r="R171" s="8">
        <f>IFERROR(__xludf.DUMMYFUNCTION("""COMPUTED_VALUE"""),0.0)</f>
        <v>0</v>
      </c>
      <c r="S171" s="8">
        <f>IFERROR(__xludf.DUMMYFUNCTION("""COMPUTED_VALUE"""),0.0)</f>
        <v>0</v>
      </c>
      <c r="T171" s="8">
        <f>IFERROR(__xludf.DUMMYFUNCTION("""COMPUTED_VALUE"""),0.0)</f>
        <v>0</v>
      </c>
      <c r="U171" s="8">
        <f>IFERROR(__xludf.DUMMYFUNCTION("""COMPUTED_VALUE"""),0.0)</f>
        <v>0</v>
      </c>
      <c r="V171" s="8">
        <f>IFERROR(__xludf.DUMMYFUNCTION("""COMPUTED_VALUE"""),0.0)</f>
        <v>0</v>
      </c>
      <c r="W171" s="8">
        <f>IFERROR(__xludf.DUMMYFUNCTION("""COMPUTED_VALUE"""),0.0)</f>
        <v>0</v>
      </c>
      <c r="X171" s="8">
        <f>IFERROR(__xludf.DUMMYFUNCTION("""COMPUTED_VALUE"""),0.0)</f>
        <v>0</v>
      </c>
      <c r="Y171" s="8">
        <f>IFERROR(__xludf.DUMMYFUNCTION("""COMPUTED_VALUE"""),0.0)</f>
        <v>0</v>
      </c>
      <c r="Z171" s="8">
        <f>IFERROR(__xludf.DUMMYFUNCTION("""COMPUTED_VALUE"""),0.0)</f>
        <v>0</v>
      </c>
      <c r="AA171" s="8">
        <f>IFERROR(__xludf.DUMMYFUNCTION("""COMPUTED_VALUE"""),0.0)</f>
        <v>0</v>
      </c>
      <c r="AB171" s="8">
        <f>IFERROR(__xludf.DUMMYFUNCTION("""COMPUTED_VALUE"""),0.0)</f>
        <v>0</v>
      </c>
      <c r="AC171" s="8">
        <f>IFERROR(__xludf.DUMMYFUNCTION("""COMPUTED_VALUE"""),0.0)</f>
        <v>0</v>
      </c>
    </row>
    <row r="172" ht="15.75" customHeight="1">
      <c r="A172" s="6" t="str">
        <f>IFERROR(__xludf.DUMMYFUNCTION("""COMPUTED_VALUE"""),"9d3f3024e967ac2c104ada98aa10c481cd0f9e38")</f>
        <v>9d3f3024e967ac2c104ada98aa10c481cd0f9e38</v>
      </c>
      <c r="B172" s="6" t="str">
        <f>IFERROR(__xludf.DUMMYFUNCTION("""COMPUTED_VALUE"""),"The Wrong Mrs. Carter")</f>
        <v>The Wrong Mrs. Carter</v>
      </c>
      <c r="C172" s="6" t="str">
        <f>IFERROR(__xludf.DUMMYFUNCTION("""COMPUTED_VALUE"""),"Romance")</f>
        <v>Romance</v>
      </c>
      <c r="D172" s="5">
        <f>IFERROR(__xludf.DUMMYFUNCTION("""COMPUTED_VALUE"""),390.0)</f>
        <v>390</v>
      </c>
      <c r="E172" s="8">
        <f>IFERROR(__xludf.DUMMYFUNCTION("""COMPUTED_VALUE"""),0.939828080229226)</f>
        <v>0.9398280802</v>
      </c>
      <c r="F172" s="8">
        <f>IFERROR(__xludf.DUMMYFUNCTION("""COMPUTED_VALUE"""),0.670175438596491)</f>
        <v>0.6701754386</v>
      </c>
      <c r="G172" s="8">
        <f>IFERROR(__xludf.DUMMYFUNCTION("""COMPUTED_VALUE"""),0.647058823529411)</f>
        <v>0.6470588235</v>
      </c>
      <c r="H172" s="8">
        <f>IFERROR(__xludf.DUMMYFUNCTION("""COMPUTED_VALUE"""),0.604838709677419)</f>
        <v>0.6048387097</v>
      </c>
      <c r="I172" s="8">
        <f>IFERROR(__xludf.DUMMYFUNCTION("""COMPUTED_VALUE"""),0.568548387096774)</f>
        <v>0.5685483871</v>
      </c>
      <c r="J172" s="8">
        <f>IFERROR(__xludf.DUMMYFUNCTION("""COMPUTED_VALUE"""),0.556451612903225)</f>
        <v>0.5564516129</v>
      </c>
      <c r="K172" s="8">
        <f>IFERROR(__xludf.DUMMYFUNCTION("""COMPUTED_VALUE"""),0.524193548387096)</f>
        <v>0.5241935484</v>
      </c>
      <c r="L172" s="8">
        <f>IFERROR(__xludf.DUMMYFUNCTION("""COMPUTED_VALUE"""),0.475806451612903)</f>
        <v>0.4758064516</v>
      </c>
      <c r="M172" s="8">
        <f>IFERROR(__xludf.DUMMYFUNCTION("""COMPUTED_VALUE"""),0.431623931623931)</f>
        <v>0.4316239316</v>
      </c>
      <c r="N172" s="8">
        <f>IFERROR(__xludf.DUMMYFUNCTION("""COMPUTED_VALUE"""),0.439655172413793)</f>
        <v>0.4396551724</v>
      </c>
      <c r="O172" s="8">
        <f>IFERROR(__xludf.DUMMYFUNCTION("""COMPUTED_VALUE"""),0.293333333333333)</f>
        <v>0.2933333333</v>
      </c>
      <c r="P172" s="8">
        <f>IFERROR(__xludf.DUMMYFUNCTION("""COMPUTED_VALUE"""),0.155963302752293)</f>
        <v>0.1559633028</v>
      </c>
      <c r="Q172" s="8">
        <f>IFERROR(__xludf.DUMMYFUNCTION("""COMPUTED_VALUE"""),0.081967213114754)</f>
        <v>0.08196721311</v>
      </c>
      <c r="R172" s="8">
        <f>IFERROR(__xludf.DUMMYFUNCTION("""COMPUTED_VALUE"""),0.0)</f>
        <v>0</v>
      </c>
      <c r="S172" s="8">
        <f>IFERROR(__xludf.DUMMYFUNCTION("""COMPUTED_VALUE"""),0.0)</f>
        <v>0</v>
      </c>
      <c r="T172" s="8">
        <f>IFERROR(__xludf.DUMMYFUNCTION("""COMPUTED_VALUE"""),0.0)</f>
        <v>0</v>
      </c>
      <c r="U172" s="8">
        <f>IFERROR(__xludf.DUMMYFUNCTION("""COMPUTED_VALUE"""),0.0)</f>
        <v>0</v>
      </c>
      <c r="V172" s="8">
        <f>IFERROR(__xludf.DUMMYFUNCTION("""COMPUTED_VALUE"""),0.0)</f>
        <v>0</v>
      </c>
      <c r="W172" s="8">
        <f>IFERROR(__xludf.DUMMYFUNCTION("""COMPUTED_VALUE"""),0.0)</f>
        <v>0</v>
      </c>
      <c r="X172" s="8">
        <f>IFERROR(__xludf.DUMMYFUNCTION("""COMPUTED_VALUE"""),0.0)</f>
        <v>0</v>
      </c>
      <c r="Y172" s="8">
        <f>IFERROR(__xludf.DUMMYFUNCTION("""COMPUTED_VALUE"""),0.0)</f>
        <v>0</v>
      </c>
      <c r="Z172" s="8">
        <f>IFERROR(__xludf.DUMMYFUNCTION("""COMPUTED_VALUE"""),0.0)</f>
        <v>0</v>
      </c>
      <c r="AA172" s="8">
        <f>IFERROR(__xludf.DUMMYFUNCTION("""COMPUTED_VALUE"""),0.0)</f>
        <v>0</v>
      </c>
      <c r="AB172" s="8">
        <f>IFERROR(__xludf.DUMMYFUNCTION("""COMPUTED_VALUE"""),0.0)</f>
        <v>0</v>
      </c>
      <c r="AC172" s="8">
        <f>IFERROR(__xludf.DUMMYFUNCTION("""COMPUTED_VALUE"""),0.0)</f>
        <v>0</v>
      </c>
    </row>
    <row r="173" ht="15.75" customHeight="1">
      <c r="A173" s="6" t="str">
        <f>IFERROR(__xludf.DUMMYFUNCTION("""COMPUTED_VALUE"""),"9eb4932b6e7663416bee5ea2d2dd1b2ced5727be")</f>
        <v>9eb4932b6e7663416bee5ea2d2dd1b2ced5727be</v>
      </c>
      <c r="B173" s="6" t="str">
        <f>IFERROR(__xludf.DUMMYFUNCTION("""COMPUTED_VALUE"""),"Rise of the God Mage")</f>
        <v>Rise of the God Mage</v>
      </c>
      <c r="C173" s="6" t="str">
        <f>IFERROR(__xludf.DUMMYFUNCTION("""COMPUTED_VALUE"""),"Fantasy")</f>
        <v>Fantasy</v>
      </c>
      <c r="D173" s="5">
        <f>IFERROR(__xludf.DUMMYFUNCTION("""COMPUTED_VALUE"""),954.0)</f>
        <v>954</v>
      </c>
      <c r="E173" s="8">
        <f>IFERROR(__xludf.DUMMYFUNCTION("""COMPUTED_VALUE"""),0.9863301787592)</f>
        <v>0.9863301788</v>
      </c>
      <c r="F173" s="8">
        <f>IFERROR(__xludf.DUMMYFUNCTION("""COMPUTED_VALUE"""),0.680805938494167)</f>
        <v>0.6808059385</v>
      </c>
      <c r="G173" s="8">
        <f>IFERROR(__xludf.DUMMYFUNCTION("""COMPUTED_VALUE"""),0.607863974495217)</f>
        <v>0.6078639745</v>
      </c>
      <c r="H173" s="8">
        <f>IFERROR(__xludf.DUMMYFUNCTION("""COMPUTED_VALUE"""),0.578778135048231)</f>
        <v>0.578778135</v>
      </c>
      <c r="I173" s="8">
        <f>IFERROR(__xludf.DUMMYFUNCTION("""COMPUTED_VALUE"""),0.537953795379537)</f>
        <v>0.5379537954</v>
      </c>
      <c r="J173" s="8">
        <f>IFERROR(__xludf.DUMMYFUNCTION("""COMPUTED_VALUE"""),0.509670079635949)</f>
        <v>0.5096700796</v>
      </c>
      <c r="K173" s="8">
        <f>IFERROR(__xludf.DUMMYFUNCTION("""COMPUTED_VALUE"""),0.502457002457002)</f>
        <v>0.5024570025</v>
      </c>
      <c r="L173" s="8">
        <f>IFERROR(__xludf.DUMMYFUNCTION("""COMPUTED_VALUE"""),0.475627769571639)</f>
        <v>0.4756277696</v>
      </c>
      <c r="M173" s="8">
        <f>IFERROR(__xludf.DUMMYFUNCTION("""COMPUTED_VALUE"""),0.45933734939759)</f>
        <v>0.4593373494</v>
      </c>
      <c r="N173" s="8">
        <f>IFERROR(__xludf.DUMMYFUNCTION("""COMPUTED_VALUE"""),0.412631578947368)</f>
        <v>0.4126315789</v>
      </c>
      <c r="O173" s="8">
        <f>IFERROR(__xludf.DUMMYFUNCTION("""COMPUTED_VALUE"""),0.382882882882882)</f>
        <v>0.3828828829</v>
      </c>
      <c r="P173" s="8">
        <f>IFERROR(__xludf.DUMMYFUNCTION("""COMPUTED_VALUE"""),0.309734513274336)</f>
        <v>0.3097345133</v>
      </c>
      <c r="Q173" s="8">
        <f>IFERROR(__xludf.DUMMYFUNCTION("""COMPUTED_VALUE"""),0.0)</f>
        <v>0</v>
      </c>
      <c r="R173" s="8">
        <f>IFERROR(__xludf.DUMMYFUNCTION("""COMPUTED_VALUE"""),0.0)</f>
        <v>0</v>
      </c>
      <c r="S173" s="8">
        <f>IFERROR(__xludf.DUMMYFUNCTION("""COMPUTED_VALUE"""),0.0)</f>
        <v>0</v>
      </c>
      <c r="T173" s="8">
        <f>IFERROR(__xludf.DUMMYFUNCTION("""COMPUTED_VALUE"""),0.0)</f>
        <v>0</v>
      </c>
      <c r="U173" s="8">
        <f>IFERROR(__xludf.DUMMYFUNCTION("""COMPUTED_VALUE"""),0.0)</f>
        <v>0</v>
      </c>
      <c r="V173" s="8">
        <f>IFERROR(__xludf.DUMMYFUNCTION("""COMPUTED_VALUE"""),0.0)</f>
        <v>0</v>
      </c>
      <c r="W173" s="8">
        <f>IFERROR(__xludf.DUMMYFUNCTION("""COMPUTED_VALUE"""),0.0)</f>
        <v>0</v>
      </c>
      <c r="X173" s="8">
        <f>IFERROR(__xludf.DUMMYFUNCTION("""COMPUTED_VALUE"""),0.0)</f>
        <v>0</v>
      </c>
      <c r="Y173" s="8">
        <f>IFERROR(__xludf.DUMMYFUNCTION("""COMPUTED_VALUE"""),0.0)</f>
        <v>0</v>
      </c>
      <c r="Z173" s="8">
        <f>IFERROR(__xludf.DUMMYFUNCTION("""COMPUTED_VALUE"""),0.0)</f>
        <v>0</v>
      </c>
      <c r="AA173" s="8">
        <f>IFERROR(__xludf.DUMMYFUNCTION("""COMPUTED_VALUE"""),0.0)</f>
        <v>0</v>
      </c>
      <c r="AB173" s="8">
        <f>IFERROR(__xludf.DUMMYFUNCTION("""COMPUTED_VALUE"""),0.0)</f>
        <v>0</v>
      </c>
      <c r="AC173" s="8">
        <f>IFERROR(__xludf.DUMMYFUNCTION("""COMPUTED_VALUE"""),0.0)</f>
        <v>0</v>
      </c>
    </row>
    <row r="174" ht="15.75" customHeight="1">
      <c r="A174" s="6" t="str">
        <f>IFERROR(__xludf.DUMMYFUNCTION("""COMPUTED_VALUE"""),"9f288c1b7bcd6e6181338579ca44a178a5b21573")</f>
        <v>9f288c1b7bcd6e6181338579ca44a178a5b21573</v>
      </c>
      <c r="B174" s="6" t="str">
        <f>IFERROR(__xludf.DUMMYFUNCTION("""COMPUTED_VALUE"""),"Vows of Blood &amp; Diamonds")</f>
        <v>Vows of Blood &amp; Diamonds</v>
      </c>
      <c r="C174" s="6" t="str">
        <f>IFERROR(__xludf.DUMMYFUNCTION("""COMPUTED_VALUE"""),"Romance")</f>
        <v>Romance</v>
      </c>
      <c r="D174" s="5">
        <f>IFERROR(__xludf.DUMMYFUNCTION("""COMPUTED_VALUE"""),325.0)</f>
        <v>325</v>
      </c>
      <c r="E174" s="8">
        <f>IFERROR(__xludf.DUMMYFUNCTION("""COMPUTED_VALUE"""),0.978193146417445)</f>
        <v>0.9781931464</v>
      </c>
      <c r="F174" s="8">
        <f>IFERROR(__xludf.DUMMYFUNCTION("""COMPUTED_VALUE"""),0.374213836477987)</f>
        <v>0.3742138365</v>
      </c>
      <c r="G174" s="8">
        <f>IFERROR(__xludf.DUMMYFUNCTION("""COMPUTED_VALUE"""),0.302547770700636)</f>
        <v>0.3025477707</v>
      </c>
      <c r="H174" s="8">
        <f>IFERROR(__xludf.DUMMYFUNCTION("""COMPUTED_VALUE"""),0.293729372937293)</f>
        <v>0.2937293729</v>
      </c>
      <c r="I174" s="8">
        <f>IFERROR(__xludf.DUMMYFUNCTION("""COMPUTED_VALUE"""),0.273648648648648)</f>
        <v>0.2736486486</v>
      </c>
      <c r="J174" s="8">
        <f>IFERROR(__xludf.DUMMYFUNCTION("""COMPUTED_VALUE"""),0.242957746478873)</f>
        <v>0.2429577465</v>
      </c>
      <c r="K174" s="8">
        <f>IFERROR(__xludf.DUMMYFUNCTION("""COMPUTED_VALUE"""),0.221818181818181)</f>
        <v>0.2218181818</v>
      </c>
      <c r="L174" s="8">
        <f>IFERROR(__xludf.DUMMYFUNCTION("""COMPUTED_VALUE"""),0.208333333333333)</f>
        <v>0.2083333333</v>
      </c>
      <c r="M174" s="8">
        <f>IFERROR(__xludf.DUMMYFUNCTION("""COMPUTED_VALUE"""),0.202290076335877)</f>
        <v>0.2022900763</v>
      </c>
      <c r="N174" s="8">
        <f>IFERROR(__xludf.DUMMYFUNCTION("""COMPUTED_VALUE"""),0.173228346456692)</f>
        <v>0.1732283465</v>
      </c>
      <c r="O174" s="8">
        <f>IFERROR(__xludf.DUMMYFUNCTION("""COMPUTED_VALUE"""),0.144859813084112)</f>
        <v>0.1448598131</v>
      </c>
      <c r="P174" s="8">
        <f>IFERROR(__xludf.DUMMYFUNCTION("""COMPUTED_VALUE"""),0.147286821705426)</f>
        <v>0.1472868217</v>
      </c>
      <c r="Q174" s="8">
        <f>IFERROR(__xludf.DUMMYFUNCTION("""COMPUTED_VALUE"""),0.06)</f>
        <v>0.06</v>
      </c>
      <c r="R174" s="8">
        <f>IFERROR(__xludf.DUMMYFUNCTION("""COMPUTED_VALUE"""),0.0588235294117647)</f>
        <v>0.05882352941</v>
      </c>
      <c r="S174" s="8">
        <f>IFERROR(__xludf.DUMMYFUNCTION("""COMPUTED_VALUE"""),0.0)</f>
        <v>0</v>
      </c>
      <c r="T174" s="8">
        <f>IFERROR(__xludf.DUMMYFUNCTION("""COMPUTED_VALUE"""),0.0)</f>
        <v>0</v>
      </c>
      <c r="U174" s="8">
        <f>IFERROR(__xludf.DUMMYFUNCTION("""COMPUTED_VALUE"""),0.0)</f>
        <v>0</v>
      </c>
      <c r="V174" s="8">
        <f>IFERROR(__xludf.DUMMYFUNCTION("""COMPUTED_VALUE"""),0.0)</f>
        <v>0</v>
      </c>
      <c r="W174" s="8">
        <f>IFERROR(__xludf.DUMMYFUNCTION("""COMPUTED_VALUE"""),0.0)</f>
        <v>0</v>
      </c>
      <c r="X174" s="8">
        <f>IFERROR(__xludf.DUMMYFUNCTION("""COMPUTED_VALUE"""),0.0)</f>
        <v>0</v>
      </c>
      <c r="Y174" s="8">
        <f>IFERROR(__xludf.DUMMYFUNCTION("""COMPUTED_VALUE"""),0.0)</f>
        <v>0</v>
      </c>
      <c r="Z174" s="8">
        <f>IFERROR(__xludf.DUMMYFUNCTION("""COMPUTED_VALUE"""),0.0)</f>
        <v>0</v>
      </c>
      <c r="AA174" s="8">
        <f>IFERROR(__xludf.DUMMYFUNCTION("""COMPUTED_VALUE"""),0.0)</f>
        <v>0</v>
      </c>
      <c r="AB174" s="8">
        <f>IFERROR(__xludf.DUMMYFUNCTION("""COMPUTED_VALUE"""),0.0)</f>
        <v>0</v>
      </c>
      <c r="AC174" s="8">
        <f>IFERROR(__xludf.DUMMYFUNCTION("""COMPUTED_VALUE"""),0.0)</f>
        <v>0</v>
      </c>
    </row>
    <row r="175" ht="15.75" customHeight="1">
      <c r="A175" s="6" t="str">
        <f>IFERROR(__xludf.DUMMYFUNCTION("""COMPUTED_VALUE"""),"a028c06a528d6bc1425340cbedd71880abd4ad2b")</f>
        <v>a028c06a528d6bc1425340cbedd71880abd4ad2b</v>
      </c>
      <c r="B175" s="6" t="str">
        <f>IFERROR(__xludf.DUMMYFUNCTION("""COMPUTED_VALUE"""),"Rejected Luna's Secret")</f>
        <v>Rejected Luna's Secret</v>
      </c>
      <c r="C175" s="6" t="str">
        <f>IFERROR(__xludf.DUMMYFUNCTION("""COMPUTED_VALUE"""),"Romantasy")</f>
        <v>Romantasy</v>
      </c>
      <c r="D175" s="5">
        <f>IFERROR(__xludf.DUMMYFUNCTION("""COMPUTED_VALUE"""),628.0)</f>
        <v>628</v>
      </c>
      <c r="E175" s="8">
        <f>IFERROR(__xludf.DUMMYFUNCTION("""COMPUTED_VALUE"""),0.984555984555984)</f>
        <v>0.9845559846</v>
      </c>
      <c r="F175" s="8">
        <f>IFERROR(__xludf.DUMMYFUNCTION("""COMPUTED_VALUE"""),0.637724550898203)</f>
        <v>0.6377245509</v>
      </c>
      <c r="G175" s="8">
        <f>IFERROR(__xludf.DUMMYFUNCTION("""COMPUTED_VALUE"""),0.524163568773234)</f>
        <v>0.5241635688</v>
      </c>
      <c r="H175" s="8">
        <f>IFERROR(__xludf.DUMMYFUNCTION("""COMPUTED_VALUE"""),0.493333333333333)</f>
        <v>0.4933333333</v>
      </c>
      <c r="I175" s="8">
        <f>IFERROR(__xludf.DUMMYFUNCTION("""COMPUTED_VALUE"""),0.450892857142857)</f>
        <v>0.4508928571</v>
      </c>
      <c r="J175" s="8">
        <f>IFERROR(__xludf.DUMMYFUNCTION("""COMPUTED_VALUE"""),0.415178571428571)</f>
        <v>0.4151785714</v>
      </c>
      <c r="K175" s="8">
        <f>IFERROR(__xludf.DUMMYFUNCTION("""COMPUTED_VALUE"""),0.36036036036036)</f>
        <v>0.3603603604</v>
      </c>
      <c r="L175" s="8">
        <f>IFERROR(__xludf.DUMMYFUNCTION("""COMPUTED_VALUE"""),0.306306306306306)</f>
        <v>0.3063063063</v>
      </c>
      <c r="M175" s="8">
        <f>IFERROR(__xludf.DUMMYFUNCTION("""COMPUTED_VALUE"""),0.293023255813953)</f>
        <v>0.2930232558</v>
      </c>
      <c r="N175" s="8">
        <f>IFERROR(__xludf.DUMMYFUNCTION("""COMPUTED_VALUE"""),0.270531400966183)</f>
        <v>0.270531401</v>
      </c>
      <c r="O175" s="8">
        <f>IFERROR(__xludf.DUMMYFUNCTION("""COMPUTED_VALUE"""),0.266666666666666)</f>
        <v>0.2666666667</v>
      </c>
      <c r="P175" s="8">
        <f>IFERROR(__xludf.DUMMYFUNCTION("""COMPUTED_VALUE"""),0.0)</f>
        <v>0</v>
      </c>
      <c r="Q175" s="8">
        <f>IFERROR(__xludf.DUMMYFUNCTION("""COMPUTED_VALUE"""),0.0)</f>
        <v>0</v>
      </c>
      <c r="R175" s="8">
        <f>IFERROR(__xludf.DUMMYFUNCTION("""COMPUTED_VALUE"""),0.0)</f>
        <v>0</v>
      </c>
      <c r="S175" s="8">
        <f>IFERROR(__xludf.DUMMYFUNCTION("""COMPUTED_VALUE"""),0.0)</f>
        <v>0</v>
      </c>
      <c r="T175" s="8">
        <f>IFERROR(__xludf.DUMMYFUNCTION("""COMPUTED_VALUE"""),0.0)</f>
        <v>0</v>
      </c>
      <c r="U175" s="8">
        <f>IFERROR(__xludf.DUMMYFUNCTION("""COMPUTED_VALUE"""),0.0)</f>
        <v>0</v>
      </c>
      <c r="V175" s="8">
        <f>IFERROR(__xludf.DUMMYFUNCTION("""COMPUTED_VALUE"""),0.0)</f>
        <v>0</v>
      </c>
      <c r="W175" s="8">
        <f>IFERROR(__xludf.DUMMYFUNCTION("""COMPUTED_VALUE"""),0.0)</f>
        <v>0</v>
      </c>
      <c r="X175" s="8">
        <f>IFERROR(__xludf.DUMMYFUNCTION("""COMPUTED_VALUE"""),0.0)</f>
        <v>0</v>
      </c>
      <c r="Y175" s="8">
        <f>IFERROR(__xludf.DUMMYFUNCTION("""COMPUTED_VALUE"""),0.0)</f>
        <v>0</v>
      </c>
      <c r="Z175" s="8">
        <f>IFERROR(__xludf.DUMMYFUNCTION("""COMPUTED_VALUE"""),0.0)</f>
        <v>0</v>
      </c>
      <c r="AA175" s="8">
        <f>IFERROR(__xludf.DUMMYFUNCTION("""COMPUTED_VALUE"""),0.0)</f>
        <v>0</v>
      </c>
      <c r="AB175" s="8">
        <f>IFERROR(__xludf.DUMMYFUNCTION("""COMPUTED_VALUE"""),0.0)</f>
        <v>0</v>
      </c>
      <c r="AC175" s="8">
        <f>IFERROR(__xludf.DUMMYFUNCTION("""COMPUTED_VALUE"""),0.0)</f>
        <v>0</v>
      </c>
    </row>
    <row r="176" ht="15.75" customHeight="1">
      <c r="A176" s="6" t="str">
        <f>IFERROR(__xludf.DUMMYFUNCTION("""COMPUTED_VALUE"""),"a09fd281233c0dee7a45d32647f68bb0142a3b96")</f>
        <v>a09fd281233c0dee7a45d32647f68bb0142a3b96</v>
      </c>
      <c r="B176" s="6" t="str">
        <f>IFERROR(__xludf.DUMMYFUNCTION("""COMPUTED_VALUE"""),"The Comatose Billionaire")</f>
        <v>The Comatose Billionaire</v>
      </c>
      <c r="C176" s="6" t="str">
        <f>IFERROR(__xludf.DUMMYFUNCTION("""COMPUTED_VALUE"""),"Romance")</f>
        <v>Romance</v>
      </c>
      <c r="D176" s="5">
        <f>IFERROR(__xludf.DUMMYFUNCTION("""COMPUTED_VALUE"""),1128.0)</f>
        <v>1128</v>
      </c>
      <c r="E176" s="8">
        <f>IFERROR(__xludf.DUMMYFUNCTION("""COMPUTED_VALUE"""),0.949423247559893)</f>
        <v>0.9494232476</v>
      </c>
      <c r="F176" s="8">
        <f>IFERROR(__xludf.DUMMYFUNCTION("""COMPUTED_VALUE"""),0.616681455190772)</f>
        <v>0.6166814552</v>
      </c>
      <c r="G176" s="8">
        <f>IFERROR(__xludf.DUMMYFUNCTION("""COMPUTED_VALUE"""),0.552888888888888)</f>
        <v>0.5528888889</v>
      </c>
      <c r="H176" s="8">
        <f>IFERROR(__xludf.DUMMYFUNCTION("""COMPUTED_VALUE"""),0.528940338379341)</f>
        <v>0.5289403384</v>
      </c>
      <c r="I176" s="8">
        <f>IFERROR(__xludf.DUMMYFUNCTION("""COMPUTED_VALUE"""),0.508474576271186)</f>
        <v>0.5084745763</v>
      </c>
      <c r="J176" s="8">
        <f>IFERROR(__xludf.DUMMYFUNCTION("""COMPUTED_VALUE"""),0.499553969669937)</f>
        <v>0.4995539697</v>
      </c>
      <c r="K176" s="8">
        <f>IFERROR(__xludf.DUMMYFUNCTION("""COMPUTED_VALUE"""),0.46875)</f>
        <v>0.46875</v>
      </c>
      <c r="L176" s="8">
        <f>IFERROR(__xludf.DUMMYFUNCTION("""COMPUTED_VALUE"""),0.427167113494191)</f>
        <v>0.4271671135</v>
      </c>
      <c r="M176" s="8">
        <f>IFERROR(__xludf.DUMMYFUNCTION("""COMPUTED_VALUE"""),0.393208221626452)</f>
        <v>0.3932082216</v>
      </c>
      <c r="N176" s="8">
        <f>IFERROR(__xludf.DUMMYFUNCTION("""COMPUTED_VALUE"""),0.352993744414655)</f>
        <v>0.3529937444</v>
      </c>
      <c r="O176" s="8">
        <f>IFERROR(__xludf.DUMMYFUNCTION("""COMPUTED_VALUE"""),0.291360294117647)</f>
        <v>0.2913602941</v>
      </c>
      <c r="P176" s="8">
        <f>IFERROR(__xludf.DUMMYFUNCTION("""COMPUTED_VALUE"""),0.180443548387096)</f>
        <v>0.1804435484</v>
      </c>
      <c r="Q176" s="8">
        <f>IFERROR(__xludf.DUMMYFUNCTION("""COMPUTED_VALUE"""),0.104966139954853)</f>
        <v>0.10496614</v>
      </c>
      <c r="R176" s="8">
        <f>IFERROR(__xludf.DUMMYFUNCTION("""COMPUTED_VALUE"""),0.05625)</f>
        <v>0.05625</v>
      </c>
      <c r="S176" s="8">
        <f>IFERROR(__xludf.DUMMYFUNCTION("""COMPUTED_VALUE"""),0.0)</f>
        <v>0</v>
      </c>
      <c r="T176" s="8">
        <f>IFERROR(__xludf.DUMMYFUNCTION("""COMPUTED_VALUE"""),0.0)</f>
        <v>0</v>
      </c>
      <c r="U176" s="8">
        <f>IFERROR(__xludf.DUMMYFUNCTION("""COMPUTED_VALUE"""),0.0)</f>
        <v>0</v>
      </c>
      <c r="V176" s="8">
        <f>IFERROR(__xludf.DUMMYFUNCTION("""COMPUTED_VALUE"""),0.0)</f>
        <v>0</v>
      </c>
      <c r="W176" s="8">
        <f>IFERROR(__xludf.DUMMYFUNCTION("""COMPUTED_VALUE"""),0.0)</f>
        <v>0</v>
      </c>
      <c r="X176" s="8">
        <f>IFERROR(__xludf.DUMMYFUNCTION("""COMPUTED_VALUE"""),0.0)</f>
        <v>0</v>
      </c>
      <c r="Y176" s="8">
        <f>IFERROR(__xludf.DUMMYFUNCTION("""COMPUTED_VALUE"""),0.0)</f>
        <v>0</v>
      </c>
      <c r="Z176" s="8">
        <f>IFERROR(__xludf.DUMMYFUNCTION("""COMPUTED_VALUE"""),0.0)</f>
        <v>0</v>
      </c>
      <c r="AA176" s="8">
        <f>IFERROR(__xludf.DUMMYFUNCTION("""COMPUTED_VALUE"""),0.0)</f>
        <v>0</v>
      </c>
      <c r="AB176" s="8">
        <f>IFERROR(__xludf.DUMMYFUNCTION("""COMPUTED_VALUE"""),0.0)</f>
        <v>0</v>
      </c>
      <c r="AC176" s="8">
        <f>IFERROR(__xludf.DUMMYFUNCTION("""COMPUTED_VALUE"""),0.0)</f>
        <v>0</v>
      </c>
    </row>
    <row r="177" ht="15.75" customHeight="1">
      <c r="A177" s="6" t="str">
        <f>IFERROR(__xludf.DUMMYFUNCTION("""COMPUTED_VALUE"""),"a0f8c5bd5bdb02bdaa499febc39e36611127769b")</f>
        <v>a0f8c5bd5bdb02bdaa499febc39e36611127769b</v>
      </c>
      <c r="B177" s="6" t="str">
        <f>IFERROR(__xludf.DUMMYFUNCTION("""COMPUTED_VALUE"""),"The Wedding He Stole")</f>
        <v>The Wedding He Stole</v>
      </c>
      <c r="C177" s="6" t="str">
        <f>IFERROR(__xludf.DUMMYFUNCTION("""COMPUTED_VALUE"""),"Romance")</f>
        <v>Romance</v>
      </c>
      <c r="D177" s="5">
        <f>IFERROR(__xludf.DUMMYFUNCTION("""COMPUTED_VALUE"""),617.0)</f>
        <v>617</v>
      </c>
      <c r="E177" s="8">
        <f>IFERROR(__xludf.DUMMYFUNCTION("""COMPUTED_VALUE"""),0.948136142625607)</f>
        <v>0.9481361426</v>
      </c>
      <c r="F177" s="8">
        <f>IFERROR(__xludf.DUMMYFUNCTION("""COMPUTED_VALUE"""),0.681818181818181)</f>
        <v>0.6818181818</v>
      </c>
      <c r="G177" s="8">
        <f>IFERROR(__xludf.DUMMYFUNCTION("""COMPUTED_VALUE"""),0.655844155844155)</f>
        <v>0.6558441558</v>
      </c>
      <c r="H177" s="8">
        <f>IFERROR(__xludf.DUMMYFUNCTION("""COMPUTED_VALUE"""),0.624796084828711)</f>
        <v>0.6247960848</v>
      </c>
      <c r="I177" s="8">
        <f>IFERROR(__xludf.DUMMYFUNCTION("""COMPUTED_VALUE"""),0.575856443719412)</f>
        <v>0.5758564437</v>
      </c>
      <c r="J177" s="8">
        <f>IFERROR(__xludf.DUMMYFUNCTION("""COMPUTED_VALUE"""),0.477124183006536)</f>
        <v>0.477124183</v>
      </c>
      <c r="K177" s="8">
        <f>IFERROR(__xludf.DUMMYFUNCTION("""COMPUTED_VALUE"""),0.429508196721311)</f>
        <v>0.4295081967</v>
      </c>
      <c r="L177" s="8">
        <f>IFERROR(__xludf.DUMMYFUNCTION("""COMPUTED_VALUE"""),0.41543513957307)</f>
        <v>0.4154351396</v>
      </c>
      <c r="M177" s="8">
        <f>IFERROR(__xludf.DUMMYFUNCTION("""COMPUTED_VALUE"""),0.345963756177924)</f>
        <v>0.3459637562</v>
      </c>
      <c r="N177" s="8">
        <f>IFERROR(__xludf.DUMMYFUNCTION("""COMPUTED_VALUE"""),0.312913907284768)</f>
        <v>0.3129139073</v>
      </c>
      <c r="O177" s="8">
        <f>IFERROR(__xludf.DUMMYFUNCTION("""COMPUTED_VALUE"""),0.225621414913957)</f>
        <v>0.2256214149</v>
      </c>
      <c r="P177" s="8">
        <f>IFERROR(__xludf.DUMMYFUNCTION("""COMPUTED_VALUE"""),0.103274559193954)</f>
        <v>0.1032745592</v>
      </c>
      <c r="Q177" s="8">
        <f>IFERROR(__xludf.DUMMYFUNCTION("""COMPUTED_VALUE"""),0.0)</f>
        <v>0</v>
      </c>
      <c r="R177" s="8">
        <f>IFERROR(__xludf.DUMMYFUNCTION("""COMPUTED_VALUE"""),0.0)</f>
        <v>0</v>
      </c>
      <c r="S177" s="8">
        <f>IFERROR(__xludf.DUMMYFUNCTION("""COMPUTED_VALUE"""),0.0)</f>
        <v>0</v>
      </c>
      <c r="T177" s="8">
        <f>IFERROR(__xludf.DUMMYFUNCTION("""COMPUTED_VALUE"""),0.0)</f>
        <v>0</v>
      </c>
      <c r="U177" s="8">
        <f>IFERROR(__xludf.DUMMYFUNCTION("""COMPUTED_VALUE"""),0.0)</f>
        <v>0</v>
      </c>
      <c r="V177" s="8">
        <f>IFERROR(__xludf.DUMMYFUNCTION("""COMPUTED_VALUE"""),0.0)</f>
        <v>0</v>
      </c>
      <c r="W177" s="8">
        <f>IFERROR(__xludf.DUMMYFUNCTION("""COMPUTED_VALUE"""),0.0)</f>
        <v>0</v>
      </c>
      <c r="X177" s="8">
        <f>IFERROR(__xludf.DUMMYFUNCTION("""COMPUTED_VALUE"""),0.0)</f>
        <v>0</v>
      </c>
      <c r="Y177" s="8">
        <f>IFERROR(__xludf.DUMMYFUNCTION("""COMPUTED_VALUE"""),0.0)</f>
        <v>0</v>
      </c>
      <c r="Z177" s="8">
        <f>IFERROR(__xludf.DUMMYFUNCTION("""COMPUTED_VALUE"""),0.0)</f>
        <v>0</v>
      </c>
      <c r="AA177" s="8">
        <f>IFERROR(__xludf.DUMMYFUNCTION("""COMPUTED_VALUE"""),0.0)</f>
        <v>0</v>
      </c>
      <c r="AB177" s="8">
        <f>IFERROR(__xludf.DUMMYFUNCTION("""COMPUTED_VALUE"""),0.0)</f>
        <v>0</v>
      </c>
      <c r="AC177" s="8">
        <f>IFERROR(__xludf.DUMMYFUNCTION("""COMPUTED_VALUE"""),0.0)</f>
        <v>0</v>
      </c>
    </row>
    <row r="178" ht="15.75" customHeight="1">
      <c r="A178" s="6" t="str">
        <f>IFERROR(__xludf.DUMMYFUNCTION("""COMPUTED_VALUE"""),"a20d15b2c087672afecf4c46baa7e9368a4cbb9f")</f>
        <v>a20d15b2c087672afecf4c46baa7e9368a4cbb9f</v>
      </c>
      <c r="B178" s="6" t="str">
        <f>IFERROR(__xludf.DUMMYFUNCTION("""COMPUTED_VALUE"""),"Secrets and Bloodline")</f>
        <v>Secrets and Bloodline</v>
      </c>
      <c r="C178" s="6" t="str">
        <f>IFERROR(__xludf.DUMMYFUNCTION("""COMPUTED_VALUE"""),"Romance")</f>
        <v>Romance</v>
      </c>
      <c r="D178" s="5">
        <f>IFERROR(__xludf.DUMMYFUNCTION("""COMPUTED_VALUE"""),160.0)</f>
        <v>160</v>
      </c>
      <c r="E178" s="8">
        <f>IFERROR(__xludf.DUMMYFUNCTION("""COMPUTED_VALUE"""),0.935897435897435)</f>
        <v>0.9358974359</v>
      </c>
      <c r="F178" s="8">
        <f>IFERROR(__xludf.DUMMYFUNCTION("""COMPUTED_VALUE"""),0.506756756756756)</f>
        <v>0.5067567568</v>
      </c>
      <c r="G178" s="8">
        <f>IFERROR(__xludf.DUMMYFUNCTION("""COMPUTED_VALUE"""),0.485915492957746)</f>
        <v>0.485915493</v>
      </c>
      <c r="H178" s="8">
        <f>IFERROR(__xludf.DUMMYFUNCTION("""COMPUTED_VALUE"""),0.407407407407407)</f>
        <v>0.4074074074</v>
      </c>
      <c r="I178" s="8">
        <f>IFERROR(__xludf.DUMMYFUNCTION("""COMPUTED_VALUE"""),0.371212121212121)</f>
        <v>0.3712121212</v>
      </c>
      <c r="J178" s="8">
        <f>IFERROR(__xludf.DUMMYFUNCTION("""COMPUTED_VALUE"""),0.314516129032258)</f>
        <v>0.314516129</v>
      </c>
      <c r="K178" s="8">
        <f>IFERROR(__xludf.DUMMYFUNCTION("""COMPUTED_VALUE"""),0.324786324786324)</f>
        <v>0.3247863248</v>
      </c>
      <c r="L178" s="8">
        <f>IFERROR(__xludf.DUMMYFUNCTION("""COMPUTED_VALUE"""),0.308411214953271)</f>
        <v>0.308411215</v>
      </c>
      <c r="M178" s="8">
        <f>IFERROR(__xludf.DUMMYFUNCTION("""COMPUTED_VALUE"""),0.339805825242718)</f>
        <v>0.3398058252</v>
      </c>
      <c r="N178" s="8">
        <f>IFERROR(__xludf.DUMMYFUNCTION("""COMPUTED_VALUE"""),0.34)</f>
        <v>0.34</v>
      </c>
      <c r="O178" s="8">
        <f>IFERROR(__xludf.DUMMYFUNCTION("""COMPUTED_VALUE"""),0.328767123287671)</f>
        <v>0.3287671233</v>
      </c>
      <c r="P178" s="8">
        <f>IFERROR(__xludf.DUMMYFUNCTION("""COMPUTED_VALUE"""),0.277777777777777)</f>
        <v>0.2777777778</v>
      </c>
      <c r="Q178" s="8">
        <f>IFERROR(__xludf.DUMMYFUNCTION("""COMPUTED_VALUE"""),0.147058823529411)</f>
        <v>0.1470588235</v>
      </c>
      <c r="R178" s="8">
        <f>IFERROR(__xludf.DUMMYFUNCTION("""COMPUTED_VALUE"""),0.0)</f>
        <v>0</v>
      </c>
      <c r="S178" s="8">
        <f>IFERROR(__xludf.DUMMYFUNCTION("""COMPUTED_VALUE"""),0.0)</f>
        <v>0</v>
      </c>
      <c r="T178" s="8">
        <f>IFERROR(__xludf.DUMMYFUNCTION("""COMPUTED_VALUE"""),0.0)</f>
        <v>0</v>
      </c>
      <c r="U178" s="8">
        <f>IFERROR(__xludf.DUMMYFUNCTION("""COMPUTED_VALUE"""),0.0)</f>
        <v>0</v>
      </c>
      <c r="V178" s="8">
        <f>IFERROR(__xludf.DUMMYFUNCTION("""COMPUTED_VALUE"""),0.0)</f>
        <v>0</v>
      </c>
      <c r="W178" s="8">
        <f>IFERROR(__xludf.DUMMYFUNCTION("""COMPUTED_VALUE"""),0.0)</f>
        <v>0</v>
      </c>
      <c r="X178" s="8">
        <f>IFERROR(__xludf.DUMMYFUNCTION("""COMPUTED_VALUE"""),0.0)</f>
        <v>0</v>
      </c>
      <c r="Y178" s="8">
        <f>IFERROR(__xludf.DUMMYFUNCTION("""COMPUTED_VALUE"""),0.0)</f>
        <v>0</v>
      </c>
      <c r="Z178" s="8">
        <f>IFERROR(__xludf.DUMMYFUNCTION("""COMPUTED_VALUE"""),0.0)</f>
        <v>0</v>
      </c>
      <c r="AA178" s="8">
        <f>IFERROR(__xludf.DUMMYFUNCTION("""COMPUTED_VALUE"""),0.0)</f>
        <v>0</v>
      </c>
      <c r="AB178" s="8">
        <f>IFERROR(__xludf.DUMMYFUNCTION("""COMPUTED_VALUE"""),0.0)</f>
        <v>0</v>
      </c>
      <c r="AC178" s="8">
        <f>IFERROR(__xludf.DUMMYFUNCTION("""COMPUTED_VALUE"""),0.0)</f>
        <v>0</v>
      </c>
    </row>
    <row r="179" ht="15.75" customHeight="1">
      <c r="A179" s="6" t="str">
        <f>IFERROR(__xludf.DUMMYFUNCTION("""COMPUTED_VALUE"""),"a3d40a3745a853e245e802a317e3934318836a28")</f>
        <v>a3d40a3745a853e245e802a317e3934318836a28</v>
      </c>
      <c r="B179" s="6" t="str">
        <f>IFERROR(__xludf.DUMMYFUNCTION("""COMPUTED_VALUE"""),"The Amazing Idiot Man")</f>
        <v>The Amazing Idiot Man</v>
      </c>
      <c r="C179" s="6" t="str">
        <f>IFERROR(__xludf.DUMMYFUNCTION("""COMPUTED_VALUE"""),"Drama")</f>
        <v>Drama</v>
      </c>
      <c r="D179" s="5">
        <f>IFERROR(__xludf.DUMMYFUNCTION("""COMPUTED_VALUE"""),691.0)</f>
        <v>691</v>
      </c>
      <c r="E179" s="8">
        <f>IFERROR(__xludf.DUMMYFUNCTION("""COMPUTED_VALUE"""),0.956584659913169)</f>
        <v>0.9565846599</v>
      </c>
      <c r="F179" s="8">
        <f>IFERROR(__xludf.DUMMYFUNCTION("""COMPUTED_VALUE"""),0.534782608695652)</f>
        <v>0.5347826087</v>
      </c>
      <c r="G179" s="8">
        <f>IFERROR(__xludf.DUMMYFUNCTION("""COMPUTED_VALUE"""),0.47391304347826)</f>
        <v>0.4739130435</v>
      </c>
      <c r="H179" s="8">
        <f>IFERROR(__xludf.DUMMYFUNCTION("""COMPUTED_VALUE"""),0.431884057971014)</f>
        <v>0.431884058</v>
      </c>
      <c r="I179" s="8">
        <f>IFERROR(__xludf.DUMMYFUNCTION("""COMPUTED_VALUE"""),0.406386066763425)</f>
        <v>0.4063860668</v>
      </c>
      <c r="J179" s="8">
        <f>IFERROR(__xludf.DUMMYFUNCTION("""COMPUTED_VALUE"""),0.386066763425254)</f>
        <v>0.3860667634</v>
      </c>
      <c r="K179" s="8">
        <f>IFERROR(__xludf.DUMMYFUNCTION("""COMPUTED_VALUE"""),0.362844702467343)</f>
        <v>0.3628447025</v>
      </c>
      <c r="L179" s="8">
        <f>IFERROR(__xludf.DUMMYFUNCTION("""COMPUTED_VALUE"""),0.343976777939042)</f>
        <v>0.3439767779</v>
      </c>
      <c r="M179" s="8">
        <f>IFERROR(__xludf.DUMMYFUNCTION("""COMPUTED_VALUE"""),0.335268505079825)</f>
        <v>0.3352685051</v>
      </c>
      <c r="N179" s="8">
        <f>IFERROR(__xludf.DUMMYFUNCTION("""COMPUTED_VALUE"""),0.321114369501466)</f>
        <v>0.3211143695</v>
      </c>
      <c r="O179" s="8">
        <f>IFERROR(__xludf.DUMMYFUNCTION("""COMPUTED_VALUE"""),0.255223880597014)</f>
        <v>0.2552238806</v>
      </c>
      <c r="P179" s="8">
        <f>IFERROR(__xludf.DUMMYFUNCTION("""COMPUTED_VALUE"""),0.185585585585585)</f>
        <v>0.1855855856</v>
      </c>
      <c r="Q179" s="8">
        <f>IFERROR(__xludf.DUMMYFUNCTION("""COMPUTED_VALUE"""),0.0)</f>
        <v>0</v>
      </c>
      <c r="R179" s="8">
        <f>IFERROR(__xludf.DUMMYFUNCTION("""COMPUTED_VALUE"""),0.0)</f>
        <v>0</v>
      </c>
      <c r="S179" s="8">
        <f>IFERROR(__xludf.DUMMYFUNCTION("""COMPUTED_VALUE"""),0.0)</f>
        <v>0</v>
      </c>
      <c r="T179" s="8">
        <f>IFERROR(__xludf.DUMMYFUNCTION("""COMPUTED_VALUE"""),0.0)</f>
        <v>0</v>
      </c>
      <c r="U179" s="8">
        <f>IFERROR(__xludf.DUMMYFUNCTION("""COMPUTED_VALUE"""),0.0)</f>
        <v>0</v>
      </c>
      <c r="V179" s="8">
        <f>IFERROR(__xludf.DUMMYFUNCTION("""COMPUTED_VALUE"""),0.0)</f>
        <v>0</v>
      </c>
      <c r="W179" s="8">
        <f>IFERROR(__xludf.DUMMYFUNCTION("""COMPUTED_VALUE"""),0.0)</f>
        <v>0</v>
      </c>
      <c r="X179" s="8">
        <f>IFERROR(__xludf.DUMMYFUNCTION("""COMPUTED_VALUE"""),0.0)</f>
        <v>0</v>
      </c>
      <c r="Y179" s="8">
        <f>IFERROR(__xludf.DUMMYFUNCTION("""COMPUTED_VALUE"""),0.0)</f>
        <v>0</v>
      </c>
      <c r="Z179" s="8">
        <f>IFERROR(__xludf.DUMMYFUNCTION("""COMPUTED_VALUE"""),0.0)</f>
        <v>0</v>
      </c>
      <c r="AA179" s="8">
        <f>IFERROR(__xludf.DUMMYFUNCTION("""COMPUTED_VALUE"""),0.0)</f>
        <v>0</v>
      </c>
      <c r="AB179" s="8">
        <f>IFERROR(__xludf.DUMMYFUNCTION("""COMPUTED_VALUE"""),0.0)</f>
        <v>0</v>
      </c>
      <c r="AC179" s="8">
        <f>IFERROR(__xludf.DUMMYFUNCTION("""COMPUTED_VALUE"""),0.0)</f>
        <v>0</v>
      </c>
    </row>
    <row r="180" ht="15.75" customHeight="1">
      <c r="A180" s="6" t="str">
        <f>IFERROR(__xludf.DUMMYFUNCTION("""COMPUTED_VALUE"""),"a48f5e77f994307c8a39968302f28c62b0c654af")</f>
        <v>a48f5e77f994307c8a39968302f28c62b0c654af</v>
      </c>
      <c r="B180" s="6" t="str">
        <f>IFERROR(__xludf.DUMMYFUNCTION("""COMPUTED_VALUE"""),"Battle Master")</f>
        <v>Battle Master</v>
      </c>
      <c r="C180" s="6" t="str">
        <f>IFERROR(__xludf.DUMMYFUNCTION("""COMPUTED_VALUE"""),"Fantasy")</f>
        <v>Fantasy</v>
      </c>
      <c r="D180" s="5">
        <f>IFERROR(__xludf.DUMMYFUNCTION("""COMPUTED_VALUE"""),624.0)</f>
        <v>624</v>
      </c>
      <c r="E180" s="8">
        <f>IFERROR(__xludf.DUMMYFUNCTION("""COMPUTED_VALUE"""),0.985815602836879)</f>
        <v>0.9858156028</v>
      </c>
      <c r="F180" s="8">
        <f>IFERROR(__xludf.DUMMYFUNCTION("""COMPUTED_VALUE"""),0.637113402061855)</f>
        <v>0.6371134021</v>
      </c>
      <c r="G180" s="8">
        <f>IFERROR(__xludf.DUMMYFUNCTION("""COMPUTED_VALUE"""),0.604774535809018)</f>
        <v>0.6047745358</v>
      </c>
      <c r="H180" s="8">
        <f>IFERROR(__xludf.DUMMYFUNCTION("""COMPUTED_VALUE"""),0.49090909090909)</f>
        <v>0.4909090909</v>
      </c>
      <c r="I180" s="8">
        <f>IFERROR(__xludf.DUMMYFUNCTION("""COMPUTED_VALUE"""),0.458333333333333)</f>
        <v>0.4583333333</v>
      </c>
      <c r="J180" s="8">
        <f>IFERROR(__xludf.DUMMYFUNCTION("""COMPUTED_VALUE"""),0.472972972972972)</f>
        <v>0.472972973</v>
      </c>
      <c r="K180" s="8">
        <f>IFERROR(__xludf.DUMMYFUNCTION("""COMPUTED_VALUE"""),0.44)</f>
        <v>0.44</v>
      </c>
      <c r="L180" s="8">
        <f>IFERROR(__xludf.DUMMYFUNCTION("""COMPUTED_VALUE"""),0.375)</f>
        <v>0.375</v>
      </c>
      <c r="M180" s="8">
        <f>IFERROR(__xludf.DUMMYFUNCTION("""COMPUTED_VALUE"""),0.413793103448275)</f>
        <v>0.4137931034</v>
      </c>
      <c r="N180" s="8">
        <f>IFERROR(__xludf.DUMMYFUNCTION("""COMPUTED_VALUE"""),0.379310344827586)</f>
        <v>0.3793103448</v>
      </c>
      <c r="O180" s="8">
        <f>IFERROR(__xludf.DUMMYFUNCTION("""COMPUTED_VALUE"""),0.25)</f>
        <v>0.25</v>
      </c>
      <c r="P180" s="8">
        <f>IFERROR(__xludf.DUMMYFUNCTION("""COMPUTED_VALUE"""),0.0)</f>
        <v>0</v>
      </c>
      <c r="Q180" s="8">
        <f>IFERROR(__xludf.DUMMYFUNCTION("""COMPUTED_VALUE"""),0.0)</f>
        <v>0</v>
      </c>
      <c r="R180" s="8">
        <f>IFERROR(__xludf.DUMMYFUNCTION("""COMPUTED_VALUE"""),0.0)</f>
        <v>0</v>
      </c>
      <c r="S180" s="8">
        <f>IFERROR(__xludf.DUMMYFUNCTION("""COMPUTED_VALUE"""),0.0)</f>
        <v>0</v>
      </c>
      <c r="T180" s="8">
        <f>IFERROR(__xludf.DUMMYFUNCTION("""COMPUTED_VALUE"""),0.0)</f>
        <v>0</v>
      </c>
      <c r="U180" s="8">
        <f>IFERROR(__xludf.DUMMYFUNCTION("""COMPUTED_VALUE"""),0.0)</f>
        <v>0</v>
      </c>
      <c r="V180" s="8">
        <f>IFERROR(__xludf.DUMMYFUNCTION("""COMPUTED_VALUE"""),0.0)</f>
        <v>0</v>
      </c>
      <c r="W180" s="8">
        <f>IFERROR(__xludf.DUMMYFUNCTION("""COMPUTED_VALUE"""),0.0)</f>
        <v>0</v>
      </c>
      <c r="X180" s="8">
        <f>IFERROR(__xludf.DUMMYFUNCTION("""COMPUTED_VALUE"""),0.0)</f>
        <v>0</v>
      </c>
      <c r="Y180" s="8">
        <f>IFERROR(__xludf.DUMMYFUNCTION("""COMPUTED_VALUE"""),0.0)</f>
        <v>0</v>
      </c>
      <c r="Z180" s="8">
        <f>IFERROR(__xludf.DUMMYFUNCTION("""COMPUTED_VALUE"""),0.0)</f>
        <v>0</v>
      </c>
      <c r="AA180" s="8">
        <f>IFERROR(__xludf.DUMMYFUNCTION("""COMPUTED_VALUE"""),0.0)</f>
        <v>0</v>
      </c>
      <c r="AB180" s="8">
        <f>IFERROR(__xludf.DUMMYFUNCTION("""COMPUTED_VALUE"""),0.0)</f>
        <v>0</v>
      </c>
      <c r="AC180" s="8">
        <f>IFERROR(__xludf.DUMMYFUNCTION("""COMPUTED_VALUE"""),0.0)</f>
        <v>0</v>
      </c>
    </row>
    <row r="181" ht="15.75" customHeight="1">
      <c r="A181" s="6" t="str">
        <f>IFERROR(__xludf.DUMMYFUNCTION("""COMPUTED_VALUE"""),"a4dd4053a025d38e2c0410dbcf348862c41c4c5b")</f>
        <v>a4dd4053a025d38e2c0410dbcf348862c41c4c5b</v>
      </c>
      <c r="B181" s="6" t="str">
        <f>IFERROR(__xludf.DUMMYFUNCTION("""COMPUTED_VALUE"""),"Twin Betrayal, Enemy Love")</f>
        <v>Twin Betrayal, Enemy Love</v>
      </c>
      <c r="C181" s="6" t="str">
        <f>IFERROR(__xludf.DUMMYFUNCTION("""COMPUTED_VALUE"""),"Romance")</f>
        <v>Romance</v>
      </c>
      <c r="D181" s="5">
        <f>IFERROR(__xludf.DUMMYFUNCTION("""COMPUTED_VALUE"""),1201.0)</f>
        <v>1201</v>
      </c>
      <c r="E181" s="8">
        <f>IFERROR(__xludf.DUMMYFUNCTION("""COMPUTED_VALUE"""),0.943380516236469)</f>
        <v>0.9433805162</v>
      </c>
      <c r="F181" s="8">
        <f>IFERROR(__xludf.DUMMYFUNCTION("""COMPUTED_VALUE"""),0.565833333333333)</f>
        <v>0.5658333333</v>
      </c>
      <c r="G181" s="8">
        <f>IFERROR(__xludf.DUMMYFUNCTION("""COMPUTED_VALUE"""),0.493744787322769)</f>
        <v>0.4937447873</v>
      </c>
      <c r="H181" s="8">
        <f>IFERROR(__xludf.DUMMYFUNCTION("""COMPUTED_VALUE"""),0.464553794829024)</f>
        <v>0.4645537948</v>
      </c>
      <c r="I181" s="8">
        <f>IFERROR(__xludf.DUMMYFUNCTION("""COMPUTED_VALUE"""),0.451585976627712)</f>
        <v>0.4515859766</v>
      </c>
      <c r="J181" s="8">
        <f>IFERROR(__xludf.DUMMYFUNCTION("""COMPUTED_VALUE"""),0.409015025041736)</f>
        <v>0.409015025</v>
      </c>
      <c r="K181" s="8">
        <f>IFERROR(__xludf.DUMMYFUNCTION("""COMPUTED_VALUE"""),0.381469115191986)</f>
        <v>0.3814691152</v>
      </c>
      <c r="L181" s="8">
        <f>IFERROR(__xludf.DUMMYFUNCTION("""COMPUTED_VALUE"""),0.362343096234309)</f>
        <v>0.3623430962</v>
      </c>
      <c r="M181" s="8">
        <f>IFERROR(__xludf.DUMMYFUNCTION("""COMPUTED_VALUE"""),0.335564853556485)</f>
        <v>0.3355648536</v>
      </c>
      <c r="N181" s="8">
        <f>IFERROR(__xludf.DUMMYFUNCTION("""COMPUTED_VALUE"""),0.302928870292887)</f>
        <v>0.3029288703</v>
      </c>
      <c r="O181" s="8">
        <f>IFERROR(__xludf.DUMMYFUNCTION("""COMPUTED_VALUE"""),0.26465661641541)</f>
        <v>0.2646566164</v>
      </c>
      <c r="P181" s="8">
        <f>IFERROR(__xludf.DUMMYFUNCTION("""COMPUTED_VALUE"""),0.217728055077452)</f>
        <v>0.2177280551</v>
      </c>
      <c r="Q181" s="8">
        <f>IFERROR(__xludf.DUMMYFUNCTION("""COMPUTED_VALUE"""),0.179023508137432)</f>
        <v>0.1790235081</v>
      </c>
      <c r="R181" s="8">
        <f>IFERROR(__xludf.DUMMYFUNCTION("""COMPUTED_VALUE"""),0.114503816793893)</f>
        <v>0.1145038168</v>
      </c>
      <c r="S181" s="8">
        <f>IFERROR(__xludf.DUMMYFUNCTION("""COMPUTED_VALUE"""),0.0683962264150943)</f>
        <v>0.06839622642</v>
      </c>
      <c r="T181" s="8">
        <f>IFERROR(__xludf.DUMMYFUNCTION("""COMPUTED_VALUE"""),0.0)</f>
        <v>0</v>
      </c>
      <c r="U181" s="8">
        <f>IFERROR(__xludf.DUMMYFUNCTION("""COMPUTED_VALUE"""),0.0)</f>
        <v>0</v>
      </c>
      <c r="V181" s="8">
        <f>IFERROR(__xludf.DUMMYFUNCTION("""COMPUTED_VALUE"""),0.0)</f>
        <v>0</v>
      </c>
      <c r="W181" s="8">
        <f>IFERROR(__xludf.DUMMYFUNCTION("""COMPUTED_VALUE"""),0.0)</f>
        <v>0</v>
      </c>
      <c r="X181" s="8">
        <f>IFERROR(__xludf.DUMMYFUNCTION("""COMPUTED_VALUE"""),0.0)</f>
        <v>0</v>
      </c>
      <c r="Y181" s="8">
        <f>IFERROR(__xludf.DUMMYFUNCTION("""COMPUTED_VALUE"""),0.0)</f>
        <v>0</v>
      </c>
      <c r="Z181" s="8">
        <f>IFERROR(__xludf.DUMMYFUNCTION("""COMPUTED_VALUE"""),0.0)</f>
        <v>0</v>
      </c>
      <c r="AA181" s="8">
        <f>IFERROR(__xludf.DUMMYFUNCTION("""COMPUTED_VALUE"""),0.0)</f>
        <v>0</v>
      </c>
      <c r="AB181" s="8">
        <f>IFERROR(__xludf.DUMMYFUNCTION("""COMPUTED_VALUE"""),0.0)</f>
        <v>0</v>
      </c>
      <c r="AC181" s="8">
        <f>IFERROR(__xludf.DUMMYFUNCTION("""COMPUTED_VALUE"""),0.0)</f>
        <v>0</v>
      </c>
    </row>
    <row r="182" ht="15.75" customHeight="1">
      <c r="A182" s="6" t="str">
        <f>IFERROR(__xludf.DUMMYFUNCTION("""COMPUTED_VALUE"""),"a58a0944241952550b248f5ed8bc3d2647482fe5")</f>
        <v>a58a0944241952550b248f5ed8bc3d2647482fe5</v>
      </c>
      <c r="B182" s="6" t="str">
        <f>IFERROR(__xludf.DUMMYFUNCTION("""COMPUTED_VALUE"""),"Miraculous Eyes")</f>
        <v>Miraculous Eyes</v>
      </c>
      <c r="C182" s="6" t="str">
        <f>IFERROR(__xludf.DUMMYFUNCTION("""COMPUTED_VALUE"""),"Drama")</f>
        <v>Drama</v>
      </c>
      <c r="D182" s="5">
        <f>IFERROR(__xludf.DUMMYFUNCTION("""COMPUTED_VALUE"""),624.0)</f>
        <v>624</v>
      </c>
      <c r="E182" s="8">
        <f>IFERROR(__xludf.DUMMYFUNCTION("""COMPUTED_VALUE"""),0.98076923076923)</f>
        <v>0.9807692308</v>
      </c>
      <c r="F182" s="8">
        <f>IFERROR(__xludf.DUMMYFUNCTION("""COMPUTED_VALUE"""),0.637820512820512)</f>
        <v>0.6378205128</v>
      </c>
      <c r="G182" s="8">
        <f>IFERROR(__xludf.DUMMYFUNCTION("""COMPUTED_VALUE"""),0.573717948717948)</f>
        <v>0.5737179487</v>
      </c>
      <c r="H182" s="8">
        <f>IFERROR(__xludf.DUMMYFUNCTION("""COMPUTED_VALUE"""),0.512038523274478)</f>
        <v>0.5120385233</v>
      </c>
      <c r="I182" s="8">
        <f>IFERROR(__xludf.DUMMYFUNCTION("""COMPUTED_VALUE"""),0.455716586151368)</f>
        <v>0.4557165862</v>
      </c>
      <c r="J182" s="8">
        <f>IFERROR(__xludf.DUMMYFUNCTION("""COMPUTED_VALUE"""),0.401612903225806)</f>
        <v>0.4016129032</v>
      </c>
      <c r="K182" s="8">
        <f>IFERROR(__xludf.DUMMYFUNCTION("""COMPUTED_VALUE"""),0.368932038834951)</f>
        <v>0.3689320388</v>
      </c>
      <c r="L182" s="8">
        <f>IFERROR(__xludf.DUMMYFUNCTION("""COMPUTED_VALUE"""),0.339285714285714)</f>
        <v>0.3392857143</v>
      </c>
      <c r="M182" s="8">
        <f>IFERROR(__xludf.DUMMYFUNCTION("""COMPUTED_VALUE"""),0.323051948051948)</f>
        <v>0.3230519481</v>
      </c>
      <c r="N182" s="8">
        <f>IFERROR(__xludf.DUMMYFUNCTION("""COMPUTED_VALUE"""),0.310569105691056)</f>
        <v>0.3105691057</v>
      </c>
      <c r="O182" s="8">
        <f>IFERROR(__xludf.DUMMYFUNCTION("""COMPUTED_VALUE"""),0.218241042345276)</f>
        <v>0.2182410423</v>
      </c>
      <c r="P182" s="8">
        <f>IFERROR(__xludf.DUMMYFUNCTION("""COMPUTED_VALUE"""),0.099673202614379)</f>
        <v>0.09967320261</v>
      </c>
      <c r="Q182" s="8">
        <f>IFERROR(__xludf.DUMMYFUNCTION("""COMPUTED_VALUE"""),0.0229885057471264)</f>
        <v>0.02298850575</v>
      </c>
      <c r="R182" s="8">
        <f>IFERROR(__xludf.DUMMYFUNCTION("""COMPUTED_VALUE"""),0.0)</f>
        <v>0</v>
      </c>
      <c r="S182" s="8">
        <f>IFERROR(__xludf.DUMMYFUNCTION("""COMPUTED_VALUE"""),0.0)</f>
        <v>0</v>
      </c>
      <c r="T182" s="8">
        <f>IFERROR(__xludf.DUMMYFUNCTION("""COMPUTED_VALUE"""),0.0)</f>
        <v>0</v>
      </c>
      <c r="U182" s="8">
        <f>IFERROR(__xludf.DUMMYFUNCTION("""COMPUTED_VALUE"""),0.0)</f>
        <v>0</v>
      </c>
      <c r="V182" s="8">
        <f>IFERROR(__xludf.DUMMYFUNCTION("""COMPUTED_VALUE"""),0.0)</f>
        <v>0</v>
      </c>
      <c r="W182" s="8">
        <f>IFERROR(__xludf.DUMMYFUNCTION("""COMPUTED_VALUE"""),0.0)</f>
        <v>0</v>
      </c>
      <c r="X182" s="8">
        <f>IFERROR(__xludf.DUMMYFUNCTION("""COMPUTED_VALUE"""),0.0)</f>
        <v>0</v>
      </c>
      <c r="Y182" s="8">
        <f>IFERROR(__xludf.DUMMYFUNCTION("""COMPUTED_VALUE"""),0.0)</f>
        <v>0</v>
      </c>
      <c r="Z182" s="8">
        <f>IFERROR(__xludf.DUMMYFUNCTION("""COMPUTED_VALUE"""),0.0)</f>
        <v>0</v>
      </c>
      <c r="AA182" s="8">
        <f>IFERROR(__xludf.DUMMYFUNCTION("""COMPUTED_VALUE"""),0.0)</f>
        <v>0</v>
      </c>
      <c r="AB182" s="8">
        <f>IFERROR(__xludf.DUMMYFUNCTION("""COMPUTED_VALUE"""),0.0)</f>
        <v>0</v>
      </c>
      <c r="AC182" s="8">
        <f>IFERROR(__xludf.DUMMYFUNCTION("""COMPUTED_VALUE"""),0.0)</f>
        <v>0</v>
      </c>
    </row>
    <row r="183" ht="15.75" customHeight="1">
      <c r="A183" s="6" t="str">
        <f>IFERROR(__xludf.DUMMYFUNCTION("""COMPUTED_VALUE"""),"a6268ee1800866a09bab6b47c61f885556992b45")</f>
        <v>a6268ee1800866a09bab6b47c61f885556992b45</v>
      </c>
      <c r="B183" s="6" t="str">
        <f>IFERROR(__xludf.DUMMYFUNCTION("""COMPUTED_VALUE"""),"The System Creation: Intergalactic Entry")</f>
        <v>The System Creation: Intergalactic Entry</v>
      </c>
      <c r="C183" s="6" t="str">
        <f>IFERROR(__xludf.DUMMYFUNCTION("""COMPUTED_VALUE"""),"System and Superpower")</f>
        <v>System and Superpower</v>
      </c>
      <c r="D183" s="5">
        <f>IFERROR(__xludf.DUMMYFUNCTION("""COMPUTED_VALUE"""),23020.0)</f>
        <v>23020</v>
      </c>
      <c r="E183" s="8">
        <f>IFERROR(__xludf.DUMMYFUNCTION("""COMPUTED_VALUE"""),0.898499673842139)</f>
        <v>0.8984996738</v>
      </c>
      <c r="F183" s="8">
        <f>IFERROR(__xludf.DUMMYFUNCTION("""COMPUTED_VALUE"""),0.440038347568415)</f>
        <v>0.4400383476</v>
      </c>
      <c r="G183" s="8">
        <f>IFERROR(__xludf.DUMMYFUNCTION("""COMPUTED_VALUE"""),0.379002006455552)</f>
        <v>0.3790020065</v>
      </c>
      <c r="H183" s="8">
        <f>IFERROR(__xludf.DUMMYFUNCTION("""COMPUTED_VALUE"""),0.340959699602672)</f>
        <v>0.3409596996</v>
      </c>
      <c r="I183" s="8">
        <f>IFERROR(__xludf.DUMMYFUNCTION("""COMPUTED_VALUE"""),0.324093909850041)</f>
        <v>0.3240939099</v>
      </c>
      <c r="J183" s="8">
        <f>IFERROR(__xludf.DUMMYFUNCTION("""COMPUTED_VALUE"""),0.305109233396086)</f>
        <v>0.3051092334</v>
      </c>
      <c r="K183" s="8">
        <f>IFERROR(__xludf.DUMMYFUNCTION("""COMPUTED_VALUE"""),0.293702306815191)</f>
        <v>0.2937023068</v>
      </c>
      <c r="L183" s="8">
        <f>IFERROR(__xludf.DUMMYFUNCTION("""COMPUTED_VALUE"""),0.28457820738137)</f>
        <v>0.2845782074</v>
      </c>
      <c r="M183" s="8">
        <f>IFERROR(__xludf.DUMMYFUNCTION("""COMPUTED_VALUE"""),0.271447426308842)</f>
        <v>0.2714474263</v>
      </c>
      <c r="N183" s="8">
        <f>IFERROR(__xludf.DUMMYFUNCTION("""COMPUTED_VALUE"""),0.26004582305252)</f>
        <v>0.2600458231</v>
      </c>
      <c r="O183" s="8">
        <f>IFERROR(__xludf.DUMMYFUNCTION("""COMPUTED_VALUE"""),0.238418831889851)</f>
        <v>0.2384188319</v>
      </c>
      <c r="P183" s="8">
        <f>IFERROR(__xludf.DUMMYFUNCTION("""COMPUTED_VALUE"""),0.19814615797958)</f>
        <v>0.198146158</v>
      </c>
      <c r="Q183" s="8">
        <f>IFERROR(__xludf.DUMMYFUNCTION("""COMPUTED_VALUE"""),0.154163269004258)</f>
        <v>0.154163269</v>
      </c>
      <c r="R183" s="8">
        <f>IFERROR(__xludf.DUMMYFUNCTION("""COMPUTED_VALUE"""),0.133771329500866)</f>
        <v>0.1337713295</v>
      </c>
      <c r="S183" s="8">
        <f>IFERROR(__xludf.DUMMYFUNCTION("""COMPUTED_VALUE"""),0.119643595278556)</f>
        <v>0.1196435953</v>
      </c>
      <c r="T183" s="8">
        <f>IFERROR(__xludf.DUMMYFUNCTION("""COMPUTED_VALUE"""),0.108401961691496)</f>
        <v>0.1084019617</v>
      </c>
      <c r="U183" s="8">
        <f>IFERROR(__xludf.DUMMYFUNCTION("""COMPUTED_VALUE"""),0.101575610665672)</f>
        <v>0.1015756107</v>
      </c>
      <c r="V183" s="8">
        <f>IFERROR(__xludf.DUMMYFUNCTION("""COMPUTED_VALUE"""),0.0940082644628099)</f>
        <v>0.09400826446</v>
      </c>
      <c r="W183" s="8">
        <f>IFERROR(__xludf.DUMMYFUNCTION("""COMPUTED_VALUE"""),0.0867506392650819)</f>
        <v>0.08675063927</v>
      </c>
      <c r="X183" s="8">
        <f>IFERROR(__xludf.DUMMYFUNCTION("""COMPUTED_VALUE"""),0.0794885252158977)</f>
        <v>0.07948852522</v>
      </c>
      <c r="Y183" s="8">
        <f>IFERROR(__xludf.DUMMYFUNCTION("""COMPUTED_VALUE"""),0.0660898571875325)</f>
        <v>0.06608985719</v>
      </c>
      <c r="Z183" s="8">
        <f>IFERROR(__xludf.DUMMYFUNCTION("""COMPUTED_VALUE"""),0.0600231749710312)</f>
        <v>0.06002317497</v>
      </c>
      <c r="AA183" s="8">
        <f>IFERROR(__xludf.DUMMYFUNCTION("""COMPUTED_VALUE"""),0.0559530237580993)</f>
        <v>0.05595302376</v>
      </c>
      <c r="AB183" s="8">
        <f>IFERROR(__xludf.DUMMYFUNCTION("""COMPUTED_VALUE"""),0.0446967866634452)</f>
        <v>0.04469678666</v>
      </c>
      <c r="AC183" s="8">
        <f>IFERROR(__xludf.DUMMYFUNCTION("""COMPUTED_VALUE"""),0.0385784872671987)</f>
        <v>0.03857848727</v>
      </c>
    </row>
    <row r="184" ht="15.75" customHeight="1">
      <c r="A184" s="6" t="str">
        <f>IFERROR(__xludf.DUMMYFUNCTION("""COMPUTED_VALUE"""),"a6f94887cb30090252bc97e34a7a53c7a6555b8d")</f>
        <v>a6f94887cb30090252bc97e34a7a53c7a6555b8d</v>
      </c>
      <c r="B184" s="6" t="str">
        <f>IFERROR(__xludf.DUMMYFUNCTION("""COMPUTED_VALUE"""),"A Surrogate Bride for a Paralyzed Ceo")</f>
        <v>A Surrogate Bride for a Paralyzed Ceo</v>
      </c>
      <c r="C184" s="6" t="str">
        <f>IFERROR(__xludf.DUMMYFUNCTION("""COMPUTED_VALUE"""),"Drama")</f>
        <v>Drama</v>
      </c>
      <c r="D184" s="5">
        <f>IFERROR(__xludf.DUMMYFUNCTION("""COMPUTED_VALUE"""),15535.0)</f>
        <v>15535</v>
      </c>
      <c r="E184" s="8">
        <f>IFERROR(__xludf.DUMMYFUNCTION("""COMPUTED_VALUE"""),0.83404173106646)</f>
        <v>0.8340417311</v>
      </c>
      <c r="F184" s="8">
        <f>IFERROR(__xludf.DUMMYFUNCTION("""COMPUTED_VALUE"""),0.478933127174333)</f>
        <v>0.4789331272</v>
      </c>
      <c r="G184" s="8">
        <f>IFERROR(__xludf.DUMMYFUNCTION("""COMPUTED_VALUE"""),0.427760943846302)</f>
        <v>0.4277609438</v>
      </c>
      <c r="H184" s="8">
        <f>IFERROR(__xludf.DUMMYFUNCTION("""COMPUTED_VALUE"""),0.392737358101135)</f>
        <v>0.3927373581</v>
      </c>
      <c r="I184" s="8">
        <f>IFERROR(__xludf.DUMMYFUNCTION("""COMPUTED_VALUE"""),0.377799290093578)</f>
        <v>0.3777992901</v>
      </c>
      <c r="J184" s="8">
        <f>IFERROR(__xludf.DUMMYFUNCTION("""COMPUTED_VALUE"""),0.360108478078388)</f>
        <v>0.3601084781</v>
      </c>
      <c r="K184" s="8">
        <f>IFERROR(__xludf.DUMMYFUNCTION("""COMPUTED_VALUE"""),0.344725111441307)</f>
        <v>0.3447251114</v>
      </c>
      <c r="L184" s="8">
        <f>IFERROR(__xludf.DUMMYFUNCTION("""COMPUTED_VALUE"""),0.328571428571428)</f>
        <v>0.3285714286</v>
      </c>
      <c r="M184" s="8">
        <f>IFERROR(__xludf.DUMMYFUNCTION("""COMPUTED_VALUE"""),0.315850740477268)</f>
        <v>0.3158507405</v>
      </c>
      <c r="N184" s="8">
        <f>IFERROR(__xludf.DUMMYFUNCTION("""COMPUTED_VALUE"""),0.304800724637681)</f>
        <v>0.3048007246</v>
      </c>
      <c r="O184" s="8">
        <f>IFERROR(__xludf.DUMMYFUNCTION("""COMPUTED_VALUE"""),0.271772258608391)</f>
        <v>0.2717722586</v>
      </c>
      <c r="P184" s="8">
        <f>IFERROR(__xludf.DUMMYFUNCTION("""COMPUTED_VALUE"""),0.248568826437678)</f>
        <v>0.2485688264</v>
      </c>
      <c r="Q184" s="8">
        <f>IFERROR(__xludf.DUMMYFUNCTION("""COMPUTED_VALUE"""),0.207058823529411)</f>
        <v>0.2070588235</v>
      </c>
      <c r="R184" s="8">
        <f>IFERROR(__xludf.DUMMYFUNCTION("""COMPUTED_VALUE"""),0.177619078818056)</f>
        <v>0.1776190788</v>
      </c>
      <c r="S184" s="8">
        <f>IFERROR(__xludf.DUMMYFUNCTION("""COMPUTED_VALUE"""),0.156404021817703)</f>
        <v>0.1564040218</v>
      </c>
      <c r="T184" s="8">
        <f>IFERROR(__xludf.DUMMYFUNCTION("""COMPUTED_VALUE"""),0.134626806572955)</f>
        <v>0.1346268066</v>
      </c>
      <c r="U184" s="8">
        <f>IFERROR(__xludf.DUMMYFUNCTION("""COMPUTED_VALUE"""),0.123002453418208)</f>
        <v>0.1230024534</v>
      </c>
      <c r="V184" s="8">
        <f>IFERROR(__xludf.DUMMYFUNCTION("""COMPUTED_VALUE"""),0.109797993678713)</f>
        <v>0.1097979937</v>
      </c>
      <c r="W184" s="8">
        <f>IFERROR(__xludf.DUMMYFUNCTION("""COMPUTED_VALUE"""),0.102365228075564)</f>
        <v>0.1023652281</v>
      </c>
      <c r="X184" s="8">
        <f>IFERROR(__xludf.DUMMYFUNCTION("""COMPUTED_VALUE"""),0.0984680920783157)</f>
        <v>0.09846809208</v>
      </c>
      <c r="Y184" s="8">
        <f>IFERROR(__xludf.DUMMYFUNCTION("""COMPUTED_VALUE"""),0.073726827189431)</f>
        <v>0.07372682719</v>
      </c>
      <c r="Z184" s="8">
        <f>IFERROR(__xludf.DUMMYFUNCTION("""COMPUTED_VALUE"""),0.0602916064626297)</f>
        <v>0.06029160646</v>
      </c>
      <c r="AA184" s="8">
        <f>IFERROR(__xludf.DUMMYFUNCTION("""COMPUTED_VALUE"""),0.0476190476190476)</f>
        <v>0.04761904762</v>
      </c>
      <c r="AB184" s="8">
        <f>IFERROR(__xludf.DUMMYFUNCTION("""COMPUTED_VALUE"""),0.0336119509158812)</f>
        <v>0.03361195092</v>
      </c>
      <c r="AC184" s="8">
        <f>IFERROR(__xludf.DUMMYFUNCTION("""COMPUTED_VALUE"""),0.0187903699354081)</f>
        <v>0.01879036994</v>
      </c>
    </row>
    <row r="185" ht="15.75" customHeight="1">
      <c r="A185" s="6" t="str">
        <f>IFERROR(__xludf.DUMMYFUNCTION("""COMPUTED_VALUE"""),"a830c3a71510f0594792edb43a5e99b9da02d7e7")</f>
        <v>a830c3a71510f0594792edb43a5e99b9da02d7e7</v>
      </c>
      <c r="B185" s="6" t="str">
        <f>IFERROR(__xludf.DUMMYFUNCTION("""COMPUTED_VALUE"""),"Married to a Dying Prince")</f>
        <v>Married to a Dying Prince</v>
      </c>
      <c r="C185" s="6" t="str">
        <f>IFERROR(__xludf.DUMMYFUNCTION("""COMPUTED_VALUE"""),"Romantasy")</f>
        <v>Romantasy</v>
      </c>
      <c r="D185" s="5">
        <f>IFERROR(__xludf.DUMMYFUNCTION("""COMPUTED_VALUE"""),732.0)</f>
        <v>732</v>
      </c>
      <c r="E185" s="8">
        <f>IFERROR(__xludf.DUMMYFUNCTION("""COMPUTED_VALUE"""),0.96311475409836)</f>
        <v>0.9631147541</v>
      </c>
      <c r="F185" s="8">
        <f>IFERROR(__xludf.DUMMYFUNCTION("""COMPUTED_VALUE"""),0.506830601092896)</f>
        <v>0.5068306011</v>
      </c>
      <c r="G185" s="8">
        <f>IFERROR(__xludf.DUMMYFUNCTION("""COMPUTED_VALUE"""),0.457534246575342)</f>
        <v>0.4575342466</v>
      </c>
      <c r="H185" s="8">
        <f>IFERROR(__xludf.DUMMYFUNCTION("""COMPUTED_VALUE"""),0.402739726027397)</f>
        <v>0.402739726</v>
      </c>
      <c r="I185" s="8">
        <f>IFERROR(__xludf.DUMMYFUNCTION("""COMPUTED_VALUE"""),0.39010989010989)</f>
        <v>0.3901098901</v>
      </c>
      <c r="J185" s="8">
        <f>IFERROR(__xludf.DUMMYFUNCTION("""COMPUTED_VALUE"""),0.376891334250343)</f>
        <v>0.3768913343</v>
      </c>
      <c r="K185" s="8">
        <f>IFERROR(__xludf.DUMMYFUNCTION("""COMPUTED_VALUE"""),0.357634112792297)</f>
        <v>0.3576341128</v>
      </c>
      <c r="L185" s="8">
        <f>IFERROR(__xludf.DUMMYFUNCTION("""COMPUTED_VALUE"""),0.354972375690607)</f>
        <v>0.3549723757</v>
      </c>
      <c r="M185" s="8">
        <f>IFERROR(__xludf.DUMMYFUNCTION("""COMPUTED_VALUE"""),0.342105263157894)</f>
        <v>0.3421052632</v>
      </c>
      <c r="N185" s="8">
        <f>IFERROR(__xludf.DUMMYFUNCTION("""COMPUTED_VALUE"""),0.333800841514726)</f>
        <v>0.3338008415</v>
      </c>
      <c r="O185" s="8">
        <f>IFERROR(__xludf.DUMMYFUNCTION("""COMPUTED_VALUE"""),0.311079545454545)</f>
        <v>0.3110795455</v>
      </c>
      <c r="P185" s="8">
        <f>IFERROR(__xludf.DUMMYFUNCTION("""COMPUTED_VALUE"""),0.247787610619469)</f>
        <v>0.2477876106</v>
      </c>
      <c r="Q185" s="8">
        <f>IFERROR(__xludf.DUMMYFUNCTION("""COMPUTED_VALUE"""),0.221729490022172)</f>
        <v>0.22172949</v>
      </c>
      <c r="R185" s="8">
        <f>IFERROR(__xludf.DUMMYFUNCTION("""COMPUTED_VALUE"""),0.0)</f>
        <v>0</v>
      </c>
      <c r="S185" s="8">
        <f>IFERROR(__xludf.DUMMYFUNCTION("""COMPUTED_VALUE"""),0.0)</f>
        <v>0</v>
      </c>
      <c r="T185" s="8">
        <f>IFERROR(__xludf.DUMMYFUNCTION("""COMPUTED_VALUE"""),0.0)</f>
        <v>0</v>
      </c>
      <c r="U185" s="8">
        <f>IFERROR(__xludf.DUMMYFUNCTION("""COMPUTED_VALUE"""),0.0)</f>
        <v>0</v>
      </c>
      <c r="V185" s="8">
        <f>IFERROR(__xludf.DUMMYFUNCTION("""COMPUTED_VALUE"""),0.0)</f>
        <v>0</v>
      </c>
      <c r="W185" s="8">
        <f>IFERROR(__xludf.DUMMYFUNCTION("""COMPUTED_VALUE"""),0.0)</f>
        <v>0</v>
      </c>
      <c r="X185" s="8">
        <f>IFERROR(__xludf.DUMMYFUNCTION("""COMPUTED_VALUE"""),0.0)</f>
        <v>0</v>
      </c>
      <c r="Y185" s="8">
        <f>IFERROR(__xludf.DUMMYFUNCTION("""COMPUTED_VALUE"""),0.0)</f>
        <v>0</v>
      </c>
      <c r="Z185" s="8">
        <f>IFERROR(__xludf.DUMMYFUNCTION("""COMPUTED_VALUE"""),0.0)</f>
        <v>0</v>
      </c>
      <c r="AA185" s="8">
        <f>IFERROR(__xludf.DUMMYFUNCTION("""COMPUTED_VALUE"""),0.0)</f>
        <v>0</v>
      </c>
      <c r="AB185" s="8">
        <f>IFERROR(__xludf.DUMMYFUNCTION("""COMPUTED_VALUE"""),0.0)</f>
        <v>0</v>
      </c>
      <c r="AC185" s="8">
        <f>IFERROR(__xludf.DUMMYFUNCTION("""COMPUTED_VALUE"""),0.0)</f>
        <v>0</v>
      </c>
    </row>
    <row r="186" ht="15.75" customHeight="1">
      <c r="A186" s="6" t="str">
        <f>IFERROR(__xludf.DUMMYFUNCTION("""COMPUTED_VALUE"""),"a877c7bd8a3facfb24f79b876674d1437dd52fb5")</f>
        <v>a877c7bd8a3facfb24f79b876674d1437dd52fb5</v>
      </c>
      <c r="B186" s="6" t="str">
        <f>IFERROR(__xludf.DUMMYFUNCTION("""COMPUTED_VALUE"""),"Dragon System Awakening")</f>
        <v>Dragon System Awakening</v>
      </c>
      <c r="C186" s="6" t="str">
        <f>IFERROR(__xludf.DUMMYFUNCTION("""COMPUTED_VALUE"""),"System and Superpower")</f>
        <v>System and Superpower</v>
      </c>
      <c r="D186" s="5">
        <f>IFERROR(__xludf.DUMMYFUNCTION("""COMPUTED_VALUE"""),40502.0)</f>
        <v>40502</v>
      </c>
      <c r="E186" s="8">
        <f>IFERROR(__xludf.DUMMYFUNCTION("""COMPUTED_VALUE"""),0.916847933557445)</f>
        <v>0.9168479336</v>
      </c>
      <c r="F186" s="8">
        <f>IFERROR(__xludf.DUMMYFUNCTION("""COMPUTED_VALUE"""),0.602011494252873)</f>
        <v>0.6020114943</v>
      </c>
      <c r="G186" s="8">
        <f>IFERROR(__xludf.DUMMYFUNCTION("""COMPUTED_VALUE"""),0.546880039697308)</f>
        <v>0.5468800397</v>
      </c>
      <c r="H186" s="8">
        <f>IFERROR(__xludf.DUMMYFUNCTION("""COMPUTED_VALUE"""),0.515290785779941)</f>
        <v>0.5152907858</v>
      </c>
      <c r="I186" s="8">
        <f>IFERROR(__xludf.DUMMYFUNCTION("""COMPUTED_VALUE"""),0.485202240199128)</f>
        <v>0.4852022402</v>
      </c>
      <c r="J186" s="8">
        <f>IFERROR(__xludf.DUMMYFUNCTION("""COMPUTED_VALUE"""),0.46772544815378)</f>
        <v>0.4677254482</v>
      </c>
      <c r="K186" s="8">
        <f>IFERROR(__xludf.DUMMYFUNCTION("""COMPUTED_VALUE"""),0.451399465681256)</f>
        <v>0.4513994657</v>
      </c>
      <c r="L186" s="8">
        <f>IFERROR(__xludf.DUMMYFUNCTION("""COMPUTED_VALUE"""),0.437168185916057)</f>
        <v>0.4371681859</v>
      </c>
      <c r="M186" s="8">
        <f>IFERROR(__xludf.DUMMYFUNCTION("""COMPUTED_VALUE"""),0.422499184993856)</f>
        <v>0.422499185</v>
      </c>
      <c r="N186" s="8">
        <f>IFERROR(__xludf.DUMMYFUNCTION("""COMPUTED_VALUE"""),0.410901783471489)</f>
        <v>0.4109017835</v>
      </c>
      <c r="O186" s="8">
        <f>IFERROR(__xludf.DUMMYFUNCTION("""COMPUTED_VALUE"""),0.371366242199786)</f>
        <v>0.3713662422</v>
      </c>
      <c r="P186" s="8">
        <f>IFERROR(__xludf.DUMMYFUNCTION("""COMPUTED_VALUE"""),0.309748145105388)</f>
        <v>0.3097481451</v>
      </c>
      <c r="Q186" s="8">
        <f>IFERROR(__xludf.DUMMYFUNCTION("""COMPUTED_VALUE"""),0.234965624423781)</f>
        <v>0.2349656244</v>
      </c>
      <c r="R186" s="8">
        <f>IFERROR(__xludf.DUMMYFUNCTION("""COMPUTED_VALUE"""),0.204212160137015)</f>
        <v>0.2042121601</v>
      </c>
      <c r="S186" s="8">
        <f>IFERROR(__xludf.DUMMYFUNCTION("""COMPUTED_VALUE"""),0.182047490649734)</f>
        <v>0.1820474906</v>
      </c>
      <c r="T186" s="8">
        <f>IFERROR(__xludf.DUMMYFUNCTION("""COMPUTED_VALUE"""),0.16874296435272)</f>
        <v>0.1687429644</v>
      </c>
      <c r="U186" s="8">
        <f>IFERROR(__xludf.DUMMYFUNCTION("""COMPUTED_VALUE"""),0.155177149134853)</f>
        <v>0.1551771491</v>
      </c>
      <c r="V186" s="8">
        <f>IFERROR(__xludf.DUMMYFUNCTION("""COMPUTED_VALUE"""),0.136569103853542)</f>
        <v>0.1365691039</v>
      </c>
      <c r="W186" s="8">
        <f>IFERROR(__xludf.DUMMYFUNCTION("""COMPUTED_VALUE"""),0.119170281995661)</f>
        <v>0.119170282</v>
      </c>
      <c r="X186" s="8">
        <f>IFERROR(__xludf.DUMMYFUNCTION("""COMPUTED_VALUE"""),0.107987658553308)</f>
        <v>0.1079876586</v>
      </c>
      <c r="Y186" s="8">
        <f>IFERROR(__xludf.DUMMYFUNCTION("""COMPUTED_VALUE"""),0.0724008108890819)</f>
        <v>0.07240081089</v>
      </c>
      <c r="Z186" s="8">
        <f>IFERROR(__xludf.DUMMYFUNCTION("""COMPUTED_VALUE"""),0.0)</f>
        <v>0</v>
      </c>
      <c r="AA186" s="8">
        <f>IFERROR(__xludf.DUMMYFUNCTION("""COMPUTED_VALUE"""),0.0)</f>
        <v>0</v>
      </c>
      <c r="AB186" s="8">
        <f>IFERROR(__xludf.DUMMYFUNCTION("""COMPUTED_VALUE"""),0.0)</f>
        <v>0</v>
      </c>
      <c r="AC186" s="8">
        <f>IFERROR(__xludf.DUMMYFUNCTION("""COMPUTED_VALUE"""),0.0)</f>
        <v>0</v>
      </c>
    </row>
    <row r="187" ht="15.75" customHeight="1">
      <c r="A187" s="6" t="str">
        <f>IFERROR(__xludf.DUMMYFUNCTION("""COMPUTED_VALUE"""),"a901618b218023453e7ca53e9fa1d9940b094e69")</f>
        <v>a901618b218023453e7ca53e9fa1d9940b094e69</v>
      </c>
      <c r="B187" s="6" t="str">
        <f>IFERROR(__xludf.DUMMYFUNCTION("""COMPUTED_VALUE"""),"The Devil's New Assistant")</f>
        <v>The Devil's New Assistant</v>
      </c>
      <c r="C187" s="6" t="str">
        <f>IFERROR(__xludf.DUMMYFUNCTION("""COMPUTED_VALUE"""),"Romance")</f>
        <v>Romance</v>
      </c>
      <c r="D187" s="5">
        <f>IFERROR(__xludf.DUMMYFUNCTION("""COMPUTED_VALUE"""),378.0)</f>
        <v>378</v>
      </c>
      <c r="E187" s="8">
        <f>IFERROR(__xludf.DUMMYFUNCTION("""COMPUTED_VALUE"""),0.946587537091988)</f>
        <v>0.9465875371</v>
      </c>
      <c r="F187" s="8">
        <f>IFERROR(__xludf.DUMMYFUNCTION("""COMPUTED_VALUE"""),0.416988416988417)</f>
        <v>0.416988417</v>
      </c>
      <c r="G187" s="8">
        <f>IFERROR(__xludf.DUMMYFUNCTION("""COMPUTED_VALUE"""),0.361344537815126)</f>
        <v>0.3613445378</v>
      </c>
      <c r="H187" s="8">
        <f>IFERROR(__xludf.DUMMYFUNCTION("""COMPUTED_VALUE"""),0.337899543378995)</f>
        <v>0.3378995434</v>
      </c>
      <c r="I187" s="8">
        <f>IFERROR(__xludf.DUMMYFUNCTION("""COMPUTED_VALUE"""),0.320930232558139)</f>
        <v>0.3209302326</v>
      </c>
      <c r="J187" s="8">
        <f>IFERROR(__xludf.DUMMYFUNCTION("""COMPUTED_VALUE"""),0.316831683168316)</f>
        <v>0.3168316832</v>
      </c>
      <c r="K187" s="8">
        <f>IFERROR(__xludf.DUMMYFUNCTION("""COMPUTED_VALUE"""),0.293532338308457)</f>
        <v>0.2935323383</v>
      </c>
      <c r="L187" s="8">
        <f>IFERROR(__xludf.DUMMYFUNCTION("""COMPUTED_VALUE"""),0.302083333333333)</f>
        <v>0.3020833333</v>
      </c>
      <c r="M187" s="8">
        <f>IFERROR(__xludf.DUMMYFUNCTION("""COMPUTED_VALUE"""),0.276041666666666)</f>
        <v>0.2760416667</v>
      </c>
      <c r="N187" s="8">
        <f>IFERROR(__xludf.DUMMYFUNCTION("""COMPUTED_VALUE"""),0.282722513089005)</f>
        <v>0.2827225131</v>
      </c>
      <c r="O187" s="8">
        <f>IFERROR(__xludf.DUMMYFUNCTION("""COMPUTED_VALUE"""),0.242857142857142)</f>
        <v>0.2428571429</v>
      </c>
      <c r="P187" s="8">
        <f>IFERROR(__xludf.DUMMYFUNCTION("""COMPUTED_VALUE"""),0.296296296296296)</f>
        <v>0.2962962963</v>
      </c>
      <c r="Q187" s="8">
        <f>IFERROR(__xludf.DUMMYFUNCTION("""COMPUTED_VALUE"""),0.0)</f>
        <v>0</v>
      </c>
      <c r="R187" s="8">
        <f>IFERROR(__xludf.DUMMYFUNCTION("""COMPUTED_VALUE"""),0.0)</f>
        <v>0</v>
      </c>
      <c r="S187" s="8">
        <f>IFERROR(__xludf.DUMMYFUNCTION("""COMPUTED_VALUE"""),0.0)</f>
        <v>0</v>
      </c>
      <c r="T187" s="8">
        <f>IFERROR(__xludf.DUMMYFUNCTION("""COMPUTED_VALUE"""),0.0)</f>
        <v>0</v>
      </c>
      <c r="U187" s="8">
        <f>IFERROR(__xludf.DUMMYFUNCTION("""COMPUTED_VALUE"""),0.0)</f>
        <v>0</v>
      </c>
      <c r="V187" s="8">
        <f>IFERROR(__xludf.DUMMYFUNCTION("""COMPUTED_VALUE"""),0.0)</f>
        <v>0</v>
      </c>
      <c r="W187" s="8">
        <f>IFERROR(__xludf.DUMMYFUNCTION("""COMPUTED_VALUE"""),0.0)</f>
        <v>0</v>
      </c>
      <c r="X187" s="8">
        <f>IFERROR(__xludf.DUMMYFUNCTION("""COMPUTED_VALUE"""),0.0)</f>
        <v>0</v>
      </c>
      <c r="Y187" s="8">
        <f>IFERROR(__xludf.DUMMYFUNCTION("""COMPUTED_VALUE"""),0.0)</f>
        <v>0</v>
      </c>
      <c r="Z187" s="8">
        <f>IFERROR(__xludf.DUMMYFUNCTION("""COMPUTED_VALUE"""),0.0)</f>
        <v>0</v>
      </c>
      <c r="AA187" s="8">
        <f>IFERROR(__xludf.DUMMYFUNCTION("""COMPUTED_VALUE"""),0.0)</f>
        <v>0</v>
      </c>
      <c r="AB187" s="8">
        <f>IFERROR(__xludf.DUMMYFUNCTION("""COMPUTED_VALUE"""),0.0)</f>
        <v>0</v>
      </c>
      <c r="AC187" s="8">
        <f>IFERROR(__xludf.DUMMYFUNCTION("""COMPUTED_VALUE"""),0.0)</f>
        <v>0</v>
      </c>
    </row>
    <row r="188" ht="15.75" customHeight="1">
      <c r="A188" s="6" t="str">
        <f>IFERROR(__xludf.DUMMYFUNCTION("""COMPUTED_VALUE"""),"a92aaf29dca1833b578f42a2abbcdab8db2ff12e")</f>
        <v>a92aaf29dca1833b578f42a2abbcdab8db2ff12e</v>
      </c>
      <c r="B188" s="6" t="str">
        <f>IFERROR(__xludf.DUMMYFUNCTION("""COMPUTED_VALUE"""),"Bought for the Ice Ceo")</f>
        <v>Bought for the Ice Ceo</v>
      </c>
      <c r="C188" s="6" t="str">
        <f>IFERROR(__xludf.DUMMYFUNCTION("""COMPUTED_VALUE"""),"Romance")</f>
        <v>Romance</v>
      </c>
      <c r="D188" s="5">
        <f>IFERROR(__xludf.DUMMYFUNCTION("""COMPUTED_VALUE"""),868.0)</f>
        <v>868</v>
      </c>
      <c r="E188" s="8">
        <f>IFERROR(__xludf.DUMMYFUNCTION("""COMPUTED_VALUE"""),0.957324106113033)</f>
        <v>0.9573241061</v>
      </c>
      <c r="F188" s="8">
        <f>IFERROR(__xludf.DUMMYFUNCTION("""COMPUTED_VALUE"""),0.670126874279123)</f>
        <v>0.6701268743</v>
      </c>
      <c r="G188" s="8">
        <f>IFERROR(__xludf.DUMMYFUNCTION("""COMPUTED_VALUE"""),0.611303344867358)</f>
        <v>0.6113033449</v>
      </c>
      <c r="H188" s="8">
        <f>IFERROR(__xludf.DUMMYFUNCTION("""COMPUTED_VALUE"""),0.555427251732101)</f>
        <v>0.5554272517</v>
      </c>
      <c r="I188" s="8">
        <f>IFERROR(__xludf.DUMMYFUNCTION("""COMPUTED_VALUE"""),0.516763005780346)</f>
        <v>0.5167630058</v>
      </c>
      <c r="J188" s="8">
        <f>IFERROR(__xludf.DUMMYFUNCTION("""COMPUTED_VALUE"""),0.487833140208574)</f>
        <v>0.4878331402</v>
      </c>
      <c r="K188" s="8">
        <f>IFERROR(__xludf.DUMMYFUNCTION("""COMPUTED_VALUE"""),0.469293163383545)</f>
        <v>0.4692931634</v>
      </c>
      <c r="L188" s="8">
        <f>IFERROR(__xludf.DUMMYFUNCTION("""COMPUTED_VALUE"""),0.439165701042873)</f>
        <v>0.439165701</v>
      </c>
      <c r="M188" s="8">
        <f>IFERROR(__xludf.DUMMYFUNCTION("""COMPUTED_VALUE"""),0.434731934731934)</f>
        <v>0.4347319347</v>
      </c>
      <c r="N188" s="8">
        <f>IFERROR(__xludf.DUMMYFUNCTION("""COMPUTED_VALUE"""),0.414235705950991)</f>
        <v>0.414235706</v>
      </c>
      <c r="O188" s="8">
        <f>IFERROR(__xludf.DUMMYFUNCTION("""COMPUTED_VALUE"""),0.357396449704142)</f>
        <v>0.3573964497</v>
      </c>
      <c r="P188" s="8">
        <f>IFERROR(__xludf.DUMMYFUNCTION("""COMPUTED_VALUE"""),0.222084367245657)</f>
        <v>0.2220843672</v>
      </c>
      <c r="Q188" s="8">
        <f>IFERROR(__xludf.DUMMYFUNCTION("""COMPUTED_VALUE"""),0.0901060070671378)</f>
        <v>0.09010600707</v>
      </c>
      <c r="R188" s="8">
        <f>IFERROR(__xludf.DUMMYFUNCTION("""COMPUTED_VALUE"""),0.0)</f>
        <v>0</v>
      </c>
      <c r="S188" s="8">
        <f>IFERROR(__xludf.DUMMYFUNCTION("""COMPUTED_VALUE"""),0.0)</f>
        <v>0</v>
      </c>
      <c r="T188" s="8">
        <f>IFERROR(__xludf.DUMMYFUNCTION("""COMPUTED_VALUE"""),0.0)</f>
        <v>0</v>
      </c>
      <c r="U188" s="8">
        <f>IFERROR(__xludf.DUMMYFUNCTION("""COMPUTED_VALUE"""),0.0)</f>
        <v>0</v>
      </c>
      <c r="V188" s="8">
        <f>IFERROR(__xludf.DUMMYFUNCTION("""COMPUTED_VALUE"""),0.0)</f>
        <v>0</v>
      </c>
      <c r="W188" s="8">
        <f>IFERROR(__xludf.DUMMYFUNCTION("""COMPUTED_VALUE"""),0.0)</f>
        <v>0</v>
      </c>
      <c r="X188" s="8">
        <f>IFERROR(__xludf.DUMMYFUNCTION("""COMPUTED_VALUE"""),0.0)</f>
        <v>0</v>
      </c>
      <c r="Y188" s="8">
        <f>IFERROR(__xludf.DUMMYFUNCTION("""COMPUTED_VALUE"""),0.0)</f>
        <v>0</v>
      </c>
      <c r="Z188" s="8">
        <f>IFERROR(__xludf.DUMMYFUNCTION("""COMPUTED_VALUE"""),0.0)</f>
        <v>0</v>
      </c>
      <c r="AA188" s="8">
        <f>IFERROR(__xludf.DUMMYFUNCTION("""COMPUTED_VALUE"""),0.0)</f>
        <v>0</v>
      </c>
      <c r="AB188" s="8">
        <f>IFERROR(__xludf.DUMMYFUNCTION("""COMPUTED_VALUE"""),0.0)</f>
        <v>0</v>
      </c>
      <c r="AC188" s="8">
        <f>IFERROR(__xludf.DUMMYFUNCTION("""COMPUTED_VALUE"""),0.0)</f>
        <v>0</v>
      </c>
    </row>
    <row r="189" ht="15.75" customHeight="1">
      <c r="A189" s="6" t="str">
        <f>IFERROR(__xludf.DUMMYFUNCTION("""COMPUTED_VALUE"""),"a978831eb87b7d63024465fa4df9a779feeaaf5a")</f>
        <v>a978831eb87b7d63024465fa4df9a779feeaaf5a</v>
      </c>
      <c r="B189" s="6" t="str">
        <f>IFERROR(__xludf.DUMMYFUNCTION("""COMPUTED_VALUE"""),"Extreme Medical Sage")</f>
        <v>Extreme Medical Sage</v>
      </c>
      <c r="C189" s="6" t="str">
        <f>IFERROR(__xludf.DUMMYFUNCTION("""COMPUTED_VALUE"""),"Fantasy")</f>
        <v>Fantasy</v>
      </c>
      <c r="D189" s="5">
        <f>IFERROR(__xludf.DUMMYFUNCTION("""COMPUTED_VALUE"""),658.0)</f>
        <v>658</v>
      </c>
      <c r="E189" s="8">
        <f>IFERROR(__xludf.DUMMYFUNCTION("""COMPUTED_VALUE"""),0.94)</f>
        <v>0.94</v>
      </c>
      <c r="F189" s="8">
        <f>IFERROR(__xludf.DUMMYFUNCTION("""COMPUTED_VALUE"""),0.589257503949447)</f>
        <v>0.5892575039</v>
      </c>
      <c r="G189" s="8">
        <f>IFERROR(__xludf.DUMMYFUNCTION("""COMPUTED_VALUE"""),0.506622516556291)</f>
        <v>0.5066225166</v>
      </c>
      <c r="H189" s="8">
        <f>IFERROR(__xludf.DUMMYFUNCTION("""COMPUTED_VALUE"""),0.481549815498154)</f>
        <v>0.4815498155</v>
      </c>
      <c r="I189" s="8">
        <f>IFERROR(__xludf.DUMMYFUNCTION("""COMPUTED_VALUE"""),0.453846153846153)</f>
        <v>0.4538461538</v>
      </c>
      <c r="J189" s="8">
        <f>IFERROR(__xludf.DUMMYFUNCTION("""COMPUTED_VALUE"""),0.438775510204081)</f>
        <v>0.4387755102</v>
      </c>
      <c r="K189" s="8">
        <f>IFERROR(__xludf.DUMMYFUNCTION("""COMPUTED_VALUE"""),0.402985074626865)</f>
        <v>0.4029850746</v>
      </c>
      <c r="L189" s="8">
        <f>IFERROR(__xludf.DUMMYFUNCTION("""COMPUTED_VALUE"""),0.374164810690423)</f>
        <v>0.3741648107</v>
      </c>
      <c r="M189" s="8">
        <f>IFERROR(__xludf.DUMMYFUNCTION("""COMPUTED_VALUE"""),0.357308584686774)</f>
        <v>0.3573085847</v>
      </c>
      <c r="N189" s="8">
        <f>IFERROR(__xludf.DUMMYFUNCTION("""COMPUTED_VALUE"""),0.357142857142857)</f>
        <v>0.3571428571</v>
      </c>
      <c r="O189" s="8">
        <f>IFERROR(__xludf.DUMMYFUNCTION("""COMPUTED_VALUE"""),0.302452316076294)</f>
        <v>0.3024523161</v>
      </c>
      <c r="P189" s="8">
        <f>IFERROR(__xludf.DUMMYFUNCTION("""COMPUTED_VALUE"""),0.203076923076923)</f>
        <v>0.2030769231</v>
      </c>
      <c r="Q189" s="8">
        <f>IFERROR(__xludf.DUMMYFUNCTION("""COMPUTED_VALUE"""),0.08)</f>
        <v>0.08</v>
      </c>
      <c r="R189" s="8">
        <f>IFERROR(__xludf.DUMMYFUNCTION("""COMPUTED_VALUE"""),0.0410958904109589)</f>
        <v>0.04109589041</v>
      </c>
      <c r="S189" s="8">
        <f>IFERROR(__xludf.DUMMYFUNCTION("""COMPUTED_VALUE"""),0.0151515151515151)</f>
        <v>0.01515151515</v>
      </c>
      <c r="T189" s="8">
        <f>IFERROR(__xludf.DUMMYFUNCTION("""COMPUTED_VALUE"""),0.015625)</f>
        <v>0.015625</v>
      </c>
      <c r="U189" s="8">
        <f>IFERROR(__xludf.DUMMYFUNCTION("""COMPUTED_VALUE"""),0.0169491525423728)</f>
        <v>0.01694915254</v>
      </c>
      <c r="V189" s="8">
        <f>IFERROR(__xludf.DUMMYFUNCTION("""COMPUTED_VALUE"""),0.0181818181818181)</f>
        <v>0.01818181818</v>
      </c>
      <c r="W189" s="8">
        <f>IFERROR(__xludf.DUMMYFUNCTION("""COMPUTED_VALUE"""),0.0217391304347826)</f>
        <v>0.02173913043</v>
      </c>
      <c r="X189" s="8">
        <f>IFERROR(__xludf.DUMMYFUNCTION("""COMPUTED_VALUE"""),0.0232558139534883)</f>
        <v>0.02325581395</v>
      </c>
      <c r="Y189" s="8">
        <f>IFERROR(__xludf.DUMMYFUNCTION("""COMPUTED_VALUE"""),0.0263157894736842)</f>
        <v>0.02631578947</v>
      </c>
      <c r="Z189" s="8">
        <f>IFERROR(__xludf.DUMMYFUNCTION("""COMPUTED_VALUE"""),0.037037037037037)</f>
        <v>0.03703703704</v>
      </c>
      <c r="AA189" s="8">
        <f>IFERROR(__xludf.DUMMYFUNCTION("""COMPUTED_VALUE"""),0.0454545454545454)</f>
        <v>0.04545454545</v>
      </c>
      <c r="AB189" s="8">
        <f>IFERROR(__xludf.DUMMYFUNCTION("""COMPUTED_VALUE"""),0.0454545454545454)</f>
        <v>0.04545454545</v>
      </c>
      <c r="AC189" s="8">
        <f>IFERROR(__xludf.DUMMYFUNCTION("""COMPUTED_VALUE"""),0.0476190476190476)</f>
        <v>0.04761904762</v>
      </c>
    </row>
    <row r="190" ht="15.75" customHeight="1">
      <c r="A190" s="6" t="str">
        <f>IFERROR(__xludf.DUMMYFUNCTION("""COMPUTED_VALUE"""),"a9dd2d51d9347ce1a50ee64d1a38a6c33539ebc1")</f>
        <v>a9dd2d51d9347ce1a50ee64d1a38a6c33539ebc1</v>
      </c>
      <c r="B190" s="6" t="str">
        <f>IFERROR(__xludf.DUMMYFUNCTION("""COMPUTED_VALUE"""),"Billionaires Love Me")</f>
        <v>Billionaires Love Me</v>
      </c>
      <c r="C190" s="6" t="str">
        <f>IFERROR(__xludf.DUMMYFUNCTION("""COMPUTED_VALUE"""),"Romance")</f>
        <v>Romance</v>
      </c>
      <c r="D190" s="5">
        <f>IFERROR(__xludf.DUMMYFUNCTION("""COMPUTED_VALUE"""),685.0)</f>
        <v>685</v>
      </c>
      <c r="E190" s="8">
        <f>IFERROR(__xludf.DUMMYFUNCTION("""COMPUTED_VALUE"""),0.95307917888563)</f>
        <v>0.9530791789</v>
      </c>
      <c r="F190" s="8">
        <f>IFERROR(__xludf.DUMMYFUNCTION("""COMPUTED_VALUE"""),0.603268945022288)</f>
        <v>0.603268945</v>
      </c>
      <c r="G190" s="8">
        <f>IFERROR(__xludf.DUMMYFUNCTION("""COMPUTED_VALUE"""),0.478193146417445)</f>
        <v>0.4781931464</v>
      </c>
      <c r="H190" s="8">
        <f>IFERROR(__xludf.DUMMYFUNCTION("""COMPUTED_VALUE"""),0.401818181818181)</f>
        <v>0.4018181818</v>
      </c>
      <c r="I190" s="8">
        <f>IFERROR(__xludf.DUMMYFUNCTION("""COMPUTED_VALUE"""),0.366863905325443)</f>
        <v>0.3668639053</v>
      </c>
      <c r="J190" s="8">
        <f>IFERROR(__xludf.DUMMYFUNCTION("""COMPUTED_VALUE"""),0.34516765285996)</f>
        <v>0.3451676529</v>
      </c>
      <c r="K190" s="8">
        <f>IFERROR(__xludf.DUMMYFUNCTION("""COMPUTED_VALUE"""),0.325443786982248)</f>
        <v>0.325443787</v>
      </c>
      <c r="L190" s="8">
        <f>IFERROR(__xludf.DUMMYFUNCTION("""COMPUTED_VALUE"""),0.289940828402366)</f>
        <v>0.2899408284</v>
      </c>
      <c r="M190" s="8">
        <f>IFERROR(__xludf.DUMMYFUNCTION("""COMPUTED_VALUE"""),0.271084337349397)</f>
        <v>0.2710843373</v>
      </c>
      <c r="N190" s="8">
        <f>IFERROR(__xludf.DUMMYFUNCTION("""COMPUTED_VALUE"""),0.255020080321285)</f>
        <v>0.2550200803</v>
      </c>
      <c r="O190" s="8">
        <f>IFERROR(__xludf.DUMMYFUNCTION("""COMPUTED_VALUE"""),0.241869918699187)</f>
        <v>0.2418699187</v>
      </c>
      <c r="P190" s="8">
        <f>IFERROR(__xludf.DUMMYFUNCTION("""COMPUTED_VALUE"""),0.158004158004158)</f>
        <v>0.158004158</v>
      </c>
      <c r="Q190" s="8">
        <f>IFERROR(__xludf.DUMMYFUNCTION("""COMPUTED_VALUE"""),0.121896162528216)</f>
        <v>0.1218961625</v>
      </c>
      <c r="R190" s="8">
        <f>IFERROR(__xludf.DUMMYFUNCTION("""COMPUTED_VALUE"""),0.099502487562189)</f>
        <v>0.09950248756</v>
      </c>
      <c r="S190" s="8">
        <f>IFERROR(__xludf.DUMMYFUNCTION("""COMPUTED_VALUE"""),0.0)</f>
        <v>0</v>
      </c>
      <c r="T190" s="8">
        <f>IFERROR(__xludf.DUMMYFUNCTION("""COMPUTED_VALUE"""),0.0)</f>
        <v>0</v>
      </c>
      <c r="U190" s="8">
        <f>IFERROR(__xludf.DUMMYFUNCTION("""COMPUTED_VALUE"""),0.0)</f>
        <v>0</v>
      </c>
      <c r="V190" s="8">
        <f>IFERROR(__xludf.DUMMYFUNCTION("""COMPUTED_VALUE"""),0.0)</f>
        <v>0</v>
      </c>
      <c r="W190" s="8">
        <f>IFERROR(__xludf.DUMMYFUNCTION("""COMPUTED_VALUE"""),0.0)</f>
        <v>0</v>
      </c>
      <c r="X190" s="8">
        <f>IFERROR(__xludf.DUMMYFUNCTION("""COMPUTED_VALUE"""),0.0)</f>
        <v>0</v>
      </c>
      <c r="Y190" s="8">
        <f>IFERROR(__xludf.DUMMYFUNCTION("""COMPUTED_VALUE"""),0.0)</f>
        <v>0</v>
      </c>
      <c r="Z190" s="8">
        <f>IFERROR(__xludf.DUMMYFUNCTION("""COMPUTED_VALUE"""),0.0)</f>
        <v>0</v>
      </c>
      <c r="AA190" s="8">
        <f>IFERROR(__xludf.DUMMYFUNCTION("""COMPUTED_VALUE"""),0.0)</f>
        <v>0</v>
      </c>
      <c r="AB190" s="8">
        <f>IFERROR(__xludf.DUMMYFUNCTION("""COMPUTED_VALUE"""),0.0)</f>
        <v>0</v>
      </c>
      <c r="AC190" s="8">
        <f>IFERROR(__xludf.DUMMYFUNCTION("""COMPUTED_VALUE"""),0.0)</f>
        <v>0</v>
      </c>
    </row>
    <row r="191" ht="15.75" customHeight="1">
      <c r="A191" s="6" t="str">
        <f>IFERROR(__xludf.DUMMYFUNCTION("""COMPUTED_VALUE"""),"aaa698f296d8b031a8ae9b94897fb07edda92f97")</f>
        <v>aaa698f296d8b031a8ae9b94897fb07edda92f97</v>
      </c>
      <c r="B191" s="6" t="str">
        <f>IFERROR(__xludf.DUMMYFUNCTION("""COMPUTED_VALUE"""),"A Heart Divided")</f>
        <v>A Heart Divided</v>
      </c>
      <c r="C191" s="6" t="str">
        <f>IFERROR(__xludf.DUMMYFUNCTION("""COMPUTED_VALUE"""),"Romance")</f>
        <v>Romance</v>
      </c>
      <c r="D191" s="5">
        <f>IFERROR(__xludf.DUMMYFUNCTION("""COMPUTED_VALUE"""),238.0)</f>
        <v>238</v>
      </c>
      <c r="E191" s="8">
        <f>IFERROR(__xludf.DUMMYFUNCTION("""COMPUTED_VALUE"""),0.899159663865546)</f>
        <v>0.8991596639</v>
      </c>
      <c r="F191" s="8">
        <f>IFERROR(__xludf.DUMMYFUNCTION("""COMPUTED_VALUE"""),0.647058823529411)</f>
        <v>0.6470588235</v>
      </c>
      <c r="G191" s="8">
        <f>IFERROR(__xludf.DUMMYFUNCTION("""COMPUTED_VALUE"""),0.611814345991561)</f>
        <v>0.611814346</v>
      </c>
      <c r="H191" s="8">
        <f>IFERROR(__xludf.DUMMYFUNCTION("""COMPUTED_VALUE"""),0.544303797468354)</f>
        <v>0.5443037975</v>
      </c>
      <c r="I191" s="8">
        <f>IFERROR(__xludf.DUMMYFUNCTION("""COMPUTED_VALUE"""),0.521186440677966)</f>
        <v>0.5211864407</v>
      </c>
      <c r="J191" s="8">
        <f>IFERROR(__xludf.DUMMYFUNCTION("""COMPUTED_VALUE"""),0.495762711864406)</f>
        <v>0.4957627119</v>
      </c>
      <c r="K191" s="8">
        <f>IFERROR(__xludf.DUMMYFUNCTION("""COMPUTED_VALUE"""),0.466101694915254)</f>
        <v>0.4661016949</v>
      </c>
      <c r="L191" s="8">
        <f>IFERROR(__xludf.DUMMYFUNCTION("""COMPUTED_VALUE"""),0.432203389830508)</f>
        <v>0.4322033898</v>
      </c>
      <c r="M191" s="8">
        <f>IFERROR(__xludf.DUMMYFUNCTION("""COMPUTED_VALUE"""),0.398305084745762)</f>
        <v>0.3983050847</v>
      </c>
      <c r="N191" s="8">
        <f>IFERROR(__xludf.DUMMYFUNCTION("""COMPUTED_VALUE"""),0.34322033898305)</f>
        <v>0.343220339</v>
      </c>
      <c r="O191" s="8">
        <f>IFERROR(__xludf.DUMMYFUNCTION("""COMPUTED_VALUE"""),0.293617021276595)</f>
        <v>0.2936170213</v>
      </c>
      <c r="P191" s="8">
        <f>IFERROR(__xludf.DUMMYFUNCTION("""COMPUTED_VALUE"""),0.17094017094017)</f>
        <v>0.1709401709</v>
      </c>
      <c r="Q191" s="8">
        <f>IFERROR(__xludf.DUMMYFUNCTION("""COMPUTED_VALUE"""),0.0829694323144104)</f>
        <v>0.08296943231</v>
      </c>
      <c r="R191" s="8">
        <f>IFERROR(__xludf.DUMMYFUNCTION("""COMPUTED_VALUE"""),0.0698689956331877)</f>
        <v>0.06986899563</v>
      </c>
      <c r="S191" s="8">
        <f>IFERROR(__xludf.DUMMYFUNCTION("""COMPUTED_VALUE"""),0.0)</f>
        <v>0</v>
      </c>
      <c r="T191" s="8">
        <f>IFERROR(__xludf.DUMMYFUNCTION("""COMPUTED_VALUE"""),0.0)</f>
        <v>0</v>
      </c>
      <c r="U191" s="8">
        <f>IFERROR(__xludf.DUMMYFUNCTION("""COMPUTED_VALUE"""),0.0)</f>
        <v>0</v>
      </c>
      <c r="V191" s="8">
        <f>IFERROR(__xludf.DUMMYFUNCTION("""COMPUTED_VALUE"""),0.0)</f>
        <v>0</v>
      </c>
      <c r="W191" s="8">
        <f>IFERROR(__xludf.DUMMYFUNCTION("""COMPUTED_VALUE"""),0.0)</f>
        <v>0</v>
      </c>
      <c r="X191" s="8">
        <f>IFERROR(__xludf.DUMMYFUNCTION("""COMPUTED_VALUE"""),0.0)</f>
        <v>0</v>
      </c>
      <c r="Y191" s="8">
        <f>IFERROR(__xludf.DUMMYFUNCTION("""COMPUTED_VALUE"""),0.0)</f>
        <v>0</v>
      </c>
      <c r="Z191" s="8">
        <f>IFERROR(__xludf.DUMMYFUNCTION("""COMPUTED_VALUE"""),0.0)</f>
        <v>0</v>
      </c>
      <c r="AA191" s="8">
        <f>IFERROR(__xludf.DUMMYFUNCTION("""COMPUTED_VALUE"""),0.0)</f>
        <v>0</v>
      </c>
      <c r="AB191" s="8">
        <f>IFERROR(__xludf.DUMMYFUNCTION("""COMPUTED_VALUE"""),0.0)</f>
        <v>0</v>
      </c>
      <c r="AC191" s="8">
        <f>IFERROR(__xludf.DUMMYFUNCTION("""COMPUTED_VALUE"""),0.0)</f>
        <v>0</v>
      </c>
    </row>
    <row r="192" ht="15.75" customHeight="1">
      <c r="A192" s="6" t="str">
        <f>IFERROR(__xludf.DUMMYFUNCTION("""COMPUTED_VALUE"""),"aab4996493c32f1ec5e010a7e9b25c3e280e1445")</f>
        <v>aab4996493c32f1ec5e010a7e9b25c3e280e1445</v>
      </c>
      <c r="B192" s="6" t="str">
        <f>IFERROR(__xludf.DUMMYFUNCTION("""COMPUTED_VALUE"""),"Love Forever")</f>
        <v>Love Forever</v>
      </c>
      <c r="C192" s="6" t="str">
        <f>IFERROR(__xludf.DUMMYFUNCTION("""COMPUTED_VALUE"""),"Romance")</f>
        <v>Romance</v>
      </c>
      <c r="D192" s="5">
        <f>IFERROR(__xludf.DUMMYFUNCTION("""COMPUTED_VALUE"""),133.0)</f>
        <v>133</v>
      </c>
      <c r="E192" s="8">
        <f>IFERROR(__xludf.DUMMYFUNCTION("""COMPUTED_VALUE"""),0.932330827067669)</f>
        <v>0.9323308271</v>
      </c>
      <c r="F192" s="8">
        <f>IFERROR(__xludf.DUMMYFUNCTION("""COMPUTED_VALUE"""),0.541353383458646)</f>
        <v>0.5413533835</v>
      </c>
      <c r="G192" s="8">
        <f>IFERROR(__xludf.DUMMYFUNCTION("""COMPUTED_VALUE"""),0.473684210526315)</f>
        <v>0.4736842105</v>
      </c>
      <c r="H192" s="8">
        <f>IFERROR(__xludf.DUMMYFUNCTION("""COMPUTED_VALUE"""),0.436090225563909)</f>
        <v>0.4360902256</v>
      </c>
      <c r="I192" s="8">
        <f>IFERROR(__xludf.DUMMYFUNCTION("""COMPUTED_VALUE"""),0.406015037593984)</f>
        <v>0.4060150376</v>
      </c>
      <c r="J192" s="8">
        <f>IFERROR(__xludf.DUMMYFUNCTION("""COMPUTED_VALUE"""),0.368421052631578)</f>
        <v>0.3684210526</v>
      </c>
      <c r="K192" s="8">
        <f>IFERROR(__xludf.DUMMYFUNCTION("""COMPUTED_VALUE"""),0.368421052631578)</f>
        <v>0.3684210526</v>
      </c>
      <c r="L192" s="8">
        <f>IFERROR(__xludf.DUMMYFUNCTION("""COMPUTED_VALUE"""),0.345864661654135)</f>
        <v>0.3458646617</v>
      </c>
      <c r="M192" s="8">
        <f>IFERROR(__xludf.DUMMYFUNCTION("""COMPUTED_VALUE"""),0.356060606060606)</f>
        <v>0.3560606061</v>
      </c>
      <c r="N192" s="8">
        <f>IFERROR(__xludf.DUMMYFUNCTION("""COMPUTED_VALUE"""),0.295454545454545)</f>
        <v>0.2954545455</v>
      </c>
      <c r="O192" s="8">
        <f>IFERROR(__xludf.DUMMYFUNCTION("""COMPUTED_VALUE"""),0.297709923664122)</f>
        <v>0.2977099237</v>
      </c>
      <c r="P192" s="8">
        <f>IFERROR(__xludf.DUMMYFUNCTION("""COMPUTED_VALUE"""),0.184615384615384)</f>
        <v>0.1846153846</v>
      </c>
      <c r="Q192" s="8">
        <f>IFERROR(__xludf.DUMMYFUNCTION("""COMPUTED_VALUE"""),0.0930232558139534)</f>
        <v>0.09302325581</v>
      </c>
      <c r="R192" s="8">
        <f>IFERROR(__xludf.DUMMYFUNCTION("""COMPUTED_VALUE"""),0.0620155038759689)</f>
        <v>0.06201550388</v>
      </c>
      <c r="S192" s="8">
        <f>IFERROR(__xludf.DUMMYFUNCTION("""COMPUTED_VALUE"""),0.0)</f>
        <v>0</v>
      </c>
      <c r="T192" s="8">
        <f>IFERROR(__xludf.DUMMYFUNCTION("""COMPUTED_VALUE"""),0.0)</f>
        <v>0</v>
      </c>
      <c r="U192" s="8">
        <f>IFERROR(__xludf.DUMMYFUNCTION("""COMPUTED_VALUE"""),0.0)</f>
        <v>0</v>
      </c>
      <c r="V192" s="8">
        <f>IFERROR(__xludf.DUMMYFUNCTION("""COMPUTED_VALUE"""),0.0)</f>
        <v>0</v>
      </c>
      <c r="W192" s="8">
        <f>IFERROR(__xludf.DUMMYFUNCTION("""COMPUTED_VALUE"""),0.0)</f>
        <v>0</v>
      </c>
      <c r="X192" s="8">
        <f>IFERROR(__xludf.DUMMYFUNCTION("""COMPUTED_VALUE"""),0.0)</f>
        <v>0</v>
      </c>
      <c r="Y192" s="8">
        <f>IFERROR(__xludf.DUMMYFUNCTION("""COMPUTED_VALUE"""),0.0)</f>
        <v>0</v>
      </c>
      <c r="Z192" s="8">
        <f>IFERROR(__xludf.DUMMYFUNCTION("""COMPUTED_VALUE"""),0.0)</f>
        <v>0</v>
      </c>
      <c r="AA192" s="8">
        <f>IFERROR(__xludf.DUMMYFUNCTION("""COMPUTED_VALUE"""),0.0)</f>
        <v>0</v>
      </c>
      <c r="AB192" s="8">
        <f>IFERROR(__xludf.DUMMYFUNCTION("""COMPUTED_VALUE"""),0.0)</f>
        <v>0</v>
      </c>
      <c r="AC192" s="8">
        <f>IFERROR(__xludf.DUMMYFUNCTION("""COMPUTED_VALUE"""),0.0)</f>
        <v>0</v>
      </c>
    </row>
    <row r="193" ht="15.75" customHeight="1">
      <c r="A193" s="6" t="str">
        <f>IFERROR(__xludf.DUMMYFUNCTION("""COMPUTED_VALUE"""),"ab0abb1b032efe35c0bd9be9cb6f80f8738dc1c9")</f>
        <v>ab0abb1b032efe35c0bd9be9cb6f80f8738dc1c9</v>
      </c>
      <c r="B193" s="6" t="str">
        <f>IFERROR(__xludf.DUMMYFUNCTION("""COMPUTED_VALUE"""),"Kaizen Aritoku Rise")</f>
        <v>Kaizen Aritoku Rise</v>
      </c>
      <c r="C193" s="6" t="str">
        <f>IFERROR(__xludf.DUMMYFUNCTION("""COMPUTED_VALUE"""),"System and Superpower")</f>
        <v>System and Superpower</v>
      </c>
      <c r="D193" s="5">
        <f>IFERROR(__xludf.DUMMYFUNCTION("""COMPUTED_VALUE"""),91.0)</f>
        <v>91</v>
      </c>
      <c r="E193" s="8">
        <f>IFERROR(__xludf.DUMMYFUNCTION("""COMPUTED_VALUE"""),0.989010989010989)</f>
        <v>0.989010989</v>
      </c>
      <c r="F193" s="8">
        <f>IFERROR(__xludf.DUMMYFUNCTION("""COMPUTED_VALUE"""),0.626373626373626)</f>
        <v>0.6263736264</v>
      </c>
      <c r="G193" s="8">
        <f>IFERROR(__xludf.DUMMYFUNCTION("""COMPUTED_VALUE"""),0.527472527472527)</f>
        <v>0.5274725275</v>
      </c>
      <c r="H193" s="8">
        <f>IFERROR(__xludf.DUMMYFUNCTION("""COMPUTED_VALUE"""),0.439560439560439)</f>
        <v>0.4395604396</v>
      </c>
      <c r="I193" s="8">
        <f>IFERROR(__xludf.DUMMYFUNCTION("""COMPUTED_VALUE"""),0.351648351648351)</f>
        <v>0.3516483516</v>
      </c>
      <c r="J193" s="8">
        <f>IFERROR(__xludf.DUMMYFUNCTION("""COMPUTED_VALUE"""),0.307692307692307)</f>
        <v>0.3076923077</v>
      </c>
      <c r="K193" s="8">
        <f>IFERROR(__xludf.DUMMYFUNCTION("""COMPUTED_VALUE"""),0.285714285714285)</f>
        <v>0.2857142857</v>
      </c>
      <c r="L193" s="8">
        <f>IFERROR(__xludf.DUMMYFUNCTION("""COMPUTED_VALUE"""),0.244444444444444)</f>
        <v>0.2444444444</v>
      </c>
      <c r="M193" s="8">
        <f>IFERROR(__xludf.DUMMYFUNCTION("""COMPUTED_VALUE"""),0.233333333333333)</f>
        <v>0.2333333333</v>
      </c>
      <c r="N193" s="8">
        <f>IFERROR(__xludf.DUMMYFUNCTION("""COMPUTED_VALUE"""),0.244444444444444)</f>
        <v>0.2444444444</v>
      </c>
      <c r="O193" s="8">
        <f>IFERROR(__xludf.DUMMYFUNCTION("""COMPUTED_VALUE"""),0.157303370786516)</f>
        <v>0.1573033708</v>
      </c>
      <c r="P193" s="8">
        <f>IFERROR(__xludf.DUMMYFUNCTION("""COMPUTED_VALUE"""),0.123595505617977)</f>
        <v>0.1235955056</v>
      </c>
      <c r="Q193" s="8">
        <f>IFERROR(__xludf.DUMMYFUNCTION("""COMPUTED_VALUE"""),0.0919540229885057)</f>
        <v>0.09195402299</v>
      </c>
      <c r="R193" s="8">
        <f>IFERROR(__xludf.DUMMYFUNCTION("""COMPUTED_VALUE"""),0.0333333333333333)</f>
        <v>0.03333333333</v>
      </c>
      <c r="S193" s="8">
        <f>IFERROR(__xludf.DUMMYFUNCTION("""COMPUTED_VALUE"""),0.0333333333333333)</f>
        <v>0.03333333333</v>
      </c>
      <c r="T193" s="8">
        <f>IFERROR(__xludf.DUMMYFUNCTION("""COMPUTED_VALUE"""),0.0)</f>
        <v>0</v>
      </c>
      <c r="U193" s="8">
        <f>IFERROR(__xludf.DUMMYFUNCTION("""COMPUTED_VALUE"""),0.0)</f>
        <v>0</v>
      </c>
      <c r="V193" s="8">
        <f>IFERROR(__xludf.DUMMYFUNCTION("""COMPUTED_VALUE"""),0.0)</f>
        <v>0</v>
      </c>
      <c r="W193" s="8">
        <f>IFERROR(__xludf.DUMMYFUNCTION("""COMPUTED_VALUE"""),0.0)</f>
        <v>0</v>
      </c>
      <c r="X193" s="8">
        <f>IFERROR(__xludf.DUMMYFUNCTION("""COMPUTED_VALUE"""),0.0)</f>
        <v>0</v>
      </c>
      <c r="Y193" s="8">
        <f>IFERROR(__xludf.DUMMYFUNCTION("""COMPUTED_VALUE"""),0.0)</f>
        <v>0</v>
      </c>
      <c r="Z193" s="8">
        <f>IFERROR(__xludf.DUMMYFUNCTION("""COMPUTED_VALUE"""),0.0)</f>
        <v>0</v>
      </c>
      <c r="AA193" s="8">
        <f>IFERROR(__xludf.DUMMYFUNCTION("""COMPUTED_VALUE"""),0.0)</f>
        <v>0</v>
      </c>
      <c r="AB193" s="8">
        <f>IFERROR(__xludf.DUMMYFUNCTION("""COMPUTED_VALUE"""),0.0)</f>
        <v>0</v>
      </c>
      <c r="AC193" s="8">
        <f>IFERROR(__xludf.DUMMYFUNCTION("""COMPUTED_VALUE"""),0.0)</f>
        <v>0</v>
      </c>
    </row>
    <row r="194" ht="15.75" customHeight="1">
      <c r="A194" s="6" t="str">
        <f>IFERROR(__xludf.DUMMYFUNCTION("""COMPUTED_VALUE"""),"abe99e0d615e9d7ebbf5d941810842cf64a74c6c")</f>
        <v>abe99e0d615e9d7ebbf5d941810842cf64a74c6c</v>
      </c>
      <c r="B194" s="6" t="str">
        <f>IFERROR(__xludf.DUMMYFUNCTION("""COMPUTED_VALUE"""),"Forgetting You, Lily")</f>
        <v>Forgetting You, Lily</v>
      </c>
      <c r="C194" s="6" t="str">
        <f>IFERROR(__xludf.DUMMYFUNCTION("""COMPUTED_VALUE"""),"Romance")</f>
        <v>Romance</v>
      </c>
      <c r="D194" s="5">
        <f>IFERROR(__xludf.DUMMYFUNCTION("""COMPUTED_VALUE"""),344.0)</f>
        <v>344</v>
      </c>
      <c r="E194" s="8">
        <f>IFERROR(__xludf.DUMMYFUNCTION("""COMPUTED_VALUE"""),0.976047904191616)</f>
        <v>0.9760479042</v>
      </c>
      <c r="F194" s="8">
        <f>IFERROR(__xludf.DUMMYFUNCTION("""COMPUTED_VALUE"""),0.530674846625766)</f>
        <v>0.5306748466</v>
      </c>
      <c r="G194" s="8">
        <f>IFERROR(__xludf.DUMMYFUNCTION("""COMPUTED_VALUE"""),0.409937888198757)</f>
        <v>0.4099378882</v>
      </c>
      <c r="H194" s="8">
        <f>IFERROR(__xludf.DUMMYFUNCTION("""COMPUTED_VALUE"""),0.367412140575079)</f>
        <v>0.3674121406</v>
      </c>
      <c r="I194" s="8">
        <f>IFERROR(__xludf.DUMMYFUNCTION("""COMPUTED_VALUE"""),0.34516129032258)</f>
        <v>0.3451612903</v>
      </c>
      <c r="J194" s="8">
        <f>IFERROR(__xludf.DUMMYFUNCTION("""COMPUTED_VALUE"""),0.309446254071661)</f>
        <v>0.3094462541</v>
      </c>
      <c r="K194" s="8">
        <f>IFERROR(__xludf.DUMMYFUNCTION("""COMPUTED_VALUE"""),0.271523178807947)</f>
        <v>0.2715231788</v>
      </c>
      <c r="L194" s="8">
        <f>IFERROR(__xludf.DUMMYFUNCTION("""COMPUTED_VALUE"""),0.25)</f>
        <v>0.25</v>
      </c>
      <c r="M194" s="8">
        <f>IFERROR(__xludf.DUMMYFUNCTION("""COMPUTED_VALUE"""),0.235087719298245)</f>
        <v>0.2350877193</v>
      </c>
      <c r="N194" s="8">
        <f>IFERROR(__xludf.DUMMYFUNCTION("""COMPUTED_VALUE"""),0.202166064981949)</f>
        <v>0.202166065</v>
      </c>
      <c r="O194" s="8">
        <f>IFERROR(__xludf.DUMMYFUNCTION("""COMPUTED_VALUE"""),0.125523012552301)</f>
        <v>0.1255230126</v>
      </c>
      <c r="P194" s="8">
        <f>IFERROR(__xludf.DUMMYFUNCTION("""COMPUTED_VALUE"""),0.114130434782608)</f>
        <v>0.1141304348</v>
      </c>
      <c r="Q194" s="8">
        <f>IFERROR(__xludf.DUMMYFUNCTION("""COMPUTED_VALUE"""),0.0)</f>
        <v>0</v>
      </c>
      <c r="R194" s="8">
        <f>IFERROR(__xludf.DUMMYFUNCTION("""COMPUTED_VALUE"""),0.0)</f>
        <v>0</v>
      </c>
      <c r="S194" s="8">
        <f>IFERROR(__xludf.DUMMYFUNCTION("""COMPUTED_VALUE"""),0.0)</f>
        <v>0</v>
      </c>
      <c r="T194" s="8">
        <f>IFERROR(__xludf.DUMMYFUNCTION("""COMPUTED_VALUE"""),0.0)</f>
        <v>0</v>
      </c>
      <c r="U194" s="8">
        <f>IFERROR(__xludf.DUMMYFUNCTION("""COMPUTED_VALUE"""),0.0)</f>
        <v>0</v>
      </c>
      <c r="V194" s="8">
        <f>IFERROR(__xludf.DUMMYFUNCTION("""COMPUTED_VALUE"""),0.0)</f>
        <v>0</v>
      </c>
      <c r="W194" s="8">
        <f>IFERROR(__xludf.DUMMYFUNCTION("""COMPUTED_VALUE"""),0.0)</f>
        <v>0</v>
      </c>
      <c r="X194" s="8">
        <f>IFERROR(__xludf.DUMMYFUNCTION("""COMPUTED_VALUE"""),0.0)</f>
        <v>0</v>
      </c>
      <c r="Y194" s="8">
        <f>IFERROR(__xludf.DUMMYFUNCTION("""COMPUTED_VALUE"""),0.0)</f>
        <v>0</v>
      </c>
      <c r="Z194" s="8">
        <f>IFERROR(__xludf.DUMMYFUNCTION("""COMPUTED_VALUE"""),0.0)</f>
        <v>0</v>
      </c>
      <c r="AA194" s="8">
        <f>IFERROR(__xludf.DUMMYFUNCTION("""COMPUTED_VALUE"""),0.0)</f>
        <v>0</v>
      </c>
      <c r="AB194" s="8">
        <f>IFERROR(__xludf.DUMMYFUNCTION("""COMPUTED_VALUE"""),0.0)</f>
        <v>0</v>
      </c>
      <c r="AC194" s="8">
        <f>IFERROR(__xludf.DUMMYFUNCTION("""COMPUTED_VALUE"""),0.0)</f>
        <v>0</v>
      </c>
    </row>
    <row r="195" ht="15.75" customHeight="1">
      <c r="A195" s="6" t="str">
        <f>IFERROR(__xludf.DUMMYFUNCTION("""COMPUTED_VALUE"""),"ac20da1af1ee60dd2020e8ff294c8c9dcf5be7ba")</f>
        <v>ac20da1af1ee60dd2020e8ff294c8c9dcf5be7ba</v>
      </c>
      <c r="B195" s="6" t="str">
        <f>IFERROR(__xludf.DUMMYFUNCTION("""COMPUTED_VALUE"""),"General Drake")</f>
        <v>General Drake</v>
      </c>
      <c r="C195" s="6" t="str">
        <f>IFERROR(__xludf.DUMMYFUNCTION("""COMPUTED_VALUE"""),"Suspense or Thriller")</f>
        <v>Suspense or Thriller</v>
      </c>
      <c r="D195" s="5">
        <f>IFERROR(__xludf.DUMMYFUNCTION("""COMPUTED_VALUE"""),282.0)</f>
        <v>282</v>
      </c>
      <c r="E195" s="8">
        <f>IFERROR(__xludf.DUMMYFUNCTION("""COMPUTED_VALUE"""),0.964539007092198)</f>
        <v>0.9645390071</v>
      </c>
      <c r="F195" s="8">
        <f>IFERROR(__xludf.DUMMYFUNCTION("""COMPUTED_VALUE"""),0.567375886524822)</f>
        <v>0.5673758865</v>
      </c>
      <c r="G195" s="8">
        <f>IFERROR(__xludf.DUMMYFUNCTION("""COMPUTED_VALUE"""),0.489361702127659)</f>
        <v>0.4893617021</v>
      </c>
      <c r="H195" s="8">
        <f>IFERROR(__xludf.DUMMYFUNCTION("""COMPUTED_VALUE"""),0.460992907801418)</f>
        <v>0.4609929078</v>
      </c>
      <c r="I195" s="8">
        <f>IFERROR(__xludf.DUMMYFUNCTION("""COMPUTED_VALUE"""),0.432624113475177)</f>
        <v>0.4326241135</v>
      </c>
      <c r="J195" s="8">
        <f>IFERROR(__xludf.DUMMYFUNCTION("""COMPUTED_VALUE"""),0.411347517730496)</f>
        <v>0.4113475177</v>
      </c>
      <c r="K195" s="8">
        <f>IFERROR(__xludf.DUMMYFUNCTION("""COMPUTED_VALUE"""),0.375886524822695)</f>
        <v>0.3758865248</v>
      </c>
      <c r="L195" s="8">
        <f>IFERROR(__xludf.DUMMYFUNCTION("""COMPUTED_VALUE"""),0.328358208955223)</f>
        <v>0.328358209</v>
      </c>
      <c r="M195" s="8">
        <f>IFERROR(__xludf.DUMMYFUNCTION("""COMPUTED_VALUE"""),0.307116104868913)</f>
        <v>0.3071161049</v>
      </c>
      <c r="N195" s="8">
        <f>IFERROR(__xludf.DUMMYFUNCTION("""COMPUTED_VALUE"""),0.295880149812734)</f>
        <v>0.2958801498</v>
      </c>
      <c r="O195" s="8">
        <f>IFERROR(__xludf.DUMMYFUNCTION("""COMPUTED_VALUE"""),0.239382239382239)</f>
        <v>0.2393822394</v>
      </c>
      <c r="P195" s="8">
        <f>IFERROR(__xludf.DUMMYFUNCTION("""COMPUTED_VALUE"""),0.1375)</f>
        <v>0.1375</v>
      </c>
      <c r="Q195" s="8">
        <f>IFERROR(__xludf.DUMMYFUNCTION("""COMPUTED_VALUE"""),0.122950819672131)</f>
        <v>0.1229508197</v>
      </c>
      <c r="R195" s="8">
        <f>IFERROR(__xludf.DUMMYFUNCTION("""COMPUTED_VALUE"""),0.0)</f>
        <v>0</v>
      </c>
      <c r="S195" s="8">
        <f>IFERROR(__xludf.DUMMYFUNCTION("""COMPUTED_VALUE"""),0.0)</f>
        <v>0</v>
      </c>
      <c r="T195" s="8">
        <f>IFERROR(__xludf.DUMMYFUNCTION("""COMPUTED_VALUE"""),0.0)</f>
        <v>0</v>
      </c>
      <c r="U195" s="8">
        <f>IFERROR(__xludf.DUMMYFUNCTION("""COMPUTED_VALUE"""),0.0)</f>
        <v>0</v>
      </c>
      <c r="V195" s="8">
        <f>IFERROR(__xludf.DUMMYFUNCTION("""COMPUTED_VALUE"""),0.0)</f>
        <v>0</v>
      </c>
      <c r="W195" s="8">
        <f>IFERROR(__xludf.DUMMYFUNCTION("""COMPUTED_VALUE"""),0.0)</f>
        <v>0</v>
      </c>
      <c r="X195" s="8">
        <f>IFERROR(__xludf.DUMMYFUNCTION("""COMPUTED_VALUE"""),0.0)</f>
        <v>0</v>
      </c>
      <c r="Y195" s="8">
        <f>IFERROR(__xludf.DUMMYFUNCTION("""COMPUTED_VALUE"""),0.0)</f>
        <v>0</v>
      </c>
      <c r="Z195" s="8">
        <f>IFERROR(__xludf.DUMMYFUNCTION("""COMPUTED_VALUE"""),0.0)</f>
        <v>0</v>
      </c>
      <c r="AA195" s="8">
        <f>IFERROR(__xludf.DUMMYFUNCTION("""COMPUTED_VALUE"""),0.0)</f>
        <v>0</v>
      </c>
      <c r="AB195" s="8">
        <f>IFERROR(__xludf.DUMMYFUNCTION("""COMPUTED_VALUE"""),0.0)</f>
        <v>0</v>
      </c>
      <c r="AC195" s="8">
        <f>IFERROR(__xludf.DUMMYFUNCTION("""COMPUTED_VALUE"""),0.0)</f>
        <v>0</v>
      </c>
    </row>
    <row r="196" ht="15.75" customHeight="1">
      <c r="A196" s="6" t="str">
        <f>IFERROR(__xludf.DUMMYFUNCTION("""COMPUTED_VALUE"""),"ad2e8d85f798bb8f66e9add56b1e29d7018e06fb")</f>
        <v>ad2e8d85f798bb8f66e9add56b1e29d7018e06fb</v>
      </c>
      <c r="B196" s="6" t="str">
        <f>IFERROR(__xludf.DUMMYFUNCTION("""COMPUTED_VALUE"""),"Embezzling Simp Funds")</f>
        <v>Embezzling Simp Funds</v>
      </c>
      <c r="C196" s="6" t="str">
        <f>IFERROR(__xludf.DUMMYFUNCTION("""COMPUTED_VALUE"""),"System and Superpower")</f>
        <v>System and Superpower</v>
      </c>
      <c r="D196" s="5">
        <f>IFERROR(__xludf.DUMMYFUNCTION("""COMPUTED_VALUE"""),714.0)</f>
        <v>714</v>
      </c>
      <c r="E196" s="8">
        <f>IFERROR(__xludf.DUMMYFUNCTION("""COMPUTED_VALUE"""),0.980392156862745)</f>
        <v>0.9803921569</v>
      </c>
      <c r="F196" s="8">
        <f>IFERROR(__xludf.DUMMYFUNCTION("""COMPUTED_VALUE"""),0.504908835904628)</f>
        <v>0.5049088359</v>
      </c>
      <c r="G196" s="8">
        <f>IFERROR(__xludf.DUMMYFUNCTION("""COMPUTED_VALUE"""),0.436797752808988)</f>
        <v>0.4367977528</v>
      </c>
      <c r="H196" s="8">
        <f>IFERROR(__xludf.DUMMYFUNCTION("""COMPUTED_VALUE"""),0.396067415730337)</f>
        <v>0.3960674157</v>
      </c>
      <c r="I196" s="8">
        <f>IFERROR(__xludf.DUMMYFUNCTION("""COMPUTED_VALUE"""),0.361462728551336)</f>
        <v>0.3614627286</v>
      </c>
      <c r="J196" s="8">
        <f>IFERROR(__xludf.DUMMYFUNCTION("""COMPUTED_VALUE"""),0.333333333333333)</f>
        <v>0.3333333333</v>
      </c>
      <c r="K196" s="8">
        <f>IFERROR(__xludf.DUMMYFUNCTION("""COMPUTED_VALUE"""),0.315049226441631)</f>
        <v>0.3150492264</v>
      </c>
      <c r="L196" s="8">
        <f>IFERROR(__xludf.DUMMYFUNCTION("""COMPUTED_VALUE"""),0.288326300984528)</f>
        <v>0.288326301</v>
      </c>
      <c r="M196" s="8">
        <f>IFERROR(__xludf.DUMMYFUNCTION("""COMPUTED_VALUE"""),0.282269503546099)</f>
        <v>0.2822695035</v>
      </c>
      <c r="N196" s="8">
        <f>IFERROR(__xludf.DUMMYFUNCTION("""COMPUTED_VALUE"""),0.276353276353276)</f>
        <v>0.2763532764</v>
      </c>
      <c r="O196" s="8">
        <f>IFERROR(__xludf.DUMMYFUNCTION("""COMPUTED_VALUE"""),0.212025316455696)</f>
        <v>0.2120253165</v>
      </c>
      <c r="P196" s="8">
        <f>IFERROR(__xludf.DUMMYFUNCTION("""COMPUTED_VALUE"""),0.180672268907563)</f>
        <v>0.1806722689</v>
      </c>
      <c r="Q196" s="8">
        <f>IFERROR(__xludf.DUMMYFUNCTION("""COMPUTED_VALUE"""),0.162162162162162)</f>
        <v>0.1621621622</v>
      </c>
      <c r="R196" s="8">
        <f>IFERROR(__xludf.DUMMYFUNCTION("""COMPUTED_VALUE"""),0.148936170212765)</f>
        <v>0.1489361702</v>
      </c>
      <c r="S196" s="8">
        <f>IFERROR(__xludf.DUMMYFUNCTION("""COMPUTED_VALUE"""),0.131868131868131)</f>
        <v>0.1318681319</v>
      </c>
      <c r="T196" s="8">
        <f>IFERROR(__xludf.DUMMYFUNCTION("""COMPUTED_VALUE"""),0.140350877192982)</f>
        <v>0.1403508772</v>
      </c>
      <c r="U196" s="8">
        <f>IFERROR(__xludf.DUMMYFUNCTION("""COMPUTED_VALUE"""),0.128205128205128)</f>
        <v>0.1282051282</v>
      </c>
      <c r="V196" s="8">
        <f>IFERROR(__xludf.DUMMYFUNCTION("""COMPUTED_VALUE"""),0.125)</f>
        <v>0.125</v>
      </c>
      <c r="W196" s="8">
        <f>IFERROR(__xludf.DUMMYFUNCTION("""COMPUTED_VALUE"""),0.107142857142857)</f>
        <v>0.1071428571</v>
      </c>
      <c r="X196" s="8">
        <f>IFERROR(__xludf.DUMMYFUNCTION("""COMPUTED_VALUE"""),0.105263157894736)</f>
        <v>0.1052631579</v>
      </c>
      <c r="Y196" s="8">
        <f>IFERROR(__xludf.DUMMYFUNCTION("""COMPUTED_VALUE"""),0.0)</f>
        <v>0</v>
      </c>
      <c r="Z196" s="8">
        <f>IFERROR(__xludf.DUMMYFUNCTION("""COMPUTED_VALUE"""),0.0)</f>
        <v>0</v>
      </c>
      <c r="AA196" s="8">
        <f>IFERROR(__xludf.DUMMYFUNCTION("""COMPUTED_VALUE"""),0.0)</f>
        <v>0</v>
      </c>
      <c r="AB196" s="8">
        <f>IFERROR(__xludf.DUMMYFUNCTION("""COMPUTED_VALUE"""),0.0)</f>
        <v>0</v>
      </c>
      <c r="AC196" s="8">
        <f>IFERROR(__xludf.DUMMYFUNCTION("""COMPUTED_VALUE"""),0.0)</f>
        <v>0</v>
      </c>
    </row>
    <row r="197" ht="15.75" customHeight="1">
      <c r="A197" s="6" t="str">
        <f>IFERROR(__xludf.DUMMYFUNCTION("""COMPUTED_VALUE"""),"ad877b024bb7b2c30b52737ab2d9d8d49cc89f77")</f>
        <v>ad877b024bb7b2c30b52737ab2d9d8d49cc89f77</v>
      </c>
      <c r="B197" s="6" t="str">
        <f>IFERROR(__xludf.DUMMYFUNCTION("""COMPUTED_VALUE"""),"The Master at Heart Work ")</f>
        <v>The Master at Heart Work </v>
      </c>
      <c r="C197" s="6" t="str">
        <f>IFERROR(__xludf.DUMMYFUNCTION("""COMPUTED_VALUE"""),"System and Superpower")</f>
        <v>System and Superpower</v>
      </c>
      <c r="D197" s="5">
        <f>IFERROR(__xludf.DUMMYFUNCTION("""COMPUTED_VALUE"""),749.0)</f>
        <v>749</v>
      </c>
      <c r="E197" s="8">
        <f>IFERROR(__xludf.DUMMYFUNCTION("""COMPUTED_VALUE"""),0.934579439252336)</f>
        <v>0.9345794393</v>
      </c>
      <c r="F197" s="8">
        <f>IFERROR(__xludf.DUMMYFUNCTION("""COMPUTED_VALUE"""),0.59279038718291)</f>
        <v>0.5927903872</v>
      </c>
      <c r="G197" s="8">
        <f>IFERROR(__xludf.DUMMYFUNCTION("""COMPUTED_VALUE"""),0.535380507343124)</f>
        <v>0.5353805073</v>
      </c>
      <c r="H197" s="8">
        <f>IFERROR(__xludf.DUMMYFUNCTION("""COMPUTED_VALUE"""),0.489304812834224)</f>
        <v>0.4893048128</v>
      </c>
      <c r="I197" s="8">
        <f>IFERROR(__xludf.DUMMYFUNCTION("""COMPUTED_VALUE"""),0.463186077643908)</f>
        <v>0.4631860776</v>
      </c>
      <c r="J197" s="8">
        <f>IFERROR(__xludf.DUMMYFUNCTION("""COMPUTED_VALUE"""),0.420911528150134)</f>
        <v>0.4209115282</v>
      </c>
      <c r="K197" s="8">
        <f>IFERROR(__xludf.DUMMYFUNCTION("""COMPUTED_VALUE"""),0.386577181208053)</f>
        <v>0.3865771812</v>
      </c>
      <c r="L197" s="8">
        <f>IFERROR(__xludf.DUMMYFUNCTION("""COMPUTED_VALUE"""),0.376344086021505)</f>
        <v>0.376344086</v>
      </c>
      <c r="M197" s="8">
        <f>IFERROR(__xludf.DUMMYFUNCTION("""COMPUTED_VALUE"""),0.361559139784946)</f>
        <v>0.3615591398</v>
      </c>
      <c r="N197" s="8">
        <f>IFERROR(__xludf.DUMMYFUNCTION("""COMPUTED_VALUE"""),0.332436069986541)</f>
        <v>0.33243607</v>
      </c>
      <c r="O197" s="8">
        <f>IFERROR(__xludf.DUMMYFUNCTION("""COMPUTED_VALUE"""),0.280108254397834)</f>
        <v>0.2801082544</v>
      </c>
      <c r="P197" s="8">
        <f>IFERROR(__xludf.DUMMYFUNCTION("""COMPUTED_VALUE"""),0.176066024759284)</f>
        <v>0.1760660248</v>
      </c>
      <c r="Q197" s="8">
        <f>IFERROR(__xludf.DUMMYFUNCTION("""COMPUTED_VALUE"""),0.148148148148148)</f>
        <v>0.1481481481</v>
      </c>
      <c r="R197" s="8">
        <f>IFERROR(__xludf.DUMMYFUNCTION("""COMPUTED_VALUE"""),0.147058823529411)</f>
        <v>0.1470588235</v>
      </c>
      <c r="S197" s="8">
        <f>IFERROR(__xludf.DUMMYFUNCTION("""COMPUTED_VALUE"""),0.141612200435729)</f>
        <v>0.1416122004</v>
      </c>
      <c r="T197" s="8">
        <f>IFERROR(__xludf.DUMMYFUNCTION("""COMPUTED_VALUE"""),0.099009900990099)</f>
        <v>0.09900990099</v>
      </c>
      <c r="U197" s="8">
        <f>IFERROR(__xludf.DUMMYFUNCTION("""COMPUTED_VALUE"""),0.0596491228070175)</f>
        <v>0.05964912281</v>
      </c>
      <c r="V197" s="8">
        <f>IFERROR(__xludf.DUMMYFUNCTION("""COMPUTED_VALUE"""),0.0530612244897959)</f>
        <v>0.05306122449</v>
      </c>
      <c r="W197" s="8">
        <f>IFERROR(__xludf.DUMMYFUNCTION("""COMPUTED_VALUE"""),0.0507614213197969)</f>
        <v>0.05076142132</v>
      </c>
      <c r="X197" s="8">
        <f>IFERROR(__xludf.DUMMYFUNCTION("""COMPUTED_VALUE"""),0.0555555555555555)</f>
        <v>0.05555555556</v>
      </c>
      <c r="Y197" s="8">
        <f>IFERROR(__xludf.DUMMYFUNCTION("""COMPUTED_VALUE"""),0.0)</f>
        <v>0</v>
      </c>
      <c r="Z197" s="8">
        <f>IFERROR(__xludf.DUMMYFUNCTION("""COMPUTED_VALUE"""),0.0)</f>
        <v>0</v>
      </c>
      <c r="AA197" s="8">
        <f>IFERROR(__xludf.DUMMYFUNCTION("""COMPUTED_VALUE"""),0.0)</f>
        <v>0</v>
      </c>
      <c r="AB197" s="8">
        <f>IFERROR(__xludf.DUMMYFUNCTION("""COMPUTED_VALUE"""),0.0)</f>
        <v>0</v>
      </c>
      <c r="AC197" s="8">
        <f>IFERROR(__xludf.DUMMYFUNCTION("""COMPUTED_VALUE"""),0.0)</f>
        <v>0</v>
      </c>
    </row>
    <row r="198" ht="15.75" customHeight="1">
      <c r="A198" s="6" t="str">
        <f>IFERROR(__xludf.DUMMYFUNCTION("""COMPUTED_VALUE"""),"afc4914ba536580c6c21a79231a73b9e6dc67e1a")</f>
        <v>afc4914ba536580c6c21a79231a73b9e6dc67e1a</v>
      </c>
      <c r="B198" s="6" t="str">
        <f>IFERROR(__xludf.DUMMYFUNCTION("""COMPUTED_VALUE"""),"Her Cupid Curse")</f>
        <v>Her Cupid Curse</v>
      </c>
      <c r="C198" s="6" t="str">
        <f>IFERROR(__xludf.DUMMYFUNCTION("""COMPUTED_VALUE"""),"Romance")</f>
        <v>Romance</v>
      </c>
      <c r="D198" s="5">
        <f>IFERROR(__xludf.DUMMYFUNCTION("""COMPUTED_VALUE"""),660.0)</f>
        <v>660</v>
      </c>
      <c r="E198" s="8">
        <f>IFERROR(__xludf.DUMMYFUNCTION("""COMPUTED_VALUE"""),0.963414634146341)</f>
        <v>0.9634146341</v>
      </c>
      <c r="F198" s="8">
        <f>IFERROR(__xludf.DUMMYFUNCTION("""COMPUTED_VALUE"""),0.587127158555729)</f>
        <v>0.5871271586</v>
      </c>
      <c r="G198" s="8">
        <f>IFERROR(__xludf.DUMMYFUNCTION("""COMPUTED_VALUE"""),0.543946932006633)</f>
        <v>0.543946932</v>
      </c>
      <c r="H198" s="8">
        <f>IFERROR(__xludf.DUMMYFUNCTION("""COMPUTED_VALUE"""),0.478798586572438)</f>
        <v>0.4787985866</v>
      </c>
      <c r="I198" s="8">
        <f>IFERROR(__xludf.DUMMYFUNCTION("""COMPUTED_VALUE"""),0.435684647302904)</f>
        <v>0.4356846473</v>
      </c>
      <c r="J198" s="8">
        <f>IFERROR(__xludf.DUMMYFUNCTION("""COMPUTED_VALUE"""),0.400911161731207)</f>
        <v>0.4009111617</v>
      </c>
      <c r="K198" s="8">
        <f>IFERROR(__xludf.DUMMYFUNCTION("""COMPUTED_VALUE"""),0.384816753926701)</f>
        <v>0.3848167539</v>
      </c>
      <c r="L198" s="8">
        <f>IFERROR(__xludf.DUMMYFUNCTION("""COMPUTED_VALUE"""),0.341085271317829)</f>
        <v>0.3410852713</v>
      </c>
      <c r="M198" s="8">
        <f>IFERROR(__xludf.DUMMYFUNCTION("""COMPUTED_VALUE"""),0.292929292929292)</f>
        <v>0.2929292929</v>
      </c>
      <c r="N198" s="8">
        <f>IFERROR(__xludf.DUMMYFUNCTION("""COMPUTED_VALUE"""),0.215827338129496)</f>
        <v>0.2158273381</v>
      </c>
      <c r="O198" s="8">
        <f>IFERROR(__xludf.DUMMYFUNCTION("""COMPUTED_VALUE"""),0.260869565217391)</f>
        <v>0.2608695652</v>
      </c>
      <c r="P198" s="8">
        <f>IFERROR(__xludf.DUMMYFUNCTION("""COMPUTED_VALUE"""),0.125)</f>
        <v>0.125</v>
      </c>
      <c r="Q198" s="8">
        <f>IFERROR(__xludf.DUMMYFUNCTION("""COMPUTED_VALUE"""),0.0)</f>
        <v>0</v>
      </c>
      <c r="R198" s="8">
        <f>IFERROR(__xludf.DUMMYFUNCTION("""COMPUTED_VALUE"""),0.0)</f>
        <v>0</v>
      </c>
      <c r="S198" s="8">
        <f>IFERROR(__xludf.DUMMYFUNCTION("""COMPUTED_VALUE"""),0.0)</f>
        <v>0</v>
      </c>
      <c r="T198" s="8">
        <f>IFERROR(__xludf.DUMMYFUNCTION("""COMPUTED_VALUE"""),0.0)</f>
        <v>0</v>
      </c>
      <c r="U198" s="8">
        <f>IFERROR(__xludf.DUMMYFUNCTION("""COMPUTED_VALUE"""),0.0)</f>
        <v>0</v>
      </c>
      <c r="V198" s="8">
        <f>IFERROR(__xludf.DUMMYFUNCTION("""COMPUTED_VALUE"""),0.0)</f>
        <v>0</v>
      </c>
      <c r="W198" s="8">
        <f>IFERROR(__xludf.DUMMYFUNCTION("""COMPUTED_VALUE"""),0.0)</f>
        <v>0</v>
      </c>
      <c r="X198" s="8">
        <f>IFERROR(__xludf.DUMMYFUNCTION("""COMPUTED_VALUE"""),0.0)</f>
        <v>0</v>
      </c>
      <c r="Y198" s="8">
        <f>IFERROR(__xludf.DUMMYFUNCTION("""COMPUTED_VALUE"""),0.0)</f>
        <v>0</v>
      </c>
      <c r="Z198" s="8">
        <f>IFERROR(__xludf.DUMMYFUNCTION("""COMPUTED_VALUE"""),0.0)</f>
        <v>0</v>
      </c>
      <c r="AA198" s="8">
        <f>IFERROR(__xludf.DUMMYFUNCTION("""COMPUTED_VALUE"""),0.0)</f>
        <v>0</v>
      </c>
      <c r="AB198" s="8">
        <f>IFERROR(__xludf.DUMMYFUNCTION("""COMPUTED_VALUE"""),0.0)</f>
        <v>0</v>
      </c>
      <c r="AC198" s="8">
        <f>IFERROR(__xludf.DUMMYFUNCTION("""COMPUTED_VALUE"""),0.0)</f>
        <v>0</v>
      </c>
    </row>
    <row r="199" ht="15.75" customHeight="1">
      <c r="A199" s="6" t="str">
        <f>IFERROR(__xludf.DUMMYFUNCTION("""COMPUTED_VALUE"""),"b035f182bb6d36439bba21081e89b0cb80ad7d57")</f>
        <v>b035f182bb6d36439bba21081e89b0cb80ad7d57</v>
      </c>
      <c r="B199" s="6" t="str">
        <f>IFERROR(__xludf.DUMMYFUNCTION("""COMPUTED_VALUE"""),"Glory After Loss")</f>
        <v>Glory After Loss</v>
      </c>
      <c r="C199" s="6" t="str">
        <f>IFERROR(__xludf.DUMMYFUNCTION("""COMPUTED_VALUE"""),"System and Superpower")</f>
        <v>System and Superpower</v>
      </c>
      <c r="D199" s="5">
        <f>IFERROR(__xludf.DUMMYFUNCTION("""COMPUTED_VALUE"""),447.0)</f>
        <v>447</v>
      </c>
      <c r="E199" s="8">
        <f>IFERROR(__xludf.DUMMYFUNCTION("""COMPUTED_VALUE"""),0.964205816554809)</f>
        <v>0.9642058166</v>
      </c>
      <c r="F199" s="8">
        <f>IFERROR(__xludf.DUMMYFUNCTION("""COMPUTED_VALUE"""),0.501118568232662)</f>
        <v>0.5011185682</v>
      </c>
      <c r="G199" s="8">
        <f>IFERROR(__xludf.DUMMYFUNCTION("""COMPUTED_VALUE"""),0.447427293064876)</f>
        <v>0.4474272931</v>
      </c>
      <c r="H199" s="8">
        <f>IFERROR(__xludf.DUMMYFUNCTION("""COMPUTED_VALUE"""),0.387024608501118)</f>
        <v>0.3870246085</v>
      </c>
      <c r="I199" s="8">
        <f>IFERROR(__xludf.DUMMYFUNCTION("""COMPUTED_VALUE"""),0.35201793721973)</f>
        <v>0.3520179372</v>
      </c>
      <c r="J199" s="8">
        <f>IFERROR(__xludf.DUMMYFUNCTION("""COMPUTED_VALUE"""),0.325842696629213)</f>
        <v>0.3258426966</v>
      </c>
      <c r="K199" s="8">
        <f>IFERROR(__xludf.DUMMYFUNCTION("""COMPUTED_VALUE"""),0.306306306306306)</f>
        <v>0.3063063063</v>
      </c>
      <c r="L199" s="8">
        <f>IFERROR(__xludf.DUMMYFUNCTION("""COMPUTED_VALUE"""),0.297052154195011)</f>
        <v>0.2970521542</v>
      </c>
      <c r="M199" s="8">
        <f>IFERROR(__xludf.DUMMYFUNCTION("""COMPUTED_VALUE"""),0.290249433106575)</f>
        <v>0.2902494331</v>
      </c>
      <c r="N199" s="8">
        <f>IFERROR(__xludf.DUMMYFUNCTION("""COMPUTED_VALUE"""),0.276643990929705)</f>
        <v>0.2766439909</v>
      </c>
      <c r="O199" s="8">
        <f>IFERROR(__xludf.DUMMYFUNCTION("""COMPUTED_VALUE"""),0.219679633867276)</f>
        <v>0.2196796339</v>
      </c>
      <c r="P199" s="8">
        <f>IFERROR(__xludf.DUMMYFUNCTION("""COMPUTED_VALUE"""),0.174418604651162)</f>
        <v>0.1744186047</v>
      </c>
      <c r="Q199" s="8">
        <f>IFERROR(__xludf.DUMMYFUNCTION("""COMPUTED_VALUE"""),0.117801047120418)</f>
        <v>0.1178010471</v>
      </c>
      <c r="R199" s="8">
        <f>IFERROR(__xludf.DUMMYFUNCTION("""COMPUTED_VALUE"""),0.0)</f>
        <v>0</v>
      </c>
      <c r="S199" s="8">
        <f>IFERROR(__xludf.DUMMYFUNCTION("""COMPUTED_VALUE"""),0.0)</f>
        <v>0</v>
      </c>
      <c r="T199" s="8">
        <f>IFERROR(__xludf.DUMMYFUNCTION("""COMPUTED_VALUE"""),0.0)</f>
        <v>0</v>
      </c>
      <c r="U199" s="8">
        <f>IFERROR(__xludf.DUMMYFUNCTION("""COMPUTED_VALUE"""),0.0)</f>
        <v>0</v>
      </c>
      <c r="V199" s="8">
        <f>IFERROR(__xludf.DUMMYFUNCTION("""COMPUTED_VALUE"""),0.0)</f>
        <v>0</v>
      </c>
      <c r="W199" s="8">
        <f>IFERROR(__xludf.DUMMYFUNCTION("""COMPUTED_VALUE"""),0.0)</f>
        <v>0</v>
      </c>
      <c r="X199" s="8">
        <f>IFERROR(__xludf.DUMMYFUNCTION("""COMPUTED_VALUE"""),0.0)</f>
        <v>0</v>
      </c>
      <c r="Y199" s="8">
        <f>IFERROR(__xludf.DUMMYFUNCTION("""COMPUTED_VALUE"""),0.0)</f>
        <v>0</v>
      </c>
      <c r="Z199" s="8">
        <f>IFERROR(__xludf.DUMMYFUNCTION("""COMPUTED_VALUE"""),0.0)</f>
        <v>0</v>
      </c>
      <c r="AA199" s="8">
        <f>IFERROR(__xludf.DUMMYFUNCTION("""COMPUTED_VALUE"""),0.0)</f>
        <v>0</v>
      </c>
      <c r="AB199" s="8">
        <f>IFERROR(__xludf.DUMMYFUNCTION("""COMPUTED_VALUE"""),0.0)</f>
        <v>0</v>
      </c>
      <c r="AC199" s="8">
        <f>IFERROR(__xludf.DUMMYFUNCTION("""COMPUTED_VALUE"""),0.0)</f>
        <v>0</v>
      </c>
    </row>
    <row r="200" ht="15.75" customHeight="1">
      <c r="A200" s="6" t="str">
        <f>IFERROR(__xludf.DUMMYFUNCTION("""COMPUTED_VALUE"""),"b0cb1a15751b32389e6dc5643df14e64f65a78e6")</f>
        <v>b0cb1a15751b32389e6dc5643df14e64f65a78e6</v>
      </c>
      <c r="B200" s="6" t="str">
        <f>IFERROR(__xludf.DUMMYFUNCTION("""COMPUTED_VALUE"""),"Desire of the Billionaire")</f>
        <v>Desire of the Billionaire</v>
      </c>
      <c r="C200" s="6" t="str">
        <f>IFERROR(__xludf.DUMMYFUNCTION("""COMPUTED_VALUE"""),"Romance")</f>
        <v>Romance</v>
      </c>
      <c r="D200" s="5">
        <f>IFERROR(__xludf.DUMMYFUNCTION("""COMPUTED_VALUE"""),150.0)</f>
        <v>150</v>
      </c>
      <c r="E200" s="8">
        <f>IFERROR(__xludf.DUMMYFUNCTION("""COMPUTED_VALUE"""),0.966666666666666)</f>
        <v>0.9666666667</v>
      </c>
      <c r="F200" s="8">
        <f>IFERROR(__xludf.DUMMYFUNCTION("""COMPUTED_VALUE"""),0.610738255033557)</f>
        <v>0.610738255</v>
      </c>
      <c r="G200" s="8">
        <f>IFERROR(__xludf.DUMMYFUNCTION("""COMPUTED_VALUE"""),0.583892617449664)</f>
        <v>0.5838926174</v>
      </c>
      <c r="H200" s="8">
        <f>IFERROR(__xludf.DUMMYFUNCTION("""COMPUTED_VALUE"""),0.543624161073825)</f>
        <v>0.5436241611</v>
      </c>
      <c r="I200" s="8">
        <f>IFERROR(__xludf.DUMMYFUNCTION("""COMPUTED_VALUE"""),0.506756756756756)</f>
        <v>0.5067567568</v>
      </c>
      <c r="J200" s="8">
        <f>IFERROR(__xludf.DUMMYFUNCTION("""COMPUTED_VALUE"""),0.493243243243243)</f>
        <v>0.4932432432</v>
      </c>
      <c r="K200" s="8">
        <f>IFERROR(__xludf.DUMMYFUNCTION("""COMPUTED_VALUE"""),0.41860465116279)</f>
        <v>0.4186046512</v>
      </c>
      <c r="L200" s="8">
        <f>IFERROR(__xludf.DUMMYFUNCTION("""COMPUTED_VALUE"""),0.40625)</f>
        <v>0.40625</v>
      </c>
      <c r="M200" s="8">
        <f>IFERROR(__xludf.DUMMYFUNCTION("""COMPUTED_VALUE"""),0.464566929133858)</f>
        <v>0.4645669291</v>
      </c>
      <c r="N200" s="8">
        <f>IFERROR(__xludf.DUMMYFUNCTION("""COMPUTED_VALUE"""),0.393700787401574)</f>
        <v>0.3937007874</v>
      </c>
      <c r="O200" s="8">
        <f>IFERROR(__xludf.DUMMYFUNCTION("""COMPUTED_VALUE"""),0.316666666666666)</f>
        <v>0.3166666667</v>
      </c>
      <c r="P200" s="8">
        <f>IFERROR(__xludf.DUMMYFUNCTION("""COMPUTED_VALUE"""),0.216216216216216)</f>
        <v>0.2162162162</v>
      </c>
      <c r="Q200" s="8">
        <f>IFERROR(__xludf.DUMMYFUNCTION("""COMPUTED_VALUE"""),0.157894736842105)</f>
        <v>0.1578947368</v>
      </c>
      <c r="R200" s="8">
        <f>IFERROR(__xludf.DUMMYFUNCTION("""COMPUTED_VALUE"""),0.0)</f>
        <v>0</v>
      </c>
      <c r="S200" s="8">
        <f>IFERROR(__xludf.DUMMYFUNCTION("""COMPUTED_VALUE"""),0.0)</f>
        <v>0</v>
      </c>
      <c r="T200" s="8">
        <f>IFERROR(__xludf.DUMMYFUNCTION("""COMPUTED_VALUE"""),0.0)</f>
        <v>0</v>
      </c>
      <c r="U200" s="8">
        <f>IFERROR(__xludf.DUMMYFUNCTION("""COMPUTED_VALUE"""),0.0)</f>
        <v>0</v>
      </c>
      <c r="V200" s="8">
        <f>IFERROR(__xludf.DUMMYFUNCTION("""COMPUTED_VALUE"""),0.0)</f>
        <v>0</v>
      </c>
      <c r="W200" s="8">
        <f>IFERROR(__xludf.DUMMYFUNCTION("""COMPUTED_VALUE"""),0.0)</f>
        <v>0</v>
      </c>
      <c r="X200" s="8">
        <f>IFERROR(__xludf.DUMMYFUNCTION("""COMPUTED_VALUE"""),0.0)</f>
        <v>0</v>
      </c>
      <c r="Y200" s="8">
        <f>IFERROR(__xludf.DUMMYFUNCTION("""COMPUTED_VALUE"""),0.0)</f>
        <v>0</v>
      </c>
      <c r="Z200" s="8">
        <f>IFERROR(__xludf.DUMMYFUNCTION("""COMPUTED_VALUE"""),0.0)</f>
        <v>0</v>
      </c>
      <c r="AA200" s="8">
        <f>IFERROR(__xludf.DUMMYFUNCTION("""COMPUTED_VALUE"""),0.0)</f>
        <v>0</v>
      </c>
      <c r="AB200" s="8">
        <f>IFERROR(__xludf.DUMMYFUNCTION("""COMPUTED_VALUE"""),0.0)</f>
        <v>0</v>
      </c>
      <c r="AC200" s="8">
        <f>IFERROR(__xludf.DUMMYFUNCTION("""COMPUTED_VALUE"""),0.0)</f>
        <v>0</v>
      </c>
    </row>
    <row r="201" ht="15.75" customHeight="1">
      <c r="A201" s="6" t="str">
        <f>IFERROR(__xludf.DUMMYFUNCTION("""COMPUTED_VALUE"""),"b164057dc6b8df1ba1289d383220147f237b7dfa")</f>
        <v>b164057dc6b8df1ba1289d383220147f237b7dfa</v>
      </c>
      <c r="B201" s="6" t="str">
        <f>IFERROR(__xludf.DUMMYFUNCTION("""COMPUTED_VALUE"""),"Rush Marriage")</f>
        <v>Rush Marriage</v>
      </c>
      <c r="C201" s="6" t="str">
        <f>IFERROR(__xludf.DUMMYFUNCTION("""COMPUTED_VALUE"""),"Romance")</f>
        <v>Romance</v>
      </c>
      <c r="D201" s="5">
        <f>IFERROR(__xludf.DUMMYFUNCTION("""COMPUTED_VALUE"""),1246.0)</f>
        <v>1246</v>
      </c>
      <c r="E201" s="8">
        <f>IFERROR(__xludf.DUMMYFUNCTION("""COMPUTED_VALUE"""),0.967094703049759)</f>
        <v>0.967094703</v>
      </c>
      <c r="F201" s="8">
        <f>IFERROR(__xludf.DUMMYFUNCTION("""COMPUTED_VALUE"""),0.628915662650602)</f>
        <v>0.6289156627</v>
      </c>
      <c r="G201" s="8">
        <f>IFERROR(__xludf.DUMMYFUNCTION("""COMPUTED_VALUE"""),0.51004016064257)</f>
        <v>0.5100401606</v>
      </c>
      <c r="H201" s="8">
        <f>IFERROR(__xludf.DUMMYFUNCTION("""COMPUTED_VALUE"""),0.454983922829582)</f>
        <v>0.4549839228</v>
      </c>
      <c r="I201" s="8">
        <f>IFERROR(__xludf.DUMMYFUNCTION("""COMPUTED_VALUE"""),0.420756234915526)</f>
        <v>0.4207562349</v>
      </c>
      <c r="J201" s="8">
        <f>IFERROR(__xludf.DUMMYFUNCTION("""COMPUTED_VALUE"""),0.416599516518936)</f>
        <v>0.4165995165</v>
      </c>
      <c r="K201" s="8">
        <f>IFERROR(__xludf.DUMMYFUNCTION("""COMPUTED_VALUE"""),0.371474617244157)</f>
        <v>0.3714746172</v>
      </c>
      <c r="L201" s="8">
        <f>IFERROR(__xludf.DUMMYFUNCTION("""COMPUTED_VALUE"""),0.333870967741935)</f>
        <v>0.3338709677</v>
      </c>
      <c r="M201" s="8">
        <f>IFERROR(__xludf.DUMMYFUNCTION("""COMPUTED_VALUE"""),0.312348668280871)</f>
        <v>0.3123486683</v>
      </c>
      <c r="N201" s="8">
        <f>IFERROR(__xludf.DUMMYFUNCTION("""COMPUTED_VALUE"""),0.303470540758676)</f>
        <v>0.3034705408</v>
      </c>
      <c r="O201" s="8">
        <f>IFERROR(__xludf.DUMMYFUNCTION("""COMPUTED_VALUE"""),0.285016286644951)</f>
        <v>0.2850162866</v>
      </c>
      <c r="P201" s="8">
        <f>IFERROR(__xludf.DUMMYFUNCTION("""COMPUTED_VALUE"""),0.214160839160839)</f>
        <v>0.2141608392</v>
      </c>
      <c r="Q201" s="8">
        <f>IFERROR(__xludf.DUMMYFUNCTION("""COMPUTED_VALUE"""),0.158478605388272)</f>
        <v>0.1584786054</v>
      </c>
      <c r="R201" s="8">
        <f>IFERROR(__xludf.DUMMYFUNCTION("""COMPUTED_VALUE"""),0.127450980392156)</f>
        <v>0.1274509804</v>
      </c>
      <c r="S201" s="8">
        <f>IFERROR(__xludf.DUMMYFUNCTION("""COMPUTED_VALUE"""),0.0985915492957746)</f>
        <v>0.0985915493</v>
      </c>
      <c r="T201" s="8">
        <f>IFERROR(__xludf.DUMMYFUNCTION("""COMPUTED_VALUE"""),0.0858725761772853)</f>
        <v>0.08587257618</v>
      </c>
      <c r="U201" s="8">
        <f>IFERROR(__xludf.DUMMYFUNCTION("""COMPUTED_VALUE"""),0.056547619047619)</f>
        <v>0.05654761905</v>
      </c>
      <c r="V201" s="8">
        <f>IFERROR(__xludf.DUMMYFUNCTION("""COMPUTED_VALUE"""),0.0419354838709677)</f>
        <v>0.04193548387</v>
      </c>
      <c r="W201" s="8">
        <f>IFERROR(__xludf.DUMMYFUNCTION("""COMPUTED_VALUE"""),0.0377358490566037)</f>
        <v>0.03773584906</v>
      </c>
      <c r="X201" s="8">
        <f>IFERROR(__xludf.DUMMYFUNCTION("""COMPUTED_VALUE"""),0.015625)</f>
        <v>0.015625</v>
      </c>
      <c r="Y201" s="8">
        <f>IFERROR(__xludf.DUMMYFUNCTION("""COMPUTED_VALUE"""),0.0109289617486338)</f>
        <v>0.01092896175</v>
      </c>
      <c r="Z201" s="8">
        <f>IFERROR(__xludf.DUMMYFUNCTION("""COMPUTED_VALUE"""),0.0)</f>
        <v>0</v>
      </c>
      <c r="AA201" s="8">
        <f>IFERROR(__xludf.DUMMYFUNCTION("""COMPUTED_VALUE"""),0.0)</f>
        <v>0</v>
      </c>
      <c r="AB201" s="8">
        <f>IFERROR(__xludf.DUMMYFUNCTION("""COMPUTED_VALUE"""),0.0)</f>
        <v>0</v>
      </c>
      <c r="AC201" s="8">
        <f>IFERROR(__xludf.DUMMYFUNCTION("""COMPUTED_VALUE"""),0.0)</f>
        <v>0</v>
      </c>
    </row>
    <row r="202" ht="15.75" customHeight="1">
      <c r="A202" s="6" t="str">
        <f>IFERROR(__xludf.DUMMYFUNCTION("""COMPUTED_VALUE"""),"b26d8e5052a2beb1af4ffc462d31141bb635a5b5")</f>
        <v>b26d8e5052a2beb1af4ffc462d31141bb635a5b5</v>
      </c>
      <c r="B202" s="6" t="str">
        <f>IFERROR(__xludf.DUMMYFUNCTION("""COMPUTED_VALUE"""),"The Revenge Marriage")</f>
        <v>The Revenge Marriage</v>
      </c>
      <c r="C202" s="6" t="str">
        <f>IFERROR(__xludf.DUMMYFUNCTION("""COMPUTED_VALUE"""),"Romance")</f>
        <v>Romance</v>
      </c>
      <c r="D202" s="5">
        <f>IFERROR(__xludf.DUMMYFUNCTION("""COMPUTED_VALUE"""),2175.0)</f>
        <v>2175</v>
      </c>
      <c r="E202" s="8">
        <f>IFERROR(__xludf.DUMMYFUNCTION("""COMPUTED_VALUE"""),0.965977011494252)</f>
        <v>0.9659770115</v>
      </c>
      <c r="F202" s="8">
        <f>IFERROR(__xludf.DUMMYFUNCTION("""COMPUTED_VALUE"""),0.568663594470046)</f>
        <v>0.5686635945</v>
      </c>
      <c r="G202" s="8">
        <f>IFERROR(__xludf.DUMMYFUNCTION("""COMPUTED_VALUE"""),0.502304147465437)</f>
        <v>0.5023041475</v>
      </c>
      <c r="H202" s="8">
        <f>IFERROR(__xludf.DUMMYFUNCTION("""COMPUTED_VALUE"""),0.453370267774699)</f>
        <v>0.4533702678</v>
      </c>
      <c r="I202" s="8">
        <f>IFERROR(__xludf.DUMMYFUNCTION("""COMPUTED_VALUE"""),0.416166281755196)</f>
        <v>0.4161662818</v>
      </c>
      <c r="J202" s="8">
        <f>IFERROR(__xludf.DUMMYFUNCTION("""COMPUTED_VALUE"""),0.389043639740018)</f>
        <v>0.3890436397</v>
      </c>
      <c r="K202" s="8">
        <f>IFERROR(__xludf.DUMMYFUNCTION("""COMPUTED_VALUE"""),0.362325581395348)</f>
        <v>0.3623255814</v>
      </c>
      <c r="L202" s="8">
        <f>IFERROR(__xludf.DUMMYFUNCTION("""COMPUTED_VALUE"""),0.341713221601489)</f>
        <v>0.3417132216</v>
      </c>
      <c r="M202" s="8">
        <f>IFERROR(__xludf.DUMMYFUNCTION("""COMPUTED_VALUE"""),0.322926374650512)</f>
        <v>0.3229263747</v>
      </c>
      <c r="N202" s="8">
        <f>IFERROR(__xludf.DUMMYFUNCTION("""COMPUTED_VALUE"""),0.31214953271028)</f>
        <v>0.3121495327</v>
      </c>
      <c r="O202" s="8">
        <f>IFERROR(__xludf.DUMMYFUNCTION("""COMPUTED_VALUE"""),0.259931338891613)</f>
        <v>0.2599313389</v>
      </c>
      <c r="P202" s="8">
        <f>IFERROR(__xludf.DUMMYFUNCTION("""COMPUTED_VALUE"""),0.198426082068577)</f>
        <v>0.1984260821</v>
      </c>
      <c r="Q202" s="8">
        <f>IFERROR(__xludf.DUMMYFUNCTION("""COMPUTED_VALUE"""),0.146601146601146)</f>
        <v>0.1466011466</v>
      </c>
      <c r="R202" s="8">
        <f>IFERROR(__xludf.DUMMYFUNCTION("""COMPUTED_VALUE"""),0.0847750865051903)</f>
        <v>0.08477508651</v>
      </c>
      <c r="S202" s="8">
        <f>IFERROR(__xludf.DUMMYFUNCTION("""COMPUTED_VALUE"""),0.0797101449275362)</f>
        <v>0.07971014493</v>
      </c>
      <c r="T202" s="8">
        <f>IFERROR(__xludf.DUMMYFUNCTION("""COMPUTED_VALUE"""),0.0)</f>
        <v>0</v>
      </c>
      <c r="U202" s="8">
        <f>IFERROR(__xludf.DUMMYFUNCTION("""COMPUTED_VALUE"""),0.0)</f>
        <v>0</v>
      </c>
      <c r="V202" s="8">
        <f>IFERROR(__xludf.DUMMYFUNCTION("""COMPUTED_VALUE"""),0.0)</f>
        <v>0</v>
      </c>
      <c r="W202" s="8">
        <f>IFERROR(__xludf.DUMMYFUNCTION("""COMPUTED_VALUE"""),0.0)</f>
        <v>0</v>
      </c>
      <c r="X202" s="8">
        <f>IFERROR(__xludf.DUMMYFUNCTION("""COMPUTED_VALUE"""),0.0)</f>
        <v>0</v>
      </c>
      <c r="Y202" s="8">
        <f>IFERROR(__xludf.DUMMYFUNCTION("""COMPUTED_VALUE"""),0.0)</f>
        <v>0</v>
      </c>
      <c r="Z202" s="8">
        <f>IFERROR(__xludf.DUMMYFUNCTION("""COMPUTED_VALUE"""),0.0)</f>
        <v>0</v>
      </c>
      <c r="AA202" s="8">
        <f>IFERROR(__xludf.DUMMYFUNCTION("""COMPUTED_VALUE"""),0.0)</f>
        <v>0</v>
      </c>
      <c r="AB202" s="8">
        <f>IFERROR(__xludf.DUMMYFUNCTION("""COMPUTED_VALUE"""),0.0)</f>
        <v>0</v>
      </c>
      <c r="AC202" s="8">
        <f>IFERROR(__xludf.DUMMYFUNCTION("""COMPUTED_VALUE"""),0.0)</f>
        <v>0</v>
      </c>
    </row>
    <row r="203" ht="15.75" customHeight="1">
      <c r="A203" s="6" t="str">
        <f>IFERROR(__xludf.DUMMYFUNCTION("""COMPUTED_VALUE"""),"b2e0e008665e30068057a1556346d5473a8ed579")</f>
        <v>b2e0e008665e30068057a1556346d5473a8ed579</v>
      </c>
      <c r="B203" s="6" t="str">
        <f>IFERROR(__xludf.DUMMYFUNCTION("""COMPUTED_VALUE"""),"Legend of Cursed Blood ")</f>
        <v>Legend of Cursed Blood </v>
      </c>
      <c r="C203" s="6" t="str">
        <f>IFERROR(__xludf.DUMMYFUNCTION("""COMPUTED_VALUE"""),"Fantasy")</f>
        <v>Fantasy</v>
      </c>
      <c r="D203" s="5">
        <f>IFERROR(__xludf.DUMMYFUNCTION("""COMPUTED_VALUE"""),687.0)</f>
        <v>687</v>
      </c>
      <c r="E203" s="8">
        <f>IFERROR(__xludf.DUMMYFUNCTION("""COMPUTED_VALUE"""),0.96602658788774)</f>
        <v>0.9660265879</v>
      </c>
      <c r="F203" s="8">
        <f>IFERROR(__xludf.DUMMYFUNCTION("""COMPUTED_VALUE"""),0.469879518072289)</f>
        <v>0.4698795181</v>
      </c>
      <c r="G203" s="8">
        <f>IFERROR(__xludf.DUMMYFUNCTION("""COMPUTED_VALUE"""),0.394817073170731)</f>
        <v>0.3948170732</v>
      </c>
      <c r="H203" s="8">
        <f>IFERROR(__xludf.DUMMYFUNCTION("""COMPUTED_VALUE"""),0.348982785602503)</f>
        <v>0.3489827856</v>
      </c>
      <c r="I203" s="8">
        <f>IFERROR(__xludf.DUMMYFUNCTION("""COMPUTED_VALUE"""),0.295238095238095)</f>
        <v>0.2952380952</v>
      </c>
      <c r="J203" s="8">
        <f>IFERROR(__xludf.DUMMYFUNCTION("""COMPUTED_VALUE"""),0.244336569579288)</f>
        <v>0.2443365696</v>
      </c>
      <c r="K203" s="8">
        <f>IFERROR(__xludf.DUMMYFUNCTION("""COMPUTED_VALUE"""),0.220198675496688)</f>
        <v>0.2201986755</v>
      </c>
      <c r="L203" s="8">
        <f>IFERROR(__xludf.DUMMYFUNCTION("""COMPUTED_VALUE"""),0.229202037351443)</f>
        <v>0.2292020374</v>
      </c>
      <c r="M203" s="8">
        <f>IFERROR(__xludf.DUMMYFUNCTION("""COMPUTED_VALUE"""),0.189806678383128)</f>
        <v>0.1898066784</v>
      </c>
      <c r="N203" s="8">
        <f>IFERROR(__xludf.DUMMYFUNCTION("""COMPUTED_VALUE"""),0.171003717472118)</f>
        <v>0.1710037175</v>
      </c>
      <c r="O203" s="8">
        <f>IFERROR(__xludf.DUMMYFUNCTION("""COMPUTED_VALUE"""),0.116564417177914)</f>
        <v>0.1165644172</v>
      </c>
      <c r="P203" s="8">
        <f>IFERROR(__xludf.DUMMYFUNCTION("""COMPUTED_VALUE"""),0.0772442588726513)</f>
        <v>0.07724425887</v>
      </c>
      <c r="Q203" s="8">
        <f>IFERROR(__xludf.DUMMYFUNCTION("""COMPUTED_VALUE"""),0.0374449339207048)</f>
        <v>0.03744493392</v>
      </c>
      <c r="R203" s="8">
        <f>IFERROR(__xludf.DUMMYFUNCTION("""COMPUTED_VALUE"""),0.0261282660332541)</f>
        <v>0.02612826603</v>
      </c>
      <c r="S203" s="8">
        <f>IFERROR(__xludf.DUMMYFUNCTION("""COMPUTED_VALUE"""),0.0282776349614395)</f>
        <v>0.02827763496</v>
      </c>
      <c r="T203" s="8">
        <f>IFERROR(__xludf.DUMMYFUNCTION("""COMPUTED_VALUE"""),0.0257142857142857)</f>
        <v>0.02571428571</v>
      </c>
      <c r="U203" s="8">
        <f>IFERROR(__xludf.DUMMYFUNCTION("""COMPUTED_VALUE"""),0.00943396226415094)</f>
        <v>0.009433962264</v>
      </c>
      <c r="V203" s="8">
        <f>IFERROR(__xludf.DUMMYFUNCTION("""COMPUTED_VALUE"""),0.0066006600660066)</f>
        <v>0.006600660066</v>
      </c>
      <c r="W203" s="8">
        <f>IFERROR(__xludf.DUMMYFUNCTION("""COMPUTED_VALUE"""),0.0)</f>
        <v>0</v>
      </c>
      <c r="X203" s="8">
        <f>IFERROR(__xludf.DUMMYFUNCTION("""COMPUTED_VALUE"""),0.0)</f>
        <v>0</v>
      </c>
      <c r="Y203" s="8">
        <f>IFERROR(__xludf.DUMMYFUNCTION("""COMPUTED_VALUE"""),0.0)</f>
        <v>0</v>
      </c>
      <c r="Z203" s="8">
        <f>IFERROR(__xludf.DUMMYFUNCTION("""COMPUTED_VALUE"""),0.0)</f>
        <v>0</v>
      </c>
      <c r="AA203" s="8">
        <f>IFERROR(__xludf.DUMMYFUNCTION("""COMPUTED_VALUE"""),0.0)</f>
        <v>0</v>
      </c>
      <c r="AB203" s="8">
        <f>IFERROR(__xludf.DUMMYFUNCTION("""COMPUTED_VALUE"""),0.0)</f>
        <v>0</v>
      </c>
      <c r="AC203" s="8">
        <f>IFERROR(__xludf.DUMMYFUNCTION("""COMPUTED_VALUE"""),0.0)</f>
        <v>0</v>
      </c>
    </row>
    <row r="204" ht="15.75" customHeight="1">
      <c r="A204" s="6" t="str">
        <f>IFERROR(__xludf.DUMMYFUNCTION("""COMPUTED_VALUE"""),"b4357a596922bd37b47ec2573cd92ac18997c713")</f>
        <v>b4357a596922bd37b47ec2573cd92ac18997c713</v>
      </c>
      <c r="B204" s="6" t="str">
        <f>IFERROR(__xludf.DUMMYFUNCTION("""COMPUTED_VALUE"""),"Immortal Ascension")</f>
        <v>Immortal Ascension</v>
      </c>
      <c r="C204" s="6" t="str">
        <f>IFERROR(__xludf.DUMMYFUNCTION("""COMPUTED_VALUE"""),"System and Superpower")</f>
        <v>System and Superpower</v>
      </c>
      <c r="D204" s="5">
        <f>IFERROR(__xludf.DUMMYFUNCTION("""COMPUTED_VALUE"""),896.0)</f>
        <v>896</v>
      </c>
      <c r="E204" s="8">
        <f>IFERROR(__xludf.DUMMYFUNCTION("""COMPUTED_VALUE"""),0.981026785714285)</f>
        <v>0.9810267857</v>
      </c>
      <c r="F204" s="8">
        <f>IFERROR(__xludf.DUMMYFUNCTION("""COMPUTED_VALUE"""),0.516741071428571)</f>
        <v>0.5167410714</v>
      </c>
      <c r="G204" s="8">
        <f>IFERROR(__xludf.DUMMYFUNCTION("""COMPUTED_VALUE"""),0.435754189944134)</f>
        <v>0.4357541899</v>
      </c>
      <c r="H204" s="8">
        <f>IFERROR(__xludf.DUMMYFUNCTION("""COMPUTED_VALUE"""),0.402234636871508)</f>
        <v>0.4022346369</v>
      </c>
      <c r="I204" s="8">
        <f>IFERROR(__xludf.DUMMYFUNCTION("""COMPUTED_VALUE"""),0.38073908174692)</f>
        <v>0.3807390817</v>
      </c>
      <c r="J204" s="8">
        <f>IFERROR(__xludf.DUMMYFUNCTION("""COMPUTED_VALUE"""),0.343784994400895)</f>
        <v>0.3437849944</v>
      </c>
      <c r="K204" s="8">
        <f>IFERROR(__xludf.DUMMYFUNCTION("""COMPUTED_VALUE"""),0.319148936170212)</f>
        <v>0.3191489362</v>
      </c>
      <c r="L204" s="8">
        <f>IFERROR(__xludf.DUMMYFUNCTION("""COMPUTED_VALUE"""),0.28555431131019)</f>
        <v>0.2855543113</v>
      </c>
      <c r="M204" s="8">
        <f>IFERROR(__xludf.DUMMYFUNCTION("""COMPUTED_VALUE"""),0.264870931537598)</f>
        <v>0.2648709315</v>
      </c>
      <c r="N204" s="8">
        <f>IFERROR(__xludf.DUMMYFUNCTION("""COMPUTED_VALUE"""),0.252536640360766)</f>
        <v>0.2525366404</v>
      </c>
      <c r="O204" s="8">
        <f>IFERROR(__xludf.DUMMYFUNCTION("""COMPUTED_VALUE"""),0.189931350114416)</f>
        <v>0.1899313501</v>
      </c>
      <c r="P204" s="8">
        <f>IFERROR(__xludf.DUMMYFUNCTION("""COMPUTED_VALUE"""),0.110381077529566)</f>
        <v>0.1103810775</v>
      </c>
      <c r="Q204" s="8">
        <f>IFERROR(__xludf.DUMMYFUNCTION("""COMPUTED_VALUE"""),0.0747663551401869)</f>
        <v>0.07476635514</v>
      </c>
      <c r="R204" s="8">
        <f>IFERROR(__xludf.DUMMYFUNCTION("""COMPUTED_VALUE"""),0.05)</f>
        <v>0.05</v>
      </c>
      <c r="S204" s="8">
        <f>IFERROR(__xludf.DUMMYFUNCTION("""COMPUTED_VALUE"""),0.0)</f>
        <v>0</v>
      </c>
      <c r="T204" s="8">
        <f>IFERROR(__xludf.DUMMYFUNCTION("""COMPUTED_VALUE"""),0.0)</f>
        <v>0</v>
      </c>
      <c r="U204" s="8">
        <f>IFERROR(__xludf.DUMMYFUNCTION("""COMPUTED_VALUE"""),0.0)</f>
        <v>0</v>
      </c>
      <c r="V204" s="8">
        <f>IFERROR(__xludf.DUMMYFUNCTION("""COMPUTED_VALUE"""),0.0)</f>
        <v>0</v>
      </c>
      <c r="W204" s="8">
        <f>IFERROR(__xludf.DUMMYFUNCTION("""COMPUTED_VALUE"""),0.0)</f>
        <v>0</v>
      </c>
      <c r="X204" s="8">
        <f>IFERROR(__xludf.DUMMYFUNCTION("""COMPUTED_VALUE"""),0.0)</f>
        <v>0</v>
      </c>
      <c r="Y204" s="8">
        <f>IFERROR(__xludf.DUMMYFUNCTION("""COMPUTED_VALUE"""),0.0)</f>
        <v>0</v>
      </c>
      <c r="Z204" s="8">
        <f>IFERROR(__xludf.DUMMYFUNCTION("""COMPUTED_VALUE"""),0.0)</f>
        <v>0</v>
      </c>
      <c r="AA204" s="8">
        <f>IFERROR(__xludf.DUMMYFUNCTION("""COMPUTED_VALUE"""),0.0)</f>
        <v>0</v>
      </c>
      <c r="AB204" s="8">
        <f>IFERROR(__xludf.DUMMYFUNCTION("""COMPUTED_VALUE"""),0.0)</f>
        <v>0</v>
      </c>
      <c r="AC204" s="8">
        <f>IFERROR(__xludf.DUMMYFUNCTION("""COMPUTED_VALUE"""),0.0)</f>
        <v>0</v>
      </c>
    </row>
    <row r="205" ht="15.75" customHeight="1">
      <c r="A205" s="6" t="str">
        <f>IFERROR(__xludf.DUMMYFUNCTION("""COMPUTED_VALUE"""),"b4ba67822e15bf23c0044676b09f1aeb405d154f")</f>
        <v>b4ba67822e15bf23c0044676b09f1aeb405d154f</v>
      </c>
      <c r="B205" s="6" t="str">
        <f>IFERROR(__xludf.DUMMYFUNCTION("""COMPUTED_VALUE"""),"The Twin Affair")</f>
        <v>The Twin Affair</v>
      </c>
      <c r="C205" s="6" t="str">
        <f>IFERROR(__xludf.DUMMYFUNCTION("""COMPUTED_VALUE"""),"Romantasy")</f>
        <v>Romantasy</v>
      </c>
      <c r="D205" s="5">
        <f>IFERROR(__xludf.DUMMYFUNCTION("""COMPUTED_VALUE"""),3304.0)</f>
        <v>3304</v>
      </c>
      <c r="E205" s="8">
        <f>IFERROR(__xludf.DUMMYFUNCTION("""COMPUTED_VALUE"""),0.933414043583535)</f>
        <v>0.9334140436</v>
      </c>
      <c r="F205" s="8">
        <f>IFERROR(__xludf.DUMMYFUNCTION("""COMPUTED_VALUE"""),0.581162931556632)</f>
        <v>0.5811629316</v>
      </c>
      <c r="G205" s="8">
        <f>IFERROR(__xludf.DUMMYFUNCTION("""COMPUTED_VALUE"""),0.534827377347062)</f>
        <v>0.5348273773</v>
      </c>
      <c r="H205" s="8">
        <f>IFERROR(__xludf.DUMMYFUNCTION("""COMPUTED_VALUE"""),0.507571168988491)</f>
        <v>0.507571169</v>
      </c>
      <c r="I205" s="8">
        <f>IFERROR(__xludf.DUMMYFUNCTION("""COMPUTED_VALUE"""),0.482132041187159)</f>
        <v>0.4821320412</v>
      </c>
      <c r="J205" s="8">
        <f>IFERROR(__xludf.DUMMYFUNCTION("""COMPUTED_VALUE"""),0.459418534221683)</f>
        <v>0.4594185342</v>
      </c>
      <c r="K205" s="8">
        <f>IFERROR(__xludf.DUMMYFUNCTION("""COMPUTED_VALUE"""),0.447001817080557)</f>
        <v>0.4470018171</v>
      </c>
      <c r="L205" s="8">
        <f>IFERROR(__xludf.DUMMYFUNCTION("""COMPUTED_VALUE"""),0.428225317989097)</f>
        <v>0.428225318</v>
      </c>
      <c r="M205" s="8">
        <f>IFERROR(__xludf.DUMMYFUNCTION("""COMPUTED_VALUE"""),0.414597213809812)</f>
        <v>0.4145972138</v>
      </c>
      <c r="N205" s="8">
        <f>IFERROR(__xludf.DUMMYFUNCTION("""COMPUTED_VALUE"""),0.401574803149606)</f>
        <v>0.4015748031</v>
      </c>
      <c r="O205" s="8">
        <f>IFERROR(__xludf.DUMMYFUNCTION("""COMPUTED_VALUE"""),0.377158436837322)</f>
        <v>0.3771584368</v>
      </c>
      <c r="P205" s="8">
        <f>IFERROR(__xludf.DUMMYFUNCTION("""COMPUTED_VALUE"""),0.349620637329286)</f>
        <v>0.3496206373</v>
      </c>
      <c r="Q205" s="8">
        <f>IFERROR(__xludf.DUMMYFUNCTION("""COMPUTED_VALUE"""),0.228284059737884)</f>
        <v>0.2282840597</v>
      </c>
      <c r="R205" s="8">
        <f>IFERROR(__xludf.DUMMYFUNCTION("""COMPUTED_VALUE"""),0.166666666666666)</f>
        <v>0.1666666667</v>
      </c>
      <c r="S205" s="8">
        <f>IFERROR(__xludf.DUMMYFUNCTION("""COMPUTED_VALUE"""),0.0)</f>
        <v>0</v>
      </c>
      <c r="T205" s="8">
        <f>IFERROR(__xludf.DUMMYFUNCTION("""COMPUTED_VALUE"""),0.0)</f>
        <v>0</v>
      </c>
      <c r="U205" s="8">
        <f>IFERROR(__xludf.DUMMYFUNCTION("""COMPUTED_VALUE"""),0.0)</f>
        <v>0</v>
      </c>
      <c r="V205" s="8">
        <f>IFERROR(__xludf.DUMMYFUNCTION("""COMPUTED_VALUE"""),0.0)</f>
        <v>0</v>
      </c>
      <c r="W205" s="8">
        <f>IFERROR(__xludf.DUMMYFUNCTION("""COMPUTED_VALUE"""),0.0)</f>
        <v>0</v>
      </c>
      <c r="X205" s="8">
        <f>IFERROR(__xludf.DUMMYFUNCTION("""COMPUTED_VALUE"""),0.0)</f>
        <v>0</v>
      </c>
      <c r="Y205" s="8">
        <f>IFERROR(__xludf.DUMMYFUNCTION("""COMPUTED_VALUE"""),0.0)</f>
        <v>0</v>
      </c>
      <c r="Z205" s="8">
        <f>IFERROR(__xludf.DUMMYFUNCTION("""COMPUTED_VALUE"""),0.0)</f>
        <v>0</v>
      </c>
      <c r="AA205" s="8">
        <f>IFERROR(__xludf.DUMMYFUNCTION("""COMPUTED_VALUE"""),0.0)</f>
        <v>0</v>
      </c>
      <c r="AB205" s="8">
        <f>IFERROR(__xludf.DUMMYFUNCTION("""COMPUTED_VALUE"""),0.0)</f>
        <v>0</v>
      </c>
      <c r="AC205" s="8">
        <f>IFERROR(__xludf.DUMMYFUNCTION("""COMPUTED_VALUE"""),0.0)</f>
        <v>0</v>
      </c>
    </row>
    <row r="206" ht="15.75" customHeight="1">
      <c r="A206" s="6" t="str">
        <f>IFERROR(__xludf.DUMMYFUNCTION("""COMPUTED_VALUE"""),"b6ceacf9ec08a19cb30826c8277260c2339da0b3")</f>
        <v>b6ceacf9ec08a19cb30826c8277260c2339da0b3</v>
      </c>
      <c r="B206" s="6" t="str">
        <f>IFERROR(__xludf.DUMMYFUNCTION("""COMPUTED_VALUE"""),"Ruthless Betrayal ")</f>
        <v>Ruthless Betrayal </v>
      </c>
      <c r="C206" s="6" t="str">
        <f>IFERROR(__xludf.DUMMYFUNCTION("""COMPUTED_VALUE"""),"Romance")</f>
        <v>Romance</v>
      </c>
      <c r="D206" s="5">
        <f>IFERROR(__xludf.DUMMYFUNCTION("""COMPUTED_VALUE"""),599.0)</f>
        <v>599</v>
      </c>
      <c r="E206" s="8">
        <f>IFERROR(__xludf.DUMMYFUNCTION("""COMPUTED_VALUE"""),0.947811447811447)</f>
        <v>0.9478114478</v>
      </c>
      <c r="F206" s="8">
        <f>IFERROR(__xludf.DUMMYFUNCTION("""COMPUTED_VALUE"""),0.493197278911564)</f>
        <v>0.4931972789</v>
      </c>
      <c r="G206" s="8">
        <f>IFERROR(__xludf.DUMMYFUNCTION("""COMPUTED_VALUE"""),0.373287671232876)</f>
        <v>0.3732876712</v>
      </c>
      <c r="H206" s="8">
        <f>IFERROR(__xludf.DUMMYFUNCTION("""COMPUTED_VALUE"""),0.325862068965517)</f>
        <v>0.325862069</v>
      </c>
      <c r="I206" s="8">
        <f>IFERROR(__xludf.DUMMYFUNCTION("""COMPUTED_VALUE"""),0.321799307958477)</f>
        <v>0.321799308</v>
      </c>
      <c r="J206" s="8">
        <f>IFERROR(__xludf.DUMMYFUNCTION("""COMPUTED_VALUE"""),0.29020979020979)</f>
        <v>0.2902097902</v>
      </c>
      <c r="K206" s="8">
        <f>IFERROR(__xludf.DUMMYFUNCTION("""COMPUTED_VALUE"""),0.264084507042253)</f>
        <v>0.264084507</v>
      </c>
      <c r="L206" s="8">
        <f>IFERROR(__xludf.DUMMYFUNCTION("""COMPUTED_VALUE"""),0.233393177737881)</f>
        <v>0.2333931777</v>
      </c>
      <c r="M206" s="8">
        <f>IFERROR(__xludf.DUMMYFUNCTION("""COMPUTED_VALUE"""),0.247292418772563)</f>
        <v>0.2472924188</v>
      </c>
      <c r="N206" s="8">
        <f>IFERROR(__xludf.DUMMYFUNCTION("""COMPUTED_VALUE"""),0.218348623853211)</f>
        <v>0.2183486239</v>
      </c>
      <c r="O206" s="8">
        <f>IFERROR(__xludf.DUMMYFUNCTION("""COMPUTED_VALUE"""),0.18568665377176)</f>
        <v>0.1856866538</v>
      </c>
      <c r="P206" s="8">
        <f>IFERROR(__xludf.DUMMYFUNCTION("""COMPUTED_VALUE"""),0.0954274353876739)</f>
        <v>0.09542743539</v>
      </c>
      <c r="Q206" s="8">
        <f>IFERROR(__xludf.DUMMYFUNCTION("""COMPUTED_VALUE"""),0.0749414519906323)</f>
        <v>0.07494145199</v>
      </c>
      <c r="R206" s="8">
        <f>IFERROR(__xludf.DUMMYFUNCTION("""COMPUTED_VALUE"""),0.0)</f>
        <v>0</v>
      </c>
      <c r="S206" s="8">
        <f>IFERROR(__xludf.DUMMYFUNCTION("""COMPUTED_VALUE"""),0.0)</f>
        <v>0</v>
      </c>
      <c r="T206" s="8">
        <f>IFERROR(__xludf.DUMMYFUNCTION("""COMPUTED_VALUE"""),0.0)</f>
        <v>0</v>
      </c>
      <c r="U206" s="8">
        <f>IFERROR(__xludf.DUMMYFUNCTION("""COMPUTED_VALUE"""),0.0)</f>
        <v>0</v>
      </c>
      <c r="V206" s="8">
        <f>IFERROR(__xludf.DUMMYFUNCTION("""COMPUTED_VALUE"""),0.0)</f>
        <v>0</v>
      </c>
      <c r="W206" s="8">
        <f>IFERROR(__xludf.DUMMYFUNCTION("""COMPUTED_VALUE"""),0.0)</f>
        <v>0</v>
      </c>
      <c r="X206" s="8">
        <f>IFERROR(__xludf.DUMMYFUNCTION("""COMPUTED_VALUE"""),0.0)</f>
        <v>0</v>
      </c>
      <c r="Y206" s="8">
        <f>IFERROR(__xludf.DUMMYFUNCTION("""COMPUTED_VALUE"""),0.0)</f>
        <v>0</v>
      </c>
      <c r="Z206" s="8">
        <f>IFERROR(__xludf.DUMMYFUNCTION("""COMPUTED_VALUE"""),0.0)</f>
        <v>0</v>
      </c>
      <c r="AA206" s="8">
        <f>IFERROR(__xludf.DUMMYFUNCTION("""COMPUTED_VALUE"""),0.0)</f>
        <v>0</v>
      </c>
      <c r="AB206" s="8">
        <f>IFERROR(__xludf.DUMMYFUNCTION("""COMPUTED_VALUE"""),0.0)</f>
        <v>0</v>
      </c>
      <c r="AC206" s="8">
        <f>IFERROR(__xludf.DUMMYFUNCTION("""COMPUTED_VALUE"""),0.0)</f>
        <v>0</v>
      </c>
    </row>
    <row r="207" ht="15.75" customHeight="1">
      <c r="A207" s="6" t="str">
        <f>IFERROR(__xludf.DUMMYFUNCTION("""COMPUTED_VALUE"""),"b6dcffd8fcb56899f1036740aa43dcb9b648ffe5")</f>
        <v>b6dcffd8fcb56899f1036740aa43dcb9b648ffe5</v>
      </c>
      <c r="B207" s="6" t="str">
        <f>IFERROR(__xludf.DUMMYFUNCTION("""COMPUTED_VALUE"""),"His Zealous Years Ahead")</f>
        <v>His Zealous Years Ahead</v>
      </c>
      <c r="C207" s="6" t="str">
        <f>IFERROR(__xludf.DUMMYFUNCTION("""COMPUTED_VALUE"""),"Fantasy")</f>
        <v>Fantasy</v>
      </c>
      <c r="D207" s="5">
        <f>IFERROR(__xludf.DUMMYFUNCTION("""COMPUTED_VALUE"""),335.0)</f>
        <v>335</v>
      </c>
      <c r="E207" s="8">
        <f>IFERROR(__xludf.DUMMYFUNCTION("""COMPUTED_VALUE"""),0.966049382716049)</f>
        <v>0.9660493827</v>
      </c>
      <c r="F207" s="8">
        <f>IFERROR(__xludf.DUMMYFUNCTION("""COMPUTED_VALUE"""),0.5)</f>
        <v>0.5</v>
      </c>
      <c r="G207" s="8">
        <f>IFERROR(__xludf.DUMMYFUNCTION("""COMPUTED_VALUE"""),0.431818181818181)</f>
        <v>0.4318181818</v>
      </c>
      <c r="H207" s="8">
        <f>IFERROR(__xludf.DUMMYFUNCTION("""COMPUTED_VALUE"""),0.39057239057239)</f>
        <v>0.3905723906</v>
      </c>
      <c r="I207" s="8">
        <f>IFERROR(__xludf.DUMMYFUNCTION("""COMPUTED_VALUE"""),0.348275862068965)</f>
        <v>0.3482758621</v>
      </c>
      <c r="J207" s="8">
        <f>IFERROR(__xludf.DUMMYFUNCTION("""COMPUTED_VALUE"""),0.329670329670329)</f>
        <v>0.3296703297</v>
      </c>
      <c r="K207" s="8">
        <f>IFERROR(__xludf.DUMMYFUNCTION("""COMPUTED_VALUE"""),0.313207547169811)</f>
        <v>0.3132075472</v>
      </c>
      <c r="L207" s="8">
        <f>IFERROR(__xludf.DUMMYFUNCTION("""COMPUTED_VALUE"""),0.3)</f>
        <v>0.3</v>
      </c>
      <c r="M207" s="8">
        <f>IFERROR(__xludf.DUMMYFUNCTION("""COMPUTED_VALUE"""),0.267489711934156)</f>
        <v>0.2674897119</v>
      </c>
      <c r="N207" s="8">
        <f>IFERROR(__xludf.DUMMYFUNCTION("""COMPUTED_VALUE"""),0.268722466960352)</f>
        <v>0.268722467</v>
      </c>
      <c r="O207" s="8">
        <f>IFERROR(__xludf.DUMMYFUNCTION("""COMPUTED_VALUE"""),0.244897959183673)</f>
        <v>0.2448979592</v>
      </c>
      <c r="P207" s="8">
        <f>IFERROR(__xludf.DUMMYFUNCTION("""COMPUTED_VALUE"""),0.222222222222222)</f>
        <v>0.2222222222</v>
      </c>
      <c r="Q207" s="8">
        <f>IFERROR(__xludf.DUMMYFUNCTION("""COMPUTED_VALUE"""),0.0)</f>
        <v>0</v>
      </c>
      <c r="R207" s="8">
        <f>IFERROR(__xludf.DUMMYFUNCTION("""COMPUTED_VALUE"""),0.0)</f>
        <v>0</v>
      </c>
      <c r="S207" s="8">
        <f>IFERROR(__xludf.DUMMYFUNCTION("""COMPUTED_VALUE"""),0.0)</f>
        <v>0</v>
      </c>
      <c r="T207" s="8">
        <f>IFERROR(__xludf.DUMMYFUNCTION("""COMPUTED_VALUE"""),0.0)</f>
        <v>0</v>
      </c>
      <c r="U207" s="8">
        <f>IFERROR(__xludf.DUMMYFUNCTION("""COMPUTED_VALUE"""),0.0)</f>
        <v>0</v>
      </c>
      <c r="V207" s="8">
        <f>IFERROR(__xludf.DUMMYFUNCTION("""COMPUTED_VALUE"""),0.0)</f>
        <v>0</v>
      </c>
      <c r="W207" s="8">
        <f>IFERROR(__xludf.DUMMYFUNCTION("""COMPUTED_VALUE"""),0.0)</f>
        <v>0</v>
      </c>
      <c r="X207" s="8">
        <f>IFERROR(__xludf.DUMMYFUNCTION("""COMPUTED_VALUE"""),0.0)</f>
        <v>0</v>
      </c>
      <c r="Y207" s="8">
        <f>IFERROR(__xludf.DUMMYFUNCTION("""COMPUTED_VALUE"""),0.0)</f>
        <v>0</v>
      </c>
      <c r="Z207" s="8">
        <f>IFERROR(__xludf.DUMMYFUNCTION("""COMPUTED_VALUE"""),0.0)</f>
        <v>0</v>
      </c>
      <c r="AA207" s="8">
        <f>IFERROR(__xludf.DUMMYFUNCTION("""COMPUTED_VALUE"""),0.0)</f>
        <v>0</v>
      </c>
      <c r="AB207" s="8">
        <f>IFERROR(__xludf.DUMMYFUNCTION("""COMPUTED_VALUE"""),0.0)</f>
        <v>0</v>
      </c>
      <c r="AC207" s="8">
        <f>IFERROR(__xludf.DUMMYFUNCTION("""COMPUTED_VALUE"""),0.0)</f>
        <v>0</v>
      </c>
    </row>
    <row r="208" ht="15.75" customHeight="1">
      <c r="A208" s="6" t="str">
        <f>IFERROR(__xludf.DUMMYFUNCTION("""COMPUTED_VALUE"""),"b7410aeb19f92f7df4ccab821b5a28bfd7d73027")</f>
        <v>b7410aeb19f92f7df4ccab821b5a28bfd7d73027</v>
      </c>
      <c r="B208" s="6" t="str">
        <f>IFERROR(__xludf.DUMMYFUNCTION("""COMPUTED_VALUE"""),"Alpha Regulus")</f>
        <v>Alpha Regulus</v>
      </c>
      <c r="C208" s="6" t="str">
        <f>IFERROR(__xludf.DUMMYFUNCTION("""COMPUTED_VALUE"""),"Romantasy")</f>
        <v>Romantasy</v>
      </c>
      <c r="D208" s="5">
        <f>IFERROR(__xludf.DUMMYFUNCTION("""COMPUTED_VALUE"""),1869.0)</f>
        <v>1869</v>
      </c>
      <c r="E208" s="8">
        <f>IFERROR(__xludf.DUMMYFUNCTION("""COMPUTED_VALUE"""),0.967362225789192)</f>
        <v>0.9673622258</v>
      </c>
      <c r="F208" s="8">
        <f>IFERROR(__xludf.DUMMYFUNCTION("""COMPUTED_VALUE"""),0.509646302250803)</f>
        <v>0.5096463023</v>
      </c>
      <c r="G208" s="8">
        <f>IFERROR(__xludf.DUMMYFUNCTION("""COMPUTED_VALUE"""),0.416532474503489)</f>
        <v>0.4165324745</v>
      </c>
      <c r="H208" s="8">
        <f>IFERROR(__xludf.DUMMYFUNCTION("""COMPUTED_VALUE"""),0.362170875873186)</f>
        <v>0.3621708759</v>
      </c>
      <c r="I208" s="8">
        <f>IFERROR(__xludf.DUMMYFUNCTION("""COMPUTED_VALUE"""),0.313272434175174)</f>
        <v>0.3132724342</v>
      </c>
      <c r="J208" s="8">
        <f>IFERROR(__xludf.DUMMYFUNCTION("""COMPUTED_VALUE"""),0.285330467490596)</f>
        <v>0.2853304675</v>
      </c>
      <c r="K208" s="8">
        <f>IFERROR(__xludf.DUMMYFUNCTION("""COMPUTED_VALUE"""),0.265448683503492)</f>
        <v>0.2654486835</v>
      </c>
      <c r="L208" s="8">
        <f>IFERROR(__xludf.DUMMYFUNCTION("""COMPUTED_VALUE"""),0.236021505376344)</f>
        <v>0.2360215054</v>
      </c>
      <c r="M208" s="8">
        <f>IFERROR(__xludf.DUMMYFUNCTION("""COMPUTED_VALUE"""),0.218514531754574)</f>
        <v>0.2185145318</v>
      </c>
      <c r="N208" s="8">
        <f>IFERROR(__xludf.DUMMYFUNCTION("""COMPUTED_VALUE"""),0.205072854830005)</f>
        <v>0.2050728548</v>
      </c>
      <c r="O208" s="8">
        <f>IFERROR(__xludf.DUMMYFUNCTION("""COMPUTED_VALUE"""),0.168487636572742)</f>
        <v>0.1684876366</v>
      </c>
      <c r="P208" s="8">
        <f>IFERROR(__xludf.DUMMYFUNCTION("""COMPUTED_VALUE"""),0.150259067357512)</f>
        <v>0.1502590674</v>
      </c>
      <c r="Q208" s="8">
        <f>IFERROR(__xludf.DUMMYFUNCTION("""COMPUTED_VALUE"""),0.115869017632241)</f>
        <v>0.1158690176</v>
      </c>
      <c r="R208" s="8">
        <f>IFERROR(__xludf.DUMMYFUNCTION("""COMPUTED_VALUE"""),0.0888324873096446)</f>
        <v>0.08883248731</v>
      </c>
      <c r="S208" s="8">
        <f>IFERROR(__xludf.DUMMYFUNCTION("""COMPUTED_VALUE"""),0.0795135640785781)</f>
        <v>0.07951356408</v>
      </c>
      <c r="T208" s="8">
        <f>IFERROR(__xludf.DUMMYFUNCTION("""COMPUTED_VALUE"""),0.0690826727066817)</f>
        <v>0.06908267271</v>
      </c>
      <c r="U208" s="8">
        <f>IFERROR(__xludf.DUMMYFUNCTION("""COMPUTED_VALUE"""),0.0556213017751479)</f>
        <v>0.05562130178</v>
      </c>
      <c r="V208" s="8">
        <f>IFERROR(__xludf.DUMMYFUNCTION("""COMPUTED_VALUE"""),0.0433705080545229)</f>
        <v>0.04337050805</v>
      </c>
      <c r="W208" s="8">
        <f>IFERROR(__xludf.DUMMYFUNCTION("""COMPUTED_VALUE"""),0.0386151797603195)</f>
        <v>0.03861517976</v>
      </c>
      <c r="X208" s="8">
        <f>IFERROR(__xludf.DUMMYFUNCTION("""COMPUTED_VALUE"""),0.0354609929078014)</f>
        <v>0.03546099291</v>
      </c>
      <c r="Y208" s="8">
        <f>IFERROR(__xludf.DUMMYFUNCTION("""COMPUTED_VALUE"""),0.0)</f>
        <v>0</v>
      </c>
      <c r="Z208" s="8">
        <f>IFERROR(__xludf.DUMMYFUNCTION("""COMPUTED_VALUE"""),0.0)</f>
        <v>0</v>
      </c>
      <c r="AA208" s="8">
        <f>IFERROR(__xludf.DUMMYFUNCTION("""COMPUTED_VALUE"""),0.0)</f>
        <v>0</v>
      </c>
      <c r="AB208" s="8">
        <f>IFERROR(__xludf.DUMMYFUNCTION("""COMPUTED_VALUE"""),0.0)</f>
        <v>0</v>
      </c>
      <c r="AC208" s="8">
        <f>IFERROR(__xludf.DUMMYFUNCTION("""COMPUTED_VALUE"""),0.0)</f>
        <v>0</v>
      </c>
    </row>
    <row r="209" ht="15.75" customHeight="1">
      <c r="A209" s="6" t="str">
        <f>IFERROR(__xludf.DUMMYFUNCTION("""COMPUTED_VALUE"""),"b7e62e1ec65efcef334c2161afd00edf7b5a2b09")</f>
        <v>b7e62e1ec65efcef334c2161afd00edf7b5a2b09</v>
      </c>
      <c r="B209" s="6" t="str">
        <f>IFERROR(__xludf.DUMMYFUNCTION("""COMPUTED_VALUE"""),"Thrones and Passion")</f>
        <v>Thrones and Passion</v>
      </c>
      <c r="C209" s="6" t="str">
        <f>IFERROR(__xludf.DUMMYFUNCTION("""COMPUTED_VALUE"""),"Romance")</f>
        <v>Romance</v>
      </c>
      <c r="D209" s="5">
        <f>IFERROR(__xludf.DUMMYFUNCTION("""COMPUTED_VALUE"""),1172.0)</f>
        <v>1172</v>
      </c>
      <c r="E209" s="8">
        <f>IFERROR(__xludf.DUMMYFUNCTION("""COMPUTED_VALUE"""),0.981578947368421)</f>
        <v>0.9815789474</v>
      </c>
      <c r="F209" s="8">
        <f>IFERROR(__xludf.DUMMYFUNCTION("""COMPUTED_VALUE"""),0.44266917293233)</f>
        <v>0.4426691729</v>
      </c>
      <c r="G209" s="8">
        <f>IFERROR(__xludf.DUMMYFUNCTION("""COMPUTED_VALUE"""),0.364333652924256)</f>
        <v>0.3643336529</v>
      </c>
      <c r="H209" s="8">
        <f>IFERROR(__xludf.DUMMYFUNCTION("""COMPUTED_VALUE"""),0.336594911937377)</f>
        <v>0.3365949119</v>
      </c>
      <c r="I209" s="8">
        <f>IFERROR(__xludf.DUMMYFUNCTION("""COMPUTED_VALUE"""),0.313609467455621)</f>
        <v>0.3136094675</v>
      </c>
      <c r="J209" s="8">
        <f>IFERROR(__xludf.DUMMYFUNCTION("""COMPUTED_VALUE"""),0.296370967741935)</f>
        <v>0.2963709677</v>
      </c>
      <c r="K209" s="8">
        <f>IFERROR(__xludf.DUMMYFUNCTION("""COMPUTED_VALUE"""),0.288259958071278)</f>
        <v>0.2882599581</v>
      </c>
      <c r="L209" s="8">
        <f>IFERROR(__xludf.DUMMYFUNCTION("""COMPUTED_VALUE"""),0.274553571428571)</f>
        <v>0.2745535714</v>
      </c>
      <c r="M209" s="8">
        <f>IFERROR(__xludf.DUMMYFUNCTION("""COMPUTED_VALUE"""),0.251168224299065)</f>
        <v>0.2511682243</v>
      </c>
      <c r="N209" s="8">
        <f>IFERROR(__xludf.DUMMYFUNCTION("""COMPUTED_VALUE"""),0.230088495575221)</f>
        <v>0.2300884956</v>
      </c>
      <c r="O209" s="8">
        <f>IFERROR(__xludf.DUMMYFUNCTION("""COMPUTED_VALUE"""),0.212837837837837)</f>
        <v>0.2128378378</v>
      </c>
      <c r="P209" s="8">
        <f>IFERROR(__xludf.DUMMYFUNCTION("""COMPUTED_VALUE"""),0.200413223140495)</f>
        <v>0.2004132231</v>
      </c>
      <c r="Q209" s="8">
        <f>IFERROR(__xludf.DUMMYFUNCTION("""COMPUTED_VALUE"""),0.13953488372093)</f>
        <v>0.1395348837</v>
      </c>
      <c r="R209" s="8">
        <f>IFERROR(__xludf.DUMMYFUNCTION("""COMPUTED_VALUE"""),0.0)</f>
        <v>0</v>
      </c>
      <c r="S209" s="8">
        <f>IFERROR(__xludf.DUMMYFUNCTION("""COMPUTED_VALUE"""),0.0)</f>
        <v>0</v>
      </c>
      <c r="T209" s="8">
        <f>IFERROR(__xludf.DUMMYFUNCTION("""COMPUTED_VALUE"""),0.0)</f>
        <v>0</v>
      </c>
      <c r="U209" s="8">
        <f>IFERROR(__xludf.DUMMYFUNCTION("""COMPUTED_VALUE"""),0.0)</f>
        <v>0</v>
      </c>
      <c r="V209" s="8">
        <f>IFERROR(__xludf.DUMMYFUNCTION("""COMPUTED_VALUE"""),0.0)</f>
        <v>0</v>
      </c>
      <c r="W209" s="8">
        <f>IFERROR(__xludf.DUMMYFUNCTION("""COMPUTED_VALUE"""),0.0)</f>
        <v>0</v>
      </c>
      <c r="X209" s="8">
        <f>IFERROR(__xludf.DUMMYFUNCTION("""COMPUTED_VALUE"""),0.0)</f>
        <v>0</v>
      </c>
      <c r="Y209" s="8">
        <f>IFERROR(__xludf.DUMMYFUNCTION("""COMPUTED_VALUE"""),0.0)</f>
        <v>0</v>
      </c>
      <c r="Z209" s="8">
        <f>IFERROR(__xludf.DUMMYFUNCTION("""COMPUTED_VALUE"""),0.0)</f>
        <v>0</v>
      </c>
      <c r="AA209" s="8">
        <f>IFERROR(__xludf.DUMMYFUNCTION("""COMPUTED_VALUE"""),0.0)</f>
        <v>0</v>
      </c>
      <c r="AB209" s="8">
        <f>IFERROR(__xludf.DUMMYFUNCTION("""COMPUTED_VALUE"""),0.0)</f>
        <v>0</v>
      </c>
      <c r="AC209" s="8">
        <f>IFERROR(__xludf.DUMMYFUNCTION("""COMPUTED_VALUE"""),0.0)</f>
        <v>0</v>
      </c>
    </row>
    <row r="210" ht="15.75" customHeight="1">
      <c r="A210" s="6" t="str">
        <f>IFERROR(__xludf.DUMMYFUNCTION("""COMPUTED_VALUE"""),"ba0633322d2e3b1f5dc385fdef11110ad663eca3")</f>
        <v>ba0633322d2e3b1f5dc385fdef11110ad663eca3</v>
      </c>
      <c r="B210" s="6" t="str">
        <f>IFERROR(__xludf.DUMMYFUNCTION("""COMPUTED_VALUE"""),"Fated Billionaire Love")</f>
        <v>Fated Billionaire Love</v>
      </c>
      <c r="C210" s="6" t="str">
        <f>IFERROR(__xludf.DUMMYFUNCTION("""COMPUTED_VALUE"""),"Romance")</f>
        <v>Romance</v>
      </c>
      <c r="D210" s="5">
        <f>IFERROR(__xludf.DUMMYFUNCTION("""COMPUTED_VALUE"""),373.0)</f>
        <v>373</v>
      </c>
      <c r="E210" s="8">
        <f>IFERROR(__xludf.DUMMYFUNCTION("""COMPUTED_VALUE"""),0.948924731182795)</f>
        <v>0.9489247312</v>
      </c>
      <c r="F210" s="8">
        <f>IFERROR(__xludf.DUMMYFUNCTION("""COMPUTED_VALUE"""),0.663978494623655)</f>
        <v>0.6639784946</v>
      </c>
      <c r="G210" s="8">
        <f>IFERROR(__xludf.DUMMYFUNCTION("""COMPUTED_VALUE"""),0.529569892473118)</f>
        <v>0.5295698925</v>
      </c>
      <c r="H210" s="8">
        <f>IFERROR(__xludf.DUMMYFUNCTION("""COMPUTED_VALUE"""),0.448924731182795)</f>
        <v>0.4489247312</v>
      </c>
      <c r="I210" s="8">
        <f>IFERROR(__xludf.DUMMYFUNCTION("""COMPUTED_VALUE"""),0.397849462365591)</f>
        <v>0.3978494624</v>
      </c>
      <c r="J210" s="8">
        <f>IFERROR(__xludf.DUMMYFUNCTION("""COMPUTED_VALUE"""),0.352150537634408)</f>
        <v>0.3521505376</v>
      </c>
      <c r="K210" s="8">
        <f>IFERROR(__xludf.DUMMYFUNCTION("""COMPUTED_VALUE"""),0.334231805929919)</f>
        <v>0.3342318059</v>
      </c>
      <c r="L210" s="8">
        <f>IFERROR(__xludf.DUMMYFUNCTION("""COMPUTED_VALUE"""),0.3)</f>
        <v>0.3</v>
      </c>
      <c r="M210" s="8">
        <f>IFERROR(__xludf.DUMMYFUNCTION("""COMPUTED_VALUE"""),0.289189189189189)</f>
        <v>0.2891891892</v>
      </c>
      <c r="N210" s="8">
        <f>IFERROR(__xludf.DUMMYFUNCTION("""COMPUTED_VALUE"""),0.281842818428184)</f>
        <v>0.2818428184</v>
      </c>
      <c r="O210" s="8">
        <f>IFERROR(__xludf.DUMMYFUNCTION("""COMPUTED_VALUE"""),0.228021978021978)</f>
        <v>0.228021978</v>
      </c>
      <c r="P210" s="8">
        <f>IFERROR(__xludf.DUMMYFUNCTION("""COMPUTED_VALUE"""),0.182857142857142)</f>
        <v>0.1828571429</v>
      </c>
      <c r="Q210" s="8">
        <f>IFERROR(__xludf.DUMMYFUNCTION("""COMPUTED_VALUE"""),0.111510791366906)</f>
        <v>0.1115107914</v>
      </c>
      <c r="R210" s="8">
        <f>IFERROR(__xludf.DUMMYFUNCTION("""COMPUTED_VALUE"""),0.0)</f>
        <v>0</v>
      </c>
      <c r="S210" s="8">
        <f>IFERROR(__xludf.DUMMYFUNCTION("""COMPUTED_VALUE"""),0.0)</f>
        <v>0</v>
      </c>
      <c r="T210" s="8">
        <f>IFERROR(__xludf.DUMMYFUNCTION("""COMPUTED_VALUE"""),0.0)</f>
        <v>0</v>
      </c>
      <c r="U210" s="8">
        <f>IFERROR(__xludf.DUMMYFUNCTION("""COMPUTED_VALUE"""),0.0)</f>
        <v>0</v>
      </c>
      <c r="V210" s="8">
        <f>IFERROR(__xludf.DUMMYFUNCTION("""COMPUTED_VALUE"""),0.0)</f>
        <v>0</v>
      </c>
      <c r="W210" s="8">
        <f>IFERROR(__xludf.DUMMYFUNCTION("""COMPUTED_VALUE"""),0.0)</f>
        <v>0</v>
      </c>
      <c r="X210" s="8">
        <f>IFERROR(__xludf.DUMMYFUNCTION("""COMPUTED_VALUE"""),0.0)</f>
        <v>0</v>
      </c>
      <c r="Y210" s="8">
        <f>IFERROR(__xludf.DUMMYFUNCTION("""COMPUTED_VALUE"""),0.0)</f>
        <v>0</v>
      </c>
      <c r="Z210" s="8">
        <f>IFERROR(__xludf.DUMMYFUNCTION("""COMPUTED_VALUE"""),0.0)</f>
        <v>0</v>
      </c>
      <c r="AA210" s="8">
        <f>IFERROR(__xludf.DUMMYFUNCTION("""COMPUTED_VALUE"""),0.0)</f>
        <v>0</v>
      </c>
      <c r="AB210" s="8">
        <f>IFERROR(__xludf.DUMMYFUNCTION("""COMPUTED_VALUE"""),0.0)</f>
        <v>0</v>
      </c>
      <c r="AC210" s="8">
        <f>IFERROR(__xludf.DUMMYFUNCTION("""COMPUTED_VALUE"""),0.0)</f>
        <v>0</v>
      </c>
    </row>
    <row r="211" ht="15.75" customHeight="1">
      <c r="A211" s="6" t="str">
        <f>IFERROR(__xludf.DUMMYFUNCTION("""COMPUTED_VALUE"""),"ba1065d04424754ef65327a97989402f6a123e5a")</f>
        <v>ba1065d04424754ef65327a97989402f6a123e5a</v>
      </c>
      <c r="B211" s="6" t="str">
        <f>IFERROR(__xludf.DUMMYFUNCTION("""COMPUTED_VALUE"""),"Yours by Accident")</f>
        <v>Yours by Accident</v>
      </c>
      <c r="C211" s="6" t="str">
        <f>IFERROR(__xludf.DUMMYFUNCTION("""COMPUTED_VALUE"""),"Romance")</f>
        <v>Romance</v>
      </c>
      <c r="D211" s="5">
        <f>IFERROR(__xludf.DUMMYFUNCTION("""COMPUTED_VALUE"""),472.0)</f>
        <v>472</v>
      </c>
      <c r="E211" s="8">
        <f>IFERROR(__xludf.DUMMYFUNCTION("""COMPUTED_VALUE"""),0.972162740899357)</f>
        <v>0.9721627409</v>
      </c>
      <c r="F211" s="8">
        <f>IFERROR(__xludf.DUMMYFUNCTION("""COMPUTED_VALUE"""),0.560869565217391)</f>
        <v>0.5608695652</v>
      </c>
      <c r="G211" s="8">
        <f>IFERROR(__xludf.DUMMYFUNCTION("""COMPUTED_VALUE"""),0.459518599562363)</f>
        <v>0.4595185996</v>
      </c>
      <c r="H211" s="8">
        <f>IFERROR(__xludf.DUMMYFUNCTION("""COMPUTED_VALUE"""),0.417218543046357)</f>
        <v>0.417218543</v>
      </c>
      <c r="I211" s="8">
        <f>IFERROR(__xludf.DUMMYFUNCTION("""COMPUTED_VALUE"""),0.337028824833702)</f>
        <v>0.3370288248</v>
      </c>
      <c r="J211" s="8">
        <f>IFERROR(__xludf.DUMMYFUNCTION("""COMPUTED_VALUE"""),0.302013422818791)</f>
        <v>0.3020134228</v>
      </c>
      <c r="K211" s="8">
        <f>IFERROR(__xludf.DUMMYFUNCTION("""COMPUTED_VALUE"""),0.279279279279279)</f>
        <v>0.2792792793</v>
      </c>
      <c r="L211" s="8">
        <f>IFERROR(__xludf.DUMMYFUNCTION("""COMPUTED_VALUE"""),0.255172413793103)</f>
        <v>0.2551724138</v>
      </c>
      <c r="M211" s="8">
        <f>IFERROR(__xludf.DUMMYFUNCTION("""COMPUTED_VALUE"""),0.246511627906976)</f>
        <v>0.2465116279</v>
      </c>
      <c r="N211" s="8">
        <f>IFERROR(__xludf.DUMMYFUNCTION("""COMPUTED_VALUE"""),0.235849056603773)</f>
        <v>0.2358490566</v>
      </c>
      <c r="O211" s="8">
        <f>IFERROR(__xludf.DUMMYFUNCTION("""COMPUTED_VALUE"""),0.194581280788177)</f>
        <v>0.1945812808</v>
      </c>
      <c r="P211" s="8">
        <f>IFERROR(__xludf.DUMMYFUNCTION("""COMPUTED_VALUE"""),0.100755667506297)</f>
        <v>0.1007556675</v>
      </c>
      <c r="Q211" s="8">
        <f>IFERROR(__xludf.DUMMYFUNCTION("""COMPUTED_VALUE"""),0.081081081081081)</f>
        <v>0.08108108108</v>
      </c>
      <c r="R211" s="8">
        <f>IFERROR(__xludf.DUMMYFUNCTION("""COMPUTED_VALUE"""),0.0328467153284671)</f>
        <v>0.03284671533</v>
      </c>
      <c r="S211" s="8">
        <f>IFERROR(__xludf.DUMMYFUNCTION("""COMPUTED_VALUE"""),0.0227272727272727)</f>
        <v>0.02272727273</v>
      </c>
      <c r="T211" s="8">
        <f>IFERROR(__xludf.DUMMYFUNCTION("""COMPUTED_VALUE"""),0.00425531914893617)</f>
        <v>0.004255319149</v>
      </c>
      <c r="U211" s="8">
        <f>IFERROR(__xludf.DUMMYFUNCTION("""COMPUTED_VALUE"""),0.0)</f>
        <v>0</v>
      </c>
      <c r="V211" s="8">
        <f>IFERROR(__xludf.DUMMYFUNCTION("""COMPUTED_VALUE"""),0.0)</f>
        <v>0</v>
      </c>
      <c r="W211" s="8">
        <f>IFERROR(__xludf.DUMMYFUNCTION("""COMPUTED_VALUE"""),0.0)</f>
        <v>0</v>
      </c>
      <c r="X211" s="8">
        <f>IFERROR(__xludf.DUMMYFUNCTION("""COMPUTED_VALUE"""),0.0)</f>
        <v>0</v>
      </c>
      <c r="Y211" s="8">
        <f>IFERROR(__xludf.DUMMYFUNCTION("""COMPUTED_VALUE"""),0.0)</f>
        <v>0</v>
      </c>
      <c r="Z211" s="8">
        <f>IFERROR(__xludf.DUMMYFUNCTION("""COMPUTED_VALUE"""),0.0)</f>
        <v>0</v>
      </c>
      <c r="AA211" s="8">
        <f>IFERROR(__xludf.DUMMYFUNCTION("""COMPUTED_VALUE"""),0.0)</f>
        <v>0</v>
      </c>
      <c r="AB211" s="8">
        <f>IFERROR(__xludf.DUMMYFUNCTION("""COMPUTED_VALUE"""),0.0)</f>
        <v>0</v>
      </c>
      <c r="AC211" s="8">
        <f>IFERROR(__xludf.DUMMYFUNCTION("""COMPUTED_VALUE"""),0.0)</f>
        <v>0</v>
      </c>
    </row>
    <row r="212" ht="15.75" customHeight="1">
      <c r="A212" s="6" t="str">
        <f>IFERROR(__xludf.DUMMYFUNCTION("""COMPUTED_VALUE"""),"bb2f281964ff5fb7528074b3b2b73409bbf91d2a")</f>
        <v>bb2f281964ff5fb7528074b3b2b73409bbf91d2a</v>
      </c>
      <c r="B212" s="6" t="str">
        <f>IFERROR(__xludf.DUMMYFUNCTION("""COMPUTED_VALUE"""),"My Money Minting System")</f>
        <v>My Money Minting System</v>
      </c>
      <c r="C212" s="6" t="str">
        <f>IFERROR(__xludf.DUMMYFUNCTION("""COMPUTED_VALUE"""),"System and Superpower")</f>
        <v>System and Superpower</v>
      </c>
      <c r="D212" s="5">
        <f>IFERROR(__xludf.DUMMYFUNCTION("""COMPUTED_VALUE"""),1138.0)</f>
        <v>1138</v>
      </c>
      <c r="E212" s="8">
        <f>IFERROR(__xludf.DUMMYFUNCTION("""COMPUTED_VALUE"""),0.969884853852967)</f>
        <v>0.9698848539</v>
      </c>
      <c r="F212" s="8">
        <f>IFERROR(__xludf.DUMMYFUNCTION("""COMPUTED_VALUE"""),0.695871097683786)</f>
        <v>0.6958710977</v>
      </c>
      <c r="G212" s="8">
        <f>IFERROR(__xludf.DUMMYFUNCTION("""COMPUTED_VALUE"""),0.587266739846322)</f>
        <v>0.5872667398</v>
      </c>
      <c r="H212" s="8">
        <f>IFERROR(__xludf.DUMMYFUNCTION("""COMPUTED_VALUE"""),0.535714285714285)</f>
        <v>0.5357142857</v>
      </c>
      <c r="I212" s="8">
        <f>IFERROR(__xludf.DUMMYFUNCTION("""COMPUTED_VALUE"""),0.461799660441426)</f>
        <v>0.4617996604</v>
      </c>
      <c r="J212" s="8">
        <f>IFERROR(__xludf.DUMMYFUNCTION("""COMPUTED_VALUE"""),0.404761904761904)</f>
        <v>0.4047619048</v>
      </c>
      <c r="K212" s="8">
        <f>IFERROR(__xludf.DUMMYFUNCTION("""COMPUTED_VALUE"""),0.350597609561753)</f>
        <v>0.3505976096</v>
      </c>
      <c r="L212" s="8">
        <f>IFERROR(__xludf.DUMMYFUNCTION("""COMPUTED_VALUE"""),0.316)</f>
        <v>0.316</v>
      </c>
      <c r="M212" s="8">
        <f>IFERROR(__xludf.DUMMYFUNCTION("""COMPUTED_VALUE"""),0.293172690763052)</f>
        <v>0.2931726908</v>
      </c>
      <c r="N212" s="8">
        <f>IFERROR(__xludf.DUMMYFUNCTION("""COMPUTED_VALUE"""),0.285425101214574)</f>
        <v>0.2854251012</v>
      </c>
      <c r="O212" s="8">
        <f>IFERROR(__xludf.DUMMYFUNCTION("""COMPUTED_VALUE"""),0.196687370600414)</f>
        <v>0.1966873706</v>
      </c>
      <c r="P212" s="8">
        <f>IFERROR(__xludf.DUMMYFUNCTION("""COMPUTED_VALUE"""),0.101796407185628)</f>
        <v>0.1017964072</v>
      </c>
      <c r="Q212" s="8">
        <f>IFERROR(__xludf.DUMMYFUNCTION("""COMPUTED_VALUE"""),0.0569620253164556)</f>
        <v>0.05696202532</v>
      </c>
      <c r="R212" s="8">
        <f>IFERROR(__xludf.DUMMYFUNCTION("""COMPUTED_VALUE"""),0.0)</f>
        <v>0</v>
      </c>
      <c r="S212" s="8">
        <f>IFERROR(__xludf.DUMMYFUNCTION("""COMPUTED_VALUE"""),0.0)</f>
        <v>0</v>
      </c>
      <c r="T212" s="8">
        <f>IFERROR(__xludf.DUMMYFUNCTION("""COMPUTED_VALUE"""),0.0)</f>
        <v>0</v>
      </c>
      <c r="U212" s="8">
        <f>IFERROR(__xludf.DUMMYFUNCTION("""COMPUTED_VALUE"""),0.0)</f>
        <v>0</v>
      </c>
      <c r="V212" s="8">
        <f>IFERROR(__xludf.DUMMYFUNCTION("""COMPUTED_VALUE"""),0.0)</f>
        <v>0</v>
      </c>
      <c r="W212" s="8">
        <f>IFERROR(__xludf.DUMMYFUNCTION("""COMPUTED_VALUE"""),0.0)</f>
        <v>0</v>
      </c>
      <c r="X212" s="8">
        <f>IFERROR(__xludf.DUMMYFUNCTION("""COMPUTED_VALUE"""),0.0)</f>
        <v>0</v>
      </c>
      <c r="Y212" s="8">
        <f>IFERROR(__xludf.DUMMYFUNCTION("""COMPUTED_VALUE"""),0.0)</f>
        <v>0</v>
      </c>
      <c r="Z212" s="8">
        <f>IFERROR(__xludf.DUMMYFUNCTION("""COMPUTED_VALUE"""),0.0)</f>
        <v>0</v>
      </c>
      <c r="AA212" s="8">
        <f>IFERROR(__xludf.DUMMYFUNCTION("""COMPUTED_VALUE"""),0.0)</f>
        <v>0</v>
      </c>
      <c r="AB212" s="8">
        <f>IFERROR(__xludf.DUMMYFUNCTION("""COMPUTED_VALUE"""),0.0)</f>
        <v>0</v>
      </c>
      <c r="AC212" s="8">
        <f>IFERROR(__xludf.DUMMYFUNCTION("""COMPUTED_VALUE"""),0.0)</f>
        <v>0</v>
      </c>
    </row>
    <row r="213" ht="15.75" customHeight="1">
      <c r="A213" s="6" t="str">
        <f>IFERROR(__xludf.DUMMYFUNCTION("""COMPUTED_VALUE"""),"bb8bdc13e3c19f2845f457b91284273ad6ddf8f2")</f>
        <v>bb8bdc13e3c19f2845f457b91284273ad6ddf8f2</v>
      </c>
      <c r="B213" s="6" t="str">
        <f>IFERROR(__xludf.DUMMYFUNCTION("""COMPUTED_VALUE"""),"His Four Little Rascals")</f>
        <v>His Four Little Rascals</v>
      </c>
      <c r="C213" s="6" t="str">
        <f>IFERROR(__xludf.DUMMYFUNCTION("""COMPUTED_VALUE"""),"Romance")</f>
        <v>Romance</v>
      </c>
      <c r="D213" s="5">
        <f>IFERROR(__xludf.DUMMYFUNCTION("""COMPUTED_VALUE"""),21025.0)</f>
        <v>21025</v>
      </c>
      <c r="E213" s="8">
        <f>IFERROR(__xludf.DUMMYFUNCTION("""COMPUTED_VALUE"""),0.923871151924632)</f>
        <v>0.9238711519</v>
      </c>
      <c r="F213" s="8">
        <f>IFERROR(__xludf.DUMMYFUNCTION("""COMPUTED_VALUE"""),0.477933825279695)</f>
        <v>0.4779338253</v>
      </c>
      <c r="G213" s="8">
        <f>IFERROR(__xludf.DUMMYFUNCTION("""COMPUTED_VALUE"""),0.396819350538044)</f>
        <v>0.3968193505</v>
      </c>
      <c r="H213" s="8">
        <f>IFERROR(__xludf.DUMMYFUNCTION("""COMPUTED_VALUE"""),0.375905106707317)</f>
        <v>0.3759051067</v>
      </c>
      <c r="I213" s="8">
        <f>IFERROR(__xludf.DUMMYFUNCTION("""COMPUTED_VALUE"""),0.360798703774304)</f>
        <v>0.3607987038</v>
      </c>
      <c r="J213" s="8">
        <f>IFERROR(__xludf.DUMMYFUNCTION("""COMPUTED_VALUE"""),0.345046247735291)</f>
        <v>0.3450462477</v>
      </c>
      <c r="K213" s="8">
        <f>IFERROR(__xludf.DUMMYFUNCTION("""COMPUTED_VALUE"""),0.334605658666921)</f>
        <v>0.3346056587</v>
      </c>
      <c r="L213" s="8">
        <f>IFERROR(__xludf.DUMMYFUNCTION("""COMPUTED_VALUE"""),0.329784186401833)</f>
        <v>0.3297841864</v>
      </c>
      <c r="M213" s="8">
        <f>IFERROR(__xludf.DUMMYFUNCTION("""COMPUTED_VALUE"""),0.319990446620492)</f>
        <v>0.3199904466</v>
      </c>
      <c r="N213" s="8">
        <f>IFERROR(__xludf.DUMMYFUNCTION("""COMPUTED_VALUE"""),0.314635195183716)</f>
        <v>0.3146351952</v>
      </c>
      <c r="O213" s="8">
        <f>IFERROR(__xludf.DUMMYFUNCTION("""COMPUTED_VALUE"""),0.297389384777809)</f>
        <v>0.2973893848</v>
      </c>
      <c r="P213" s="8">
        <f>IFERROR(__xludf.DUMMYFUNCTION("""COMPUTED_VALUE"""),0.261438855872831)</f>
        <v>0.2614388559</v>
      </c>
      <c r="Q213" s="8">
        <f>IFERROR(__xludf.DUMMYFUNCTION("""COMPUTED_VALUE"""),0.213260423786739)</f>
        <v>0.2132604238</v>
      </c>
      <c r="R213" s="8">
        <f>IFERROR(__xludf.DUMMYFUNCTION("""COMPUTED_VALUE"""),0.158839023905372)</f>
        <v>0.1588390239</v>
      </c>
      <c r="S213" s="8">
        <f>IFERROR(__xludf.DUMMYFUNCTION("""COMPUTED_VALUE"""),0.132437010374761)</f>
        <v>0.1324370104</v>
      </c>
      <c r="T213" s="8">
        <f>IFERROR(__xludf.DUMMYFUNCTION("""COMPUTED_VALUE"""),0.108330880188401)</f>
        <v>0.1083308802</v>
      </c>
      <c r="U213" s="8">
        <f>IFERROR(__xludf.DUMMYFUNCTION("""COMPUTED_VALUE"""),0.0951484431571325)</f>
        <v>0.09514844316</v>
      </c>
      <c r="V213" s="8">
        <f>IFERROR(__xludf.DUMMYFUNCTION("""COMPUTED_VALUE"""),0.10012247397428)</f>
        <v>0.100122474</v>
      </c>
      <c r="W213" s="8">
        <f>IFERROR(__xludf.DUMMYFUNCTION("""COMPUTED_VALUE"""),0.0928021729289271)</f>
        <v>0.09280217293</v>
      </c>
      <c r="X213" s="8">
        <f>IFERROR(__xludf.DUMMYFUNCTION("""COMPUTED_VALUE"""),0.0883534136546184)</f>
        <v>0.08835341365</v>
      </c>
      <c r="Y213" s="8">
        <f>IFERROR(__xludf.DUMMYFUNCTION("""COMPUTED_VALUE"""),0.0405727923627685)</f>
        <v>0.04057279236</v>
      </c>
      <c r="Z213" s="8">
        <f>IFERROR(__xludf.DUMMYFUNCTION("""COMPUTED_VALUE"""),0.0666666666666666)</f>
        <v>0.06666666667</v>
      </c>
      <c r="AA213" s="8">
        <f>IFERROR(__xludf.DUMMYFUNCTION("""COMPUTED_VALUE"""),0.0)</f>
        <v>0</v>
      </c>
      <c r="AB213" s="8">
        <f>IFERROR(__xludf.DUMMYFUNCTION("""COMPUTED_VALUE"""),0.0)</f>
        <v>0</v>
      </c>
      <c r="AC213" s="8">
        <f>IFERROR(__xludf.DUMMYFUNCTION("""COMPUTED_VALUE"""),0.0)</f>
        <v>0</v>
      </c>
    </row>
    <row r="214" ht="15.75" customHeight="1">
      <c r="A214" s="6" t="str">
        <f>IFERROR(__xludf.DUMMYFUNCTION("""COMPUTED_VALUE"""),"bbaf98e4e43fc8963698d00c4a338957fb765b85")</f>
        <v>bbaf98e4e43fc8963698d00c4a338957fb765b85</v>
      </c>
      <c r="B214" s="6" t="str">
        <f>IFERROR(__xludf.DUMMYFUNCTION("""COMPUTED_VALUE"""),"Artifact Spirit System")</f>
        <v>Artifact Spirit System</v>
      </c>
      <c r="C214" s="6" t="str">
        <f>IFERROR(__xludf.DUMMYFUNCTION("""COMPUTED_VALUE"""),"System and Superpower")</f>
        <v>System and Superpower</v>
      </c>
      <c r="D214" s="5">
        <f>IFERROR(__xludf.DUMMYFUNCTION("""COMPUTED_VALUE"""),5057.0)</f>
        <v>5057</v>
      </c>
      <c r="E214" s="8">
        <f>IFERROR(__xludf.DUMMYFUNCTION("""COMPUTED_VALUE"""),0.961830535571542)</f>
        <v>0.9618305356</v>
      </c>
      <c r="F214" s="8">
        <f>IFERROR(__xludf.DUMMYFUNCTION("""COMPUTED_VALUE"""),0.613960113960114)</f>
        <v>0.613960114</v>
      </c>
      <c r="G214" s="8">
        <f>IFERROR(__xludf.DUMMYFUNCTION("""COMPUTED_VALUE"""),0.542188462328064)</f>
        <v>0.5421884623</v>
      </c>
      <c r="H214" s="8">
        <f>IFERROR(__xludf.DUMMYFUNCTION("""COMPUTED_VALUE"""),0.495855781185246)</f>
        <v>0.4958557812</v>
      </c>
      <c r="I214" s="8">
        <f>IFERROR(__xludf.DUMMYFUNCTION("""COMPUTED_VALUE"""),0.463001672240802)</f>
        <v>0.4630016722</v>
      </c>
      <c r="J214" s="8">
        <f>IFERROR(__xludf.DUMMYFUNCTION("""COMPUTED_VALUE"""),0.437196537893181)</f>
        <v>0.4371965379</v>
      </c>
      <c r="K214" s="8">
        <f>IFERROR(__xludf.DUMMYFUNCTION("""COMPUTED_VALUE"""),0.416311754684838)</f>
        <v>0.4163117547</v>
      </c>
      <c r="L214" s="8">
        <f>IFERROR(__xludf.DUMMYFUNCTION("""COMPUTED_VALUE"""),0.398444252376836)</f>
        <v>0.3984442524</v>
      </c>
      <c r="M214" s="8">
        <f>IFERROR(__xludf.DUMMYFUNCTION("""COMPUTED_VALUE"""),0.38285838590385)</f>
        <v>0.3828583859</v>
      </c>
      <c r="N214" s="8">
        <f>IFERROR(__xludf.DUMMYFUNCTION("""COMPUTED_VALUE"""),0.37199558985667)</f>
        <v>0.3719955899</v>
      </c>
      <c r="O214" s="8">
        <f>IFERROR(__xludf.DUMMYFUNCTION("""COMPUTED_VALUE"""),0.327264346623646)</f>
        <v>0.3272643466</v>
      </c>
      <c r="P214" s="8">
        <f>IFERROR(__xludf.DUMMYFUNCTION("""COMPUTED_VALUE"""),0.28099173553719)</f>
        <v>0.2809917355</v>
      </c>
      <c r="Q214" s="8">
        <f>IFERROR(__xludf.DUMMYFUNCTION("""COMPUTED_VALUE"""),0.184074457083764)</f>
        <v>0.1840744571</v>
      </c>
      <c r="R214" s="8">
        <f>IFERROR(__xludf.DUMMYFUNCTION("""COMPUTED_VALUE"""),0.146341463414634)</f>
        <v>0.1463414634</v>
      </c>
      <c r="S214" s="8">
        <f>IFERROR(__xludf.DUMMYFUNCTION("""COMPUTED_VALUE"""),0.0)</f>
        <v>0</v>
      </c>
      <c r="T214" s="8">
        <f>IFERROR(__xludf.DUMMYFUNCTION("""COMPUTED_VALUE"""),0.0)</f>
        <v>0</v>
      </c>
      <c r="U214" s="8">
        <f>IFERROR(__xludf.DUMMYFUNCTION("""COMPUTED_VALUE"""),0.0)</f>
        <v>0</v>
      </c>
      <c r="V214" s="8">
        <f>IFERROR(__xludf.DUMMYFUNCTION("""COMPUTED_VALUE"""),0.0)</f>
        <v>0</v>
      </c>
      <c r="W214" s="8">
        <f>IFERROR(__xludf.DUMMYFUNCTION("""COMPUTED_VALUE"""),0.0)</f>
        <v>0</v>
      </c>
      <c r="X214" s="8">
        <f>IFERROR(__xludf.DUMMYFUNCTION("""COMPUTED_VALUE"""),0.0)</f>
        <v>0</v>
      </c>
      <c r="Y214" s="8">
        <f>IFERROR(__xludf.DUMMYFUNCTION("""COMPUTED_VALUE"""),0.0)</f>
        <v>0</v>
      </c>
      <c r="Z214" s="8">
        <f>IFERROR(__xludf.DUMMYFUNCTION("""COMPUTED_VALUE"""),0.0)</f>
        <v>0</v>
      </c>
      <c r="AA214" s="8">
        <f>IFERROR(__xludf.DUMMYFUNCTION("""COMPUTED_VALUE"""),0.0)</f>
        <v>0</v>
      </c>
      <c r="AB214" s="8">
        <f>IFERROR(__xludf.DUMMYFUNCTION("""COMPUTED_VALUE"""),0.0)</f>
        <v>0</v>
      </c>
      <c r="AC214" s="8">
        <f>IFERROR(__xludf.DUMMYFUNCTION("""COMPUTED_VALUE"""),0.0)</f>
        <v>0</v>
      </c>
    </row>
    <row r="215" ht="15.75" customHeight="1">
      <c r="A215" s="6" t="str">
        <f>IFERROR(__xludf.DUMMYFUNCTION("""COMPUTED_VALUE"""),"bbfdf49252139aecaf606478dbe29039803604ae")</f>
        <v>bbfdf49252139aecaf606478dbe29039803604ae</v>
      </c>
      <c r="B215" s="6" t="str">
        <f>IFERROR(__xludf.DUMMYFUNCTION("""COMPUTED_VALUE"""),"Alchemist of HARRY POTTER")</f>
        <v>Alchemist of HARRY POTTER</v>
      </c>
      <c r="C215" s="6" t="str">
        <f>IFERROR(__xludf.DUMMYFUNCTION("""COMPUTED_VALUE"""),"Fantasy")</f>
        <v>Fantasy</v>
      </c>
      <c r="D215" s="5">
        <f>IFERROR(__xludf.DUMMYFUNCTION("""COMPUTED_VALUE"""),358.0)</f>
        <v>358</v>
      </c>
      <c r="E215" s="8">
        <f>IFERROR(__xludf.DUMMYFUNCTION("""COMPUTED_VALUE"""),0.992673992673992)</f>
        <v>0.9926739927</v>
      </c>
      <c r="F215" s="8">
        <f>IFERROR(__xludf.DUMMYFUNCTION("""COMPUTED_VALUE"""),0.540880503144654)</f>
        <v>0.5408805031</v>
      </c>
      <c r="G215" s="8">
        <f>IFERROR(__xludf.DUMMYFUNCTION("""COMPUTED_VALUE"""),0.4)</f>
        <v>0.4</v>
      </c>
      <c r="H215" s="8">
        <f>IFERROR(__xludf.DUMMYFUNCTION("""COMPUTED_VALUE"""),0.390804597701149)</f>
        <v>0.3908045977</v>
      </c>
      <c r="I215" s="8">
        <f>IFERROR(__xludf.DUMMYFUNCTION("""COMPUTED_VALUE"""),0.35)</f>
        <v>0.35</v>
      </c>
      <c r="J215" s="8">
        <f>IFERROR(__xludf.DUMMYFUNCTION("""COMPUTED_VALUE"""),0.333333333333333)</f>
        <v>0.3333333333</v>
      </c>
      <c r="K215" s="8">
        <f>IFERROR(__xludf.DUMMYFUNCTION("""COMPUTED_VALUE"""),0.307692307692307)</f>
        <v>0.3076923077</v>
      </c>
      <c r="L215" s="8">
        <f>IFERROR(__xludf.DUMMYFUNCTION("""COMPUTED_VALUE"""),0.25)</f>
        <v>0.25</v>
      </c>
      <c r="M215" s="8">
        <f>IFERROR(__xludf.DUMMYFUNCTION("""COMPUTED_VALUE"""),0.220338983050847)</f>
        <v>0.2203389831</v>
      </c>
      <c r="N215" s="8">
        <f>IFERROR(__xludf.DUMMYFUNCTION("""COMPUTED_VALUE"""),0.224137931034482)</f>
        <v>0.224137931</v>
      </c>
      <c r="O215" s="8">
        <f>IFERROR(__xludf.DUMMYFUNCTION("""COMPUTED_VALUE"""),0.117647058823529)</f>
        <v>0.1176470588</v>
      </c>
      <c r="P215" s="8">
        <f>IFERROR(__xludf.DUMMYFUNCTION("""COMPUTED_VALUE"""),0.136363636363636)</f>
        <v>0.1363636364</v>
      </c>
      <c r="Q215" s="8">
        <f>IFERROR(__xludf.DUMMYFUNCTION("""COMPUTED_VALUE"""),1.0)</f>
        <v>1</v>
      </c>
      <c r="R215" s="8">
        <f>IFERROR(__xludf.DUMMYFUNCTION("""COMPUTED_VALUE"""),0.0)</f>
        <v>0</v>
      </c>
      <c r="S215" s="8">
        <f>IFERROR(__xludf.DUMMYFUNCTION("""COMPUTED_VALUE"""),0.0)</f>
        <v>0</v>
      </c>
      <c r="T215" s="8">
        <f>IFERROR(__xludf.DUMMYFUNCTION("""COMPUTED_VALUE"""),0.0)</f>
        <v>0</v>
      </c>
      <c r="U215" s="8">
        <f>IFERROR(__xludf.DUMMYFUNCTION("""COMPUTED_VALUE"""),0.0)</f>
        <v>0</v>
      </c>
      <c r="V215" s="8">
        <f>IFERROR(__xludf.DUMMYFUNCTION("""COMPUTED_VALUE"""),0.0)</f>
        <v>0</v>
      </c>
      <c r="W215" s="8">
        <f>IFERROR(__xludf.DUMMYFUNCTION("""COMPUTED_VALUE"""),0.0)</f>
        <v>0</v>
      </c>
      <c r="X215" s="8">
        <f>IFERROR(__xludf.DUMMYFUNCTION("""COMPUTED_VALUE"""),0.0)</f>
        <v>0</v>
      </c>
      <c r="Y215" s="8">
        <f>IFERROR(__xludf.DUMMYFUNCTION("""COMPUTED_VALUE"""),0.0)</f>
        <v>0</v>
      </c>
      <c r="Z215" s="8">
        <f>IFERROR(__xludf.DUMMYFUNCTION("""COMPUTED_VALUE"""),0.0)</f>
        <v>0</v>
      </c>
      <c r="AA215" s="8">
        <f>IFERROR(__xludf.DUMMYFUNCTION("""COMPUTED_VALUE"""),0.0)</f>
        <v>0</v>
      </c>
      <c r="AB215" s="8">
        <f>IFERROR(__xludf.DUMMYFUNCTION("""COMPUTED_VALUE"""),0.0)</f>
        <v>0</v>
      </c>
      <c r="AC215" s="8">
        <f>IFERROR(__xludf.DUMMYFUNCTION("""COMPUTED_VALUE"""),0.0)</f>
        <v>0</v>
      </c>
    </row>
    <row r="216" ht="15.75" customHeight="1">
      <c r="A216" s="6" t="str">
        <f>IFERROR(__xludf.DUMMYFUNCTION("""COMPUTED_VALUE"""),"be6caef02859b458c7e726aab639c65f41c8e1be")</f>
        <v>be6caef02859b458c7e726aab639c65f41c8e1be</v>
      </c>
      <c r="B216" s="6" t="str">
        <f>IFERROR(__xludf.DUMMYFUNCTION("""COMPUTED_VALUE"""),"Natural Godly Martial Art")</f>
        <v>Natural Godly Martial Art</v>
      </c>
      <c r="C216" s="6" t="str">
        <f>IFERROR(__xludf.DUMMYFUNCTION("""COMPUTED_VALUE"""),"Fantasy")</f>
        <v>Fantasy</v>
      </c>
      <c r="D216" s="5">
        <f>IFERROR(__xludf.DUMMYFUNCTION("""COMPUTED_VALUE"""),662.0)</f>
        <v>662</v>
      </c>
      <c r="E216" s="8">
        <f>IFERROR(__xludf.DUMMYFUNCTION("""COMPUTED_VALUE"""),0.983308042488619)</f>
        <v>0.9833080425</v>
      </c>
      <c r="F216" s="8">
        <f>IFERROR(__xludf.DUMMYFUNCTION("""COMPUTED_VALUE"""),0.547318611987381)</f>
        <v>0.547318612</v>
      </c>
      <c r="G216" s="8">
        <f>IFERROR(__xludf.DUMMYFUNCTION("""COMPUTED_VALUE"""),0.485049833887043)</f>
        <v>0.4850498339</v>
      </c>
      <c r="H216" s="8">
        <f>IFERROR(__xludf.DUMMYFUNCTION("""COMPUTED_VALUE"""),0.394927536231884)</f>
        <v>0.3949275362</v>
      </c>
      <c r="I216" s="8">
        <f>IFERROR(__xludf.DUMMYFUNCTION("""COMPUTED_VALUE"""),0.355212355212355)</f>
        <v>0.3552123552</v>
      </c>
      <c r="J216" s="8">
        <f>IFERROR(__xludf.DUMMYFUNCTION("""COMPUTED_VALUE"""),0.34322033898305)</f>
        <v>0.343220339</v>
      </c>
      <c r="K216" s="8">
        <f>IFERROR(__xludf.DUMMYFUNCTION("""COMPUTED_VALUE"""),0.325167037861915)</f>
        <v>0.3251670379</v>
      </c>
      <c r="L216" s="8">
        <f>IFERROR(__xludf.DUMMYFUNCTION("""COMPUTED_VALUE"""),0.316455696202531)</f>
        <v>0.3164556962</v>
      </c>
      <c r="M216" s="8">
        <f>IFERROR(__xludf.DUMMYFUNCTION("""COMPUTED_VALUE"""),0.271084337349397)</f>
        <v>0.2710843373</v>
      </c>
      <c r="N216" s="8">
        <f>IFERROR(__xludf.DUMMYFUNCTION("""COMPUTED_VALUE"""),0.25735294117647)</f>
        <v>0.2573529412</v>
      </c>
      <c r="O216" s="8">
        <f>IFERROR(__xludf.DUMMYFUNCTION("""COMPUTED_VALUE"""),0.296296296296296)</f>
        <v>0.2962962963</v>
      </c>
      <c r="P216" s="8">
        <f>IFERROR(__xludf.DUMMYFUNCTION("""COMPUTED_VALUE"""),0.256756756756756)</f>
        <v>0.2567567568</v>
      </c>
      <c r="Q216" s="8">
        <f>IFERROR(__xludf.DUMMYFUNCTION("""COMPUTED_VALUE"""),0.0)</f>
        <v>0</v>
      </c>
      <c r="R216" s="8">
        <f>IFERROR(__xludf.DUMMYFUNCTION("""COMPUTED_VALUE"""),0.0)</f>
        <v>0</v>
      </c>
      <c r="S216" s="8">
        <f>IFERROR(__xludf.DUMMYFUNCTION("""COMPUTED_VALUE"""),0.0)</f>
        <v>0</v>
      </c>
      <c r="T216" s="8">
        <f>IFERROR(__xludf.DUMMYFUNCTION("""COMPUTED_VALUE"""),0.0)</f>
        <v>0</v>
      </c>
      <c r="U216" s="8">
        <f>IFERROR(__xludf.DUMMYFUNCTION("""COMPUTED_VALUE"""),0.0)</f>
        <v>0</v>
      </c>
      <c r="V216" s="8">
        <f>IFERROR(__xludf.DUMMYFUNCTION("""COMPUTED_VALUE"""),0.0)</f>
        <v>0</v>
      </c>
      <c r="W216" s="8">
        <f>IFERROR(__xludf.DUMMYFUNCTION("""COMPUTED_VALUE"""),0.0)</f>
        <v>0</v>
      </c>
      <c r="X216" s="8">
        <f>IFERROR(__xludf.DUMMYFUNCTION("""COMPUTED_VALUE"""),0.0)</f>
        <v>0</v>
      </c>
      <c r="Y216" s="8">
        <f>IFERROR(__xludf.DUMMYFUNCTION("""COMPUTED_VALUE"""),0.0)</f>
        <v>0</v>
      </c>
      <c r="Z216" s="8">
        <f>IFERROR(__xludf.DUMMYFUNCTION("""COMPUTED_VALUE"""),0.0)</f>
        <v>0</v>
      </c>
      <c r="AA216" s="8">
        <f>IFERROR(__xludf.DUMMYFUNCTION("""COMPUTED_VALUE"""),0.0)</f>
        <v>0</v>
      </c>
      <c r="AB216" s="8">
        <f>IFERROR(__xludf.DUMMYFUNCTION("""COMPUTED_VALUE"""),0.0)</f>
        <v>0</v>
      </c>
      <c r="AC216" s="8">
        <f>IFERROR(__xludf.DUMMYFUNCTION("""COMPUTED_VALUE"""),0.0)</f>
        <v>0</v>
      </c>
    </row>
    <row r="217" ht="15.75" customHeight="1">
      <c r="A217" s="6" t="str">
        <f>IFERROR(__xludf.DUMMYFUNCTION("""COMPUTED_VALUE"""),"bf3632f1f9e1f3a7b864a989bb8f495a629a43cb")</f>
        <v>bf3632f1f9e1f3a7b864a989bb8f495a629a43cb</v>
      </c>
      <c r="B217" s="6" t="str">
        <f>IFERROR(__xludf.DUMMYFUNCTION("""COMPUTED_VALUE"""),"Her Secret Twins")</f>
        <v>Her Secret Twins</v>
      </c>
      <c r="C217" s="6" t="str">
        <f>IFERROR(__xludf.DUMMYFUNCTION("""COMPUTED_VALUE"""),"Romance")</f>
        <v>Romance</v>
      </c>
      <c r="D217" s="5">
        <f>IFERROR(__xludf.DUMMYFUNCTION("""COMPUTED_VALUE"""),3767.0)</f>
        <v>3767</v>
      </c>
      <c r="E217" s="8">
        <f>IFERROR(__xludf.DUMMYFUNCTION("""COMPUTED_VALUE"""),0.903611258629846)</f>
        <v>0.9036112586</v>
      </c>
      <c r="F217" s="8">
        <f>IFERROR(__xludf.DUMMYFUNCTION("""COMPUTED_VALUE"""),0.710526315789473)</f>
        <v>0.7105263158</v>
      </c>
      <c r="G217" s="8">
        <f>IFERROR(__xludf.DUMMYFUNCTION("""COMPUTED_VALUE"""),0.656831472620946)</f>
        <v>0.6568314726</v>
      </c>
      <c r="H217" s="8">
        <f>IFERROR(__xludf.DUMMYFUNCTION("""COMPUTED_VALUE"""),0.620643788241553)</f>
        <v>0.6206437882</v>
      </c>
      <c r="I217" s="8">
        <f>IFERROR(__xludf.DUMMYFUNCTION("""COMPUTED_VALUE"""),0.597817407505988)</f>
        <v>0.5978174075</v>
      </c>
      <c r="J217" s="8">
        <f>IFERROR(__xludf.DUMMYFUNCTION("""COMPUTED_VALUE"""),0.581444948013862)</f>
        <v>0.581444948</v>
      </c>
      <c r="K217" s="8">
        <f>IFERROR(__xludf.DUMMYFUNCTION("""COMPUTED_VALUE"""),0.564649426819514)</f>
        <v>0.5646494268</v>
      </c>
      <c r="L217" s="8">
        <f>IFERROR(__xludf.DUMMYFUNCTION("""COMPUTED_VALUE"""),0.551347025873566)</f>
        <v>0.5513470259</v>
      </c>
      <c r="M217" s="8">
        <f>IFERROR(__xludf.DUMMYFUNCTION("""COMPUTED_VALUE"""),0.541644420715429)</f>
        <v>0.5416444207</v>
      </c>
      <c r="N217" s="8">
        <f>IFERROR(__xludf.DUMMYFUNCTION("""COMPUTED_VALUE"""),0.53235294117647)</f>
        <v>0.5323529412</v>
      </c>
      <c r="O217" s="8">
        <f>IFERROR(__xludf.DUMMYFUNCTION("""COMPUTED_VALUE"""),0.490606548577563)</f>
        <v>0.4906065486</v>
      </c>
      <c r="P217" s="8">
        <f>IFERROR(__xludf.DUMMYFUNCTION("""COMPUTED_VALUE"""),0.471239535511747)</f>
        <v>0.4712395355</v>
      </c>
      <c r="Q217" s="8">
        <f>IFERROR(__xludf.DUMMYFUNCTION("""COMPUTED_VALUE"""),0.372570794003331)</f>
        <v>0.372570794</v>
      </c>
      <c r="R217" s="8">
        <f>IFERROR(__xludf.DUMMYFUNCTION("""COMPUTED_VALUE"""),0.32030303030303)</f>
        <v>0.3203030303</v>
      </c>
      <c r="S217" s="8">
        <f>IFERROR(__xludf.DUMMYFUNCTION("""COMPUTED_VALUE"""),0.250506072874493)</f>
        <v>0.2505060729</v>
      </c>
      <c r="T217" s="8">
        <f>IFERROR(__xludf.DUMMYFUNCTION("""COMPUTED_VALUE"""),0.187826086956521)</f>
        <v>0.187826087</v>
      </c>
      <c r="U217" s="8">
        <f>IFERROR(__xludf.DUMMYFUNCTION("""COMPUTED_VALUE"""),0.149236192714453)</f>
        <v>0.1492361927</v>
      </c>
      <c r="V217" s="8">
        <f>IFERROR(__xludf.DUMMYFUNCTION("""COMPUTED_VALUE"""),0.129496402877697)</f>
        <v>0.1294964029</v>
      </c>
      <c r="W217" s="8">
        <f>IFERROR(__xludf.DUMMYFUNCTION("""COMPUTED_VALUE"""),0.094240837696335)</f>
        <v>0.0942408377</v>
      </c>
      <c r="X217" s="8">
        <f>IFERROR(__xludf.DUMMYFUNCTION("""COMPUTED_VALUE"""),0.0940919037199124)</f>
        <v>0.09409190372</v>
      </c>
      <c r="Y217" s="8">
        <f>IFERROR(__xludf.DUMMYFUNCTION("""COMPUTED_VALUE"""),0.0774647887323943)</f>
        <v>0.07746478873</v>
      </c>
      <c r="Z217" s="8">
        <f>IFERROR(__xludf.DUMMYFUNCTION("""COMPUTED_VALUE"""),0.0384615384615384)</f>
        <v>0.03846153846</v>
      </c>
      <c r="AA217" s="8">
        <f>IFERROR(__xludf.DUMMYFUNCTION("""COMPUTED_VALUE"""),0.0)</f>
        <v>0</v>
      </c>
      <c r="AB217" s="8">
        <f>IFERROR(__xludf.DUMMYFUNCTION("""COMPUTED_VALUE"""),0.0)</f>
        <v>0</v>
      </c>
      <c r="AC217" s="8">
        <f>IFERROR(__xludf.DUMMYFUNCTION("""COMPUTED_VALUE"""),0.0)</f>
        <v>0</v>
      </c>
    </row>
    <row r="218" ht="15.75" customHeight="1">
      <c r="A218" s="6" t="str">
        <f>IFERROR(__xludf.DUMMYFUNCTION("""COMPUTED_VALUE"""),"c04c6d5eb020135b9855b7b2290092294bd33d99")</f>
        <v>c04c6d5eb020135b9855b7b2290092294bd33d99</v>
      </c>
      <c r="B218" s="6" t="str">
        <f>IFERROR(__xludf.DUMMYFUNCTION("""COMPUTED_VALUE"""),"My Crimson Bite")</f>
        <v>My Crimson Bite</v>
      </c>
      <c r="C218" s="6" t="str">
        <f>IFERROR(__xludf.DUMMYFUNCTION("""COMPUTED_VALUE"""),"Romantasy")</f>
        <v>Romantasy</v>
      </c>
      <c r="D218" s="5">
        <f>IFERROR(__xludf.DUMMYFUNCTION("""COMPUTED_VALUE"""),431.0)</f>
        <v>431</v>
      </c>
      <c r="E218" s="8">
        <f>IFERROR(__xludf.DUMMYFUNCTION("""COMPUTED_VALUE"""),0.988123515439429)</f>
        <v>0.9881235154</v>
      </c>
      <c r="F218" s="8">
        <f>IFERROR(__xludf.DUMMYFUNCTION("""COMPUTED_VALUE"""),0.528846153846153)</f>
        <v>0.5288461538</v>
      </c>
      <c r="G218" s="8">
        <f>IFERROR(__xludf.DUMMYFUNCTION("""COMPUTED_VALUE"""),0.453658536585365)</f>
        <v>0.4536585366</v>
      </c>
      <c r="H218" s="8">
        <f>IFERROR(__xludf.DUMMYFUNCTION("""COMPUTED_VALUE"""),0.427109974424552)</f>
        <v>0.4271099744</v>
      </c>
      <c r="I218" s="8">
        <f>IFERROR(__xludf.DUMMYFUNCTION("""COMPUTED_VALUE"""),0.407894736842105)</f>
        <v>0.4078947368</v>
      </c>
      <c r="J218" s="8">
        <f>IFERROR(__xludf.DUMMYFUNCTION("""COMPUTED_VALUE"""),0.399416909620991)</f>
        <v>0.3994169096</v>
      </c>
      <c r="K218" s="8">
        <f>IFERROR(__xludf.DUMMYFUNCTION("""COMPUTED_VALUE"""),0.381924198250728)</f>
        <v>0.3819241983</v>
      </c>
      <c r="L218" s="8">
        <f>IFERROR(__xludf.DUMMYFUNCTION("""COMPUTED_VALUE"""),0.358600583090379)</f>
        <v>0.3586005831</v>
      </c>
      <c r="M218" s="8">
        <f>IFERROR(__xludf.DUMMYFUNCTION("""COMPUTED_VALUE"""),0.332361516034985)</f>
        <v>0.332361516</v>
      </c>
      <c r="N218" s="8">
        <f>IFERROR(__xludf.DUMMYFUNCTION("""COMPUTED_VALUE"""),0.324561403508771)</f>
        <v>0.3245614035</v>
      </c>
      <c r="O218" s="8">
        <f>IFERROR(__xludf.DUMMYFUNCTION("""COMPUTED_VALUE"""),0.256637168141592)</f>
        <v>0.2566371681</v>
      </c>
      <c r="P218" s="8">
        <f>IFERROR(__xludf.DUMMYFUNCTION("""COMPUTED_VALUE"""),0.187311178247734)</f>
        <v>0.1873111782</v>
      </c>
      <c r="Q218" s="8">
        <f>IFERROR(__xludf.DUMMYFUNCTION("""COMPUTED_VALUE"""),0.116438356164383)</f>
        <v>0.1164383562</v>
      </c>
      <c r="R218" s="8">
        <f>IFERROR(__xludf.DUMMYFUNCTION("""COMPUTED_VALUE"""),0.0)</f>
        <v>0</v>
      </c>
      <c r="S218" s="8">
        <f>IFERROR(__xludf.DUMMYFUNCTION("""COMPUTED_VALUE"""),0.0)</f>
        <v>0</v>
      </c>
      <c r="T218" s="8">
        <f>IFERROR(__xludf.DUMMYFUNCTION("""COMPUTED_VALUE"""),0.0)</f>
        <v>0</v>
      </c>
      <c r="U218" s="8">
        <f>IFERROR(__xludf.DUMMYFUNCTION("""COMPUTED_VALUE"""),0.0)</f>
        <v>0</v>
      </c>
      <c r="V218" s="8">
        <f>IFERROR(__xludf.DUMMYFUNCTION("""COMPUTED_VALUE"""),0.0)</f>
        <v>0</v>
      </c>
      <c r="W218" s="8">
        <f>IFERROR(__xludf.DUMMYFUNCTION("""COMPUTED_VALUE"""),0.0)</f>
        <v>0</v>
      </c>
      <c r="X218" s="8">
        <f>IFERROR(__xludf.DUMMYFUNCTION("""COMPUTED_VALUE"""),0.0)</f>
        <v>0</v>
      </c>
      <c r="Y218" s="8">
        <f>IFERROR(__xludf.DUMMYFUNCTION("""COMPUTED_VALUE"""),0.0)</f>
        <v>0</v>
      </c>
      <c r="Z218" s="8">
        <f>IFERROR(__xludf.DUMMYFUNCTION("""COMPUTED_VALUE"""),0.0)</f>
        <v>0</v>
      </c>
      <c r="AA218" s="8">
        <f>IFERROR(__xludf.DUMMYFUNCTION("""COMPUTED_VALUE"""),0.0)</f>
        <v>0</v>
      </c>
      <c r="AB218" s="8">
        <f>IFERROR(__xludf.DUMMYFUNCTION("""COMPUTED_VALUE"""),0.0)</f>
        <v>0</v>
      </c>
      <c r="AC218" s="8">
        <f>IFERROR(__xludf.DUMMYFUNCTION("""COMPUTED_VALUE"""),0.0)</f>
        <v>0</v>
      </c>
    </row>
    <row r="219" ht="15.75" customHeight="1">
      <c r="A219" s="6" t="str">
        <f>IFERROR(__xludf.DUMMYFUNCTION("""COMPUTED_VALUE"""),"c2045ffb46d0538ca44af5ee011be0b36e81c395")</f>
        <v>c2045ffb46d0538ca44af5ee011be0b36e81c395</v>
      </c>
      <c r="B219" s="6" t="str">
        <f>IFERROR(__xludf.DUMMYFUNCTION("""COMPUTED_VALUE"""),"A Marriage of Ashes")</f>
        <v>A Marriage of Ashes</v>
      </c>
      <c r="C219" s="6" t="str">
        <f>IFERROR(__xludf.DUMMYFUNCTION("""COMPUTED_VALUE"""),"Romance")</f>
        <v>Romance</v>
      </c>
      <c r="D219" s="5">
        <f>IFERROR(__xludf.DUMMYFUNCTION("""COMPUTED_VALUE"""),701.0)</f>
        <v>701</v>
      </c>
      <c r="E219" s="8">
        <f>IFERROR(__xludf.DUMMYFUNCTION("""COMPUTED_VALUE"""),0.981455064194008)</f>
        <v>0.9814550642</v>
      </c>
      <c r="F219" s="8">
        <f>IFERROR(__xludf.DUMMYFUNCTION("""COMPUTED_VALUE"""),0.273894436519258)</f>
        <v>0.2738944365</v>
      </c>
      <c r="G219" s="8">
        <f>IFERROR(__xludf.DUMMYFUNCTION("""COMPUTED_VALUE"""),0.187142857142857)</f>
        <v>0.1871428571</v>
      </c>
      <c r="H219" s="8">
        <f>IFERROR(__xludf.DUMMYFUNCTION("""COMPUTED_VALUE"""),0.153075822603719)</f>
        <v>0.1530758226</v>
      </c>
      <c r="I219" s="8">
        <f>IFERROR(__xludf.DUMMYFUNCTION("""COMPUTED_VALUE"""),0.141630901287553)</f>
        <v>0.1416309013</v>
      </c>
      <c r="J219" s="8">
        <f>IFERROR(__xludf.DUMMYFUNCTION("""COMPUTED_VALUE"""),0.120171673819742)</f>
        <v>0.1201716738</v>
      </c>
      <c r="K219" s="8">
        <f>IFERROR(__xludf.DUMMYFUNCTION("""COMPUTED_VALUE"""),0.103004291845493)</f>
        <v>0.1030042918</v>
      </c>
      <c r="L219" s="8">
        <f>IFERROR(__xludf.DUMMYFUNCTION("""COMPUTED_VALUE"""),0.0972818311874105)</f>
        <v>0.09728183119</v>
      </c>
      <c r="M219" s="8">
        <f>IFERROR(__xludf.DUMMYFUNCTION("""COMPUTED_VALUE"""),0.0944206008583691)</f>
        <v>0.09442060086</v>
      </c>
      <c r="N219" s="8">
        <f>IFERROR(__xludf.DUMMYFUNCTION("""COMPUTED_VALUE"""),0.0758226037195994)</f>
        <v>0.07582260372</v>
      </c>
      <c r="O219" s="8">
        <f>IFERROR(__xludf.DUMMYFUNCTION("""COMPUTED_VALUE"""),0.0159744408945686)</f>
        <v>0.01597444089</v>
      </c>
      <c r="P219" s="8">
        <f>IFERROR(__xludf.DUMMYFUNCTION("""COMPUTED_VALUE"""),0.00195694716242661)</f>
        <v>0.001956947162</v>
      </c>
      <c r="Q219" s="8">
        <f>IFERROR(__xludf.DUMMYFUNCTION("""COMPUTED_VALUE"""),0.0)</f>
        <v>0</v>
      </c>
      <c r="R219" s="8">
        <f>IFERROR(__xludf.DUMMYFUNCTION("""COMPUTED_VALUE"""),0.0)</f>
        <v>0</v>
      </c>
      <c r="S219" s="8">
        <f>IFERROR(__xludf.DUMMYFUNCTION("""COMPUTED_VALUE"""),0.0)</f>
        <v>0</v>
      </c>
      <c r="T219" s="8">
        <f>IFERROR(__xludf.DUMMYFUNCTION("""COMPUTED_VALUE"""),0.0)</f>
        <v>0</v>
      </c>
      <c r="U219" s="8">
        <f>IFERROR(__xludf.DUMMYFUNCTION("""COMPUTED_VALUE"""),0.0)</f>
        <v>0</v>
      </c>
      <c r="V219" s="8">
        <f>IFERROR(__xludf.DUMMYFUNCTION("""COMPUTED_VALUE"""),0.0)</f>
        <v>0</v>
      </c>
      <c r="W219" s="8">
        <f>IFERROR(__xludf.DUMMYFUNCTION("""COMPUTED_VALUE"""),0.0)</f>
        <v>0</v>
      </c>
      <c r="X219" s="8">
        <f>IFERROR(__xludf.DUMMYFUNCTION("""COMPUTED_VALUE"""),0.0)</f>
        <v>0</v>
      </c>
      <c r="Y219" s="8">
        <f>IFERROR(__xludf.DUMMYFUNCTION("""COMPUTED_VALUE"""),0.0)</f>
        <v>0</v>
      </c>
      <c r="Z219" s="8">
        <f>IFERROR(__xludf.DUMMYFUNCTION("""COMPUTED_VALUE"""),0.0)</f>
        <v>0</v>
      </c>
      <c r="AA219" s="8">
        <f>IFERROR(__xludf.DUMMYFUNCTION("""COMPUTED_VALUE"""),0.0)</f>
        <v>0</v>
      </c>
      <c r="AB219" s="8">
        <f>IFERROR(__xludf.DUMMYFUNCTION("""COMPUTED_VALUE"""),0.0)</f>
        <v>0</v>
      </c>
      <c r="AC219" s="8">
        <f>IFERROR(__xludf.DUMMYFUNCTION("""COMPUTED_VALUE"""),0.0)</f>
        <v>0</v>
      </c>
    </row>
    <row r="220" ht="15.75" customHeight="1">
      <c r="A220" s="6" t="str">
        <f>IFERROR(__xludf.DUMMYFUNCTION("""COMPUTED_VALUE"""),"c4463ba00f6c126612324139644418680a50dd75")</f>
        <v>c4463ba00f6c126612324139644418680a50dd75</v>
      </c>
      <c r="B220" s="6" t="str">
        <f>IFERROR(__xludf.DUMMYFUNCTION("""COMPUTED_VALUE"""),"Bloodstar")</f>
        <v>Bloodstar</v>
      </c>
      <c r="C220" s="6" t="str">
        <f>IFERROR(__xludf.DUMMYFUNCTION("""COMPUTED_VALUE"""),"System and Superpower")</f>
        <v>System and Superpower</v>
      </c>
      <c r="D220" s="5">
        <f>IFERROR(__xludf.DUMMYFUNCTION("""COMPUTED_VALUE"""),857.0)</f>
        <v>857</v>
      </c>
      <c r="E220" s="8">
        <f>IFERROR(__xludf.DUMMYFUNCTION("""COMPUTED_VALUE"""),0.977777777777777)</f>
        <v>0.9777777778</v>
      </c>
      <c r="F220" s="8">
        <f>IFERROR(__xludf.DUMMYFUNCTION("""COMPUTED_VALUE"""),0.716295427901524)</f>
        <v>0.7162954279</v>
      </c>
      <c r="G220" s="8">
        <f>IFERROR(__xludf.DUMMYFUNCTION("""COMPUTED_VALUE"""),0.62235294117647)</f>
        <v>0.6223529412</v>
      </c>
      <c r="H220" s="8">
        <f>IFERROR(__xludf.DUMMYFUNCTION("""COMPUTED_VALUE"""),0.535294117647058)</f>
        <v>0.5352941176</v>
      </c>
      <c r="I220" s="8">
        <f>IFERROR(__xludf.DUMMYFUNCTION("""COMPUTED_VALUE"""),0.475118483412322)</f>
        <v>0.4751184834</v>
      </c>
      <c r="J220" s="8">
        <f>IFERROR(__xludf.DUMMYFUNCTION("""COMPUTED_VALUE"""),0.416666666666666)</f>
        <v>0.4166666667</v>
      </c>
      <c r="K220" s="8">
        <f>IFERROR(__xludf.DUMMYFUNCTION("""COMPUTED_VALUE"""),0.370813397129186)</f>
        <v>0.3708133971</v>
      </c>
      <c r="L220" s="8">
        <f>IFERROR(__xludf.DUMMYFUNCTION("""COMPUTED_VALUE"""),0.332931242460796)</f>
        <v>0.3329312425</v>
      </c>
      <c r="M220" s="8">
        <f>IFERROR(__xludf.DUMMYFUNCTION("""COMPUTED_VALUE"""),0.304242424242424)</f>
        <v>0.3042424242</v>
      </c>
      <c r="N220" s="8">
        <f>IFERROR(__xludf.DUMMYFUNCTION("""COMPUTED_VALUE"""),0.290400972053462)</f>
        <v>0.2904009721</v>
      </c>
      <c r="O220" s="8">
        <f>IFERROR(__xludf.DUMMYFUNCTION("""COMPUTED_VALUE"""),0.225903614457831)</f>
        <v>0.2259036145</v>
      </c>
      <c r="P220" s="8">
        <f>IFERROR(__xludf.DUMMYFUNCTION("""COMPUTED_VALUE"""),0.178571428571428)</f>
        <v>0.1785714286</v>
      </c>
      <c r="Q220" s="8">
        <f>IFERROR(__xludf.DUMMYFUNCTION("""COMPUTED_VALUE"""),0.0)</f>
        <v>0</v>
      </c>
      <c r="R220" s="8">
        <f>IFERROR(__xludf.DUMMYFUNCTION("""COMPUTED_VALUE"""),0.0)</f>
        <v>0</v>
      </c>
      <c r="S220" s="8">
        <f>IFERROR(__xludf.DUMMYFUNCTION("""COMPUTED_VALUE"""),0.0)</f>
        <v>0</v>
      </c>
      <c r="T220" s="8">
        <f>IFERROR(__xludf.DUMMYFUNCTION("""COMPUTED_VALUE"""),0.0)</f>
        <v>0</v>
      </c>
      <c r="U220" s="8">
        <f>IFERROR(__xludf.DUMMYFUNCTION("""COMPUTED_VALUE"""),0.0)</f>
        <v>0</v>
      </c>
      <c r="V220" s="8">
        <f>IFERROR(__xludf.DUMMYFUNCTION("""COMPUTED_VALUE"""),0.0)</f>
        <v>0</v>
      </c>
      <c r="W220" s="8">
        <f>IFERROR(__xludf.DUMMYFUNCTION("""COMPUTED_VALUE"""),0.0)</f>
        <v>0</v>
      </c>
      <c r="X220" s="8">
        <f>IFERROR(__xludf.DUMMYFUNCTION("""COMPUTED_VALUE"""),0.0)</f>
        <v>0</v>
      </c>
      <c r="Y220" s="8">
        <f>IFERROR(__xludf.DUMMYFUNCTION("""COMPUTED_VALUE"""),0.0)</f>
        <v>0</v>
      </c>
      <c r="Z220" s="8">
        <f>IFERROR(__xludf.DUMMYFUNCTION("""COMPUTED_VALUE"""),0.0)</f>
        <v>0</v>
      </c>
      <c r="AA220" s="8">
        <f>IFERROR(__xludf.DUMMYFUNCTION("""COMPUTED_VALUE"""),0.0)</f>
        <v>0</v>
      </c>
      <c r="AB220" s="8">
        <f>IFERROR(__xludf.DUMMYFUNCTION("""COMPUTED_VALUE"""),0.0)</f>
        <v>0</v>
      </c>
      <c r="AC220" s="8">
        <f>IFERROR(__xludf.DUMMYFUNCTION("""COMPUTED_VALUE"""),0.0)</f>
        <v>0</v>
      </c>
    </row>
    <row r="221" ht="15.75" customHeight="1">
      <c r="A221" s="6" t="str">
        <f>IFERROR(__xludf.DUMMYFUNCTION("""COMPUTED_VALUE"""),"c6590012d529ed8d9e5750565fe5d91ddd1144d5")</f>
        <v>c6590012d529ed8d9e5750565fe5d91ddd1144d5</v>
      </c>
      <c r="B221" s="6" t="str">
        <f>IFERROR(__xludf.DUMMYFUNCTION("""COMPUTED_VALUE"""),"Rise of Charles Atticus")</f>
        <v>Rise of Charles Atticus</v>
      </c>
      <c r="C221" s="6" t="str">
        <f>IFERROR(__xludf.DUMMYFUNCTION("""COMPUTED_VALUE"""),"Fantasy")</f>
        <v>Fantasy</v>
      </c>
      <c r="D221" s="5">
        <f>IFERROR(__xludf.DUMMYFUNCTION("""COMPUTED_VALUE"""),752.0)</f>
        <v>752</v>
      </c>
      <c r="E221" s="8">
        <f>IFERROR(__xludf.DUMMYFUNCTION("""COMPUTED_VALUE"""),0.963315217391304)</f>
        <v>0.9633152174</v>
      </c>
      <c r="F221" s="8">
        <f>IFERROR(__xludf.DUMMYFUNCTION("""COMPUTED_VALUE"""),0.685099846390169)</f>
        <v>0.6850998464</v>
      </c>
      <c r="G221" s="8">
        <f>IFERROR(__xludf.DUMMYFUNCTION("""COMPUTED_VALUE"""),0.647887323943662)</f>
        <v>0.6478873239</v>
      </c>
      <c r="H221" s="8">
        <f>IFERROR(__xludf.DUMMYFUNCTION("""COMPUTED_VALUE"""),0.602880658436214)</f>
        <v>0.6028806584</v>
      </c>
      <c r="I221" s="8">
        <f>IFERROR(__xludf.DUMMYFUNCTION("""COMPUTED_VALUE"""),0.577922077922078)</f>
        <v>0.5779220779</v>
      </c>
      <c r="J221" s="8">
        <f>IFERROR(__xludf.DUMMYFUNCTION("""COMPUTED_VALUE"""),0.517647058823529)</f>
        <v>0.5176470588</v>
      </c>
      <c r="K221" s="8">
        <f>IFERROR(__xludf.DUMMYFUNCTION("""COMPUTED_VALUE"""),0.451388888888888)</f>
        <v>0.4513888889</v>
      </c>
      <c r="L221" s="8">
        <f>IFERROR(__xludf.DUMMYFUNCTION("""COMPUTED_VALUE"""),0.429629629629629)</f>
        <v>0.4296296296</v>
      </c>
      <c r="M221" s="8">
        <f>IFERROR(__xludf.DUMMYFUNCTION("""COMPUTED_VALUE"""),0.432203389830508)</f>
        <v>0.4322033898</v>
      </c>
      <c r="N221" s="8">
        <f>IFERROR(__xludf.DUMMYFUNCTION("""COMPUTED_VALUE"""),0.359550561797752)</f>
        <v>0.3595505618</v>
      </c>
      <c r="O221" s="8">
        <f>IFERROR(__xludf.DUMMYFUNCTION("""COMPUTED_VALUE"""),0.461538461538461)</f>
        <v>0.4615384615</v>
      </c>
      <c r="P221" s="8">
        <f>IFERROR(__xludf.DUMMYFUNCTION("""COMPUTED_VALUE"""),0.5)</f>
        <v>0.5</v>
      </c>
      <c r="Q221" s="8">
        <f>IFERROR(__xludf.DUMMYFUNCTION("""COMPUTED_VALUE"""),0.0)</f>
        <v>0</v>
      </c>
      <c r="R221" s="8">
        <f>IFERROR(__xludf.DUMMYFUNCTION("""COMPUTED_VALUE"""),0.0)</f>
        <v>0</v>
      </c>
      <c r="S221" s="8">
        <f>IFERROR(__xludf.DUMMYFUNCTION("""COMPUTED_VALUE"""),0.0)</f>
        <v>0</v>
      </c>
      <c r="T221" s="8">
        <f>IFERROR(__xludf.DUMMYFUNCTION("""COMPUTED_VALUE"""),0.0)</f>
        <v>0</v>
      </c>
      <c r="U221" s="8">
        <f>IFERROR(__xludf.DUMMYFUNCTION("""COMPUTED_VALUE"""),0.0)</f>
        <v>0</v>
      </c>
      <c r="V221" s="8">
        <f>IFERROR(__xludf.DUMMYFUNCTION("""COMPUTED_VALUE"""),0.0)</f>
        <v>0</v>
      </c>
      <c r="W221" s="8">
        <f>IFERROR(__xludf.DUMMYFUNCTION("""COMPUTED_VALUE"""),0.0)</f>
        <v>0</v>
      </c>
      <c r="X221" s="8">
        <f>IFERROR(__xludf.DUMMYFUNCTION("""COMPUTED_VALUE"""),0.0)</f>
        <v>0</v>
      </c>
      <c r="Y221" s="8">
        <f>IFERROR(__xludf.DUMMYFUNCTION("""COMPUTED_VALUE"""),0.0)</f>
        <v>0</v>
      </c>
      <c r="Z221" s="8">
        <f>IFERROR(__xludf.DUMMYFUNCTION("""COMPUTED_VALUE"""),0.0)</f>
        <v>0</v>
      </c>
      <c r="AA221" s="8">
        <f>IFERROR(__xludf.DUMMYFUNCTION("""COMPUTED_VALUE"""),0.0)</f>
        <v>0</v>
      </c>
      <c r="AB221" s="8">
        <f>IFERROR(__xludf.DUMMYFUNCTION("""COMPUTED_VALUE"""),0.0)</f>
        <v>0</v>
      </c>
      <c r="AC221" s="8">
        <f>IFERROR(__xludf.DUMMYFUNCTION("""COMPUTED_VALUE"""),0.0)</f>
        <v>0</v>
      </c>
    </row>
    <row r="222" ht="15.75" customHeight="1">
      <c r="A222" s="6" t="str">
        <f>IFERROR(__xludf.DUMMYFUNCTION("""COMPUTED_VALUE"""),"c66d5521f195754d722c7e3daab2da20a027dd0c")</f>
        <v>c66d5521f195754d722c7e3daab2da20a027dd0c</v>
      </c>
      <c r="B222" s="6" t="str">
        <f>IFERROR(__xludf.DUMMYFUNCTION("""COMPUTED_VALUE"""),"Ceo's Heartbreaker")</f>
        <v>Ceo's Heartbreaker</v>
      </c>
      <c r="C222" s="6" t="str">
        <f>IFERROR(__xludf.DUMMYFUNCTION("""COMPUTED_VALUE"""),"Romance")</f>
        <v>Romance</v>
      </c>
      <c r="D222" s="5">
        <f>IFERROR(__xludf.DUMMYFUNCTION("""COMPUTED_VALUE"""),250.0)</f>
        <v>250</v>
      </c>
      <c r="E222" s="8">
        <f>IFERROR(__xludf.DUMMYFUNCTION("""COMPUTED_VALUE"""),0.931451612903225)</f>
        <v>0.9314516129</v>
      </c>
      <c r="F222" s="8">
        <f>IFERROR(__xludf.DUMMYFUNCTION("""COMPUTED_VALUE"""),0.582995951417004)</f>
        <v>0.5829959514</v>
      </c>
      <c r="G222" s="8">
        <f>IFERROR(__xludf.DUMMYFUNCTION("""COMPUTED_VALUE"""),0.446280991735537)</f>
        <v>0.4462809917</v>
      </c>
      <c r="H222" s="8">
        <f>IFERROR(__xludf.DUMMYFUNCTION("""COMPUTED_VALUE"""),0.421940928270042)</f>
        <v>0.4219409283</v>
      </c>
      <c r="I222" s="8">
        <f>IFERROR(__xludf.DUMMYFUNCTION("""COMPUTED_VALUE"""),0.330472103004291)</f>
        <v>0.330472103</v>
      </c>
      <c r="J222" s="8">
        <f>IFERROR(__xludf.DUMMYFUNCTION("""COMPUTED_VALUE"""),0.330434782608695)</f>
        <v>0.3304347826</v>
      </c>
      <c r="K222" s="8">
        <f>IFERROR(__xludf.DUMMYFUNCTION("""COMPUTED_VALUE"""),0.297777777777777)</f>
        <v>0.2977777778</v>
      </c>
      <c r="L222" s="8">
        <f>IFERROR(__xludf.DUMMYFUNCTION("""COMPUTED_VALUE"""),0.287735849056603)</f>
        <v>0.2877358491</v>
      </c>
      <c r="M222" s="8">
        <f>IFERROR(__xludf.DUMMYFUNCTION("""COMPUTED_VALUE"""),0.28)</f>
        <v>0.28</v>
      </c>
      <c r="N222" s="8">
        <f>IFERROR(__xludf.DUMMYFUNCTION("""COMPUTED_VALUE"""),0.287292817679558)</f>
        <v>0.2872928177</v>
      </c>
      <c r="O222" s="8">
        <f>IFERROR(__xludf.DUMMYFUNCTION("""COMPUTED_VALUE"""),0.271428571428571)</f>
        <v>0.2714285714</v>
      </c>
      <c r="P222" s="8">
        <f>IFERROR(__xludf.DUMMYFUNCTION("""COMPUTED_VALUE"""),0.194244604316546)</f>
        <v>0.1942446043</v>
      </c>
      <c r="Q222" s="8">
        <f>IFERROR(__xludf.DUMMYFUNCTION("""COMPUTED_VALUE"""),0.0863309352517985)</f>
        <v>0.08633093525</v>
      </c>
      <c r="R222" s="8">
        <f>IFERROR(__xludf.DUMMYFUNCTION("""COMPUTED_VALUE"""),0.0)</f>
        <v>0</v>
      </c>
      <c r="S222" s="8">
        <f>IFERROR(__xludf.DUMMYFUNCTION("""COMPUTED_VALUE"""),0.0)</f>
        <v>0</v>
      </c>
      <c r="T222" s="8">
        <f>IFERROR(__xludf.DUMMYFUNCTION("""COMPUTED_VALUE"""),0.0)</f>
        <v>0</v>
      </c>
      <c r="U222" s="8">
        <f>IFERROR(__xludf.DUMMYFUNCTION("""COMPUTED_VALUE"""),0.0)</f>
        <v>0</v>
      </c>
      <c r="V222" s="8">
        <f>IFERROR(__xludf.DUMMYFUNCTION("""COMPUTED_VALUE"""),0.0)</f>
        <v>0</v>
      </c>
      <c r="W222" s="8">
        <f>IFERROR(__xludf.DUMMYFUNCTION("""COMPUTED_VALUE"""),0.0)</f>
        <v>0</v>
      </c>
      <c r="X222" s="8">
        <f>IFERROR(__xludf.DUMMYFUNCTION("""COMPUTED_VALUE"""),0.0)</f>
        <v>0</v>
      </c>
      <c r="Y222" s="8">
        <f>IFERROR(__xludf.DUMMYFUNCTION("""COMPUTED_VALUE"""),0.0)</f>
        <v>0</v>
      </c>
      <c r="Z222" s="8">
        <f>IFERROR(__xludf.DUMMYFUNCTION("""COMPUTED_VALUE"""),0.0)</f>
        <v>0</v>
      </c>
      <c r="AA222" s="8">
        <f>IFERROR(__xludf.DUMMYFUNCTION("""COMPUTED_VALUE"""),0.0)</f>
        <v>0</v>
      </c>
      <c r="AB222" s="8">
        <f>IFERROR(__xludf.DUMMYFUNCTION("""COMPUTED_VALUE"""),0.0)</f>
        <v>0</v>
      </c>
      <c r="AC222" s="8">
        <f>IFERROR(__xludf.DUMMYFUNCTION("""COMPUTED_VALUE"""),0.0)</f>
        <v>0</v>
      </c>
    </row>
    <row r="223" ht="15.75" customHeight="1">
      <c r="A223" s="6" t="str">
        <f>IFERROR(__xludf.DUMMYFUNCTION("""COMPUTED_VALUE"""),"c6786de3c05a64c2f4c13acbe0e61d8d4e111aad")</f>
        <v>c6786de3c05a64c2f4c13acbe0e61d8d4e111aad</v>
      </c>
      <c r="B223" s="6" t="str">
        <f>IFERROR(__xludf.DUMMYFUNCTION("""COMPUTED_VALUE"""),"Mr. Kane's Reluctant Wife")</f>
        <v>Mr. Kane's Reluctant Wife</v>
      </c>
      <c r="C223" s="6" t="str">
        <f>IFERROR(__xludf.DUMMYFUNCTION("""COMPUTED_VALUE"""),"Romance")</f>
        <v>Romance</v>
      </c>
      <c r="D223" s="5">
        <f>IFERROR(__xludf.DUMMYFUNCTION("""COMPUTED_VALUE"""),987.0)</f>
        <v>987</v>
      </c>
      <c r="E223" s="8">
        <f>IFERROR(__xludf.DUMMYFUNCTION("""COMPUTED_VALUE"""),0.951367781155015)</f>
        <v>0.9513677812</v>
      </c>
      <c r="F223" s="8">
        <f>IFERROR(__xludf.DUMMYFUNCTION("""COMPUTED_VALUE"""),0.574619289340101)</f>
        <v>0.5746192893</v>
      </c>
      <c r="G223" s="8">
        <f>IFERROR(__xludf.DUMMYFUNCTION("""COMPUTED_VALUE"""),0.518781725888324)</f>
        <v>0.5187817259</v>
      </c>
      <c r="H223" s="8">
        <f>IFERROR(__xludf.DUMMYFUNCTION("""COMPUTED_VALUE"""),0.499492385786802)</f>
        <v>0.4994923858</v>
      </c>
      <c r="I223" s="8">
        <f>IFERROR(__xludf.DUMMYFUNCTION("""COMPUTED_VALUE"""),0.462398373983739)</f>
        <v>0.462398374</v>
      </c>
      <c r="J223" s="8">
        <f>IFERROR(__xludf.DUMMYFUNCTION("""COMPUTED_VALUE"""),0.45020325203252)</f>
        <v>0.450203252</v>
      </c>
      <c r="K223" s="8">
        <f>IFERROR(__xludf.DUMMYFUNCTION("""COMPUTED_VALUE"""),0.437436419125127)</f>
        <v>0.4374364191</v>
      </c>
      <c r="L223" s="8">
        <f>IFERROR(__xludf.DUMMYFUNCTION("""COMPUTED_VALUE"""),0.430315361139369)</f>
        <v>0.4303153611</v>
      </c>
      <c r="M223" s="8">
        <f>IFERROR(__xludf.DUMMYFUNCTION("""COMPUTED_VALUE"""),0.428280773143438)</f>
        <v>0.4282807731</v>
      </c>
      <c r="N223" s="8">
        <f>IFERROR(__xludf.DUMMYFUNCTION("""COMPUTED_VALUE"""),0.416921508664627)</f>
        <v>0.4169215087</v>
      </c>
      <c r="O223" s="8">
        <f>IFERROR(__xludf.DUMMYFUNCTION("""COMPUTED_VALUE"""),0.397502601456815)</f>
        <v>0.3975026015</v>
      </c>
      <c r="P223" s="8">
        <f>IFERROR(__xludf.DUMMYFUNCTION("""COMPUTED_VALUE"""),0.3)</f>
        <v>0.3</v>
      </c>
      <c r="Q223" s="8">
        <f>IFERROR(__xludf.DUMMYFUNCTION("""COMPUTED_VALUE"""),0.204379562043795)</f>
        <v>0.204379562</v>
      </c>
      <c r="R223" s="8">
        <f>IFERROR(__xludf.DUMMYFUNCTION("""COMPUTED_VALUE"""),0.0)</f>
        <v>0</v>
      </c>
      <c r="S223" s="8">
        <f>IFERROR(__xludf.DUMMYFUNCTION("""COMPUTED_VALUE"""),0.0)</f>
        <v>0</v>
      </c>
      <c r="T223" s="8">
        <f>IFERROR(__xludf.DUMMYFUNCTION("""COMPUTED_VALUE"""),0.0)</f>
        <v>0</v>
      </c>
      <c r="U223" s="8">
        <f>IFERROR(__xludf.DUMMYFUNCTION("""COMPUTED_VALUE"""),0.0)</f>
        <v>0</v>
      </c>
      <c r="V223" s="8">
        <f>IFERROR(__xludf.DUMMYFUNCTION("""COMPUTED_VALUE"""),0.0)</f>
        <v>0</v>
      </c>
      <c r="W223" s="8">
        <f>IFERROR(__xludf.DUMMYFUNCTION("""COMPUTED_VALUE"""),0.0)</f>
        <v>0</v>
      </c>
      <c r="X223" s="8">
        <f>IFERROR(__xludf.DUMMYFUNCTION("""COMPUTED_VALUE"""),0.0)</f>
        <v>0</v>
      </c>
      <c r="Y223" s="8">
        <f>IFERROR(__xludf.DUMMYFUNCTION("""COMPUTED_VALUE"""),0.0)</f>
        <v>0</v>
      </c>
      <c r="Z223" s="8">
        <f>IFERROR(__xludf.DUMMYFUNCTION("""COMPUTED_VALUE"""),0.0)</f>
        <v>0</v>
      </c>
      <c r="AA223" s="8">
        <f>IFERROR(__xludf.DUMMYFUNCTION("""COMPUTED_VALUE"""),0.0)</f>
        <v>0</v>
      </c>
      <c r="AB223" s="8">
        <f>IFERROR(__xludf.DUMMYFUNCTION("""COMPUTED_VALUE"""),0.0)</f>
        <v>0</v>
      </c>
      <c r="AC223" s="8">
        <f>IFERROR(__xludf.DUMMYFUNCTION("""COMPUTED_VALUE"""),0.0)</f>
        <v>0</v>
      </c>
    </row>
    <row r="224" ht="15.75" customHeight="1">
      <c r="A224" s="6" t="str">
        <f>IFERROR(__xludf.DUMMYFUNCTION("""COMPUTED_VALUE"""),"c8219b2f9d80ce631da27b15849041dbb194dc76")</f>
        <v>c8219b2f9d80ce631da27b15849041dbb194dc76</v>
      </c>
      <c r="B224" s="6" t="str">
        <f>IFERROR(__xludf.DUMMYFUNCTION("""COMPUTED_VALUE"""),"The Fire God's Heir")</f>
        <v>The Fire God's Heir</v>
      </c>
      <c r="C224" s="6" t="str">
        <f>IFERROR(__xludf.DUMMYFUNCTION("""COMPUTED_VALUE"""),"Romantasy")</f>
        <v>Romantasy</v>
      </c>
      <c r="D224" s="5">
        <f>IFERROR(__xludf.DUMMYFUNCTION("""COMPUTED_VALUE"""),878.0)</f>
        <v>878</v>
      </c>
      <c r="E224" s="8">
        <f>IFERROR(__xludf.DUMMYFUNCTION("""COMPUTED_VALUE"""),0.976572133168927)</f>
        <v>0.9765721332</v>
      </c>
      <c r="F224" s="8">
        <f>IFERROR(__xludf.DUMMYFUNCTION("""COMPUTED_VALUE"""),0.606512890094979)</f>
        <v>0.6065128901</v>
      </c>
      <c r="G224" s="8">
        <f>IFERROR(__xludf.DUMMYFUNCTION("""COMPUTED_VALUE"""),0.535816618911174)</f>
        <v>0.5358166189</v>
      </c>
      <c r="H224" s="8">
        <f>IFERROR(__xludf.DUMMYFUNCTION("""COMPUTED_VALUE"""),0.387815750371471)</f>
        <v>0.3878157504</v>
      </c>
      <c r="I224" s="8">
        <f>IFERROR(__xludf.DUMMYFUNCTION("""COMPUTED_VALUE"""),0.317700453857791)</f>
        <v>0.3177004539</v>
      </c>
      <c r="J224" s="8">
        <f>IFERROR(__xludf.DUMMYFUNCTION("""COMPUTED_VALUE"""),0.293478260869565)</f>
        <v>0.2934782609</v>
      </c>
      <c r="K224" s="8">
        <f>IFERROR(__xludf.DUMMYFUNCTION("""COMPUTED_VALUE"""),0.288431061806656)</f>
        <v>0.2884310618</v>
      </c>
      <c r="L224" s="8">
        <f>IFERROR(__xludf.DUMMYFUNCTION("""COMPUTED_VALUE"""),0.270531400966183)</f>
        <v>0.270531401</v>
      </c>
      <c r="M224" s="8">
        <f>IFERROR(__xludf.DUMMYFUNCTION("""COMPUTED_VALUE"""),0.242225859247135)</f>
        <v>0.2422258592</v>
      </c>
      <c r="N224" s="8">
        <f>IFERROR(__xludf.DUMMYFUNCTION("""COMPUTED_VALUE"""),0.219063545150501)</f>
        <v>0.2190635452</v>
      </c>
      <c r="O224" s="8">
        <f>IFERROR(__xludf.DUMMYFUNCTION("""COMPUTED_VALUE"""),0.156193895870736)</f>
        <v>0.1561938959</v>
      </c>
      <c r="P224" s="8">
        <f>IFERROR(__xludf.DUMMYFUNCTION("""COMPUTED_VALUE"""),0.0844036697247706)</f>
        <v>0.08440366972</v>
      </c>
      <c r="Q224" s="8">
        <f>IFERROR(__xludf.DUMMYFUNCTION("""COMPUTED_VALUE"""),0.071583514099783)</f>
        <v>0.0715835141</v>
      </c>
      <c r="R224" s="8">
        <f>IFERROR(__xludf.DUMMYFUNCTION("""COMPUTED_VALUE"""),0.0)</f>
        <v>0</v>
      </c>
      <c r="S224" s="8">
        <f>IFERROR(__xludf.DUMMYFUNCTION("""COMPUTED_VALUE"""),0.0)</f>
        <v>0</v>
      </c>
      <c r="T224" s="8">
        <f>IFERROR(__xludf.DUMMYFUNCTION("""COMPUTED_VALUE"""),0.0)</f>
        <v>0</v>
      </c>
      <c r="U224" s="8">
        <f>IFERROR(__xludf.DUMMYFUNCTION("""COMPUTED_VALUE"""),0.0)</f>
        <v>0</v>
      </c>
      <c r="V224" s="8">
        <f>IFERROR(__xludf.DUMMYFUNCTION("""COMPUTED_VALUE"""),0.0)</f>
        <v>0</v>
      </c>
      <c r="W224" s="8">
        <f>IFERROR(__xludf.DUMMYFUNCTION("""COMPUTED_VALUE"""),0.0)</f>
        <v>0</v>
      </c>
      <c r="X224" s="8">
        <f>IFERROR(__xludf.DUMMYFUNCTION("""COMPUTED_VALUE"""),0.0)</f>
        <v>0</v>
      </c>
      <c r="Y224" s="8">
        <f>IFERROR(__xludf.DUMMYFUNCTION("""COMPUTED_VALUE"""),0.0)</f>
        <v>0</v>
      </c>
      <c r="Z224" s="8">
        <f>IFERROR(__xludf.DUMMYFUNCTION("""COMPUTED_VALUE"""),0.0)</f>
        <v>0</v>
      </c>
      <c r="AA224" s="8">
        <f>IFERROR(__xludf.DUMMYFUNCTION("""COMPUTED_VALUE"""),0.0)</f>
        <v>0</v>
      </c>
      <c r="AB224" s="8">
        <f>IFERROR(__xludf.DUMMYFUNCTION("""COMPUTED_VALUE"""),0.0)</f>
        <v>0</v>
      </c>
      <c r="AC224" s="8">
        <f>IFERROR(__xludf.DUMMYFUNCTION("""COMPUTED_VALUE"""),0.0)</f>
        <v>0</v>
      </c>
    </row>
    <row r="225" ht="15.75" customHeight="1">
      <c r="A225" s="6" t="str">
        <f>IFERROR(__xludf.DUMMYFUNCTION("""COMPUTED_VALUE"""),"c9fd6d447c06b151ec4563d30a1e1685e71bd29d")</f>
        <v>c9fd6d447c06b151ec4563d30a1e1685e71bd29d</v>
      </c>
      <c r="B225" s="6" t="str">
        <f>IFERROR(__xludf.DUMMYFUNCTION("""COMPUTED_VALUE"""),"Void Evolution System")</f>
        <v>Void Evolution System</v>
      </c>
      <c r="C225" s="6" t="str">
        <f>IFERROR(__xludf.DUMMYFUNCTION("""COMPUTED_VALUE"""),"Fantasy")</f>
        <v>Fantasy</v>
      </c>
      <c r="D225" s="5">
        <f>IFERROR(__xludf.DUMMYFUNCTION("""COMPUTED_VALUE"""),824.0)</f>
        <v>824</v>
      </c>
      <c r="E225" s="8">
        <f>IFERROR(__xludf.DUMMYFUNCTION("""COMPUTED_VALUE"""),0.978075517661388)</f>
        <v>0.9780755177</v>
      </c>
      <c r="F225" s="8">
        <f>IFERROR(__xludf.DUMMYFUNCTION("""COMPUTED_VALUE"""),0.71007371007371)</f>
        <v>0.7100737101</v>
      </c>
      <c r="G225" s="8">
        <f>IFERROR(__xludf.DUMMYFUNCTION("""COMPUTED_VALUE"""),0.661310259579728)</f>
        <v>0.6613102596</v>
      </c>
      <c r="H225" s="8">
        <f>IFERROR(__xludf.DUMMYFUNCTION("""COMPUTED_VALUE"""),0.61892901618929)</f>
        <v>0.6189290162</v>
      </c>
      <c r="I225" s="8">
        <f>IFERROR(__xludf.DUMMYFUNCTION("""COMPUTED_VALUE"""),0.5929203539823)</f>
        <v>0.592920354</v>
      </c>
      <c r="J225" s="8">
        <f>IFERROR(__xludf.DUMMYFUNCTION("""COMPUTED_VALUE"""),0.573248407643312)</f>
        <v>0.5732484076</v>
      </c>
      <c r="K225" s="8">
        <f>IFERROR(__xludf.DUMMYFUNCTION("""COMPUTED_VALUE"""),0.551948051948052)</f>
        <v>0.5519480519</v>
      </c>
      <c r="L225" s="8">
        <f>IFERROR(__xludf.DUMMYFUNCTION("""COMPUTED_VALUE"""),0.531645569620253)</f>
        <v>0.5316455696</v>
      </c>
      <c r="M225" s="8">
        <f>IFERROR(__xludf.DUMMYFUNCTION("""COMPUTED_VALUE"""),0.517774343122102)</f>
        <v>0.5177743431</v>
      </c>
      <c r="N225" s="8">
        <f>IFERROR(__xludf.DUMMYFUNCTION("""COMPUTED_VALUE"""),0.5)</f>
        <v>0.5</v>
      </c>
      <c r="O225" s="8">
        <f>IFERROR(__xludf.DUMMYFUNCTION("""COMPUTED_VALUE"""),0.23076923076923)</f>
        <v>0.2307692308</v>
      </c>
      <c r="P225" s="8">
        <f>IFERROR(__xludf.DUMMYFUNCTION("""COMPUTED_VALUE"""),1.0)</f>
        <v>1</v>
      </c>
      <c r="Q225" s="8">
        <f>IFERROR(__xludf.DUMMYFUNCTION("""COMPUTED_VALUE"""),0.0)</f>
        <v>0</v>
      </c>
      <c r="R225" s="8">
        <f>IFERROR(__xludf.DUMMYFUNCTION("""COMPUTED_VALUE"""),0.0)</f>
        <v>0</v>
      </c>
      <c r="S225" s="8">
        <f>IFERROR(__xludf.DUMMYFUNCTION("""COMPUTED_VALUE"""),0.0)</f>
        <v>0</v>
      </c>
      <c r="T225" s="8">
        <f>IFERROR(__xludf.DUMMYFUNCTION("""COMPUTED_VALUE"""),0.0)</f>
        <v>0</v>
      </c>
      <c r="U225" s="8">
        <f>IFERROR(__xludf.DUMMYFUNCTION("""COMPUTED_VALUE"""),0.0)</f>
        <v>0</v>
      </c>
      <c r="V225" s="8">
        <f>IFERROR(__xludf.DUMMYFUNCTION("""COMPUTED_VALUE"""),0.0)</f>
        <v>0</v>
      </c>
      <c r="W225" s="8">
        <f>IFERROR(__xludf.DUMMYFUNCTION("""COMPUTED_VALUE"""),0.0)</f>
        <v>0</v>
      </c>
      <c r="X225" s="8">
        <f>IFERROR(__xludf.DUMMYFUNCTION("""COMPUTED_VALUE"""),0.0)</f>
        <v>0</v>
      </c>
      <c r="Y225" s="8">
        <f>IFERROR(__xludf.DUMMYFUNCTION("""COMPUTED_VALUE"""),0.0)</f>
        <v>0</v>
      </c>
      <c r="Z225" s="8">
        <f>IFERROR(__xludf.DUMMYFUNCTION("""COMPUTED_VALUE"""),0.0)</f>
        <v>0</v>
      </c>
      <c r="AA225" s="8">
        <f>IFERROR(__xludf.DUMMYFUNCTION("""COMPUTED_VALUE"""),0.0)</f>
        <v>0</v>
      </c>
      <c r="AB225" s="8">
        <f>IFERROR(__xludf.DUMMYFUNCTION("""COMPUTED_VALUE"""),0.0)</f>
        <v>0</v>
      </c>
      <c r="AC225" s="8">
        <f>IFERROR(__xludf.DUMMYFUNCTION("""COMPUTED_VALUE"""),0.0)</f>
        <v>0</v>
      </c>
    </row>
    <row r="226" ht="15.75" customHeight="1">
      <c r="A226" s="6" t="str">
        <f>IFERROR(__xludf.DUMMYFUNCTION("""COMPUTED_VALUE"""),"cae77d999ed2205a1ab04a54470de972ddd8bc69")</f>
        <v>cae77d999ed2205a1ab04a54470de972ddd8bc69</v>
      </c>
      <c r="B226" s="6" t="str">
        <f>IFERROR(__xludf.DUMMYFUNCTION("""COMPUTED_VALUE"""),"Atlas of My Heart")</f>
        <v>Atlas of My Heart</v>
      </c>
      <c r="C226" s="6" t="str">
        <f>IFERROR(__xludf.DUMMYFUNCTION("""COMPUTED_VALUE"""),"Romance")</f>
        <v>Romance</v>
      </c>
      <c r="D226" s="5">
        <f>IFERROR(__xludf.DUMMYFUNCTION("""COMPUTED_VALUE"""),1323.0)</f>
        <v>1323</v>
      </c>
      <c r="E226" s="8">
        <f>IFERROR(__xludf.DUMMYFUNCTION("""COMPUTED_VALUE"""),0.951515151515151)</f>
        <v>0.9515151515</v>
      </c>
      <c r="F226" s="8">
        <f>IFERROR(__xludf.DUMMYFUNCTION("""COMPUTED_VALUE"""),0.591945288753799)</f>
        <v>0.5919452888</v>
      </c>
      <c r="G226" s="8">
        <f>IFERROR(__xludf.DUMMYFUNCTION("""COMPUTED_VALUE"""),0.511823035850495)</f>
        <v>0.5118230359</v>
      </c>
      <c r="H226" s="8">
        <f>IFERROR(__xludf.DUMMYFUNCTION("""COMPUTED_VALUE"""),0.449541284403669)</f>
        <v>0.4495412844</v>
      </c>
      <c r="I226" s="8">
        <f>IFERROR(__xludf.DUMMYFUNCTION("""COMPUTED_VALUE"""),0.392006149116064)</f>
        <v>0.3920061491</v>
      </c>
      <c r="J226" s="8">
        <f>IFERROR(__xludf.DUMMYFUNCTION("""COMPUTED_VALUE"""),0.342857142857142)</f>
        <v>0.3428571429</v>
      </c>
      <c r="K226" s="8">
        <f>IFERROR(__xludf.DUMMYFUNCTION("""COMPUTED_VALUE"""),0.329457364341085)</f>
        <v>0.3294573643</v>
      </c>
      <c r="L226" s="8">
        <f>IFERROR(__xludf.DUMMYFUNCTION("""COMPUTED_VALUE"""),0.305295950155763)</f>
        <v>0.3052959502</v>
      </c>
      <c r="M226" s="8">
        <f>IFERROR(__xludf.DUMMYFUNCTION("""COMPUTED_VALUE"""),0.289391575663026)</f>
        <v>0.2893915757</v>
      </c>
      <c r="N226" s="8">
        <f>IFERROR(__xludf.DUMMYFUNCTION("""COMPUTED_VALUE"""),0.275078369905956)</f>
        <v>0.2750783699</v>
      </c>
      <c r="O226" s="8">
        <f>IFERROR(__xludf.DUMMYFUNCTION("""COMPUTED_VALUE"""),0.235341365461847)</f>
        <v>0.2353413655</v>
      </c>
      <c r="P226" s="8">
        <f>IFERROR(__xludf.DUMMYFUNCTION("""COMPUTED_VALUE"""),0.203265306122448)</f>
        <v>0.2032653061</v>
      </c>
      <c r="Q226" s="8">
        <f>IFERROR(__xludf.DUMMYFUNCTION("""COMPUTED_VALUE"""),0.113636363636363)</f>
        <v>0.1136363636</v>
      </c>
      <c r="R226" s="8">
        <f>IFERROR(__xludf.DUMMYFUNCTION("""COMPUTED_VALUE"""),0.0)</f>
        <v>0</v>
      </c>
      <c r="S226" s="8">
        <f>IFERROR(__xludf.DUMMYFUNCTION("""COMPUTED_VALUE"""),0.0)</f>
        <v>0</v>
      </c>
      <c r="T226" s="8">
        <f>IFERROR(__xludf.DUMMYFUNCTION("""COMPUTED_VALUE"""),0.0)</f>
        <v>0</v>
      </c>
      <c r="U226" s="8">
        <f>IFERROR(__xludf.DUMMYFUNCTION("""COMPUTED_VALUE"""),0.0)</f>
        <v>0</v>
      </c>
      <c r="V226" s="8">
        <f>IFERROR(__xludf.DUMMYFUNCTION("""COMPUTED_VALUE"""),0.0)</f>
        <v>0</v>
      </c>
      <c r="W226" s="8">
        <f>IFERROR(__xludf.DUMMYFUNCTION("""COMPUTED_VALUE"""),0.0)</f>
        <v>0</v>
      </c>
      <c r="X226" s="8">
        <f>IFERROR(__xludf.DUMMYFUNCTION("""COMPUTED_VALUE"""),0.0)</f>
        <v>0</v>
      </c>
      <c r="Y226" s="8">
        <f>IFERROR(__xludf.DUMMYFUNCTION("""COMPUTED_VALUE"""),0.0)</f>
        <v>0</v>
      </c>
      <c r="Z226" s="8">
        <f>IFERROR(__xludf.DUMMYFUNCTION("""COMPUTED_VALUE"""),0.0)</f>
        <v>0</v>
      </c>
      <c r="AA226" s="8">
        <f>IFERROR(__xludf.DUMMYFUNCTION("""COMPUTED_VALUE"""),0.0)</f>
        <v>0</v>
      </c>
      <c r="AB226" s="8">
        <f>IFERROR(__xludf.DUMMYFUNCTION("""COMPUTED_VALUE"""),0.0)</f>
        <v>0</v>
      </c>
      <c r="AC226" s="8">
        <f>IFERROR(__xludf.DUMMYFUNCTION("""COMPUTED_VALUE"""),0.0)</f>
        <v>0</v>
      </c>
    </row>
    <row r="227" ht="15.75" customHeight="1">
      <c r="A227" s="6" t="str">
        <f>IFERROR(__xludf.DUMMYFUNCTION("""COMPUTED_VALUE"""),"cc5ecb3fc21c174557bddcfbc36d821c915d89ed")</f>
        <v>cc5ecb3fc21c174557bddcfbc36d821c915d89ed</v>
      </c>
      <c r="B227" s="6" t="str">
        <f>IFERROR(__xludf.DUMMYFUNCTION("""COMPUTED_VALUE"""),"My Lovely Intruder")</f>
        <v>My Lovely Intruder</v>
      </c>
      <c r="C227" s="6" t="str">
        <f>IFERROR(__xludf.DUMMYFUNCTION("""COMPUTED_VALUE"""),"Romantasy")</f>
        <v>Romantasy</v>
      </c>
      <c r="D227" s="5">
        <f>IFERROR(__xludf.DUMMYFUNCTION("""COMPUTED_VALUE"""),448.0)</f>
        <v>448</v>
      </c>
      <c r="E227" s="8">
        <f>IFERROR(__xludf.DUMMYFUNCTION("""COMPUTED_VALUE"""),0.968468468468468)</f>
        <v>0.9684684685</v>
      </c>
      <c r="F227" s="8">
        <f>IFERROR(__xludf.DUMMYFUNCTION("""COMPUTED_VALUE"""),0.530892448512585)</f>
        <v>0.5308924485</v>
      </c>
      <c r="G227" s="8">
        <f>IFERROR(__xludf.DUMMYFUNCTION("""COMPUTED_VALUE"""),0.441108545034642)</f>
        <v>0.441108545</v>
      </c>
      <c r="H227" s="8">
        <f>IFERROR(__xludf.DUMMYFUNCTION("""COMPUTED_VALUE"""),0.384615384615384)</f>
        <v>0.3846153846</v>
      </c>
      <c r="I227" s="8">
        <f>IFERROR(__xludf.DUMMYFUNCTION("""COMPUTED_VALUE"""),0.344339622641509)</f>
        <v>0.3443396226</v>
      </c>
      <c r="J227" s="8">
        <f>IFERROR(__xludf.DUMMYFUNCTION("""COMPUTED_VALUE"""),0.306220095693779)</f>
        <v>0.3062200957</v>
      </c>
      <c r="K227" s="8">
        <f>IFERROR(__xludf.DUMMYFUNCTION("""COMPUTED_VALUE"""),0.297560975609756)</f>
        <v>0.2975609756</v>
      </c>
      <c r="L227" s="8">
        <f>IFERROR(__xludf.DUMMYFUNCTION("""COMPUTED_VALUE"""),0.26932668329177)</f>
        <v>0.2693266833</v>
      </c>
      <c r="M227" s="8">
        <f>IFERROR(__xludf.DUMMYFUNCTION("""COMPUTED_VALUE"""),0.264631043256997)</f>
        <v>0.2646310433</v>
      </c>
      <c r="N227" s="8">
        <f>IFERROR(__xludf.DUMMYFUNCTION("""COMPUTED_VALUE"""),0.255874673629242)</f>
        <v>0.2558746736</v>
      </c>
      <c r="O227" s="8">
        <f>IFERROR(__xludf.DUMMYFUNCTION("""COMPUTED_VALUE"""),0.227810650887573)</f>
        <v>0.2278106509</v>
      </c>
      <c r="P227" s="8">
        <f>IFERROR(__xludf.DUMMYFUNCTION("""COMPUTED_VALUE"""),0.168711656441717)</f>
        <v>0.1687116564</v>
      </c>
      <c r="Q227" s="8">
        <f>IFERROR(__xludf.DUMMYFUNCTION("""COMPUTED_VALUE"""),0.141104294478527)</f>
        <v>0.1411042945</v>
      </c>
      <c r="R227" s="8">
        <f>IFERROR(__xludf.DUMMYFUNCTION("""COMPUTED_VALUE"""),0.118881118881118)</f>
        <v>0.1188811189</v>
      </c>
      <c r="S227" s="8">
        <f>IFERROR(__xludf.DUMMYFUNCTION("""COMPUTED_VALUE"""),0.0759493670886076)</f>
        <v>0.07594936709</v>
      </c>
      <c r="T227" s="8">
        <f>IFERROR(__xludf.DUMMYFUNCTION("""COMPUTED_VALUE"""),0.0833333333333333)</f>
        <v>0.08333333333</v>
      </c>
      <c r="U227" s="8">
        <f>IFERROR(__xludf.DUMMYFUNCTION("""COMPUTED_VALUE"""),0.0)</f>
        <v>0</v>
      </c>
      <c r="V227" s="8">
        <f>IFERROR(__xludf.DUMMYFUNCTION("""COMPUTED_VALUE"""),0.0)</f>
        <v>0</v>
      </c>
      <c r="W227" s="8">
        <f>IFERROR(__xludf.DUMMYFUNCTION("""COMPUTED_VALUE"""),0.0)</f>
        <v>0</v>
      </c>
      <c r="X227" s="8">
        <f>IFERROR(__xludf.DUMMYFUNCTION("""COMPUTED_VALUE"""),0.0)</f>
        <v>0</v>
      </c>
      <c r="Y227" s="8">
        <f>IFERROR(__xludf.DUMMYFUNCTION("""COMPUTED_VALUE"""),0.0)</f>
        <v>0</v>
      </c>
      <c r="Z227" s="8">
        <f>IFERROR(__xludf.DUMMYFUNCTION("""COMPUTED_VALUE"""),0.0)</f>
        <v>0</v>
      </c>
      <c r="AA227" s="8">
        <f>IFERROR(__xludf.DUMMYFUNCTION("""COMPUTED_VALUE"""),0.0)</f>
        <v>0</v>
      </c>
      <c r="AB227" s="8">
        <f>IFERROR(__xludf.DUMMYFUNCTION("""COMPUTED_VALUE"""),0.0)</f>
        <v>0</v>
      </c>
      <c r="AC227" s="8">
        <f>IFERROR(__xludf.DUMMYFUNCTION("""COMPUTED_VALUE"""),0.0)</f>
        <v>0</v>
      </c>
    </row>
    <row r="228" ht="15.75" customHeight="1">
      <c r="A228" s="6" t="str">
        <f>IFERROR(__xludf.DUMMYFUNCTION("""COMPUTED_VALUE"""),"cce017649e6098a735e72b5dbfed27f3c95bad78")</f>
        <v>cce017649e6098a735e72b5dbfed27f3c95bad78</v>
      </c>
      <c r="B228" s="6" t="str">
        <f>IFERROR(__xludf.DUMMYFUNCTION("""COMPUTED_VALUE"""),"Between Love and Betrayal")</f>
        <v>Between Love and Betrayal</v>
      </c>
      <c r="C228" s="6" t="str">
        <f>IFERROR(__xludf.DUMMYFUNCTION("""COMPUTED_VALUE"""),"Romance")</f>
        <v>Romance</v>
      </c>
      <c r="D228" s="5">
        <f>IFERROR(__xludf.DUMMYFUNCTION("""COMPUTED_VALUE"""),799.0)</f>
        <v>799</v>
      </c>
      <c r="E228" s="8">
        <f>IFERROR(__xludf.DUMMYFUNCTION("""COMPUTED_VALUE"""),0.972465581977471)</f>
        <v>0.972465582</v>
      </c>
      <c r="F228" s="8">
        <f>IFERROR(__xludf.DUMMYFUNCTION("""COMPUTED_VALUE"""),0.524466750313676)</f>
        <v>0.5244667503</v>
      </c>
      <c r="G228" s="8">
        <f>IFERROR(__xludf.DUMMYFUNCTION("""COMPUTED_VALUE"""),0.476787954830614)</f>
        <v>0.4767879548</v>
      </c>
      <c r="H228" s="8">
        <f>IFERROR(__xludf.DUMMYFUNCTION("""COMPUTED_VALUE"""),0.427135678391959)</f>
        <v>0.4271356784</v>
      </c>
      <c r="I228" s="8">
        <f>IFERROR(__xludf.DUMMYFUNCTION("""COMPUTED_VALUE"""),0.381313131313131)</f>
        <v>0.3813131313</v>
      </c>
      <c r="J228" s="8">
        <f>IFERROR(__xludf.DUMMYFUNCTION("""COMPUTED_VALUE"""),0.360759493670886)</f>
        <v>0.3607594937</v>
      </c>
      <c r="K228" s="8">
        <f>IFERROR(__xludf.DUMMYFUNCTION("""COMPUTED_VALUE"""),0.346835443037974)</f>
        <v>0.346835443</v>
      </c>
      <c r="L228" s="8">
        <f>IFERROR(__xludf.DUMMYFUNCTION("""COMPUTED_VALUE"""),0.32446134347275)</f>
        <v>0.3244613435</v>
      </c>
      <c r="M228" s="8">
        <f>IFERROR(__xludf.DUMMYFUNCTION("""COMPUTED_VALUE"""),0.315989847715736)</f>
        <v>0.3159898477</v>
      </c>
      <c r="N228" s="8">
        <f>IFERROR(__xludf.DUMMYFUNCTION("""COMPUTED_VALUE"""),0.304458598726114)</f>
        <v>0.3044585987</v>
      </c>
      <c r="O228" s="8">
        <f>IFERROR(__xludf.DUMMYFUNCTION("""COMPUTED_VALUE"""),0.279202279202279)</f>
        <v>0.2792022792</v>
      </c>
      <c r="P228" s="8">
        <f>IFERROR(__xludf.DUMMYFUNCTION("""COMPUTED_VALUE"""),0.304182509505703)</f>
        <v>0.3041825095</v>
      </c>
      <c r="Q228" s="8">
        <f>IFERROR(__xludf.DUMMYFUNCTION("""COMPUTED_VALUE"""),0.246376811594202)</f>
        <v>0.2463768116</v>
      </c>
      <c r="R228" s="8">
        <f>IFERROR(__xludf.DUMMYFUNCTION("""COMPUTED_VALUE"""),0.166666666666666)</f>
        <v>0.1666666667</v>
      </c>
      <c r="S228" s="8">
        <f>IFERROR(__xludf.DUMMYFUNCTION("""COMPUTED_VALUE"""),0.0)</f>
        <v>0</v>
      </c>
      <c r="T228" s="8">
        <f>IFERROR(__xludf.DUMMYFUNCTION("""COMPUTED_VALUE"""),0.0)</f>
        <v>0</v>
      </c>
      <c r="U228" s="8">
        <f>IFERROR(__xludf.DUMMYFUNCTION("""COMPUTED_VALUE"""),0.0)</f>
        <v>0</v>
      </c>
      <c r="V228" s="8">
        <f>IFERROR(__xludf.DUMMYFUNCTION("""COMPUTED_VALUE"""),0.0)</f>
        <v>0</v>
      </c>
      <c r="W228" s="8">
        <f>IFERROR(__xludf.DUMMYFUNCTION("""COMPUTED_VALUE"""),0.0)</f>
        <v>0</v>
      </c>
      <c r="X228" s="8">
        <f>IFERROR(__xludf.DUMMYFUNCTION("""COMPUTED_VALUE"""),0.0)</f>
        <v>0</v>
      </c>
      <c r="Y228" s="8">
        <f>IFERROR(__xludf.DUMMYFUNCTION("""COMPUTED_VALUE"""),0.0)</f>
        <v>0</v>
      </c>
      <c r="Z228" s="8">
        <f>IFERROR(__xludf.DUMMYFUNCTION("""COMPUTED_VALUE"""),0.0)</f>
        <v>0</v>
      </c>
      <c r="AA228" s="8">
        <f>IFERROR(__xludf.DUMMYFUNCTION("""COMPUTED_VALUE"""),0.0)</f>
        <v>0</v>
      </c>
      <c r="AB228" s="8">
        <f>IFERROR(__xludf.DUMMYFUNCTION("""COMPUTED_VALUE"""),0.0)</f>
        <v>0</v>
      </c>
      <c r="AC228" s="8">
        <f>IFERROR(__xludf.DUMMYFUNCTION("""COMPUTED_VALUE"""),0.0)</f>
        <v>0</v>
      </c>
    </row>
    <row r="229" ht="15.75" customHeight="1">
      <c r="A229" s="6" t="str">
        <f>IFERROR(__xludf.DUMMYFUNCTION("""COMPUTED_VALUE"""),"cdb3a84d505dbefdca86cae60d3db90f949368f1")</f>
        <v>cdb3a84d505dbefdca86cae60d3db90f949368f1</v>
      </c>
      <c r="B229" s="6" t="str">
        <f>IFERROR(__xludf.DUMMYFUNCTION("""COMPUTED_VALUE"""),"Amulet of the Gods")</f>
        <v>Amulet of the Gods</v>
      </c>
      <c r="C229" s="6" t="str">
        <f>IFERROR(__xludf.DUMMYFUNCTION("""COMPUTED_VALUE"""),"System and Superpower")</f>
        <v>System and Superpower</v>
      </c>
      <c r="D229" s="5">
        <f>IFERROR(__xludf.DUMMYFUNCTION("""COMPUTED_VALUE"""),18659.0)</f>
        <v>18659</v>
      </c>
      <c r="E229" s="8">
        <f>IFERROR(__xludf.DUMMYFUNCTION("""COMPUTED_VALUE"""),0.923939280158772)</f>
        <v>0.9239392802</v>
      </c>
      <c r="F229" s="8">
        <f>IFERROR(__xludf.DUMMYFUNCTION("""COMPUTED_VALUE"""),0.569501182541388)</f>
        <v>0.5695011825</v>
      </c>
      <c r="G229" s="8">
        <f>IFERROR(__xludf.DUMMYFUNCTION("""COMPUTED_VALUE"""),0.50861697544162)</f>
        <v>0.5086169754</v>
      </c>
      <c r="H229" s="8">
        <f>IFERROR(__xludf.DUMMYFUNCTION("""COMPUTED_VALUE"""),0.47073736447489)</f>
        <v>0.4707373645</v>
      </c>
      <c r="I229" s="8">
        <f>IFERROR(__xludf.DUMMYFUNCTION("""COMPUTED_VALUE"""),0.446085592165774)</f>
        <v>0.4460855922</v>
      </c>
      <c r="J229" s="8">
        <f>IFERROR(__xludf.DUMMYFUNCTION("""COMPUTED_VALUE"""),0.424789802007051)</f>
        <v>0.424789802</v>
      </c>
      <c r="K229" s="8">
        <f>IFERROR(__xludf.DUMMYFUNCTION("""COMPUTED_VALUE"""),0.408267609464237)</f>
        <v>0.4082676095</v>
      </c>
      <c r="L229" s="8">
        <f>IFERROR(__xludf.DUMMYFUNCTION("""COMPUTED_VALUE"""),0.396184246388661)</f>
        <v>0.3961842464</v>
      </c>
      <c r="M229" s="8">
        <f>IFERROR(__xludf.DUMMYFUNCTION("""COMPUTED_VALUE"""),0.386261876160314)</f>
        <v>0.3862618762</v>
      </c>
      <c r="N229" s="8">
        <f>IFERROR(__xludf.DUMMYFUNCTION("""COMPUTED_VALUE"""),0.37941031672228)</f>
        <v>0.3794103167</v>
      </c>
      <c r="O229" s="8">
        <f>IFERROR(__xludf.DUMMYFUNCTION("""COMPUTED_VALUE"""),0.360790592392204)</f>
        <v>0.3607905924</v>
      </c>
      <c r="P229" s="8">
        <f>IFERROR(__xludf.DUMMYFUNCTION("""COMPUTED_VALUE"""),0.317395670609239)</f>
        <v>0.3173956706</v>
      </c>
      <c r="Q229" s="8">
        <f>IFERROR(__xludf.DUMMYFUNCTION("""COMPUTED_VALUE"""),0.226687829488124)</f>
        <v>0.2266878295</v>
      </c>
      <c r="R229" s="8">
        <f>IFERROR(__xludf.DUMMYFUNCTION("""COMPUTED_VALUE"""),0.17493078278379)</f>
        <v>0.1749307828</v>
      </c>
      <c r="S229" s="8">
        <f>IFERROR(__xludf.DUMMYFUNCTION("""COMPUTED_VALUE"""),0.127915559492175)</f>
        <v>0.1279155595</v>
      </c>
      <c r="T229" s="8">
        <f>IFERROR(__xludf.DUMMYFUNCTION("""COMPUTED_VALUE"""),0.107722665709929)</f>
        <v>0.1077226657</v>
      </c>
      <c r="U229" s="8">
        <f>IFERROR(__xludf.DUMMYFUNCTION("""COMPUTED_VALUE"""),0.0886565454024634)</f>
        <v>0.0886565454</v>
      </c>
      <c r="V229" s="8">
        <f>IFERROR(__xludf.DUMMYFUNCTION("""COMPUTED_VALUE"""),0.0609699769053117)</f>
        <v>0.06096997691</v>
      </c>
      <c r="W229" s="8">
        <f>IFERROR(__xludf.DUMMYFUNCTION("""COMPUTED_VALUE"""),0.0529595015576324)</f>
        <v>0.05295950156</v>
      </c>
      <c r="X229" s="8">
        <f>IFERROR(__xludf.DUMMYFUNCTION("""COMPUTED_VALUE"""),0.0355029585798816)</f>
        <v>0.03550295858</v>
      </c>
      <c r="Y229" s="8">
        <f>IFERROR(__xludf.DUMMYFUNCTION("""COMPUTED_VALUE"""),0.0)</f>
        <v>0</v>
      </c>
      <c r="Z229" s="8">
        <f>IFERROR(__xludf.DUMMYFUNCTION("""COMPUTED_VALUE"""),0.0)</f>
        <v>0</v>
      </c>
      <c r="AA229" s="8">
        <f>IFERROR(__xludf.DUMMYFUNCTION("""COMPUTED_VALUE"""),0.0)</f>
        <v>0</v>
      </c>
      <c r="AB229" s="8">
        <f>IFERROR(__xludf.DUMMYFUNCTION("""COMPUTED_VALUE"""),0.0)</f>
        <v>0</v>
      </c>
      <c r="AC229" s="8">
        <f>IFERROR(__xludf.DUMMYFUNCTION("""COMPUTED_VALUE"""),0.0)</f>
        <v>0</v>
      </c>
    </row>
    <row r="230" ht="15.75" customHeight="1">
      <c r="A230" s="6" t="str">
        <f>IFERROR(__xludf.DUMMYFUNCTION("""COMPUTED_VALUE"""),"cec33b3e9f3607e7d8ae32858f0e715a91e937c4")</f>
        <v>cec33b3e9f3607e7d8ae32858f0e715a91e937c4</v>
      </c>
      <c r="B230" s="6" t="str">
        <f>IFERROR(__xludf.DUMMYFUNCTION("""COMPUTED_VALUE"""),"From Squalor to Moneybag")</f>
        <v>From Squalor to Moneybag</v>
      </c>
      <c r="C230" s="6" t="str">
        <f>IFERROR(__xludf.DUMMYFUNCTION("""COMPUTED_VALUE"""),"Drama")</f>
        <v>Drama</v>
      </c>
      <c r="D230" s="5">
        <f>IFERROR(__xludf.DUMMYFUNCTION("""COMPUTED_VALUE"""),993.0)</f>
        <v>993</v>
      </c>
      <c r="E230" s="8">
        <f>IFERROR(__xludf.DUMMYFUNCTION("""COMPUTED_VALUE"""),0.925809822361546)</f>
        <v>0.9258098224</v>
      </c>
      <c r="F230" s="8">
        <f>IFERROR(__xludf.DUMMYFUNCTION("""COMPUTED_VALUE"""),0.637599093997735)</f>
        <v>0.637599094</v>
      </c>
      <c r="G230" s="8">
        <f>IFERROR(__xludf.DUMMYFUNCTION("""COMPUTED_VALUE"""),0.653254437869822)</f>
        <v>0.6532544379</v>
      </c>
      <c r="H230" s="8">
        <f>IFERROR(__xludf.DUMMYFUNCTION("""COMPUTED_VALUE"""),0.629353233830845)</f>
        <v>0.6293532338</v>
      </c>
      <c r="I230" s="8">
        <f>IFERROR(__xludf.DUMMYFUNCTION("""COMPUTED_VALUE"""),0.543949044585987)</f>
        <v>0.5439490446</v>
      </c>
      <c r="J230" s="8">
        <f>IFERROR(__xludf.DUMMYFUNCTION("""COMPUTED_VALUE"""),0.449799196787148)</f>
        <v>0.4497991968</v>
      </c>
      <c r="K230" s="8">
        <f>IFERROR(__xludf.DUMMYFUNCTION("""COMPUTED_VALUE"""),0.38881309686221)</f>
        <v>0.3888130969</v>
      </c>
      <c r="L230" s="8">
        <f>IFERROR(__xludf.DUMMYFUNCTION("""COMPUTED_VALUE"""),0.339514978601997)</f>
        <v>0.3395149786</v>
      </c>
      <c r="M230" s="8">
        <f>IFERROR(__xludf.DUMMYFUNCTION("""COMPUTED_VALUE"""),0.30722891566265)</f>
        <v>0.3072289157</v>
      </c>
      <c r="N230" s="8">
        <f>IFERROR(__xludf.DUMMYFUNCTION("""COMPUTED_VALUE"""),0.281350482315112)</f>
        <v>0.2813504823</v>
      </c>
      <c r="O230" s="8">
        <f>IFERROR(__xludf.DUMMYFUNCTION("""COMPUTED_VALUE"""),0.176174496644295)</f>
        <v>0.1761744966</v>
      </c>
      <c r="P230" s="8">
        <f>IFERROR(__xludf.DUMMYFUNCTION("""COMPUTED_VALUE"""),0.093062605752961)</f>
        <v>0.09306260575</v>
      </c>
      <c r="Q230" s="8">
        <f>IFERROR(__xludf.DUMMYFUNCTION("""COMPUTED_VALUE"""),0.0410958904109589)</f>
        <v>0.04109589041</v>
      </c>
      <c r="R230" s="8">
        <f>IFERROR(__xludf.DUMMYFUNCTION("""COMPUTED_VALUE"""),0.0313901345291479)</f>
        <v>0.03139013453</v>
      </c>
      <c r="S230" s="8">
        <f>IFERROR(__xludf.DUMMYFUNCTION("""COMPUTED_VALUE"""),0.0)</f>
        <v>0</v>
      </c>
      <c r="T230" s="8">
        <f>IFERROR(__xludf.DUMMYFUNCTION("""COMPUTED_VALUE"""),0.0)</f>
        <v>0</v>
      </c>
      <c r="U230" s="8">
        <f>IFERROR(__xludf.DUMMYFUNCTION("""COMPUTED_VALUE"""),0.0)</f>
        <v>0</v>
      </c>
      <c r="V230" s="8">
        <f>IFERROR(__xludf.DUMMYFUNCTION("""COMPUTED_VALUE"""),0.0)</f>
        <v>0</v>
      </c>
      <c r="W230" s="8">
        <f>IFERROR(__xludf.DUMMYFUNCTION("""COMPUTED_VALUE"""),0.0)</f>
        <v>0</v>
      </c>
      <c r="X230" s="8">
        <f>IFERROR(__xludf.DUMMYFUNCTION("""COMPUTED_VALUE"""),0.0)</f>
        <v>0</v>
      </c>
      <c r="Y230" s="8">
        <f>IFERROR(__xludf.DUMMYFUNCTION("""COMPUTED_VALUE"""),0.0)</f>
        <v>0</v>
      </c>
      <c r="Z230" s="8">
        <f>IFERROR(__xludf.DUMMYFUNCTION("""COMPUTED_VALUE"""),0.0)</f>
        <v>0</v>
      </c>
      <c r="AA230" s="8">
        <f>IFERROR(__xludf.DUMMYFUNCTION("""COMPUTED_VALUE"""),0.0)</f>
        <v>0</v>
      </c>
      <c r="AB230" s="8">
        <f>IFERROR(__xludf.DUMMYFUNCTION("""COMPUTED_VALUE"""),0.0)</f>
        <v>0</v>
      </c>
      <c r="AC230" s="8">
        <f>IFERROR(__xludf.DUMMYFUNCTION("""COMPUTED_VALUE"""),0.0)</f>
        <v>0</v>
      </c>
    </row>
    <row r="231" ht="15.75" customHeight="1">
      <c r="A231" s="6" t="str">
        <f>IFERROR(__xludf.DUMMYFUNCTION("""COMPUTED_VALUE"""),"d2aaef61d998c9f90c2df15eafe1acd784549269")</f>
        <v>d2aaef61d998c9f90c2df15eafe1acd784549269</v>
      </c>
      <c r="B231" s="6" t="str">
        <f>IFERROR(__xludf.DUMMYFUNCTION("""COMPUTED_VALUE"""),"Alpha Braxton")</f>
        <v>Alpha Braxton</v>
      </c>
      <c r="C231" s="6" t="str">
        <f>IFERROR(__xludf.DUMMYFUNCTION("""COMPUTED_VALUE"""),"Romantasy")</f>
        <v>Romantasy</v>
      </c>
      <c r="D231" s="5">
        <f>IFERROR(__xludf.DUMMYFUNCTION("""COMPUTED_VALUE"""),4384.0)</f>
        <v>4384</v>
      </c>
      <c r="E231" s="8">
        <f>IFERROR(__xludf.DUMMYFUNCTION("""COMPUTED_VALUE"""),0.96257416704701)</f>
        <v>0.962574167</v>
      </c>
      <c r="F231" s="8">
        <f>IFERROR(__xludf.DUMMYFUNCTION("""COMPUTED_VALUE"""),0.639415391641927)</f>
        <v>0.6394153916</v>
      </c>
      <c r="G231" s="8">
        <f>IFERROR(__xludf.DUMMYFUNCTION("""COMPUTED_VALUE"""),0.568851335921443)</f>
        <v>0.5688513359</v>
      </c>
      <c r="H231" s="8">
        <f>IFERROR(__xludf.DUMMYFUNCTION("""COMPUTED_VALUE"""),0.527866605756053)</f>
        <v>0.5278666058</v>
      </c>
      <c r="I231" s="8">
        <f>IFERROR(__xludf.DUMMYFUNCTION("""COMPUTED_VALUE"""),0.49222679469593)</f>
        <v>0.4922267947</v>
      </c>
      <c r="J231" s="8">
        <f>IFERROR(__xludf.DUMMYFUNCTION("""COMPUTED_VALUE"""),0.461450469000228)</f>
        <v>0.461450469</v>
      </c>
      <c r="K231" s="8">
        <f>IFERROR(__xludf.DUMMYFUNCTION("""COMPUTED_VALUE"""),0.442228335625859)</f>
        <v>0.4422283356</v>
      </c>
      <c r="L231" s="8">
        <f>IFERROR(__xludf.DUMMYFUNCTION("""COMPUTED_VALUE"""),0.434304058702132)</f>
        <v>0.4343040587</v>
      </c>
      <c r="M231" s="8">
        <f>IFERROR(__xludf.DUMMYFUNCTION("""COMPUTED_VALUE"""),0.419191919191919)</f>
        <v>0.4191919192</v>
      </c>
      <c r="N231" s="8">
        <f>IFERROR(__xludf.DUMMYFUNCTION("""COMPUTED_VALUE"""),0.416226154906917)</f>
        <v>0.4162261549</v>
      </c>
      <c r="O231" s="8">
        <f>IFERROR(__xludf.DUMMYFUNCTION("""COMPUTED_VALUE"""),0.356454267575828)</f>
        <v>0.3564542676</v>
      </c>
      <c r="P231" s="8">
        <f>IFERROR(__xludf.DUMMYFUNCTION("""COMPUTED_VALUE"""),0.344334719334719)</f>
        <v>0.3443347193</v>
      </c>
      <c r="Q231" s="8">
        <f>IFERROR(__xludf.DUMMYFUNCTION("""COMPUTED_VALUE"""),0.224242424242424)</f>
        <v>0.2242424242</v>
      </c>
      <c r="R231" s="8">
        <f>IFERROR(__xludf.DUMMYFUNCTION("""COMPUTED_VALUE"""),0.11864406779661)</f>
        <v>0.1186440678</v>
      </c>
      <c r="S231" s="8">
        <f>IFERROR(__xludf.DUMMYFUNCTION("""COMPUTED_VALUE"""),0.142857142857142)</f>
        <v>0.1428571429</v>
      </c>
      <c r="T231" s="8">
        <f>IFERROR(__xludf.DUMMYFUNCTION("""COMPUTED_VALUE"""),0.0)</f>
        <v>0</v>
      </c>
      <c r="U231" s="8">
        <f>IFERROR(__xludf.DUMMYFUNCTION("""COMPUTED_VALUE"""),0.0)</f>
        <v>0</v>
      </c>
      <c r="V231" s="8">
        <f>IFERROR(__xludf.DUMMYFUNCTION("""COMPUTED_VALUE"""),0.0)</f>
        <v>0</v>
      </c>
      <c r="W231" s="8">
        <f>IFERROR(__xludf.DUMMYFUNCTION("""COMPUTED_VALUE"""),0.0)</f>
        <v>0</v>
      </c>
      <c r="X231" s="8">
        <f>IFERROR(__xludf.DUMMYFUNCTION("""COMPUTED_VALUE"""),0.0)</f>
        <v>0</v>
      </c>
      <c r="Y231" s="8">
        <f>IFERROR(__xludf.DUMMYFUNCTION("""COMPUTED_VALUE"""),0.0)</f>
        <v>0</v>
      </c>
      <c r="Z231" s="8">
        <f>IFERROR(__xludf.DUMMYFUNCTION("""COMPUTED_VALUE"""),0.0)</f>
        <v>0</v>
      </c>
      <c r="AA231" s="8">
        <f>IFERROR(__xludf.DUMMYFUNCTION("""COMPUTED_VALUE"""),0.0)</f>
        <v>0</v>
      </c>
      <c r="AB231" s="8">
        <f>IFERROR(__xludf.DUMMYFUNCTION("""COMPUTED_VALUE"""),0.0)</f>
        <v>0</v>
      </c>
      <c r="AC231" s="8">
        <f>IFERROR(__xludf.DUMMYFUNCTION("""COMPUTED_VALUE"""),0.0)</f>
        <v>0</v>
      </c>
    </row>
    <row r="232" ht="15.75" customHeight="1">
      <c r="A232" s="6" t="str">
        <f>IFERROR(__xludf.DUMMYFUNCTION("""COMPUTED_VALUE"""),"d3866fc3c89b4f6e7425ea92decf796ef97098db")</f>
        <v>d3866fc3c89b4f6e7425ea92decf796ef97098db</v>
      </c>
      <c r="B232" s="6" t="str">
        <f>IFERROR(__xludf.DUMMYFUNCTION("""COMPUTED_VALUE"""),"The Billionaire's Twins")</f>
        <v>The Billionaire's Twins</v>
      </c>
      <c r="C232" s="6" t="str">
        <f>IFERROR(__xludf.DUMMYFUNCTION("""COMPUTED_VALUE"""),"Romance")</f>
        <v>Romance</v>
      </c>
      <c r="D232" s="5">
        <f>IFERROR(__xludf.DUMMYFUNCTION("""COMPUTED_VALUE"""),1039.0)</f>
        <v>1039</v>
      </c>
      <c r="E232" s="8">
        <f>IFERROR(__xludf.DUMMYFUNCTION("""COMPUTED_VALUE"""),0.959262851600387)</f>
        <v>0.9592628516</v>
      </c>
      <c r="F232" s="8">
        <f>IFERROR(__xludf.DUMMYFUNCTION("""COMPUTED_VALUE"""),0.6474609375)</f>
        <v>0.6474609375</v>
      </c>
      <c r="G232" s="8">
        <f>IFERROR(__xludf.DUMMYFUNCTION("""COMPUTED_VALUE"""),0.607458292443572)</f>
        <v>0.6074582924</v>
      </c>
      <c r="H232" s="8">
        <f>IFERROR(__xludf.DUMMYFUNCTION("""COMPUTED_VALUE"""),0.556435643564356)</f>
        <v>0.5564356436</v>
      </c>
      <c r="I232" s="8">
        <f>IFERROR(__xludf.DUMMYFUNCTION("""COMPUTED_VALUE"""),0.528056112224448)</f>
        <v>0.5280561122</v>
      </c>
      <c r="J232" s="8">
        <f>IFERROR(__xludf.DUMMYFUNCTION("""COMPUTED_VALUE"""),0.508163265306122)</f>
        <v>0.5081632653</v>
      </c>
      <c r="K232" s="8">
        <f>IFERROR(__xludf.DUMMYFUNCTION("""COMPUTED_VALUE"""),0.484210526315789)</f>
        <v>0.4842105263</v>
      </c>
      <c r="L232" s="8">
        <f>IFERROR(__xludf.DUMMYFUNCTION("""COMPUTED_VALUE"""),0.466230936819172)</f>
        <v>0.4662309368</v>
      </c>
      <c r="M232" s="8">
        <f>IFERROR(__xludf.DUMMYFUNCTION("""COMPUTED_VALUE"""),0.445464982778415)</f>
        <v>0.4454649828</v>
      </c>
      <c r="N232" s="8">
        <f>IFERROR(__xludf.DUMMYFUNCTION("""COMPUTED_VALUE"""),0.393333333333333)</f>
        <v>0.3933333333</v>
      </c>
      <c r="O232" s="8">
        <f>IFERROR(__xludf.DUMMYFUNCTION("""COMPUTED_VALUE"""),0.253968253968253)</f>
        <v>0.253968254</v>
      </c>
      <c r="P232" s="8">
        <f>IFERROR(__xludf.DUMMYFUNCTION("""COMPUTED_VALUE"""),0.15625)</f>
        <v>0.15625</v>
      </c>
      <c r="Q232" s="8">
        <f>IFERROR(__xludf.DUMMYFUNCTION("""COMPUTED_VALUE"""),0.0565217391304347)</f>
        <v>0.05652173913</v>
      </c>
      <c r="R232" s="8">
        <f>IFERROR(__xludf.DUMMYFUNCTION("""COMPUTED_VALUE"""),0.0666666666666666)</f>
        <v>0.06666666667</v>
      </c>
      <c r="S232" s="8">
        <f>IFERROR(__xludf.DUMMYFUNCTION("""COMPUTED_VALUE"""),0.0357142857142857)</f>
        <v>0.03571428571</v>
      </c>
      <c r="T232" s="8">
        <f>IFERROR(__xludf.DUMMYFUNCTION("""COMPUTED_VALUE"""),0.0)</f>
        <v>0</v>
      </c>
      <c r="U232" s="8">
        <f>IFERROR(__xludf.DUMMYFUNCTION("""COMPUTED_VALUE"""),0.0)</f>
        <v>0</v>
      </c>
      <c r="V232" s="8">
        <f>IFERROR(__xludf.DUMMYFUNCTION("""COMPUTED_VALUE"""),0.0)</f>
        <v>0</v>
      </c>
      <c r="W232" s="8">
        <f>IFERROR(__xludf.DUMMYFUNCTION("""COMPUTED_VALUE"""),0.0)</f>
        <v>0</v>
      </c>
      <c r="X232" s="8">
        <f>IFERROR(__xludf.DUMMYFUNCTION("""COMPUTED_VALUE"""),0.0)</f>
        <v>0</v>
      </c>
      <c r="Y232" s="8">
        <f>IFERROR(__xludf.DUMMYFUNCTION("""COMPUTED_VALUE"""),0.0)</f>
        <v>0</v>
      </c>
      <c r="Z232" s="8">
        <f>IFERROR(__xludf.DUMMYFUNCTION("""COMPUTED_VALUE"""),0.0)</f>
        <v>0</v>
      </c>
      <c r="AA232" s="8">
        <f>IFERROR(__xludf.DUMMYFUNCTION("""COMPUTED_VALUE"""),0.0)</f>
        <v>0</v>
      </c>
      <c r="AB232" s="8">
        <f>IFERROR(__xludf.DUMMYFUNCTION("""COMPUTED_VALUE"""),0.0)</f>
        <v>0</v>
      </c>
      <c r="AC232" s="8">
        <f>IFERROR(__xludf.DUMMYFUNCTION("""COMPUTED_VALUE"""),0.0)</f>
        <v>0</v>
      </c>
    </row>
    <row r="233" ht="15.75" customHeight="1">
      <c r="A233" s="6" t="str">
        <f>IFERROR(__xludf.DUMMYFUNCTION("""COMPUTED_VALUE"""),"d419897471d8bc8312abf495d27412e669ccf6d0")</f>
        <v>d419897471d8bc8312abf495d27412e669ccf6d0</v>
      </c>
      <c r="B233" s="6" t="str">
        <f>IFERROR(__xludf.DUMMYFUNCTION("""COMPUTED_VALUE"""),"His Borrowed Wife")</f>
        <v>His Borrowed Wife</v>
      </c>
      <c r="C233" s="6" t="str">
        <f>IFERROR(__xludf.DUMMYFUNCTION("""COMPUTED_VALUE"""),"Romance")</f>
        <v>Romance</v>
      </c>
      <c r="D233" s="5">
        <f>IFERROR(__xludf.DUMMYFUNCTION("""COMPUTED_VALUE"""),4151.0)</f>
        <v>4151</v>
      </c>
      <c r="E233" s="8">
        <f>IFERROR(__xludf.DUMMYFUNCTION("""COMPUTED_VALUE"""),0.960994636762554)</f>
        <v>0.9609946368</v>
      </c>
      <c r="F233" s="8">
        <f>IFERROR(__xludf.DUMMYFUNCTION("""COMPUTED_VALUE"""),0.497014925373134)</f>
        <v>0.4970149254</v>
      </c>
      <c r="G233" s="8">
        <f>IFERROR(__xludf.DUMMYFUNCTION("""COMPUTED_VALUE"""),0.436290525257602)</f>
        <v>0.4362905253</v>
      </c>
      <c r="H233" s="8">
        <f>IFERROR(__xludf.DUMMYFUNCTION("""COMPUTED_VALUE"""),0.396857577293461)</f>
        <v>0.3968575773</v>
      </c>
      <c r="I233" s="8">
        <f>IFERROR(__xludf.DUMMYFUNCTION("""COMPUTED_VALUE"""),0.374267515923566)</f>
        <v>0.3742675159</v>
      </c>
      <c r="J233" s="8">
        <f>IFERROR(__xludf.DUMMYFUNCTION("""COMPUTED_VALUE"""),0.359218308048341)</f>
        <v>0.359218308</v>
      </c>
      <c r="K233" s="8">
        <f>IFERROR(__xludf.DUMMYFUNCTION("""COMPUTED_VALUE"""),0.34300518134715)</f>
        <v>0.3430051813</v>
      </c>
      <c r="L233" s="8">
        <f>IFERROR(__xludf.DUMMYFUNCTION("""COMPUTED_VALUE"""),0.335449735449735)</f>
        <v>0.3354497354</v>
      </c>
      <c r="M233" s="8">
        <f>IFERROR(__xludf.DUMMYFUNCTION("""COMPUTED_VALUE"""),0.326344086021505)</f>
        <v>0.326344086</v>
      </c>
      <c r="N233" s="8">
        <f>IFERROR(__xludf.DUMMYFUNCTION("""COMPUTED_VALUE"""),0.31688596491228)</f>
        <v>0.3168859649</v>
      </c>
      <c r="O233" s="8">
        <f>IFERROR(__xludf.DUMMYFUNCTION("""COMPUTED_VALUE"""),0.295290378503322)</f>
        <v>0.2952903785</v>
      </c>
      <c r="P233" s="8">
        <f>IFERROR(__xludf.DUMMYFUNCTION("""COMPUTED_VALUE"""),0.264570552147239)</f>
        <v>0.2645705521</v>
      </c>
      <c r="Q233" s="8">
        <f>IFERROR(__xludf.DUMMYFUNCTION("""COMPUTED_VALUE"""),0.180048661800486)</f>
        <v>0.1800486618</v>
      </c>
      <c r="R233" s="8">
        <f>IFERROR(__xludf.DUMMYFUNCTION("""COMPUTED_VALUE"""),0.0)</f>
        <v>0</v>
      </c>
      <c r="S233" s="8">
        <f>IFERROR(__xludf.DUMMYFUNCTION("""COMPUTED_VALUE"""),0.0)</f>
        <v>0</v>
      </c>
      <c r="T233" s="8">
        <f>IFERROR(__xludf.DUMMYFUNCTION("""COMPUTED_VALUE"""),0.0)</f>
        <v>0</v>
      </c>
      <c r="U233" s="8">
        <f>IFERROR(__xludf.DUMMYFUNCTION("""COMPUTED_VALUE"""),0.0)</f>
        <v>0</v>
      </c>
      <c r="V233" s="8">
        <f>IFERROR(__xludf.DUMMYFUNCTION("""COMPUTED_VALUE"""),0.0)</f>
        <v>0</v>
      </c>
      <c r="W233" s="8">
        <f>IFERROR(__xludf.DUMMYFUNCTION("""COMPUTED_VALUE"""),0.0)</f>
        <v>0</v>
      </c>
      <c r="X233" s="8">
        <f>IFERROR(__xludf.DUMMYFUNCTION("""COMPUTED_VALUE"""),0.0)</f>
        <v>0</v>
      </c>
      <c r="Y233" s="8">
        <f>IFERROR(__xludf.DUMMYFUNCTION("""COMPUTED_VALUE"""),0.0)</f>
        <v>0</v>
      </c>
      <c r="Z233" s="8">
        <f>IFERROR(__xludf.DUMMYFUNCTION("""COMPUTED_VALUE"""),0.0)</f>
        <v>0</v>
      </c>
      <c r="AA233" s="8">
        <f>IFERROR(__xludf.DUMMYFUNCTION("""COMPUTED_VALUE"""),0.0)</f>
        <v>0</v>
      </c>
      <c r="AB233" s="8">
        <f>IFERROR(__xludf.DUMMYFUNCTION("""COMPUTED_VALUE"""),0.0)</f>
        <v>0</v>
      </c>
      <c r="AC233" s="8">
        <f>IFERROR(__xludf.DUMMYFUNCTION("""COMPUTED_VALUE"""),0.0)</f>
        <v>0</v>
      </c>
    </row>
    <row r="234" ht="15.75" customHeight="1">
      <c r="A234" s="6" t="str">
        <f>IFERROR(__xludf.DUMMYFUNCTION("""COMPUTED_VALUE"""),"d4bf13e8bbfcd2fa5b75aa042e47479d3a06188b")</f>
        <v>d4bf13e8bbfcd2fa5b75aa042e47479d3a06188b</v>
      </c>
      <c r="B234" s="6" t="str">
        <f>IFERROR(__xludf.DUMMYFUNCTION("""COMPUTED_VALUE"""),"Undead Tamer's Necro Pets")</f>
        <v>Undead Tamer's Necro Pets</v>
      </c>
      <c r="C234" s="6" t="str">
        <f>IFERROR(__xludf.DUMMYFUNCTION("""COMPUTED_VALUE"""),"Fantasy")</f>
        <v>Fantasy</v>
      </c>
      <c r="D234" s="5">
        <f>IFERROR(__xludf.DUMMYFUNCTION("""COMPUTED_VALUE"""),1647.0)</f>
        <v>1647</v>
      </c>
      <c r="E234" s="8">
        <f>IFERROR(__xludf.DUMMYFUNCTION("""COMPUTED_VALUE"""),0.979951397326853)</f>
        <v>0.9799513973</v>
      </c>
      <c r="F234" s="8">
        <f>IFERROR(__xludf.DUMMYFUNCTION("""COMPUTED_VALUE"""),0.508526187576126)</f>
        <v>0.5085261876</v>
      </c>
      <c r="G234" s="8">
        <f>IFERROR(__xludf.DUMMYFUNCTION("""COMPUTED_VALUE"""),0.42028100183262)</f>
        <v>0.4202810018</v>
      </c>
      <c r="H234" s="8">
        <f>IFERROR(__xludf.DUMMYFUNCTION("""COMPUTED_VALUE"""),0.37308868501529)</f>
        <v>0.373088685</v>
      </c>
      <c r="I234" s="8">
        <f>IFERROR(__xludf.DUMMYFUNCTION("""COMPUTED_VALUE"""),0.356088560885608)</f>
        <v>0.3560885609</v>
      </c>
      <c r="J234" s="8">
        <f>IFERROR(__xludf.DUMMYFUNCTION("""COMPUTED_VALUE"""),0.331689272503082)</f>
        <v>0.3316892725</v>
      </c>
      <c r="K234" s="8">
        <f>IFERROR(__xludf.DUMMYFUNCTION("""COMPUTED_VALUE"""),0.31559405940594)</f>
        <v>0.3155940594</v>
      </c>
      <c r="L234" s="8">
        <f>IFERROR(__xludf.DUMMYFUNCTION("""COMPUTED_VALUE"""),0.303011292346298)</f>
        <v>0.3030112923</v>
      </c>
      <c r="M234" s="8">
        <f>IFERROR(__xludf.DUMMYFUNCTION("""COMPUTED_VALUE"""),0.287066246056782)</f>
        <v>0.2870662461</v>
      </c>
      <c r="N234" s="8">
        <f>IFERROR(__xludf.DUMMYFUNCTION("""COMPUTED_VALUE"""),0.278171281390856)</f>
        <v>0.2781712814</v>
      </c>
      <c r="O234" s="8">
        <f>IFERROR(__xludf.DUMMYFUNCTION("""COMPUTED_VALUE"""),0.250366032210834)</f>
        <v>0.2503660322</v>
      </c>
      <c r="P234" s="8">
        <f>IFERROR(__xludf.DUMMYFUNCTION("""COMPUTED_VALUE"""),0.256198347107438)</f>
        <v>0.2561983471</v>
      </c>
      <c r="Q234" s="8">
        <f>IFERROR(__xludf.DUMMYFUNCTION("""COMPUTED_VALUE"""),0.0)</f>
        <v>0</v>
      </c>
      <c r="R234" s="8">
        <f>IFERROR(__xludf.DUMMYFUNCTION("""COMPUTED_VALUE"""),0.0)</f>
        <v>0</v>
      </c>
      <c r="S234" s="8">
        <f>IFERROR(__xludf.DUMMYFUNCTION("""COMPUTED_VALUE"""),0.0)</f>
        <v>0</v>
      </c>
      <c r="T234" s="8">
        <f>IFERROR(__xludf.DUMMYFUNCTION("""COMPUTED_VALUE"""),0.0)</f>
        <v>0</v>
      </c>
      <c r="U234" s="8">
        <f>IFERROR(__xludf.DUMMYFUNCTION("""COMPUTED_VALUE"""),0.0)</f>
        <v>0</v>
      </c>
      <c r="V234" s="8">
        <f>IFERROR(__xludf.DUMMYFUNCTION("""COMPUTED_VALUE"""),0.0)</f>
        <v>0</v>
      </c>
      <c r="W234" s="8">
        <f>IFERROR(__xludf.DUMMYFUNCTION("""COMPUTED_VALUE"""),0.0)</f>
        <v>0</v>
      </c>
      <c r="X234" s="8">
        <f>IFERROR(__xludf.DUMMYFUNCTION("""COMPUTED_VALUE"""),0.0)</f>
        <v>0</v>
      </c>
      <c r="Y234" s="8">
        <f>IFERROR(__xludf.DUMMYFUNCTION("""COMPUTED_VALUE"""),0.0)</f>
        <v>0</v>
      </c>
      <c r="Z234" s="8">
        <f>IFERROR(__xludf.DUMMYFUNCTION("""COMPUTED_VALUE"""),0.0)</f>
        <v>0</v>
      </c>
      <c r="AA234" s="8">
        <f>IFERROR(__xludf.DUMMYFUNCTION("""COMPUTED_VALUE"""),0.0)</f>
        <v>0</v>
      </c>
      <c r="AB234" s="8">
        <f>IFERROR(__xludf.DUMMYFUNCTION("""COMPUTED_VALUE"""),0.0)</f>
        <v>0</v>
      </c>
      <c r="AC234" s="8">
        <f>IFERROR(__xludf.DUMMYFUNCTION("""COMPUTED_VALUE"""),0.0)</f>
        <v>0</v>
      </c>
    </row>
    <row r="235" ht="15.75" customHeight="1">
      <c r="A235" s="6" t="str">
        <f>IFERROR(__xludf.DUMMYFUNCTION("""COMPUTED_VALUE"""),"d687598bacfd959af85400d722a39d5e62aad513")</f>
        <v>d687598bacfd959af85400d722a39d5e62aad513</v>
      </c>
      <c r="B235" s="6" t="str">
        <f>IFERROR(__xludf.DUMMYFUNCTION("""COMPUTED_VALUE"""),"Unexpectedly Mine")</f>
        <v>Unexpectedly Mine</v>
      </c>
      <c r="C235" s="6" t="str">
        <f>IFERROR(__xludf.DUMMYFUNCTION("""COMPUTED_VALUE"""),"Romance")</f>
        <v>Romance</v>
      </c>
      <c r="D235" s="5">
        <f>IFERROR(__xludf.DUMMYFUNCTION("""COMPUTED_VALUE"""),21501.0)</f>
        <v>21501</v>
      </c>
      <c r="E235" s="8">
        <f>IFERROR(__xludf.DUMMYFUNCTION("""COMPUTED_VALUE"""),0.918062534896705)</f>
        <v>0.9180625349</v>
      </c>
      <c r="F235" s="8">
        <f>IFERROR(__xludf.DUMMYFUNCTION("""COMPUTED_VALUE"""),0.507706635622817)</f>
        <v>0.5077066356</v>
      </c>
      <c r="G235" s="8">
        <f>IFERROR(__xludf.DUMMYFUNCTION("""COMPUTED_VALUE"""),0.451178608031305)</f>
        <v>0.451178608</v>
      </c>
      <c r="H235" s="8">
        <f>IFERROR(__xludf.DUMMYFUNCTION("""COMPUTED_VALUE"""),0.424676051086044)</f>
        <v>0.4246760511</v>
      </c>
      <c r="I235" s="8">
        <f>IFERROR(__xludf.DUMMYFUNCTION("""COMPUTED_VALUE"""),0.40458869613878)</f>
        <v>0.4045886961</v>
      </c>
      <c r="J235" s="8">
        <f>IFERROR(__xludf.DUMMYFUNCTION("""COMPUTED_VALUE"""),0.386040218354873)</f>
        <v>0.3860402184</v>
      </c>
      <c r="K235" s="8">
        <f>IFERROR(__xludf.DUMMYFUNCTION("""COMPUTED_VALUE"""),0.369526654840817)</f>
        <v>0.3695266548</v>
      </c>
      <c r="L235" s="8">
        <f>IFERROR(__xludf.DUMMYFUNCTION("""COMPUTED_VALUE"""),0.34895127761947)</f>
        <v>0.3489512776</v>
      </c>
      <c r="M235" s="8">
        <f>IFERROR(__xludf.DUMMYFUNCTION("""COMPUTED_VALUE"""),0.341449735944291)</f>
        <v>0.3414497359</v>
      </c>
      <c r="N235" s="8">
        <f>IFERROR(__xludf.DUMMYFUNCTION("""COMPUTED_VALUE"""),0.332569558101473)</f>
        <v>0.3325695581</v>
      </c>
      <c r="O235" s="8">
        <f>IFERROR(__xludf.DUMMYFUNCTION("""COMPUTED_VALUE"""),0.288479565054368)</f>
        <v>0.2884795651</v>
      </c>
      <c r="P235" s="8">
        <f>IFERROR(__xludf.DUMMYFUNCTION("""COMPUTED_VALUE"""),0.261378047062138)</f>
        <v>0.2613780471</v>
      </c>
      <c r="Q235" s="8">
        <f>IFERROR(__xludf.DUMMYFUNCTION("""COMPUTED_VALUE"""),0.211007876243927)</f>
        <v>0.2110078762</v>
      </c>
      <c r="R235" s="8">
        <f>IFERROR(__xludf.DUMMYFUNCTION("""COMPUTED_VALUE"""),0.185162419026904)</f>
        <v>0.185162419</v>
      </c>
      <c r="S235" s="8">
        <f>IFERROR(__xludf.DUMMYFUNCTION("""COMPUTED_VALUE"""),0.147727872486409)</f>
        <v>0.1477278725</v>
      </c>
      <c r="T235" s="8">
        <f>IFERROR(__xludf.DUMMYFUNCTION("""COMPUTED_VALUE"""),0.127807900852052)</f>
        <v>0.1278079009</v>
      </c>
      <c r="U235" s="8">
        <f>IFERROR(__xludf.DUMMYFUNCTION("""COMPUTED_VALUE"""),0.121043201274138)</f>
        <v>0.1210432013</v>
      </c>
      <c r="V235" s="8">
        <f>IFERROR(__xludf.DUMMYFUNCTION("""COMPUTED_VALUE"""),0.104678321183381)</f>
        <v>0.1046783212</v>
      </c>
      <c r="W235" s="8">
        <f>IFERROR(__xludf.DUMMYFUNCTION("""COMPUTED_VALUE"""),0.0811019368778455)</f>
        <v>0.08110193688</v>
      </c>
      <c r="X235" s="8">
        <f>IFERROR(__xludf.DUMMYFUNCTION("""COMPUTED_VALUE"""),0.0618969746524938)</f>
        <v>0.06189697465</v>
      </c>
      <c r="Y235" s="8">
        <f>IFERROR(__xludf.DUMMYFUNCTION("""COMPUTED_VALUE"""),0.0376269910949454)</f>
        <v>0.03762699109</v>
      </c>
      <c r="Z235" s="8">
        <f>IFERROR(__xludf.DUMMYFUNCTION("""COMPUTED_VALUE"""),0.040650406504065)</f>
        <v>0.0406504065</v>
      </c>
      <c r="AA235" s="8">
        <f>IFERROR(__xludf.DUMMYFUNCTION("""COMPUTED_VALUE"""),0.0)</f>
        <v>0</v>
      </c>
      <c r="AB235" s="8">
        <f>IFERROR(__xludf.DUMMYFUNCTION("""COMPUTED_VALUE"""),0.0)</f>
        <v>0</v>
      </c>
      <c r="AC235" s="8">
        <f>IFERROR(__xludf.DUMMYFUNCTION("""COMPUTED_VALUE"""),0.0)</f>
        <v>0</v>
      </c>
    </row>
    <row r="236" ht="15.75" customHeight="1">
      <c r="A236" s="6" t="str">
        <f>IFERROR(__xludf.DUMMYFUNCTION("""COMPUTED_VALUE"""),"d6ecb3540b1fdba82ccfa1fa9d0dbaa8fe59424c")</f>
        <v>d6ecb3540b1fdba82ccfa1fa9d0dbaa8fe59424c</v>
      </c>
      <c r="B236" s="6" t="str">
        <f>IFERROR(__xludf.DUMMYFUNCTION("""COMPUTED_VALUE"""),"Among the Undead")</f>
        <v>Among the Undead</v>
      </c>
      <c r="C236" s="6" t="str">
        <f>IFERROR(__xludf.DUMMYFUNCTION("""COMPUTED_VALUE"""),"Suspense or Thriller")</f>
        <v>Suspense or Thriller</v>
      </c>
      <c r="D236" s="5">
        <f>IFERROR(__xludf.DUMMYFUNCTION("""COMPUTED_VALUE"""),641.0)</f>
        <v>641</v>
      </c>
      <c r="E236" s="8">
        <f>IFERROR(__xludf.DUMMYFUNCTION("""COMPUTED_VALUE"""),0.96513470681458)</f>
        <v>0.9651347068</v>
      </c>
      <c r="F236" s="8">
        <f>IFERROR(__xludf.DUMMYFUNCTION("""COMPUTED_VALUE"""),0.503205128205128)</f>
        <v>0.5032051282</v>
      </c>
      <c r="G236" s="8">
        <f>IFERROR(__xludf.DUMMYFUNCTION("""COMPUTED_VALUE"""),0.387622149837133)</f>
        <v>0.3876221498</v>
      </c>
      <c r="H236" s="8">
        <f>IFERROR(__xludf.DUMMYFUNCTION("""COMPUTED_VALUE"""),0.294214876033057)</f>
        <v>0.294214876</v>
      </c>
      <c r="I236" s="8">
        <f>IFERROR(__xludf.DUMMYFUNCTION("""COMPUTED_VALUE"""),0.252911813643926)</f>
        <v>0.2529118136</v>
      </c>
      <c r="J236" s="8">
        <f>IFERROR(__xludf.DUMMYFUNCTION("""COMPUTED_VALUE"""),0.23)</f>
        <v>0.23</v>
      </c>
      <c r="K236" s="8">
        <f>IFERROR(__xludf.DUMMYFUNCTION("""COMPUTED_VALUE"""),0.201680672268907)</f>
        <v>0.2016806723</v>
      </c>
      <c r="L236" s="8">
        <f>IFERROR(__xludf.DUMMYFUNCTION("""COMPUTED_VALUE"""),0.179487179487179)</f>
        <v>0.1794871795</v>
      </c>
      <c r="M236" s="8">
        <f>IFERROR(__xludf.DUMMYFUNCTION("""COMPUTED_VALUE"""),0.171029668411867)</f>
        <v>0.1710296684</v>
      </c>
      <c r="N236" s="8">
        <f>IFERROR(__xludf.DUMMYFUNCTION("""COMPUTED_VALUE"""),0.171735241502683)</f>
        <v>0.1717352415</v>
      </c>
      <c r="O236" s="8">
        <f>IFERROR(__xludf.DUMMYFUNCTION("""COMPUTED_VALUE"""),0.133995037220843)</f>
        <v>0.1339950372</v>
      </c>
      <c r="P236" s="8">
        <f>IFERROR(__xludf.DUMMYFUNCTION("""COMPUTED_VALUE"""),0.118852459016393)</f>
        <v>0.118852459</v>
      </c>
      <c r="Q236" s="8">
        <f>IFERROR(__xludf.DUMMYFUNCTION("""COMPUTED_VALUE"""),0.085972850678733)</f>
        <v>0.08597285068</v>
      </c>
      <c r="R236" s="8">
        <f>IFERROR(__xludf.DUMMYFUNCTION("""COMPUTED_VALUE"""),0.0610328638497652)</f>
        <v>0.06103286385</v>
      </c>
      <c r="S236" s="8">
        <f>IFERROR(__xludf.DUMMYFUNCTION("""COMPUTED_VALUE"""),0.0295566502463054)</f>
        <v>0.02955665025</v>
      </c>
      <c r="T236" s="8">
        <f>IFERROR(__xludf.DUMMYFUNCTION("""COMPUTED_VALUE"""),0.031578947368421)</f>
        <v>0.03157894737</v>
      </c>
      <c r="U236" s="8">
        <f>IFERROR(__xludf.DUMMYFUNCTION("""COMPUTED_VALUE"""),0.0118343195266272)</f>
        <v>0.01183431953</v>
      </c>
      <c r="V236" s="8">
        <f>IFERROR(__xludf.DUMMYFUNCTION("""COMPUTED_VALUE"""),0.0)</f>
        <v>0</v>
      </c>
      <c r="W236" s="8">
        <f>IFERROR(__xludf.DUMMYFUNCTION("""COMPUTED_VALUE"""),0.0)</f>
        <v>0</v>
      </c>
      <c r="X236" s="8">
        <f>IFERROR(__xludf.DUMMYFUNCTION("""COMPUTED_VALUE"""),0.0)</f>
        <v>0</v>
      </c>
      <c r="Y236" s="8">
        <f>IFERROR(__xludf.DUMMYFUNCTION("""COMPUTED_VALUE"""),0.0)</f>
        <v>0</v>
      </c>
      <c r="Z236" s="8">
        <f>IFERROR(__xludf.DUMMYFUNCTION("""COMPUTED_VALUE"""),0.0)</f>
        <v>0</v>
      </c>
      <c r="AA236" s="8">
        <f>IFERROR(__xludf.DUMMYFUNCTION("""COMPUTED_VALUE"""),0.0)</f>
        <v>0</v>
      </c>
      <c r="AB236" s="8">
        <f>IFERROR(__xludf.DUMMYFUNCTION("""COMPUTED_VALUE"""),0.0)</f>
        <v>0</v>
      </c>
      <c r="AC236" s="8">
        <f>IFERROR(__xludf.DUMMYFUNCTION("""COMPUTED_VALUE"""),0.0)</f>
        <v>0</v>
      </c>
    </row>
    <row r="237" ht="15.75" customHeight="1">
      <c r="A237" s="6" t="str">
        <f>IFERROR(__xludf.DUMMYFUNCTION("""COMPUTED_VALUE"""),"d71fc923d0820825aefcf4bf75b7743891f7feac")</f>
        <v>d71fc923d0820825aefcf4bf75b7743891f7feac</v>
      </c>
      <c r="B237" s="6" t="str">
        <f>IFERROR(__xludf.DUMMYFUNCTION("""COMPUTED_VALUE"""),"Only One Race")</f>
        <v>Only One Race</v>
      </c>
      <c r="C237" s="6" t="str">
        <f>IFERROR(__xludf.DUMMYFUNCTION("""COMPUTED_VALUE"""),"Fantasy")</f>
        <v>Fantasy</v>
      </c>
      <c r="D237" s="5">
        <f>IFERROR(__xludf.DUMMYFUNCTION("""COMPUTED_VALUE"""),982.0)</f>
        <v>982</v>
      </c>
      <c r="E237" s="8">
        <f>IFERROR(__xludf.DUMMYFUNCTION("""COMPUTED_VALUE"""),0.960040983606557)</f>
        <v>0.9600409836</v>
      </c>
      <c r="F237" s="8">
        <f>IFERROR(__xludf.DUMMYFUNCTION("""COMPUTED_VALUE"""),0.466735966735966)</f>
        <v>0.4667359667</v>
      </c>
      <c r="G237" s="8">
        <f>IFERROR(__xludf.DUMMYFUNCTION("""COMPUTED_VALUE"""),0.425554382259767)</f>
        <v>0.4255543823</v>
      </c>
      <c r="H237" s="8">
        <f>IFERROR(__xludf.DUMMYFUNCTION("""COMPUTED_VALUE"""),0.396756756756756)</f>
        <v>0.3967567568</v>
      </c>
      <c r="I237" s="8">
        <f>IFERROR(__xludf.DUMMYFUNCTION("""COMPUTED_VALUE"""),0.374307862679955)</f>
        <v>0.3743078627</v>
      </c>
      <c r="J237" s="8">
        <f>IFERROR(__xludf.DUMMYFUNCTION("""COMPUTED_VALUE"""),0.340775558166862)</f>
        <v>0.3407755582</v>
      </c>
      <c r="K237" s="8">
        <f>IFERROR(__xludf.DUMMYFUNCTION("""COMPUTED_VALUE"""),0.330900243309002)</f>
        <v>0.3309002433</v>
      </c>
      <c r="L237" s="8">
        <f>IFERROR(__xludf.DUMMYFUNCTION("""COMPUTED_VALUE"""),0.319284802043422)</f>
        <v>0.319284802</v>
      </c>
      <c r="M237" s="8">
        <f>IFERROR(__xludf.DUMMYFUNCTION("""COMPUTED_VALUE"""),0.291139240506329)</f>
        <v>0.2911392405</v>
      </c>
      <c r="N237" s="8">
        <f>IFERROR(__xludf.DUMMYFUNCTION("""COMPUTED_VALUE"""),0.284280936454849)</f>
        <v>0.2842809365</v>
      </c>
      <c r="O237" s="8">
        <f>IFERROR(__xludf.DUMMYFUNCTION("""COMPUTED_VALUE"""),0.192857142857142)</f>
        <v>0.1928571429</v>
      </c>
      <c r="P237" s="8">
        <f>IFERROR(__xludf.DUMMYFUNCTION("""COMPUTED_VALUE"""),0.189655172413793)</f>
        <v>0.1896551724</v>
      </c>
      <c r="Q237" s="8">
        <f>IFERROR(__xludf.DUMMYFUNCTION("""COMPUTED_VALUE"""),0.0984455958549222)</f>
        <v>0.09844559585</v>
      </c>
      <c r="R237" s="8">
        <f>IFERROR(__xludf.DUMMYFUNCTION("""COMPUTED_VALUE"""),0.0526315789473684)</f>
        <v>0.05263157895</v>
      </c>
      <c r="S237" s="8">
        <f>IFERROR(__xludf.DUMMYFUNCTION("""COMPUTED_VALUE"""),0.0)</f>
        <v>0</v>
      </c>
      <c r="T237" s="8">
        <f>IFERROR(__xludf.DUMMYFUNCTION("""COMPUTED_VALUE"""),0.0)</f>
        <v>0</v>
      </c>
      <c r="U237" s="8">
        <f>IFERROR(__xludf.DUMMYFUNCTION("""COMPUTED_VALUE"""),0.0)</f>
        <v>0</v>
      </c>
      <c r="V237" s="8">
        <f>IFERROR(__xludf.DUMMYFUNCTION("""COMPUTED_VALUE"""),0.0)</f>
        <v>0</v>
      </c>
      <c r="W237" s="8">
        <f>IFERROR(__xludf.DUMMYFUNCTION("""COMPUTED_VALUE"""),0.0)</f>
        <v>0</v>
      </c>
      <c r="X237" s="8">
        <f>IFERROR(__xludf.DUMMYFUNCTION("""COMPUTED_VALUE"""),0.0)</f>
        <v>0</v>
      </c>
      <c r="Y237" s="8">
        <f>IFERROR(__xludf.DUMMYFUNCTION("""COMPUTED_VALUE"""),0.0)</f>
        <v>0</v>
      </c>
      <c r="Z237" s="8">
        <f>IFERROR(__xludf.DUMMYFUNCTION("""COMPUTED_VALUE"""),0.0)</f>
        <v>0</v>
      </c>
      <c r="AA237" s="8">
        <f>IFERROR(__xludf.DUMMYFUNCTION("""COMPUTED_VALUE"""),0.0)</f>
        <v>0</v>
      </c>
      <c r="AB237" s="8">
        <f>IFERROR(__xludf.DUMMYFUNCTION("""COMPUTED_VALUE"""),0.0)</f>
        <v>0</v>
      </c>
      <c r="AC237" s="8">
        <f>IFERROR(__xludf.DUMMYFUNCTION("""COMPUTED_VALUE"""),0.0)</f>
        <v>0</v>
      </c>
    </row>
    <row r="238" ht="15.75" customHeight="1">
      <c r="A238" s="6" t="str">
        <f>IFERROR(__xludf.DUMMYFUNCTION("""COMPUTED_VALUE"""),"da2b63280d328cd78ef9102ea4f7f131a3ff6369")</f>
        <v>da2b63280d328cd78ef9102ea4f7f131a3ff6369</v>
      </c>
      <c r="B238" s="6" t="str">
        <f>IFERROR(__xludf.DUMMYFUNCTION("""COMPUTED_VALUE"""),"I Returned for Revenge")</f>
        <v>I Returned for Revenge</v>
      </c>
      <c r="C238" s="6" t="str">
        <f>IFERROR(__xludf.DUMMYFUNCTION("""COMPUTED_VALUE"""),"Romance")</f>
        <v>Romance</v>
      </c>
      <c r="D238" s="5">
        <f>IFERROR(__xludf.DUMMYFUNCTION("""COMPUTED_VALUE"""),657.0)</f>
        <v>657</v>
      </c>
      <c r="E238" s="8">
        <f>IFERROR(__xludf.DUMMYFUNCTION("""COMPUTED_VALUE"""),0.955725190839694)</f>
        <v>0.9557251908</v>
      </c>
      <c r="F238" s="8">
        <f>IFERROR(__xludf.DUMMYFUNCTION("""COMPUTED_VALUE"""),0.681957186544342)</f>
        <v>0.6819571865</v>
      </c>
      <c r="G238" s="8">
        <f>IFERROR(__xludf.DUMMYFUNCTION("""COMPUTED_VALUE"""),0.611111111111111)</f>
        <v>0.6111111111</v>
      </c>
      <c r="H238" s="8">
        <f>IFERROR(__xludf.DUMMYFUNCTION("""COMPUTED_VALUE"""),0.582945736434108)</f>
        <v>0.5829457364</v>
      </c>
      <c r="I238" s="8">
        <f>IFERROR(__xludf.DUMMYFUNCTION("""COMPUTED_VALUE"""),0.560821484992101)</f>
        <v>0.560821485</v>
      </c>
      <c r="J238" s="8">
        <f>IFERROR(__xludf.DUMMYFUNCTION("""COMPUTED_VALUE"""),0.539215686274509)</f>
        <v>0.5392156863</v>
      </c>
      <c r="K238" s="8">
        <f>IFERROR(__xludf.DUMMYFUNCTION("""COMPUTED_VALUE"""),0.522920203735144)</f>
        <v>0.5229202037</v>
      </c>
      <c r="L238" s="8">
        <f>IFERROR(__xludf.DUMMYFUNCTION("""COMPUTED_VALUE"""),0.48968105065666)</f>
        <v>0.4896810507</v>
      </c>
      <c r="M238" s="8">
        <f>IFERROR(__xludf.DUMMYFUNCTION("""COMPUTED_VALUE"""),0.5)</f>
        <v>0.5</v>
      </c>
      <c r="N238" s="8">
        <f>IFERROR(__xludf.DUMMYFUNCTION("""COMPUTED_VALUE"""),0.471563981042654)</f>
        <v>0.471563981</v>
      </c>
      <c r="O238" s="8">
        <f>IFERROR(__xludf.DUMMYFUNCTION("""COMPUTED_VALUE"""),0.289915966386554)</f>
        <v>0.2899159664</v>
      </c>
      <c r="P238" s="8">
        <f>IFERROR(__xludf.DUMMYFUNCTION("""COMPUTED_VALUE"""),0.143459915611814)</f>
        <v>0.1434599156</v>
      </c>
      <c r="Q238" s="8">
        <f>IFERROR(__xludf.DUMMYFUNCTION("""COMPUTED_VALUE"""),0.0423728813559322)</f>
        <v>0.04237288136</v>
      </c>
      <c r="R238" s="8">
        <f>IFERROR(__xludf.DUMMYFUNCTION("""COMPUTED_VALUE"""),0.0267857142857142)</f>
        <v>0.02678571429</v>
      </c>
      <c r="S238" s="8">
        <f>IFERROR(__xludf.DUMMYFUNCTION("""COMPUTED_VALUE"""),0.0)</f>
        <v>0</v>
      </c>
      <c r="T238" s="8">
        <f>IFERROR(__xludf.DUMMYFUNCTION("""COMPUTED_VALUE"""),0.0)</f>
        <v>0</v>
      </c>
      <c r="U238" s="8">
        <f>IFERROR(__xludf.DUMMYFUNCTION("""COMPUTED_VALUE"""),0.0)</f>
        <v>0</v>
      </c>
      <c r="V238" s="8">
        <f>IFERROR(__xludf.DUMMYFUNCTION("""COMPUTED_VALUE"""),0.0)</f>
        <v>0</v>
      </c>
      <c r="W238" s="8">
        <f>IFERROR(__xludf.DUMMYFUNCTION("""COMPUTED_VALUE"""),0.0)</f>
        <v>0</v>
      </c>
      <c r="X238" s="8">
        <f>IFERROR(__xludf.DUMMYFUNCTION("""COMPUTED_VALUE"""),0.0)</f>
        <v>0</v>
      </c>
      <c r="Y238" s="8">
        <f>IFERROR(__xludf.DUMMYFUNCTION("""COMPUTED_VALUE"""),0.0)</f>
        <v>0</v>
      </c>
      <c r="Z238" s="8">
        <f>IFERROR(__xludf.DUMMYFUNCTION("""COMPUTED_VALUE"""),0.0)</f>
        <v>0</v>
      </c>
      <c r="AA238" s="8">
        <f>IFERROR(__xludf.DUMMYFUNCTION("""COMPUTED_VALUE"""),0.0)</f>
        <v>0</v>
      </c>
      <c r="AB238" s="8">
        <f>IFERROR(__xludf.DUMMYFUNCTION("""COMPUTED_VALUE"""),0.0)</f>
        <v>0</v>
      </c>
      <c r="AC238" s="8">
        <f>IFERROR(__xludf.DUMMYFUNCTION("""COMPUTED_VALUE"""),0.0)</f>
        <v>0</v>
      </c>
    </row>
    <row r="239" ht="15.75" customHeight="1">
      <c r="A239" s="6" t="str">
        <f>IFERROR(__xludf.DUMMYFUNCTION("""COMPUTED_VALUE"""),"da5271db73c1f23560f26da633ebffb91df9abd6")</f>
        <v>da5271db73c1f23560f26da633ebffb91df9abd6</v>
      </c>
      <c r="B239" s="6" t="str">
        <f>IFERROR(__xludf.DUMMYFUNCTION("""COMPUTED_VALUE"""),"Sold to the Alpha King")</f>
        <v>Sold to the Alpha King</v>
      </c>
      <c r="C239" s="6" t="str">
        <f>IFERROR(__xludf.DUMMYFUNCTION("""COMPUTED_VALUE"""),"Romance")</f>
        <v>Romance</v>
      </c>
      <c r="D239" s="5">
        <f>IFERROR(__xludf.DUMMYFUNCTION("""COMPUTED_VALUE"""),423.0)</f>
        <v>423</v>
      </c>
      <c r="E239" s="8">
        <f>IFERROR(__xludf.DUMMYFUNCTION("""COMPUTED_VALUE"""),0.975669099756691)</f>
        <v>0.9756690998</v>
      </c>
      <c r="F239" s="8">
        <f>IFERROR(__xludf.DUMMYFUNCTION("""COMPUTED_VALUE"""),0.583541147132169)</f>
        <v>0.5835411471</v>
      </c>
      <c r="G239" s="8">
        <f>IFERROR(__xludf.DUMMYFUNCTION("""COMPUTED_VALUE"""),0.461139896373056)</f>
        <v>0.4611398964</v>
      </c>
      <c r="H239" s="8">
        <f>IFERROR(__xludf.DUMMYFUNCTION("""COMPUTED_VALUE"""),0.411602209944751)</f>
        <v>0.4116022099</v>
      </c>
      <c r="I239" s="8">
        <f>IFERROR(__xludf.DUMMYFUNCTION("""COMPUTED_VALUE"""),0.344729344729344)</f>
        <v>0.3447293447</v>
      </c>
      <c r="J239" s="8">
        <f>IFERROR(__xludf.DUMMYFUNCTION("""COMPUTED_VALUE"""),0.292168674698795)</f>
        <v>0.2921686747</v>
      </c>
      <c r="K239" s="8">
        <f>IFERROR(__xludf.DUMMYFUNCTION("""COMPUTED_VALUE"""),0.266666666666666)</f>
        <v>0.2666666667</v>
      </c>
      <c r="L239" s="8">
        <f>IFERROR(__xludf.DUMMYFUNCTION("""COMPUTED_VALUE"""),0.244525547445255)</f>
        <v>0.2445255474</v>
      </c>
      <c r="M239" s="8">
        <f>IFERROR(__xludf.DUMMYFUNCTION("""COMPUTED_VALUE"""),0.240310077519379)</f>
        <v>0.2403100775</v>
      </c>
      <c r="N239" s="8">
        <f>IFERROR(__xludf.DUMMYFUNCTION("""COMPUTED_VALUE"""),0.225961538461538)</f>
        <v>0.2259615385</v>
      </c>
      <c r="O239" s="8">
        <f>IFERROR(__xludf.DUMMYFUNCTION("""COMPUTED_VALUE"""),0.147540983606557)</f>
        <v>0.1475409836</v>
      </c>
      <c r="P239" s="8">
        <f>IFERROR(__xludf.DUMMYFUNCTION("""COMPUTED_VALUE"""),0.163636363636363)</f>
        <v>0.1636363636</v>
      </c>
      <c r="Q239" s="8">
        <f>IFERROR(__xludf.DUMMYFUNCTION("""COMPUTED_VALUE"""),0.0)</f>
        <v>0</v>
      </c>
      <c r="R239" s="8">
        <f>IFERROR(__xludf.DUMMYFUNCTION("""COMPUTED_VALUE"""),0.0)</f>
        <v>0</v>
      </c>
      <c r="S239" s="8">
        <f>IFERROR(__xludf.DUMMYFUNCTION("""COMPUTED_VALUE"""),0.0)</f>
        <v>0</v>
      </c>
      <c r="T239" s="8">
        <f>IFERROR(__xludf.DUMMYFUNCTION("""COMPUTED_VALUE"""),0.0)</f>
        <v>0</v>
      </c>
      <c r="U239" s="8">
        <f>IFERROR(__xludf.DUMMYFUNCTION("""COMPUTED_VALUE"""),0.0)</f>
        <v>0</v>
      </c>
      <c r="V239" s="8">
        <f>IFERROR(__xludf.DUMMYFUNCTION("""COMPUTED_VALUE"""),0.0)</f>
        <v>0</v>
      </c>
      <c r="W239" s="8">
        <f>IFERROR(__xludf.DUMMYFUNCTION("""COMPUTED_VALUE"""),0.0)</f>
        <v>0</v>
      </c>
      <c r="X239" s="8">
        <f>IFERROR(__xludf.DUMMYFUNCTION("""COMPUTED_VALUE"""),0.0)</f>
        <v>0</v>
      </c>
      <c r="Y239" s="8">
        <f>IFERROR(__xludf.DUMMYFUNCTION("""COMPUTED_VALUE"""),0.0)</f>
        <v>0</v>
      </c>
      <c r="Z239" s="8">
        <f>IFERROR(__xludf.DUMMYFUNCTION("""COMPUTED_VALUE"""),0.0)</f>
        <v>0</v>
      </c>
      <c r="AA239" s="8">
        <f>IFERROR(__xludf.DUMMYFUNCTION("""COMPUTED_VALUE"""),0.0)</f>
        <v>0</v>
      </c>
      <c r="AB239" s="8">
        <f>IFERROR(__xludf.DUMMYFUNCTION("""COMPUTED_VALUE"""),0.0)</f>
        <v>0</v>
      </c>
      <c r="AC239" s="8">
        <f>IFERROR(__xludf.DUMMYFUNCTION("""COMPUTED_VALUE"""),0.0)</f>
        <v>0</v>
      </c>
    </row>
    <row r="240" ht="15.75" customHeight="1">
      <c r="A240" s="6" t="str">
        <f>IFERROR(__xludf.DUMMYFUNCTION("""COMPUTED_VALUE"""),"da8d32c5473daa3dc16575cdcd79a118bb445ffb")</f>
        <v>da8d32c5473daa3dc16575cdcd79a118bb445ffb</v>
      </c>
      <c r="B240" s="6" t="str">
        <f>IFERROR(__xludf.DUMMYFUNCTION("""COMPUTED_VALUE"""),"Bold Step Against Hoffman")</f>
        <v>Bold Step Against Hoffman</v>
      </c>
      <c r="C240" s="6" t="str">
        <f>IFERROR(__xludf.DUMMYFUNCTION("""COMPUTED_VALUE"""),"Romance")</f>
        <v>Romance</v>
      </c>
      <c r="D240" s="5">
        <f>IFERROR(__xludf.DUMMYFUNCTION("""COMPUTED_VALUE"""),1076.0)</f>
        <v>1076</v>
      </c>
      <c r="E240" s="8">
        <f>IFERROR(__xludf.DUMMYFUNCTION("""COMPUTED_VALUE"""),0.969924812030075)</f>
        <v>0.969924812</v>
      </c>
      <c r="F240" s="8">
        <f>IFERROR(__xludf.DUMMYFUNCTION("""COMPUTED_VALUE"""),0.498095238095238)</f>
        <v>0.4980952381</v>
      </c>
      <c r="G240" s="8">
        <f>IFERROR(__xludf.DUMMYFUNCTION("""COMPUTED_VALUE"""),0.41402497598463)</f>
        <v>0.414024976</v>
      </c>
      <c r="H240" s="8">
        <f>IFERROR(__xludf.DUMMYFUNCTION("""COMPUTED_VALUE"""),0.34917555771096)</f>
        <v>0.3491755577</v>
      </c>
      <c r="I240" s="8">
        <f>IFERROR(__xludf.DUMMYFUNCTION("""COMPUTED_VALUE"""),0.307766990291262)</f>
        <v>0.3077669903</v>
      </c>
      <c r="J240" s="8">
        <f>IFERROR(__xludf.DUMMYFUNCTION("""COMPUTED_VALUE"""),0.279611650485436)</f>
        <v>0.2796116505</v>
      </c>
      <c r="K240" s="8">
        <f>IFERROR(__xludf.DUMMYFUNCTION("""COMPUTED_VALUE"""),0.27378640776699)</f>
        <v>0.2737864078</v>
      </c>
      <c r="L240" s="8">
        <f>IFERROR(__xludf.DUMMYFUNCTION("""COMPUTED_VALUE"""),0.244897959183673)</f>
        <v>0.2448979592</v>
      </c>
      <c r="M240" s="8">
        <f>IFERROR(__xludf.DUMMYFUNCTION("""COMPUTED_VALUE"""),0.240506329113924)</f>
        <v>0.2405063291</v>
      </c>
      <c r="N240" s="8">
        <f>IFERROR(__xludf.DUMMYFUNCTION("""COMPUTED_VALUE"""),0.232213438735177)</f>
        <v>0.2322134387</v>
      </c>
      <c r="O240" s="8">
        <f>IFERROR(__xludf.DUMMYFUNCTION("""COMPUTED_VALUE"""),0.173236514522821)</f>
        <v>0.1732365145</v>
      </c>
      <c r="P240" s="8">
        <f>IFERROR(__xludf.DUMMYFUNCTION("""COMPUTED_VALUE"""),0.147742818057455)</f>
        <v>0.1477428181</v>
      </c>
      <c r="Q240" s="8">
        <f>IFERROR(__xludf.DUMMYFUNCTION("""COMPUTED_VALUE"""),0.122881355932203)</f>
        <v>0.1228813559</v>
      </c>
      <c r="R240" s="8">
        <f>IFERROR(__xludf.DUMMYFUNCTION("""COMPUTED_VALUE"""),0.104265402843601)</f>
        <v>0.1042654028</v>
      </c>
      <c r="S240" s="8">
        <f>IFERROR(__xludf.DUMMYFUNCTION("""COMPUTED_VALUE"""),0.103932584269662)</f>
        <v>0.1039325843</v>
      </c>
      <c r="T240" s="8">
        <f>IFERROR(__xludf.DUMMYFUNCTION("""COMPUTED_VALUE"""),0.0182926829268292)</f>
        <v>0.01829268293</v>
      </c>
      <c r="U240" s="8">
        <f>IFERROR(__xludf.DUMMYFUNCTION("""COMPUTED_VALUE"""),0.0232558139534883)</f>
        <v>0.02325581395</v>
      </c>
      <c r="V240" s="8">
        <f>IFERROR(__xludf.DUMMYFUNCTION("""COMPUTED_VALUE"""),0.0)</f>
        <v>0</v>
      </c>
      <c r="W240" s="8">
        <f>IFERROR(__xludf.DUMMYFUNCTION("""COMPUTED_VALUE"""),0.0)</f>
        <v>0</v>
      </c>
      <c r="X240" s="8">
        <f>IFERROR(__xludf.DUMMYFUNCTION("""COMPUTED_VALUE"""),0.0)</f>
        <v>0</v>
      </c>
      <c r="Y240" s="8">
        <f>IFERROR(__xludf.DUMMYFUNCTION("""COMPUTED_VALUE"""),0.0)</f>
        <v>0</v>
      </c>
      <c r="Z240" s="8">
        <f>IFERROR(__xludf.DUMMYFUNCTION("""COMPUTED_VALUE"""),0.0)</f>
        <v>0</v>
      </c>
      <c r="AA240" s="8">
        <f>IFERROR(__xludf.DUMMYFUNCTION("""COMPUTED_VALUE"""),0.0)</f>
        <v>0</v>
      </c>
      <c r="AB240" s="8">
        <f>IFERROR(__xludf.DUMMYFUNCTION("""COMPUTED_VALUE"""),0.0)</f>
        <v>0</v>
      </c>
      <c r="AC240" s="8">
        <f>IFERROR(__xludf.DUMMYFUNCTION("""COMPUTED_VALUE"""),0.0)</f>
        <v>0</v>
      </c>
    </row>
    <row r="241" ht="15.75" customHeight="1">
      <c r="A241" s="6" t="str">
        <f>IFERROR(__xludf.DUMMYFUNCTION("""COMPUTED_VALUE"""),"daa40d9ff542ace7e27440803ddf4307bbd54bdd")</f>
        <v>daa40d9ff542ace7e27440803ddf4307bbd54bdd</v>
      </c>
      <c r="B241" s="6" t="str">
        <f>IFERROR(__xludf.DUMMYFUNCTION("""COMPUTED_VALUE"""),"Villain's Harem")</f>
        <v>Villain's Harem</v>
      </c>
      <c r="C241" s="6" t="str">
        <f>IFERROR(__xludf.DUMMYFUNCTION("""COMPUTED_VALUE"""),"Romantasy")</f>
        <v>Romantasy</v>
      </c>
      <c r="D241" s="5">
        <f>IFERROR(__xludf.DUMMYFUNCTION("""COMPUTED_VALUE"""),948.0)</f>
        <v>948</v>
      </c>
      <c r="E241" s="8">
        <f>IFERROR(__xludf.DUMMYFUNCTION("""COMPUTED_VALUE"""),0.968152866242038)</f>
        <v>0.9681528662</v>
      </c>
      <c r="F241" s="8">
        <f>IFERROR(__xludf.DUMMYFUNCTION("""COMPUTED_VALUE"""),0.643318965517241)</f>
        <v>0.6433189655</v>
      </c>
      <c r="G241" s="8">
        <f>IFERROR(__xludf.DUMMYFUNCTION("""COMPUTED_VALUE"""),0.572510822510822)</f>
        <v>0.5725108225</v>
      </c>
      <c r="H241" s="8">
        <f>IFERROR(__xludf.DUMMYFUNCTION("""COMPUTED_VALUE"""),0.513071895424836)</f>
        <v>0.5130718954</v>
      </c>
      <c r="I241" s="8">
        <f>IFERROR(__xludf.DUMMYFUNCTION("""COMPUTED_VALUE"""),0.449671772428884)</f>
        <v>0.4496717724</v>
      </c>
      <c r="J241" s="8">
        <f>IFERROR(__xludf.DUMMYFUNCTION("""COMPUTED_VALUE"""),0.431742508324084)</f>
        <v>0.4317425083</v>
      </c>
      <c r="K241" s="8">
        <f>IFERROR(__xludf.DUMMYFUNCTION("""COMPUTED_VALUE"""),0.41196388261851)</f>
        <v>0.4119638826</v>
      </c>
      <c r="L241" s="8">
        <f>IFERROR(__xludf.DUMMYFUNCTION("""COMPUTED_VALUE"""),0.378316032295271)</f>
        <v>0.3783160323</v>
      </c>
      <c r="M241" s="8">
        <f>IFERROR(__xludf.DUMMYFUNCTION("""COMPUTED_VALUE"""),0.38095238095238)</f>
        <v>0.380952381</v>
      </c>
      <c r="N241" s="8">
        <f>IFERROR(__xludf.DUMMYFUNCTION("""COMPUTED_VALUE"""),0.385838150289017)</f>
        <v>0.3858381503</v>
      </c>
      <c r="O241" s="8">
        <f>IFERROR(__xludf.DUMMYFUNCTION("""COMPUTED_VALUE"""),0.40650406504065)</f>
        <v>0.406504065</v>
      </c>
      <c r="P241" s="8">
        <f>IFERROR(__xludf.DUMMYFUNCTION("""COMPUTED_VALUE"""),0.461538461538461)</f>
        <v>0.4615384615</v>
      </c>
      <c r="Q241" s="8">
        <f>IFERROR(__xludf.DUMMYFUNCTION("""COMPUTED_VALUE"""),0.0)</f>
        <v>0</v>
      </c>
      <c r="R241" s="8">
        <f>IFERROR(__xludf.DUMMYFUNCTION("""COMPUTED_VALUE"""),0.0)</f>
        <v>0</v>
      </c>
      <c r="S241" s="8">
        <f>IFERROR(__xludf.DUMMYFUNCTION("""COMPUTED_VALUE"""),0.0)</f>
        <v>0</v>
      </c>
      <c r="T241" s="8">
        <f>IFERROR(__xludf.DUMMYFUNCTION("""COMPUTED_VALUE"""),0.0)</f>
        <v>0</v>
      </c>
      <c r="U241" s="8">
        <f>IFERROR(__xludf.DUMMYFUNCTION("""COMPUTED_VALUE"""),0.0)</f>
        <v>0</v>
      </c>
      <c r="V241" s="8">
        <f>IFERROR(__xludf.DUMMYFUNCTION("""COMPUTED_VALUE"""),0.0)</f>
        <v>0</v>
      </c>
      <c r="W241" s="8">
        <f>IFERROR(__xludf.DUMMYFUNCTION("""COMPUTED_VALUE"""),0.0)</f>
        <v>0</v>
      </c>
      <c r="X241" s="8">
        <f>IFERROR(__xludf.DUMMYFUNCTION("""COMPUTED_VALUE"""),0.0)</f>
        <v>0</v>
      </c>
      <c r="Y241" s="8">
        <f>IFERROR(__xludf.DUMMYFUNCTION("""COMPUTED_VALUE"""),0.0)</f>
        <v>0</v>
      </c>
      <c r="Z241" s="8">
        <f>IFERROR(__xludf.DUMMYFUNCTION("""COMPUTED_VALUE"""),0.0)</f>
        <v>0</v>
      </c>
      <c r="AA241" s="8">
        <f>IFERROR(__xludf.DUMMYFUNCTION("""COMPUTED_VALUE"""),0.0)</f>
        <v>0</v>
      </c>
      <c r="AB241" s="8">
        <f>IFERROR(__xludf.DUMMYFUNCTION("""COMPUTED_VALUE"""),0.0)</f>
        <v>0</v>
      </c>
      <c r="AC241" s="8">
        <f>IFERROR(__xludf.DUMMYFUNCTION("""COMPUTED_VALUE"""),0.0)</f>
        <v>0</v>
      </c>
    </row>
    <row r="242" ht="15.75" customHeight="1">
      <c r="A242" s="6" t="str">
        <f>IFERROR(__xludf.DUMMYFUNCTION("""COMPUTED_VALUE"""),"db982055d0205f85b154941a9a5fdcae32a88a7c")</f>
        <v>db982055d0205f85b154941a9a5fdcae32a88a7c</v>
      </c>
      <c r="B242" s="6" t="str">
        <f>IFERROR(__xludf.DUMMYFUNCTION("""COMPUTED_VALUE"""),"Re:system - Rebooted")</f>
        <v>Re:system - Rebooted</v>
      </c>
      <c r="C242" s="6" t="str">
        <f>IFERROR(__xludf.DUMMYFUNCTION("""COMPUTED_VALUE"""),"Fantasy")</f>
        <v>Fantasy</v>
      </c>
      <c r="D242" s="5">
        <f>IFERROR(__xludf.DUMMYFUNCTION("""COMPUTED_VALUE"""),687.0)</f>
        <v>687</v>
      </c>
      <c r="E242" s="8">
        <f>IFERROR(__xludf.DUMMYFUNCTION("""COMPUTED_VALUE"""),0.994143484626647)</f>
        <v>0.9941434846</v>
      </c>
      <c r="F242" s="8">
        <f>IFERROR(__xludf.DUMMYFUNCTION("""COMPUTED_VALUE"""),0.618906942392909)</f>
        <v>0.6189069424</v>
      </c>
      <c r="G242" s="8">
        <f>IFERROR(__xludf.DUMMYFUNCTION("""COMPUTED_VALUE"""),0.540059347181008)</f>
        <v>0.5400593472</v>
      </c>
      <c r="H242" s="8">
        <f>IFERROR(__xludf.DUMMYFUNCTION("""COMPUTED_VALUE"""),0.497023809523809)</f>
        <v>0.4970238095</v>
      </c>
      <c r="I242" s="8">
        <f>IFERROR(__xludf.DUMMYFUNCTION("""COMPUTED_VALUE"""),0.469265367316341)</f>
        <v>0.4692653673</v>
      </c>
      <c r="J242" s="8">
        <f>IFERROR(__xludf.DUMMYFUNCTION("""COMPUTED_VALUE"""),0.443410852713178)</f>
        <v>0.4434108527</v>
      </c>
      <c r="K242" s="8">
        <f>IFERROR(__xludf.DUMMYFUNCTION("""COMPUTED_VALUE"""),0.416955017301038)</f>
        <v>0.4169550173</v>
      </c>
      <c r="L242" s="8">
        <f>IFERROR(__xludf.DUMMYFUNCTION("""COMPUTED_VALUE"""),0.3828125)</f>
        <v>0.3828125</v>
      </c>
      <c r="M242" s="8">
        <f>IFERROR(__xludf.DUMMYFUNCTION("""COMPUTED_VALUE"""),0.368539325842696)</f>
        <v>0.3685393258</v>
      </c>
      <c r="N242" s="8">
        <f>IFERROR(__xludf.DUMMYFUNCTION("""COMPUTED_VALUE"""),0.365695792880258)</f>
        <v>0.3656957929</v>
      </c>
      <c r="O242" s="8">
        <f>IFERROR(__xludf.DUMMYFUNCTION("""COMPUTED_VALUE"""),0.0)</f>
        <v>0</v>
      </c>
      <c r="P242" s="8">
        <f>IFERROR(__xludf.DUMMYFUNCTION("""COMPUTED_VALUE"""),0.0)</f>
        <v>0</v>
      </c>
      <c r="Q242" s="8">
        <f>IFERROR(__xludf.DUMMYFUNCTION("""COMPUTED_VALUE"""),0.0)</f>
        <v>0</v>
      </c>
      <c r="R242" s="8">
        <f>IFERROR(__xludf.DUMMYFUNCTION("""COMPUTED_VALUE"""),0.0)</f>
        <v>0</v>
      </c>
      <c r="S242" s="8">
        <f>IFERROR(__xludf.DUMMYFUNCTION("""COMPUTED_VALUE"""),0.0)</f>
        <v>0</v>
      </c>
      <c r="T242" s="8">
        <f>IFERROR(__xludf.DUMMYFUNCTION("""COMPUTED_VALUE"""),0.0)</f>
        <v>0</v>
      </c>
      <c r="U242" s="8">
        <f>IFERROR(__xludf.DUMMYFUNCTION("""COMPUTED_VALUE"""),0.0)</f>
        <v>0</v>
      </c>
      <c r="V242" s="8">
        <f>IFERROR(__xludf.DUMMYFUNCTION("""COMPUTED_VALUE"""),0.0)</f>
        <v>0</v>
      </c>
      <c r="W242" s="8">
        <f>IFERROR(__xludf.DUMMYFUNCTION("""COMPUTED_VALUE"""),0.0)</f>
        <v>0</v>
      </c>
      <c r="X242" s="8">
        <f>IFERROR(__xludf.DUMMYFUNCTION("""COMPUTED_VALUE"""),0.0)</f>
        <v>0</v>
      </c>
      <c r="Y242" s="8">
        <f>IFERROR(__xludf.DUMMYFUNCTION("""COMPUTED_VALUE"""),0.0)</f>
        <v>0</v>
      </c>
      <c r="Z242" s="8">
        <f>IFERROR(__xludf.DUMMYFUNCTION("""COMPUTED_VALUE"""),0.0)</f>
        <v>0</v>
      </c>
      <c r="AA242" s="8">
        <f>IFERROR(__xludf.DUMMYFUNCTION("""COMPUTED_VALUE"""),0.0)</f>
        <v>0</v>
      </c>
      <c r="AB242" s="8">
        <f>IFERROR(__xludf.DUMMYFUNCTION("""COMPUTED_VALUE"""),0.0)</f>
        <v>0</v>
      </c>
      <c r="AC242" s="8">
        <f>IFERROR(__xludf.DUMMYFUNCTION("""COMPUTED_VALUE"""),0.0)</f>
        <v>0</v>
      </c>
    </row>
    <row r="243" ht="15.75" customHeight="1">
      <c r="A243" s="6" t="str">
        <f>IFERROR(__xludf.DUMMYFUNCTION("""COMPUTED_VALUE"""),"ddcfd794c1c386caa644e2b1d2379bfcd4efb154")</f>
        <v>ddcfd794c1c386caa644e2b1d2379bfcd4efb154</v>
      </c>
      <c r="B243" s="6" t="str">
        <f>IFERROR(__xludf.DUMMYFUNCTION("""COMPUTED_VALUE"""),"Tycoons Love Swindled")</f>
        <v>Tycoons Love Swindled</v>
      </c>
      <c r="C243" s="6" t="str">
        <f>IFERROR(__xludf.DUMMYFUNCTION("""COMPUTED_VALUE"""),"Drama")</f>
        <v>Drama</v>
      </c>
      <c r="D243" s="5">
        <f>IFERROR(__xludf.DUMMYFUNCTION("""COMPUTED_VALUE"""),133.0)</f>
        <v>133</v>
      </c>
      <c r="E243" s="8">
        <f>IFERROR(__xludf.DUMMYFUNCTION("""COMPUTED_VALUE"""),0.885496183206106)</f>
        <v>0.8854961832</v>
      </c>
      <c r="F243" s="8">
        <f>IFERROR(__xludf.DUMMYFUNCTION("""COMPUTED_VALUE"""),0.461538461538461)</f>
        <v>0.4615384615</v>
      </c>
      <c r="G243" s="8">
        <f>IFERROR(__xludf.DUMMYFUNCTION("""COMPUTED_VALUE"""),0.375)</f>
        <v>0.375</v>
      </c>
      <c r="H243" s="8">
        <f>IFERROR(__xludf.DUMMYFUNCTION("""COMPUTED_VALUE"""),0.365853658536585)</f>
        <v>0.3658536585</v>
      </c>
      <c r="I243" s="8">
        <f>IFERROR(__xludf.DUMMYFUNCTION("""COMPUTED_VALUE"""),0.371900826446281)</f>
        <v>0.3719008264</v>
      </c>
      <c r="J243" s="8">
        <f>IFERROR(__xludf.DUMMYFUNCTION("""COMPUTED_VALUE"""),0.344827586206896)</f>
        <v>0.3448275862</v>
      </c>
      <c r="K243" s="8">
        <f>IFERROR(__xludf.DUMMYFUNCTION("""COMPUTED_VALUE"""),0.27433628318584)</f>
        <v>0.2743362832</v>
      </c>
      <c r="L243" s="8">
        <f>IFERROR(__xludf.DUMMYFUNCTION("""COMPUTED_VALUE"""),0.311926605504587)</f>
        <v>0.3119266055</v>
      </c>
      <c r="M243" s="8">
        <f>IFERROR(__xludf.DUMMYFUNCTION("""COMPUTED_VALUE"""),0.25)</f>
        <v>0.25</v>
      </c>
      <c r="N243" s="8">
        <f>IFERROR(__xludf.DUMMYFUNCTION("""COMPUTED_VALUE"""),0.27)</f>
        <v>0.27</v>
      </c>
      <c r="O243" s="8">
        <f>IFERROR(__xludf.DUMMYFUNCTION("""COMPUTED_VALUE"""),0.301204819277108)</f>
        <v>0.3012048193</v>
      </c>
      <c r="P243" s="8">
        <f>IFERROR(__xludf.DUMMYFUNCTION("""COMPUTED_VALUE"""),0.109756097560975)</f>
        <v>0.1097560976</v>
      </c>
      <c r="Q243" s="8">
        <f>IFERROR(__xludf.DUMMYFUNCTION("""COMPUTED_VALUE"""),0.03125)</f>
        <v>0.03125</v>
      </c>
      <c r="R243" s="8">
        <f>IFERROR(__xludf.DUMMYFUNCTION("""COMPUTED_VALUE"""),0.0192307692307692)</f>
        <v>0.01923076923</v>
      </c>
      <c r="S243" s="8">
        <f>IFERROR(__xludf.DUMMYFUNCTION("""COMPUTED_VALUE"""),0.0)</f>
        <v>0</v>
      </c>
      <c r="T243" s="8">
        <f>IFERROR(__xludf.DUMMYFUNCTION("""COMPUTED_VALUE"""),0.0)</f>
        <v>0</v>
      </c>
      <c r="U243" s="8">
        <f>IFERROR(__xludf.DUMMYFUNCTION("""COMPUTED_VALUE"""),0.0)</f>
        <v>0</v>
      </c>
      <c r="V243" s="8">
        <f>IFERROR(__xludf.DUMMYFUNCTION("""COMPUTED_VALUE"""),0.0)</f>
        <v>0</v>
      </c>
      <c r="W243" s="8">
        <f>IFERROR(__xludf.DUMMYFUNCTION("""COMPUTED_VALUE"""),0.0)</f>
        <v>0</v>
      </c>
      <c r="X243" s="8">
        <f>IFERROR(__xludf.DUMMYFUNCTION("""COMPUTED_VALUE"""),0.0)</f>
        <v>0</v>
      </c>
      <c r="Y243" s="8">
        <f>IFERROR(__xludf.DUMMYFUNCTION("""COMPUTED_VALUE"""),0.0)</f>
        <v>0</v>
      </c>
      <c r="Z243" s="8">
        <f>IFERROR(__xludf.DUMMYFUNCTION("""COMPUTED_VALUE"""),0.0)</f>
        <v>0</v>
      </c>
      <c r="AA243" s="8">
        <f>IFERROR(__xludf.DUMMYFUNCTION("""COMPUTED_VALUE"""),0.0)</f>
        <v>0</v>
      </c>
      <c r="AB243" s="8">
        <f>IFERROR(__xludf.DUMMYFUNCTION("""COMPUTED_VALUE"""),0.0)</f>
        <v>0</v>
      </c>
      <c r="AC243" s="8">
        <f>IFERROR(__xludf.DUMMYFUNCTION("""COMPUTED_VALUE"""),0.0)</f>
        <v>0</v>
      </c>
    </row>
    <row r="244" ht="15.75" customHeight="1">
      <c r="A244" s="6" t="str">
        <f>IFERROR(__xludf.DUMMYFUNCTION("""COMPUTED_VALUE"""),"de862851ca66c0ec5a982ecfe58d14472093a185")</f>
        <v>de862851ca66c0ec5a982ecfe58d14472093a185</v>
      </c>
      <c r="B244" s="6" t="str">
        <f>IFERROR(__xludf.DUMMYFUNCTION("""COMPUTED_VALUE"""),"From Trash to a Legend")</f>
        <v>From Trash to a Legend</v>
      </c>
      <c r="C244" s="6" t="str">
        <f>IFERROR(__xludf.DUMMYFUNCTION("""COMPUTED_VALUE"""),"System and Superpower")</f>
        <v>System and Superpower</v>
      </c>
      <c r="D244" s="5">
        <f>IFERROR(__xludf.DUMMYFUNCTION("""COMPUTED_VALUE"""),739.0)</f>
        <v>739</v>
      </c>
      <c r="E244" s="8">
        <f>IFERROR(__xludf.DUMMYFUNCTION("""COMPUTED_VALUE"""),0.963364993215739)</f>
        <v>0.9633649932</v>
      </c>
      <c r="F244" s="8">
        <f>IFERROR(__xludf.DUMMYFUNCTION("""COMPUTED_VALUE"""),0.739427012278308)</f>
        <v>0.7394270123</v>
      </c>
      <c r="G244" s="8">
        <f>IFERROR(__xludf.DUMMYFUNCTION("""COMPUTED_VALUE"""),0.717598908594815)</f>
        <v>0.7175989086</v>
      </c>
      <c r="H244" s="8">
        <f>IFERROR(__xludf.DUMMYFUNCTION("""COMPUTED_VALUE"""),0.690410958904109)</f>
        <v>0.6904109589</v>
      </c>
      <c r="I244" s="8">
        <f>IFERROR(__xludf.DUMMYFUNCTION("""COMPUTED_VALUE"""),0.642265193370165)</f>
        <v>0.6422651934</v>
      </c>
      <c r="J244" s="8">
        <f>IFERROR(__xludf.DUMMYFUNCTION("""COMPUTED_VALUE"""),0.624819624819624)</f>
        <v>0.6248196248</v>
      </c>
      <c r="K244" s="8">
        <f>IFERROR(__xludf.DUMMYFUNCTION("""COMPUTED_VALUE"""),0.601470588235294)</f>
        <v>0.6014705882</v>
      </c>
      <c r="L244" s="8">
        <f>IFERROR(__xludf.DUMMYFUNCTION("""COMPUTED_VALUE"""),0.562706270627062)</f>
        <v>0.5627062706</v>
      </c>
      <c r="M244" s="8">
        <f>IFERROR(__xludf.DUMMYFUNCTION("""COMPUTED_VALUE"""),0.534635879218472)</f>
        <v>0.5346358792</v>
      </c>
      <c r="N244" s="8">
        <f>IFERROR(__xludf.DUMMYFUNCTION("""COMPUTED_VALUE"""),0.533073929961089)</f>
        <v>0.53307393</v>
      </c>
      <c r="O244" s="8">
        <f>IFERROR(__xludf.DUMMYFUNCTION("""COMPUTED_VALUE"""),0.354037267080745)</f>
        <v>0.3540372671</v>
      </c>
      <c r="P244" s="8">
        <f>IFERROR(__xludf.DUMMYFUNCTION("""COMPUTED_VALUE"""),0.274725274725274)</f>
        <v>0.2747252747</v>
      </c>
      <c r="Q244" s="8">
        <f>IFERROR(__xludf.DUMMYFUNCTION("""COMPUTED_VALUE"""),0.0)</f>
        <v>0</v>
      </c>
      <c r="R244" s="8">
        <f>IFERROR(__xludf.DUMMYFUNCTION("""COMPUTED_VALUE"""),0.0)</f>
        <v>0</v>
      </c>
      <c r="S244" s="8">
        <f>IFERROR(__xludf.DUMMYFUNCTION("""COMPUTED_VALUE"""),0.0)</f>
        <v>0</v>
      </c>
      <c r="T244" s="8">
        <f>IFERROR(__xludf.DUMMYFUNCTION("""COMPUTED_VALUE"""),0.0)</f>
        <v>0</v>
      </c>
      <c r="U244" s="8">
        <f>IFERROR(__xludf.DUMMYFUNCTION("""COMPUTED_VALUE"""),0.0)</f>
        <v>0</v>
      </c>
      <c r="V244" s="8">
        <f>IFERROR(__xludf.DUMMYFUNCTION("""COMPUTED_VALUE"""),0.0)</f>
        <v>0</v>
      </c>
      <c r="W244" s="8">
        <f>IFERROR(__xludf.DUMMYFUNCTION("""COMPUTED_VALUE"""),0.0)</f>
        <v>0</v>
      </c>
      <c r="X244" s="8">
        <f>IFERROR(__xludf.DUMMYFUNCTION("""COMPUTED_VALUE"""),0.0)</f>
        <v>0</v>
      </c>
      <c r="Y244" s="8">
        <f>IFERROR(__xludf.DUMMYFUNCTION("""COMPUTED_VALUE"""),0.0)</f>
        <v>0</v>
      </c>
      <c r="Z244" s="8">
        <f>IFERROR(__xludf.DUMMYFUNCTION("""COMPUTED_VALUE"""),0.0)</f>
        <v>0</v>
      </c>
      <c r="AA244" s="8">
        <f>IFERROR(__xludf.DUMMYFUNCTION("""COMPUTED_VALUE"""),0.0)</f>
        <v>0</v>
      </c>
      <c r="AB244" s="8">
        <f>IFERROR(__xludf.DUMMYFUNCTION("""COMPUTED_VALUE"""),0.0)</f>
        <v>0</v>
      </c>
      <c r="AC244" s="8">
        <f>IFERROR(__xludf.DUMMYFUNCTION("""COMPUTED_VALUE"""),0.0)</f>
        <v>0</v>
      </c>
    </row>
    <row r="245" ht="15.75" customHeight="1">
      <c r="A245" s="6" t="str">
        <f>IFERROR(__xludf.DUMMYFUNCTION("""COMPUTED_VALUE"""),"df497806d02c2dcc2e8f8e790fcc3fb9e72f8166")</f>
        <v>df497806d02c2dcc2e8f8e790fcc3fb9e72f8166</v>
      </c>
      <c r="B245" s="6" t="str">
        <f>IFERROR(__xludf.DUMMYFUNCTION("""COMPUTED_VALUE"""),"Never Letting You Go")</f>
        <v>Never Letting You Go</v>
      </c>
      <c r="C245" s="6" t="str">
        <f>IFERROR(__xludf.DUMMYFUNCTION("""COMPUTED_VALUE"""),"Romance")</f>
        <v>Romance</v>
      </c>
      <c r="D245" s="5">
        <f>IFERROR(__xludf.DUMMYFUNCTION("""COMPUTED_VALUE"""),396.0)</f>
        <v>396</v>
      </c>
      <c r="E245" s="8">
        <f>IFERROR(__xludf.DUMMYFUNCTION("""COMPUTED_VALUE"""),0.966836734693877)</f>
        <v>0.9668367347</v>
      </c>
      <c r="F245" s="8">
        <f>IFERROR(__xludf.DUMMYFUNCTION("""COMPUTED_VALUE"""),0.512953367875647)</f>
        <v>0.5129533679</v>
      </c>
      <c r="G245" s="8">
        <f>IFERROR(__xludf.DUMMYFUNCTION("""COMPUTED_VALUE"""),0.44240837696335)</f>
        <v>0.442408377</v>
      </c>
      <c r="H245" s="8">
        <f>IFERROR(__xludf.DUMMYFUNCTION("""COMPUTED_VALUE"""),0.388297872340425)</f>
        <v>0.3882978723</v>
      </c>
      <c r="I245" s="8">
        <f>IFERROR(__xludf.DUMMYFUNCTION("""COMPUTED_VALUE"""),0.330578512396694)</f>
        <v>0.3305785124</v>
      </c>
      <c r="J245" s="8">
        <f>IFERROR(__xludf.DUMMYFUNCTION("""COMPUTED_VALUE"""),0.315340909090909)</f>
        <v>0.3153409091</v>
      </c>
      <c r="K245" s="8">
        <f>IFERROR(__xludf.DUMMYFUNCTION("""COMPUTED_VALUE"""),0.291291291291291)</f>
        <v>0.2912912913</v>
      </c>
      <c r="L245" s="8">
        <f>IFERROR(__xludf.DUMMYFUNCTION("""COMPUTED_VALUE"""),0.277227722772277)</f>
        <v>0.2772277228</v>
      </c>
      <c r="M245" s="8">
        <f>IFERROR(__xludf.DUMMYFUNCTION("""COMPUTED_VALUE"""),0.247232472324723)</f>
        <v>0.2472324723</v>
      </c>
      <c r="N245" s="8">
        <f>IFERROR(__xludf.DUMMYFUNCTION("""COMPUTED_VALUE"""),0.234234234234234)</f>
        <v>0.2342342342</v>
      </c>
      <c r="O245" s="8">
        <f>IFERROR(__xludf.DUMMYFUNCTION("""COMPUTED_VALUE"""),0.175)</f>
        <v>0.175</v>
      </c>
      <c r="P245" s="8">
        <f>IFERROR(__xludf.DUMMYFUNCTION("""COMPUTED_VALUE"""),0.114285714285714)</f>
        <v>0.1142857143</v>
      </c>
      <c r="Q245" s="8">
        <f>IFERROR(__xludf.DUMMYFUNCTION("""COMPUTED_VALUE"""),0.125)</f>
        <v>0.125</v>
      </c>
      <c r="R245" s="8">
        <f>IFERROR(__xludf.DUMMYFUNCTION("""COMPUTED_VALUE"""),0.0)</f>
        <v>0</v>
      </c>
      <c r="S245" s="8">
        <f>IFERROR(__xludf.DUMMYFUNCTION("""COMPUTED_VALUE"""),0.0)</f>
        <v>0</v>
      </c>
      <c r="T245" s="8">
        <f>IFERROR(__xludf.DUMMYFUNCTION("""COMPUTED_VALUE"""),0.0)</f>
        <v>0</v>
      </c>
      <c r="U245" s="8">
        <f>IFERROR(__xludf.DUMMYFUNCTION("""COMPUTED_VALUE"""),0.0)</f>
        <v>0</v>
      </c>
      <c r="V245" s="8">
        <f>IFERROR(__xludf.DUMMYFUNCTION("""COMPUTED_VALUE"""),0.0)</f>
        <v>0</v>
      </c>
      <c r="W245" s="8">
        <f>IFERROR(__xludf.DUMMYFUNCTION("""COMPUTED_VALUE"""),0.0)</f>
        <v>0</v>
      </c>
      <c r="X245" s="8">
        <f>IFERROR(__xludf.DUMMYFUNCTION("""COMPUTED_VALUE"""),0.0)</f>
        <v>0</v>
      </c>
      <c r="Y245" s="8">
        <f>IFERROR(__xludf.DUMMYFUNCTION("""COMPUTED_VALUE"""),0.0)</f>
        <v>0</v>
      </c>
      <c r="Z245" s="8">
        <f>IFERROR(__xludf.DUMMYFUNCTION("""COMPUTED_VALUE"""),0.0)</f>
        <v>0</v>
      </c>
      <c r="AA245" s="8">
        <f>IFERROR(__xludf.DUMMYFUNCTION("""COMPUTED_VALUE"""),0.0)</f>
        <v>0</v>
      </c>
      <c r="AB245" s="8">
        <f>IFERROR(__xludf.DUMMYFUNCTION("""COMPUTED_VALUE"""),0.0)</f>
        <v>0</v>
      </c>
      <c r="AC245" s="8">
        <f>IFERROR(__xludf.DUMMYFUNCTION("""COMPUTED_VALUE"""),0.0)</f>
        <v>0</v>
      </c>
    </row>
    <row r="246" ht="15.75" customHeight="1">
      <c r="A246" s="6" t="str">
        <f>IFERROR(__xludf.DUMMYFUNCTION("""COMPUTED_VALUE"""),"e0cc4d535444616635b899b0d8d7d34e8dde5fa7")</f>
        <v>e0cc4d535444616635b899b0d8d7d34e8dde5fa7</v>
      </c>
      <c r="B246" s="6" t="str">
        <f>IFERROR(__xludf.DUMMYFUNCTION("""COMPUTED_VALUE"""),"Fated Bond")</f>
        <v>Fated Bond</v>
      </c>
      <c r="C246" s="6" t="str">
        <f>IFERROR(__xludf.DUMMYFUNCTION("""COMPUTED_VALUE"""),"Romantasy")</f>
        <v>Romantasy</v>
      </c>
      <c r="D246" s="5">
        <f>IFERROR(__xludf.DUMMYFUNCTION("""COMPUTED_VALUE"""),5108.0)</f>
        <v>5108</v>
      </c>
      <c r="E246" s="8">
        <f>IFERROR(__xludf.DUMMYFUNCTION("""COMPUTED_VALUE"""),0.950597921976083)</f>
        <v>0.950597922</v>
      </c>
      <c r="F246" s="8">
        <f>IFERROR(__xludf.DUMMYFUNCTION("""COMPUTED_VALUE"""),0.4394979407727)</f>
        <v>0.4394979408</v>
      </c>
      <c r="G246" s="8">
        <f>IFERROR(__xludf.DUMMYFUNCTION("""COMPUTED_VALUE"""),0.376177394034536)</f>
        <v>0.376177394</v>
      </c>
      <c r="H246" s="8">
        <f>IFERROR(__xludf.DUMMYFUNCTION("""COMPUTED_VALUE"""),0.337197877775594)</f>
        <v>0.3371978778</v>
      </c>
      <c r="I246" s="8">
        <f>IFERROR(__xludf.DUMMYFUNCTION("""COMPUTED_VALUE"""),0.320780757097791)</f>
        <v>0.3207807571</v>
      </c>
      <c r="J246" s="8">
        <f>IFERROR(__xludf.DUMMYFUNCTION("""COMPUTED_VALUE"""),0.302077151335311)</f>
        <v>0.3020771513</v>
      </c>
      <c r="K246" s="8">
        <f>IFERROR(__xludf.DUMMYFUNCTION("""COMPUTED_VALUE"""),0.286511257222554)</f>
        <v>0.2865112572</v>
      </c>
      <c r="L246" s="8">
        <f>IFERROR(__xludf.DUMMYFUNCTION("""COMPUTED_VALUE"""),0.281344334876232)</f>
        <v>0.2813443349</v>
      </c>
      <c r="M246" s="8">
        <f>IFERROR(__xludf.DUMMYFUNCTION("""COMPUTED_VALUE"""),0.274807614418793)</f>
        <v>0.2748076144</v>
      </c>
      <c r="N246" s="8">
        <f>IFERROR(__xludf.DUMMYFUNCTION("""COMPUTED_VALUE"""),0.269309358398038)</f>
        <v>0.2693093584</v>
      </c>
      <c r="O246" s="8">
        <f>IFERROR(__xludf.DUMMYFUNCTION("""COMPUTED_VALUE"""),0.259528907922912)</f>
        <v>0.2595289079</v>
      </c>
      <c r="P246" s="8">
        <f>IFERROR(__xludf.DUMMYFUNCTION("""COMPUTED_VALUE"""),0.216697502312673)</f>
        <v>0.2166975023</v>
      </c>
      <c r="Q246" s="8">
        <f>IFERROR(__xludf.DUMMYFUNCTION("""COMPUTED_VALUE"""),0.19284034491769)</f>
        <v>0.1928403449</v>
      </c>
      <c r="R246" s="8">
        <f>IFERROR(__xludf.DUMMYFUNCTION("""COMPUTED_VALUE"""),0.150368385800401)</f>
        <v>0.1503683858</v>
      </c>
      <c r="S246" s="8">
        <f>IFERROR(__xludf.DUMMYFUNCTION("""COMPUTED_VALUE"""),0.103948896631823)</f>
        <v>0.1039488966</v>
      </c>
      <c r="T246" s="8">
        <f>IFERROR(__xludf.DUMMYFUNCTION("""COMPUTED_VALUE"""),0.074074074074074)</f>
        <v>0.07407407407</v>
      </c>
      <c r="U246" s="8">
        <f>IFERROR(__xludf.DUMMYFUNCTION("""COMPUTED_VALUE"""),0.0524412296564195)</f>
        <v>0.05244122966</v>
      </c>
      <c r="V246" s="8">
        <f>IFERROR(__xludf.DUMMYFUNCTION("""COMPUTED_VALUE"""),0.0403726708074534)</f>
        <v>0.04037267081</v>
      </c>
      <c r="W246" s="8">
        <f>IFERROR(__xludf.DUMMYFUNCTION("""COMPUTED_VALUE"""),0.0244200244200244)</f>
        <v>0.02442002442</v>
      </c>
      <c r="X246" s="8">
        <f>IFERROR(__xludf.DUMMYFUNCTION("""COMPUTED_VALUE"""),0.006006006006006)</f>
        <v>0.006006006006</v>
      </c>
      <c r="Y246" s="8">
        <f>IFERROR(__xludf.DUMMYFUNCTION("""COMPUTED_VALUE"""),0.0)</f>
        <v>0</v>
      </c>
      <c r="Z246" s="8">
        <f>IFERROR(__xludf.DUMMYFUNCTION("""COMPUTED_VALUE"""),0.0)</f>
        <v>0</v>
      </c>
      <c r="AA246" s="8">
        <f>IFERROR(__xludf.DUMMYFUNCTION("""COMPUTED_VALUE"""),0.0)</f>
        <v>0</v>
      </c>
      <c r="AB246" s="8">
        <f>IFERROR(__xludf.DUMMYFUNCTION("""COMPUTED_VALUE"""),0.0)</f>
        <v>0</v>
      </c>
      <c r="AC246" s="8">
        <f>IFERROR(__xludf.DUMMYFUNCTION("""COMPUTED_VALUE"""),0.0)</f>
        <v>0</v>
      </c>
    </row>
    <row r="247" ht="15.75" customHeight="1">
      <c r="A247" s="6" t="str">
        <f>IFERROR(__xludf.DUMMYFUNCTION("""COMPUTED_VALUE"""),"e0df7c51c42acc2ebb07fef0853244b617b34a0a")</f>
        <v>e0df7c51c42acc2ebb07fef0853244b617b34a0a</v>
      </c>
      <c r="B247" s="6" t="str">
        <f>IFERROR(__xludf.DUMMYFUNCTION("""COMPUTED_VALUE"""),"Hunted by the Alpha")</f>
        <v>Hunted by the Alpha</v>
      </c>
      <c r="C247" s="6" t="str">
        <f>IFERROR(__xludf.DUMMYFUNCTION("""COMPUTED_VALUE"""),"Romantasy")</f>
        <v>Romantasy</v>
      </c>
      <c r="D247" s="5">
        <f>IFERROR(__xludf.DUMMYFUNCTION("""COMPUTED_VALUE"""),4262.0)</f>
        <v>4262</v>
      </c>
      <c r="E247" s="8">
        <f>IFERROR(__xludf.DUMMYFUNCTION("""COMPUTED_VALUE"""),0.975334742776603)</f>
        <v>0.9753347428</v>
      </c>
      <c r="F247" s="8">
        <f>IFERROR(__xludf.DUMMYFUNCTION("""COMPUTED_VALUE"""),0.4332784184514)</f>
        <v>0.4332784185</v>
      </c>
      <c r="G247" s="8">
        <f>IFERROR(__xludf.DUMMYFUNCTION("""COMPUTED_VALUE"""),0.364172763747934)</f>
        <v>0.3641727637</v>
      </c>
      <c r="H247" s="8">
        <f>IFERROR(__xludf.DUMMYFUNCTION("""COMPUTED_VALUE"""),0.337508863152918)</f>
        <v>0.3375088632</v>
      </c>
      <c r="I247" s="8">
        <f>IFERROR(__xludf.DUMMYFUNCTION("""COMPUTED_VALUE"""),0.315889178309258)</f>
        <v>0.3158891783</v>
      </c>
      <c r="J247" s="8">
        <f>IFERROR(__xludf.DUMMYFUNCTION("""COMPUTED_VALUE"""),0.298379408960915)</f>
        <v>0.298379409</v>
      </c>
      <c r="K247" s="8">
        <f>IFERROR(__xludf.DUMMYFUNCTION("""COMPUTED_VALUE"""),0.273120345904395)</f>
        <v>0.2731203459</v>
      </c>
      <c r="L247" s="8">
        <f>IFERROR(__xludf.DUMMYFUNCTION("""COMPUTED_VALUE"""),0.253579228342635)</f>
        <v>0.2535792283</v>
      </c>
      <c r="M247" s="8">
        <f>IFERROR(__xludf.DUMMYFUNCTION("""COMPUTED_VALUE"""),0.251680358476474)</f>
        <v>0.2516803585</v>
      </c>
      <c r="N247" s="8">
        <f>IFERROR(__xludf.DUMMYFUNCTION("""COMPUTED_VALUE"""),0.241862926700185)</f>
        <v>0.2418629267</v>
      </c>
      <c r="O247" s="8">
        <f>IFERROR(__xludf.DUMMYFUNCTION("""COMPUTED_VALUE"""),0.210583153347732)</f>
        <v>0.2105831533</v>
      </c>
      <c r="P247" s="8">
        <f>IFERROR(__xludf.DUMMYFUNCTION("""COMPUTED_VALUE"""),0.168650793650793)</f>
        <v>0.1686507937</v>
      </c>
      <c r="Q247" s="8">
        <f>IFERROR(__xludf.DUMMYFUNCTION("""COMPUTED_VALUE"""),0.125506072874493)</f>
        <v>0.1255060729</v>
      </c>
      <c r="R247" s="8">
        <f>IFERROR(__xludf.DUMMYFUNCTION("""COMPUTED_VALUE"""),0.0)</f>
        <v>0</v>
      </c>
      <c r="S247" s="8">
        <f>IFERROR(__xludf.DUMMYFUNCTION("""COMPUTED_VALUE"""),0.0)</f>
        <v>0</v>
      </c>
      <c r="T247" s="8">
        <f>IFERROR(__xludf.DUMMYFUNCTION("""COMPUTED_VALUE"""),0.0)</f>
        <v>0</v>
      </c>
      <c r="U247" s="8">
        <f>IFERROR(__xludf.DUMMYFUNCTION("""COMPUTED_VALUE"""),0.0)</f>
        <v>0</v>
      </c>
      <c r="V247" s="8">
        <f>IFERROR(__xludf.DUMMYFUNCTION("""COMPUTED_VALUE"""),0.0)</f>
        <v>0</v>
      </c>
      <c r="W247" s="8">
        <f>IFERROR(__xludf.DUMMYFUNCTION("""COMPUTED_VALUE"""),0.0)</f>
        <v>0</v>
      </c>
      <c r="X247" s="8">
        <f>IFERROR(__xludf.DUMMYFUNCTION("""COMPUTED_VALUE"""),0.0)</f>
        <v>0</v>
      </c>
      <c r="Y247" s="8">
        <f>IFERROR(__xludf.DUMMYFUNCTION("""COMPUTED_VALUE"""),0.0)</f>
        <v>0</v>
      </c>
      <c r="Z247" s="8">
        <f>IFERROR(__xludf.DUMMYFUNCTION("""COMPUTED_VALUE"""),0.0)</f>
        <v>0</v>
      </c>
      <c r="AA247" s="8">
        <f>IFERROR(__xludf.DUMMYFUNCTION("""COMPUTED_VALUE"""),0.0)</f>
        <v>0</v>
      </c>
      <c r="AB247" s="8">
        <f>IFERROR(__xludf.DUMMYFUNCTION("""COMPUTED_VALUE"""),0.0)</f>
        <v>0</v>
      </c>
      <c r="AC247" s="8">
        <f>IFERROR(__xludf.DUMMYFUNCTION("""COMPUTED_VALUE"""),0.0)</f>
        <v>0</v>
      </c>
    </row>
    <row r="248" ht="15.75" customHeight="1">
      <c r="A248" s="6" t="str">
        <f>IFERROR(__xludf.DUMMYFUNCTION("""COMPUTED_VALUE"""),"e168f716089521f9d1fe95769f273458c64e2ba9")</f>
        <v>e168f716089521f9d1fe95769f273458c64e2ba9</v>
      </c>
      <c r="B248" s="6" t="str">
        <f>IFERROR(__xludf.DUMMYFUNCTION("""COMPUTED_VALUE"""),"My Young Bodyguard")</f>
        <v>My Young Bodyguard</v>
      </c>
      <c r="C248" s="6" t="str">
        <f>IFERROR(__xludf.DUMMYFUNCTION("""COMPUTED_VALUE"""),"Drama")</f>
        <v>Drama</v>
      </c>
      <c r="D248" s="5">
        <f>IFERROR(__xludf.DUMMYFUNCTION("""COMPUTED_VALUE"""),874.0)</f>
        <v>874</v>
      </c>
      <c r="E248" s="8">
        <f>IFERROR(__xludf.DUMMYFUNCTION("""COMPUTED_VALUE"""),0.974741676234213)</f>
        <v>0.9747416762</v>
      </c>
      <c r="F248" s="8">
        <f>IFERROR(__xludf.DUMMYFUNCTION("""COMPUTED_VALUE"""),0.539551357733175)</f>
        <v>0.5395513577</v>
      </c>
      <c r="G248" s="8">
        <f>IFERROR(__xludf.DUMMYFUNCTION("""COMPUTED_VALUE"""),0.477844311377245)</f>
        <v>0.4778443114</v>
      </c>
      <c r="H248" s="8">
        <f>IFERROR(__xludf.DUMMYFUNCTION("""COMPUTED_VALUE"""),0.438202247191011)</f>
        <v>0.4382022472</v>
      </c>
      <c r="I248" s="8">
        <f>IFERROR(__xludf.DUMMYFUNCTION("""COMPUTED_VALUE"""),0.393041237113402)</f>
        <v>0.3930412371</v>
      </c>
      <c r="J248" s="8">
        <f>IFERROR(__xludf.DUMMYFUNCTION("""COMPUTED_VALUE"""),0.392761394101876)</f>
        <v>0.3927613941</v>
      </c>
      <c r="K248" s="8">
        <f>IFERROR(__xludf.DUMMYFUNCTION("""COMPUTED_VALUE"""),0.369080779944289)</f>
        <v>0.3690807799</v>
      </c>
      <c r="L248" s="8">
        <f>IFERROR(__xludf.DUMMYFUNCTION("""COMPUTED_VALUE"""),0.34880239520958)</f>
        <v>0.3488023952</v>
      </c>
      <c r="M248" s="8">
        <f>IFERROR(__xludf.DUMMYFUNCTION("""COMPUTED_VALUE"""),0.330203442879499)</f>
        <v>0.3302034429</v>
      </c>
      <c r="N248" s="8">
        <f>IFERROR(__xludf.DUMMYFUNCTION("""COMPUTED_VALUE"""),0.297734627831715)</f>
        <v>0.2977346278</v>
      </c>
      <c r="O248" s="8">
        <f>IFERROR(__xludf.DUMMYFUNCTION("""COMPUTED_VALUE"""),0.232876712328767)</f>
        <v>0.2328767123</v>
      </c>
      <c r="P248" s="8">
        <f>IFERROR(__xludf.DUMMYFUNCTION("""COMPUTED_VALUE"""),0.2018779342723)</f>
        <v>0.2018779343</v>
      </c>
      <c r="Q248" s="8">
        <f>IFERROR(__xludf.DUMMYFUNCTION("""COMPUTED_VALUE"""),0.154411764705882)</f>
        <v>0.1544117647</v>
      </c>
      <c r="R248" s="8">
        <f>IFERROR(__xludf.DUMMYFUNCTION("""COMPUTED_VALUE"""),0.0806451612903225)</f>
        <v>0.08064516129</v>
      </c>
      <c r="S248" s="8">
        <f>IFERROR(__xludf.DUMMYFUNCTION("""COMPUTED_VALUE"""),0.0)</f>
        <v>0</v>
      </c>
      <c r="T248" s="8">
        <f>IFERROR(__xludf.DUMMYFUNCTION("""COMPUTED_VALUE"""),0.0)</f>
        <v>0</v>
      </c>
      <c r="U248" s="8">
        <f>IFERROR(__xludf.DUMMYFUNCTION("""COMPUTED_VALUE"""),0.0)</f>
        <v>0</v>
      </c>
      <c r="V248" s="8">
        <f>IFERROR(__xludf.DUMMYFUNCTION("""COMPUTED_VALUE"""),0.0)</f>
        <v>0</v>
      </c>
      <c r="W248" s="8">
        <f>IFERROR(__xludf.DUMMYFUNCTION("""COMPUTED_VALUE"""),0.0)</f>
        <v>0</v>
      </c>
      <c r="X248" s="8">
        <f>IFERROR(__xludf.DUMMYFUNCTION("""COMPUTED_VALUE"""),0.0)</f>
        <v>0</v>
      </c>
      <c r="Y248" s="8">
        <f>IFERROR(__xludf.DUMMYFUNCTION("""COMPUTED_VALUE"""),0.0)</f>
        <v>0</v>
      </c>
      <c r="Z248" s="8">
        <f>IFERROR(__xludf.DUMMYFUNCTION("""COMPUTED_VALUE"""),0.0)</f>
        <v>0</v>
      </c>
      <c r="AA248" s="8">
        <f>IFERROR(__xludf.DUMMYFUNCTION("""COMPUTED_VALUE"""),0.0)</f>
        <v>0</v>
      </c>
      <c r="AB248" s="8">
        <f>IFERROR(__xludf.DUMMYFUNCTION("""COMPUTED_VALUE"""),0.0)</f>
        <v>0</v>
      </c>
      <c r="AC248" s="8">
        <f>IFERROR(__xludf.DUMMYFUNCTION("""COMPUTED_VALUE"""),0.0)</f>
        <v>0</v>
      </c>
    </row>
    <row r="249" ht="15.75" customHeight="1">
      <c r="A249" s="6" t="str">
        <f>IFERROR(__xludf.DUMMYFUNCTION("""COMPUTED_VALUE"""),"e1e025613df0bb24a28711b19cbefdbc254e0c21")</f>
        <v>e1e025613df0bb24a28711b19cbefdbc254e0c21</v>
      </c>
      <c r="B249" s="6" t="str">
        <f>IFERROR(__xludf.DUMMYFUNCTION("""COMPUTED_VALUE"""),"The Ceo Hidden Bride")</f>
        <v>The Ceo Hidden Bride</v>
      </c>
      <c r="C249" s="6" t="str">
        <f>IFERROR(__xludf.DUMMYFUNCTION("""COMPUTED_VALUE"""),"Romance")</f>
        <v>Romance</v>
      </c>
      <c r="D249" s="5">
        <f>IFERROR(__xludf.DUMMYFUNCTION("""COMPUTED_VALUE"""),969.0)</f>
        <v>969</v>
      </c>
      <c r="E249" s="8">
        <f>IFERROR(__xludf.DUMMYFUNCTION("""COMPUTED_VALUE"""),0.969128996692392)</f>
        <v>0.9691289967</v>
      </c>
      <c r="F249" s="8">
        <f>IFERROR(__xludf.DUMMYFUNCTION("""COMPUTED_VALUE"""),0.552119129438717)</f>
        <v>0.5521191294</v>
      </c>
      <c r="G249" s="8">
        <f>IFERROR(__xludf.DUMMYFUNCTION("""COMPUTED_VALUE"""),0.458672875436554)</f>
        <v>0.4586728754</v>
      </c>
      <c r="H249" s="8">
        <f>IFERROR(__xludf.DUMMYFUNCTION("""COMPUTED_VALUE"""),0.404454865181711)</f>
        <v>0.4044548652</v>
      </c>
      <c r="I249" s="8">
        <f>IFERROR(__xludf.DUMMYFUNCTION("""COMPUTED_VALUE"""),0.366548042704626)</f>
        <v>0.3665480427</v>
      </c>
      <c r="J249" s="8">
        <f>IFERROR(__xludf.DUMMYFUNCTION("""COMPUTED_VALUE"""),0.342682926829268)</f>
        <v>0.3426829268</v>
      </c>
      <c r="K249" s="8">
        <f>IFERROR(__xludf.DUMMYFUNCTION("""COMPUTED_VALUE"""),0.333753148614609)</f>
        <v>0.3337531486</v>
      </c>
      <c r="L249" s="8">
        <f>IFERROR(__xludf.DUMMYFUNCTION("""COMPUTED_VALUE"""),0.310533515731874)</f>
        <v>0.3105335157</v>
      </c>
      <c r="M249" s="8">
        <f>IFERROR(__xludf.DUMMYFUNCTION("""COMPUTED_VALUE"""),0.295874822190611)</f>
        <v>0.2958748222</v>
      </c>
      <c r="N249" s="8">
        <f>IFERROR(__xludf.DUMMYFUNCTION("""COMPUTED_VALUE"""),0.285060975609756)</f>
        <v>0.2850609756</v>
      </c>
      <c r="O249" s="8">
        <f>IFERROR(__xludf.DUMMYFUNCTION("""COMPUTED_VALUE"""),0.211981566820276)</f>
        <v>0.2119815668</v>
      </c>
      <c r="P249" s="8">
        <f>IFERROR(__xludf.DUMMYFUNCTION("""COMPUTED_VALUE"""),0.181176470588235)</f>
        <v>0.1811764706</v>
      </c>
      <c r="Q249" s="8">
        <f>IFERROR(__xludf.DUMMYFUNCTION("""COMPUTED_VALUE"""),0.0)</f>
        <v>0</v>
      </c>
      <c r="R249" s="8">
        <f>IFERROR(__xludf.DUMMYFUNCTION("""COMPUTED_VALUE"""),0.0)</f>
        <v>0</v>
      </c>
      <c r="S249" s="8">
        <f>IFERROR(__xludf.DUMMYFUNCTION("""COMPUTED_VALUE"""),0.0)</f>
        <v>0</v>
      </c>
      <c r="T249" s="8">
        <f>IFERROR(__xludf.DUMMYFUNCTION("""COMPUTED_VALUE"""),0.0)</f>
        <v>0</v>
      </c>
      <c r="U249" s="8">
        <f>IFERROR(__xludf.DUMMYFUNCTION("""COMPUTED_VALUE"""),0.0)</f>
        <v>0</v>
      </c>
      <c r="V249" s="8">
        <f>IFERROR(__xludf.DUMMYFUNCTION("""COMPUTED_VALUE"""),0.0)</f>
        <v>0</v>
      </c>
      <c r="W249" s="8">
        <f>IFERROR(__xludf.DUMMYFUNCTION("""COMPUTED_VALUE"""),0.0)</f>
        <v>0</v>
      </c>
      <c r="X249" s="8">
        <f>IFERROR(__xludf.DUMMYFUNCTION("""COMPUTED_VALUE"""),0.0)</f>
        <v>0</v>
      </c>
      <c r="Y249" s="8">
        <f>IFERROR(__xludf.DUMMYFUNCTION("""COMPUTED_VALUE"""),0.0)</f>
        <v>0</v>
      </c>
      <c r="Z249" s="8">
        <f>IFERROR(__xludf.DUMMYFUNCTION("""COMPUTED_VALUE"""),0.0)</f>
        <v>0</v>
      </c>
      <c r="AA249" s="8">
        <f>IFERROR(__xludf.DUMMYFUNCTION("""COMPUTED_VALUE"""),0.0)</f>
        <v>0</v>
      </c>
      <c r="AB249" s="8">
        <f>IFERROR(__xludf.DUMMYFUNCTION("""COMPUTED_VALUE"""),0.0)</f>
        <v>0</v>
      </c>
      <c r="AC249" s="8">
        <f>IFERROR(__xludf.DUMMYFUNCTION("""COMPUTED_VALUE"""),0.0)</f>
        <v>0</v>
      </c>
    </row>
    <row r="250" ht="15.75" customHeight="1">
      <c r="A250" s="6" t="str">
        <f>IFERROR(__xludf.DUMMYFUNCTION("""COMPUTED_VALUE"""),"e2f077e58449b7e3e415bd16eb5bb755606936b6")</f>
        <v>e2f077e58449b7e3e415bd16eb5bb755606936b6</v>
      </c>
      <c r="B250" s="6" t="str">
        <f>IFERROR(__xludf.DUMMYFUNCTION("""COMPUTED_VALUE"""),"Powerless Heir to Throne")</f>
        <v>Powerless Heir to Throne</v>
      </c>
      <c r="C250" s="6" t="str">
        <f>IFERROR(__xludf.DUMMYFUNCTION("""COMPUTED_VALUE"""),"System and Superpower")</f>
        <v>System and Superpower</v>
      </c>
      <c r="D250" s="5">
        <f>IFERROR(__xludf.DUMMYFUNCTION("""COMPUTED_VALUE"""),1115.0)</f>
        <v>1115</v>
      </c>
      <c r="E250" s="8">
        <f>IFERROR(__xludf.DUMMYFUNCTION("""COMPUTED_VALUE"""),0.953279424977538)</f>
        <v>0.953279425</v>
      </c>
      <c r="F250" s="8">
        <f>IFERROR(__xludf.DUMMYFUNCTION("""COMPUTED_VALUE"""),0.663063063063063)</f>
        <v>0.6630630631</v>
      </c>
      <c r="G250" s="8">
        <f>IFERROR(__xludf.DUMMYFUNCTION("""COMPUTED_VALUE"""),0.608303249097472)</f>
        <v>0.6083032491</v>
      </c>
      <c r="H250" s="8">
        <f>IFERROR(__xludf.DUMMYFUNCTION("""COMPUTED_VALUE"""),0.56509945750452)</f>
        <v>0.5650994575</v>
      </c>
      <c r="I250" s="8">
        <f>IFERROR(__xludf.DUMMYFUNCTION("""COMPUTED_VALUE"""),0.501359927470534)</f>
        <v>0.5013599275</v>
      </c>
      <c r="J250" s="8">
        <f>IFERROR(__xludf.DUMMYFUNCTION("""COMPUTED_VALUE"""),0.466302367941712)</f>
        <v>0.4663023679</v>
      </c>
      <c r="K250" s="8">
        <f>IFERROR(__xludf.DUMMYFUNCTION("""COMPUTED_VALUE"""),0.432876712328767)</f>
        <v>0.4328767123</v>
      </c>
      <c r="L250" s="8">
        <f>IFERROR(__xludf.DUMMYFUNCTION("""COMPUTED_VALUE"""),0.403476669716376)</f>
        <v>0.4034766697</v>
      </c>
      <c r="M250" s="8">
        <f>IFERROR(__xludf.DUMMYFUNCTION("""COMPUTED_VALUE"""),0.38003663003663)</f>
        <v>0.38003663</v>
      </c>
      <c r="N250" s="8">
        <f>IFERROR(__xludf.DUMMYFUNCTION("""COMPUTED_VALUE"""),0.364802933088909)</f>
        <v>0.3648029331</v>
      </c>
      <c r="O250" s="8">
        <f>IFERROR(__xludf.DUMMYFUNCTION("""COMPUTED_VALUE"""),0.302830188679245)</f>
        <v>0.3028301887</v>
      </c>
      <c r="P250" s="8">
        <f>IFERROR(__xludf.DUMMYFUNCTION("""COMPUTED_VALUE"""),0.220647773279352)</f>
        <v>0.2206477733</v>
      </c>
      <c r="Q250" s="8">
        <f>IFERROR(__xludf.DUMMYFUNCTION("""COMPUTED_VALUE"""),0.141534391534391)</f>
        <v>0.1415343915</v>
      </c>
      <c r="R250" s="8">
        <f>IFERROR(__xludf.DUMMYFUNCTION("""COMPUTED_VALUE"""),0.0917293233082706)</f>
        <v>0.09172932331</v>
      </c>
      <c r="S250" s="8">
        <f>IFERROR(__xludf.DUMMYFUNCTION("""COMPUTED_VALUE"""),0.142857142857142)</f>
        <v>0.1428571429</v>
      </c>
      <c r="T250" s="8">
        <f>IFERROR(__xludf.DUMMYFUNCTION("""COMPUTED_VALUE"""),0.0)</f>
        <v>0</v>
      </c>
      <c r="U250" s="8">
        <f>IFERROR(__xludf.DUMMYFUNCTION("""COMPUTED_VALUE"""),0.0)</f>
        <v>0</v>
      </c>
      <c r="V250" s="8">
        <f>IFERROR(__xludf.DUMMYFUNCTION("""COMPUTED_VALUE"""),0.0)</f>
        <v>0</v>
      </c>
      <c r="W250" s="8">
        <f>IFERROR(__xludf.DUMMYFUNCTION("""COMPUTED_VALUE"""),0.0)</f>
        <v>0</v>
      </c>
      <c r="X250" s="8">
        <f>IFERROR(__xludf.DUMMYFUNCTION("""COMPUTED_VALUE"""),0.0)</f>
        <v>0</v>
      </c>
      <c r="Y250" s="8">
        <f>IFERROR(__xludf.DUMMYFUNCTION("""COMPUTED_VALUE"""),0.0)</f>
        <v>0</v>
      </c>
      <c r="Z250" s="8">
        <f>IFERROR(__xludf.DUMMYFUNCTION("""COMPUTED_VALUE"""),0.0)</f>
        <v>0</v>
      </c>
      <c r="AA250" s="8">
        <f>IFERROR(__xludf.DUMMYFUNCTION("""COMPUTED_VALUE"""),0.0)</f>
        <v>0</v>
      </c>
      <c r="AB250" s="8">
        <f>IFERROR(__xludf.DUMMYFUNCTION("""COMPUTED_VALUE"""),0.0)</f>
        <v>0</v>
      </c>
      <c r="AC250" s="8">
        <f>IFERROR(__xludf.DUMMYFUNCTION("""COMPUTED_VALUE"""),0.0)</f>
        <v>0</v>
      </c>
    </row>
    <row r="251" ht="15.75" customHeight="1">
      <c r="A251" s="6" t="str">
        <f>IFERROR(__xludf.DUMMYFUNCTION("""COMPUTED_VALUE"""),"e3ea22ad9a736918a7619bfed3abf1f862c9bdb2")</f>
        <v>e3ea22ad9a736918a7619bfed3abf1f862c9bdb2</v>
      </c>
      <c r="B251" s="6" t="str">
        <f>IFERROR(__xludf.DUMMYFUNCTION("""COMPUTED_VALUE"""),"The Empress's Cold Return")</f>
        <v>The Empress's Cold Return</v>
      </c>
      <c r="C251" s="6" t="str">
        <f>IFERROR(__xludf.DUMMYFUNCTION("""COMPUTED_VALUE"""),"Drama")</f>
        <v>Drama</v>
      </c>
      <c r="D251" s="5">
        <f>IFERROR(__xludf.DUMMYFUNCTION("""COMPUTED_VALUE"""),838.0)</f>
        <v>838</v>
      </c>
      <c r="E251" s="8">
        <f>IFERROR(__xludf.DUMMYFUNCTION("""COMPUTED_VALUE"""),0.964200477326969)</f>
        <v>0.9642004773</v>
      </c>
      <c r="F251" s="8">
        <f>IFERROR(__xludf.DUMMYFUNCTION("""COMPUTED_VALUE"""),0.545346062052506)</f>
        <v>0.5453460621</v>
      </c>
      <c r="G251" s="8">
        <f>IFERROR(__xludf.DUMMYFUNCTION("""COMPUTED_VALUE"""),0.446300715990453)</f>
        <v>0.446300716</v>
      </c>
      <c r="H251" s="8">
        <f>IFERROR(__xludf.DUMMYFUNCTION("""COMPUTED_VALUE"""),0.400954653937947)</f>
        <v>0.4009546539</v>
      </c>
      <c r="I251" s="8">
        <f>IFERROR(__xludf.DUMMYFUNCTION("""COMPUTED_VALUE"""),0.372759856630824)</f>
        <v>0.3727598566</v>
      </c>
      <c r="J251" s="8">
        <f>IFERROR(__xludf.DUMMYFUNCTION("""COMPUTED_VALUE"""),0.354838709677419)</f>
        <v>0.3548387097</v>
      </c>
      <c r="K251" s="8">
        <f>IFERROR(__xludf.DUMMYFUNCTION("""COMPUTED_VALUE"""),0.321770334928229)</f>
        <v>0.3217703349</v>
      </c>
      <c r="L251" s="8">
        <f>IFERROR(__xludf.DUMMYFUNCTION("""COMPUTED_VALUE"""),0.323353293413173)</f>
        <v>0.3233532934</v>
      </c>
      <c r="M251" s="8">
        <f>IFERROR(__xludf.DUMMYFUNCTION("""COMPUTED_VALUE"""),0.285714285714285)</f>
        <v>0.2857142857</v>
      </c>
      <c r="N251" s="8">
        <f>IFERROR(__xludf.DUMMYFUNCTION("""COMPUTED_VALUE"""),0.279711884753901)</f>
        <v>0.2797118848</v>
      </c>
      <c r="O251" s="8">
        <f>IFERROR(__xludf.DUMMYFUNCTION("""COMPUTED_VALUE"""),0.228260869565217)</f>
        <v>0.2282608696</v>
      </c>
      <c r="P251" s="8">
        <f>IFERROR(__xludf.DUMMYFUNCTION("""COMPUTED_VALUE"""),0.16986301369863)</f>
        <v>0.1698630137</v>
      </c>
      <c r="Q251" s="8">
        <f>IFERROR(__xludf.DUMMYFUNCTION("""COMPUTED_VALUE"""),0.076171875)</f>
        <v>0.076171875</v>
      </c>
      <c r="R251" s="8">
        <f>IFERROR(__xludf.DUMMYFUNCTION("""COMPUTED_VALUE"""),0.0428571428571428)</f>
        <v>0.04285714286</v>
      </c>
      <c r="S251" s="8">
        <f>IFERROR(__xludf.DUMMYFUNCTION("""COMPUTED_VALUE"""),0.0)</f>
        <v>0</v>
      </c>
      <c r="T251" s="8">
        <f>IFERROR(__xludf.DUMMYFUNCTION("""COMPUTED_VALUE"""),0.0)</f>
        <v>0</v>
      </c>
      <c r="U251" s="8">
        <f>IFERROR(__xludf.DUMMYFUNCTION("""COMPUTED_VALUE"""),0.0)</f>
        <v>0</v>
      </c>
      <c r="V251" s="8">
        <f>IFERROR(__xludf.DUMMYFUNCTION("""COMPUTED_VALUE"""),0.0)</f>
        <v>0</v>
      </c>
      <c r="W251" s="8">
        <f>IFERROR(__xludf.DUMMYFUNCTION("""COMPUTED_VALUE"""),0.0)</f>
        <v>0</v>
      </c>
      <c r="X251" s="8">
        <f>IFERROR(__xludf.DUMMYFUNCTION("""COMPUTED_VALUE"""),0.0)</f>
        <v>0</v>
      </c>
      <c r="Y251" s="8">
        <f>IFERROR(__xludf.DUMMYFUNCTION("""COMPUTED_VALUE"""),0.0)</f>
        <v>0</v>
      </c>
      <c r="Z251" s="8">
        <f>IFERROR(__xludf.DUMMYFUNCTION("""COMPUTED_VALUE"""),0.0)</f>
        <v>0</v>
      </c>
      <c r="AA251" s="8">
        <f>IFERROR(__xludf.DUMMYFUNCTION("""COMPUTED_VALUE"""),0.0)</f>
        <v>0</v>
      </c>
      <c r="AB251" s="8">
        <f>IFERROR(__xludf.DUMMYFUNCTION("""COMPUTED_VALUE"""),0.0)</f>
        <v>0</v>
      </c>
      <c r="AC251" s="8">
        <f>IFERROR(__xludf.DUMMYFUNCTION("""COMPUTED_VALUE"""),0.0)</f>
        <v>0</v>
      </c>
    </row>
    <row r="252" ht="15.75" customHeight="1">
      <c r="A252" s="6" t="str">
        <f>IFERROR(__xludf.DUMMYFUNCTION("""COMPUTED_VALUE"""),"e40505b31ca87f2f6b736e3f18b3e9f46e21cd04")</f>
        <v>e40505b31ca87f2f6b736e3f18b3e9f46e21cd04</v>
      </c>
      <c r="B252" s="6" t="str">
        <f>IFERROR(__xludf.DUMMYFUNCTION("""COMPUTED_VALUE"""),"My Dragonic System")</f>
        <v>My Dragonic System</v>
      </c>
      <c r="C252" s="6" t="str">
        <f>IFERROR(__xludf.DUMMYFUNCTION("""COMPUTED_VALUE"""),"System and Superpower")</f>
        <v>System and Superpower</v>
      </c>
      <c r="D252" s="5">
        <f>IFERROR(__xludf.DUMMYFUNCTION("""COMPUTED_VALUE"""),55978.0)</f>
        <v>55978</v>
      </c>
      <c r="E252" s="8">
        <f>IFERROR(__xludf.DUMMYFUNCTION("""COMPUTED_VALUE"""),0.929333237894134)</f>
        <v>0.9293332379</v>
      </c>
      <c r="F252" s="8">
        <f>IFERROR(__xludf.DUMMYFUNCTION("""COMPUTED_VALUE"""),0.556699921050742)</f>
        <v>0.5566999211</v>
      </c>
      <c r="G252" s="8">
        <f>IFERROR(__xludf.DUMMYFUNCTION("""COMPUTED_VALUE"""),0.502689380992642)</f>
        <v>0.502689381</v>
      </c>
      <c r="H252" s="8">
        <f>IFERROR(__xludf.DUMMYFUNCTION("""COMPUTED_VALUE"""),0.468250820322359)</f>
        <v>0.4682508203</v>
      </c>
      <c r="I252" s="8">
        <f>IFERROR(__xludf.DUMMYFUNCTION("""COMPUTED_VALUE"""),0.449395128478689)</f>
        <v>0.4493951285</v>
      </c>
      <c r="J252" s="8">
        <f>IFERROR(__xludf.DUMMYFUNCTION("""COMPUTED_VALUE"""),0.433314595535568)</f>
        <v>0.4333145955</v>
      </c>
      <c r="K252" s="8">
        <f>IFERROR(__xludf.DUMMYFUNCTION("""COMPUTED_VALUE"""),0.417327272727272)</f>
        <v>0.4173272727</v>
      </c>
      <c r="L252" s="8">
        <f>IFERROR(__xludf.DUMMYFUNCTION("""COMPUTED_VALUE"""),0.405580495638526)</f>
        <v>0.4055804956</v>
      </c>
      <c r="M252" s="8">
        <f>IFERROR(__xludf.DUMMYFUNCTION("""COMPUTED_VALUE"""),0.393450733906287)</f>
        <v>0.3934507339</v>
      </c>
      <c r="N252" s="8">
        <f>IFERROR(__xludf.DUMMYFUNCTION("""COMPUTED_VALUE"""),0.383330270170924)</f>
        <v>0.3833302702</v>
      </c>
      <c r="O252" s="8">
        <f>IFERROR(__xludf.DUMMYFUNCTION("""COMPUTED_VALUE"""),0.360433807030665)</f>
        <v>0.360433807</v>
      </c>
      <c r="P252" s="8">
        <f>IFERROR(__xludf.DUMMYFUNCTION("""COMPUTED_VALUE"""),0.305511315598025)</f>
        <v>0.3055113156</v>
      </c>
      <c r="Q252" s="8">
        <f>IFERROR(__xludf.DUMMYFUNCTION("""COMPUTED_VALUE"""),0.239395158728477)</f>
        <v>0.2393951587</v>
      </c>
      <c r="R252" s="8">
        <f>IFERROR(__xludf.DUMMYFUNCTION("""COMPUTED_VALUE"""),0.199335384615384)</f>
        <v>0.1993353846</v>
      </c>
      <c r="S252" s="8">
        <f>IFERROR(__xludf.DUMMYFUNCTION("""COMPUTED_VALUE"""),0.168255218589996)</f>
        <v>0.1682552186</v>
      </c>
      <c r="T252" s="8">
        <f>IFERROR(__xludf.DUMMYFUNCTION("""COMPUTED_VALUE"""),0.122901506904257)</f>
        <v>0.1229015069</v>
      </c>
      <c r="U252" s="8">
        <f>IFERROR(__xludf.DUMMYFUNCTION("""COMPUTED_VALUE"""),0.0969242698371672)</f>
        <v>0.09692426984</v>
      </c>
      <c r="V252" s="8">
        <f>IFERROR(__xludf.DUMMYFUNCTION("""COMPUTED_VALUE"""),0.0)</f>
        <v>0</v>
      </c>
      <c r="W252" s="8">
        <f>IFERROR(__xludf.DUMMYFUNCTION("""COMPUTED_VALUE"""),0.0)</f>
        <v>0</v>
      </c>
      <c r="X252" s="8">
        <f>IFERROR(__xludf.DUMMYFUNCTION("""COMPUTED_VALUE"""),0.0)</f>
        <v>0</v>
      </c>
      <c r="Y252" s="8">
        <f>IFERROR(__xludf.DUMMYFUNCTION("""COMPUTED_VALUE"""),0.0)</f>
        <v>0</v>
      </c>
      <c r="Z252" s="8">
        <f>IFERROR(__xludf.DUMMYFUNCTION("""COMPUTED_VALUE"""),0.0)</f>
        <v>0</v>
      </c>
      <c r="AA252" s="8">
        <f>IFERROR(__xludf.DUMMYFUNCTION("""COMPUTED_VALUE"""),0.0)</f>
        <v>0</v>
      </c>
      <c r="AB252" s="8">
        <f>IFERROR(__xludf.DUMMYFUNCTION("""COMPUTED_VALUE"""),0.0)</f>
        <v>0</v>
      </c>
      <c r="AC252" s="8">
        <f>IFERROR(__xludf.DUMMYFUNCTION("""COMPUTED_VALUE"""),0.0)</f>
        <v>0</v>
      </c>
    </row>
    <row r="253" ht="15.75" customHeight="1">
      <c r="A253" s="6" t="str">
        <f>IFERROR(__xludf.DUMMYFUNCTION("""COMPUTED_VALUE"""),"e5b71f4b40481cb15ce33532df56be566352534e")</f>
        <v>e5b71f4b40481cb15ce33532df56be566352534e</v>
      </c>
      <c r="B253" s="6" t="str">
        <f>IFERROR(__xludf.DUMMYFUNCTION("""COMPUTED_VALUE"""),"Rewind and Rise")</f>
        <v>Rewind and Rise</v>
      </c>
      <c r="C253" s="6" t="str">
        <f>IFERROR(__xludf.DUMMYFUNCTION("""COMPUTED_VALUE"""),"Romantasy")</f>
        <v>Romantasy</v>
      </c>
      <c r="D253" s="5">
        <f>IFERROR(__xludf.DUMMYFUNCTION("""COMPUTED_VALUE"""),386.0)</f>
        <v>386</v>
      </c>
      <c r="E253" s="8">
        <f>IFERROR(__xludf.DUMMYFUNCTION("""COMPUTED_VALUE"""),0.975675675675675)</f>
        <v>0.9756756757</v>
      </c>
      <c r="F253" s="8">
        <f>IFERROR(__xludf.DUMMYFUNCTION("""COMPUTED_VALUE"""),0.714697406340057)</f>
        <v>0.7146974063</v>
      </c>
      <c r="G253" s="8">
        <f>IFERROR(__xludf.DUMMYFUNCTION("""COMPUTED_VALUE"""),0.629080118694362)</f>
        <v>0.6290801187</v>
      </c>
      <c r="H253" s="8">
        <f>IFERROR(__xludf.DUMMYFUNCTION("""COMPUTED_VALUE"""),0.572327044025157)</f>
        <v>0.572327044</v>
      </c>
      <c r="I253" s="8">
        <f>IFERROR(__xludf.DUMMYFUNCTION("""COMPUTED_VALUE"""),0.549206349206349)</f>
        <v>0.5492063492</v>
      </c>
      <c r="J253" s="8">
        <f>IFERROR(__xludf.DUMMYFUNCTION("""COMPUTED_VALUE"""),0.506535947712418)</f>
        <v>0.5065359477</v>
      </c>
      <c r="K253" s="8">
        <f>IFERROR(__xludf.DUMMYFUNCTION("""COMPUTED_VALUE"""),0.508650519031141)</f>
        <v>0.508650519</v>
      </c>
      <c r="L253" s="8">
        <f>IFERROR(__xludf.DUMMYFUNCTION("""COMPUTED_VALUE"""),0.471311475409836)</f>
        <v>0.4713114754</v>
      </c>
      <c r="M253" s="8">
        <f>IFERROR(__xludf.DUMMYFUNCTION("""COMPUTED_VALUE"""),0.457264957264957)</f>
        <v>0.4572649573</v>
      </c>
      <c r="N253" s="8">
        <f>IFERROR(__xludf.DUMMYFUNCTION("""COMPUTED_VALUE"""),0.456221198156682)</f>
        <v>0.4562211982</v>
      </c>
      <c r="O253" s="8">
        <f>IFERROR(__xludf.DUMMYFUNCTION("""COMPUTED_VALUE"""),0.360294117647058)</f>
        <v>0.3602941176</v>
      </c>
      <c r="P253" s="8">
        <f>IFERROR(__xludf.DUMMYFUNCTION("""COMPUTED_VALUE"""),0.322222222222222)</f>
        <v>0.3222222222</v>
      </c>
      <c r="Q253" s="8">
        <f>IFERROR(__xludf.DUMMYFUNCTION("""COMPUTED_VALUE"""),0.0)</f>
        <v>0</v>
      </c>
      <c r="R253" s="8">
        <f>IFERROR(__xludf.DUMMYFUNCTION("""COMPUTED_VALUE"""),0.0)</f>
        <v>0</v>
      </c>
      <c r="S253" s="8">
        <f>IFERROR(__xludf.DUMMYFUNCTION("""COMPUTED_VALUE"""),0.0)</f>
        <v>0</v>
      </c>
      <c r="T253" s="8">
        <f>IFERROR(__xludf.DUMMYFUNCTION("""COMPUTED_VALUE"""),0.0)</f>
        <v>0</v>
      </c>
      <c r="U253" s="8">
        <f>IFERROR(__xludf.DUMMYFUNCTION("""COMPUTED_VALUE"""),0.0)</f>
        <v>0</v>
      </c>
      <c r="V253" s="8">
        <f>IFERROR(__xludf.DUMMYFUNCTION("""COMPUTED_VALUE"""),0.0)</f>
        <v>0</v>
      </c>
      <c r="W253" s="8">
        <f>IFERROR(__xludf.DUMMYFUNCTION("""COMPUTED_VALUE"""),0.0)</f>
        <v>0</v>
      </c>
      <c r="X253" s="8">
        <f>IFERROR(__xludf.DUMMYFUNCTION("""COMPUTED_VALUE"""),0.0)</f>
        <v>0</v>
      </c>
      <c r="Y253" s="8">
        <f>IFERROR(__xludf.DUMMYFUNCTION("""COMPUTED_VALUE"""),0.0)</f>
        <v>0</v>
      </c>
      <c r="Z253" s="8">
        <f>IFERROR(__xludf.DUMMYFUNCTION("""COMPUTED_VALUE"""),0.0)</f>
        <v>0</v>
      </c>
      <c r="AA253" s="8">
        <f>IFERROR(__xludf.DUMMYFUNCTION("""COMPUTED_VALUE"""),0.0)</f>
        <v>0</v>
      </c>
      <c r="AB253" s="8">
        <f>IFERROR(__xludf.DUMMYFUNCTION("""COMPUTED_VALUE"""),0.0)</f>
        <v>0</v>
      </c>
      <c r="AC253" s="8">
        <f>IFERROR(__xludf.DUMMYFUNCTION("""COMPUTED_VALUE"""),0.0)</f>
        <v>0</v>
      </c>
    </row>
    <row r="254" ht="15.75" customHeight="1">
      <c r="A254" s="6" t="str">
        <f>IFERROR(__xludf.DUMMYFUNCTION("""COMPUTED_VALUE"""),"e79ceb682265a42fb44c988f861c20672776f19d")</f>
        <v>e79ceb682265a42fb44c988f861c20672776f19d</v>
      </c>
      <c r="B254" s="6" t="str">
        <f>IFERROR(__xludf.DUMMYFUNCTION("""COMPUTED_VALUE"""),"Faction of Unity: Wyrmara")</f>
        <v>Faction of Unity: Wyrmara</v>
      </c>
      <c r="C254" s="6" t="str">
        <f>IFERROR(__xludf.DUMMYFUNCTION("""COMPUTED_VALUE"""),"Fantasy")</f>
        <v>Fantasy</v>
      </c>
      <c r="D254" s="5">
        <f>IFERROR(__xludf.DUMMYFUNCTION("""COMPUTED_VALUE"""),267.0)</f>
        <v>267</v>
      </c>
      <c r="E254" s="8">
        <f>IFERROR(__xludf.DUMMYFUNCTION("""COMPUTED_VALUE"""),0.958646616541353)</f>
        <v>0.9586466165</v>
      </c>
      <c r="F254" s="8">
        <f>IFERROR(__xludf.DUMMYFUNCTION("""COMPUTED_VALUE"""),0.424812030075188)</f>
        <v>0.4248120301</v>
      </c>
      <c r="G254" s="8">
        <f>IFERROR(__xludf.DUMMYFUNCTION("""COMPUTED_VALUE"""),0.349624060150375)</f>
        <v>0.3496240602</v>
      </c>
      <c r="H254" s="8">
        <f>IFERROR(__xludf.DUMMYFUNCTION("""COMPUTED_VALUE"""),0.312030075187969)</f>
        <v>0.3120300752</v>
      </c>
      <c r="I254" s="8">
        <f>IFERROR(__xludf.DUMMYFUNCTION("""COMPUTED_VALUE"""),0.270676691729323)</f>
        <v>0.2706766917</v>
      </c>
      <c r="J254" s="8">
        <f>IFERROR(__xludf.DUMMYFUNCTION("""COMPUTED_VALUE"""),0.25563909774436)</f>
        <v>0.2556390977</v>
      </c>
      <c r="K254" s="8">
        <f>IFERROR(__xludf.DUMMYFUNCTION("""COMPUTED_VALUE"""),0.240601503759398)</f>
        <v>0.2406015038</v>
      </c>
      <c r="L254" s="8">
        <f>IFERROR(__xludf.DUMMYFUNCTION("""COMPUTED_VALUE"""),0.21590909090909)</f>
        <v>0.2159090909</v>
      </c>
      <c r="M254" s="8">
        <f>IFERROR(__xludf.DUMMYFUNCTION("""COMPUTED_VALUE"""),0.204545454545454)</f>
        <v>0.2045454545</v>
      </c>
      <c r="N254" s="8">
        <f>IFERROR(__xludf.DUMMYFUNCTION("""COMPUTED_VALUE"""),0.209125475285171)</f>
        <v>0.2091254753</v>
      </c>
      <c r="O254" s="8">
        <f>IFERROR(__xludf.DUMMYFUNCTION("""COMPUTED_VALUE"""),0.172549019607843)</f>
        <v>0.1725490196</v>
      </c>
      <c r="P254" s="8">
        <f>IFERROR(__xludf.DUMMYFUNCTION("""COMPUTED_VALUE"""),0.0864197530864197)</f>
        <v>0.08641975309</v>
      </c>
      <c r="Q254" s="8">
        <f>IFERROR(__xludf.DUMMYFUNCTION("""COMPUTED_VALUE"""),0.0508474576271186)</f>
        <v>0.05084745763</v>
      </c>
      <c r="R254" s="8">
        <f>IFERROR(__xludf.DUMMYFUNCTION("""COMPUTED_VALUE"""),0.0869565217391304)</f>
        <v>0.08695652174</v>
      </c>
      <c r="S254" s="8">
        <f>IFERROR(__xludf.DUMMYFUNCTION("""COMPUTED_VALUE"""),0.0)</f>
        <v>0</v>
      </c>
      <c r="T254" s="8">
        <f>IFERROR(__xludf.DUMMYFUNCTION("""COMPUTED_VALUE"""),0.0)</f>
        <v>0</v>
      </c>
      <c r="U254" s="8">
        <f>IFERROR(__xludf.DUMMYFUNCTION("""COMPUTED_VALUE"""),0.0)</f>
        <v>0</v>
      </c>
      <c r="V254" s="8">
        <f>IFERROR(__xludf.DUMMYFUNCTION("""COMPUTED_VALUE"""),0.0)</f>
        <v>0</v>
      </c>
      <c r="W254" s="8">
        <f>IFERROR(__xludf.DUMMYFUNCTION("""COMPUTED_VALUE"""),0.0)</f>
        <v>0</v>
      </c>
      <c r="X254" s="8">
        <f>IFERROR(__xludf.DUMMYFUNCTION("""COMPUTED_VALUE"""),0.0)</f>
        <v>0</v>
      </c>
      <c r="Y254" s="8">
        <f>IFERROR(__xludf.DUMMYFUNCTION("""COMPUTED_VALUE"""),0.0)</f>
        <v>0</v>
      </c>
      <c r="Z254" s="8">
        <f>IFERROR(__xludf.DUMMYFUNCTION("""COMPUTED_VALUE"""),0.0)</f>
        <v>0</v>
      </c>
      <c r="AA254" s="8">
        <f>IFERROR(__xludf.DUMMYFUNCTION("""COMPUTED_VALUE"""),0.0)</f>
        <v>0</v>
      </c>
      <c r="AB254" s="8">
        <f>IFERROR(__xludf.DUMMYFUNCTION("""COMPUTED_VALUE"""),0.0)</f>
        <v>0</v>
      </c>
      <c r="AC254" s="8">
        <f>IFERROR(__xludf.DUMMYFUNCTION("""COMPUTED_VALUE"""),0.0)</f>
        <v>0</v>
      </c>
    </row>
    <row r="255" ht="15.75" customHeight="1">
      <c r="A255" s="6" t="str">
        <f>IFERROR(__xludf.DUMMYFUNCTION("""COMPUTED_VALUE"""),"e7a3ee79841762542e0eb645666b039c707001f5")</f>
        <v>e7a3ee79841762542e0eb645666b039c707001f5</v>
      </c>
      <c r="B255" s="6" t="str">
        <f>IFERROR(__xludf.DUMMYFUNCTION("""COMPUTED_VALUE"""),"Masked Prince's Princess")</f>
        <v>Masked Prince's Princess</v>
      </c>
      <c r="C255" s="6" t="str">
        <f>IFERROR(__xludf.DUMMYFUNCTION("""COMPUTED_VALUE"""),"Romance")</f>
        <v>Romance</v>
      </c>
      <c r="D255" s="5">
        <f>IFERROR(__xludf.DUMMYFUNCTION("""COMPUTED_VALUE"""),1378.0)</f>
        <v>1378</v>
      </c>
      <c r="E255" s="8">
        <f>IFERROR(__xludf.DUMMYFUNCTION("""COMPUTED_VALUE"""),0.961058045554739)</f>
        <v>0.9610580456</v>
      </c>
      <c r="F255" s="8">
        <f>IFERROR(__xludf.DUMMYFUNCTION("""COMPUTED_VALUE"""),0.531946508172362)</f>
        <v>0.5319465082</v>
      </c>
      <c r="G255" s="8">
        <f>IFERROR(__xludf.DUMMYFUNCTION("""COMPUTED_VALUE"""),0.472305389221556)</f>
        <v>0.4723053892</v>
      </c>
      <c r="H255" s="8">
        <f>IFERROR(__xludf.DUMMYFUNCTION("""COMPUTED_VALUE"""),0.428249436513899)</f>
        <v>0.4282494365</v>
      </c>
      <c r="I255" s="8">
        <f>IFERROR(__xludf.DUMMYFUNCTION("""COMPUTED_VALUE"""),0.393962264150943)</f>
        <v>0.3939622642</v>
      </c>
      <c r="J255" s="8">
        <f>IFERROR(__xludf.DUMMYFUNCTION("""COMPUTED_VALUE"""),0.373576309794988)</f>
        <v>0.3735763098</v>
      </c>
      <c r="K255" s="8">
        <f>IFERROR(__xludf.DUMMYFUNCTION("""COMPUTED_VALUE"""),0.369266055045871)</f>
        <v>0.369266055</v>
      </c>
      <c r="L255" s="8">
        <f>IFERROR(__xludf.DUMMYFUNCTION("""COMPUTED_VALUE"""),0.350269438029253)</f>
        <v>0.350269438</v>
      </c>
      <c r="M255" s="8">
        <f>IFERROR(__xludf.DUMMYFUNCTION("""COMPUTED_VALUE"""),0.335394126738794)</f>
        <v>0.3353941267</v>
      </c>
      <c r="N255" s="8">
        <f>IFERROR(__xludf.DUMMYFUNCTION("""COMPUTED_VALUE"""),0.322480620155038)</f>
        <v>0.3224806202</v>
      </c>
      <c r="O255" s="8">
        <f>IFERROR(__xludf.DUMMYFUNCTION("""COMPUTED_VALUE"""),0.294635708566853)</f>
        <v>0.2946357086</v>
      </c>
      <c r="P255" s="8">
        <f>IFERROR(__xludf.DUMMYFUNCTION("""COMPUTED_VALUE"""),0.258967629046369)</f>
        <v>0.258967629</v>
      </c>
      <c r="Q255" s="8">
        <f>IFERROR(__xludf.DUMMYFUNCTION("""COMPUTED_VALUE"""),0.209876543209876)</f>
        <v>0.2098765432</v>
      </c>
      <c r="R255" s="8">
        <f>IFERROR(__xludf.DUMMYFUNCTION("""COMPUTED_VALUE"""),0.185328185328185)</f>
        <v>0.1853281853</v>
      </c>
      <c r="S255" s="8">
        <f>IFERROR(__xludf.DUMMYFUNCTION("""COMPUTED_VALUE"""),0.133333333333333)</f>
        <v>0.1333333333</v>
      </c>
      <c r="T255" s="8">
        <f>IFERROR(__xludf.DUMMYFUNCTION("""COMPUTED_VALUE"""),0.0)</f>
        <v>0</v>
      </c>
      <c r="U255" s="8">
        <f>IFERROR(__xludf.DUMMYFUNCTION("""COMPUTED_VALUE"""),0.0)</f>
        <v>0</v>
      </c>
      <c r="V255" s="8">
        <f>IFERROR(__xludf.DUMMYFUNCTION("""COMPUTED_VALUE"""),0.0)</f>
        <v>0</v>
      </c>
      <c r="W255" s="8">
        <f>IFERROR(__xludf.DUMMYFUNCTION("""COMPUTED_VALUE"""),0.0)</f>
        <v>0</v>
      </c>
      <c r="X255" s="8">
        <f>IFERROR(__xludf.DUMMYFUNCTION("""COMPUTED_VALUE"""),0.0)</f>
        <v>0</v>
      </c>
      <c r="Y255" s="8">
        <f>IFERROR(__xludf.DUMMYFUNCTION("""COMPUTED_VALUE"""),0.0)</f>
        <v>0</v>
      </c>
      <c r="Z255" s="8">
        <f>IFERROR(__xludf.DUMMYFUNCTION("""COMPUTED_VALUE"""),0.0)</f>
        <v>0</v>
      </c>
      <c r="AA255" s="8">
        <f>IFERROR(__xludf.DUMMYFUNCTION("""COMPUTED_VALUE"""),0.0)</f>
        <v>0</v>
      </c>
      <c r="AB255" s="8">
        <f>IFERROR(__xludf.DUMMYFUNCTION("""COMPUTED_VALUE"""),0.0)</f>
        <v>0</v>
      </c>
      <c r="AC255" s="8">
        <f>IFERROR(__xludf.DUMMYFUNCTION("""COMPUTED_VALUE"""),0.0)</f>
        <v>0</v>
      </c>
    </row>
    <row r="256" ht="15.75" customHeight="1">
      <c r="A256" s="6" t="str">
        <f>IFERROR(__xludf.DUMMYFUNCTION("""COMPUTED_VALUE"""),"e835267a1c9909e759d530cea3d17b5999d86761")</f>
        <v>e835267a1c9909e759d530cea3d17b5999d86761</v>
      </c>
      <c r="B256" s="6" t="str">
        <f>IFERROR(__xludf.DUMMYFUNCTION("""COMPUTED_VALUE"""),"Her Lightness System")</f>
        <v>Her Lightness System</v>
      </c>
      <c r="C256" s="6" t="str">
        <f>IFERROR(__xludf.DUMMYFUNCTION("""COMPUTED_VALUE"""),"System and Superpower")</f>
        <v>System and Superpower</v>
      </c>
      <c r="D256" s="5">
        <f>IFERROR(__xludf.DUMMYFUNCTION("""COMPUTED_VALUE"""),400.0)</f>
        <v>400</v>
      </c>
      <c r="E256" s="8">
        <f>IFERROR(__xludf.DUMMYFUNCTION("""COMPUTED_VALUE"""),0.934383202099737)</f>
        <v>0.9343832021</v>
      </c>
      <c r="F256" s="8">
        <f>IFERROR(__xludf.DUMMYFUNCTION("""COMPUTED_VALUE"""),0.615384615384615)</f>
        <v>0.6153846154</v>
      </c>
      <c r="G256" s="8">
        <f>IFERROR(__xludf.DUMMYFUNCTION("""COMPUTED_VALUE"""),0.554216867469879)</f>
        <v>0.5542168675</v>
      </c>
      <c r="H256" s="8">
        <f>IFERROR(__xludf.DUMMYFUNCTION("""COMPUTED_VALUE"""),0.566666666666666)</f>
        <v>0.5666666667</v>
      </c>
      <c r="I256" s="8">
        <f>IFERROR(__xludf.DUMMYFUNCTION("""COMPUTED_VALUE"""),0.506896551724138)</f>
        <v>0.5068965517</v>
      </c>
      <c r="J256" s="8">
        <f>IFERROR(__xludf.DUMMYFUNCTION("""COMPUTED_VALUE"""),0.439114391143911)</f>
        <v>0.4391143911</v>
      </c>
      <c r="K256" s="8">
        <f>IFERROR(__xludf.DUMMYFUNCTION("""COMPUTED_VALUE"""),0.418250950570342)</f>
        <v>0.4182509506</v>
      </c>
      <c r="L256" s="8">
        <f>IFERROR(__xludf.DUMMYFUNCTION("""COMPUTED_VALUE"""),0.361111111111111)</f>
        <v>0.3611111111</v>
      </c>
      <c r="M256" s="8">
        <f>IFERROR(__xludf.DUMMYFUNCTION("""COMPUTED_VALUE"""),0.333333333333333)</f>
        <v>0.3333333333</v>
      </c>
      <c r="N256" s="8">
        <f>IFERROR(__xludf.DUMMYFUNCTION("""COMPUTED_VALUE"""),0.330578512396694)</f>
        <v>0.3305785124</v>
      </c>
      <c r="O256" s="8">
        <f>IFERROR(__xludf.DUMMYFUNCTION("""COMPUTED_VALUE"""),0.293333333333333)</f>
        <v>0.2933333333</v>
      </c>
      <c r="P256" s="8">
        <f>IFERROR(__xludf.DUMMYFUNCTION("""COMPUTED_VALUE"""),0.168888888888888)</f>
        <v>0.1688888889</v>
      </c>
      <c r="Q256" s="8">
        <f>IFERROR(__xludf.DUMMYFUNCTION("""COMPUTED_VALUE"""),0.0780487804878048)</f>
        <v>0.07804878049</v>
      </c>
      <c r="R256" s="8">
        <f>IFERROR(__xludf.DUMMYFUNCTION("""COMPUTED_VALUE"""),0.0588235294117647)</f>
        <v>0.05882352941</v>
      </c>
      <c r="S256" s="8">
        <f>IFERROR(__xludf.DUMMYFUNCTION("""COMPUTED_VALUE"""),0.0)</f>
        <v>0</v>
      </c>
      <c r="T256" s="8">
        <f>IFERROR(__xludf.DUMMYFUNCTION("""COMPUTED_VALUE"""),0.0)</f>
        <v>0</v>
      </c>
      <c r="U256" s="8">
        <f>IFERROR(__xludf.DUMMYFUNCTION("""COMPUTED_VALUE"""),0.0)</f>
        <v>0</v>
      </c>
      <c r="V256" s="8">
        <f>IFERROR(__xludf.DUMMYFUNCTION("""COMPUTED_VALUE"""),0.0)</f>
        <v>0</v>
      </c>
      <c r="W256" s="8">
        <f>IFERROR(__xludf.DUMMYFUNCTION("""COMPUTED_VALUE"""),0.0)</f>
        <v>0</v>
      </c>
      <c r="X256" s="8">
        <f>IFERROR(__xludf.DUMMYFUNCTION("""COMPUTED_VALUE"""),0.0)</f>
        <v>0</v>
      </c>
      <c r="Y256" s="8">
        <f>IFERROR(__xludf.DUMMYFUNCTION("""COMPUTED_VALUE"""),0.0)</f>
        <v>0</v>
      </c>
      <c r="Z256" s="8">
        <f>IFERROR(__xludf.DUMMYFUNCTION("""COMPUTED_VALUE"""),0.0)</f>
        <v>0</v>
      </c>
      <c r="AA256" s="8">
        <f>IFERROR(__xludf.DUMMYFUNCTION("""COMPUTED_VALUE"""),0.0)</f>
        <v>0</v>
      </c>
      <c r="AB256" s="8">
        <f>IFERROR(__xludf.DUMMYFUNCTION("""COMPUTED_VALUE"""),0.0)</f>
        <v>0</v>
      </c>
      <c r="AC256" s="8">
        <f>IFERROR(__xludf.DUMMYFUNCTION("""COMPUTED_VALUE"""),0.0)</f>
        <v>0</v>
      </c>
    </row>
    <row r="257" ht="15.75" customHeight="1">
      <c r="A257" s="6" t="str">
        <f>IFERROR(__xludf.DUMMYFUNCTION("""COMPUTED_VALUE"""),"e83bb9290a73242b13db9a4453b23f1b0ca9fed0")</f>
        <v>e83bb9290a73242b13db9a4453b23f1b0ca9fed0</v>
      </c>
      <c r="B257" s="6" t="str">
        <f>IFERROR(__xludf.DUMMYFUNCTION("""COMPUTED_VALUE"""),"The Baby He Denied")</f>
        <v>The Baby He Denied</v>
      </c>
      <c r="C257" s="6" t="str">
        <f>IFERROR(__xludf.DUMMYFUNCTION("""COMPUTED_VALUE"""),"Romance")</f>
        <v>Romance</v>
      </c>
      <c r="D257" s="5">
        <f>IFERROR(__xludf.DUMMYFUNCTION("""COMPUTED_VALUE"""),2234.0)</f>
        <v>2234</v>
      </c>
      <c r="E257" s="8">
        <f>IFERROR(__xludf.DUMMYFUNCTION("""COMPUTED_VALUE"""),0.957418198117436)</f>
        <v>0.9574181981</v>
      </c>
      <c r="F257" s="8">
        <f>IFERROR(__xludf.DUMMYFUNCTION("""COMPUTED_VALUE"""),0.714221624046657)</f>
        <v>0.714221624</v>
      </c>
      <c r="G257" s="8">
        <f>IFERROR(__xludf.DUMMYFUNCTION("""COMPUTED_VALUE"""),0.652584269662921)</f>
        <v>0.6525842697</v>
      </c>
      <c r="H257" s="8">
        <f>IFERROR(__xludf.DUMMYFUNCTION("""COMPUTED_VALUE"""),0.580746738641475)</f>
        <v>0.5807467386</v>
      </c>
      <c r="I257" s="8">
        <f>IFERROR(__xludf.DUMMYFUNCTION("""COMPUTED_VALUE"""),0.568406840684068)</f>
        <v>0.5684068407</v>
      </c>
      <c r="J257" s="8">
        <f>IFERROR(__xludf.DUMMYFUNCTION("""COMPUTED_VALUE"""),0.532403240324032)</f>
        <v>0.5324032403</v>
      </c>
      <c r="K257" s="8">
        <f>IFERROR(__xludf.DUMMYFUNCTION("""COMPUTED_VALUE"""),0.493243243243243)</f>
        <v>0.4932432432</v>
      </c>
      <c r="L257" s="8">
        <f>IFERROR(__xludf.DUMMYFUNCTION("""COMPUTED_VALUE"""),0.440777576853526)</f>
        <v>0.4407775769</v>
      </c>
      <c r="M257" s="8">
        <f>IFERROR(__xludf.DUMMYFUNCTION("""COMPUTED_VALUE"""),0.414667270258035)</f>
        <v>0.4146672703</v>
      </c>
      <c r="N257" s="8">
        <f>IFERROR(__xludf.DUMMYFUNCTION("""COMPUTED_VALUE"""),0.387579329102447)</f>
        <v>0.3875793291</v>
      </c>
      <c r="O257" s="8">
        <f>IFERROR(__xludf.DUMMYFUNCTION("""COMPUTED_VALUE"""),0.319331742243436)</f>
        <v>0.3193317422</v>
      </c>
      <c r="P257" s="8">
        <f>IFERROR(__xludf.DUMMYFUNCTION("""COMPUTED_VALUE"""),0.262918796138557)</f>
        <v>0.2629187961</v>
      </c>
      <c r="Q257" s="8">
        <f>IFERROR(__xludf.DUMMYFUNCTION("""COMPUTED_VALUE"""),0.110738255033557)</f>
        <v>0.110738255</v>
      </c>
      <c r="R257" s="8">
        <f>IFERROR(__xludf.DUMMYFUNCTION("""COMPUTED_VALUE"""),0.0470588235294117)</f>
        <v>0.04705882353</v>
      </c>
      <c r="S257" s="8">
        <f>IFERROR(__xludf.DUMMYFUNCTION("""COMPUTED_VALUE"""),0.0909090909090909)</f>
        <v>0.09090909091</v>
      </c>
      <c r="T257" s="8">
        <f>IFERROR(__xludf.DUMMYFUNCTION("""COMPUTED_VALUE"""),0.142857142857142)</f>
        <v>0.1428571429</v>
      </c>
      <c r="U257" s="8">
        <f>IFERROR(__xludf.DUMMYFUNCTION("""COMPUTED_VALUE"""),0.0)</f>
        <v>0</v>
      </c>
      <c r="V257" s="8">
        <f>IFERROR(__xludf.DUMMYFUNCTION("""COMPUTED_VALUE"""),0.0)</f>
        <v>0</v>
      </c>
      <c r="W257" s="8">
        <f>IFERROR(__xludf.DUMMYFUNCTION("""COMPUTED_VALUE"""),0.0)</f>
        <v>0</v>
      </c>
      <c r="X257" s="8">
        <f>IFERROR(__xludf.DUMMYFUNCTION("""COMPUTED_VALUE"""),0.0)</f>
        <v>0</v>
      </c>
      <c r="Y257" s="8">
        <f>IFERROR(__xludf.DUMMYFUNCTION("""COMPUTED_VALUE"""),0.0)</f>
        <v>0</v>
      </c>
      <c r="Z257" s="8">
        <f>IFERROR(__xludf.DUMMYFUNCTION("""COMPUTED_VALUE"""),0.0)</f>
        <v>0</v>
      </c>
      <c r="AA257" s="8">
        <f>IFERROR(__xludf.DUMMYFUNCTION("""COMPUTED_VALUE"""),0.0)</f>
        <v>0</v>
      </c>
      <c r="AB257" s="8">
        <f>IFERROR(__xludf.DUMMYFUNCTION("""COMPUTED_VALUE"""),0.0)</f>
        <v>0</v>
      </c>
      <c r="AC257" s="8">
        <f>IFERROR(__xludf.DUMMYFUNCTION("""COMPUTED_VALUE"""),0.0)</f>
        <v>0</v>
      </c>
    </row>
    <row r="258" ht="15.75" customHeight="1">
      <c r="A258" s="6" t="str">
        <f>IFERROR(__xludf.DUMMYFUNCTION("""COMPUTED_VALUE"""),"e8df3cfef87feac45c4c024f9cbd7254cfc15952")</f>
        <v>e8df3cfef87feac45c4c024f9cbd7254cfc15952</v>
      </c>
      <c r="B258" s="6" t="str">
        <f>IFERROR(__xludf.DUMMYFUNCTION("""COMPUTED_VALUE"""),"Between Wolves and Lies")</f>
        <v>Between Wolves and Lies</v>
      </c>
      <c r="C258" s="6" t="str">
        <f>IFERROR(__xludf.DUMMYFUNCTION("""COMPUTED_VALUE"""),"Romantasy")</f>
        <v>Romantasy</v>
      </c>
      <c r="D258" s="5">
        <f>IFERROR(__xludf.DUMMYFUNCTION("""COMPUTED_VALUE"""),647.0)</f>
        <v>647</v>
      </c>
      <c r="E258" s="8">
        <f>IFERROR(__xludf.DUMMYFUNCTION("""COMPUTED_VALUE"""),0.989180834621329)</f>
        <v>0.9891808346</v>
      </c>
      <c r="F258" s="8">
        <f>IFERROR(__xludf.DUMMYFUNCTION("""COMPUTED_VALUE"""),0.53323029366306)</f>
        <v>0.5332302937</v>
      </c>
      <c r="G258" s="8">
        <f>IFERROR(__xludf.DUMMYFUNCTION("""COMPUTED_VALUE"""),0.469860896445131)</f>
        <v>0.4698608964</v>
      </c>
      <c r="H258" s="8">
        <f>IFERROR(__xludf.DUMMYFUNCTION("""COMPUTED_VALUE"""),0.398763523956723)</f>
        <v>0.398763524</v>
      </c>
      <c r="I258" s="8">
        <f>IFERROR(__xludf.DUMMYFUNCTION("""COMPUTED_VALUE"""),0.350850077279752)</f>
        <v>0.3508500773</v>
      </c>
      <c r="J258" s="8">
        <f>IFERROR(__xludf.DUMMYFUNCTION("""COMPUTED_VALUE"""),0.330757341576506)</f>
        <v>0.3307573416</v>
      </c>
      <c r="K258" s="8">
        <f>IFERROR(__xludf.DUMMYFUNCTION("""COMPUTED_VALUE"""),0.296754250386398)</f>
        <v>0.2967542504</v>
      </c>
      <c r="L258" s="8">
        <f>IFERROR(__xludf.DUMMYFUNCTION("""COMPUTED_VALUE"""),0.26275115919629)</f>
        <v>0.2627511592</v>
      </c>
      <c r="M258" s="8">
        <f>IFERROR(__xludf.DUMMYFUNCTION("""COMPUTED_VALUE"""),0.247295208655332)</f>
        <v>0.2472952087</v>
      </c>
      <c r="N258" s="8">
        <f>IFERROR(__xludf.DUMMYFUNCTION("""COMPUTED_VALUE"""),0.217928902627511)</f>
        <v>0.2179289026</v>
      </c>
      <c r="O258" s="8">
        <f>IFERROR(__xludf.DUMMYFUNCTION("""COMPUTED_VALUE"""),0.150387596899224)</f>
        <v>0.1503875969</v>
      </c>
      <c r="P258" s="8">
        <f>IFERROR(__xludf.DUMMYFUNCTION("""COMPUTED_VALUE"""),0.0629139072847682)</f>
        <v>0.06291390728</v>
      </c>
      <c r="Q258" s="8">
        <f>IFERROR(__xludf.DUMMYFUNCTION("""COMPUTED_VALUE"""),0.0251141552511415)</f>
        <v>0.02511415525</v>
      </c>
      <c r="R258" s="8">
        <f>IFERROR(__xludf.DUMMYFUNCTION("""COMPUTED_VALUE"""),0.00552486187845303)</f>
        <v>0.005524861878</v>
      </c>
      <c r="S258" s="8">
        <f>IFERROR(__xludf.DUMMYFUNCTION("""COMPUTED_VALUE"""),0.0)</f>
        <v>0</v>
      </c>
      <c r="T258" s="8">
        <f>IFERROR(__xludf.DUMMYFUNCTION("""COMPUTED_VALUE"""),0.0)</f>
        <v>0</v>
      </c>
      <c r="U258" s="8">
        <f>IFERROR(__xludf.DUMMYFUNCTION("""COMPUTED_VALUE"""),0.0)</f>
        <v>0</v>
      </c>
      <c r="V258" s="8">
        <f>IFERROR(__xludf.DUMMYFUNCTION("""COMPUTED_VALUE"""),0.0)</f>
        <v>0</v>
      </c>
      <c r="W258" s="8">
        <f>IFERROR(__xludf.DUMMYFUNCTION("""COMPUTED_VALUE"""),0.0)</f>
        <v>0</v>
      </c>
      <c r="X258" s="8">
        <f>IFERROR(__xludf.DUMMYFUNCTION("""COMPUTED_VALUE"""),0.0)</f>
        <v>0</v>
      </c>
      <c r="Y258" s="8">
        <f>IFERROR(__xludf.DUMMYFUNCTION("""COMPUTED_VALUE"""),0.0)</f>
        <v>0</v>
      </c>
      <c r="Z258" s="8">
        <f>IFERROR(__xludf.DUMMYFUNCTION("""COMPUTED_VALUE"""),0.0)</f>
        <v>0</v>
      </c>
      <c r="AA258" s="8">
        <f>IFERROR(__xludf.DUMMYFUNCTION("""COMPUTED_VALUE"""),0.0)</f>
        <v>0</v>
      </c>
      <c r="AB258" s="8">
        <f>IFERROR(__xludf.DUMMYFUNCTION("""COMPUTED_VALUE"""),0.0)</f>
        <v>0</v>
      </c>
      <c r="AC258" s="8">
        <f>IFERROR(__xludf.DUMMYFUNCTION("""COMPUTED_VALUE"""),0.0)</f>
        <v>0</v>
      </c>
    </row>
    <row r="259" ht="15.75" customHeight="1">
      <c r="A259" s="6" t="str">
        <f>IFERROR(__xludf.DUMMYFUNCTION("""COMPUTED_VALUE"""),"ed37d82285cfdcacdd3008ef7825d877fd575b57")</f>
        <v>ed37d82285cfdcacdd3008ef7825d877fd575b57</v>
      </c>
      <c r="B259" s="6" t="str">
        <f>IFERROR(__xludf.DUMMYFUNCTION("""COMPUTED_VALUE"""),"Charade")</f>
        <v>Charade</v>
      </c>
      <c r="C259" s="6" t="str">
        <f>IFERROR(__xludf.DUMMYFUNCTION("""COMPUTED_VALUE"""),"Fantasy")</f>
        <v>Fantasy</v>
      </c>
      <c r="D259" s="5">
        <f>IFERROR(__xludf.DUMMYFUNCTION("""COMPUTED_VALUE"""),26.0)</f>
        <v>26</v>
      </c>
      <c r="E259" s="8">
        <f>IFERROR(__xludf.DUMMYFUNCTION("""COMPUTED_VALUE"""),1.0)</f>
        <v>1</v>
      </c>
      <c r="F259" s="8">
        <f>IFERROR(__xludf.DUMMYFUNCTION("""COMPUTED_VALUE"""),0.346153846153846)</f>
        <v>0.3461538462</v>
      </c>
      <c r="G259" s="8">
        <f>IFERROR(__xludf.DUMMYFUNCTION("""COMPUTED_VALUE"""),0.307692307692307)</f>
        <v>0.3076923077</v>
      </c>
      <c r="H259" s="8">
        <f>IFERROR(__xludf.DUMMYFUNCTION("""COMPUTED_VALUE"""),0.307692307692307)</f>
        <v>0.3076923077</v>
      </c>
      <c r="I259" s="8">
        <f>IFERROR(__xludf.DUMMYFUNCTION("""COMPUTED_VALUE"""),0.307692307692307)</f>
        <v>0.3076923077</v>
      </c>
      <c r="J259" s="8">
        <f>IFERROR(__xludf.DUMMYFUNCTION("""COMPUTED_VALUE"""),0.23076923076923)</f>
        <v>0.2307692308</v>
      </c>
      <c r="K259" s="8">
        <f>IFERROR(__xludf.DUMMYFUNCTION("""COMPUTED_VALUE"""),0.23076923076923)</f>
        <v>0.2307692308</v>
      </c>
      <c r="L259" s="8">
        <f>IFERROR(__xludf.DUMMYFUNCTION("""COMPUTED_VALUE"""),0.192307692307692)</f>
        <v>0.1923076923</v>
      </c>
      <c r="M259" s="8">
        <f>IFERROR(__xludf.DUMMYFUNCTION("""COMPUTED_VALUE"""),0.153846153846153)</f>
        <v>0.1538461538</v>
      </c>
      <c r="N259" s="8">
        <f>IFERROR(__xludf.DUMMYFUNCTION("""COMPUTED_VALUE"""),0.2)</f>
        <v>0.2</v>
      </c>
      <c r="O259" s="8">
        <f>IFERROR(__xludf.DUMMYFUNCTION("""COMPUTED_VALUE"""),0.16)</f>
        <v>0.16</v>
      </c>
      <c r="P259" s="8">
        <f>IFERROR(__xludf.DUMMYFUNCTION("""COMPUTED_VALUE"""),0.08)</f>
        <v>0.08</v>
      </c>
      <c r="Q259" s="8">
        <f>IFERROR(__xludf.DUMMYFUNCTION("""COMPUTED_VALUE"""),0.0)</f>
        <v>0</v>
      </c>
      <c r="R259" s="8">
        <f>IFERROR(__xludf.DUMMYFUNCTION("""COMPUTED_VALUE"""),0.0)</f>
        <v>0</v>
      </c>
      <c r="S259" s="8">
        <f>IFERROR(__xludf.DUMMYFUNCTION("""COMPUTED_VALUE"""),0.0)</f>
        <v>0</v>
      </c>
      <c r="T259" s="8">
        <f>IFERROR(__xludf.DUMMYFUNCTION("""COMPUTED_VALUE"""),0.0)</f>
        <v>0</v>
      </c>
      <c r="U259" s="8">
        <f>IFERROR(__xludf.DUMMYFUNCTION("""COMPUTED_VALUE"""),0.0)</f>
        <v>0</v>
      </c>
      <c r="V259" s="8">
        <f>IFERROR(__xludf.DUMMYFUNCTION("""COMPUTED_VALUE"""),0.0)</f>
        <v>0</v>
      </c>
      <c r="W259" s="8">
        <f>IFERROR(__xludf.DUMMYFUNCTION("""COMPUTED_VALUE"""),0.0)</f>
        <v>0</v>
      </c>
      <c r="X259" s="8">
        <f>IFERROR(__xludf.DUMMYFUNCTION("""COMPUTED_VALUE"""),0.0)</f>
        <v>0</v>
      </c>
      <c r="Y259" s="8">
        <f>IFERROR(__xludf.DUMMYFUNCTION("""COMPUTED_VALUE"""),0.0)</f>
        <v>0</v>
      </c>
      <c r="Z259" s="8">
        <f>IFERROR(__xludf.DUMMYFUNCTION("""COMPUTED_VALUE"""),0.0)</f>
        <v>0</v>
      </c>
      <c r="AA259" s="8">
        <f>IFERROR(__xludf.DUMMYFUNCTION("""COMPUTED_VALUE"""),0.0)</f>
        <v>0</v>
      </c>
      <c r="AB259" s="8">
        <f>IFERROR(__xludf.DUMMYFUNCTION("""COMPUTED_VALUE"""),0.0)</f>
        <v>0</v>
      </c>
      <c r="AC259" s="8">
        <f>IFERROR(__xludf.DUMMYFUNCTION("""COMPUTED_VALUE"""),0.0)</f>
        <v>0</v>
      </c>
    </row>
    <row r="260" ht="15.75" customHeight="1">
      <c r="A260" s="6" t="str">
        <f>IFERROR(__xludf.DUMMYFUNCTION("""COMPUTED_VALUE"""),"ee2e216e3dceba69118e501b055c3b7b9a0335a3")</f>
        <v>ee2e216e3dceba69118e501b055c3b7b9a0335a3</v>
      </c>
      <c r="B260" s="6" t="str">
        <f>IFERROR(__xludf.DUMMYFUNCTION("""COMPUTED_VALUE"""),"Kyan's System Awakening")</f>
        <v>Kyan's System Awakening</v>
      </c>
      <c r="C260" s="6" t="str">
        <f>IFERROR(__xludf.DUMMYFUNCTION("""COMPUTED_VALUE"""),"Fantasy")</f>
        <v>Fantasy</v>
      </c>
      <c r="D260" s="5">
        <f>IFERROR(__xludf.DUMMYFUNCTION("""COMPUTED_VALUE"""),5115.0)</f>
        <v>5115</v>
      </c>
      <c r="E260" s="8">
        <f>IFERROR(__xludf.DUMMYFUNCTION("""COMPUTED_VALUE"""),0.9625520110957)</f>
        <v>0.9625520111</v>
      </c>
      <c r="F260" s="8">
        <f>IFERROR(__xludf.DUMMYFUNCTION("""COMPUTED_VALUE"""),0.613060231190427)</f>
        <v>0.6130602312</v>
      </c>
      <c r="G260" s="8">
        <f>IFERROR(__xludf.DUMMYFUNCTION("""COMPUTED_VALUE"""),0.551695616211745)</f>
        <v>0.5516956162</v>
      </c>
      <c r="H260" s="8">
        <f>IFERROR(__xludf.DUMMYFUNCTION("""COMPUTED_VALUE"""),0.530376287576203)</f>
        <v>0.5303762876</v>
      </c>
      <c r="I260" s="8">
        <f>IFERROR(__xludf.DUMMYFUNCTION("""COMPUTED_VALUE"""),0.510291595197255)</f>
        <v>0.5102915952</v>
      </c>
      <c r="J260" s="8">
        <f>IFERROR(__xludf.DUMMYFUNCTION("""COMPUTED_VALUE"""),0.491603053435114)</f>
        <v>0.4916030534</v>
      </c>
      <c r="K260" s="8">
        <f>IFERROR(__xludf.DUMMYFUNCTION("""COMPUTED_VALUE"""),0.471872931833223)</f>
        <v>0.4718729318</v>
      </c>
      <c r="L260" s="8">
        <f>IFERROR(__xludf.DUMMYFUNCTION("""COMPUTED_VALUE"""),0.454811151079136)</f>
        <v>0.4548111511</v>
      </c>
      <c r="M260" s="8">
        <f>IFERROR(__xludf.DUMMYFUNCTION("""COMPUTED_VALUE"""),0.438660857601467)</f>
        <v>0.4386608576</v>
      </c>
      <c r="N260" s="8">
        <f>IFERROR(__xludf.DUMMYFUNCTION("""COMPUTED_VALUE"""),0.428403755868544)</f>
        <v>0.4284037559</v>
      </c>
      <c r="O260" s="8">
        <f>IFERROR(__xludf.DUMMYFUNCTION("""COMPUTED_VALUE"""),0.393264248704663)</f>
        <v>0.3932642487</v>
      </c>
      <c r="P260" s="8">
        <f>IFERROR(__xludf.DUMMYFUNCTION("""COMPUTED_VALUE"""),0.307463672391017)</f>
        <v>0.3074636724</v>
      </c>
      <c r="Q260" s="8">
        <f>IFERROR(__xludf.DUMMYFUNCTION("""COMPUTED_VALUE"""),0.21976401179941)</f>
        <v>0.2197640118</v>
      </c>
      <c r="R260" s="8">
        <f>IFERROR(__xludf.DUMMYFUNCTION("""COMPUTED_VALUE"""),0.136470588235294)</f>
        <v>0.1364705882</v>
      </c>
      <c r="S260" s="8">
        <f>IFERROR(__xludf.DUMMYFUNCTION("""COMPUTED_VALUE"""),0.0856031128404669)</f>
        <v>0.08560311284</v>
      </c>
      <c r="T260" s="8">
        <f>IFERROR(__xludf.DUMMYFUNCTION("""COMPUTED_VALUE"""),0.069090909090909)</f>
        <v>0.06909090909</v>
      </c>
      <c r="U260" s="8">
        <f>IFERROR(__xludf.DUMMYFUNCTION("""COMPUTED_VALUE"""),0.0)</f>
        <v>0</v>
      </c>
      <c r="V260" s="8">
        <f>IFERROR(__xludf.DUMMYFUNCTION("""COMPUTED_VALUE"""),0.0)</f>
        <v>0</v>
      </c>
      <c r="W260" s="8">
        <f>IFERROR(__xludf.DUMMYFUNCTION("""COMPUTED_VALUE"""),0.0)</f>
        <v>0</v>
      </c>
      <c r="X260" s="8">
        <f>IFERROR(__xludf.DUMMYFUNCTION("""COMPUTED_VALUE"""),0.0)</f>
        <v>0</v>
      </c>
      <c r="Y260" s="8">
        <f>IFERROR(__xludf.DUMMYFUNCTION("""COMPUTED_VALUE"""),0.0)</f>
        <v>0</v>
      </c>
      <c r="Z260" s="8">
        <f>IFERROR(__xludf.DUMMYFUNCTION("""COMPUTED_VALUE"""),0.0)</f>
        <v>0</v>
      </c>
      <c r="AA260" s="8">
        <f>IFERROR(__xludf.DUMMYFUNCTION("""COMPUTED_VALUE"""),0.0)</f>
        <v>0</v>
      </c>
      <c r="AB260" s="8">
        <f>IFERROR(__xludf.DUMMYFUNCTION("""COMPUTED_VALUE"""),0.0)</f>
        <v>0</v>
      </c>
      <c r="AC260" s="8">
        <f>IFERROR(__xludf.DUMMYFUNCTION("""COMPUTED_VALUE"""),0.0)</f>
        <v>0</v>
      </c>
    </row>
    <row r="261" ht="15.75" customHeight="1">
      <c r="A261" s="6" t="str">
        <f>IFERROR(__xludf.DUMMYFUNCTION("""COMPUTED_VALUE"""),"ef47552b570f8fc4cc243b88fae469ea12c31df0")</f>
        <v>ef47552b570f8fc4cc243b88fae469ea12c31df0</v>
      </c>
      <c r="B261" s="6" t="str">
        <f>IFERROR(__xludf.DUMMYFUNCTION("""COMPUTED_VALUE"""),"Mated to Enemy’s Luna")</f>
        <v>Mated to Enemy’s Luna</v>
      </c>
      <c r="C261" s="6" t="str">
        <f>IFERROR(__xludf.DUMMYFUNCTION("""COMPUTED_VALUE"""),"Romantasy")</f>
        <v>Romantasy</v>
      </c>
      <c r="D261" s="5">
        <f>IFERROR(__xludf.DUMMYFUNCTION("""COMPUTED_VALUE"""),625.0)</f>
        <v>625</v>
      </c>
      <c r="E261" s="8">
        <f>IFERROR(__xludf.DUMMYFUNCTION("""COMPUTED_VALUE"""),0.9504)</f>
        <v>0.9504</v>
      </c>
      <c r="F261" s="8">
        <f>IFERROR(__xludf.DUMMYFUNCTION("""COMPUTED_VALUE"""),0.6336)</f>
        <v>0.6336</v>
      </c>
      <c r="G261" s="8">
        <f>IFERROR(__xludf.DUMMYFUNCTION("""COMPUTED_VALUE"""),0.581730769230769)</f>
        <v>0.5817307692</v>
      </c>
      <c r="H261" s="8">
        <f>IFERROR(__xludf.DUMMYFUNCTION("""COMPUTED_VALUE"""),0.5625)</f>
        <v>0.5625</v>
      </c>
      <c r="I261" s="8">
        <f>IFERROR(__xludf.DUMMYFUNCTION("""COMPUTED_VALUE"""),0.512820512820512)</f>
        <v>0.5128205128</v>
      </c>
      <c r="J261" s="8">
        <f>IFERROR(__xludf.DUMMYFUNCTION("""COMPUTED_VALUE"""),0.463141025641025)</f>
        <v>0.4631410256</v>
      </c>
      <c r="K261" s="8">
        <f>IFERROR(__xludf.DUMMYFUNCTION("""COMPUTED_VALUE"""),0.425361155698234)</f>
        <v>0.4253611557</v>
      </c>
      <c r="L261" s="8">
        <f>IFERROR(__xludf.DUMMYFUNCTION("""COMPUTED_VALUE"""),0.413183279742765)</f>
        <v>0.4131832797</v>
      </c>
      <c r="M261" s="8">
        <f>IFERROR(__xludf.DUMMYFUNCTION("""COMPUTED_VALUE"""),0.414790996784565)</f>
        <v>0.4147909968</v>
      </c>
      <c r="N261" s="8">
        <f>IFERROR(__xludf.DUMMYFUNCTION("""COMPUTED_VALUE"""),0.405144694533762)</f>
        <v>0.4051446945</v>
      </c>
      <c r="O261" s="8">
        <f>IFERROR(__xludf.DUMMYFUNCTION("""COMPUTED_VALUE"""),0.324041811846689)</f>
        <v>0.3240418118</v>
      </c>
      <c r="P261" s="8">
        <f>IFERROR(__xludf.DUMMYFUNCTION("""COMPUTED_VALUE"""),0.245931283905967)</f>
        <v>0.2459312839</v>
      </c>
      <c r="Q261" s="8">
        <f>IFERROR(__xludf.DUMMYFUNCTION("""COMPUTED_VALUE"""),0.0853658536585365)</f>
        <v>0.08536585366</v>
      </c>
      <c r="R261" s="8">
        <f>IFERROR(__xludf.DUMMYFUNCTION("""COMPUTED_VALUE"""),0.0875)</f>
        <v>0.0875</v>
      </c>
      <c r="S261" s="8">
        <f>IFERROR(__xludf.DUMMYFUNCTION("""COMPUTED_VALUE"""),0.0198019801980198)</f>
        <v>0.0198019802</v>
      </c>
      <c r="T261" s="8">
        <f>IFERROR(__xludf.DUMMYFUNCTION("""COMPUTED_VALUE"""),0.0476190476190476)</f>
        <v>0.04761904762</v>
      </c>
      <c r="U261" s="8">
        <f>IFERROR(__xludf.DUMMYFUNCTION("""COMPUTED_VALUE"""),0.0)</f>
        <v>0</v>
      </c>
      <c r="V261" s="8">
        <f>IFERROR(__xludf.DUMMYFUNCTION("""COMPUTED_VALUE"""),0.0)</f>
        <v>0</v>
      </c>
      <c r="W261" s="8">
        <f>IFERROR(__xludf.DUMMYFUNCTION("""COMPUTED_VALUE"""),0.0)</f>
        <v>0</v>
      </c>
      <c r="X261" s="8">
        <f>IFERROR(__xludf.DUMMYFUNCTION("""COMPUTED_VALUE"""),0.0)</f>
        <v>0</v>
      </c>
      <c r="Y261" s="8">
        <f>IFERROR(__xludf.DUMMYFUNCTION("""COMPUTED_VALUE"""),0.0)</f>
        <v>0</v>
      </c>
      <c r="Z261" s="8">
        <f>IFERROR(__xludf.DUMMYFUNCTION("""COMPUTED_VALUE"""),0.0)</f>
        <v>0</v>
      </c>
      <c r="AA261" s="8">
        <f>IFERROR(__xludf.DUMMYFUNCTION("""COMPUTED_VALUE"""),0.0)</f>
        <v>0</v>
      </c>
      <c r="AB261" s="8">
        <f>IFERROR(__xludf.DUMMYFUNCTION("""COMPUTED_VALUE"""),0.0)</f>
        <v>0</v>
      </c>
      <c r="AC261" s="8">
        <f>IFERROR(__xludf.DUMMYFUNCTION("""COMPUTED_VALUE"""),0.0)</f>
        <v>0</v>
      </c>
    </row>
    <row r="262" ht="15.75" customHeight="1">
      <c r="A262" s="6" t="str">
        <f>IFERROR(__xludf.DUMMYFUNCTION("""COMPUTED_VALUE"""),"efc5ab9117a97ffce6537344dcb0416ed5ff0dc1")</f>
        <v>efc5ab9117a97ffce6537344dcb0416ed5ff0dc1</v>
      </c>
      <c r="B262" s="6" t="str">
        <f>IFERROR(__xludf.DUMMYFUNCTION("""COMPUTED_VALUE"""),"Imperial Clan Descends")</f>
        <v>Imperial Clan Descends</v>
      </c>
      <c r="C262" s="6" t="str">
        <f>IFERROR(__xludf.DUMMYFUNCTION("""COMPUTED_VALUE"""),"Drama")</f>
        <v>Drama</v>
      </c>
      <c r="D262" s="5">
        <f>IFERROR(__xludf.DUMMYFUNCTION("""COMPUTED_VALUE"""),259.0)</f>
        <v>259</v>
      </c>
      <c r="E262" s="8">
        <f>IFERROR(__xludf.DUMMYFUNCTION("""COMPUTED_VALUE"""),0.986425339366515)</f>
        <v>0.9864253394</v>
      </c>
      <c r="F262" s="8">
        <f>IFERROR(__xludf.DUMMYFUNCTION("""COMPUTED_VALUE"""),0.436781609195402)</f>
        <v>0.4367816092</v>
      </c>
      <c r="G262" s="8">
        <f>IFERROR(__xludf.DUMMYFUNCTION("""COMPUTED_VALUE"""),0.328947368421052)</f>
        <v>0.3289473684</v>
      </c>
      <c r="H262" s="8">
        <f>IFERROR(__xludf.DUMMYFUNCTION("""COMPUTED_VALUE"""),0.269230769230769)</f>
        <v>0.2692307692</v>
      </c>
      <c r="I262" s="8">
        <f>IFERROR(__xludf.DUMMYFUNCTION("""COMPUTED_VALUE"""),0.237704918032786)</f>
        <v>0.237704918</v>
      </c>
      <c r="J262" s="8">
        <f>IFERROR(__xludf.DUMMYFUNCTION("""COMPUTED_VALUE"""),0.186915887850467)</f>
        <v>0.1869158879</v>
      </c>
      <c r="K262" s="8">
        <f>IFERROR(__xludf.DUMMYFUNCTION("""COMPUTED_VALUE"""),0.198019801980198)</f>
        <v>0.198019802</v>
      </c>
      <c r="L262" s="8">
        <f>IFERROR(__xludf.DUMMYFUNCTION("""COMPUTED_VALUE"""),0.197674418604651)</f>
        <v>0.1976744186</v>
      </c>
      <c r="M262" s="8">
        <f>IFERROR(__xludf.DUMMYFUNCTION("""COMPUTED_VALUE"""),0.207317073170731)</f>
        <v>0.2073170732</v>
      </c>
      <c r="N262" s="8">
        <f>IFERROR(__xludf.DUMMYFUNCTION("""COMPUTED_VALUE"""),0.194444444444444)</f>
        <v>0.1944444444</v>
      </c>
      <c r="O262" s="8">
        <f>IFERROR(__xludf.DUMMYFUNCTION("""COMPUTED_VALUE"""),0.156862745098039)</f>
        <v>0.1568627451</v>
      </c>
      <c r="P262" s="8">
        <f>IFERROR(__xludf.DUMMYFUNCTION("""COMPUTED_VALUE"""),0.204081632653061)</f>
        <v>0.2040816327</v>
      </c>
      <c r="Q262" s="8">
        <f>IFERROR(__xludf.DUMMYFUNCTION("""COMPUTED_VALUE"""),0.130434782608695)</f>
        <v>0.1304347826</v>
      </c>
      <c r="R262" s="8">
        <f>IFERROR(__xludf.DUMMYFUNCTION("""COMPUTED_VALUE"""),0.13953488372093)</f>
        <v>0.1395348837</v>
      </c>
      <c r="S262" s="8">
        <f>IFERROR(__xludf.DUMMYFUNCTION("""COMPUTED_VALUE"""),0.0)</f>
        <v>0</v>
      </c>
      <c r="T262" s="8">
        <f>IFERROR(__xludf.DUMMYFUNCTION("""COMPUTED_VALUE"""),0.0)</f>
        <v>0</v>
      </c>
      <c r="U262" s="8">
        <f>IFERROR(__xludf.DUMMYFUNCTION("""COMPUTED_VALUE"""),0.0)</f>
        <v>0</v>
      </c>
      <c r="V262" s="8">
        <f>IFERROR(__xludf.DUMMYFUNCTION("""COMPUTED_VALUE"""),0.0)</f>
        <v>0</v>
      </c>
      <c r="W262" s="8">
        <f>IFERROR(__xludf.DUMMYFUNCTION("""COMPUTED_VALUE"""),0.0)</f>
        <v>0</v>
      </c>
      <c r="X262" s="8">
        <f>IFERROR(__xludf.DUMMYFUNCTION("""COMPUTED_VALUE"""),0.0)</f>
        <v>0</v>
      </c>
      <c r="Y262" s="8">
        <f>IFERROR(__xludf.DUMMYFUNCTION("""COMPUTED_VALUE"""),0.0)</f>
        <v>0</v>
      </c>
      <c r="Z262" s="8">
        <f>IFERROR(__xludf.DUMMYFUNCTION("""COMPUTED_VALUE"""),0.0)</f>
        <v>0</v>
      </c>
      <c r="AA262" s="8">
        <f>IFERROR(__xludf.DUMMYFUNCTION("""COMPUTED_VALUE"""),0.0)</f>
        <v>0</v>
      </c>
      <c r="AB262" s="8">
        <f>IFERROR(__xludf.DUMMYFUNCTION("""COMPUTED_VALUE"""),0.0)</f>
        <v>0</v>
      </c>
      <c r="AC262" s="8">
        <f>IFERROR(__xludf.DUMMYFUNCTION("""COMPUTED_VALUE"""),0.0)</f>
        <v>0</v>
      </c>
    </row>
    <row r="263" ht="15.75" customHeight="1">
      <c r="A263" s="6" t="str">
        <f>IFERROR(__xludf.DUMMYFUNCTION("""COMPUTED_VALUE"""),"f06451dc56081680609a77b52825c3da76e8ae66")</f>
        <v>f06451dc56081680609a77b52825c3da76e8ae66</v>
      </c>
      <c r="B263" s="6" t="str">
        <f>IFERROR(__xludf.DUMMYFUNCTION("""COMPUTED_VALUE"""),"Her Exit, His Regret")</f>
        <v>Her Exit, His Regret</v>
      </c>
      <c r="C263" s="6" t="str">
        <f>IFERROR(__xludf.DUMMYFUNCTION("""COMPUTED_VALUE"""),"Romance")</f>
        <v>Romance</v>
      </c>
      <c r="D263" s="5">
        <f>IFERROR(__xludf.DUMMYFUNCTION("""COMPUTED_VALUE"""),1115.0)</f>
        <v>1115</v>
      </c>
      <c r="E263" s="8">
        <f>IFERROR(__xludf.DUMMYFUNCTION("""COMPUTED_VALUE"""),0.95695067264574)</f>
        <v>0.9569506726</v>
      </c>
      <c r="F263" s="8">
        <f>IFERROR(__xludf.DUMMYFUNCTION("""COMPUTED_VALUE"""),0.635220125786163)</f>
        <v>0.6352201258</v>
      </c>
      <c r="G263" s="8">
        <f>IFERROR(__xludf.DUMMYFUNCTION("""COMPUTED_VALUE"""),0.559748427672956)</f>
        <v>0.5597484277</v>
      </c>
      <c r="H263" s="8">
        <f>IFERROR(__xludf.DUMMYFUNCTION("""COMPUTED_VALUE"""),0.49236298292902)</f>
        <v>0.4923629829</v>
      </c>
      <c r="I263" s="8">
        <f>IFERROR(__xludf.DUMMYFUNCTION("""COMPUTED_VALUE"""),0.426774483378256)</f>
        <v>0.4267744834</v>
      </c>
      <c r="J263" s="8">
        <f>IFERROR(__xludf.DUMMYFUNCTION("""COMPUTED_VALUE"""),0.392632524707996)</f>
        <v>0.3926325247</v>
      </c>
      <c r="K263" s="8">
        <f>IFERROR(__xludf.DUMMYFUNCTION("""COMPUTED_VALUE"""),0.389388489208633)</f>
        <v>0.3893884892</v>
      </c>
      <c r="L263" s="8">
        <f>IFERROR(__xludf.DUMMYFUNCTION("""COMPUTED_VALUE"""),0.322001888574126)</f>
        <v>0.3220018886</v>
      </c>
      <c r="M263" s="8">
        <f>IFERROR(__xludf.DUMMYFUNCTION("""COMPUTED_VALUE"""),0.293950850661625)</f>
        <v>0.2939508507</v>
      </c>
      <c r="N263" s="8">
        <f>IFERROR(__xludf.DUMMYFUNCTION("""COMPUTED_VALUE"""),0.281663516068052)</f>
        <v>0.2816635161</v>
      </c>
      <c r="O263" s="8">
        <f>IFERROR(__xludf.DUMMYFUNCTION("""COMPUTED_VALUE"""),0.242802303262955)</f>
        <v>0.2428023033</v>
      </c>
      <c r="P263" s="8">
        <f>IFERROR(__xludf.DUMMYFUNCTION("""COMPUTED_VALUE"""),0.163556531284302)</f>
        <v>0.1635565313</v>
      </c>
      <c r="Q263" s="8">
        <f>IFERROR(__xludf.DUMMYFUNCTION("""COMPUTED_VALUE"""),0.140401146131805)</f>
        <v>0.1404011461</v>
      </c>
      <c r="R263" s="8">
        <f>IFERROR(__xludf.DUMMYFUNCTION("""COMPUTED_VALUE"""),0.175438596491228)</f>
        <v>0.1754385965</v>
      </c>
      <c r="S263" s="8">
        <f>IFERROR(__xludf.DUMMYFUNCTION("""COMPUTED_VALUE"""),0.0)</f>
        <v>0</v>
      </c>
      <c r="T263" s="8">
        <f>IFERROR(__xludf.DUMMYFUNCTION("""COMPUTED_VALUE"""),0.0)</f>
        <v>0</v>
      </c>
      <c r="U263" s="8">
        <f>IFERROR(__xludf.DUMMYFUNCTION("""COMPUTED_VALUE"""),0.0)</f>
        <v>0</v>
      </c>
      <c r="V263" s="8">
        <f>IFERROR(__xludf.DUMMYFUNCTION("""COMPUTED_VALUE"""),0.0)</f>
        <v>0</v>
      </c>
      <c r="W263" s="8">
        <f>IFERROR(__xludf.DUMMYFUNCTION("""COMPUTED_VALUE"""),0.0)</f>
        <v>0</v>
      </c>
      <c r="X263" s="8">
        <f>IFERROR(__xludf.DUMMYFUNCTION("""COMPUTED_VALUE"""),0.0)</f>
        <v>0</v>
      </c>
      <c r="Y263" s="8">
        <f>IFERROR(__xludf.DUMMYFUNCTION("""COMPUTED_VALUE"""),0.0)</f>
        <v>0</v>
      </c>
      <c r="Z263" s="8">
        <f>IFERROR(__xludf.DUMMYFUNCTION("""COMPUTED_VALUE"""),0.0)</f>
        <v>0</v>
      </c>
      <c r="AA263" s="8">
        <f>IFERROR(__xludf.DUMMYFUNCTION("""COMPUTED_VALUE"""),0.0)</f>
        <v>0</v>
      </c>
      <c r="AB263" s="8">
        <f>IFERROR(__xludf.DUMMYFUNCTION("""COMPUTED_VALUE"""),0.0)</f>
        <v>0</v>
      </c>
      <c r="AC263" s="8">
        <f>IFERROR(__xludf.DUMMYFUNCTION("""COMPUTED_VALUE"""),0.0)</f>
        <v>0</v>
      </c>
    </row>
    <row r="264" ht="15.75" customHeight="1">
      <c r="A264" s="6" t="str">
        <f>IFERROR(__xludf.DUMMYFUNCTION("""COMPUTED_VALUE"""),"f11e794eecc64915145ae97085e04201646abfe3")</f>
        <v>f11e794eecc64915145ae97085e04201646abfe3</v>
      </c>
      <c r="B264" s="6" t="str">
        <f>IFERROR(__xludf.DUMMYFUNCTION("""COMPUTED_VALUE"""),"Almost His Bride ")</f>
        <v>Almost His Bride </v>
      </c>
      <c r="C264" s="6" t="str">
        <f>IFERROR(__xludf.DUMMYFUNCTION("""COMPUTED_VALUE"""),"Romance")</f>
        <v>Romance</v>
      </c>
      <c r="D264" s="5">
        <f>IFERROR(__xludf.DUMMYFUNCTION("""COMPUTED_VALUE"""),220.0)</f>
        <v>220</v>
      </c>
      <c r="E264" s="8">
        <f>IFERROR(__xludf.DUMMYFUNCTION("""COMPUTED_VALUE"""),0.968181818181818)</f>
        <v>0.9681818182</v>
      </c>
      <c r="F264" s="8">
        <f>IFERROR(__xludf.DUMMYFUNCTION("""COMPUTED_VALUE"""),0.663636363636363)</f>
        <v>0.6636363636</v>
      </c>
      <c r="G264" s="8">
        <f>IFERROR(__xludf.DUMMYFUNCTION("""COMPUTED_VALUE"""),0.636363636363636)</f>
        <v>0.6363636364</v>
      </c>
      <c r="H264" s="8">
        <f>IFERROR(__xludf.DUMMYFUNCTION("""COMPUTED_VALUE"""),0.6)</f>
        <v>0.6</v>
      </c>
      <c r="I264" s="8">
        <f>IFERROR(__xludf.DUMMYFUNCTION("""COMPUTED_VALUE"""),0.577272727272727)</f>
        <v>0.5772727273</v>
      </c>
      <c r="J264" s="8">
        <f>IFERROR(__xludf.DUMMYFUNCTION("""COMPUTED_VALUE"""),0.572727272727272)</f>
        <v>0.5727272727</v>
      </c>
      <c r="K264" s="8">
        <f>IFERROR(__xludf.DUMMYFUNCTION("""COMPUTED_VALUE"""),0.54090909090909)</f>
        <v>0.5409090909</v>
      </c>
      <c r="L264" s="8">
        <f>IFERROR(__xludf.DUMMYFUNCTION("""COMPUTED_VALUE"""),0.527272727272727)</f>
        <v>0.5272727273</v>
      </c>
      <c r="M264" s="8">
        <f>IFERROR(__xludf.DUMMYFUNCTION("""COMPUTED_VALUE"""),0.484018264840182)</f>
        <v>0.4840182648</v>
      </c>
      <c r="N264" s="8">
        <f>IFERROR(__xludf.DUMMYFUNCTION("""COMPUTED_VALUE"""),0.538812785388127)</f>
        <v>0.5388127854</v>
      </c>
      <c r="O264" s="8">
        <f>IFERROR(__xludf.DUMMYFUNCTION("""COMPUTED_VALUE"""),0.298245614035087)</f>
        <v>0.298245614</v>
      </c>
      <c r="P264" s="8">
        <f>IFERROR(__xludf.DUMMYFUNCTION("""COMPUTED_VALUE"""),0.198830409356725)</f>
        <v>0.1988304094</v>
      </c>
      <c r="Q264" s="8">
        <f>IFERROR(__xludf.DUMMYFUNCTION("""COMPUTED_VALUE"""),0.0863309352517985)</f>
        <v>0.08633093525</v>
      </c>
      <c r="R264" s="8">
        <f>IFERROR(__xludf.DUMMYFUNCTION("""COMPUTED_VALUE"""),0.0423728813559322)</f>
        <v>0.04237288136</v>
      </c>
      <c r="S264" s="8">
        <f>IFERROR(__xludf.DUMMYFUNCTION("""COMPUTED_VALUE"""),0.0)</f>
        <v>0</v>
      </c>
      <c r="T264" s="8">
        <f>IFERROR(__xludf.DUMMYFUNCTION("""COMPUTED_VALUE"""),0.0)</f>
        <v>0</v>
      </c>
      <c r="U264" s="8">
        <f>IFERROR(__xludf.DUMMYFUNCTION("""COMPUTED_VALUE"""),0.0)</f>
        <v>0</v>
      </c>
      <c r="V264" s="8">
        <f>IFERROR(__xludf.DUMMYFUNCTION("""COMPUTED_VALUE"""),0.0)</f>
        <v>0</v>
      </c>
      <c r="W264" s="8">
        <f>IFERROR(__xludf.DUMMYFUNCTION("""COMPUTED_VALUE"""),0.0)</f>
        <v>0</v>
      </c>
      <c r="X264" s="8">
        <f>IFERROR(__xludf.DUMMYFUNCTION("""COMPUTED_VALUE"""),0.0)</f>
        <v>0</v>
      </c>
      <c r="Y264" s="8">
        <f>IFERROR(__xludf.DUMMYFUNCTION("""COMPUTED_VALUE"""),0.0)</f>
        <v>0</v>
      </c>
      <c r="Z264" s="8">
        <f>IFERROR(__xludf.DUMMYFUNCTION("""COMPUTED_VALUE"""),0.0)</f>
        <v>0</v>
      </c>
      <c r="AA264" s="8">
        <f>IFERROR(__xludf.DUMMYFUNCTION("""COMPUTED_VALUE"""),0.0)</f>
        <v>0</v>
      </c>
      <c r="AB264" s="8">
        <f>IFERROR(__xludf.DUMMYFUNCTION("""COMPUTED_VALUE"""),0.0)</f>
        <v>0</v>
      </c>
      <c r="AC264" s="8">
        <f>IFERROR(__xludf.DUMMYFUNCTION("""COMPUTED_VALUE"""),0.0)</f>
        <v>0</v>
      </c>
    </row>
    <row r="265" ht="15.75" customHeight="1">
      <c r="A265" s="6" t="str">
        <f>IFERROR(__xludf.DUMMYFUNCTION("""COMPUTED_VALUE"""),"f16d45e2702863e71bf480a3e2490ded19c4cbd9")</f>
        <v>f16d45e2702863e71bf480a3e2490ded19c4cbd9</v>
      </c>
      <c r="B265" s="6" t="str">
        <f>IFERROR(__xludf.DUMMYFUNCTION("""COMPUTED_VALUE"""),"Supreme Sword Cultivator")</f>
        <v>Supreme Sword Cultivator</v>
      </c>
      <c r="C265" s="6" t="str">
        <f>IFERROR(__xludf.DUMMYFUNCTION("""COMPUTED_VALUE"""),"Fantasy")</f>
        <v>Fantasy</v>
      </c>
      <c r="D265" s="5">
        <f>IFERROR(__xludf.DUMMYFUNCTION("""COMPUTED_VALUE"""),686.0)</f>
        <v>686</v>
      </c>
      <c r="E265" s="8">
        <f>IFERROR(__xludf.DUMMYFUNCTION("""COMPUTED_VALUE"""),0.962043795620438)</f>
        <v>0.9620437956</v>
      </c>
      <c r="F265" s="8">
        <f>IFERROR(__xludf.DUMMYFUNCTION("""COMPUTED_VALUE"""),0.611436950146627)</f>
        <v>0.6114369501</v>
      </c>
      <c r="G265" s="8">
        <f>IFERROR(__xludf.DUMMYFUNCTION("""COMPUTED_VALUE"""),0.585043988269794)</f>
        <v>0.5850439883</v>
      </c>
      <c r="H265" s="8">
        <f>IFERROR(__xludf.DUMMYFUNCTION("""COMPUTED_VALUE"""),0.552785923753665)</f>
        <v>0.5527859238</v>
      </c>
      <c r="I265" s="8">
        <f>IFERROR(__xludf.DUMMYFUNCTION("""COMPUTED_VALUE"""),0.524229074889867)</f>
        <v>0.5242290749</v>
      </c>
      <c r="J265" s="8">
        <f>IFERROR(__xludf.DUMMYFUNCTION("""COMPUTED_VALUE"""),0.511045655375552)</f>
        <v>0.5110456554</v>
      </c>
      <c r="K265" s="8">
        <f>IFERROR(__xludf.DUMMYFUNCTION("""COMPUTED_VALUE"""),0.5)</f>
        <v>0.5</v>
      </c>
      <c r="L265" s="8">
        <f>IFERROR(__xludf.DUMMYFUNCTION("""COMPUTED_VALUE"""),0.494830132939438)</f>
        <v>0.4948301329</v>
      </c>
      <c r="M265" s="8">
        <f>IFERROR(__xludf.DUMMYFUNCTION("""COMPUTED_VALUE"""),0.480059084194977)</f>
        <v>0.4800590842</v>
      </c>
      <c r="N265" s="8">
        <f>IFERROR(__xludf.DUMMYFUNCTION("""COMPUTED_VALUE"""),0.466765140324963)</f>
        <v>0.4667651403</v>
      </c>
      <c r="O265" s="8">
        <f>IFERROR(__xludf.DUMMYFUNCTION("""COMPUTED_VALUE"""),0.406676783004552)</f>
        <v>0.406676783</v>
      </c>
      <c r="P265" s="8">
        <f>IFERROR(__xludf.DUMMYFUNCTION("""COMPUTED_VALUE"""),0.343799058084772)</f>
        <v>0.3437990581</v>
      </c>
      <c r="Q265" s="8">
        <f>IFERROR(__xludf.DUMMYFUNCTION("""COMPUTED_VALUE"""),0.292275574112734)</f>
        <v>0.2922755741</v>
      </c>
      <c r="R265" s="8">
        <f>IFERROR(__xludf.DUMMYFUNCTION("""COMPUTED_VALUE"""),0.255605381165919)</f>
        <v>0.2556053812</v>
      </c>
      <c r="S265" s="8">
        <f>IFERROR(__xludf.DUMMYFUNCTION("""COMPUTED_VALUE"""),0.211904761904761)</f>
        <v>0.2119047619</v>
      </c>
      <c r="T265" s="8">
        <f>IFERROR(__xludf.DUMMYFUNCTION("""COMPUTED_VALUE"""),0.102493074792243)</f>
        <v>0.1024930748</v>
      </c>
      <c r="U265" s="8">
        <f>IFERROR(__xludf.DUMMYFUNCTION("""COMPUTED_VALUE"""),0.0367892976588628)</f>
        <v>0.03678929766</v>
      </c>
      <c r="V265" s="8">
        <f>IFERROR(__xludf.DUMMYFUNCTION("""COMPUTED_VALUE"""),0.0)</f>
        <v>0</v>
      </c>
      <c r="W265" s="8">
        <f>IFERROR(__xludf.DUMMYFUNCTION("""COMPUTED_VALUE"""),0.0)</f>
        <v>0</v>
      </c>
      <c r="X265" s="8">
        <f>IFERROR(__xludf.DUMMYFUNCTION("""COMPUTED_VALUE"""),0.0)</f>
        <v>0</v>
      </c>
      <c r="Y265" s="8">
        <f>IFERROR(__xludf.DUMMYFUNCTION("""COMPUTED_VALUE"""),0.0)</f>
        <v>0</v>
      </c>
      <c r="Z265" s="8">
        <f>IFERROR(__xludf.DUMMYFUNCTION("""COMPUTED_VALUE"""),0.0)</f>
        <v>0</v>
      </c>
      <c r="AA265" s="8">
        <f>IFERROR(__xludf.DUMMYFUNCTION("""COMPUTED_VALUE"""),0.0)</f>
        <v>0</v>
      </c>
      <c r="AB265" s="8">
        <f>IFERROR(__xludf.DUMMYFUNCTION("""COMPUTED_VALUE"""),0.0)</f>
        <v>0</v>
      </c>
      <c r="AC265" s="8">
        <f>IFERROR(__xludf.DUMMYFUNCTION("""COMPUTED_VALUE"""),0.0)</f>
        <v>0</v>
      </c>
    </row>
    <row r="266" ht="15.75" customHeight="1">
      <c r="A266" s="6" t="str">
        <f>IFERROR(__xludf.DUMMYFUNCTION("""COMPUTED_VALUE"""),"f23c3d5745910e4c7cf490450f5314358a0cec03")</f>
        <v>f23c3d5745910e4c7cf490450f5314358a0cec03</v>
      </c>
      <c r="B266" s="6" t="str">
        <f>IFERROR(__xludf.DUMMYFUNCTION("""COMPUTED_VALUE"""),"When My Ex Returned")</f>
        <v>When My Ex Returned</v>
      </c>
      <c r="C266" s="6" t="str">
        <f>IFERROR(__xludf.DUMMYFUNCTION("""COMPUTED_VALUE"""),"Romance")</f>
        <v>Romance</v>
      </c>
      <c r="D266" s="5">
        <f>IFERROR(__xludf.DUMMYFUNCTION("""COMPUTED_VALUE"""),571.0)</f>
        <v>571</v>
      </c>
      <c r="E266" s="8">
        <f>IFERROR(__xludf.DUMMYFUNCTION("""COMPUTED_VALUE"""),0.968365553602812)</f>
        <v>0.9683655536</v>
      </c>
      <c r="F266" s="8">
        <f>IFERROR(__xludf.DUMMYFUNCTION("""COMPUTED_VALUE"""),0.522968197879858)</f>
        <v>0.5229681979</v>
      </c>
      <c r="G266" s="8">
        <f>IFERROR(__xludf.DUMMYFUNCTION("""COMPUTED_VALUE"""),0.464664310954063)</f>
        <v>0.464664311</v>
      </c>
      <c r="H266" s="8">
        <f>IFERROR(__xludf.DUMMYFUNCTION("""COMPUTED_VALUE"""),0.43286219081272)</f>
        <v>0.4328621908</v>
      </c>
      <c r="I266" s="8">
        <f>IFERROR(__xludf.DUMMYFUNCTION("""COMPUTED_VALUE"""),0.410619469026548)</f>
        <v>0.410619469</v>
      </c>
      <c r="J266" s="8">
        <f>IFERROR(__xludf.DUMMYFUNCTION("""COMPUTED_VALUE"""),0.380530973451327)</f>
        <v>0.3805309735</v>
      </c>
      <c r="K266" s="8">
        <f>IFERROR(__xludf.DUMMYFUNCTION("""COMPUTED_VALUE"""),0.346902654867256)</f>
        <v>0.3469026549</v>
      </c>
      <c r="L266" s="8">
        <f>IFERROR(__xludf.DUMMYFUNCTION("""COMPUTED_VALUE"""),0.313274336283185)</f>
        <v>0.3132743363</v>
      </c>
      <c r="M266" s="8">
        <f>IFERROR(__xludf.DUMMYFUNCTION("""COMPUTED_VALUE"""),0.295575221238938)</f>
        <v>0.2955752212</v>
      </c>
      <c r="N266" s="8">
        <f>IFERROR(__xludf.DUMMYFUNCTION("""COMPUTED_VALUE"""),0.290265486725663)</f>
        <v>0.2902654867</v>
      </c>
      <c r="O266" s="8">
        <f>IFERROR(__xludf.DUMMYFUNCTION("""COMPUTED_VALUE"""),0.239361702127659)</f>
        <v>0.2393617021</v>
      </c>
      <c r="P266" s="8">
        <f>IFERROR(__xludf.DUMMYFUNCTION("""COMPUTED_VALUE"""),0.144404332129963)</f>
        <v>0.1444043321</v>
      </c>
      <c r="Q266" s="8">
        <f>IFERROR(__xludf.DUMMYFUNCTION("""COMPUTED_VALUE"""),0.17037037037037)</f>
        <v>0.1703703704</v>
      </c>
      <c r="R266" s="8">
        <f>IFERROR(__xludf.DUMMYFUNCTION("""COMPUTED_VALUE"""),0.0)</f>
        <v>0</v>
      </c>
      <c r="S266" s="8">
        <f>IFERROR(__xludf.DUMMYFUNCTION("""COMPUTED_VALUE"""),0.0)</f>
        <v>0</v>
      </c>
      <c r="T266" s="8">
        <f>IFERROR(__xludf.DUMMYFUNCTION("""COMPUTED_VALUE"""),0.0)</f>
        <v>0</v>
      </c>
      <c r="U266" s="8">
        <f>IFERROR(__xludf.DUMMYFUNCTION("""COMPUTED_VALUE"""),0.0)</f>
        <v>0</v>
      </c>
      <c r="V266" s="8">
        <f>IFERROR(__xludf.DUMMYFUNCTION("""COMPUTED_VALUE"""),0.0)</f>
        <v>0</v>
      </c>
      <c r="W266" s="8">
        <f>IFERROR(__xludf.DUMMYFUNCTION("""COMPUTED_VALUE"""),0.0)</f>
        <v>0</v>
      </c>
      <c r="X266" s="8">
        <f>IFERROR(__xludf.DUMMYFUNCTION("""COMPUTED_VALUE"""),0.0)</f>
        <v>0</v>
      </c>
      <c r="Y266" s="8">
        <f>IFERROR(__xludf.DUMMYFUNCTION("""COMPUTED_VALUE"""),0.0)</f>
        <v>0</v>
      </c>
      <c r="Z266" s="8">
        <f>IFERROR(__xludf.DUMMYFUNCTION("""COMPUTED_VALUE"""),0.0)</f>
        <v>0</v>
      </c>
      <c r="AA266" s="8">
        <f>IFERROR(__xludf.DUMMYFUNCTION("""COMPUTED_VALUE"""),0.0)</f>
        <v>0</v>
      </c>
      <c r="AB266" s="8">
        <f>IFERROR(__xludf.DUMMYFUNCTION("""COMPUTED_VALUE"""),0.0)</f>
        <v>0</v>
      </c>
      <c r="AC266" s="8">
        <f>IFERROR(__xludf.DUMMYFUNCTION("""COMPUTED_VALUE"""),0.0)</f>
        <v>0</v>
      </c>
    </row>
    <row r="267" ht="15.75" customHeight="1">
      <c r="A267" s="6" t="str">
        <f>IFERROR(__xludf.DUMMYFUNCTION("""COMPUTED_VALUE"""),"f2ec53ac7f98813aea65ea59e50f32077fe08707")</f>
        <v>f2ec53ac7f98813aea65ea59e50f32077fe08707</v>
      </c>
      <c r="B267" s="6" t="str">
        <f>IFERROR(__xludf.DUMMYFUNCTION("""COMPUTED_VALUE"""),"The Forbidden Kiss")</f>
        <v>The Forbidden Kiss</v>
      </c>
      <c r="C267" s="6" t="str">
        <f>IFERROR(__xludf.DUMMYFUNCTION("""COMPUTED_VALUE"""),"Romance")</f>
        <v>Romance</v>
      </c>
      <c r="D267" s="5">
        <f>IFERROR(__xludf.DUMMYFUNCTION("""COMPUTED_VALUE"""),469.0)</f>
        <v>469</v>
      </c>
      <c r="E267" s="8">
        <f>IFERROR(__xludf.DUMMYFUNCTION("""COMPUTED_VALUE"""),0.97072072072072)</f>
        <v>0.9707207207</v>
      </c>
      <c r="F267" s="8">
        <f>IFERROR(__xludf.DUMMYFUNCTION("""COMPUTED_VALUE"""),0.54)</f>
        <v>0.54</v>
      </c>
      <c r="G267" s="8">
        <f>IFERROR(__xludf.DUMMYFUNCTION("""COMPUTED_VALUE"""),0.460916442048517)</f>
        <v>0.460916442</v>
      </c>
      <c r="H267" s="8">
        <f>IFERROR(__xludf.DUMMYFUNCTION("""COMPUTED_VALUE"""),0.39274924471299)</f>
        <v>0.3927492447</v>
      </c>
      <c r="I267" s="8">
        <f>IFERROR(__xludf.DUMMYFUNCTION("""COMPUTED_VALUE"""),0.342857142857142)</f>
        <v>0.3428571429</v>
      </c>
      <c r="J267" s="8">
        <f>IFERROR(__xludf.DUMMYFUNCTION("""COMPUTED_VALUE"""),0.311864406779661)</f>
        <v>0.3118644068</v>
      </c>
      <c r="K267" s="8">
        <f>IFERROR(__xludf.DUMMYFUNCTION("""COMPUTED_VALUE"""),0.286219081272084)</f>
        <v>0.2862190813</v>
      </c>
      <c r="L267" s="8">
        <f>IFERROR(__xludf.DUMMYFUNCTION("""COMPUTED_VALUE"""),0.273809523809523)</f>
        <v>0.2738095238</v>
      </c>
      <c r="M267" s="8">
        <f>IFERROR(__xludf.DUMMYFUNCTION("""COMPUTED_VALUE"""),0.261802575107296)</f>
        <v>0.2618025751</v>
      </c>
      <c r="N267" s="8">
        <f>IFERROR(__xludf.DUMMYFUNCTION("""COMPUTED_VALUE"""),0.26063829787234)</f>
        <v>0.2606382979</v>
      </c>
      <c r="O267" s="8">
        <f>IFERROR(__xludf.DUMMYFUNCTION("""COMPUTED_VALUE"""),0.2)</f>
        <v>0.2</v>
      </c>
      <c r="P267" s="8">
        <f>IFERROR(__xludf.DUMMYFUNCTION("""COMPUTED_VALUE"""),0.132530120481927)</f>
        <v>0.1325301205</v>
      </c>
      <c r="Q267" s="8">
        <f>IFERROR(__xludf.DUMMYFUNCTION("""COMPUTED_VALUE"""),0.138888888888888)</f>
        <v>0.1388888889</v>
      </c>
      <c r="R267" s="8">
        <f>IFERROR(__xludf.DUMMYFUNCTION("""COMPUTED_VALUE"""),0.0769230769230769)</f>
        <v>0.07692307692</v>
      </c>
      <c r="S267" s="8">
        <f>IFERROR(__xludf.DUMMYFUNCTION("""COMPUTED_VALUE"""),0.0)</f>
        <v>0</v>
      </c>
      <c r="T267" s="8">
        <f>IFERROR(__xludf.DUMMYFUNCTION("""COMPUTED_VALUE"""),0.0)</f>
        <v>0</v>
      </c>
      <c r="U267" s="8">
        <f>IFERROR(__xludf.DUMMYFUNCTION("""COMPUTED_VALUE"""),0.0)</f>
        <v>0</v>
      </c>
      <c r="V267" s="8">
        <f>IFERROR(__xludf.DUMMYFUNCTION("""COMPUTED_VALUE"""),0.0)</f>
        <v>0</v>
      </c>
      <c r="W267" s="8">
        <f>IFERROR(__xludf.DUMMYFUNCTION("""COMPUTED_VALUE"""),0.0)</f>
        <v>0</v>
      </c>
      <c r="X267" s="8">
        <f>IFERROR(__xludf.DUMMYFUNCTION("""COMPUTED_VALUE"""),0.0)</f>
        <v>0</v>
      </c>
      <c r="Y267" s="8">
        <f>IFERROR(__xludf.DUMMYFUNCTION("""COMPUTED_VALUE"""),0.0)</f>
        <v>0</v>
      </c>
      <c r="Z267" s="8">
        <f>IFERROR(__xludf.DUMMYFUNCTION("""COMPUTED_VALUE"""),0.0)</f>
        <v>0</v>
      </c>
      <c r="AA267" s="8">
        <f>IFERROR(__xludf.DUMMYFUNCTION("""COMPUTED_VALUE"""),0.0)</f>
        <v>0</v>
      </c>
      <c r="AB267" s="8">
        <f>IFERROR(__xludf.DUMMYFUNCTION("""COMPUTED_VALUE"""),0.0)</f>
        <v>0</v>
      </c>
      <c r="AC267" s="8">
        <f>IFERROR(__xludf.DUMMYFUNCTION("""COMPUTED_VALUE"""),0.0)</f>
        <v>0</v>
      </c>
    </row>
    <row r="268" ht="15.75" customHeight="1">
      <c r="A268" s="6" t="str">
        <f>IFERROR(__xludf.DUMMYFUNCTION("""COMPUTED_VALUE"""),"f32ed59a93a11812f5a5a57e2c663028b1c65f89")</f>
        <v>f32ed59a93a11812f5a5a57e2c663028b1c65f89</v>
      </c>
      <c r="B268" s="6" t="str">
        <f>IFERROR(__xludf.DUMMYFUNCTION("""COMPUTED_VALUE"""),"Trillionaire Sterling")</f>
        <v>Trillionaire Sterling</v>
      </c>
      <c r="C268" s="6" t="str">
        <f>IFERROR(__xludf.DUMMYFUNCTION("""COMPUTED_VALUE"""),"Fantasy")</f>
        <v>Fantasy</v>
      </c>
      <c r="D268" s="5">
        <f>IFERROR(__xludf.DUMMYFUNCTION("""COMPUTED_VALUE"""),18596.0)</f>
        <v>18596</v>
      </c>
      <c r="E268" s="8">
        <f>IFERROR(__xludf.DUMMYFUNCTION("""COMPUTED_VALUE"""),0.898428248465927)</f>
        <v>0.8984282485</v>
      </c>
      <c r="F268" s="8">
        <f>IFERROR(__xludf.DUMMYFUNCTION("""COMPUTED_VALUE"""),0.547983610092732)</f>
        <v>0.5479836101</v>
      </c>
      <c r="G268" s="8">
        <f>IFERROR(__xludf.DUMMYFUNCTION("""COMPUTED_VALUE"""),0.496703415477734)</f>
        <v>0.4967034155</v>
      </c>
      <c r="H268" s="8">
        <f>IFERROR(__xludf.DUMMYFUNCTION("""COMPUTED_VALUE"""),0.471333441611174)</f>
        <v>0.4713334416</v>
      </c>
      <c r="I268" s="8">
        <f>IFERROR(__xludf.DUMMYFUNCTION("""COMPUTED_VALUE"""),0.450759219088937)</f>
        <v>0.4507592191</v>
      </c>
      <c r="J268" s="8">
        <f>IFERROR(__xludf.DUMMYFUNCTION("""COMPUTED_VALUE"""),0.432951024623579)</f>
        <v>0.4329510246</v>
      </c>
      <c r="K268" s="8">
        <f>IFERROR(__xludf.DUMMYFUNCTION("""COMPUTED_VALUE"""),0.423628140155849)</f>
        <v>0.4236281402</v>
      </c>
      <c r="L268" s="8">
        <f>IFERROR(__xludf.DUMMYFUNCTION("""COMPUTED_VALUE"""),0.414524773050421)</f>
        <v>0.4145247731</v>
      </c>
      <c r="M268" s="8">
        <f>IFERROR(__xludf.DUMMYFUNCTION("""COMPUTED_VALUE"""),0.409008613595215)</f>
        <v>0.4090086136</v>
      </c>
      <c r="N268" s="8">
        <f>IFERROR(__xludf.DUMMYFUNCTION("""COMPUTED_VALUE"""),0.404709507042253)</f>
        <v>0.404709507</v>
      </c>
      <c r="O268" s="8">
        <f>IFERROR(__xludf.DUMMYFUNCTION("""COMPUTED_VALUE"""),0.371844985481349)</f>
        <v>0.3718449855</v>
      </c>
      <c r="P268" s="8">
        <f>IFERROR(__xludf.DUMMYFUNCTION("""COMPUTED_VALUE"""),0.318678193607098)</f>
        <v>0.3186781936</v>
      </c>
      <c r="Q268" s="8">
        <f>IFERROR(__xludf.DUMMYFUNCTION("""COMPUTED_VALUE"""),0.266185784658691)</f>
        <v>0.2661857847</v>
      </c>
      <c r="R268" s="8">
        <f>IFERROR(__xludf.DUMMYFUNCTION("""COMPUTED_VALUE"""),0.215741828484555)</f>
        <v>0.2157418285</v>
      </c>
      <c r="S268" s="8">
        <f>IFERROR(__xludf.DUMMYFUNCTION("""COMPUTED_VALUE"""),0.186989454923511)</f>
        <v>0.1869894549</v>
      </c>
      <c r="T268" s="8">
        <f>IFERROR(__xludf.DUMMYFUNCTION("""COMPUTED_VALUE"""),0.143943568830596)</f>
        <v>0.1439435688</v>
      </c>
      <c r="U268" s="8">
        <f>IFERROR(__xludf.DUMMYFUNCTION("""COMPUTED_VALUE"""),0.0766625615763546)</f>
        <v>0.07666256158</v>
      </c>
      <c r="V268" s="8">
        <f>IFERROR(__xludf.DUMMYFUNCTION("""COMPUTED_VALUE"""),0.0824949698189134)</f>
        <v>0.08249496982</v>
      </c>
      <c r="W268" s="8">
        <f>IFERROR(__xludf.DUMMYFUNCTION("""COMPUTED_VALUE"""),0.0504201680672268)</f>
        <v>0.05042016807</v>
      </c>
      <c r="X268" s="8">
        <f>IFERROR(__xludf.DUMMYFUNCTION("""COMPUTED_VALUE"""),0.0)</f>
        <v>0</v>
      </c>
      <c r="Y268" s="8">
        <f>IFERROR(__xludf.DUMMYFUNCTION("""COMPUTED_VALUE"""),0.0)</f>
        <v>0</v>
      </c>
      <c r="Z268" s="8">
        <f>IFERROR(__xludf.DUMMYFUNCTION("""COMPUTED_VALUE"""),0.0)</f>
        <v>0</v>
      </c>
      <c r="AA268" s="8">
        <f>IFERROR(__xludf.DUMMYFUNCTION("""COMPUTED_VALUE"""),0.0)</f>
        <v>0</v>
      </c>
      <c r="AB268" s="8">
        <f>IFERROR(__xludf.DUMMYFUNCTION("""COMPUTED_VALUE"""),0.0)</f>
        <v>0</v>
      </c>
      <c r="AC268" s="8">
        <f>IFERROR(__xludf.DUMMYFUNCTION("""COMPUTED_VALUE"""),0.0)</f>
        <v>0</v>
      </c>
    </row>
    <row r="269" ht="15.75" customHeight="1">
      <c r="A269" s="6" t="str">
        <f>IFERROR(__xludf.DUMMYFUNCTION("""COMPUTED_VALUE"""),"f3b45a9b931b38c0315d82ad645b9e45b513664b")</f>
        <v>f3b45a9b931b38c0315d82ad645b9e45b513664b</v>
      </c>
      <c r="B269" s="6" t="str">
        <f>IFERROR(__xludf.DUMMYFUNCTION("""COMPUTED_VALUE"""),"Reborn as a Golblin?!")</f>
        <v>Reborn as a Golblin?!</v>
      </c>
      <c r="C269" s="6" t="str">
        <f>IFERROR(__xludf.DUMMYFUNCTION("""COMPUTED_VALUE"""),"System and Superpower")</f>
        <v>System and Superpower</v>
      </c>
      <c r="D269" s="5">
        <f>IFERROR(__xludf.DUMMYFUNCTION("""COMPUTED_VALUE"""),852.0)</f>
        <v>852</v>
      </c>
      <c r="E269" s="8">
        <f>IFERROR(__xludf.DUMMYFUNCTION("""COMPUTED_VALUE"""),0.994131455399061)</f>
        <v>0.9941314554</v>
      </c>
      <c r="F269" s="8">
        <f>IFERROR(__xludf.DUMMYFUNCTION("""COMPUTED_VALUE"""),0.665488810365135)</f>
        <v>0.6654888104</v>
      </c>
      <c r="G269" s="8">
        <f>IFERROR(__xludf.DUMMYFUNCTION("""COMPUTED_VALUE"""),0.579009433962264)</f>
        <v>0.579009434</v>
      </c>
      <c r="H269" s="8">
        <f>IFERROR(__xludf.DUMMYFUNCTION("""COMPUTED_VALUE"""),0.491082045184304)</f>
        <v>0.4910820452</v>
      </c>
      <c r="I269" s="8">
        <f>IFERROR(__xludf.DUMMYFUNCTION("""COMPUTED_VALUE"""),0.447400241837968)</f>
        <v>0.4474002418</v>
      </c>
      <c r="J269" s="8">
        <f>IFERROR(__xludf.DUMMYFUNCTION("""COMPUTED_VALUE"""),0.380891719745222)</f>
        <v>0.3808917197</v>
      </c>
      <c r="K269" s="8">
        <f>IFERROR(__xludf.DUMMYFUNCTION("""COMPUTED_VALUE"""),0.356145251396648)</f>
        <v>0.3561452514</v>
      </c>
      <c r="L269" s="8">
        <f>IFERROR(__xludf.DUMMYFUNCTION("""COMPUTED_VALUE"""),0.3125)</f>
        <v>0.3125</v>
      </c>
      <c r="M269" s="8">
        <f>IFERROR(__xludf.DUMMYFUNCTION("""COMPUTED_VALUE"""),0.284745762711864)</f>
        <v>0.2847457627</v>
      </c>
      <c r="N269" s="8">
        <f>IFERROR(__xludf.DUMMYFUNCTION("""COMPUTED_VALUE"""),0.266826923076923)</f>
        <v>0.2668269231</v>
      </c>
      <c r="O269" s="8">
        <f>IFERROR(__xludf.DUMMYFUNCTION("""COMPUTED_VALUE"""),0.235294117647058)</f>
        <v>0.2352941176</v>
      </c>
      <c r="P269" s="8">
        <f>IFERROR(__xludf.DUMMYFUNCTION("""COMPUTED_VALUE"""),0.267857142857142)</f>
        <v>0.2678571429</v>
      </c>
      <c r="Q269" s="8">
        <f>IFERROR(__xludf.DUMMYFUNCTION("""COMPUTED_VALUE"""),0.0)</f>
        <v>0</v>
      </c>
      <c r="R269" s="8">
        <f>IFERROR(__xludf.DUMMYFUNCTION("""COMPUTED_VALUE"""),0.0)</f>
        <v>0</v>
      </c>
      <c r="S269" s="8">
        <f>IFERROR(__xludf.DUMMYFUNCTION("""COMPUTED_VALUE"""),0.0)</f>
        <v>0</v>
      </c>
      <c r="T269" s="8">
        <f>IFERROR(__xludf.DUMMYFUNCTION("""COMPUTED_VALUE"""),0.0)</f>
        <v>0</v>
      </c>
      <c r="U269" s="8">
        <f>IFERROR(__xludf.DUMMYFUNCTION("""COMPUTED_VALUE"""),0.0)</f>
        <v>0</v>
      </c>
      <c r="V269" s="8">
        <f>IFERROR(__xludf.DUMMYFUNCTION("""COMPUTED_VALUE"""),0.0)</f>
        <v>0</v>
      </c>
      <c r="W269" s="8">
        <f>IFERROR(__xludf.DUMMYFUNCTION("""COMPUTED_VALUE"""),0.0)</f>
        <v>0</v>
      </c>
      <c r="X269" s="8">
        <f>IFERROR(__xludf.DUMMYFUNCTION("""COMPUTED_VALUE"""),0.0)</f>
        <v>0</v>
      </c>
      <c r="Y269" s="8">
        <f>IFERROR(__xludf.DUMMYFUNCTION("""COMPUTED_VALUE"""),0.0)</f>
        <v>0</v>
      </c>
      <c r="Z269" s="8">
        <f>IFERROR(__xludf.DUMMYFUNCTION("""COMPUTED_VALUE"""),0.0)</f>
        <v>0</v>
      </c>
      <c r="AA269" s="8">
        <f>IFERROR(__xludf.DUMMYFUNCTION("""COMPUTED_VALUE"""),0.0)</f>
        <v>0</v>
      </c>
      <c r="AB269" s="8">
        <f>IFERROR(__xludf.DUMMYFUNCTION("""COMPUTED_VALUE"""),0.0)</f>
        <v>0</v>
      </c>
      <c r="AC269" s="8">
        <f>IFERROR(__xludf.DUMMYFUNCTION("""COMPUTED_VALUE"""),0.0)</f>
        <v>0</v>
      </c>
    </row>
    <row r="270" ht="15.75" customHeight="1">
      <c r="A270" s="6" t="str">
        <f>IFERROR(__xludf.DUMMYFUNCTION("""COMPUTED_VALUE"""),"f47e2c3c03d765bd054b92de405403a6c90b8d7f")</f>
        <v>f47e2c3c03d765bd054b92de405403a6c90b8d7f</v>
      </c>
      <c r="B270" s="6" t="str">
        <f>IFERROR(__xludf.DUMMYFUNCTION("""COMPUTED_VALUE"""),"It Was You Mister Cross")</f>
        <v>It Was You Mister Cross</v>
      </c>
      <c r="C270" s="6" t="str">
        <f>IFERROR(__xludf.DUMMYFUNCTION("""COMPUTED_VALUE"""),"Romance")</f>
        <v>Romance</v>
      </c>
      <c r="D270" s="5">
        <f>IFERROR(__xludf.DUMMYFUNCTION("""COMPUTED_VALUE"""),322.0)</f>
        <v>322</v>
      </c>
      <c r="E270" s="8">
        <f>IFERROR(__xludf.DUMMYFUNCTION("""COMPUTED_VALUE"""),0.959375)</f>
        <v>0.959375</v>
      </c>
      <c r="F270" s="8">
        <f>IFERROR(__xludf.DUMMYFUNCTION("""COMPUTED_VALUE"""),0.702194357366771)</f>
        <v>0.7021943574</v>
      </c>
      <c r="G270" s="8">
        <f>IFERROR(__xludf.DUMMYFUNCTION("""COMPUTED_VALUE"""),0.64576802507837)</f>
        <v>0.6457680251</v>
      </c>
      <c r="H270" s="8">
        <f>IFERROR(__xludf.DUMMYFUNCTION("""COMPUTED_VALUE"""),0.557993730407523)</f>
        <v>0.5579937304</v>
      </c>
      <c r="I270" s="8">
        <f>IFERROR(__xludf.DUMMYFUNCTION("""COMPUTED_VALUE"""),0.526645768025078)</f>
        <v>0.526645768</v>
      </c>
      <c r="J270" s="8">
        <f>IFERROR(__xludf.DUMMYFUNCTION("""COMPUTED_VALUE"""),0.507836990595611)</f>
        <v>0.5078369906</v>
      </c>
      <c r="K270" s="8">
        <f>IFERROR(__xludf.DUMMYFUNCTION("""COMPUTED_VALUE"""),0.474842767295597)</f>
        <v>0.4748427673</v>
      </c>
      <c r="L270" s="8">
        <f>IFERROR(__xludf.DUMMYFUNCTION("""COMPUTED_VALUE"""),0.462264150943396)</f>
        <v>0.4622641509</v>
      </c>
      <c r="M270" s="8">
        <f>IFERROR(__xludf.DUMMYFUNCTION("""COMPUTED_VALUE"""),0.432432432432432)</f>
        <v>0.4324324324</v>
      </c>
      <c r="N270" s="8">
        <f>IFERROR(__xludf.DUMMYFUNCTION("""COMPUTED_VALUE"""),0.435374149659863)</f>
        <v>0.4353741497</v>
      </c>
      <c r="O270" s="8">
        <f>IFERROR(__xludf.DUMMYFUNCTION("""COMPUTED_VALUE"""),0.34375)</f>
        <v>0.34375</v>
      </c>
      <c r="P270" s="8">
        <f>IFERROR(__xludf.DUMMYFUNCTION("""COMPUTED_VALUE"""),0.287234042553191)</f>
        <v>0.2872340426</v>
      </c>
      <c r="Q270" s="8">
        <f>IFERROR(__xludf.DUMMYFUNCTION("""COMPUTED_VALUE"""),0.19921875)</f>
        <v>0.19921875</v>
      </c>
      <c r="R270" s="8">
        <f>IFERROR(__xludf.DUMMYFUNCTION("""COMPUTED_VALUE"""),0.117117117117117)</f>
        <v>0.1171171171</v>
      </c>
      <c r="S270" s="8">
        <f>IFERROR(__xludf.DUMMYFUNCTION("""COMPUTED_VALUE"""),0.0408163265306122)</f>
        <v>0.04081632653</v>
      </c>
      <c r="T270" s="8">
        <f>IFERROR(__xludf.DUMMYFUNCTION("""COMPUTED_VALUE"""),0.0)</f>
        <v>0</v>
      </c>
      <c r="U270" s="8">
        <f>IFERROR(__xludf.DUMMYFUNCTION("""COMPUTED_VALUE"""),0.0)</f>
        <v>0</v>
      </c>
      <c r="V270" s="8">
        <f>IFERROR(__xludf.DUMMYFUNCTION("""COMPUTED_VALUE"""),0.0)</f>
        <v>0</v>
      </c>
      <c r="W270" s="8">
        <f>IFERROR(__xludf.DUMMYFUNCTION("""COMPUTED_VALUE"""),0.0)</f>
        <v>0</v>
      </c>
      <c r="X270" s="8">
        <f>IFERROR(__xludf.DUMMYFUNCTION("""COMPUTED_VALUE"""),0.0)</f>
        <v>0</v>
      </c>
      <c r="Y270" s="8">
        <f>IFERROR(__xludf.DUMMYFUNCTION("""COMPUTED_VALUE"""),0.0)</f>
        <v>0</v>
      </c>
      <c r="Z270" s="8">
        <f>IFERROR(__xludf.DUMMYFUNCTION("""COMPUTED_VALUE"""),0.0)</f>
        <v>0</v>
      </c>
      <c r="AA270" s="8">
        <f>IFERROR(__xludf.DUMMYFUNCTION("""COMPUTED_VALUE"""),0.0)</f>
        <v>0</v>
      </c>
      <c r="AB270" s="8">
        <f>IFERROR(__xludf.DUMMYFUNCTION("""COMPUTED_VALUE"""),0.0)</f>
        <v>0</v>
      </c>
      <c r="AC270" s="8">
        <f>IFERROR(__xludf.DUMMYFUNCTION("""COMPUTED_VALUE"""),0.0)</f>
        <v>0</v>
      </c>
    </row>
    <row r="271" ht="15.75" customHeight="1">
      <c r="A271" s="6" t="str">
        <f>IFERROR(__xludf.DUMMYFUNCTION("""COMPUTED_VALUE"""),"f55e0806430f9f979b0bfc889bab608a05d8bb5b")</f>
        <v>f55e0806430f9f979b0bfc889bab608a05d8bb5b</v>
      </c>
      <c r="B271" s="6" t="str">
        <f>IFERROR(__xludf.DUMMYFUNCTION("""COMPUTED_VALUE"""),"Light of a New World")</f>
        <v>Light of a New World</v>
      </c>
      <c r="C271" s="6" t="str">
        <f>IFERROR(__xludf.DUMMYFUNCTION("""COMPUTED_VALUE"""),"Sci-Fi")</f>
        <v>Sci-Fi</v>
      </c>
      <c r="D271" s="5">
        <f>IFERROR(__xludf.DUMMYFUNCTION("""COMPUTED_VALUE"""),783.0)</f>
        <v>783</v>
      </c>
      <c r="E271" s="8">
        <f>IFERROR(__xludf.DUMMYFUNCTION("""COMPUTED_VALUE"""),0.978120978120978)</f>
        <v>0.9781209781</v>
      </c>
      <c r="F271" s="8">
        <f>IFERROR(__xludf.DUMMYFUNCTION("""COMPUTED_VALUE"""),0.395077720207253)</f>
        <v>0.3950777202</v>
      </c>
      <c r="G271" s="8">
        <f>IFERROR(__xludf.DUMMYFUNCTION("""COMPUTED_VALUE"""),0.311603650586701)</f>
        <v>0.3116036506</v>
      </c>
      <c r="H271" s="8">
        <f>IFERROR(__xludf.DUMMYFUNCTION("""COMPUTED_VALUE"""),0.245085190039318)</f>
        <v>0.24508519</v>
      </c>
      <c r="I271" s="8">
        <f>IFERROR(__xludf.DUMMYFUNCTION("""COMPUTED_VALUE"""),0.195281782437745)</f>
        <v>0.1952817824</v>
      </c>
      <c r="J271" s="8">
        <f>IFERROR(__xludf.DUMMYFUNCTION("""COMPUTED_VALUE"""),0.177398160315374)</f>
        <v>0.1773981603</v>
      </c>
      <c r="K271" s="8">
        <f>IFERROR(__xludf.DUMMYFUNCTION("""COMPUTED_VALUE"""),0.151116951379763)</f>
        <v>0.1511169514</v>
      </c>
      <c r="L271" s="8">
        <f>IFERROR(__xludf.DUMMYFUNCTION("""COMPUTED_VALUE"""),0.124835742444152)</f>
        <v>0.1248357424</v>
      </c>
      <c r="M271" s="8">
        <f>IFERROR(__xludf.DUMMYFUNCTION("""COMPUTED_VALUE"""),0.105124835742444)</f>
        <v>0.1051248357</v>
      </c>
      <c r="N271" s="8">
        <f>IFERROR(__xludf.DUMMYFUNCTION("""COMPUTED_VALUE"""),0.0959264126149802)</f>
        <v>0.09592641261</v>
      </c>
      <c r="O271" s="8">
        <f>IFERROR(__xludf.DUMMYFUNCTION("""COMPUTED_VALUE"""),0.0657894736842105)</f>
        <v>0.06578947368</v>
      </c>
      <c r="P271" s="8">
        <f>IFERROR(__xludf.DUMMYFUNCTION("""COMPUTED_VALUE"""),0.0572569906790945)</f>
        <v>0.05725699068</v>
      </c>
      <c r="Q271" s="8">
        <f>IFERROR(__xludf.DUMMYFUNCTION("""COMPUTED_VALUE"""),0.0323450134770889)</f>
        <v>0.03234501348</v>
      </c>
      <c r="R271" s="8">
        <f>IFERROR(__xludf.DUMMYFUNCTION("""COMPUTED_VALUE"""),0.0198776758409785)</f>
        <v>0.01987767584</v>
      </c>
      <c r="S271" s="8">
        <f>IFERROR(__xludf.DUMMYFUNCTION("""COMPUTED_VALUE"""),0.0147874306839186)</f>
        <v>0.01478743068</v>
      </c>
      <c r="T271" s="8">
        <f>IFERROR(__xludf.DUMMYFUNCTION("""COMPUTED_VALUE"""),0.0087719298245614)</f>
        <v>0.008771929825</v>
      </c>
      <c r="U271" s="8">
        <f>IFERROR(__xludf.DUMMYFUNCTION("""COMPUTED_VALUE"""),0.00793650793650793)</f>
        <v>0.007936507937</v>
      </c>
      <c r="V271" s="8">
        <f>IFERROR(__xludf.DUMMYFUNCTION("""COMPUTED_VALUE"""),0.00398406374501992)</f>
        <v>0.003984063745</v>
      </c>
      <c r="W271" s="8">
        <f>IFERROR(__xludf.DUMMYFUNCTION("""COMPUTED_VALUE"""),0.0)</f>
        <v>0</v>
      </c>
      <c r="X271" s="8">
        <f>IFERROR(__xludf.DUMMYFUNCTION("""COMPUTED_VALUE"""),0.0)</f>
        <v>0</v>
      </c>
      <c r="Y271" s="8">
        <f>IFERROR(__xludf.DUMMYFUNCTION("""COMPUTED_VALUE"""),0.0)</f>
        <v>0</v>
      </c>
      <c r="Z271" s="8">
        <f>IFERROR(__xludf.DUMMYFUNCTION("""COMPUTED_VALUE"""),0.0)</f>
        <v>0</v>
      </c>
      <c r="AA271" s="8">
        <f>IFERROR(__xludf.DUMMYFUNCTION("""COMPUTED_VALUE"""),0.0)</f>
        <v>0</v>
      </c>
      <c r="AB271" s="8">
        <f>IFERROR(__xludf.DUMMYFUNCTION("""COMPUTED_VALUE"""),0.0)</f>
        <v>0</v>
      </c>
      <c r="AC271" s="8">
        <f>IFERROR(__xludf.DUMMYFUNCTION("""COMPUTED_VALUE"""),0.0)</f>
        <v>0</v>
      </c>
    </row>
    <row r="272" ht="15.75" customHeight="1">
      <c r="A272" s="6" t="str">
        <f>IFERROR(__xludf.DUMMYFUNCTION("""COMPUTED_VALUE"""),"f692474d2ac3ef329a93f72cfedf44bceaced5f1")</f>
        <v>f692474d2ac3ef329a93f72cfedf44bceaced5f1</v>
      </c>
      <c r="B272" s="6" t="str">
        <f>IFERROR(__xludf.DUMMYFUNCTION("""COMPUTED_VALUE"""),"Kingsley Reigns")</f>
        <v>Kingsley Reigns</v>
      </c>
      <c r="C272" s="6" t="str">
        <f>IFERROR(__xludf.DUMMYFUNCTION("""COMPUTED_VALUE"""),"Drama")</f>
        <v>Drama</v>
      </c>
      <c r="D272" s="5">
        <f>IFERROR(__xludf.DUMMYFUNCTION("""COMPUTED_VALUE"""),12842.0)</f>
        <v>12842</v>
      </c>
      <c r="E272" s="8">
        <f>IFERROR(__xludf.DUMMYFUNCTION("""COMPUTED_VALUE"""),0.8773077821921)</f>
        <v>0.8773077822</v>
      </c>
      <c r="F272" s="8">
        <f>IFERROR(__xludf.DUMMYFUNCTION("""COMPUTED_VALUE"""),0.502377426143892)</f>
        <v>0.5023774261</v>
      </c>
      <c r="G272" s="8">
        <f>IFERROR(__xludf.DUMMYFUNCTION("""COMPUTED_VALUE"""),0.459948521956165)</f>
        <v>0.459948522</v>
      </c>
      <c r="H272" s="8">
        <f>IFERROR(__xludf.DUMMYFUNCTION("""COMPUTED_VALUE"""),0.433130461922596)</f>
        <v>0.4331304619</v>
      </c>
      <c r="I272" s="8">
        <f>IFERROR(__xludf.DUMMYFUNCTION("""COMPUTED_VALUE"""),0.417987352642673)</f>
        <v>0.4179873526</v>
      </c>
      <c r="J272" s="8">
        <f>IFERROR(__xludf.DUMMYFUNCTION("""COMPUTED_VALUE"""),0.402608559825054)</f>
        <v>0.4026085598</v>
      </c>
      <c r="K272" s="8">
        <f>IFERROR(__xludf.DUMMYFUNCTION("""COMPUTED_VALUE"""),0.3853125)</f>
        <v>0.3853125</v>
      </c>
      <c r="L272" s="8">
        <f>IFERROR(__xludf.DUMMYFUNCTION("""COMPUTED_VALUE"""),0.371531306183068)</f>
        <v>0.3715313062</v>
      </c>
      <c r="M272" s="8">
        <f>IFERROR(__xludf.DUMMYFUNCTION("""COMPUTED_VALUE"""),0.364013137316233)</f>
        <v>0.3640131373</v>
      </c>
      <c r="N272" s="8">
        <f>IFERROR(__xludf.DUMMYFUNCTION("""COMPUTED_VALUE"""),0.358970346608246)</f>
        <v>0.3589703466</v>
      </c>
      <c r="O272" s="8">
        <f>IFERROR(__xludf.DUMMYFUNCTION("""COMPUTED_VALUE"""),0.331815684119632)</f>
        <v>0.3318156841</v>
      </c>
      <c r="P272" s="8">
        <f>IFERROR(__xludf.DUMMYFUNCTION("""COMPUTED_VALUE"""),0.276003147128245)</f>
        <v>0.2760031471</v>
      </c>
      <c r="Q272" s="8">
        <f>IFERROR(__xludf.DUMMYFUNCTION("""COMPUTED_VALUE"""),0.215872263062208)</f>
        <v>0.2158722631</v>
      </c>
      <c r="R272" s="8">
        <f>IFERROR(__xludf.DUMMYFUNCTION("""COMPUTED_VALUE"""),0.18744053282588)</f>
        <v>0.1874405328</v>
      </c>
      <c r="S272" s="8">
        <f>IFERROR(__xludf.DUMMYFUNCTION("""COMPUTED_VALUE"""),0.169654825737265)</f>
        <v>0.1696548257</v>
      </c>
      <c r="T272" s="8">
        <f>IFERROR(__xludf.DUMMYFUNCTION("""COMPUTED_VALUE"""),0.149139203148057)</f>
        <v>0.1491392031</v>
      </c>
      <c r="U272" s="8">
        <f>IFERROR(__xludf.DUMMYFUNCTION("""COMPUTED_VALUE"""),0.14072403050811)</f>
        <v>0.1407240305</v>
      </c>
      <c r="V272" s="8">
        <f>IFERROR(__xludf.DUMMYFUNCTION("""COMPUTED_VALUE"""),0.129358830146231)</f>
        <v>0.1293588301</v>
      </c>
      <c r="W272" s="8">
        <f>IFERROR(__xludf.DUMMYFUNCTION("""COMPUTED_VALUE"""),0.117505583233121)</f>
        <v>0.1175055832</v>
      </c>
      <c r="X272" s="8">
        <f>IFERROR(__xludf.DUMMYFUNCTION("""COMPUTED_VALUE"""),0.107880990233931)</f>
        <v>0.1078809902</v>
      </c>
      <c r="Y272" s="8">
        <f>IFERROR(__xludf.DUMMYFUNCTION("""COMPUTED_VALUE"""),0.0941213258286429)</f>
        <v>0.09412132583</v>
      </c>
      <c r="Z272" s="8">
        <f>IFERROR(__xludf.DUMMYFUNCTION("""COMPUTED_VALUE"""),0.074877916440586)</f>
        <v>0.07487791644</v>
      </c>
      <c r="AA272" s="8">
        <f>IFERROR(__xludf.DUMMYFUNCTION("""COMPUTED_VALUE"""),0.0633093525179856)</f>
        <v>0.06330935252</v>
      </c>
      <c r="AB272" s="8">
        <f>IFERROR(__xludf.DUMMYFUNCTION("""COMPUTED_VALUE"""),0.0351758793969849)</f>
        <v>0.0351758794</v>
      </c>
      <c r="AC272" s="8">
        <f>IFERROR(__xludf.DUMMYFUNCTION("""COMPUTED_VALUE"""),0.0422535211267605)</f>
        <v>0.04225352113</v>
      </c>
    </row>
    <row r="273" ht="15.75" customHeight="1">
      <c r="A273" s="6" t="str">
        <f>IFERROR(__xludf.DUMMYFUNCTION("""COMPUTED_VALUE"""),"f6ea1ee253b53b8124a4f7f92ae0a9ef960a044a")</f>
        <v>f6ea1ee253b53b8124a4f7f92ae0a9ef960a044a</v>
      </c>
      <c r="B273" s="6" t="str">
        <f>IFERROR(__xludf.DUMMYFUNCTION("""COMPUTED_VALUE"""),"Regret of the Ceo")</f>
        <v>Regret of the Ceo</v>
      </c>
      <c r="C273" s="6" t="str">
        <f>IFERROR(__xludf.DUMMYFUNCTION("""COMPUTED_VALUE"""),"Romance")</f>
        <v>Romance</v>
      </c>
      <c r="D273" s="5">
        <f>IFERROR(__xludf.DUMMYFUNCTION("""COMPUTED_VALUE"""),2012.0)</f>
        <v>2012</v>
      </c>
      <c r="E273" s="8">
        <f>IFERROR(__xludf.DUMMYFUNCTION("""COMPUTED_VALUE"""),0.956433637284701)</f>
        <v>0.9564336373</v>
      </c>
      <c r="F273" s="8">
        <f>IFERROR(__xludf.DUMMYFUNCTION("""COMPUTED_VALUE"""),0.682218766200103)</f>
        <v>0.6822187662</v>
      </c>
      <c r="G273" s="8">
        <f>IFERROR(__xludf.DUMMYFUNCTION("""COMPUTED_VALUE"""),0.630705394190871)</f>
        <v>0.6307053942</v>
      </c>
      <c r="H273" s="8">
        <f>IFERROR(__xludf.DUMMYFUNCTION("""COMPUTED_VALUE"""),0.579439252336448)</f>
        <v>0.5794392523</v>
      </c>
      <c r="I273" s="8">
        <f>IFERROR(__xludf.DUMMYFUNCTION("""COMPUTED_VALUE"""),0.516380655226209)</f>
        <v>0.5163806552</v>
      </c>
      <c r="J273" s="8">
        <f>IFERROR(__xludf.DUMMYFUNCTION("""COMPUTED_VALUE"""),0.46286610878661)</f>
        <v>0.4628661088</v>
      </c>
      <c r="K273" s="8">
        <f>IFERROR(__xludf.DUMMYFUNCTION("""COMPUTED_VALUE"""),0.406806282722513)</f>
        <v>0.4068062827</v>
      </c>
      <c r="L273" s="8">
        <f>IFERROR(__xludf.DUMMYFUNCTION("""COMPUTED_VALUE"""),0.368891224382553)</f>
        <v>0.3688912244</v>
      </c>
      <c r="M273" s="8">
        <f>IFERROR(__xludf.DUMMYFUNCTION("""COMPUTED_VALUE"""),0.333684210526315)</f>
        <v>0.3336842105</v>
      </c>
      <c r="N273" s="8">
        <f>IFERROR(__xludf.DUMMYFUNCTION("""COMPUTED_VALUE"""),0.306962025316455)</f>
        <v>0.3069620253</v>
      </c>
      <c r="O273" s="8">
        <f>IFERROR(__xludf.DUMMYFUNCTION("""COMPUTED_VALUE"""),0.223523150612027)</f>
        <v>0.2235231506</v>
      </c>
      <c r="P273" s="8">
        <f>IFERROR(__xludf.DUMMYFUNCTION("""COMPUTED_VALUE"""),0.177446102819237)</f>
        <v>0.1774461028</v>
      </c>
      <c r="Q273" s="8">
        <f>IFERROR(__xludf.DUMMYFUNCTION("""COMPUTED_VALUE"""),0.108665749656121)</f>
        <v>0.1086657497</v>
      </c>
      <c r="R273" s="8">
        <f>IFERROR(__xludf.DUMMYFUNCTION("""COMPUTED_VALUE"""),0.0624113475177304)</f>
        <v>0.06241134752</v>
      </c>
      <c r="S273" s="8">
        <f>IFERROR(__xludf.DUMMYFUNCTION("""COMPUTED_VALUE"""),0.0285714285714285)</f>
        <v>0.02857142857</v>
      </c>
      <c r="T273" s="8">
        <f>IFERROR(__xludf.DUMMYFUNCTION("""COMPUTED_VALUE"""),0.0)</f>
        <v>0</v>
      </c>
      <c r="U273" s="8">
        <f>IFERROR(__xludf.DUMMYFUNCTION("""COMPUTED_VALUE"""),0.0)</f>
        <v>0</v>
      </c>
      <c r="V273" s="8">
        <f>IFERROR(__xludf.DUMMYFUNCTION("""COMPUTED_VALUE"""),0.0)</f>
        <v>0</v>
      </c>
      <c r="W273" s="8">
        <f>IFERROR(__xludf.DUMMYFUNCTION("""COMPUTED_VALUE"""),0.0)</f>
        <v>0</v>
      </c>
      <c r="X273" s="8">
        <f>IFERROR(__xludf.DUMMYFUNCTION("""COMPUTED_VALUE"""),0.0)</f>
        <v>0</v>
      </c>
      <c r="Y273" s="8">
        <f>IFERROR(__xludf.DUMMYFUNCTION("""COMPUTED_VALUE"""),0.0)</f>
        <v>0</v>
      </c>
      <c r="Z273" s="8">
        <f>IFERROR(__xludf.DUMMYFUNCTION("""COMPUTED_VALUE"""),0.0)</f>
        <v>0</v>
      </c>
      <c r="AA273" s="8">
        <f>IFERROR(__xludf.DUMMYFUNCTION("""COMPUTED_VALUE"""),0.0)</f>
        <v>0</v>
      </c>
      <c r="AB273" s="8">
        <f>IFERROR(__xludf.DUMMYFUNCTION("""COMPUTED_VALUE"""),0.0)</f>
        <v>0</v>
      </c>
      <c r="AC273" s="8">
        <f>IFERROR(__xludf.DUMMYFUNCTION("""COMPUTED_VALUE"""),0.0)</f>
        <v>0</v>
      </c>
    </row>
    <row r="274" ht="15.75" customHeight="1">
      <c r="A274" s="6" t="str">
        <f>IFERROR(__xludf.DUMMYFUNCTION("""COMPUTED_VALUE"""),"fb311a6dd8cd59a51bf680323116bcc5d2798a8e")</f>
        <v>fb311a6dd8cd59a51bf680323116bcc5d2798a8e</v>
      </c>
      <c r="B274" s="6" t="str">
        <f>IFERROR(__xludf.DUMMYFUNCTION("""COMPUTED_VALUE"""),"The Beast Tamer's Legacy")</f>
        <v>The Beast Tamer's Legacy</v>
      </c>
      <c r="C274" s="6" t="str">
        <f>IFERROR(__xludf.DUMMYFUNCTION("""COMPUTED_VALUE"""),"System and Superpower")</f>
        <v>System and Superpower</v>
      </c>
      <c r="D274" s="5">
        <f>IFERROR(__xludf.DUMMYFUNCTION("""COMPUTED_VALUE"""),1521.0)</f>
        <v>1521</v>
      </c>
      <c r="E274" s="8">
        <f>IFERROR(__xludf.DUMMYFUNCTION("""COMPUTED_VALUE"""),0.976973684210526)</f>
        <v>0.9769736842</v>
      </c>
      <c r="F274" s="8">
        <f>IFERROR(__xludf.DUMMYFUNCTION("""COMPUTED_VALUE"""),0.509222661396574)</f>
        <v>0.5092226614</v>
      </c>
      <c r="G274" s="8">
        <f>IFERROR(__xludf.DUMMYFUNCTION("""COMPUTED_VALUE"""),0.436015831134564)</f>
        <v>0.4360158311</v>
      </c>
      <c r="H274" s="8">
        <f>IFERROR(__xludf.DUMMYFUNCTION("""COMPUTED_VALUE"""),0.366820885657633)</f>
        <v>0.3668208857</v>
      </c>
      <c r="I274" s="8">
        <f>IFERROR(__xludf.DUMMYFUNCTION("""COMPUTED_VALUE"""),0.322089947089947)</f>
        <v>0.3220899471</v>
      </c>
      <c r="J274" s="8">
        <f>IFERROR(__xludf.DUMMYFUNCTION("""COMPUTED_VALUE"""),0.287798408488063)</f>
        <v>0.2877984085</v>
      </c>
      <c r="K274" s="8">
        <f>IFERROR(__xludf.DUMMYFUNCTION("""COMPUTED_VALUE"""),0.264276228419654)</f>
        <v>0.2642762284</v>
      </c>
      <c r="L274" s="8">
        <f>IFERROR(__xludf.DUMMYFUNCTION("""COMPUTED_VALUE"""),0.240531561461794)</f>
        <v>0.2405315615</v>
      </c>
      <c r="M274" s="8">
        <f>IFERROR(__xludf.DUMMYFUNCTION("""COMPUTED_VALUE"""),0.227272727272727)</f>
        <v>0.2272727273</v>
      </c>
      <c r="N274" s="8">
        <f>IFERROR(__xludf.DUMMYFUNCTION("""COMPUTED_VALUE"""),0.210174029451137)</f>
        <v>0.2101740295</v>
      </c>
      <c r="O274" s="8">
        <f>IFERROR(__xludf.DUMMYFUNCTION("""COMPUTED_VALUE"""),0.158730158730158)</f>
        <v>0.1587301587</v>
      </c>
      <c r="P274" s="8">
        <f>IFERROR(__xludf.DUMMYFUNCTION("""COMPUTED_VALUE"""),0.122213681783243)</f>
        <v>0.1222136818</v>
      </c>
      <c r="Q274" s="8">
        <f>IFERROR(__xludf.DUMMYFUNCTION("""COMPUTED_VALUE"""),0.110358180058083)</f>
        <v>0.1103581801</v>
      </c>
      <c r="R274" s="8">
        <f>IFERROR(__xludf.DUMMYFUNCTION("""COMPUTED_VALUE"""),0.0)</f>
        <v>0</v>
      </c>
      <c r="S274" s="8">
        <f>IFERROR(__xludf.DUMMYFUNCTION("""COMPUTED_VALUE"""),0.0)</f>
        <v>0</v>
      </c>
      <c r="T274" s="8">
        <f>IFERROR(__xludf.DUMMYFUNCTION("""COMPUTED_VALUE"""),0.0)</f>
        <v>0</v>
      </c>
      <c r="U274" s="8">
        <f>IFERROR(__xludf.DUMMYFUNCTION("""COMPUTED_VALUE"""),0.0)</f>
        <v>0</v>
      </c>
      <c r="V274" s="8">
        <f>IFERROR(__xludf.DUMMYFUNCTION("""COMPUTED_VALUE"""),0.0)</f>
        <v>0</v>
      </c>
      <c r="W274" s="8">
        <f>IFERROR(__xludf.DUMMYFUNCTION("""COMPUTED_VALUE"""),0.0)</f>
        <v>0</v>
      </c>
      <c r="X274" s="8">
        <f>IFERROR(__xludf.DUMMYFUNCTION("""COMPUTED_VALUE"""),0.0)</f>
        <v>0</v>
      </c>
      <c r="Y274" s="8">
        <f>IFERROR(__xludf.DUMMYFUNCTION("""COMPUTED_VALUE"""),0.0)</f>
        <v>0</v>
      </c>
      <c r="Z274" s="8">
        <f>IFERROR(__xludf.DUMMYFUNCTION("""COMPUTED_VALUE"""),0.0)</f>
        <v>0</v>
      </c>
      <c r="AA274" s="8">
        <f>IFERROR(__xludf.DUMMYFUNCTION("""COMPUTED_VALUE"""),0.0)</f>
        <v>0</v>
      </c>
      <c r="AB274" s="8">
        <f>IFERROR(__xludf.DUMMYFUNCTION("""COMPUTED_VALUE"""),0.0)</f>
        <v>0</v>
      </c>
      <c r="AC274" s="8">
        <f>IFERROR(__xludf.DUMMYFUNCTION("""COMPUTED_VALUE"""),0.0)</f>
        <v>0</v>
      </c>
    </row>
    <row r="275" ht="15.75" customHeight="1">
      <c r="A275" s="6" t="str">
        <f>IFERROR(__xludf.DUMMYFUNCTION("""COMPUTED_VALUE"""),"fc599fbc708fd150dfe8d867a18a17fa8b439c84")</f>
        <v>fc599fbc708fd150dfe8d867a18a17fa8b439c84</v>
      </c>
      <c r="B275" s="6" t="str">
        <f>IFERROR(__xludf.DUMMYFUNCTION("""COMPUTED_VALUE"""),"Anything for Sunny")</f>
        <v>Anything for Sunny</v>
      </c>
      <c r="C275" s="6" t="str">
        <f>IFERROR(__xludf.DUMMYFUNCTION("""COMPUTED_VALUE"""),"Drama")</f>
        <v>Drama</v>
      </c>
      <c r="D275" s="5">
        <f>IFERROR(__xludf.DUMMYFUNCTION("""COMPUTED_VALUE"""),546.0)</f>
        <v>546</v>
      </c>
      <c r="E275" s="8">
        <f>IFERROR(__xludf.DUMMYFUNCTION("""COMPUTED_VALUE"""),0.96875)</f>
        <v>0.96875</v>
      </c>
      <c r="F275" s="8">
        <f>IFERROR(__xludf.DUMMYFUNCTION("""COMPUTED_VALUE"""),0.512962962962963)</f>
        <v>0.512962963</v>
      </c>
      <c r="G275" s="8">
        <f>IFERROR(__xludf.DUMMYFUNCTION("""COMPUTED_VALUE"""),0.423005565862708)</f>
        <v>0.4230055659</v>
      </c>
      <c r="H275" s="8">
        <f>IFERROR(__xludf.DUMMYFUNCTION("""COMPUTED_VALUE"""),0.345724907063197)</f>
        <v>0.3457249071</v>
      </c>
      <c r="I275" s="8">
        <f>IFERROR(__xludf.DUMMYFUNCTION("""COMPUTED_VALUE"""),0.293457943925233)</f>
        <v>0.2934579439</v>
      </c>
      <c r="J275" s="8">
        <f>IFERROR(__xludf.DUMMYFUNCTION("""COMPUTED_VALUE"""),0.272211720226843)</f>
        <v>0.2722117202</v>
      </c>
      <c r="K275" s="8">
        <f>IFERROR(__xludf.DUMMYFUNCTION("""COMPUTED_VALUE"""),0.231499051233396)</f>
        <v>0.2314990512</v>
      </c>
      <c r="L275" s="8">
        <f>IFERROR(__xludf.DUMMYFUNCTION("""COMPUTED_VALUE"""),0.209213051823416)</f>
        <v>0.2092130518</v>
      </c>
      <c r="M275" s="8">
        <f>IFERROR(__xludf.DUMMYFUNCTION("""COMPUTED_VALUE"""),0.197674418604651)</f>
        <v>0.1976744186</v>
      </c>
      <c r="N275" s="8">
        <f>IFERROR(__xludf.DUMMYFUNCTION("""COMPUTED_VALUE"""),0.183794466403162)</f>
        <v>0.1837944664</v>
      </c>
      <c r="O275" s="8">
        <f>IFERROR(__xludf.DUMMYFUNCTION("""COMPUTED_VALUE"""),0.161971830985915)</f>
        <v>0.161971831</v>
      </c>
      <c r="P275" s="8">
        <f>IFERROR(__xludf.DUMMYFUNCTION("""COMPUTED_VALUE"""),0.160919540229885)</f>
        <v>0.1609195402</v>
      </c>
      <c r="Q275" s="8">
        <f>IFERROR(__xludf.DUMMYFUNCTION("""COMPUTED_VALUE"""),0.138075313807531)</f>
        <v>0.1380753138</v>
      </c>
      <c r="R275" s="8">
        <f>IFERROR(__xludf.DUMMYFUNCTION("""COMPUTED_VALUE"""),0.135678391959799)</f>
        <v>0.135678392</v>
      </c>
      <c r="S275" s="8">
        <f>IFERROR(__xludf.DUMMYFUNCTION("""COMPUTED_VALUE"""),0.0)</f>
        <v>0</v>
      </c>
      <c r="T275" s="8">
        <f>IFERROR(__xludf.DUMMYFUNCTION("""COMPUTED_VALUE"""),0.0)</f>
        <v>0</v>
      </c>
      <c r="U275" s="8">
        <f>IFERROR(__xludf.DUMMYFUNCTION("""COMPUTED_VALUE"""),0.0)</f>
        <v>0</v>
      </c>
      <c r="V275" s="8">
        <f>IFERROR(__xludf.DUMMYFUNCTION("""COMPUTED_VALUE"""),0.0)</f>
        <v>0</v>
      </c>
      <c r="W275" s="8">
        <f>IFERROR(__xludf.DUMMYFUNCTION("""COMPUTED_VALUE"""),0.0)</f>
        <v>0</v>
      </c>
      <c r="X275" s="8">
        <f>IFERROR(__xludf.DUMMYFUNCTION("""COMPUTED_VALUE"""),0.0)</f>
        <v>0</v>
      </c>
      <c r="Y275" s="8">
        <f>IFERROR(__xludf.DUMMYFUNCTION("""COMPUTED_VALUE"""),0.0)</f>
        <v>0</v>
      </c>
      <c r="Z275" s="8">
        <f>IFERROR(__xludf.DUMMYFUNCTION("""COMPUTED_VALUE"""),0.0)</f>
        <v>0</v>
      </c>
      <c r="AA275" s="8">
        <f>IFERROR(__xludf.DUMMYFUNCTION("""COMPUTED_VALUE"""),0.0)</f>
        <v>0</v>
      </c>
      <c r="AB275" s="8">
        <f>IFERROR(__xludf.DUMMYFUNCTION("""COMPUTED_VALUE"""),0.0)</f>
        <v>0</v>
      </c>
      <c r="AC275" s="8">
        <f>IFERROR(__xludf.DUMMYFUNCTION("""COMPUTED_VALUE"""),0.0)</f>
        <v>0</v>
      </c>
    </row>
    <row r="276" ht="15.75" customHeight="1">
      <c r="A276" s="6" t="str">
        <f>IFERROR(__xludf.DUMMYFUNCTION("""COMPUTED_VALUE"""),"fcddd3d14a0e1b1dab1bcb5c11d4aec683fdb598")</f>
        <v>fcddd3d14a0e1b1dab1bcb5c11d4aec683fdb598</v>
      </c>
      <c r="B276" s="6" t="str">
        <f>IFERROR(__xludf.DUMMYFUNCTION("""COMPUTED_VALUE"""),"Rise of Drake Callahan")</f>
        <v>Rise of Drake Callahan</v>
      </c>
      <c r="C276" s="6" t="str">
        <f>IFERROR(__xludf.DUMMYFUNCTION("""COMPUTED_VALUE"""),"Drama")</f>
        <v>Drama</v>
      </c>
      <c r="D276" s="5">
        <f>IFERROR(__xludf.DUMMYFUNCTION("""COMPUTED_VALUE"""),887.0)</f>
        <v>887</v>
      </c>
      <c r="E276" s="8">
        <f>IFERROR(__xludf.DUMMYFUNCTION("""COMPUTED_VALUE"""),0.977401129943502)</f>
        <v>0.9774011299</v>
      </c>
      <c r="F276" s="8">
        <f>IFERROR(__xludf.DUMMYFUNCTION("""COMPUTED_VALUE"""),0.588100686498855)</f>
        <v>0.5881006865</v>
      </c>
      <c r="G276" s="8">
        <f>IFERROR(__xludf.DUMMYFUNCTION("""COMPUTED_VALUE"""),0.529754959159859)</f>
        <v>0.5297549592</v>
      </c>
      <c r="H276" s="8">
        <f>IFERROR(__xludf.DUMMYFUNCTION("""COMPUTED_VALUE"""),0.497942386831275)</f>
        <v>0.4979423868</v>
      </c>
      <c r="I276" s="8">
        <f>IFERROR(__xludf.DUMMYFUNCTION("""COMPUTED_VALUE"""),0.452991452991453)</f>
        <v>0.452991453</v>
      </c>
      <c r="J276" s="8">
        <f>IFERROR(__xludf.DUMMYFUNCTION("""COMPUTED_VALUE"""),0.438985736925515)</f>
        <v>0.4389857369</v>
      </c>
      <c r="K276" s="8">
        <f>IFERROR(__xludf.DUMMYFUNCTION("""COMPUTED_VALUE"""),0.426573426573426)</f>
        <v>0.4265734266</v>
      </c>
      <c r="L276" s="8">
        <f>IFERROR(__xludf.DUMMYFUNCTION("""COMPUTED_VALUE"""),0.392785571142284)</f>
        <v>0.3927855711</v>
      </c>
      <c r="M276" s="8">
        <f>IFERROR(__xludf.DUMMYFUNCTION("""COMPUTED_VALUE"""),0.362445414847161)</f>
        <v>0.3624454148</v>
      </c>
      <c r="N276" s="8">
        <f>IFERROR(__xludf.DUMMYFUNCTION("""COMPUTED_VALUE"""),0.335766423357664)</f>
        <v>0.3357664234</v>
      </c>
      <c r="O276" s="8">
        <f>IFERROR(__xludf.DUMMYFUNCTION("""COMPUTED_VALUE"""),0.212230215827338)</f>
        <v>0.2122302158</v>
      </c>
      <c r="P276" s="8">
        <f>IFERROR(__xludf.DUMMYFUNCTION("""COMPUTED_VALUE"""),0.232)</f>
        <v>0.232</v>
      </c>
      <c r="Q276" s="8">
        <f>IFERROR(__xludf.DUMMYFUNCTION("""COMPUTED_VALUE"""),0.0)</f>
        <v>0</v>
      </c>
      <c r="R276" s="8">
        <f>IFERROR(__xludf.DUMMYFUNCTION("""COMPUTED_VALUE"""),0.0)</f>
        <v>0</v>
      </c>
      <c r="S276" s="8">
        <f>IFERROR(__xludf.DUMMYFUNCTION("""COMPUTED_VALUE"""),0.0)</f>
        <v>0</v>
      </c>
      <c r="T276" s="8">
        <f>IFERROR(__xludf.DUMMYFUNCTION("""COMPUTED_VALUE"""),0.0)</f>
        <v>0</v>
      </c>
      <c r="U276" s="8">
        <f>IFERROR(__xludf.DUMMYFUNCTION("""COMPUTED_VALUE"""),0.0)</f>
        <v>0</v>
      </c>
      <c r="V276" s="8">
        <f>IFERROR(__xludf.DUMMYFUNCTION("""COMPUTED_VALUE"""),0.0)</f>
        <v>0</v>
      </c>
      <c r="W276" s="8">
        <f>IFERROR(__xludf.DUMMYFUNCTION("""COMPUTED_VALUE"""),0.0)</f>
        <v>0</v>
      </c>
      <c r="X276" s="8">
        <f>IFERROR(__xludf.DUMMYFUNCTION("""COMPUTED_VALUE"""),0.0)</f>
        <v>0</v>
      </c>
      <c r="Y276" s="8">
        <f>IFERROR(__xludf.DUMMYFUNCTION("""COMPUTED_VALUE"""),0.0)</f>
        <v>0</v>
      </c>
      <c r="Z276" s="8">
        <f>IFERROR(__xludf.DUMMYFUNCTION("""COMPUTED_VALUE"""),0.0)</f>
        <v>0</v>
      </c>
      <c r="AA276" s="8">
        <f>IFERROR(__xludf.DUMMYFUNCTION("""COMPUTED_VALUE"""),0.0)</f>
        <v>0</v>
      </c>
      <c r="AB276" s="8">
        <f>IFERROR(__xludf.DUMMYFUNCTION("""COMPUTED_VALUE"""),0.0)</f>
        <v>0</v>
      </c>
      <c r="AC276" s="8">
        <f>IFERROR(__xludf.DUMMYFUNCTION("""COMPUTED_VALUE"""),0.0)</f>
        <v>0</v>
      </c>
    </row>
    <row r="277" ht="15.75" customHeight="1">
      <c r="A277" s="6" t="str">
        <f>IFERROR(__xludf.DUMMYFUNCTION("""COMPUTED_VALUE"""),"fce8fe866ed4c3d213e087a4343996d06bb09af7")</f>
        <v>fce8fe866ed4c3d213e087a4343996d06bb09af7</v>
      </c>
      <c r="B277" s="6" t="str">
        <f>IFERROR(__xludf.DUMMYFUNCTION("""COMPUTED_VALUE"""),"The Anderson Rebirth")</f>
        <v>The Anderson Rebirth</v>
      </c>
      <c r="C277" s="6" t="str">
        <f>IFERROR(__xludf.DUMMYFUNCTION("""COMPUTED_VALUE"""),"System and Superpower")</f>
        <v>System and Superpower</v>
      </c>
      <c r="D277" s="5">
        <f>IFERROR(__xludf.DUMMYFUNCTION("""COMPUTED_VALUE"""),1202.0)</f>
        <v>1202</v>
      </c>
      <c r="E277" s="8">
        <f>IFERROR(__xludf.DUMMYFUNCTION("""COMPUTED_VALUE"""),0.950915141430948)</f>
        <v>0.9509151414</v>
      </c>
      <c r="F277" s="8">
        <f>IFERROR(__xludf.DUMMYFUNCTION("""COMPUTED_VALUE"""),0.643094841930116)</f>
        <v>0.6430948419</v>
      </c>
      <c r="G277" s="8">
        <f>IFERROR(__xludf.DUMMYFUNCTION("""COMPUTED_VALUE"""),0.591514143094842)</f>
        <v>0.5915141431</v>
      </c>
      <c r="H277" s="8">
        <f>IFERROR(__xludf.DUMMYFUNCTION("""COMPUTED_VALUE"""),0.555)</f>
        <v>0.555</v>
      </c>
      <c r="I277" s="8">
        <f>IFERROR(__xludf.DUMMYFUNCTION("""COMPUTED_VALUE"""),0.507512520868113)</f>
        <v>0.5075125209</v>
      </c>
      <c r="J277" s="8">
        <f>IFERROR(__xludf.DUMMYFUNCTION("""COMPUTED_VALUE"""),0.479131886477462)</f>
        <v>0.4791318865</v>
      </c>
      <c r="K277" s="8">
        <f>IFERROR(__xludf.DUMMYFUNCTION("""COMPUTED_VALUE"""),0.459866220735786)</f>
        <v>0.4598662207</v>
      </c>
      <c r="L277" s="8">
        <f>IFERROR(__xludf.DUMMYFUNCTION("""COMPUTED_VALUE"""),0.439330543933054)</f>
        <v>0.4393305439</v>
      </c>
      <c r="M277" s="8">
        <f>IFERROR(__xludf.DUMMYFUNCTION("""COMPUTED_VALUE"""),0.428810720268006)</f>
        <v>0.4288107203</v>
      </c>
      <c r="N277" s="8">
        <f>IFERROR(__xludf.DUMMYFUNCTION("""COMPUTED_VALUE"""),0.410562180579216)</f>
        <v>0.4105621806</v>
      </c>
      <c r="O277" s="8">
        <f>IFERROR(__xludf.DUMMYFUNCTION("""COMPUTED_VALUE"""),0.384951881014873)</f>
        <v>0.384951881</v>
      </c>
      <c r="P277" s="8">
        <f>IFERROR(__xludf.DUMMYFUNCTION("""COMPUTED_VALUE"""),0.286725663716814)</f>
        <v>0.2867256637</v>
      </c>
      <c r="Q277" s="8">
        <f>IFERROR(__xludf.DUMMYFUNCTION("""COMPUTED_VALUE"""),0.153614457831325)</f>
        <v>0.1536144578</v>
      </c>
      <c r="R277" s="8">
        <f>IFERROR(__xludf.DUMMYFUNCTION("""COMPUTED_VALUE"""),0.0845528455284552)</f>
        <v>0.08455284553</v>
      </c>
      <c r="S277" s="8">
        <f>IFERROR(__xludf.DUMMYFUNCTION("""COMPUTED_VALUE"""),0.0)</f>
        <v>0</v>
      </c>
      <c r="T277" s="8">
        <f>IFERROR(__xludf.DUMMYFUNCTION("""COMPUTED_VALUE"""),0.0)</f>
        <v>0</v>
      </c>
      <c r="U277" s="8">
        <f>IFERROR(__xludf.DUMMYFUNCTION("""COMPUTED_VALUE"""),0.0)</f>
        <v>0</v>
      </c>
      <c r="V277" s="8">
        <f>IFERROR(__xludf.DUMMYFUNCTION("""COMPUTED_VALUE"""),0.0)</f>
        <v>0</v>
      </c>
      <c r="W277" s="8">
        <f>IFERROR(__xludf.DUMMYFUNCTION("""COMPUTED_VALUE"""),0.0)</f>
        <v>0</v>
      </c>
      <c r="X277" s="8">
        <f>IFERROR(__xludf.DUMMYFUNCTION("""COMPUTED_VALUE"""),0.0)</f>
        <v>0</v>
      </c>
      <c r="Y277" s="8">
        <f>IFERROR(__xludf.DUMMYFUNCTION("""COMPUTED_VALUE"""),0.0)</f>
        <v>0</v>
      </c>
      <c r="Z277" s="8">
        <f>IFERROR(__xludf.DUMMYFUNCTION("""COMPUTED_VALUE"""),0.0)</f>
        <v>0</v>
      </c>
      <c r="AA277" s="8">
        <f>IFERROR(__xludf.DUMMYFUNCTION("""COMPUTED_VALUE"""),0.0)</f>
        <v>0</v>
      </c>
      <c r="AB277" s="8">
        <f>IFERROR(__xludf.DUMMYFUNCTION("""COMPUTED_VALUE"""),0.0)</f>
        <v>0</v>
      </c>
      <c r="AC277" s="8">
        <f>IFERROR(__xludf.DUMMYFUNCTION("""COMPUTED_VALUE"""),0.0)</f>
        <v>0</v>
      </c>
    </row>
    <row r="278" ht="15.75" customHeight="1">
      <c r="A278" s="6" t="str">
        <f>IFERROR(__xludf.DUMMYFUNCTION("""COMPUTED_VALUE"""),"fce99720ddedf66c6e45f23c6876581e0b796f34")</f>
        <v>fce99720ddedf66c6e45f23c6876581e0b796f34</v>
      </c>
      <c r="B278" s="6" t="str">
        <f>IFERROR(__xludf.DUMMYFUNCTION("""COMPUTED_VALUE"""),"Reborn as Serena Whitmore")</f>
        <v>Reborn as Serena Whitmore</v>
      </c>
      <c r="C278" s="6" t="str">
        <f>IFERROR(__xludf.DUMMYFUNCTION("""COMPUTED_VALUE"""),"Romance")</f>
        <v>Romance</v>
      </c>
      <c r="D278" s="5">
        <f>IFERROR(__xludf.DUMMYFUNCTION("""COMPUTED_VALUE"""),937.0)</f>
        <v>937</v>
      </c>
      <c r="E278" s="8">
        <f>IFERROR(__xludf.DUMMYFUNCTION("""COMPUTED_VALUE"""),0.956196581196581)</f>
        <v>0.9561965812</v>
      </c>
      <c r="F278" s="8">
        <f>IFERROR(__xludf.DUMMYFUNCTION("""COMPUTED_VALUE"""),0.706580366774541)</f>
        <v>0.7065803668</v>
      </c>
      <c r="G278" s="8">
        <f>IFERROR(__xludf.DUMMYFUNCTION("""COMPUTED_VALUE"""),0.644708423326133)</f>
        <v>0.6447084233</v>
      </c>
      <c r="H278" s="8">
        <f>IFERROR(__xludf.DUMMYFUNCTION("""COMPUTED_VALUE"""),0.602829162132753)</f>
        <v>0.6028291621</v>
      </c>
      <c r="I278" s="8">
        <f>IFERROR(__xludf.DUMMYFUNCTION("""COMPUTED_VALUE"""),0.54244762954796)</f>
        <v>0.5424476295</v>
      </c>
      <c r="J278" s="8">
        <f>IFERROR(__xludf.DUMMYFUNCTION("""COMPUTED_VALUE"""),0.52168815943728)</f>
        <v>0.5216881594</v>
      </c>
      <c r="K278" s="8">
        <f>IFERROR(__xludf.DUMMYFUNCTION("""COMPUTED_VALUE"""),0.488139825218476)</f>
        <v>0.4881398252</v>
      </c>
      <c r="L278" s="8">
        <f>IFERROR(__xludf.DUMMYFUNCTION("""COMPUTED_VALUE"""),0.453793103448275)</f>
        <v>0.4537931034</v>
      </c>
      <c r="M278" s="8">
        <f>IFERROR(__xludf.DUMMYFUNCTION("""COMPUTED_VALUE"""),0.413043478260869)</f>
        <v>0.4130434783</v>
      </c>
      <c r="N278" s="8">
        <f>IFERROR(__xludf.DUMMYFUNCTION("""COMPUTED_VALUE"""),0.392464678178963)</f>
        <v>0.3924646782</v>
      </c>
      <c r="O278" s="8">
        <f>IFERROR(__xludf.DUMMYFUNCTION("""COMPUTED_VALUE"""),0.277966101694915)</f>
        <v>0.2779661017</v>
      </c>
      <c r="P278" s="8">
        <f>IFERROR(__xludf.DUMMYFUNCTION("""COMPUTED_VALUE"""),0.246913580246913)</f>
        <v>0.2469135802</v>
      </c>
      <c r="Q278" s="8">
        <f>IFERROR(__xludf.DUMMYFUNCTION("""COMPUTED_VALUE"""),0.0)</f>
        <v>0</v>
      </c>
      <c r="R278" s="8">
        <f>IFERROR(__xludf.DUMMYFUNCTION("""COMPUTED_VALUE"""),0.0)</f>
        <v>0</v>
      </c>
      <c r="S278" s="8">
        <f>IFERROR(__xludf.DUMMYFUNCTION("""COMPUTED_VALUE"""),0.0)</f>
        <v>0</v>
      </c>
      <c r="T278" s="8">
        <f>IFERROR(__xludf.DUMMYFUNCTION("""COMPUTED_VALUE"""),0.0)</f>
        <v>0</v>
      </c>
      <c r="U278" s="8">
        <f>IFERROR(__xludf.DUMMYFUNCTION("""COMPUTED_VALUE"""),0.0)</f>
        <v>0</v>
      </c>
      <c r="V278" s="8">
        <f>IFERROR(__xludf.DUMMYFUNCTION("""COMPUTED_VALUE"""),0.0)</f>
        <v>0</v>
      </c>
      <c r="W278" s="8">
        <f>IFERROR(__xludf.DUMMYFUNCTION("""COMPUTED_VALUE"""),0.0)</f>
        <v>0</v>
      </c>
      <c r="X278" s="8">
        <f>IFERROR(__xludf.DUMMYFUNCTION("""COMPUTED_VALUE"""),0.0)</f>
        <v>0</v>
      </c>
      <c r="Y278" s="8">
        <f>IFERROR(__xludf.DUMMYFUNCTION("""COMPUTED_VALUE"""),0.0)</f>
        <v>0</v>
      </c>
      <c r="Z278" s="8">
        <f>IFERROR(__xludf.DUMMYFUNCTION("""COMPUTED_VALUE"""),0.0)</f>
        <v>0</v>
      </c>
      <c r="AA278" s="8">
        <f>IFERROR(__xludf.DUMMYFUNCTION("""COMPUTED_VALUE"""),0.0)</f>
        <v>0</v>
      </c>
      <c r="AB278" s="8">
        <f>IFERROR(__xludf.DUMMYFUNCTION("""COMPUTED_VALUE"""),0.0)</f>
        <v>0</v>
      </c>
      <c r="AC278" s="8">
        <f>IFERROR(__xludf.DUMMYFUNCTION("""COMPUTED_VALUE"""),0.0)</f>
        <v>0</v>
      </c>
    </row>
    <row r="279" ht="15.75" customHeight="1">
      <c r="A279" s="6" t="str">
        <f>IFERROR(__xludf.DUMMYFUNCTION("""COMPUTED_VALUE"""),"fe01aa725eab93a44f707bbab393a9640b0e69db")</f>
        <v>fe01aa725eab93a44f707bbab393a9640b0e69db</v>
      </c>
      <c r="B279" s="6" t="str">
        <f>IFERROR(__xludf.DUMMYFUNCTION("""COMPUTED_VALUE"""),"3 Years Later He Found Me")</f>
        <v>3 Years Later He Found Me</v>
      </c>
      <c r="C279" s="6" t="str">
        <f>IFERROR(__xludf.DUMMYFUNCTION("""COMPUTED_VALUE"""),"Romance")</f>
        <v>Romance</v>
      </c>
      <c r="D279" s="5">
        <f>IFERROR(__xludf.DUMMYFUNCTION("""COMPUTED_VALUE"""),800.0)</f>
        <v>800</v>
      </c>
      <c r="E279" s="8">
        <f>IFERROR(__xludf.DUMMYFUNCTION("""COMPUTED_VALUE"""),0.95625)</f>
        <v>0.95625</v>
      </c>
      <c r="F279" s="8">
        <f>IFERROR(__xludf.DUMMYFUNCTION("""COMPUTED_VALUE"""),0.544430538172715)</f>
        <v>0.5444305382</v>
      </c>
      <c r="G279" s="8">
        <f>IFERROR(__xludf.DUMMYFUNCTION("""COMPUTED_VALUE"""),0.460575719649561)</f>
        <v>0.4605757196</v>
      </c>
      <c r="H279" s="8">
        <f>IFERROR(__xludf.DUMMYFUNCTION("""COMPUTED_VALUE"""),0.421052631578947)</f>
        <v>0.4210526316</v>
      </c>
      <c r="I279" s="8">
        <f>IFERROR(__xludf.DUMMYFUNCTION("""COMPUTED_VALUE"""),0.390703517587939)</f>
        <v>0.3907035176</v>
      </c>
      <c r="J279" s="8">
        <f>IFERROR(__xludf.DUMMYFUNCTION("""COMPUTED_VALUE"""),0.36180904522613)</f>
        <v>0.3618090452</v>
      </c>
      <c r="K279" s="8">
        <f>IFERROR(__xludf.DUMMYFUNCTION("""COMPUTED_VALUE"""),0.349246231155778)</f>
        <v>0.3492462312</v>
      </c>
      <c r="L279" s="8">
        <f>IFERROR(__xludf.DUMMYFUNCTION("""COMPUTED_VALUE"""),0.327455919395466)</f>
        <v>0.3274559194</v>
      </c>
      <c r="M279" s="8">
        <f>IFERROR(__xludf.DUMMYFUNCTION("""COMPUTED_VALUE"""),0.318639798488664)</f>
        <v>0.3186397985</v>
      </c>
      <c r="N279" s="8">
        <f>IFERROR(__xludf.DUMMYFUNCTION("""COMPUTED_VALUE"""),0.286254728877679)</f>
        <v>0.2862547289</v>
      </c>
      <c r="O279" s="8">
        <f>IFERROR(__xludf.DUMMYFUNCTION("""COMPUTED_VALUE"""),0.243556701030927)</f>
        <v>0.243556701</v>
      </c>
      <c r="P279" s="8">
        <f>IFERROR(__xludf.DUMMYFUNCTION("""COMPUTED_VALUE"""),0.163695299837925)</f>
        <v>0.1636952998</v>
      </c>
      <c r="Q279" s="8">
        <f>IFERROR(__xludf.DUMMYFUNCTION("""COMPUTED_VALUE"""),0.138888888888888)</f>
        <v>0.1388888889</v>
      </c>
      <c r="R279" s="8">
        <f>IFERROR(__xludf.DUMMYFUNCTION("""COMPUTED_VALUE"""),1.0)</f>
        <v>1</v>
      </c>
      <c r="S279" s="8">
        <f>IFERROR(__xludf.DUMMYFUNCTION("""COMPUTED_VALUE"""),0.0)</f>
        <v>0</v>
      </c>
      <c r="T279" s="8">
        <f>IFERROR(__xludf.DUMMYFUNCTION("""COMPUTED_VALUE"""),0.0)</f>
        <v>0</v>
      </c>
      <c r="U279" s="8">
        <f>IFERROR(__xludf.DUMMYFUNCTION("""COMPUTED_VALUE"""),0.0)</f>
        <v>0</v>
      </c>
      <c r="V279" s="8">
        <f>IFERROR(__xludf.DUMMYFUNCTION("""COMPUTED_VALUE"""),0.0)</f>
        <v>0</v>
      </c>
      <c r="W279" s="8">
        <f>IFERROR(__xludf.DUMMYFUNCTION("""COMPUTED_VALUE"""),0.0)</f>
        <v>0</v>
      </c>
      <c r="X279" s="8">
        <f>IFERROR(__xludf.DUMMYFUNCTION("""COMPUTED_VALUE"""),0.0)</f>
        <v>0</v>
      </c>
      <c r="Y279" s="8">
        <f>IFERROR(__xludf.DUMMYFUNCTION("""COMPUTED_VALUE"""),0.0)</f>
        <v>0</v>
      </c>
      <c r="Z279" s="8">
        <f>IFERROR(__xludf.DUMMYFUNCTION("""COMPUTED_VALUE"""),0.0)</f>
        <v>0</v>
      </c>
      <c r="AA279" s="8">
        <f>IFERROR(__xludf.DUMMYFUNCTION("""COMPUTED_VALUE"""),0.0)</f>
        <v>0</v>
      </c>
      <c r="AB279" s="8">
        <f>IFERROR(__xludf.DUMMYFUNCTION("""COMPUTED_VALUE"""),0.0)</f>
        <v>0</v>
      </c>
      <c r="AC279" s="8">
        <f>IFERROR(__xludf.DUMMYFUNCTION("""COMPUTED_VALUE"""),0.0)</f>
        <v>0</v>
      </c>
    </row>
    <row r="280" ht="15.75" customHeight="1">
      <c r="A280" s="6" t="str">
        <f>IFERROR(__xludf.DUMMYFUNCTION("""COMPUTED_VALUE"""),"fe218223c3cbc0377d2bb07ad68251723f1b3792")</f>
        <v>fe218223c3cbc0377d2bb07ad68251723f1b3792</v>
      </c>
      <c r="B280" s="6" t="str">
        <f>IFERROR(__xludf.DUMMYFUNCTION("""COMPUTED_VALUE"""),"Return of the Gamer God")</f>
        <v>Return of the Gamer God</v>
      </c>
      <c r="C280" s="6" t="str">
        <f>IFERROR(__xludf.DUMMYFUNCTION("""COMPUTED_VALUE"""),"System and Superpower")</f>
        <v>System and Superpower</v>
      </c>
      <c r="D280" s="5">
        <f>IFERROR(__xludf.DUMMYFUNCTION("""COMPUTED_VALUE"""),4557.0)</f>
        <v>4557</v>
      </c>
      <c r="E280" s="8">
        <f>IFERROR(__xludf.DUMMYFUNCTION("""COMPUTED_VALUE"""),0.968124862607166)</f>
        <v>0.9681248626</v>
      </c>
      <c r="F280" s="8">
        <f>IFERROR(__xludf.DUMMYFUNCTION("""COMPUTED_VALUE"""),0.529333921482135)</f>
        <v>0.5293339215</v>
      </c>
      <c r="G280" s="8">
        <f>IFERROR(__xludf.DUMMYFUNCTION("""COMPUTED_VALUE"""),0.491919415541288)</f>
        <v>0.4919194155</v>
      </c>
      <c r="H280" s="8">
        <f>IFERROR(__xludf.DUMMYFUNCTION("""COMPUTED_VALUE"""),0.458259325044405)</f>
        <v>0.458259325</v>
      </c>
      <c r="I280" s="8">
        <f>IFERROR(__xludf.DUMMYFUNCTION("""COMPUTED_VALUE"""),0.431752393676241)</f>
        <v>0.4317523937</v>
      </c>
      <c r="J280" s="8">
        <f>IFERROR(__xludf.DUMMYFUNCTION("""COMPUTED_VALUE"""),0.41422500559159)</f>
        <v>0.4142250056</v>
      </c>
      <c r="K280" s="8">
        <f>IFERROR(__xludf.DUMMYFUNCTION("""COMPUTED_VALUE"""),0.400134498991257)</f>
        <v>0.400134499</v>
      </c>
      <c r="L280" s="8">
        <f>IFERROR(__xludf.DUMMYFUNCTION("""COMPUTED_VALUE"""),0.386588658865886)</f>
        <v>0.3865886589</v>
      </c>
      <c r="M280" s="8">
        <f>IFERROR(__xludf.DUMMYFUNCTION("""COMPUTED_VALUE"""),0.37062937062937)</f>
        <v>0.3706293706</v>
      </c>
      <c r="N280" s="8">
        <f>IFERROR(__xludf.DUMMYFUNCTION("""COMPUTED_VALUE"""),0.363120889090496)</f>
        <v>0.3631208891</v>
      </c>
      <c r="O280" s="8">
        <f>IFERROR(__xludf.DUMMYFUNCTION("""COMPUTED_VALUE"""),0.309421841541755)</f>
        <v>0.3094218415</v>
      </c>
      <c r="P280" s="8">
        <f>IFERROR(__xludf.DUMMYFUNCTION("""COMPUTED_VALUE"""),0.258046917621385)</f>
        <v>0.2580469176</v>
      </c>
      <c r="Q280" s="8">
        <f>IFERROR(__xludf.DUMMYFUNCTION("""COMPUTED_VALUE"""),0.0384615384615384)</f>
        <v>0.03846153846</v>
      </c>
      <c r="R280" s="8">
        <f>IFERROR(__xludf.DUMMYFUNCTION("""COMPUTED_VALUE"""),0.0)</f>
        <v>0</v>
      </c>
      <c r="S280" s="8">
        <f>IFERROR(__xludf.DUMMYFUNCTION("""COMPUTED_VALUE"""),0.0)</f>
        <v>0</v>
      </c>
      <c r="T280" s="8">
        <f>IFERROR(__xludf.DUMMYFUNCTION("""COMPUTED_VALUE"""),0.0)</f>
        <v>0</v>
      </c>
      <c r="U280" s="8">
        <f>IFERROR(__xludf.DUMMYFUNCTION("""COMPUTED_VALUE"""),0.0)</f>
        <v>0</v>
      </c>
      <c r="V280" s="8">
        <f>IFERROR(__xludf.DUMMYFUNCTION("""COMPUTED_VALUE"""),0.0)</f>
        <v>0</v>
      </c>
      <c r="W280" s="8">
        <f>IFERROR(__xludf.DUMMYFUNCTION("""COMPUTED_VALUE"""),0.0)</f>
        <v>0</v>
      </c>
      <c r="X280" s="8">
        <f>IFERROR(__xludf.DUMMYFUNCTION("""COMPUTED_VALUE"""),0.0)</f>
        <v>0</v>
      </c>
      <c r="Y280" s="8">
        <f>IFERROR(__xludf.DUMMYFUNCTION("""COMPUTED_VALUE"""),0.0)</f>
        <v>0</v>
      </c>
      <c r="Z280" s="8">
        <f>IFERROR(__xludf.DUMMYFUNCTION("""COMPUTED_VALUE"""),0.0)</f>
        <v>0</v>
      </c>
      <c r="AA280" s="8">
        <f>IFERROR(__xludf.DUMMYFUNCTION("""COMPUTED_VALUE"""),0.0)</f>
        <v>0</v>
      </c>
      <c r="AB280" s="8">
        <f>IFERROR(__xludf.DUMMYFUNCTION("""COMPUTED_VALUE"""),0.0)</f>
        <v>0</v>
      </c>
      <c r="AC280" s="8">
        <f>IFERROR(__xludf.DUMMYFUNCTION("""COMPUTED_VALUE"""),0.0)</f>
        <v>0</v>
      </c>
    </row>
    <row r="281" ht="15.75" customHeight="1">
      <c r="A281" s="1"/>
      <c r="B281" s="1"/>
      <c r="C281" s="1"/>
      <c r="D281" s="5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5.75" customHeight="1">
      <c r="A282" s="1"/>
      <c r="B282" s="1"/>
      <c r="C282" s="1"/>
      <c r="D282" s="5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5.75" customHeight="1">
      <c r="A283" s="1"/>
      <c r="B283" s="1"/>
      <c r="C283" s="1"/>
      <c r="D283" s="5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5.75" customHeight="1">
      <c r="A284" s="12"/>
      <c r="B284" s="12"/>
      <c r="C284" s="12"/>
      <c r="D284" s="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5.75" customHeight="1">
      <c r="A285" s="12"/>
      <c r="B285" s="12"/>
      <c r="C285" s="12"/>
      <c r="D285" s="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5.75" customHeight="1">
      <c r="A286" s="12"/>
      <c r="B286" s="12"/>
      <c r="C286" s="12"/>
      <c r="D286" s="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5.75" customHeight="1">
      <c r="A287" s="12"/>
      <c r="B287" s="12"/>
      <c r="C287" s="12"/>
      <c r="D287" s="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5.75" customHeight="1">
      <c r="A288" s="12"/>
      <c r="B288" s="12"/>
      <c r="C288" s="12"/>
      <c r="D288" s="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5.75" customHeight="1">
      <c r="A289" s="12"/>
      <c r="B289" s="12"/>
      <c r="C289" s="12"/>
      <c r="D289" s="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5.75" customHeight="1">
      <c r="A290" s="12"/>
      <c r="B290" s="12"/>
      <c r="C290" s="12"/>
      <c r="D290" s="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5.75" customHeight="1">
      <c r="A291" s="12"/>
      <c r="B291" s="12"/>
      <c r="C291" s="12"/>
      <c r="D291" s="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15.75" customHeight="1">
      <c r="A292" s="12"/>
      <c r="B292" s="12"/>
      <c r="C292" s="12"/>
      <c r="D292" s="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15.75" customHeight="1">
      <c r="A293" s="12"/>
      <c r="B293" s="12"/>
      <c r="C293" s="12"/>
      <c r="D293" s="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5.75" customHeight="1">
      <c r="A294" s="12"/>
      <c r="B294" s="12"/>
      <c r="C294" s="12"/>
      <c r="D294" s="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15.75" customHeight="1">
      <c r="A295" s="12"/>
      <c r="B295" s="12"/>
      <c r="C295" s="12"/>
      <c r="D295" s="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15.75" customHeight="1">
      <c r="A296" s="12"/>
      <c r="B296" s="12"/>
      <c r="C296" s="12"/>
      <c r="D296" s="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15.75" customHeight="1">
      <c r="A297" s="12"/>
      <c r="B297" s="12"/>
      <c r="C297" s="12"/>
      <c r="D297" s="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5.75" customHeight="1">
      <c r="A298" s="12"/>
      <c r="B298" s="12"/>
      <c r="C298" s="12"/>
      <c r="D298" s="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15.75" customHeight="1">
      <c r="A299" s="12"/>
      <c r="B299" s="12"/>
      <c r="C299" s="12"/>
      <c r="D299" s="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15.75" customHeight="1">
      <c r="A300" s="12"/>
      <c r="B300" s="12"/>
      <c r="C300" s="12"/>
      <c r="D300" s="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15.75" customHeight="1">
      <c r="A301" s="12"/>
      <c r="B301" s="12"/>
      <c r="C301" s="12"/>
      <c r="D301" s="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5.75" customHeight="1">
      <c r="A302" s="12"/>
      <c r="B302" s="12"/>
      <c r="C302" s="12"/>
      <c r="D302" s="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15.75" customHeight="1">
      <c r="A303" s="12"/>
      <c r="B303" s="12"/>
      <c r="C303" s="12"/>
      <c r="D303" s="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15.75" customHeight="1">
      <c r="A304" s="12"/>
      <c r="B304" s="12"/>
      <c r="C304" s="12"/>
      <c r="D304" s="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5.75" customHeight="1">
      <c r="A305" s="12"/>
      <c r="B305" s="12"/>
      <c r="C305" s="12"/>
      <c r="D305" s="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15.75" customHeight="1">
      <c r="A306" s="12"/>
      <c r="B306" s="12"/>
      <c r="C306" s="12"/>
      <c r="D306" s="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5.75" customHeight="1">
      <c r="A307" s="12"/>
      <c r="B307" s="12"/>
      <c r="C307" s="12"/>
      <c r="D307" s="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15.75" customHeight="1">
      <c r="A308" s="12"/>
      <c r="B308" s="12"/>
      <c r="C308" s="12"/>
      <c r="D308" s="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5.75" customHeight="1">
      <c r="A309" s="12"/>
      <c r="B309" s="12"/>
      <c r="C309" s="12"/>
      <c r="D309" s="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15.75" customHeight="1">
      <c r="A310" s="12"/>
      <c r="B310" s="12"/>
      <c r="C310" s="12"/>
      <c r="D310" s="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15.75" customHeight="1">
      <c r="A311" s="12"/>
      <c r="B311" s="12"/>
      <c r="C311" s="12"/>
      <c r="D311" s="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15.75" customHeight="1">
      <c r="A312" s="12"/>
      <c r="B312" s="12"/>
      <c r="C312" s="12"/>
      <c r="D312" s="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5.75" customHeight="1">
      <c r="A313" s="12"/>
      <c r="B313" s="12"/>
      <c r="C313" s="12"/>
      <c r="D313" s="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15.75" customHeight="1">
      <c r="A314" s="12"/>
      <c r="B314" s="12"/>
      <c r="C314" s="12"/>
      <c r="D314" s="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15.75" customHeight="1">
      <c r="A315" s="12"/>
      <c r="B315" s="12"/>
      <c r="C315" s="12"/>
      <c r="D315" s="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15.75" customHeight="1">
      <c r="A316" s="12"/>
      <c r="B316" s="12"/>
      <c r="C316" s="12"/>
      <c r="D316" s="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5.75" customHeight="1">
      <c r="A317" s="12"/>
      <c r="B317" s="12"/>
      <c r="C317" s="12"/>
      <c r="D317" s="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15.75" customHeight="1">
      <c r="A318" s="12"/>
      <c r="B318" s="12"/>
      <c r="C318" s="12"/>
      <c r="D318" s="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15.75" customHeight="1">
      <c r="A319" s="12"/>
      <c r="B319" s="12"/>
      <c r="C319" s="12"/>
      <c r="D319" s="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15.75" customHeight="1">
      <c r="A320" s="12"/>
      <c r="B320" s="12"/>
      <c r="C320" s="12"/>
      <c r="D320" s="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5.75" customHeight="1">
      <c r="A321" s="12"/>
      <c r="B321" s="12"/>
      <c r="C321" s="12"/>
      <c r="D321" s="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15.75" customHeight="1">
      <c r="A322" s="12"/>
      <c r="B322" s="12"/>
      <c r="C322" s="12"/>
      <c r="D322" s="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15.75" customHeight="1">
      <c r="A323" s="12"/>
      <c r="B323" s="12"/>
      <c r="C323" s="12"/>
      <c r="D323" s="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5.75" customHeight="1">
      <c r="A324" s="12"/>
      <c r="B324" s="12"/>
      <c r="C324" s="12"/>
      <c r="D324" s="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15.75" customHeight="1">
      <c r="A325" s="12"/>
      <c r="B325" s="12"/>
      <c r="C325" s="12"/>
      <c r="D325" s="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15.75" customHeight="1">
      <c r="A326" s="12"/>
      <c r="B326" s="12"/>
      <c r="C326" s="12"/>
      <c r="D326" s="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15.75" customHeight="1">
      <c r="A327" s="12"/>
      <c r="B327" s="12"/>
      <c r="C327" s="12"/>
      <c r="D327" s="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5.75" customHeight="1">
      <c r="A328" s="12"/>
      <c r="B328" s="12"/>
      <c r="C328" s="12"/>
      <c r="D328" s="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15.75" customHeight="1">
      <c r="A329" s="12"/>
      <c r="B329" s="12"/>
      <c r="C329" s="12"/>
      <c r="D329" s="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15.75" customHeight="1">
      <c r="A330" s="12"/>
      <c r="B330" s="12"/>
      <c r="C330" s="12"/>
      <c r="D330" s="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5.75" customHeight="1">
      <c r="A331" s="12"/>
      <c r="B331" s="12"/>
      <c r="C331" s="12"/>
      <c r="D331" s="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15.75" customHeight="1">
      <c r="A332" s="12"/>
      <c r="B332" s="12"/>
      <c r="C332" s="12"/>
      <c r="D332" s="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15.75" customHeight="1">
      <c r="A333" s="12"/>
      <c r="B333" s="12"/>
      <c r="C333" s="12"/>
      <c r="D333" s="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5.75" customHeight="1">
      <c r="A334" s="12"/>
      <c r="B334" s="12"/>
      <c r="C334" s="12"/>
      <c r="D334" s="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15.75" customHeight="1">
      <c r="A335" s="12"/>
      <c r="B335" s="12"/>
      <c r="C335" s="12"/>
      <c r="D335" s="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15.75" customHeight="1">
      <c r="A336" s="12"/>
      <c r="B336" s="12"/>
      <c r="C336" s="12"/>
      <c r="D336" s="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15.75" customHeight="1">
      <c r="A337" s="12"/>
      <c r="B337" s="12"/>
      <c r="C337" s="12"/>
      <c r="D337" s="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5.75" customHeight="1">
      <c r="A338" s="12"/>
      <c r="B338" s="12"/>
      <c r="C338" s="12"/>
      <c r="D338" s="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15.75" customHeight="1">
      <c r="A339" s="12"/>
      <c r="B339" s="12"/>
      <c r="C339" s="12"/>
      <c r="D339" s="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15.75" customHeight="1">
      <c r="A340" s="12"/>
      <c r="B340" s="12"/>
      <c r="C340" s="12"/>
      <c r="D340" s="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5.75" customHeight="1">
      <c r="A341" s="12"/>
      <c r="B341" s="12"/>
      <c r="C341" s="12"/>
      <c r="D341" s="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15.75" customHeight="1">
      <c r="A342" s="12"/>
      <c r="B342" s="12"/>
      <c r="C342" s="12"/>
      <c r="D342" s="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15.75" customHeight="1">
      <c r="A343" s="12"/>
      <c r="B343" s="12"/>
      <c r="C343" s="12"/>
      <c r="D343" s="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5.75" customHeight="1">
      <c r="A344" s="12"/>
      <c r="B344" s="12"/>
      <c r="C344" s="12"/>
      <c r="D344" s="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15.75" customHeight="1">
      <c r="A345" s="12"/>
      <c r="B345" s="12"/>
      <c r="C345" s="12"/>
      <c r="D345" s="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15.75" customHeight="1">
      <c r="A346" s="12"/>
      <c r="B346" s="12"/>
      <c r="C346" s="12"/>
      <c r="D346" s="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15.75" customHeight="1">
      <c r="A347" s="12"/>
      <c r="B347" s="12"/>
      <c r="C347" s="12"/>
      <c r="D347" s="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15.75" customHeight="1">
      <c r="A348" s="12"/>
      <c r="B348" s="12"/>
      <c r="C348" s="12"/>
      <c r="D348" s="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15.75" customHeight="1">
      <c r="A349" s="12"/>
      <c r="B349" s="12"/>
      <c r="C349" s="12"/>
      <c r="D349" s="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15.75" customHeight="1">
      <c r="A350" s="12"/>
      <c r="B350" s="12"/>
      <c r="C350" s="12"/>
      <c r="D350" s="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15.75" customHeight="1">
      <c r="A351" s="12"/>
      <c r="B351" s="12"/>
      <c r="C351" s="12"/>
      <c r="D351" s="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15.75" customHeight="1">
      <c r="A352" s="12"/>
      <c r="B352" s="12"/>
      <c r="C352" s="12"/>
      <c r="D352" s="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15.75" customHeight="1">
      <c r="A353" s="12"/>
      <c r="B353" s="12"/>
      <c r="C353" s="12"/>
      <c r="D353" s="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15.75" customHeight="1">
      <c r="A354" s="12"/>
      <c r="B354" s="12"/>
      <c r="C354" s="12"/>
      <c r="D354" s="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15.75" customHeight="1">
      <c r="A355" s="12"/>
      <c r="B355" s="12"/>
      <c r="C355" s="12"/>
      <c r="D355" s="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15.75" customHeight="1">
      <c r="A356" s="12"/>
      <c r="B356" s="12"/>
      <c r="C356" s="12"/>
      <c r="D356" s="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15.75" customHeight="1">
      <c r="A357" s="12"/>
      <c r="B357" s="12"/>
      <c r="C357" s="12"/>
      <c r="D357" s="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15.75" customHeight="1">
      <c r="A358" s="12"/>
      <c r="B358" s="12"/>
      <c r="C358" s="12"/>
      <c r="D358" s="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15.75" customHeight="1">
      <c r="A359" s="12"/>
      <c r="B359" s="12"/>
      <c r="C359" s="12"/>
      <c r="D359" s="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15.75" customHeight="1">
      <c r="A360" s="12"/>
      <c r="B360" s="12"/>
      <c r="C360" s="12"/>
      <c r="D360" s="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15.75" customHeight="1">
      <c r="A361" s="12"/>
      <c r="B361" s="12"/>
      <c r="C361" s="12"/>
      <c r="D361" s="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15.75" customHeight="1">
      <c r="A362" s="12"/>
      <c r="B362" s="12"/>
      <c r="C362" s="12"/>
      <c r="D362" s="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15.75" customHeight="1">
      <c r="A363" s="12"/>
      <c r="B363" s="12"/>
      <c r="C363" s="12"/>
      <c r="D363" s="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15.75" customHeight="1">
      <c r="A364" s="12"/>
      <c r="B364" s="12"/>
      <c r="C364" s="12"/>
      <c r="D364" s="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15.75" customHeight="1">
      <c r="A365" s="12"/>
      <c r="B365" s="12"/>
      <c r="C365" s="12"/>
      <c r="D365" s="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15.75" customHeight="1">
      <c r="A366" s="12"/>
      <c r="B366" s="12"/>
      <c r="C366" s="12"/>
      <c r="D366" s="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15.75" customHeight="1">
      <c r="A367" s="12"/>
      <c r="B367" s="12"/>
      <c r="C367" s="12"/>
      <c r="D367" s="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15.75" customHeight="1">
      <c r="A368" s="12"/>
      <c r="B368" s="12"/>
      <c r="C368" s="12"/>
      <c r="D368" s="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15.75" customHeight="1">
      <c r="A369" s="12"/>
      <c r="B369" s="12"/>
      <c r="C369" s="12"/>
      <c r="D369" s="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15.75" customHeight="1">
      <c r="A370" s="12"/>
      <c r="B370" s="12"/>
      <c r="C370" s="12"/>
      <c r="D370" s="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15.75" customHeight="1">
      <c r="A371" s="12"/>
      <c r="B371" s="12"/>
      <c r="C371" s="12"/>
      <c r="D371" s="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15.75" customHeight="1">
      <c r="A372" s="12"/>
      <c r="B372" s="12"/>
      <c r="C372" s="12"/>
      <c r="D372" s="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15.75" customHeight="1">
      <c r="A373" s="12"/>
      <c r="B373" s="12"/>
      <c r="C373" s="12"/>
      <c r="D373" s="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15.75" customHeight="1">
      <c r="A374" s="12"/>
      <c r="B374" s="12"/>
      <c r="C374" s="12"/>
      <c r="D374" s="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15.75" customHeight="1">
      <c r="A375" s="12"/>
      <c r="B375" s="12"/>
      <c r="C375" s="12"/>
      <c r="D375" s="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15.75" customHeight="1">
      <c r="A376" s="12"/>
      <c r="B376" s="12"/>
      <c r="C376" s="12"/>
      <c r="D376" s="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15.75" customHeight="1">
      <c r="A377" s="12"/>
      <c r="B377" s="12"/>
      <c r="C377" s="12"/>
      <c r="D377" s="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15.75" customHeight="1">
      <c r="A378" s="12"/>
      <c r="B378" s="12"/>
      <c r="C378" s="12"/>
      <c r="D378" s="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15.75" customHeight="1">
      <c r="A379" s="12"/>
      <c r="B379" s="12"/>
      <c r="C379" s="12"/>
      <c r="D379" s="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15.75" customHeight="1">
      <c r="A380" s="12"/>
      <c r="B380" s="12"/>
      <c r="C380" s="12"/>
      <c r="D380" s="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15.75" customHeight="1">
      <c r="A381" s="12"/>
      <c r="B381" s="12"/>
      <c r="C381" s="12"/>
      <c r="D381" s="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15.75" customHeight="1">
      <c r="A382" s="12"/>
      <c r="B382" s="12"/>
      <c r="C382" s="12"/>
      <c r="D382" s="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15.75" customHeight="1">
      <c r="A383" s="12"/>
      <c r="B383" s="12"/>
      <c r="C383" s="12"/>
      <c r="D383" s="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15.75" customHeight="1">
      <c r="A384" s="12"/>
      <c r="B384" s="12"/>
      <c r="C384" s="12"/>
      <c r="D384" s="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15.75" customHeight="1">
      <c r="A385" s="12"/>
      <c r="B385" s="12"/>
      <c r="C385" s="12"/>
      <c r="D385" s="9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15.75" customHeight="1">
      <c r="A386" s="12"/>
      <c r="B386" s="12"/>
      <c r="C386" s="12"/>
      <c r="D386" s="9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15.75" customHeight="1">
      <c r="A387" s="12"/>
      <c r="B387" s="12"/>
      <c r="C387" s="12"/>
      <c r="D387" s="9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15.75" customHeight="1">
      <c r="A388" s="12"/>
      <c r="B388" s="12"/>
      <c r="C388" s="12"/>
      <c r="D388" s="9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15.75" customHeight="1">
      <c r="A389" s="12"/>
      <c r="B389" s="12"/>
      <c r="C389" s="12"/>
      <c r="D389" s="9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15.75" customHeight="1">
      <c r="A390" s="12"/>
      <c r="B390" s="12"/>
      <c r="C390" s="12"/>
      <c r="D390" s="9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15.75" customHeight="1">
      <c r="A391" s="12"/>
      <c r="B391" s="12"/>
      <c r="C391" s="12"/>
      <c r="D391" s="9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15.75" customHeight="1">
      <c r="A392" s="12"/>
      <c r="B392" s="12"/>
      <c r="C392" s="12"/>
      <c r="D392" s="9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15.75" customHeight="1">
      <c r="A393" s="12"/>
      <c r="B393" s="12"/>
      <c r="C393" s="12"/>
      <c r="D393" s="9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15.75" customHeight="1">
      <c r="A394" s="12"/>
      <c r="B394" s="12"/>
      <c r="C394" s="12"/>
      <c r="D394" s="9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15.75" customHeight="1">
      <c r="A395" s="12"/>
      <c r="B395" s="12"/>
      <c r="C395" s="12"/>
      <c r="D395" s="9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15.75" customHeight="1">
      <c r="A396" s="12"/>
      <c r="B396" s="12"/>
      <c r="C396" s="12"/>
      <c r="D396" s="9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15.75" customHeight="1">
      <c r="A397" s="12"/>
      <c r="B397" s="12"/>
      <c r="C397" s="12"/>
      <c r="D397" s="9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15.75" customHeight="1">
      <c r="A398" s="12"/>
      <c r="B398" s="12"/>
      <c r="C398" s="12"/>
      <c r="D398" s="9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15.75" customHeight="1">
      <c r="A399" s="12"/>
      <c r="B399" s="12"/>
      <c r="C399" s="12"/>
      <c r="D399" s="9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15.75" customHeight="1">
      <c r="A400" s="12"/>
      <c r="B400" s="12"/>
      <c r="C400" s="12"/>
      <c r="D400" s="9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15.75" customHeight="1">
      <c r="A401" s="12"/>
      <c r="B401" s="12"/>
      <c r="C401" s="12"/>
      <c r="D401" s="9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15.75" customHeight="1">
      <c r="A402" s="12"/>
      <c r="B402" s="12"/>
      <c r="C402" s="12"/>
      <c r="D402" s="9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15.75" customHeight="1">
      <c r="A403" s="12"/>
      <c r="B403" s="12"/>
      <c r="C403" s="12"/>
      <c r="D403" s="9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15.75" customHeight="1">
      <c r="A404" s="12"/>
      <c r="B404" s="12"/>
      <c r="C404" s="12"/>
      <c r="D404" s="9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15.75" customHeight="1">
      <c r="A405" s="12"/>
      <c r="B405" s="12"/>
      <c r="C405" s="12"/>
      <c r="D405" s="9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15.75" customHeight="1">
      <c r="A406" s="12"/>
      <c r="B406" s="12"/>
      <c r="C406" s="12"/>
      <c r="D406" s="9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15.75" customHeight="1">
      <c r="A407" s="12"/>
      <c r="B407" s="12"/>
      <c r="C407" s="12"/>
      <c r="D407" s="9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15.75" customHeight="1">
      <c r="A408" s="12"/>
      <c r="B408" s="12"/>
      <c r="C408" s="12"/>
      <c r="D408" s="9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15.75" customHeight="1">
      <c r="A409" s="12"/>
      <c r="B409" s="12"/>
      <c r="C409" s="12"/>
      <c r="D409" s="9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15.75" customHeight="1">
      <c r="A410" s="12"/>
      <c r="B410" s="12"/>
      <c r="C410" s="12"/>
      <c r="D410" s="9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15.75" customHeight="1">
      <c r="A411" s="12"/>
      <c r="B411" s="12"/>
      <c r="C411" s="12"/>
      <c r="D411" s="9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15.75" customHeight="1">
      <c r="A412" s="12"/>
      <c r="B412" s="12"/>
      <c r="C412" s="12"/>
      <c r="D412" s="9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15.75" customHeight="1">
      <c r="A413" s="12"/>
      <c r="B413" s="12"/>
      <c r="C413" s="12"/>
      <c r="D413" s="9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15.75" customHeight="1">
      <c r="A414" s="12"/>
      <c r="B414" s="12"/>
      <c r="C414" s="12"/>
      <c r="D414" s="9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15.75" customHeight="1">
      <c r="A415" s="12"/>
      <c r="B415" s="12"/>
      <c r="C415" s="12"/>
      <c r="D415" s="9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15.75" customHeight="1">
      <c r="A416" s="12"/>
      <c r="B416" s="12"/>
      <c r="C416" s="12"/>
      <c r="D416" s="9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15.75" customHeight="1">
      <c r="A417" s="12"/>
      <c r="B417" s="12"/>
      <c r="C417" s="12"/>
      <c r="D417" s="9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15.75" customHeight="1">
      <c r="A418" s="12"/>
      <c r="B418" s="12"/>
      <c r="C418" s="12"/>
      <c r="D418" s="9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15.75" customHeight="1">
      <c r="A419" s="12"/>
      <c r="B419" s="12"/>
      <c r="C419" s="12"/>
      <c r="D419" s="9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15.75" customHeight="1">
      <c r="A420" s="12"/>
      <c r="B420" s="12"/>
      <c r="C420" s="12"/>
      <c r="D420" s="9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15.75" customHeight="1">
      <c r="A421" s="12"/>
      <c r="B421" s="12"/>
      <c r="C421" s="12"/>
      <c r="D421" s="9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15.75" customHeight="1">
      <c r="A422" s="12"/>
      <c r="B422" s="12"/>
      <c r="C422" s="12"/>
      <c r="D422" s="9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15.75" customHeight="1">
      <c r="A423" s="12"/>
      <c r="B423" s="12"/>
      <c r="C423" s="12"/>
      <c r="D423" s="9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15.75" customHeight="1">
      <c r="A424" s="12"/>
      <c r="B424" s="12"/>
      <c r="C424" s="12"/>
      <c r="D424" s="9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15.75" customHeight="1">
      <c r="A425" s="12"/>
      <c r="B425" s="12"/>
      <c r="C425" s="12"/>
      <c r="D425" s="9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15.75" customHeight="1">
      <c r="A426" s="12"/>
      <c r="B426" s="12"/>
      <c r="C426" s="12"/>
      <c r="D426" s="9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15.75" customHeight="1">
      <c r="A427" s="12"/>
      <c r="B427" s="12"/>
      <c r="C427" s="12"/>
      <c r="D427" s="9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15.75" customHeight="1">
      <c r="A428" s="12"/>
      <c r="B428" s="12"/>
      <c r="C428" s="12"/>
      <c r="D428" s="9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15.75" customHeight="1">
      <c r="A429" s="12"/>
      <c r="B429" s="12"/>
      <c r="C429" s="12"/>
      <c r="D429" s="9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15.75" customHeight="1">
      <c r="A430" s="12"/>
      <c r="B430" s="12"/>
      <c r="C430" s="12"/>
      <c r="D430" s="9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15.75" customHeight="1">
      <c r="A431" s="12"/>
      <c r="B431" s="12"/>
      <c r="C431" s="12"/>
      <c r="D431" s="9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15.75" customHeight="1">
      <c r="A432" s="12"/>
      <c r="B432" s="12"/>
      <c r="C432" s="12"/>
      <c r="D432" s="9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15.75" customHeight="1">
      <c r="A433" s="12"/>
      <c r="B433" s="12"/>
      <c r="C433" s="12"/>
      <c r="D433" s="9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15.75" customHeight="1">
      <c r="A434" s="12"/>
      <c r="B434" s="12"/>
      <c r="C434" s="12"/>
      <c r="D434" s="9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15.75" customHeight="1">
      <c r="A435" s="12"/>
      <c r="B435" s="12"/>
      <c r="C435" s="12"/>
      <c r="D435" s="9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15.75" customHeight="1">
      <c r="A436" s="12"/>
      <c r="B436" s="12"/>
      <c r="C436" s="12"/>
      <c r="D436" s="9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15.75" customHeight="1">
      <c r="A437" s="12"/>
      <c r="B437" s="12"/>
      <c r="C437" s="12"/>
      <c r="D437" s="9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15.75" customHeight="1">
      <c r="A438" s="12"/>
      <c r="B438" s="12"/>
      <c r="C438" s="12"/>
      <c r="D438" s="9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15.75" customHeight="1">
      <c r="A439" s="12"/>
      <c r="B439" s="12"/>
      <c r="C439" s="12"/>
      <c r="D439" s="9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15.75" customHeight="1">
      <c r="A440" s="12"/>
      <c r="B440" s="12"/>
      <c r="C440" s="12"/>
      <c r="D440" s="9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15.75" customHeight="1">
      <c r="A441" s="12"/>
      <c r="B441" s="12"/>
      <c r="C441" s="12"/>
      <c r="D441" s="9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15.75" customHeight="1">
      <c r="A442" s="12"/>
      <c r="B442" s="12"/>
      <c r="C442" s="12"/>
      <c r="D442" s="9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15.75" customHeight="1">
      <c r="A443" s="12"/>
      <c r="B443" s="12"/>
      <c r="C443" s="12"/>
      <c r="D443" s="9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15.75" customHeight="1">
      <c r="A444" s="12"/>
      <c r="B444" s="12"/>
      <c r="C444" s="12"/>
      <c r="D444" s="9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15.75" customHeight="1">
      <c r="A445" s="12"/>
      <c r="B445" s="12"/>
      <c r="C445" s="12"/>
      <c r="D445" s="9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15.75" customHeight="1">
      <c r="A446" s="12"/>
      <c r="B446" s="12"/>
      <c r="C446" s="12"/>
      <c r="D446" s="9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15.75" customHeight="1">
      <c r="A447" s="12"/>
      <c r="B447" s="12"/>
      <c r="C447" s="12"/>
      <c r="D447" s="9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15.75" customHeight="1">
      <c r="A448" s="12"/>
      <c r="B448" s="12"/>
      <c r="C448" s="12"/>
      <c r="D448" s="9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15.75" customHeight="1">
      <c r="A449" s="12"/>
      <c r="B449" s="12"/>
      <c r="C449" s="12"/>
      <c r="D449" s="9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15.75" customHeight="1">
      <c r="A450" s="12"/>
      <c r="B450" s="12"/>
      <c r="C450" s="12"/>
      <c r="D450" s="9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15.75" customHeight="1">
      <c r="A451" s="12"/>
      <c r="B451" s="12"/>
      <c r="C451" s="12"/>
      <c r="D451" s="9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15.75" customHeight="1">
      <c r="A452" s="12"/>
      <c r="B452" s="12"/>
      <c r="C452" s="12"/>
      <c r="D452" s="9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15.75" customHeight="1">
      <c r="A453" s="12"/>
      <c r="B453" s="12"/>
      <c r="C453" s="12"/>
      <c r="D453" s="9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15.75" customHeight="1">
      <c r="A454" s="12"/>
      <c r="B454" s="12"/>
      <c r="C454" s="12"/>
      <c r="D454" s="9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15.75" customHeight="1">
      <c r="A455" s="12"/>
      <c r="B455" s="12"/>
      <c r="C455" s="12"/>
      <c r="D455" s="9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15.75" customHeight="1">
      <c r="A456" s="12"/>
      <c r="B456" s="12"/>
      <c r="C456" s="12"/>
      <c r="D456" s="9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15.75" customHeight="1">
      <c r="A457" s="12"/>
      <c r="B457" s="12"/>
      <c r="C457" s="12"/>
      <c r="D457" s="9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15.75" customHeight="1">
      <c r="A458" s="12"/>
      <c r="B458" s="12"/>
      <c r="C458" s="12"/>
      <c r="D458" s="9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15.75" customHeight="1">
      <c r="A459" s="12"/>
      <c r="B459" s="12"/>
      <c r="C459" s="12"/>
      <c r="D459" s="9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15.75" customHeight="1">
      <c r="A460" s="12"/>
      <c r="B460" s="12"/>
      <c r="C460" s="12"/>
      <c r="D460" s="9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15.75" customHeight="1">
      <c r="A461" s="12"/>
      <c r="B461" s="12"/>
      <c r="C461" s="12"/>
      <c r="D461" s="9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15.75" customHeight="1">
      <c r="A462" s="12"/>
      <c r="B462" s="12"/>
      <c r="C462" s="12"/>
      <c r="D462" s="9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15.75" customHeight="1">
      <c r="A463" s="12"/>
      <c r="B463" s="12"/>
      <c r="C463" s="12"/>
      <c r="D463" s="9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15.75" customHeight="1">
      <c r="A464" s="12"/>
      <c r="B464" s="12"/>
      <c r="C464" s="12"/>
      <c r="D464" s="9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15.75" customHeight="1">
      <c r="A465" s="12"/>
      <c r="B465" s="12"/>
      <c r="C465" s="12"/>
      <c r="D465" s="9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15.75" customHeight="1">
      <c r="A466" s="12"/>
      <c r="B466" s="12"/>
      <c r="C466" s="12"/>
      <c r="D466" s="9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15.75" customHeight="1">
      <c r="A467" s="12"/>
      <c r="B467" s="12"/>
      <c r="C467" s="12"/>
      <c r="D467" s="9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15.75" customHeight="1">
      <c r="A468" s="12"/>
      <c r="B468" s="12"/>
      <c r="C468" s="12"/>
      <c r="D468" s="9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15.75" customHeight="1">
      <c r="A469" s="12"/>
      <c r="B469" s="12"/>
      <c r="C469" s="12"/>
      <c r="D469" s="9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15.75" customHeight="1">
      <c r="A470" s="12"/>
      <c r="B470" s="12"/>
      <c r="C470" s="12"/>
      <c r="D470" s="9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15.75" customHeight="1">
      <c r="A471" s="12"/>
      <c r="B471" s="12"/>
      <c r="C471" s="12"/>
      <c r="D471" s="9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15.75" customHeight="1">
      <c r="A472" s="12"/>
      <c r="B472" s="12"/>
      <c r="C472" s="12"/>
      <c r="D472" s="9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15.75" customHeight="1">
      <c r="A473" s="12"/>
      <c r="B473" s="12"/>
      <c r="C473" s="12"/>
      <c r="D473" s="9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ht="15.75" customHeight="1">
      <c r="A474" s="12"/>
      <c r="B474" s="12"/>
      <c r="C474" s="12"/>
      <c r="D474" s="9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ht="15.75" customHeight="1">
      <c r="A475" s="12"/>
      <c r="B475" s="12"/>
      <c r="C475" s="12"/>
      <c r="D475" s="9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ht="15.75" customHeight="1">
      <c r="A476" s="12"/>
      <c r="B476" s="12"/>
      <c r="C476" s="12"/>
      <c r="D476" s="9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15.75" customHeight="1">
      <c r="A477" s="12"/>
      <c r="B477" s="12"/>
      <c r="C477" s="12"/>
      <c r="D477" s="9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ht="15.75" customHeight="1">
      <c r="A478" s="12"/>
      <c r="B478" s="12"/>
      <c r="C478" s="12"/>
      <c r="D478" s="9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ht="15.75" customHeight="1">
      <c r="A479" s="12"/>
      <c r="B479" s="12"/>
      <c r="C479" s="12"/>
      <c r="D479" s="9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ht="15.75" customHeight="1">
      <c r="A480" s="12"/>
      <c r="B480" s="12"/>
      <c r="C480" s="12"/>
      <c r="D480" s="9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15.75" customHeight="1">
      <c r="A481" s="12"/>
      <c r="B481" s="12"/>
      <c r="C481" s="12"/>
      <c r="D481" s="9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ht="15.75" customHeight="1">
      <c r="A482" s="12"/>
      <c r="B482" s="12"/>
      <c r="C482" s="12"/>
      <c r="D482" s="9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ht="15.75" customHeight="1">
      <c r="A483" s="12"/>
      <c r="B483" s="12"/>
      <c r="C483" s="12"/>
      <c r="D483" s="9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</sheetData>
  <conditionalFormatting sqref="D5:E483">
    <cfRule type="expression" dxfId="0" priority="1" stopIfTrue="1">
      <formula>AND(ISNUMBER(D5),IF($C5="Romantasy",D$2,IF(OR($C5="Romance",$C5="Drama"),D$3,D$1))&gt;0,D5&gt;=(IF($C5="Romantasy",D$2,IF(OR($C5="Romance",$C5="Drama"),D$3,D$1))))</formula>
    </cfRule>
  </conditionalFormatting>
  <conditionalFormatting sqref="D5:E483">
    <cfRule type="expression" dxfId="1" priority="2" stopIfTrue="1">
      <formula>AND(ISNUMBER(D5),IF($C5="Romantasy",D$2,IF(OR($C5="Romance",$C5="Drama"),D$3,D$1))&gt;0,D5&gt;=0.7*(IF($C5="Romantasy",D$2,IF(OR($C5="Romance",$C5="Drama"),D$3,D$1))),D5&lt;(IF($C5="Romantasy",D$2,IF(OR($C5="Romance",$C5="Drama"),D$3,D$1))))</formula>
    </cfRule>
  </conditionalFormatting>
  <conditionalFormatting sqref="D5:E483">
    <cfRule type="expression" dxfId="2" priority="3" stopIfTrue="1">
      <formula>AND(ISNUMBER(D5),IF($C5="Romantasy",D$2,IF(OR($C5="Romance",$C5="Drama"),D$3,D$1))&gt;0,D5&lt;0.7*(IF($C5="Romantasy",D$2,IF(OR($C5="Romance",$C5="Drama"),D$3,D$1))))</formula>
    </cfRule>
  </conditionalFormatting>
  <conditionalFormatting sqref="F5:F483">
    <cfRule type="expression" dxfId="0" priority="4" stopIfTrue="1">
      <formula>AND(ISNUMBER(F5),IF($C5="Romantasy",F$2,IF(OR($C5="Romance",$C5="Drama"),F$3,F$1))&gt;0,F5&gt;=(IF($C5="Romantasy",F$2,IF(OR($C5="Romance",$C5="Drama"),F$3,F$1))))</formula>
    </cfRule>
  </conditionalFormatting>
  <conditionalFormatting sqref="F5:F483">
    <cfRule type="expression" dxfId="1" priority="5" stopIfTrue="1">
      <formula>AND(ISNUMBER(F5),IF($C5="Romantasy",F$2,IF(OR($C5="Romance",$C5="Drama"),F$3,F$1))&gt;0,F5&gt;=0.7*(IF($C5="Romantasy",F$2,IF(OR($C5="Romance",$C5="Drama"),F$3,F$1))),F5&lt;(IF($C5="Romantasy",F$2,IF(OR($C5="Romance",$C5="Drama"),F$3,F$1))))</formula>
    </cfRule>
  </conditionalFormatting>
  <conditionalFormatting sqref="F5:F483">
    <cfRule type="expression" dxfId="2" priority="6" stopIfTrue="1">
      <formula>AND(ISNUMBER(F5),IF($C5="Romantasy",F$2,IF(OR($C5="Romance",$C5="Drama"),F$3,F$1))&gt;0,F5&lt;0.7*(IF($C5="Romantasy",F$2,IF(OR($C5="Romance",$C5="Drama"),F$3,F$1))))</formula>
    </cfRule>
  </conditionalFormatting>
  <conditionalFormatting sqref="G5:G483">
    <cfRule type="expression" dxfId="0" priority="7" stopIfTrue="1">
      <formula>AND(ISNUMBER(G5),IF($C5="Romantasy",G$2,IF(OR($C5="Romance",$C5="Drama"),G$3,G$1))&gt;0,G5&gt;=(IF($C5="Romantasy",G$2,IF(OR($C5="Romance",$C5="Drama"),G$3,G$1))))</formula>
    </cfRule>
  </conditionalFormatting>
  <conditionalFormatting sqref="G5:G483">
    <cfRule type="expression" dxfId="1" priority="8" stopIfTrue="1">
      <formula>AND(ISNUMBER(G5),IF($C5="Romantasy",G$2,IF(OR($C5="Romance",$C5="Drama"),G$3,G$1))&gt;0,G5&gt;=0.7*(IF($C5="Romantasy",G$2,IF(OR($C5="Romance",$C5="Drama"),G$3,G$1))),G5&lt;(IF($C5="Romantasy",G$2,IF(OR($C5="Romance",$C5="Drama"),G$3,G$1))))</formula>
    </cfRule>
  </conditionalFormatting>
  <conditionalFormatting sqref="G5:G483">
    <cfRule type="expression" dxfId="2" priority="9" stopIfTrue="1">
      <formula>AND(ISNUMBER(G5),IF($C5="Romantasy",G$2,IF(OR($C5="Romance",$C5="Drama"),G$3,G$1))&gt;0,G5&lt;0.7*(IF($C5="Romantasy",G$2,IF(OR($C5="Romance",$C5="Drama"),G$3,G$1))))</formula>
    </cfRule>
  </conditionalFormatting>
  <conditionalFormatting sqref="H5:H483">
    <cfRule type="expression" dxfId="0" priority="10" stopIfTrue="1">
      <formula>AND(ISNUMBER(H5),IF($C5="Romantasy",H$2,IF(OR($C5="Romance",$C5="Drama"),H$3,H$1))&gt;0,H5&gt;=(IF($C5="Romantasy",H$2,IF(OR($C5="Romance",$C5="Drama"),H$3,H$1))))</formula>
    </cfRule>
  </conditionalFormatting>
  <conditionalFormatting sqref="H5:H483">
    <cfRule type="expression" dxfId="1" priority="11" stopIfTrue="1">
      <formula>AND(ISNUMBER(H5),IF($C5="Romantasy",H$2,IF(OR($C5="Romance",$C5="Drama"),H$3,H$1))&gt;0,H5&gt;=0.7*(IF($C5="Romantasy",H$2,IF(OR($C5="Romance",$C5="Drama"),H$3,H$1))),H5&lt;(IF($C5="Romantasy",H$2,IF(OR($C5="Romance",$C5="Drama"),H$3,H$1))))</formula>
    </cfRule>
  </conditionalFormatting>
  <conditionalFormatting sqref="H5:H483">
    <cfRule type="expression" dxfId="2" priority="12" stopIfTrue="1">
      <formula>AND(ISNUMBER(H5),IF($C5="Romantasy",H$2,IF(OR($C5="Romance",$C5="Drama"),H$3,H$1))&gt;0,H5&lt;0.7*(IF($C5="Romantasy",H$2,IF(OR($C5="Romance",$C5="Drama"),H$3,H$1))))</formula>
    </cfRule>
  </conditionalFormatting>
  <conditionalFormatting sqref="I5:I483">
    <cfRule type="expression" dxfId="0" priority="13" stopIfTrue="1">
      <formula>AND(ISNUMBER(I5),IF($C5="Romantasy",I$2,IF(OR($C5="Romance",$C5="Drama"),I$3,I$1))&gt;0,I5&gt;=(IF($C5="Romantasy",I$2,IF(OR($C5="Romance",$C5="Drama"),I$3,I$1))))</formula>
    </cfRule>
  </conditionalFormatting>
  <conditionalFormatting sqref="I5:I483">
    <cfRule type="expression" dxfId="1" priority="14" stopIfTrue="1">
      <formula>AND(ISNUMBER(I5),IF($C5="Romantasy",I$2,IF(OR($C5="Romance",$C5="Drama"),I$3,I$1))&gt;0,I5&gt;=0.7*(IF($C5="Romantasy",I$2,IF(OR($C5="Romance",$C5="Drama"),I$3,I$1))),I5&lt;(IF($C5="Romantasy",I$2,IF(OR($C5="Romance",$C5="Drama"),I$3,I$1))))</formula>
    </cfRule>
  </conditionalFormatting>
  <conditionalFormatting sqref="I5:I483">
    <cfRule type="expression" dxfId="2" priority="15" stopIfTrue="1">
      <formula>AND(ISNUMBER(I5),IF($C5="Romantasy",I$2,IF(OR($C5="Romance",$C5="Drama"),I$3,I$1))&gt;0,I5&lt;0.7*(IF($C5="Romantasy",I$2,IF(OR($C5="Romance",$C5="Drama"),I$3,I$1))))</formula>
    </cfRule>
  </conditionalFormatting>
  <conditionalFormatting sqref="J5:J483">
    <cfRule type="expression" dxfId="0" priority="16" stopIfTrue="1">
      <formula>AND(ISNUMBER(J5),IF($C5="Romantasy",J$2,IF(OR($C5="Romance",$C5="Drama"),J$3,J$1))&gt;0,J5&gt;=(IF($C5="Romantasy",J$2,IF(OR($C5="Romance",$C5="Drama"),J$3,J$1))))</formula>
    </cfRule>
  </conditionalFormatting>
  <conditionalFormatting sqref="J5:J483">
    <cfRule type="expression" dxfId="1" priority="17" stopIfTrue="1">
      <formula>AND(ISNUMBER(J5),IF($C5="Romantasy",J$2,IF(OR($C5="Romance",$C5="Drama"),J$3,J$1))&gt;0,J5&gt;=0.7*(IF($C5="Romantasy",J$2,IF(OR($C5="Romance",$C5="Drama"),J$3,J$1))),J5&lt;(IF($C5="Romantasy",J$2,IF(OR($C5="Romance",$C5="Drama"),J$3,J$1))))</formula>
    </cfRule>
  </conditionalFormatting>
  <conditionalFormatting sqref="J5:J483">
    <cfRule type="expression" dxfId="2" priority="18" stopIfTrue="1">
      <formula>AND(ISNUMBER(J5),IF($C5="Romantasy",J$2,IF(OR($C5="Romance",$C5="Drama"),J$3,J$1))&gt;0,J5&lt;0.7*(IF($C5="Romantasy",J$2,IF(OR($C5="Romance",$C5="Drama"),J$3,J$1))))</formula>
    </cfRule>
  </conditionalFormatting>
  <conditionalFormatting sqref="K5:K483">
    <cfRule type="expression" dxfId="0" priority="19" stopIfTrue="1">
      <formula>AND(ISNUMBER(K5),IF($C5="Romantasy",K$2,IF(OR($C5="Romance",$C5="Drama"),K$3,K$1))&gt;0,K5&gt;=(IF($C5="Romantasy",K$2,IF(OR($C5="Romance",$C5="Drama"),K$3,K$1))))</formula>
    </cfRule>
  </conditionalFormatting>
  <conditionalFormatting sqref="K5:K483">
    <cfRule type="expression" dxfId="1" priority="20" stopIfTrue="1">
      <formula>AND(ISNUMBER(K5),IF($C5="Romantasy",K$2,IF(OR($C5="Romance",$C5="Drama"),K$3,K$1))&gt;0,K5&gt;=0.7*(IF($C5="Romantasy",K$2,IF(OR($C5="Romance",$C5="Drama"),K$3,K$1))),K5&lt;(IF($C5="Romantasy",K$2,IF(OR($C5="Romance",$C5="Drama"),K$3,K$1))))</formula>
    </cfRule>
  </conditionalFormatting>
  <conditionalFormatting sqref="K5:K483">
    <cfRule type="expression" dxfId="2" priority="21" stopIfTrue="1">
      <formula>AND(ISNUMBER(K5),IF($C5="Romantasy",K$2,IF(OR($C5="Romance",$C5="Drama"),K$3,K$1))&gt;0,K5&lt;0.7*(IF($C5="Romantasy",K$2,IF(OR($C5="Romance",$C5="Drama"),K$3,K$1))))</formula>
    </cfRule>
  </conditionalFormatting>
  <conditionalFormatting sqref="L5:L483">
    <cfRule type="expression" dxfId="0" priority="22" stopIfTrue="1">
      <formula>AND(ISNUMBER(L5),IF($C5="Romantasy",L$2,IF(OR($C5="Romance",$C5="Drama"),L$3,L$1))&gt;0,L5&gt;=(IF($C5="Romantasy",L$2,IF(OR($C5="Romance",$C5="Drama"),L$3,L$1))))</formula>
    </cfRule>
  </conditionalFormatting>
  <conditionalFormatting sqref="L5:L483">
    <cfRule type="expression" dxfId="1" priority="23" stopIfTrue="1">
      <formula>AND(ISNUMBER(L5),IF($C5="Romantasy",L$2,IF(OR($C5="Romance",$C5="Drama"),L$3,L$1))&gt;0,L5&gt;=0.7*(IF($C5="Romantasy",L$2,IF(OR($C5="Romance",$C5="Drama"),L$3,L$1))),L5&lt;(IF($C5="Romantasy",L$2,IF(OR($C5="Romance",$C5="Drama"),L$3,L$1))))</formula>
    </cfRule>
  </conditionalFormatting>
  <conditionalFormatting sqref="L5:L483">
    <cfRule type="expression" dxfId="2" priority="24" stopIfTrue="1">
      <formula>AND(ISNUMBER(L5),IF($C5="Romantasy",L$2,IF(OR($C5="Romance",$C5="Drama"),L$3,L$1))&gt;0,L5&lt;0.7*(IF($C5="Romantasy",L$2,IF(OR($C5="Romance",$C5="Drama"),L$3,L$1))))</formula>
    </cfRule>
  </conditionalFormatting>
  <conditionalFormatting sqref="M5:M483">
    <cfRule type="expression" dxfId="0" priority="25" stopIfTrue="1">
      <formula>AND(ISNUMBER(M5),IF($C5="Romantasy",M$2,IF(OR($C5="Romance",$C5="Drama"),M$3,M$1))&gt;0,M5&gt;=(IF($C5="Romantasy",M$2,IF(OR($C5="Romance",$C5="Drama"),M$3,M$1))))</formula>
    </cfRule>
  </conditionalFormatting>
  <conditionalFormatting sqref="M5:M483">
    <cfRule type="expression" dxfId="1" priority="26" stopIfTrue="1">
      <formula>AND(ISNUMBER(M5),IF($C5="Romantasy",M$2,IF(OR($C5="Romance",$C5="Drama"),M$3,M$1))&gt;0,M5&gt;=0.7*(IF($C5="Romantasy",M$2,IF(OR($C5="Romance",$C5="Drama"),M$3,M$1))),M5&lt;(IF($C5="Romantasy",M$2,IF(OR($C5="Romance",$C5="Drama"),M$3,M$1))))</formula>
    </cfRule>
  </conditionalFormatting>
  <conditionalFormatting sqref="M5:M483">
    <cfRule type="expression" dxfId="2" priority="27" stopIfTrue="1">
      <formula>AND(ISNUMBER(M5),IF($C5="Romantasy",M$2,IF(OR($C5="Romance",$C5="Drama"),M$3,M$1))&gt;0,M5&lt;0.7*(IF($C5="Romantasy",M$2,IF(OR($C5="Romance",$C5="Drama"),M$3,M$1))))</formula>
    </cfRule>
  </conditionalFormatting>
  <conditionalFormatting sqref="N5:N483">
    <cfRule type="expression" dxfId="0" priority="28" stopIfTrue="1">
      <formula>AND(ISNUMBER(N5),IF($C5="Romantasy",N$2,IF(OR($C5="Romance",$C5="Drama"),N$3,N$1))&gt;0,N5&gt;=(IF($C5="Romantasy",N$2,IF(OR($C5="Romance",$C5="Drama"),N$3,N$1))))</formula>
    </cfRule>
  </conditionalFormatting>
  <conditionalFormatting sqref="N5:N483">
    <cfRule type="expression" dxfId="1" priority="29" stopIfTrue="1">
      <formula>AND(ISNUMBER(N5),IF($C5="Romantasy",N$2,IF(OR($C5="Romance",$C5="Drama"),N$3,N$1))&gt;0,N5&gt;=0.7*(IF($C5="Romantasy",N$2,IF(OR($C5="Romance",$C5="Drama"),N$3,N$1))),N5&lt;(IF($C5="Romantasy",N$2,IF(OR($C5="Romance",$C5="Drama"),N$3,N$1))))</formula>
    </cfRule>
  </conditionalFormatting>
  <conditionalFormatting sqref="N5:N483">
    <cfRule type="expression" dxfId="2" priority="30" stopIfTrue="1">
      <formula>AND(ISNUMBER(N5),IF($C5="Romantasy",N$2,IF(OR($C5="Romance",$C5="Drama"),N$3,N$1))&gt;0,N5&lt;0.7*(IF($C5="Romantasy",N$2,IF(OR($C5="Romance",$C5="Drama"),N$3,N$1))))</formula>
    </cfRule>
  </conditionalFormatting>
  <conditionalFormatting sqref="O5:O483">
    <cfRule type="expression" dxfId="0" priority="31" stopIfTrue="1">
      <formula>AND(ISNUMBER(O5),IF($C5="Romantasy",O$2,IF(OR($C5="Romance",$C5="Drama"),O$3,O$1))&gt;0,O5&gt;=(IF($C5="Romantasy",O$2,IF(OR($C5="Romance",$C5="Drama"),O$3,O$1))))</formula>
    </cfRule>
  </conditionalFormatting>
  <conditionalFormatting sqref="O5:O483">
    <cfRule type="expression" dxfId="1" priority="32" stopIfTrue="1">
      <formula>AND(ISNUMBER(O5),IF($C5="Romantasy",O$2,IF(OR($C5="Romance",$C5="Drama"),O$3,O$1))&gt;0,O5&gt;=0.7*(IF($C5="Romantasy",O$2,IF(OR($C5="Romance",$C5="Drama"),O$3,O$1))),O5&lt;(IF($C5="Romantasy",O$2,IF(OR($C5="Romance",$C5="Drama"),O$3,O$1))))</formula>
    </cfRule>
  </conditionalFormatting>
  <conditionalFormatting sqref="O5:O483">
    <cfRule type="expression" dxfId="2" priority="33" stopIfTrue="1">
      <formula>AND(ISNUMBER(O5),IF($C5="Romantasy",O$2,IF(OR($C5="Romance",$C5="Drama"),O$3,O$1))&gt;0,O5&lt;0.7*(IF($C5="Romantasy",O$2,IF(OR($C5="Romance",$C5="Drama"),O$3,O$1))))</formula>
    </cfRule>
  </conditionalFormatting>
  <conditionalFormatting sqref="P5:P483">
    <cfRule type="expression" dxfId="0" priority="34" stopIfTrue="1">
      <formula>AND(ISNUMBER(P5),IF($C5="Romantasy",P$2,IF(OR($C5="Romance",$C5="Drama"),P$3,P$1))&gt;0,P5&gt;=(IF($C5="Romantasy",P$2,IF(OR($C5="Romance",$C5="Drama"),P$3,P$1))))</formula>
    </cfRule>
  </conditionalFormatting>
  <conditionalFormatting sqref="P5:P483">
    <cfRule type="expression" dxfId="1" priority="35" stopIfTrue="1">
      <formula>AND(ISNUMBER(P5),IF($C5="Romantasy",P$2,IF(OR($C5="Romance",$C5="Drama"),P$3,P$1))&gt;0,P5&gt;=0.7*(IF($C5="Romantasy",P$2,IF(OR($C5="Romance",$C5="Drama"),P$3,P$1))),P5&lt;(IF($C5="Romantasy",P$2,IF(OR($C5="Romance",$C5="Drama"),P$3,P$1))))</formula>
    </cfRule>
  </conditionalFormatting>
  <conditionalFormatting sqref="P5:P483">
    <cfRule type="expression" dxfId="2" priority="36" stopIfTrue="1">
      <formula>AND(ISNUMBER(P5),IF($C5="Romantasy",P$2,IF(OR($C5="Romance",$C5="Drama"),P$3,P$1))&gt;0,P5&lt;0.7*(IF($C5="Romantasy",P$2,IF(OR($C5="Romance",$C5="Drama"),P$3,P$1))))</formula>
    </cfRule>
  </conditionalFormatting>
  <conditionalFormatting sqref="Q5:Q483">
    <cfRule type="expression" dxfId="0" priority="37" stopIfTrue="1">
      <formula>AND(ISNUMBER(Q5),IF($C5="Romantasy",Q$2,IF(OR($C5="Romance",$C5="Drama"),Q$3,Q$1))&gt;0,Q5&gt;=(IF($C5="Romantasy",Q$2,IF(OR($C5="Romance",$C5="Drama"),Q$3,Q$1))))</formula>
    </cfRule>
  </conditionalFormatting>
  <conditionalFormatting sqref="Q5:Q483">
    <cfRule type="expression" dxfId="1" priority="38" stopIfTrue="1">
      <formula>AND(ISNUMBER(Q5),IF($C5="Romantasy",Q$2,IF(OR($C5="Romance",$C5="Drama"),Q$3,Q$1))&gt;0,Q5&gt;=0.7*(IF($C5="Romantasy",Q$2,IF(OR($C5="Romance",$C5="Drama"),Q$3,Q$1))),Q5&lt;(IF($C5="Romantasy",Q$2,IF(OR($C5="Romance",$C5="Drama"),Q$3,Q$1))))</formula>
    </cfRule>
  </conditionalFormatting>
  <conditionalFormatting sqref="Q5:Q483">
    <cfRule type="expression" dxfId="2" priority="39" stopIfTrue="1">
      <formula>AND(ISNUMBER(Q5),IF($C5="Romantasy",Q$2,IF(OR($C5="Romance",$C5="Drama"),Q$3,Q$1))&gt;0,Q5&lt;0.7*(IF($C5="Romantasy",Q$2,IF(OR($C5="Romance",$C5="Drama"),Q$3,Q$1))))</formula>
    </cfRule>
  </conditionalFormatting>
  <conditionalFormatting sqref="R5:R483">
    <cfRule type="expression" dxfId="0" priority="40" stopIfTrue="1">
      <formula>AND(ISNUMBER(R5),IF($C5="Romantasy",R$2,IF(OR($C5="Romance",$C5="Drama"),R$3,R$1))&gt;0,R5&gt;=(IF($C5="Romantasy",R$2,IF(OR($C5="Romance",$C5="Drama"),R$3,R$1))))</formula>
    </cfRule>
  </conditionalFormatting>
  <conditionalFormatting sqref="R5:R483">
    <cfRule type="expression" dxfId="1" priority="41" stopIfTrue="1">
      <formula>AND(ISNUMBER(R5),IF($C5="Romantasy",R$2,IF(OR($C5="Romance",$C5="Drama"),R$3,R$1))&gt;0,R5&gt;=0.7*(IF($C5="Romantasy",R$2,IF(OR($C5="Romance",$C5="Drama"),R$3,R$1))),R5&lt;(IF($C5="Romantasy",R$2,IF(OR($C5="Romance",$C5="Drama"),R$3,R$1))))</formula>
    </cfRule>
  </conditionalFormatting>
  <conditionalFormatting sqref="R5:R483">
    <cfRule type="expression" dxfId="2" priority="42" stopIfTrue="1">
      <formula>AND(ISNUMBER(R5),IF($C5="Romantasy",R$2,IF(OR($C5="Romance",$C5="Drama"),R$3,R$1))&gt;0,R5&lt;0.7*(IF($C5="Romantasy",R$2,IF(OR($C5="Romance",$C5="Drama"),R$3,R$1))))</formula>
    </cfRule>
  </conditionalFormatting>
  <conditionalFormatting sqref="S5:S483">
    <cfRule type="expression" dxfId="0" priority="43" stopIfTrue="1">
      <formula>AND(ISNUMBER(S5),IF($C5="Romantasy",S$2,IF(OR($C5="Romance",$C5="Drama"),S$3,S$1))&gt;0,S5&gt;=(IF($C5="Romantasy",S$2,IF(OR($C5="Romance",$C5="Drama"),S$3,S$1))))</formula>
    </cfRule>
  </conditionalFormatting>
  <conditionalFormatting sqref="S5:S483">
    <cfRule type="expression" dxfId="1" priority="44" stopIfTrue="1">
      <formula>AND(ISNUMBER(S5),IF($C5="Romantasy",S$2,IF(OR($C5="Romance",$C5="Drama"),S$3,S$1))&gt;0,S5&gt;=0.7*(IF($C5="Romantasy",S$2,IF(OR($C5="Romance",$C5="Drama"),S$3,S$1))),S5&lt;(IF($C5="Romantasy",S$2,IF(OR($C5="Romance",$C5="Drama"),S$3,S$1))))</formula>
    </cfRule>
  </conditionalFormatting>
  <conditionalFormatting sqref="S5:S483">
    <cfRule type="expression" dxfId="2" priority="45" stopIfTrue="1">
      <formula>AND(ISNUMBER(S5),IF($C5="Romantasy",S$2,IF(OR($C5="Romance",$C5="Drama"),S$3,S$1))&gt;0,S5&lt;0.7*(IF($C5="Romantasy",S$2,IF(OR($C5="Romance",$C5="Drama"),S$3,S$1))))</formula>
    </cfRule>
  </conditionalFormatting>
  <conditionalFormatting sqref="T5:T483">
    <cfRule type="expression" dxfId="0" priority="46" stopIfTrue="1">
      <formula>AND(ISNUMBER(T5),IF($C5="Romantasy",T$2,IF(OR($C5="Romance",$C5="Drama"),T$3,T$1))&gt;0,T5&gt;=(IF($C5="Romantasy",T$2,IF(OR($C5="Romance",$C5="Drama"),T$3,T$1))))</formula>
    </cfRule>
  </conditionalFormatting>
  <conditionalFormatting sqref="T5:T483">
    <cfRule type="expression" dxfId="1" priority="47" stopIfTrue="1">
      <formula>AND(ISNUMBER(T5),IF($C5="Romantasy",T$2,IF(OR($C5="Romance",$C5="Drama"),T$3,T$1))&gt;0,T5&gt;=0.7*(IF($C5="Romantasy",T$2,IF(OR($C5="Romance",$C5="Drama"),T$3,T$1))),T5&lt;(IF($C5="Romantasy",T$2,IF(OR($C5="Romance",$C5="Drama"),T$3,T$1))))</formula>
    </cfRule>
  </conditionalFormatting>
  <conditionalFormatting sqref="T5:T483">
    <cfRule type="expression" dxfId="2" priority="48" stopIfTrue="1">
      <formula>AND(ISNUMBER(T5),IF($C5="Romantasy",T$2,IF(OR($C5="Romance",$C5="Drama"),T$3,T$1))&gt;0,T5&lt;0.7*(IF($C5="Romantasy",T$2,IF(OR($C5="Romance",$C5="Drama"),T$3,T$1))))</formula>
    </cfRule>
  </conditionalFormatting>
  <conditionalFormatting sqref="U5:U483">
    <cfRule type="expression" dxfId="0" priority="49" stopIfTrue="1">
      <formula>AND(ISNUMBER(U5),IF($C5="Romantasy",U$2,IF(OR($C5="Romance",$C5="Drama"),U$3,U$1))&gt;0,U5&gt;=(IF($C5="Romantasy",U$2,IF(OR($C5="Romance",$C5="Drama"),U$3,U$1))))</formula>
    </cfRule>
  </conditionalFormatting>
  <conditionalFormatting sqref="U5:U483">
    <cfRule type="expression" dxfId="1" priority="50" stopIfTrue="1">
      <formula>AND(ISNUMBER(U5),IF($C5="Romantasy",U$2,IF(OR($C5="Romance",$C5="Drama"),U$3,U$1))&gt;0,U5&gt;=0.7*(IF($C5="Romantasy",U$2,IF(OR($C5="Romance",$C5="Drama"),U$3,U$1))),U5&lt;(IF($C5="Romantasy",U$2,IF(OR($C5="Romance",$C5="Drama"),U$3,U$1))))</formula>
    </cfRule>
  </conditionalFormatting>
  <conditionalFormatting sqref="U5:U483">
    <cfRule type="expression" dxfId="2" priority="51" stopIfTrue="1">
      <formula>AND(ISNUMBER(U5),IF($C5="Romantasy",U$2,IF(OR($C5="Romance",$C5="Drama"),U$3,U$1))&gt;0,U5&lt;0.7*(IF($C5="Romantasy",U$2,IF(OR($C5="Romance",$C5="Drama"),U$3,U$1))))</formula>
    </cfRule>
  </conditionalFormatting>
  <conditionalFormatting sqref="V5:V483">
    <cfRule type="expression" dxfId="0" priority="52" stopIfTrue="1">
      <formula>AND(ISNUMBER(V5),IF($C5="Romantasy",V$2,IF(OR($C5="Romance",$C5="Drama"),V$3,V$1))&gt;0,V5&gt;=(IF($C5="Romantasy",V$2,IF(OR($C5="Romance",$C5="Drama"),V$3,V$1))))</formula>
    </cfRule>
  </conditionalFormatting>
  <conditionalFormatting sqref="V5:V483">
    <cfRule type="expression" dxfId="1" priority="53" stopIfTrue="1">
      <formula>AND(ISNUMBER(V5),IF($C5="Romantasy",V$2,IF(OR($C5="Romance",$C5="Drama"),V$3,V$1))&gt;0,V5&gt;=0.7*(IF($C5="Romantasy",V$2,IF(OR($C5="Romance",$C5="Drama"),V$3,V$1))),V5&lt;(IF($C5="Romantasy",V$2,IF(OR($C5="Romance",$C5="Drama"),V$3,V$1))))</formula>
    </cfRule>
  </conditionalFormatting>
  <conditionalFormatting sqref="V5:V483">
    <cfRule type="expression" dxfId="2" priority="54" stopIfTrue="1">
      <formula>AND(ISNUMBER(V5),IF($C5="Romantasy",V$2,IF(OR($C5="Romance",$C5="Drama"),V$3,V$1))&gt;0,V5&lt;0.7*(IF($C5="Romantasy",V$2,IF(OR($C5="Romance",$C5="Drama"),V$3,V$1))))</formula>
    </cfRule>
  </conditionalFormatting>
  <conditionalFormatting sqref="W5:W483">
    <cfRule type="expression" dxfId="0" priority="55" stopIfTrue="1">
      <formula>AND(ISNUMBER(W5),IF($C5="Romantasy",W$2,IF(OR($C5="Romance",$C5="Drama"),W$3,W$1))&gt;0,W5&gt;=(IF($C5="Romantasy",W$2,IF(OR($C5="Romance",$C5="Drama"),W$3,W$1))))</formula>
    </cfRule>
  </conditionalFormatting>
  <conditionalFormatting sqref="W5:W483">
    <cfRule type="expression" dxfId="1" priority="56" stopIfTrue="1">
      <formula>AND(ISNUMBER(W5),IF($C5="Romantasy",W$2,IF(OR($C5="Romance",$C5="Drama"),W$3,W$1))&gt;0,W5&gt;=0.7*(IF($C5="Romantasy",W$2,IF(OR($C5="Romance",$C5="Drama"),W$3,W$1))),W5&lt;(IF($C5="Romantasy",W$2,IF(OR($C5="Romance",$C5="Drama"),W$3,W$1))))</formula>
    </cfRule>
  </conditionalFormatting>
  <conditionalFormatting sqref="W5:W483">
    <cfRule type="expression" dxfId="2" priority="57" stopIfTrue="1">
      <formula>AND(ISNUMBER(W5),IF($C5="Romantasy",W$2,IF(OR($C5="Romance",$C5="Drama"),W$3,W$1))&gt;0,W5&lt;0.7*(IF($C5="Romantasy",W$2,IF(OR($C5="Romance",$C5="Drama"),W$3,W$1))))</formula>
    </cfRule>
  </conditionalFormatting>
  <conditionalFormatting sqref="X5:X483">
    <cfRule type="expression" dxfId="0" priority="58" stopIfTrue="1">
      <formula>AND(ISNUMBER(X5),IF($C5="Romantasy",X$2,IF(OR($C5="Romance",$C5="Drama"),X$3,X$1))&gt;0,X5&gt;=(IF($C5="Romantasy",X$2,IF(OR($C5="Romance",$C5="Drama"),X$3,X$1))))</formula>
    </cfRule>
  </conditionalFormatting>
  <conditionalFormatting sqref="X5:X483">
    <cfRule type="expression" dxfId="1" priority="59" stopIfTrue="1">
      <formula>AND(ISNUMBER(X5),IF($C5="Romantasy",X$2,IF(OR($C5="Romance",$C5="Drama"),X$3,X$1))&gt;0,X5&gt;=0.7*(IF($C5="Romantasy",X$2,IF(OR($C5="Romance",$C5="Drama"),X$3,X$1))),X5&lt;(IF($C5="Romantasy",X$2,IF(OR($C5="Romance",$C5="Drama"),X$3,X$1))))</formula>
    </cfRule>
  </conditionalFormatting>
  <conditionalFormatting sqref="X5:X483">
    <cfRule type="expression" dxfId="2" priority="60" stopIfTrue="1">
      <formula>AND(ISNUMBER(X5),IF($C5="Romantasy",X$2,IF(OR($C5="Romance",$C5="Drama"),X$3,X$1))&gt;0,X5&lt;0.7*(IF($C5="Romantasy",X$2,IF(OR($C5="Romance",$C5="Drama"),X$3,X$1))))</formula>
    </cfRule>
  </conditionalFormatting>
  <conditionalFormatting sqref="Y5:Y483">
    <cfRule type="expression" dxfId="0" priority="61" stopIfTrue="1">
      <formula>AND(ISNUMBER(Y5),IF($C5="Romantasy",Y$2,IF(OR($C5="Romance",$C5="Drama"),Y$3,Y$1))&gt;0,Y5&gt;=(IF($C5="Romantasy",Y$2,IF(OR($C5="Romance",$C5="Drama"),Y$3,Y$1))))</formula>
    </cfRule>
  </conditionalFormatting>
  <conditionalFormatting sqref="Y5:Y483">
    <cfRule type="expression" dxfId="1" priority="62" stopIfTrue="1">
      <formula>AND(ISNUMBER(Y5),IF($C5="Romantasy",Y$2,IF(OR($C5="Romance",$C5="Drama"),Y$3,Y$1))&gt;0,Y5&gt;=0.7*(IF($C5="Romantasy",Y$2,IF(OR($C5="Romance",$C5="Drama"),Y$3,Y$1))),Y5&lt;(IF($C5="Romantasy",Y$2,IF(OR($C5="Romance",$C5="Drama"),Y$3,Y$1))))</formula>
    </cfRule>
  </conditionalFormatting>
  <conditionalFormatting sqref="Y5:Y483">
    <cfRule type="expression" dxfId="2" priority="63" stopIfTrue="1">
      <formula>AND(ISNUMBER(Y5),IF($C5="Romantasy",Y$2,IF(OR($C5="Romance",$C5="Drama"),Y$3,Y$1))&gt;0,Y5&lt;0.7*(IF($C5="Romantasy",Y$2,IF(OR($C5="Romance",$C5="Drama"),Y$3,Y$1))))</formula>
    </cfRule>
  </conditionalFormatting>
  <conditionalFormatting sqref="Z5:Z483">
    <cfRule type="expression" dxfId="0" priority="64" stopIfTrue="1">
      <formula>AND(ISNUMBER(Z5),IF($C5="Romantasy",Z$2,IF(OR($C5="Romance",$C5="Drama"),Z$3,Z$1))&gt;0,Z5&gt;=(IF($C5="Romantasy",Z$2,IF(OR($C5="Romance",$C5="Drama"),Z$3,Z$1))))</formula>
    </cfRule>
  </conditionalFormatting>
  <conditionalFormatting sqref="Z5:Z483">
    <cfRule type="expression" dxfId="1" priority="65" stopIfTrue="1">
      <formula>AND(ISNUMBER(Z5),IF($C5="Romantasy",Z$2,IF(OR($C5="Romance",$C5="Drama"),Z$3,Z$1))&gt;0,Z5&gt;=0.7*(IF($C5="Romantasy",Z$2,IF(OR($C5="Romance",$C5="Drama"),Z$3,Z$1))),Z5&lt;(IF($C5="Romantasy",Z$2,IF(OR($C5="Romance",$C5="Drama"),Z$3,Z$1))))</formula>
    </cfRule>
  </conditionalFormatting>
  <conditionalFormatting sqref="Z5:Z483">
    <cfRule type="expression" dxfId="2" priority="66" stopIfTrue="1">
      <formula>AND(ISNUMBER(Z5),IF($C5="Romantasy",Z$2,IF(OR($C5="Romance",$C5="Drama"),Z$3,Z$1))&gt;0,Z5&lt;0.7*(IF($C5="Romantasy",Z$2,IF(OR($C5="Romance",$C5="Drama"),Z$3,Z$1))))</formula>
    </cfRule>
  </conditionalFormatting>
  <conditionalFormatting sqref="AA5:AA483">
    <cfRule type="expression" dxfId="0" priority="67" stopIfTrue="1">
      <formula>AND(ISNUMBER(AA5),IF($C5="Romantasy",AA$2,IF(OR($C5="Romance",$C5="Drama"),AA$3,AA$1))&gt;0,AA5&gt;=(IF($C5="Romantasy",AA$2,IF(OR($C5="Romance",$C5="Drama"),AA$3,AA$1))))</formula>
    </cfRule>
  </conditionalFormatting>
  <conditionalFormatting sqref="AA5:AA483">
    <cfRule type="expression" dxfId="1" priority="68" stopIfTrue="1">
      <formula>AND(ISNUMBER(AA5),IF($C5="Romantasy",AA$2,IF(OR($C5="Romance",$C5="Drama"),AA$3,AA$1))&gt;0,AA5&gt;=0.7*(IF($C5="Romantasy",AA$2,IF(OR($C5="Romance",$C5="Drama"),AA$3,AA$1))),AA5&lt;(IF($C5="Romantasy",AA$2,IF(OR($C5="Romance",$C5="Drama"),AA$3,AA$1))))</formula>
    </cfRule>
  </conditionalFormatting>
  <conditionalFormatting sqref="AA5:AA483">
    <cfRule type="expression" dxfId="2" priority="69" stopIfTrue="1">
      <formula>AND(ISNUMBER(AA5),IF($C5="Romantasy",AA$2,IF(OR($C5="Romance",$C5="Drama"),AA$3,AA$1))&gt;0,AA5&lt;0.7*(IF($C5="Romantasy",AA$2,IF(OR($C5="Romance",$C5="Drama"),AA$3,AA$1))))</formula>
    </cfRule>
  </conditionalFormatting>
  <conditionalFormatting sqref="AB5:AB483">
    <cfRule type="expression" dxfId="0" priority="70" stopIfTrue="1">
      <formula>AND(ISNUMBER(AB5),IF($C5="Romantasy",AB$2,IF(OR($C5="Romance",$C5="Drama"),AB$3,AB$1))&gt;0,AB5&gt;=(IF($C5="Romantasy",AB$2,IF(OR($C5="Romance",$C5="Drama"),AB$3,AB$1))))</formula>
    </cfRule>
  </conditionalFormatting>
  <conditionalFormatting sqref="AB5:AB483">
    <cfRule type="expression" dxfId="1" priority="71" stopIfTrue="1">
      <formula>AND(ISNUMBER(AB5),IF($C5="Romantasy",AB$2,IF(OR($C5="Romance",$C5="Drama"),AB$3,AB$1))&gt;0,AB5&gt;=0.7*(IF($C5="Romantasy",AB$2,IF(OR($C5="Romance",$C5="Drama"),AB$3,AB$1))),AB5&lt;(IF($C5="Romantasy",AB$2,IF(OR($C5="Romance",$C5="Drama"),AB$3,AB$1))))</formula>
    </cfRule>
  </conditionalFormatting>
  <conditionalFormatting sqref="AB5:AB483">
    <cfRule type="expression" dxfId="2" priority="72" stopIfTrue="1">
      <formula>AND(ISNUMBER(AB5),IF($C5="Romantasy",AB$2,IF(OR($C5="Romance",$C5="Drama"),AB$3,AB$1))&gt;0,AB5&lt;0.7*(IF($C5="Romantasy",AB$2,IF(OR($C5="Romance",$C5="Drama"),AB$3,AB$1))))</formula>
    </cfRule>
  </conditionalFormatting>
  <conditionalFormatting sqref="AC5:AC483">
    <cfRule type="expression" dxfId="0" priority="73" stopIfTrue="1">
      <formula>AND(ISNUMBER(AC5),IF($C5="Romantasy",AC$2,IF(OR($C5="Romance",$C5="Drama"),AC$3,AC$1))&gt;0,AC5&gt;=(IF($C5="Romantasy",AC$2,IF(OR($C5="Romance",$C5="Drama"),AC$3,AC$1))))</formula>
    </cfRule>
  </conditionalFormatting>
  <conditionalFormatting sqref="AC5:AC483">
    <cfRule type="expression" dxfId="1" priority="74" stopIfTrue="1">
      <formula>AND(ISNUMBER(AC5),IF($C5="Romantasy",AC$2,IF(OR($C5="Romance",$C5="Drama"),AC$3,AC$1))&gt;0,AC5&gt;=0.7*(IF($C5="Romantasy",AC$2,IF(OR($C5="Romance",$C5="Drama"),AC$3,AC$1))),AC5&lt;(IF($C5="Romantasy",AC$2,IF(OR($C5="Romance",$C5="Drama"),AC$3,AC$1))))</formula>
    </cfRule>
  </conditionalFormatting>
  <conditionalFormatting sqref="AC5:AC483">
    <cfRule type="expression" dxfId="2" priority="75" stopIfTrue="1">
      <formula>AND(ISNUMBER(AC5),IF($C5="Romantasy",AC$2,IF(OR($C5="Romance",$C5="Drama"),AC$3,AC$1))&gt;0,AC5&lt;0.7*(IF($C5="Romantasy",AC$2,IF(OR($C5="Romance",$C5="Drama"),AC$3,AC$1))))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4" max="34" width="15.88"/>
  </cols>
  <sheetData>
    <row r="1">
      <c r="A1" s="1"/>
      <c r="B1" s="1" t="s">
        <v>0</v>
      </c>
      <c r="C1" s="13" t="s">
        <v>1</v>
      </c>
      <c r="D1" s="14">
        <v>135637.0</v>
      </c>
      <c r="E1" s="14">
        <v>0.840257451875225</v>
      </c>
      <c r="F1" s="14">
        <v>0.460361110906316</v>
      </c>
      <c r="G1" s="14">
        <v>0.397922395806454</v>
      </c>
      <c r="H1" s="14">
        <v>0.36529616313151</v>
      </c>
      <c r="I1" s="14">
        <v>0.339533401042323</v>
      </c>
      <c r="J1" s="14">
        <v>0.32956204379562</v>
      </c>
      <c r="K1" s="14">
        <v>0.310287056289359</v>
      </c>
      <c r="L1" s="14">
        <v>0.294740642676615</v>
      </c>
      <c r="M1" s="14">
        <v>0.288397773363444</v>
      </c>
      <c r="N1" s="14">
        <v>0.283638818923921</v>
      </c>
      <c r="O1" s="14">
        <v>0.26332745918502</v>
      </c>
      <c r="P1" s="14">
        <v>0.223336937166115</v>
      </c>
      <c r="Q1" s="14">
        <v>0.183208458208458</v>
      </c>
      <c r="R1" s="14">
        <v>0.162046491048941</v>
      </c>
      <c r="S1" s="14">
        <v>0.148616710690949</v>
      </c>
      <c r="T1" s="14">
        <v>0.142109232885221</v>
      </c>
      <c r="U1" s="14">
        <v>0.135485156405658</v>
      </c>
      <c r="V1" s="14">
        <v>0.130366778035891</v>
      </c>
      <c r="W1" s="14">
        <v>0.124113743358983</v>
      </c>
      <c r="X1" s="14">
        <v>0.119106149559919</v>
      </c>
      <c r="Y1" s="14">
        <v>0.114923907707412</v>
      </c>
      <c r="Z1" s="14">
        <v>0.112494499779991</v>
      </c>
      <c r="AA1" s="14">
        <v>0.109054063687002</v>
      </c>
      <c r="AB1" s="14">
        <v>0.105531703067637</v>
      </c>
      <c r="AC1" s="14">
        <v>0.101333755074068</v>
      </c>
      <c r="AD1" s="14">
        <v>0.0962306921819811</v>
      </c>
      <c r="AE1" s="14">
        <v>0.0909905635510569</v>
      </c>
      <c r="AF1" s="14">
        <v>0.0876166376719911</v>
      </c>
      <c r="AG1" s="14">
        <v>0.0840318414254836</v>
      </c>
      <c r="AH1" s="14">
        <v>0.0798671516685117</v>
      </c>
    </row>
    <row r="2">
      <c r="A2" s="1"/>
      <c r="B2" s="1" t="s">
        <v>0</v>
      </c>
      <c r="C2" s="13" t="s">
        <v>2</v>
      </c>
      <c r="D2" s="14">
        <v>323.0</v>
      </c>
      <c r="E2" s="14">
        <v>0.597523219814241</v>
      </c>
      <c r="F2" s="14">
        <v>0.250773993808049</v>
      </c>
      <c r="G2" s="14">
        <v>0.170278637770897</v>
      </c>
      <c r="H2" s="14">
        <v>0.177018633540372</v>
      </c>
      <c r="I2" s="14">
        <v>0.140625</v>
      </c>
      <c r="J2" s="14">
        <v>0.11875</v>
      </c>
      <c r="K2" s="14">
        <v>0.128125</v>
      </c>
      <c r="L2" s="14">
        <v>0.104100946372239</v>
      </c>
      <c r="M2" s="14">
        <v>0.0977917981072555</v>
      </c>
      <c r="N2" s="14">
        <v>0.0886075949367088</v>
      </c>
      <c r="O2" s="14">
        <v>0.0779220779220779</v>
      </c>
      <c r="P2" s="14">
        <v>0.0671140939597315</v>
      </c>
      <c r="Q2" s="14">
        <v>0.0714285714285714</v>
      </c>
      <c r="R2" s="14">
        <v>0.0586080586080586</v>
      </c>
      <c r="S2" s="14">
        <v>0.0416666666666666</v>
      </c>
      <c r="T2" s="14">
        <v>0.0517241379310344</v>
      </c>
      <c r="U2" s="14">
        <v>0.0579710144927536</v>
      </c>
      <c r="V2" s="14">
        <v>0.0520833333333333</v>
      </c>
      <c r="W2" s="14">
        <v>0.0379746835443038</v>
      </c>
      <c r="X2" s="14">
        <v>0.0238095238095238</v>
      </c>
      <c r="Y2" s="14">
        <v>0.0303030303030303</v>
      </c>
      <c r="Z2" s="14">
        <v>0.0384615384615384</v>
      </c>
      <c r="AA2" s="14">
        <v>0.0163934426229508</v>
      </c>
      <c r="AB2" s="14">
        <v>0.0303030303030303</v>
      </c>
      <c r="AC2" s="14">
        <v>0.0</v>
      </c>
      <c r="AD2" s="14">
        <v>0.0</v>
      </c>
      <c r="AE2" s="14">
        <v>0.0</v>
      </c>
      <c r="AF2" s="14">
        <v>0.0</v>
      </c>
      <c r="AG2" s="14">
        <v>0.0</v>
      </c>
      <c r="AH2" s="14">
        <v>0.0</v>
      </c>
    </row>
    <row r="3">
      <c r="A3" s="1"/>
      <c r="B3" s="1" t="s">
        <v>0</v>
      </c>
      <c r="C3" s="13" t="s">
        <v>3</v>
      </c>
      <c r="D3" s="14">
        <v>15867.0</v>
      </c>
      <c r="E3" s="14">
        <v>0.789815340013865</v>
      </c>
      <c r="F3" s="14">
        <v>0.376756790823722</v>
      </c>
      <c r="G3" s="14">
        <v>0.331442616751748</v>
      </c>
      <c r="H3" s="14">
        <v>0.296483045506113</v>
      </c>
      <c r="I3" s="14">
        <v>0.279192938209331</v>
      </c>
      <c r="J3" s="14">
        <v>0.25630835225839</v>
      </c>
      <c r="K3" s="14">
        <v>0.244761423882857</v>
      </c>
      <c r="L3" s="14">
        <v>0.23388674957389</v>
      </c>
      <c r="M3" s="14">
        <v>0.230123144932112</v>
      </c>
      <c r="N3" s="14">
        <v>0.224720520432009</v>
      </c>
      <c r="O3" s="14">
        <v>0.201163967611336</v>
      </c>
      <c r="P3" s="14">
        <v>0.172044374009508</v>
      </c>
      <c r="Q3" s="14">
        <v>0.1423730980693</v>
      </c>
      <c r="R3" s="14">
        <v>0.124550821355236</v>
      </c>
      <c r="S3" s="14">
        <v>0.113956630847435</v>
      </c>
      <c r="T3" s="14">
        <v>0.10556266894295</v>
      </c>
      <c r="U3" s="14">
        <v>0.105413732394366</v>
      </c>
      <c r="V3" s="14">
        <v>0.130020703933747</v>
      </c>
      <c r="W3" s="14">
        <v>0.130081300813008</v>
      </c>
      <c r="X3" s="14">
        <v>0.132326820603907</v>
      </c>
      <c r="Y3" s="14">
        <v>0.129479768786127</v>
      </c>
      <c r="Z3" s="14">
        <v>0.1328</v>
      </c>
      <c r="AA3" s="14">
        <v>0.127710843373493</v>
      </c>
      <c r="AB3" s="14">
        <v>0.108333333333333</v>
      </c>
      <c r="AC3" s="14">
        <v>0.072072072072072</v>
      </c>
      <c r="AD3" s="14">
        <v>0.0517241379310344</v>
      </c>
      <c r="AE3" s="14">
        <v>0.0</v>
      </c>
      <c r="AF3" s="14">
        <v>0.0</v>
      </c>
      <c r="AG3" s="14">
        <v>0.0</v>
      </c>
      <c r="AH3" s="14">
        <v>0.0</v>
      </c>
    </row>
    <row r="4" ht="15.75" customHeight="1">
      <c r="A4" s="7" t="s">
        <v>4</v>
      </c>
      <c r="B4" s="7" t="s">
        <v>5</v>
      </c>
      <c r="C4" s="15" t="s">
        <v>6</v>
      </c>
      <c r="D4" s="9" t="s">
        <v>7</v>
      </c>
      <c r="E4" s="13" t="s">
        <v>8</v>
      </c>
      <c r="F4" s="13" t="s">
        <v>9</v>
      </c>
      <c r="G4" s="13" t="s">
        <v>10</v>
      </c>
      <c r="H4" s="13" t="s">
        <v>11</v>
      </c>
      <c r="I4" s="13" t="s">
        <v>12</v>
      </c>
      <c r="J4" s="13" t="s">
        <v>13</v>
      </c>
      <c r="K4" s="13" t="s">
        <v>14</v>
      </c>
      <c r="L4" s="13" t="s">
        <v>15</v>
      </c>
      <c r="M4" s="13" t="s">
        <v>16</v>
      </c>
      <c r="N4" s="13" t="s">
        <v>17</v>
      </c>
      <c r="O4" s="13" t="s">
        <v>18</v>
      </c>
      <c r="P4" s="13" t="s">
        <v>19</v>
      </c>
      <c r="Q4" s="13" t="s">
        <v>20</v>
      </c>
      <c r="R4" s="13" t="s">
        <v>21</v>
      </c>
      <c r="S4" s="13" t="s">
        <v>22</v>
      </c>
      <c r="T4" s="13" t="s">
        <v>23</v>
      </c>
      <c r="U4" s="13" t="s">
        <v>24</v>
      </c>
      <c r="V4" s="13" t="s">
        <v>25</v>
      </c>
      <c r="W4" s="13" t="s">
        <v>26</v>
      </c>
      <c r="X4" s="13" t="s">
        <v>27</v>
      </c>
      <c r="Y4" s="13" t="s">
        <v>33</v>
      </c>
      <c r="Z4" s="13" t="s">
        <v>28</v>
      </c>
      <c r="AA4" s="13" t="s">
        <v>34</v>
      </c>
      <c r="AB4" s="13" t="s">
        <v>29</v>
      </c>
      <c r="AC4" s="13" t="s">
        <v>35</v>
      </c>
      <c r="AD4" s="13" t="s">
        <v>30</v>
      </c>
      <c r="AE4" s="13" t="s">
        <v>36</v>
      </c>
      <c r="AF4" s="13" t="s">
        <v>31</v>
      </c>
      <c r="AG4" s="13" t="s">
        <v>37</v>
      </c>
      <c r="AH4" s="13" t="s">
        <v>32</v>
      </c>
    </row>
    <row r="5">
      <c r="A5" s="16" t="str">
        <f>IFERROR(__xludf.DUMMYFUNCTION("HSTACK(
  IMPORTRANGE(""https://docs.google.com/spreadsheets/d/1OLoRCn0B2mP-LizDOaFp_LsrXGtZR4ZKvHn3aia4TMo/edit?usp=sharing"",""'Nml US Male'!B5:B""),
  IMPORTRANGE(""https://docs.google.com/spreadsheets/d/1OLoRCn0B2mP-LizDOaFp_LsrXGtZR4ZKvHn3aia4TMo/edi"&amp;"t?usp=sharing"",""'Nml US Male'!C5:C""),
  IMPORTRANGE(""https://docs.google.com/spreadsheets/d/1OLoRCn0B2mP-LizDOaFp_LsrXGtZR4ZKvHn3aia4TMo/edit?usp=sharing"",""'Nml US Male'!E5:E""),
  IMPORTRANGE(""https://docs.google.com/spreadsheets/d/1OLoRCn0B2mP-Li"&amp;"zDOaFp_LsrXGtZR4ZKvHn3aia4TMo/edit?usp=sharing"",""'Nml US Male'!AC5:AC""),
  IMPORTRANGE(""https://docs.google.com/spreadsheets/d/1OLoRCn0B2mP-LizDOaFp_LsrXGtZR4ZKvHn3aia4TMo/edit?usp=sharing"",""'Nml US Male'!AK5:BN"")
)"),"003c0c0b3759df17ce3f0b5feeeed123024f274d")</f>
        <v>003c0c0b3759df17ce3f0b5feeeed123024f274d</v>
      </c>
      <c r="B5" s="16" t="str">
        <f>IFERROR(__xludf.DUMMYFUNCTION("""COMPUTED_VALUE"""),"The Invictus Mage Returns")</f>
        <v>The Invictus Mage Returns</v>
      </c>
      <c r="C5" s="16" t="str">
        <f>IFERROR(__xludf.DUMMYFUNCTION("""COMPUTED_VALUE"""),"Fantasy")</f>
        <v>Fantasy</v>
      </c>
      <c r="D5" s="16">
        <f>IFERROR(__xludf.DUMMYFUNCTION("""COMPUTED_VALUE"""),794.0)</f>
        <v>794</v>
      </c>
      <c r="E5" s="16">
        <f>IFERROR(__xludf.DUMMYFUNCTION("""COMPUTED_VALUE"""),0.96977329974811)</f>
        <v>0.9697732997</v>
      </c>
      <c r="F5" s="16">
        <f>IFERROR(__xludf.DUMMYFUNCTION("""COMPUTED_VALUE"""),0.740554156171284)</f>
        <v>0.7405541562</v>
      </c>
      <c r="G5" s="16">
        <f>IFERROR(__xludf.DUMMYFUNCTION("""COMPUTED_VALUE"""),0.704030226700251)</f>
        <v>0.7040302267</v>
      </c>
      <c r="H5" s="16">
        <f>IFERROR(__xludf.DUMMYFUNCTION("""COMPUTED_VALUE"""),0.646095717884131)</f>
        <v>0.6460957179</v>
      </c>
      <c r="I5" s="16">
        <f>IFERROR(__xludf.DUMMYFUNCTION("""COMPUTED_VALUE"""),0.58816120906801)</f>
        <v>0.5881612091</v>
      </c>
      <c r="J5" s="16">
        <f>IFERROR(__xludf.DUMMYFUNCTION("""COMPUTED_VALUE"""),0.55793450881612)</f>
        <v>0.5579345088</v>
      </c>
      <c r="K5" s="16">
        <f>IFERROR(__xludf.DUMMYFUNCTION("""COMPUTED_VALUE"""),0.529634300126103)</f>
        <v>0.5296343001</v>
      </c>
      <c r="L5" s="16">
        <f>IFERROR(__xludf.DUMMYFUNCTION("""COMPUTED_VALUE"""),0.517067003792667)</f>
        <v>0.5170670038</v>
      </c>
      <c r="M5" s="16">
        <f>IFERROR(__xludf.DUMMYFUNCTION("""COMPUTED_VALUE"""),0.498734177215189)</f>
        <v>0.4987341772</v>
      </c>
      <c r="N5" s="16">
        <f>IFERROR(__xludf.DUMMYFUNCTION("""COMPUTED_VALUE"""),0.486075949367088)</f>
        <v>0.4860759494</v>
      </c>
      <c r="O5" s="16">
        <f>IFERROR(__xludf.DUMMYFUNCTION("""COMPUTED_VALUE"""),0.408970976253298)</f>
        <v>0.4089709763</v>
      </c>
      <c r="P5" s="16">
        <f>IFERROR(__xludf.DUMMYFUNCTION("""COMPUTED_VALUE"""),0.292134831460674)</f>
        <v>0.2921348315</v>
      </c>
      <c r="Q5" s="16">
        <f>IFERROR(__xludf.DUMMYFUNCTION("""COMPUTED_VALUE"""),0.122418879056047)</f>
        <v>0.1224188791</v>
      </c>
      <c r="R5" s="16">
        <f>IFERROR(__xludf.DUMMYFUNCTION("""COMPUTED_VALUE"""),0.0)</f>
        <v>0</v>
      </c>
      <c r="S5" s="16">
        <f>IFERROR(__xludf.DUMMYFUNCTION("""COMPUTED_VALUE"""),0.0)</f>
        <v>0</v>
      </c>
      <c r="T5" s="16">
        <f>IFERROR(__xludf.DUMMYFUNCTION("""COMPUTED_VALUE"""),0.0)</f>
        <v>0</v>
      </c>
      <c r="U5" s="16">
        <f>IFERROR(__xludf.DUMMYFUNCTION("""COMPUTED_VALUE"""),0.0)</f>
        <v>0</v>
      </c>
      <c r="V5" s="16">
        <f>IFERROR(__xludf.DUMMYFUNCTION("""COMPUTED_VALUE"""),0.0)</f>
        <v>0</v>
      </c>
      <c r="W5" s="16">
        <f>IFERROR(__xludf.DUMMYFUNCTION("""COMPUTED_VALUE"""),0.0)</f>
        <v>0</v>
      </c>
      <c r="X5" s="16">
        <f>IFERROR(__xludf.DUMMYFUNCTION("""COMPUTED_VALUE"""),0.0)</f>
        <v>0</v>
      </c>
      <c r="Y5" s="16">
        <f>IFERROR(__xludf.DUMMYFUNCTION("""COMPUTED_VALUE"""),0.0)</f>
        <v>0</v>
      </c>
      <c r="Z5" s="16">
        <f>IFERROR(__xludf.DUMMYFUNCTION("""COMPUTED_VALUE"""),0.0)</f>
        <v>0</v>
      </c>
      <c r="AA5" s="16">
        <f>IFERROR(__xludf.DUMMYFUNCTION("""COMPUTED_VALUE"""),0.0)</f>
        <v>0</v>
      </c>
      <c r="AB5" s="16">
        <f>IFERROR(__xludf.DUMMYFUNCTION("""COMPUTED_VALUE"""),0.0)</f>
        <v>0</v>
      </c>
      <c r="AC5" s="16">
        <f>IFERROR(__xludf.DUMMYFUNCTION("""COMPUTED_VALUE"""),0.0)</f>
        <v>0</v>
      </c>
      <c r="AD5" s="16">
        <f>IFERROR(__xludf.DUMMYFUNCTION("""COMPUTED_VALUE"""),0.0)</f>
        <v>0</v>
      </c>
      <c r="AE5" s="16">
        <f>IFERROR(__xludf.DUMMYFUNCTION("""COMPUTED_VALUE"""),0.0)</f>
        <v>0</v>
      </c>
      <c r="AF5" s="16">
        <f>IFERROR(__xludf.DUMMYFUNCTION("""COMPUTED_VALUE"""),0.0)</f>
        <v>0</v>
      </c>
      <c r="AG5" s="16">
        <f>IFERROR(__xludf.DUMMYFUNCTION("""COMPUTED_VALUE"""),0.0)</f>
        <v>0</v>
      </c>
      <c r="AH5" s="16">
        <f>IFERROR(__xludf.DUMMYFUNCTION("""COMPUTED_VALUE"""),0.0)</f>
        <v>0</v>
      </c>
    </row>
    <row r="6">
      <c r="A6" s="16" t="str">
        <f>IFERROR(__xludf.DUMMYFUNCTION("""COMPUTED_VALUE"""),"01f367b494a414fb7c994e946bddd99820cc7e28")</f>
        <v>01f367b494a414fb7c994e946bddd99820cc7e28</v>
      </c>
      <c r="B6" s="16" t="str">
        <f>IFERROR(__xludf.DUMMYFUNCTION("""COMPUTED_VALUE"""),"The Dragon Prince’s Favor")</f>
        <v>The Dragon Prince’s Favor</v>
      </c>
      <c r="C6" s="16" t="str">
        <f>IFERROR(__xludf.DUMMYFUNCTION("""COMPUTED_VALUE"""),"Romantasy")</f>
        <v>Romantasy</v>
      </c>
      <c r="D6" s="16">
        <f>IFERROR(__xludf.DUMMYFUNCTION("""COMPUTED_VALUE"""),40.0)</f>
        <v>40</v>
      </c>
      <c r="E6" s="16">
        <f>IFERROR(__xludf.DUMMYFUNCTION("""COMPUTED_VALUE"""),0.975)</f>
        <v>0.975</v>
      </c>
      <c r="F6" s="16">
        <f>IFERROR(__xludf.DUMMYFUNCTION("""COMPUTED_VALUE"""),0.45)</f>
        <v>0.45</v>
      </c>
      <c r="G6" s="16">
        <f>IFERROR(__xludf.DUMMYFUNCTION("""COMPUTED_VALUE"""),0.35)</f>
        <v>0.35</v>
      </c>
      <c r="H6" s="16">
        <f>IFERROR(__xludf.DUMMYFUNCTION("""COMPUTED_VALUE"""),0.35)</f>
        <v>0.35</v>
      </c>
      <c r="I6" s="16">
        <f>IFERROR(__xludf.DUMMYFUNCTION("""COMPUTED_VALUE"""),0.25)</f>
        <v>0.25</v>
      </c>
      <c r="J6" s="16">
        <f>IFERROR(__xludf.DUMMYFUNCTION("""COMPUTED_VALUE"""),0.25)</f>
        <v>0.25</v>
      </c>
      <c r="K6" s="16">
        <f>IFERROR(__xludf.DUMMYFUNCTION("""COMPUTED_VALUE"""),0.175)</f>
        <v>0.175</v>
      </c>
      <c r="L6" s="16">
        <f>IFERROR(__xludf.DUMMYFUNCTION("""COMPUTED_VALUE"""),0.128205128205128)</f>
        <v>0.1282051282</v>
      </c>
      <c r="M6" s="16">
        <f>IFERROR(__xludf.DUMMYFUNCTION("""COMPUTED_VALUE"""),0.128205128205128)</f>
        <v>0.1282051282</v>
      </c>
      <c r="N6" s="16">
        <f>IFERROR(__xludf.DUMMYFUNCTION("""COMPUTED_VALUE"""),0.131578947368421)</f>
        <v>0.1315789474</v>
      </c>
      <c r="O6" s="16">
        <f>IFERROR(__xludf.DUMMYFUNCTION("""COMPUTED_VALUE"""),0.0714285714285714)</f>
        <v>0.07142857143</v>
      </c>
      <c r="P6" s="16">
        <f>IFERROR(__xludf.DUMMYFUNCTION("""COMPUTED_VALUE"""),0.0666666666666666)</f>
        <v>0.06666666667</v>
      </c>
      <c r="Q6" s="16">
        <f>IFERROR(__xludf.DUMMYFUNCTION("""COMPUTED_VALUE"""),0.0)</f>
        <v>0</v>
      </c>
      <c r="R6" s="16">
        <f>IFERROR(__xludf.DUMMYFUNCTION("""COMPUTED_VALUE"""),0.0)</f>
        <v>0</v>
      </c>
      <c r="S6" s="16">
        <f>IFERROR(__xludf.DUMMYFUNCTION("""COMPUTED_VALUE"""),0.0)</f>
        <v>0</v>
      </c>
      <c r="T6" s="16">
        <f>IFERROR(__xludf.DUMMYFUNCTION("""COMPUTED_VALUE"""),0.0)</f>
        <v>0</v>
      </c>
      <c r="U6" s="16">
        <f>IFERROR(__xludf.DUMMYFUNCTION("""COMPUTED_VALUE"""),0.0)</f>
        <v>0</v>
      </c>
      <c r="V6" s="16">
        <f>IFERROR(__xludf.DUMMYFUNCTION("""COMPUTED_VALUE"""),0.0)</f>
        <v>0</v>
      </c>
      <c r="W6" s="16">
        <f>IFERROR(__xludf.DUMMYFUNCTION("""COMPUTED_VALUE"""),0.0)</f>
        <v>0</v>
      </c>
      <c r="X6" s="16">
        <f>IFERROR(__xludf.DUMMYFUNCTION("""COMPUTED_VALUE"""),0.0)</f>
        <v>0</v>
      </c>
      <c r="Y6" s="16">
        <f>IFERROR(__xludf.DUMMYFUNCTION("""COMPUTED_VALUE"""),0.0)</f>
        <v>0</v>
      </c>
      <c r="Z6" s="16">
        <f>IFERROR(__xludf.DUMMYFUNCTION("""COMPUTED_VALUE"""),0.0)</f>
        <v>0</v>
      </c>
      <c r="AA6" s="16">
        <f>IFERROR(__xludf.DUMMYFUNCTION("""COMPUTED_VALUE"""),0.0)</f>
        <v>0</v>
      </c>
      <c r="AB6" s="16">
        <f>IFERROR(__xludf.DUMMYFUNCTION("""COMPUTED_VALUE"""),0.0)</f>
        <v>0</v>
      </c>
      <c r="AC6" s="16">
        <f>IFERROR(__xludf.DUMMYFUNCTION("""COMPUTED_VALUE"""),0.0)</f>
        <v>0</v>
      </c>
      <c r="AD6" s="16">
        <f>IFERROR(__xludf.DUMMYFUNCTION("""COMPUTED_VALUE"""),0.0)</f>
        <v>0</v>
      </c>
      <c r="AE6" s="16">
        <f>IFERROR(__xludf.DUMMYFUNCTION("""COMPUTED_VALUE"""),0.0)</f>
        <v>0</v>
      </c>
      <c r="AF6" s="16">
        <f>IFERROR(__xludf.DUMMYFUNCTION("""COMPUTED_VALUE"""),0.0)</f>
        <v>0</v>
      </c>
      <c r="AG6" s="16">
        <f>IFERROR(__xludf.DUMMYFUNCTION("""COMPUTED_VALUE"""),0.0)</f>
        <v>0</v>
      </c>
      <c r="AH6" s="16">
        <f>IFERROR(__xludf.DUMMYFUNCTION("""COMPUTED_VALUE"""),0.0)</f>
        <v>0</v>
      </c>
    </row>
    <row r="7">
      <c r="A7" s="16" t="str">
        <f>IFERROR(__xludf.DUMMYFUNCTION("""COMPUTED_VALUE"""),"03488a9bdecaf176a7a11138160e470f361ce803")</f>
        <v>03488a9bdecaf176a7a11138160e470f361ce803</v>
      </c>
      <c r="B7" s="16" t="str">
        <f>IFERROR(__xludf.DUMMYFUNCTION("""COMPUTED_VALUE"""),"Reborn to Be His Wife")</f>
        <v>Reborn to Be His Wife</v>
      </c>
      <c r="C7" s="16" t="str">
        <f>IFERROR(__xludf.DUMMYFUNCTION("""COMPUTED_VALUE"""),"Romantasy")</f>
        <v>Romantasy</v>
      </c>
      <c r="D7" s="16">
        <f>IFERROR(__xludf.DUMMYFUNCTION("""COMPUTED_VALUE"""),412.0)</f>
        <v>412</v>
      </c>
      <c r="E7" s="16">
        <f>IFERROR(__xludf.DUMMYFUNCTION("""COMPUTED_VALUE"""),0.983009708737864)</f>
        <v>0.9830097087</v>
      </c>
      <c r="F7" s="16">
        <f>IFERROR(__xludf.DUMMYFUNCTION("""COMPUTED_VALUE"""),0.533980582524271)</f>
        <v>0.5339805825</v>
      </c>
      <c r="G7" s="16">
        <f>IFERROR(__xludf.DUMMYFUNCTION("""COMPUTED_VALUE"""),0.466019417475728)</f>
        <v>0.4660194175</v>
      </c>
      <c r="H7" s="16">
        <f>IFERROR(__xludf.DUMMYFUNCTION("""COMPUTED_VALUE"""),0.402912621359223)</f>
        <v>0.4029126214</v>
      </c>
      <c r="I7" s="16">
        <f>IFERROR(__xludf.DUMMYFUNCTION("""COMPUTED_VALUE"""),0.364077669902912)</f>
        <v>0.3640776699</v>
      </c>
      <c r="J7" s="16">
        <f>IFERROR(__xludf.DUMMYFUNCTION("""COMPUTED_VALUE"""),0.342233009708737)</f>
        <v>0.3422330097</v>
      </c>
      <c r="K7" s="16">
        <f>IFERROR(__xludf.DUMMYFUNCTION("""COMPUTED_VALUE"""),0.308252427184466)</f>
        <v>0.3082524272</v>
      </c>
      <c r="L7" s="16">
        <f>IFERROR(__xludf.DUMMYFUNCTION("""COMPUTED_VALUE"""),0.271844660194174)</f>
        <v>0.2718446602</v>
      </c>
      <c r="M7" s="16">
        <f>IFERROR(__xludf.DUMMYFUNCTION("""COMPUTED_VALUE"""),0.242718446601941)</f>
        <v>0.2427184466</v>
      </c>
      <c r="N7" s="16">
        <f>IFERROR(__xludf.DUMMYFUNCTION("""COMPUTED_VALUE"""),0.230582524271844)</f>
        <v>0.2305825243</v>
      </c>
      <c r="O7" s="16">
        <f>IFERROR(__xludf.DUMMYFUNCTION("""COMPUTED_VALUE"""),0.182825484764542)</f>
        <v>0.1828254848</v>
      </c>
      <c r="P7" s="16">
        <f>IFERROR(__xludf.DUMMYFUNCTION("""COMPUTED_VALUE"""),0.142028985507246)</f>
        <v>0.1420289855</v>
      </c>
      <c r="Q7" s="16">
        <f>IFERROR(__xludf.DUMMYFUNCTION("""COMPUTED_VALUE"""),0.0712074303405572)</f>
        <v>0.07120743034</v>
      </c>
      <c r="R7" s="16">
        <f>IFERROR(__xludf.DUMMYFUNCTION("""COMPUTED_VALUE"""),0.0711297071129707)</f>
        <v>0.07112970711</v>
      </c>
      <c r="S7" s="16">
        <f>IFERROR(__xludf.DUMMYFUNCTION("""COMPUTED_VALUE"""),0.046875)</f>
        <v>0.046875</v>
      </c>
      <c r="T7" s="16">
        <f>IFERROR(__xludf.DUMMYFUNCTION("""COMPUTED_VALUE"""),0.0290697674418604)</f>
        <v>0.02906976744</v>
      </c>
      <c r="U7" s="16">
        <f>IFERROR(__xludf.DUMMYFUNCTION("""COMPUTED_VALUE"""),0.0)</f>
        <v>0</v>
      </c>
      <c r="V7" s="16">
        <f>IFERROR(__xludf.DUMMYFUNCTION("""COMPUTED_VALUE"""),0.0)</f>
        <v>0</v>
      </c>
      <c r="W7" s="16">
        <f>IFERROR(__xludf.DUMMYFUNCTION("""COMPUTED_VALUE"""),0.0)</f>
        <v>0</v>
      </c>
      <c r="X7" s="16">
        <f>IFERROR(__xludf.DUMMYFUNCTION("""COMPUTED_VALUE"""),0.0)</f>
        <v>0</v>
      </c>
      <c r="Y7" s="16">
        <f>IFERROR(__xludf.DUMMYFUNCTION("""COMPUTED_VALUE"""),0.0)</f>
        <v>0</v>
      </c>
      <c r="Z7" s="16">
        <f>IFERROR(__xludf.DUMMYFUNCTION("""COMPUTED_VALUE"""),0.0)</f>
        <v>0</v>
      </c>
      <c r="AA7" s="16">
        <f>IFERROR(__xludf.DUMMYFUNCTION("""COMPUTED_VALUE"""),0.0)</f>
        <v>0</v>
      </c>
      <c r="AB7" s="16">
        <f>IFERROR(__xludf.DUMMYFUNCTION("""COMPUTED_VALUE"""),0.0)</f>
        <v>0</v>
      </c>
      <c r="AC7" s="16">
        <f>IFERROR(__xludf.DUMMYFUNCTION("""COMPUTED_VALUE"""),0.0)</f>
        <v>0</v>
      </c>
      <c r="AD7" s="16">
        <f>IFERROR(__xludf.DUMMYFUNCTION("""COMPUTED_VALUE"""),0.0)</f>
        <v>0</v>
      </c>
      <c r="AE7" s="16">
        <f>IFERROR(__xludf.DUMMYFUNCTION("""COMPUTED_VALUE"""),0.0)</f>
        <v>0</v>
      </c>
      <c r="AF7" s="16">
        <f>IFERROR(__xludf.DUMMYFUNCTION("""COMPUTED_VALUE"""),0.0)</f>
        <v>0</v>
      </c>
      <c r="AG7" s="16">
        <f>IFERROR(__xludf.DUMMYFUNCTION("""COMPUTED_VALUE"""),0.0)</f>
        <v>0</v>
      </c>
      <c r="AH7" s="16">
        <f>IFERROR(__xludf.DUMMYFUNCTION("""COMPUTED_VALUE"""),0.0)</f>
        <v>0</v>
      </c>
    </row>
    <row r="8">
      <c r="A8" s="16" t="str">
        <f>IFERROR(__xludf.DUMMYFUNCTION("""COMPUTED_VALUE"""),"0433315d89000a02178e5d4fb75f31de3d906cff")</f>
        <v>0433315d89000a02178e5d4fb75f31de3d906cff</v>
      </c>
      <c r="B8" s="16" t="str">
        <f>IFERROR(__xludf.DUMMYFUNCTION("""COMPUTED_VALUE"""),"Billionaire Secret Babies")</f>
        <v>Billionaire Secret Babies</v>
      </c>
      <c r="C8" s="16" t="str">
        <f>IFERROR(__xludf.DUMMYFUNCTION("""COMPUTED_VALUE"""),"Romance")</f>
        <v>Romance</v>
      </c>
      <c r="D8" s="16">
        <f>IFERROR(__xludf.DUMMYFUNCTION("""COMPUTED_VALUE"""),215.0)</f>
        <v>215</v>
      </c>
      <c r="E8" s="16">
        <f>IFERROR(__xludf.DUMMYFUNCTION("""COMPUTED_VALUE"""),0.925581395348837)</f>
        <v>0.9255813953</v>
      </c>
      <c r="F8" s="16">
        <f>IFERROR(__xludf.DUMMYFUNCTION("""COMPUTED_VALUE"""),0.465116279069767)</f>
        <v>0.4651162791</v>
      </c>
      <c r="G8" s="16">
        <f>IFERROR(__xludf.DUMMYFUNCTION("""COMPUTED_VALUE"""),0.381395348837209)</f>
        <v>0.3813953488</v>
      </c>
      <c r="H8" s="16">
        <f>IFERROR(__xludf.DUMMYFUNCTION("""COMPUTED_VALUE"""),0.344186046511627)</f>
        <v>0.3441860465</v>
      </c>
      <c r="I8" s="16">
        <f>IFERROR(__xludf.DUMMYFUNCTION("""COMPUTED_VALUE"""),0.330232558139534)</f>
        <v>0.3302325581</v>
      </c>
      <c r="J8" s="16">
        <f>IFERROR(__xludf.DUMMYFUNCTION("""COMPUTED_VALUE"""),0.316279069767441)</f>
        <v>0.3162790698</v>
      </c>
      <c r="K8" s="16">
        <f>IFERROR(__xludf.DUMMYFUNCTION("""COMPUTED_VALUE"""),0.316279069767441)</f>
        <v>0.3162790698</v>
      </c>
      <c r="L8" s="16">
        <f>IFERROR(__xludf.DUMMYFUNCTION("""COMPUTED_VALUE"""),0.288372093023255)</f>
        <v>0.288372093</v>
      </c>
      <c r="M8" s="16">
        <f>IFERROR(__xludf.DUMMYFUNCTION("""COMPUTED_VALUE"""),0.293023255813953)</f>
        <v>0.2930232558</v>
      </c>
      <c r="N8" s="16">
        <f>IFERROR(__xludf.DUMMYFUNCTION("""COMPUTED_VALUE"""),0.274418604651162)</f>
        <v>0.2744186047</v>
      </c>
      <c r="O8" s="16">
        <f>IFERROR(__xludf.DUMMYFUNCTION("""COMPUTED_VALUE"""),0.255813953488372)</f>
        <v>0.2558139535</v>
      </c>
      <c r="P8" s="16">
        <f>IFERROR(__xludf.DUMMYFUNCTION("""COMPUTED_VALUE"""),0.195348837209302)</f>
        <v>0.1953488372</v>
      </c>
      <c r="Q8" s="16">
        <f>IFERROR(__xludf.DUMMYFUNCTION("""COMPUTED_VALUE"""),0.148837209302325)</f>
        <v>0.1488372093</v>
      </c>
      <c r="R8" s="16">
        <f>IFERROR(__xludf.DUMMYFUNCTION("""COMPUTED_VALUE"""),0.0)</f>
        <v>0</v>
      </c>
      <c r="S8" s="16">
        <f>IFERROR(__xludf.DUMMYFUNCTION("""COMPUTED_VALUE"""),0.0)</f>
        <v>0</v>
      </c>
      <c r="T8" s="16">
        <f>IFERROR(__xludf.DUMMYFUNCTION("""COMPUTED_VALUE"""),0.0)</f>
        <v>0</v>
      </c>
      <c r="U8" s="16">
        <f>IFERROR(__xludf.DUMMYFUNCTION("""COMPUTED_VALUE"""),0.0)</f>
        <v>0</v>
      </c>
      <c r="V8" s="16">
        <f>IFERROR(__xludf.DUMMYFUNCTION("""COMPUTED_VALUE"""),0.0)</f>
        <v>0</v>
      </c>
      <c r="W8" s="16">
        <f>IFERROR(__xludf.DUMMYFUNCTION("""COMPUTED_VALUE"""),0.0)</f>
        <v>0</v>
      </c>
      <c r="X8" s="16">
        <f>IFERROR(__xludf.DUMMYFUNCTION("""COMPUTED_VALUE"""),0.0)</f>
        <v>0</v>
      </c>
      <c r="Y8" s="16">
        <f>IFERROR(__xludf.DUMMYFUNCTION("""COMPUTED_VALUE"""),0.0)</f>
        <v>0</v>
      </c>
      <c r="Z8" s="16">
        <f>IFERROR(__xludf.DUMMYFUNCTION("""COMPUTED_VALUE"""),0.0)</f>
        <v>0</v>
      </c>
      <c r="AA8" s="16">
        <f>IFERROR(__xludf.DUMMYFUNCTION("""COMPUTED_VALUE"""),0.0)</f>
        <v>0</v>
      </c>
      <c r="AB8" s="16">
        <f>IFERROR(__xludf.DUMMYFUNCTION("""COMPUTED_VALUE"""),0.0)</f>
        <v>0</v>
      </c>
      <c r="AC8" s="16">
        <f>IFERROR(__xludf.DUMMYFUNCTION("""COMPUTED_VALUE"""),0.0)</f>
        <v>0</v>
      </c>
      <c r="AD8" s="16">
        <f>IFERROR(__xludf.DUMMYFUNCTION("""COMPUTED_VALUE"""),0.0)</f>
        <v>0</v>
      </c>
      <c r="AE8" s="16">
        <f>IFERROR(__xludf.DUMMYFUNCTION("""COMPUTED_VALUE"""),0.0)</f>
        <v>0</v>
      </c>
      <c r="AF8" s="16">
        <f>IFERROR(__xludf.DUMMYFUNCTION("""COMPUTED_VALUE"""),0.0)</f>
        <v>0</v>
      </c>
      <c r="AG8" s="16">
        <f>IFERROR(__xludf.DUMMYFUNCTION("""COMPUTED_VALUE"""),0.0)</f>
        <v>0</v>
      </c>
      <c r="AH8" s="16">
        <f>IFERROR(__xludf.DUMMYFUNCTION("""COMPUTED_VALUE"""),0.0)</f>
        <v>0</v>
      </c>
    </row>
    <row r="9">
      <c r="A9" s="16" t="str">
        <f>IFERROR(__xludf.DUMMYFUNCTION("""COMPUTED_VALUE"""),"048b7efb083246fe7c75b60c3bccf0e015f15e03")</f>
        <v>048b7efb083246fe7c75b60c3bccf0e015f15e03</v>
      </c>
      <c r="B9" s="16" t="str">
        <f>IFERROR(__xludf.DUMMYFUNCTION("""COMPUTED_VALUE"""),"Veterinarian Beast Master")</f>
        <v>Veterinarian Beast Master</v>
      </c>
      <c r="C9" s="16" t="str">
        <f>IFERROR(__xludf.DUMMYFUNCTION("""COMPUTED_VALUE"""),"Fantasy")</f>
        <v>Fantasy</v>
      </c>
      <c r="D9" s="16">
        <f>IFERROR(__xludf.DUMMYFUNCTION("""COMPUTED_VALUE"""),187.0)</f>
        <v>187</v>
      </c>
      <c r="E9" s="16">
        <f>IFERROR(__xludf.DUMMYFUNCTION("""COMPUTED_VALUE"""),0.967914438502673)</f>
        <v>0.9679144385</v>
      </c>
      <c r="F9" s="16">
        <f>IFERROR(__xludf.DUMMYFUNCTION("""COMPUTED_VALUE"""),0.60427807486631)</f>
        <v>0.6042780749</v>
      </c>
      <c r="G9" s="16">
        <f>IFERROR(__xludf.DUMMYFUNCTION("""COMPUTED_VALUE"""),0.545454545454545)</f>
        <v>0.5454545455</v>
      </c>
      <c r="H9" s="16">
        <f>IFERROR(__xludf.DUMMYFUNCTION("""COMPUTED_VALUE"""),0.508021390374331)</f>
        <v>0.5080213904</v>
      </c>
      <c r="I9" s="16">
        <f>IFERROR(__xludf.DUMMYFUNCTION("""COMPUTED_VALUE"""),0.481283422459893)</f>
        <v>0.4812834225</v>
      </c>
      <c r="J9" s="16">
        <f>IFERROR(__xludf.DUMMYFUNCTION("""COMPUTED_VALUE"""),0.451612903225806)</f>
        <v>0.4516129032</v>
      </c>
      <c r="K9" s="16">
        <f>IFERROR(__xludf.DUMMYFUNCTION("""COMPUTED_VALUE"""),0.424731182795698)</f>
        <v>0.4247311828</v>
      </c>
      <c r="L9" s="16">
        <f>IFERROR(__xludf.DUMMYFUNCTION("""COMPUTED_VALUE"""),0.387096774193548)</f>
        <v>0.3870967742</v>
      </c>
      <c r="M9" s="16">
        <f>IFERROR(__xludf.DUMMYFUNCTION("""COMPUTED_VALUE"""),0.378378378378378)</f>
        <v>0.3783783784</v>
      </c>
      <c r="N9" s="16">
        <f>IFERROR(__xludf.DUMMYFUNCTION("""COMPUTED_VALUE"""),0.362162162162162)</f>
        <v>0.3621621622</v>
      </c>
      <c r="O9" s="16">
        <f>IFERROR(__xludf.DUMMYFUNCTION("""COMPUTED_VALUE"""),0.315151515151515)</f>
        <v>0.3151515152</v>
      </c>
      <c r="P9" s="16">
        <f>IFERROR(__xludf.DUMMYFUNCTION("""COMPUTED_VALUE"""),0.148936170212765)</f>
        <v>0.1489361702</v>
      </c>
      <c r="Q9" s="16">
        <f>IFERROR(__xludf.DUMMYFUNCTION("""COMPUTED_VALUE"""),0.088235294117647)</f>
        <v>0.08823529412</v>
      </c>
      <c r="R9" s="16">
        <f>IFERROR(__xludf.DUMMYFUNCTION("""COMPUTED_VALUE"""),0.0)</f>
        <v>0</v>
      </c>
      <c r="S9" s="16">
        <f>IFERROR(__xludf.DUMMYFUNCTION("""COMPUTED_VALUE"""),0.0)</f>
        <v>0</v>
      </c>
      <c r="T9" s="16">
        <f>IFERROR(__xludf.DUMMYFUNCTION("""COMPUTED_VALUE"""),0.0)</f>
        <v>0</v>
      </c>
      <c r="U9" s="16">
        <f>IFERROR(__xludf.DUMMYFUNCTION("""COMPUTED_VALUE"""),0.0)</f>
        <v>0</v>
      </c>
      <c r="V9" s="16">
        <f>IFERROR(__xludf.DUMMYFUNCTION("""COMPUTED_VALUE"""),0.0)</f>
        <v>0</v>
      </c>
      <c r="W9" s="16">
        <f>IFERROR(__xludf.DUMMYFUNCTION("""COMPUTED_VALUE"""),0.0)</f>
        <v>0</v>
      </c>
      <c r="X9" s="16">
        <f>IFERROR(__xludf.DUMMYFUNCTION("""COMPUTED_VALUE"""),0.0)</f>
        <v>0</v>
      </c>
      <c r="Y9" s="16">
        <f>IFERROR(__xludf.DUMMYFUNCTION("""COMPUTED_VALUE"""),0.0)</f>
        <v>0</v>
      </c>
      <c r="Z9" s="16">
        <f>IFERROR(__xludf.DUMMYFUNCTION("""COMPUTED_VALUE"""),0.0)</f>
        <v>0</v>
      </c>
      <c r="AA9" s="16">
        <f>IFERROR(__xludf.DUMMYFUNCTION("""COMPUTED_VALUE"""),0.0)</f>
        <v>0</v>
      </c>
      <c r="AB9" s="16">
        <f>IFERROR(__xludf.DUMMYFUNCTION("""COMPUTED_VALUE"""),0.0)</f>
        <v>0</v>
      </c>
      <c r="AC9" s="16">
        <f>IFERROR(__xludf.DUMMYFUNCTION("""COMPUTED_VALUE"""),0.0)</f>
        <v>0</v>
      </c>
      <c r="AD9" s="16">
        <f>IFERROR(__xludf.DUMMYFUNCTION("""COMPUTED_VALUE"""),0.0)</f>
        <v>0</v>
      </c>
      <c r="AE9" s="16">
        <f>IFERROR(__xludf.DUMMYFUNCTION("""COMPUTED_VALUE"""),0.0)</f>
        <v>0</v>
      </c>
      <c r="AF9" s="16">
        <f>IFERROR(__xludf.DUMMYFUNCTION("""COMPUTED_VALUE"""),0.0)</f>
        <v>0</v>
      </c>
      <c r="AG9" s="16">
        <f>IFERROR(__xludf.DUMMYFUNCTION("""COMPUTED_VALUE"""),0.0)</f>
        <v>0</v>
      </c>
      <c r="AH9" s="16">
        <f>IFERROR(__xludf.DUMMYFUNCTION("""COMPUTED_VALUE"""),0.0)</f>
        <v>0</v>
      </c>
    </row>
    <row r="10">
      <c r="A10" s="16" t="str">
        <f>IFERROR(__xludf.DUMMYFUNCTION("""COMPUTED_VALUE"""),"05081ee1026b5a4754958dd34670379788a6d672")</f>
        <v>05081ee1026b5a4754958dd34670379788a6d672</v>
      </c>
      <c r="B10" s="16" t="str">
        <f>IFERROR(__xludf.DUMMYFUNCTION("""COMPUTED_VALUE"""),"Billionaire Prison Bride")</f>
        <v>Billionaire Prison Bride</v>
      </c>
      <c r="C10" s="16" t="str">
        <f>IFERROR(__xludf.DUMMYFUNCTION("""COMPUTED_VALUE"""),"Romance")</f>
        <v>Romance</v>
      </c>
      <c r="D10" s="16">
        <f>IFERROR(__xludf.DUMMYFUNCTION("""COMPUTED_VALUE"""),106.0)</f>
        <v>106</v>
      </c>
      <c r="E10" s="16">
        <f>IFERROR(__xludf.DUMMYFUNCTION("""COMPUTED_VALUE"""),0.962264150943396)</f>
        <v>0.9622641509</v>
      </c>
      <c r="F10" s="16">
        <f>IFERROR(__xludf.DUMMYFUNCTION("""COMPUTED_VALUE"""),0.679245283018867)</f>
        <v>0.679245283</v>
      </c>
      <c r="G10" s="16">
        <f>IFERROR(__xludf.DUMMYFUNCTION("""COMPUTED_VALUE"""),0.632075471698113)</f>
        <v>0.6320754717</v>
      </c>
      <c r="H10" s="16">
        <f>IFERROR(__xludf.DUMMYFUNCTION("""COMPUTED_VALUE"""),0.584905660377358)</f>
        <v>0.5849056604</v>
      </c>
      <c r="I10" s="16">
        <f>IFERROR(__xludf.DUMMYFUNCTION("""COMPUTED_VALUE"""),0.584905660377358)</f>
        <v>0.5849056604</v>
      </c>
      <c r="J10" s="16">
        <f>IFERROR(__xludf.DUMMYFUNCTION("""COMPUTED_VALUE"""),0.580952380952381)</f>
        <v>0.580952381</v>
      </c>
      <c r="K10" s="16">
        <f>IFERROR(__xludf.DUMMYFUNCTION("""COMPUTED_VALUE"""),0.563106796116504)</f>
        <v>0.5631067961</v>
      </c>
      <c r="L10" s="16">
        <f>IFERROR(__xludf.DUMMYFUNCTION("""COMPUTED_VALUE"""),0.51)</f>
        <v>0.51</v>
      </c>
      <c r="M10" s="16">
        <f>IFERROR(__xludf.DUMMYFUNCTION("""COMPUTED_VALUE"""),0.484848484848484)</f>
        <v>0.4848484848</v>
      </c>
      <c r="N10" s="16">
        <f>IFERROR(__xludf.DUMMYFUNCTION("""COMPUTED_VALUE"""),0.457446808510638)</f>
        <v>0.4574468085</v>
      </c>
      <c r="O10" s="16">
        <f>IFERROR(__xludf.DUMMYFUNCTION("""COMPUTED_VALUE"""),0.40506329113924)</f>
        <v>0.4050632911</v>
      </c>
      <c r="P10" s="16">
        <f>IFERROR(__xludf.DUMMYFUNCTION("""COMPUTED_VALUE"""),0.285714285714285)</f>
        <v>0.2857142857</v>
      </c>
      <c r="Q10" s="16">
        <f>IFERROR(__xludf.DUMMYFUNCTION("""COMPUTED_VALUE"""),0.0)</f>
        <v>0</v>
      </c>
      <c r="R10" s="16">
        <f>IFERROR(__xludf.DUMMYFUNCTION("""COMPUTED_VALUE"""),0.0)</f>
        <v>0</v>
      </c>
      <c r="S10" s="16">
        <f>IFERROR(__xludf.DUMMYFUNCTION("""COMPUTED_VALUE"""),0.0)</f>
        <v>0</v>
      </c>
      <c r="T10" s="16">
        <f>IFERROR(__xludf.DUMMYFUNCTION("""COMPUTED_VALUE"""),0.0)</f>
        <v>0</v>
      </c>
      <c r="U10" s="16">
        <f>IFERROR(__xludf.DUMMYFUNCTION("""COMPUTED_VALUE"""),0.0)</f>
        <v>0</v>
      </c>
      <c r="V10" s="16">
        <f>IFERROR(__xludf.DUMMYFUNCTION("""COMPUTED_VALUE"""),0.0)</f>
        <v>0</v>
      </c>
      <c r="W10" s="16">
        <f>IFERROR(__xludf.DUMMYFUNCTION("""COMPUTED_VALUE"""),0.0)</f>
        <v>0</v>
      </c>
      <c r="X10" s="16">
        <f>IFERROR(__xludf.DUMMYFUNCTION("""COMPUTED_VALUE"""),0.0)</f>
        <v>0</v>
      </c>
      <c r="Y10" s="16">
        <f>IFERROR(__xludf.DUMMYFUNCTION("""COMPUTED_VALUE"""),0.0)</f>
        <v>0</v>
      </c>
      <c r="Z10" s="16">
        <f>IFERROR(__xludf.DUMMYFUNCTION("""COMPUTED_VALUE"""),0.0)</f>
        <v>0</v>
      </c>
      <c r="AA10" s="16">
        <f>IFERROR(__xludf.DUMMYFUNCTION("""COMPUTED_VALUE"""),0.0)</f>
        <v>0</v>
      </c>
      <c r="AB10" s="16">
        <f>IFERROR(__xludf.DUMMYFUNCTION("""COMPUTED_VALUE"""),0.0)</f>
        <v>0</v>
      </c>
      <c r="AC10" s="16">
        <f>IFERROR(__xludf.DUMMYFUNCTION("""COMPUTED_VALUE"""),0.0)</f>
        <v>0</v>
      </c>
      <c r="AD10" s="16">
        <f>IFERROR(__xludf.DUMMYFUNCTION("""COMPUTED_VALUE"""),0.0)</f>
        <v>0</v>
      </c>
      <c r="AE10" s="16">
        <f>IFERROR(__xludf.DUMMYFUNCTION("""COMPUTED_VALUE"""),0.0)</f>
        <v>0</v>
      </c>
      <c r="AF10" s="16">
        <f>IFERROR(__xludf.DUMMYFUNCTION("""COMPUTED_VALUE"""),0.0)</f>
        <v>0</v>
      </c>
      <c r="AG10" s="16">
        <f>IFERROR(__xludf.DUMMYFUNCTION("""COMPUTED_VALUE"""),0.0)</f>
        <v>0</v>
      </c>
      <c r="AH10" s="16">
        <f>IFERROR(__xludf.DUMMYFUNCTION("""COMPUTED_VALUE"""),0.0)</f>
        <v>0</v>
      </c>
    </row>
    <row r="11">
      <c r="A11" s="16" t="str">
        <f>IFERROR(__xludf.DUMMYFUNCTION("""COMPUTED_VALUE"""),"05808ad9143ee75794133fd50497137fea47e57b")</f>
        <v>05808ad9143ee75794133fd50497137fea47e57b</v>
      </c>
      <c r="B11" s="16" t="str">
        <f>IFERROR(__xludf.DUMMYFUNCTION("""COMPUTED_VALUE"""),"Infinity Stars")</f>
        <v>Infinity Stars</v>
      </c>
      <c r="C11" s="16" t="str">
        <f>IFERROR(__xludf.DUMMYFUNCTION("""COMPUTED_VALUE"""),"Fantasy")</f>
        <v>Fantasy</v>
      </c>
      <c r="D11" s="16">
        <f>IFERROR(__xludf.DUMMYFUNCTION("""COMPUTED_VALUE"""),2103.0)</f>
        <v>2103</v>
      </c>
      <c r="E11" s="16">
        <f>IFERROR(__xludf.DUMMYFUNCTION("""COMPUTED_VALUE"""),0.934379457917261)</f>
        <v>0.9343794579</v>
      </c>
      <c r="F11" s="16">
        <f>IFERROR(__xludf.DUMMYFUNCTION("""COMPUTED_VALUE"""),0.642891107941036)</f>
        <v>0.6428911079</v>
      </c>
      <c r="G11" s="16">
        <f>IFERROR(__xludf.DUMMYFUNCTION("""COMPUTED_VALUE"""),0.601997146932952)</f>
        <v>0.6019971469</v>
      </c>
      <c r="H11" s="16">
        <f>IFERROR(__xludf.DUMMYFUNCTION("""COMPUTED_VALUE"""),0.577200577200577)</f>
        <v>0.5772005772</v>
      </c>
      <c r="I11" s="16">
        <f>IFERROR(__xludf.DUMMYFUNCTION("""COMPUTED_VALUE"""),0.561204343534057)</f>
        <v>0.5612043435</v>
      </c>
      <c r="J11" s="16">
        <f>IFERROR(__xludf.DUMMYFUNCTION("""COMPUTED_VALUE"""),0.538860103626943)</f>
        <v>0.5388601036</v>
      </c>
      <c r="K11" s="16">
        <f>IFERROR(__xludf.DUMMYFUNCTION("""COMPUTED_VALUE"""),0.523299410819496)</f>
        <v>0.5232994108</v>
      </c>
      <c r="L11" s="16">
        <f>IFERROR(__xludf.DUMMYFUNCTION("""COMPUTED_VALUE"""),0.520338983050847)</f>
        <v>0.5203389831</v>
      </c>
      <c r="M11" s="16">
        <f>IFERROR(__xludf.DUMMYFUNCTION("""COMPUTED_VALUE"""),0.514051522248243)</f>
        <v>0.5140515222</v>
      </c>
      <c r="N11" s="16">
        <f>IFERROR(__xludf.DUMMYFUNCTION("""COMPUTED_VALUE"""),0.503418272218769)</f>
        <v>0.5034182722</v>
      </c>
      <c r="O11" s="16">
        <f>IFERROR(__xludf.DUMMYFUNCTION("""COMPUTED_VALUE"""),0.508422664624808)</f>
        <v>0.5084226646</v>
      </c>
      <c r="P11" s="16">
        <f>IFERROR(__xludf.DUMMYFUNCTION("""COMPUTED_VALUE"""),0.445004198152812)</f>
        <v>0.4450041982</v>
      </c>
      <c r="Q11" s="16">
        <f>IFERROR(__xludf.DUMMYFUNCTION("""COMPUTED_VALUE"""),0.35288169868554)</f>
        <v>0.3528816987</v>
      </c>
      <c r="R11" s="16">
        <f>IFERROR(__xludf.DUMMYFUNCTION("""COMPUTED_VALUE"""),0.246786632390745)</f>
        <v>0.2467866324</v>
      </c>
      <c r="S11" s="16">
        <f>IFERROR(__xludf.DUMMYFUNCTION("""COMPUTED_VALUE"""),0.147180192572214)</f>
        <v>0.1471801926</v>
      </c>
      <c r="T11" s="16">
        <f>IFERROR(__xludf.DUMMYFUNCTION("""COMPUTED_VALUE"""),0.181818181818181)</f>
        <v>0.1818181818</v>
      </c>
      <c r="U11" s="16">
        <f>IFERROR(__xludf.DUMMYFUNCTION("""COMPUTED_VALUE"""),0.0)</f>
        <v>0</v>
      </c>
      <c r="V11" s="16">
        <f>IFERROR(__xludf.DUMMYFUNCTION("""COMPUTED_VALUE"""),0.0)</f>
        <v>0</v>
      </c>
      <c r="W11" s="16">
        <f>IFERROR(__xludf.DUMMYFUNCTION("""COMPUTED_VALUE"""),0.0)</f>
        <v>0</v>
      </c>
      <c r="X11" s="16">
        <f>IFERROR(__xludf.DUMMYFUNCTION("""COMPUTED_VALUE"""),0.0)</f>
        <v>0</v>
      </c>
      <c r="Y11" s="16">
        <f>IFERROR(__xludf.DUMMYFUNCTION("""COMPUTED_VALUE"""),0.0)</f>
        <v>0</v>
      </c>
      <c r="Z11" s="16">
        <f>IFERROR(__xludf.DUMMYFUNCTION("""COMPUTED_VALUE"""),0.0)</f>
        <v>0</v>
      </c>
      <c r="AA11" s="16">
        <f>IFERROR(__xludf.DUMMYFUNCTION("""COMPUTED_VALUE"""),0.0)</f>
        <v>0</v>
      </c>
      <c r="AB11" s="16">
        <f>IFERROR(__xludf.DUMMYFUNCTION("""COMPUTED_VALUE"""),0.0)</f>
        <v>0</v>
      </c>
      <c r="AC11" s="16">
        <f>IFERROR(__xludf.DUMMYFUNCTION("""COMPUTED_VALUE"""),0.0)</f>
        <v>0</v>
      </c>
      <c r="AD11" s="16">
        <f>IFERROR(__xludf.DUMMYFUNCTION("""COMPUTED_VALUE"""),0.0)</f>
        <v>0</v>
      </c>
      <c r="AE11" s="16">
        <f>IFERROR(__xludf.DUMMYFUNCTION("""COMPUTED_VALUE"""),0.0)</f>
        <v>0</v>
      </c>
      <c r="AF11" s="16">
        <f>IFERROR(__xludf.DUMMYFUNCTION("""COMPUTED_VALUE"""),0.0)</f>
        <v>0</v>
      </c>
      <c r="AG11" s="16">
        <f>IFERROR(__xludf.DUMMYFUNCTION("""COMPUTED_VALUE"""),0.0)</f>
        <v>0</v>
      </c>
      <c r="AH11" s="16">
        <f>IFERROR(__xludf.DUMMYFUNCTION("""COMPUTED_VALUE"""),0.0)</f>
        <v>0</v>
      </c>
    </row>
    <row r="12">
      <c r="A12" s="16" t="str">
        <f>IFERROR(__xludf.DUMMYFUNCTION("""COMPUTED_VALUE"""),"06f83c7bf7296efe61da1c2da6e5c12e8e7d4aa8")</f>
        <v>06f83c7bf7296efe61da1c2da6e5c12e8e7d4aa8</v>
      </c>
      <c r="B12" s="16" t="str">
        <f>IFERROR(__xludf.DUMMYFUNCTION("""COMPUTED_VALUE"""),"Sigil of the Seven")</f>
        <v>Sigil of the Seven</v>
      </c>
      <c r="C12" s="16" t="str">
        <f>IFERROR(__xludf.DUMMYFUNCTION("""COMPUTED_VALUE"""),"Fantasy")</f>
        <v>Fantasy</v>
      </c>
      <c r="D12" s="16">
        <f>IFERROR(__xludf.DUMMYFUNCTION("""COMPUTED_VALUE"""),7504.0)</f>
        <v>7504</v>
      </c>
      <c r="E12" s="16">
        <f>IFERROR(__xludf.DUMMYFUNCTION("""COMPUTED_VALUE"""),0.917910447761194)</f>
        <v>0.9179104478</v>
      </c>
      <c r="F12" s="16">
        <f>IFERROR(__xludf.DUMMYFUNCTION("""COMPUTED_VALUE"""),0.59341684434968)</f>
        <v>0.5934168443</v>
      </c>
      <c r="G12" s="16">
        <f>IFERROR(__xludf.DUMMYFUNCTION("""COMPUTED_VALUE"""),0.524653518123667)</f>
        <v>0.5246535181</v>
      </c>
      <c r="H12" s="16">
        <f>IFERROR(__xludf.DUMMYFUNCTION("""COMPUTED_VALUE"""),0.496798292422625)</f>
        <v>0.4967982924</v>
      </c>
      <c r="I12" s="16">
        <f>IFERROR(__xludf.DUMMYFUNCTION("""COMPUTED_VALUE"""),0.465953177257525)</f>
        <v>0.4659531773</v>
      </c>
      <c r="J12" s="16">
        <f>IFERROR(__xludf.DUMMYFUNCTION("""COMPUTED_VALUE"""),0.447544942312852)</f>
        <v>0.4475449423</v>
      </c>
      <c r="K12" s="16">
        <f>IFERROR(__xludf.DUMMYFUNCTION("""COMPUTED_VALUE"""),0.431380471380471)</f>
        <v>0.4313804714</v>
      </c>
      <c r="L12" s="16">
        <f>IFERROR(__xludf.DUMMYFUNCTION("""COMPUTED_VALUE"""),0.422676227844675)</f>
        <v>0.4226762278</v>
      </c>
      <c r="M12" s="16">
        <f>IFERROR(__xludf.DUMMYFUNCTION("""COMPUTED_VALUE"""),0.417458593537876)</f>
        <v>0.4174585935</v>
      </c>
      <c r="N12" s="16">
        <f>IFERROR(__xludf.DUMMYFUNCTION("""COMPUTED_VALUE"""),0.41283903502794)</f>
        <v>0.412839035</v>
      </c>
      <c r="O12" s="16">
        <f>IFERROR(__xludf.DUMMYFUNCTION("""COMPUTED_VALUE"""),0.390594473904549)</f>
        <v>0.3905944739</v>
      </c>
      <c r="P12" s="16">
        <f>IFERROR(__xludf.DUMMYFUNCTION("""COMPUTED_VALUE"""),0.359075043630017)</f>
        <v>0.3590750436</v>
      </c>
      <c r="Q12" s="16">
        <f>IFERROR(__xludf.DUMMYFUNCTION("""COMPUTED_VALUE"""),0.275719534598897)</f>
        <v>0.2757195346</v>
      </c>
      <c r="R12" s="16">
        <f>IFERROR(__xludf.DUMMYFUNCTION("""COMPUTED_VALUE"""),0.21953578336557)</f>
        <v>0.2195357834</v>
      </c>
      <c r="S12" s="16">
        <f>IFERROR(__xludf.DUMMYFUNCTION("""COMPUTED_VALUE"""),0.179246890441301)</f>
        <v>0.1792468904</v>
      </c>
      <c r="T12" s="16">
        <f>IFERROR(__xludf.DUMMYFUNCTION("""COMPUTED_VALUE"""),0.10656089193825)</f>
        <v>0.1065608919</v>
      </c>
      <c r="U12" s="16">
        <f>IFERROR(__xludf.DUMMYFUNCTION("""COMPUTED_VALUE"""),0.0835129310344827)</f>
        <v>0.08351293103</v>
      </c>
      <c r="V12" s="16">
        <f>IFERROR(__xludf.DUMMYFUNCTION("""COMPUTED_VALUE"""),0.0759833134684147)</f>
        <v>0.07598331347</v>
      </c>
      <c r="W12" s="16">
        <f>IFERROR(__xludf.DUMMYFUNCTION("""COMPUTED_VALUE"""),0.0728222996515679)</f>
        <v>0.07282229965</v>
      </c>
      <c r="X12" s="16">
        <f>IFERROR(__xludf.DUMMYFUNCTION("""COMPUTED_VALUE"""),0.0820717131474103)</f>
        <v>0.08207171315</v>
      </c>
      <c r="Y12" s="16">
        <f>IFERROR(__xludf.DUMMYFUNCTION("""COMPUTED_VALUE"""),0.074074074074074)</f>
        <v>0.07407407407</v>
      </c>
      <c r="Z12" s="16">
        <f>IFERROR(__xludf.DUMMYFUNCTION("""COMPUTED_VALUE"""),0.0)</f>
        <v>0</v>
      </c>
      <c r="AA12" s="16">
        <f>IFERROR(__xludf.DUMMYFUNCTION("""COMPUTED_VALUE"""),0.0)</f>
        <v>0</v>
      </c>
      <c r="AB12" s="16">
        <f>IFERROR(__xludf.DUMMYFUNCTION("""COMPUTED_VALUE"""),0.0)</f>
        <v>0</v>
      </c>
      <c r="AC12" s="16">
        <f>IFERROR(__xludf.DUMMYFUNCTION("""COMPUTED_VALUE"""),0.0)</f>
        <v>0</v>
      </c>
      <c r="AD12" s="16">
        <f>IFERROR(__xludf.DUMMYFUNCTION("""COMPUTED_VALUE"""),0.0)</f>
        <v>0</v>
      </c>
      <c r="AE12" s="16">
        <f>IFERROR(__xludf.DUMMYFUNCTION("""COMPUTED_VALUE"""),0.0)</f>
        <v>0</v>
      </c>
      <c r="AF12" s="16">
        <f>IFERROR(__xludf.DUMMYFUNCTION("""COMPUTED_VALUE"""),0.0)</f>
        <v>0</v>
      </c>
      <c r="AG12" s="16">
        <f>IFERROR(__xludf.DUMMYFUNCTION("""COMPUTED_VALUE"""),0.0)</f>
        <v>0</v>
      </c>
      <c r="AH12" s="16">
        <f>IFERROR(__xludf.DUMMYFUNCTION("""COMPUTED_VALUE"""),0.0)</f>
        <v>0</v>
      </c>
    </row>
    <row r="13">
      <c r="A13" s="16" t="str">
        <f>IFERROR(__xludf.DUMMYFUNCTION("""COMPUTED_VALUE"""),"0b07b41ff930aa13e98588f626eef70da51bb47e")</f>
        <v>0b07b41ff930aa13e98588f626eef70da51bb47e</v>
      </c>
      <c r="B13" s="16" t="str">
        <f>IFERROR(__xludf.DUMMYFUNCTION("""COMPUTED_VALUE"""),"Debtbound Between Worlds")</f>
        <v>Debtbound Between Worlds</v>
      </c>
      <c r="C13" s="16" t="str">
        <f>IFERROR(__xludf.DUMMYFUNCTION("""COMPUTED_VALUE"""),"Fantasy")</f>
        <v>Fantasy</v>
      </c>
      <c r="D13" s="16">
        <f>IFERROR(__xludf.DUMMYFUNCTION("""COMPUTED_VALUE"""),267.0)</f>
        <v>267</v>
      </c>
      <c r="E13" s="16">
        <f>IFERROR(__xludf.DUMMYFUNCTION("""COMPUTED_VALUE"""),0.9625468164794)</f>
        <v>0.9625468165</v>
      </c>
      <c r="F13" s="16">
        <f>IFERROR(__xludf.DUMMYFUNCTION("""COMPUTED_VALUE"""),0.621722846441947)</f>
        <v>0.6217228464</v>
      </c>
      <c r="G13" s="16">
        <f>IFERROR(__xludf.DUMMYFUNCTION("""COMPUTED_VALUE"""),0.569288389513108)</f>
        <v>0.5692883895</v>
      </c>
      <c r="H13" s="16">
        <f>IFERROR(__xludf.DUMMYFUNCTION("""COMPUTED_VALUE"""),0.539325842696629)</f>
        <v>0.5393258427</v>
      </c>
      <c r="I13" s="16">
        <f>IFERROR(__xludf.DUMMYFUNCTION("""COMPUTED_VALUE"""),0.49063670411985)</f>
        <v>0.4906367041</v>
      </c>
      <c r="J13" s="16">
        <f>IFERROR(__xludf.DUMMYFUNCTION("""COMPUTED_VALUE"""),0.47191011235955)</f>
        <v>0.4719101124</v>
      </c>
      <c r="K13" s="16">
        <f>IFERROR(__xludf.DUMMYFUNCTION("""COMPUTED_VALUE"""),0.454887218045112)</f>
        <v>0.454887218</v>
      </c>
      <c r="L13" s="16">
        <f>IFERROR(__xludf.DUMMYFUNCTION("""COMPUTED_VALUE"""),0.43984962406015)</f>
        <v>0.4398496241</v>
      </c>
      <c r="M13" s="16">
        <f>IFERROR(__xludf.DUMMYFUNCTION("""COMPUTED_VALUE"""),0.402255639097744)</f>
        <v>0.4022556391</v>
      </c>
      <c r="N13" s="16">
        <f>IFERROR(__xludf.DUMMYFUNCTION("""COMPUTED_VALUE"""),0.375)</f>
        <v>0.375</v>
      </c>
      <c r="O13" s="16">
        <f>IFERROR(__xludf.DUMMYFUNCTION("""COMPUTED_VALUE"""),0.353413654618473)</f>
        <v>0.3534136546</v>
      </c>
      <c r="P13" s="16">
        <f>IFERROR(__xludf.DUMMYFUNCTION("""COMPUTED_VALUE"""),0.29090909090909)</f>
        <v>0.2909090909</v>
      </c>
      <c r="Q13" s="16">
        <f>IFERROR(__xludf.DUMMYFUNCTION("""COMPUTED_VALUE"""),0.166666666666666)</f>
        <v>0.1666666667</v>
      </c>
      <c r="R13" s="16">
        <f>IFERROR(__xludf.DUMMYFUNCTION("""COMPUTED_VALUE"""),0.0)</f>
        <v>0</v>
      </c>
      <c r="S13" s="16">
        <f>IFERROR(__xludf.DUMMYFUNCTION("""COMPUTED_VALUE"""),0.0)</f>
        <v>0</v>
      </c>
      <c r="T13" s="16">
        <f>IFERROR(__xludf.DUMMYFUNCTION("""COMPUTED_VALUE"""),0.0)</f>
        <v>0</v>
      </c>
      <c r="U13" s="16">
        <f>IFERROR(__xludf.DUMMYFUNCTION("""COMPUTED_VALUE"""),0.0)</f>
        <v>0</v>
      </c>
      <c r="V13" s="16">
        <f>IFERROR(__xludf.DUMMYFUNCTION("""COMPUTED_VALUE"""),0.0)</f>
        <v>0</v>
      </c>
      <c r="W13" s="16">
        <f>IFERROR(__xludf.DUMMYFUNCTION("""COMPUTED_VALUE"""),0.0)</f>
        <v>0</v>
      </c>
      <c r="X13" s="16">
        <f>IFERROR(__xludf.DUMMYFUNCTION("""COMPUTED_VALUE"""),0.0)</f>
        <v>0</v>
      </c>
      <c r="Y13" s="16">
        <f>IFERROR(__xludf.DUMMYFUNCTION("""COMPUTED_VALUE"""),0.0)</f>
        <v>0</v>
      </c>
      <c r="Z13" s="16">
        <f>IFERROR(__xludf.DUMMYFUNCTION("""COMPUTED_VALUE"""),0.0)</f>
        <v>0</v>
      </c>
      <c r="AA13" s="16">
        <f>IFERROR(__xludf.DUMMYFUNCTION("""COMPUTED_VALUE"""),0.0)</f>
        <v>0</v>
      </c>
      <c r="AB13" s="16">
        <f>IFERROR(__xludf.DUMMYFUNCTION("""COMPUTED_VALUE"""),0.0)</f>
        <v>0</v>
      </c>
      <c r="AC13" s="16">
        <f>IFERROR(__xludf.DUMMYFUNCTION("""COMPUTED_VALUE"""),0.0)</f>
        <v>0</v>
      </c>
      <c r="AD13" s="16">
        <f>IFERROR(__xludf.DUMMYFUNCTION("""COMPUTED_VALUE"""),0.0)</f>
        <v>0</v>
      </c>
      <c r="AE13" s="16">
        <f>IFERROR(__xludf.DUMMYFUNCTION("""COMPUTED_VALUE"""),0.0)</f>
        <v>0</v>
      </c>
      <c r="AF13" s="16">
        <f>IFERROR(__xludf.DUMMYFUNCTION("""COMPUTED_VALUE"""),0.0)</f>
        <v>0</v>
      </c>
      <c r="AG13" s="16">
        <f>IFERROR(__xludf.DUMMYFUNCTION("""COMPUTED_VALUE"""),0.0)</f>
        <v>0</v>
      </c>
      <c r="AH13" s="16">
        <f>IFERROR(__xludf.DUMMYFUNCTION("""COMPUTED_VALUE"""),0.0)</f>
        <v>0</v>
      </c>
    </row>
    <row r="14">
      <c r="A14" s="16" t="str">
        <f>IFERROR(__xludf.DUMMYFUNCTION("""COMPUTED_VALUE"""),"0b24baea319eafeca1995fb9b34e29d6ebfb9a50")</f>
        <v>0b24baea319eafeca1995fb9b34e29d6ebfb9a50</v>
      </c>
      <c r="B14" s="16" t="str">
        <f>IFERROR(__xludf.DUMMYFUNCTION("""COMPUTED_VALUE"""),"Rejected Bride Returns")</f>
        <v>Rejected Bride Returns</v>
      </c>
      <c r="C14" s="16" t="str">
        <f>IFERROR(__xludf.DUMMYFUNCTION("""COMPUTED_VALUE"""),"Romance")</f>
        <v>Romance</v>
      </c>
      <c r="D14" s="16">
        <f>IFERROR(__xludf.DUMMYFUNCTION("""COMPUTED_VALUE"""),15.0)</f>
        <v>15</v>
      </c>
      <c r="E14" s="16">
        <f>IFERROR(__xludf.DUMMYFUNCTION("""COMPUTED_VALUE"""),1.0)</f>
        <v>1</v>
      </c>
      <c r="F14" s="16">
        <f>IFERROR(__xludf.DUMMYFUNCTION("""COMPUTED_VALUE"""),0.333333333333333)</f>
        <v>0.3333333333</v>
      </c>
      <c r="G14" s="16">
        <f>IFERROR(__xludf.DUMMYFUNCTION("""COMPUTED_VALUE"""),0.266666666666666)</f>
        <v>0.2666666667</v>
      </c>
      <c r="H14" s="16">
        <f>IFERROR(__xludf.DUMMYFUNCTION("""COMPUTED_VALUE"""),0.2)</f>
        <v>0.2</v>
      </c>
      <c r="I14" s="16">
        <f>IFERROR(__xludf.DUMMYFUNCTION("""COMPUTED_VALUE"""),0.133333333333333)</f>
        <v>0.1333333333</v>
      </c>
      <c r="J14" s="16">
        <f>IFERROR(__xludf.DUMMYFUNCTION("""COMPUTED_VALUE"""),0.142857142857142)</f>
        <v>0.1428571429</v>
      </c>
      <c r="K14" s="16">
        <f>IFERROR(__xludf.DUMMYFUNCTION("""COMPUTED_VALUE"""),0.0714285714285714)</f>
        <v>0.07142857143</v>
      </c>
      <c r="L14" s="16">
        <f>IFERROR(__xludf.DUMMYFUNCTION("""COMPUTED_VALUE"""),0.0769230769230769)</f>
        <v>0.07692307692</v>
      </c>
      <c r="M14" s="16">
        <f>IFERROR(__xludf.DUMMYFUNCTION("""COMPUTED_VALUE"""),0.0769230769230769)</f>
        <v>0.07692307692</v>
      </c>
      <c r="N14" s="16">
        <f>IFERROR(__xludf.DUMMYFUNCTION("""COMPUTED_VALUE"""),0.0833333333333333)</f>
        <v>0.08333333333</v>
      </c>
      <c r="O14" s="16">
        <f>IFERROR(__xludf.DUMMYFUNCTION("""COMPUTED_VALUE"""),0.142857142857142)</f>
        <v>0.1428571429</v>
      </c>
      <c r="P14" s="16">
        <f>IFERROR(__xludf.DUMMYFUNCTION("""COMPUTED_VALUE"""),0.0)</f>
        <v>0</v>
      </c>
      <c r="Q14" s="16">
        <f>IFERROR(__xludf.DUMMYFUNCTION("""COMPUTED_VALUE"""),0.0)</f>
        <v>0</v>
      </c>
      <c r="R14" s="16">
        <f>IFERROR(__xludf.DUMMYFUNCTION("""COMPUTED_VALUE"""),0.0)</f>
        <v>0</v>
      </c>
      <c r="S14" s="16">
        <f>IFERROR(__xludf.DUMMYFUNCTION("""COMPUTED_VALUE"""),0.0)</f>
        <v>0</v>
      </c>
      <c r="T14" s="16">
        <f>IFERROR(__xludf.DUMMYFUNCTION("""COMPUTED_VALUE"""),0.0)</f>
        <v>0</v>
      </c>
      <c r="U14" s="16">
        <f>IFERROR(__xludf.DUMMYFUNCTION("""COMPUTED_VALUE"""),0.0)</f>
        <v>0</v>
      </c>
      <c r="V14" s="16">
        <f>IFERROR(__xludf.DUMMYFUNCTION("""COMPUTED_VALUE"""),0.0)</f>
        <v>0</v>
      </c>
      <c r="W14" s="16">
        <f>IFERROR(__xludf.DUMMYFUNCTION("""COMPUTED_VALUE"""),0.0)</f>
        <v>0</v>
      </c>
      <c r="X14" s="16">
        <f>IFERROR(__xludf.DUMMYFUNCTION("""COMPUTED_VALUE"""),0.0)</f>
        <v>0</v>
      </c>
      <c r="Y14" s="16">
        <f>IFERROR(__xludf.DUMMYFUNCTION("""COMPUTED_VALUE"""),0.0)</f>
        <v>0</v>
      </c>
      <c r="Z14" s="16">
        <f>IFERROR(__xludf.DUMMYFUNCTION("""COMPUTED_VALUE"""),0.0)</f>
        <v>0</v>
      </c>
      <c r="AA14" s="16">
        <f>IFERROR(__xludf.DUMMYFUNCTION("""COMPUTED_VALUE"""),0.0)</f>
        <v>0</v>
      </c>
      <c r="AB14" s="16">
        <f>IFERROR(__xludf.DUMMYFUNCTION("""COMPUTED_VALUE"""),0.0)</f>
        <v>0</v>
      </c>
      <c r="AC14" s="16">
        <f>IFERROR(__xludf.DUMMYFUNCTION("""COMPUTED_VALUE"""),0.0)</f>
        <v>0</v>
      </c>
      <c r="AD14" s="16">
        <f>IFERROR(__xludf.DUMMYFUNCTION("""COMPUTED_VALUE"""),0.0)</f>
        <v>0</v>
      </c>
      <c r="AE14" s="16">
        <f>IFERROR(__xludf.DUMMYFUNCTION("""COMPUTED_VALUE"""),0.0)</f>
        <v>0</v>
      </c>
      <c r="AF14" s="16">
        <f>IFERROR(__xludf.DUMMYFUNCTION("""COMPUTED_VALUE"""),0.0)</f>
        <v>0</v>
      </c>
      <c r="AG14" s="16">
        <f>IFERROR(__xludf.DUMMYFUNCTION("""COMPUTED_VALUE"""),0.0)</f>
        <v>0</v>
      </c>
      <c r="AH14" s="16">
        <f>IFERROR(__xludf.DUMMYFUNCTION("""COMPUTED_VALUE"""),0.0)</f>
        <v>0</v>
      </c>
    </row>
    <row r="15">
      <c r="A15" s="16" t="str">
        <f>IFERROR(__xludf.DUMMYFUNCTION("""COMPUTED_VALUE"""),"0c7fa1a2b4bca0746ad0384d77796b98dd7d801c")</f>
        <v>0c7fa1a2b4bca0746ad0384d77796b98dd7d801c</v>
      </c>
      <c r="B15" s="16" t="str">
        <f>IFERROR(__xludf.DUMMYFUNCTION("""COMPUTED_VALUE"""),"Flash Marriage to My Ex’s Boss")</f>
        <v>Flash Marriage to My Ex’s Boss</v>
      </c>
      <c r="C15" s="16" t="str">
        <f>IFERROR(__xludf.DUMMYFUNCTION("""COMPUTED_VALUE"""),"Romance")</f>
        <v>Romance</v>
      </c>
      <c r="D15" s="16">
        <f>IFERROR(__xludf.DUMMYFUNCTION("""COMPUTED_VALUE"""),152.0)</f>
        <v>152</v>
      </c>
      <c r="E15" s="16">
        <f>IFERROR(__xludf.DUMMYFUNCTION("""COMPUTED_VALUE"""),0.894736842105263)</f>
        <v>0.8947368421</v>
      </c>
      <c r="F15" s="16">
        <f>IFERROR(__xludf.DUMMYFUNCTION("""COMPUTED_VALUE"""),0.342105263157894)</f>
        <v>0.3421052632</v>
      </c>
      <c r="G15" s="16">
        <f>IFERROR(__xludf.DUMMYFUNCTION("""COMPUTED_VALUE"""),0.302631578947368)</f>
        <v>0.3026315789</v>
      </c>
      <c r="H15" s="16">
        <f>IFERROR(__xludf.DUMMYFUNCTION("""COMPUTED_VALUE"""),0.276315789473684)</f>
        <v>0.2763157895</v>
      </c>
      <c r="I15" s="16">
        <f>IFERROR(__xludf.DUMMYFUNCTION("""COMPUTED_VALUE"""),0.276315789473684)</f>
        <v>0.2763157895</v>
      </c>
      <c r="J15" s="16">
        <f>IFERROR(__xludf.DUMMYFUNCTION("""COMPUTED_VALUE"""),0.23841059602649)</f>
        <v>0.238410596</v>
      </c>
      <c r="K15" s="16">
        <f>IFERROR(__xludf.DUMMYFUNCTION("""COMPUTED_VALUE"""),0.225165562913907)</f>
        <v>0.2251655629</v>
      </c>
      <c r="L15" s="16">
        <f>IFERROR(__xludf.DUMMYFUNCTION("""COMPUTED_VALUE"""),0.218543046357615)</f>
        <v>0.2185430464</v>
      </c>
      <c r="M15" s="16">
        <f>IFERROR(__xludf.DUMMYFUNCTION("""COMPUTED_VALUE"""),0.225165562913907)</f>
        <v>0.2251655629</v>
      </c>
      <c r="N15" s="16">
        <f>IFERROR(__xludf.DUMMYFUNCTION("""COMPUTED_VALUE"""),0.211920529801324)</f>
        <v>0.2119205298</v>
      </c>
      <c r="O15" s="16">
        <f>IFERROR(__xludf.DUMMYFUNCTION("""COMPUTED_VALUE"""),0.178807947019867)</f>
        <v>0.178807947</v>
      </c>
      <c r="P15" s="16">
        <f>IFERROR(__xludf.DUMMYFUNCTION("""COMPUTED_VALUE"""),0.16)</f>
        <v>0.16</v>
      </c>
      <c r="Q15" s="16">
        <f>IFERROR(__xludf.DUMMYFUNCTION("""COMPUTED_VALUE"""),0.133333333333333)</f>
        <v>0.1333333333</v>
      </c>
      <c r="R15" s="16">
        <f>IFERROR(__xludf.DUMMYFUNCTION("""COMPUTED_VALUE"""),0.087248322147651)</f>
        <v>0.08724832215</v>
      </c>
      <c r="S15" s="16">
        <f>IFERROR(__xludf.DUMMYFUNCTION("""COMPUTED_VALUE"""),0.0)</f>
        <v>0</v>
      </c>
      <c r="T15" s="16">
        <f>IFERROR(__xludf.DUMMYFUNCTION("""COMPUTED_VALUE"""),0.0)</f>
        <v>0</v>
      </c>
      <c r="U15" s="16">
        <f>IFERROR(__xludf.DUMMYFUNCTION("""COMPUTED_VALUE"""),0.0)</f>
        <v>0</v>
      </c>
      <c r="V15" s="16">
        <f>IFERROR(__xludf.DUMMYFUNCTION("""COMPUTED_VALUE"""),0.0)</f>
        <v>0</v>
      </c>
      <c r="W15" s="16">
        <f>IFERROR(__xludf.DUMMYFUNCTION("""COMPUTED_VALUE"""),0.0)</f>
        <v>0</v>
      </c>
      <c r="X15" s="16">
        <f>IFERROR(__xludf.DUMMYFUNCTION("""COMPUTED_VALUE"""),0.0)</f>
        <v>0</v>
      </c>
      <c r="Y15" s="16">
        <f>IFERROR(__xludf.DUMMYFUNCTION("""COMPUTED_VALUE"""),0.0)</f>
        <v>0</v>
      </c>
      <c r="Z15" s="16">
        <f>IFERROR(__xludf.DUMMYFUNCTION("""COMPUTED_VALUE"""),0.0)</f>
        <v>0</v>
      </c>
      <c r="AA15" s="16">
        <f>IFERROR(__xludf.DUMMYFUNCTION("""COMPUTED_VALUE"""),0.0)</f>
        <v>0</v>
      </c>
      <c r="AB15" s="16">
        <f>IFERROR(__xludf.DUMMYFUNCTION("""COMPUTED_VALUE"""),0.0)</f>
        <v>0</v>
      </c>
      <c r="AC15" s="16">
        <f>IFERROR(__xludf.DUMMYFUNCTION("""COMPUTED_VALUE"""),0.0)</f>
        <v>0</v>
      </c>
      <c r="AD15" s="16">
        <f>IFERROR(__xludf.DUMMYFUNCTION("""COMPUTED_VALUE"""),0.0)</f>
        <v>0</v>
      </c>
      <c r="AE15" s="16">
        <f>IFERROR(__xludf.DUMMYFUNCTION("""COMPUTED_VALUE"""),0.0)</f>
        <v>0</v>
      </c>
      <c r="AF15" s="16">
        <f>IFERROR(__xludf.DUMMYFUNCTION("""COMPUTED_VALUE"""),0.0)</f>
        <v>0</v>
      </c>
      <c r="AG15" s="16">
        <f>IFERROR(__xludf.DUMMYFUNCTION("""COMPUTED_VALUE"""),0.0)</f>
        <v>0</v>
      </c>
      <c r="AH15" s="16">
        <f>IFERROR(__xludf.DUMMYFUNCTION("""COMPUTED_VALUE"""),0.0)</f>
        <v>0</v>
      </c>
    </row>
    <row r="16">
      <c r="A16" s="16" t="str">
        <f>IFERROR(__xludf.DUMMYFUNCTION("""COMPUTED_VALUE"""),"0d62d7798adbffba76234feba6e58e4a73a6baf8")</f>
        <v>0d62d7798adbffba76234feba6e58e4a73a6baf8</v>
      </c>
      <c r="B16" s="16" t="str">
        <f>IFERROR(__xludf.DUMMYFUNCTION("""COMPUTED_VALUE"""),"Devil's Redemption")</f>
        <v>Devil's Redemption</v>
      </c>
      <c r="C16" s="16" t="str">
        <f>IFERROR(__xludf.DUMMYFUNCTION("""COMPUTED_VALUE"""),"Fantasy")</f>
        <v>Fantasy</v>
      </c>
      <c r="D16" s="16">
        <f>IFERROR(__xludf.DUMMYFUNCTION("""COMPUTED_VALUE"""),675.0)</f>
        <v>675</v>
      </c>
      <c r="E16" s="16">
        <f>IFERROR(__xludf.DUMMYFUNCTION("""COMPUTED_VALUE"""),0.974814814814814)</f>
        <v>0.9748148148</v>
      </c>
      <c r="F16" s="16">
        <f>IFERROR(__xludf.DUMMYFUNCTION("""COMPUTED_VALUE"""),0.712592592592592)</f>
        <v>0.7125925926</v>
      </c>
      <c r="G16" s="16">
        <f>IFERROR(__xludf.DUMMYFUNCTION("""COMPUTED_VALUE"""),0.648888888888888)</f>
        <v>0.6488888889</v>
      </c>
      <c r="H16" s="16">
        <f>IFERROR(__xludf.DUMMYFUNCTION("""COMPUTED_VALUE"""),0.598496240601503)</f>
        <v>0.5984962406</v>
      </c>
      <c r="I16" s="16">
        <f>IFERROR(__xludf.DUMMYFUNCTION("""COMPUTED_VALUE"""),0.526916802610114)</f>
        <v>0.5269168026</v>
      </c>
      <c r="J16" s="16">
        <f>IFERROR(__xludf.DUMMYFUNCTION("""COMPUTED_VALUE"""),0.498269896193771)</f>
        <v>0.4982698962</v>
      </c>
      <c r="K16" s="16">
        <f>IFERROR(__xludf.DUMMYFUNCTION("""COMPUTED_VALUE"""),0.456852791878172)</f>
        <v>0.4568527919</v>
      </c>
      <c r="L16" s="16">
        <f>IFERROR(__xludf.DUMMYFUNCTION("""COMPUTED_VALUE"""),0.36036036036036)</f>
        <v>0.3603603604</v>
      </c>
      <c r="M16" s="16">
        <f>IFERROR(__xludf.DUMMYFUNCTION("""COMPUTED_VALUE"""),0.338164251207729)</f>
        <v>0.3381642512</v>
      </c>
      <c r="N16" s="16">
        <f>IFERROR(__xludf.DUMMYFUNCTION("""COMPUTED_VALUE"""),0.321782178217821)</f>
        <v>0.3217821782</v>
      </c>
      <c r="O16" s="16">
        <f>IFERROR(__xludf.DUMMYFUNCTION("""COMPUTED_VALUE"""),0.278688524590163)</f>
        <v>0.2786885246</v>
      </c>
      <c r="P16" s="16">
        <f>IFERROR(__xludf.DUMMYFUNCTION("""COMPUTED_VALUE"""),0.226890756302521)</f>
        <v>0.2268907563</v>
      </c>
      <c r="Q16" s="16">
        <f>IFERROR(__xludf.DUMMYFUNCTION("""COMPUTED_VALUE"""),0.0)</f>
        <v>0</v>
      </c>
      <c r="R16" s="16">
        <f>IFERROR(__xludf.DUMMYFUNCTION("""COMPUTED_VALUE"""),0.0)</f>
        <v>0</v>
      </c>
      <c r="S16" s="16">
        <f>IFERROR(__xludf.DUMMYFUNCTION("""COMPUTED_VALUE"""),0.0)</f>
        <v>0</v>
      </c>
      <c r="T16" s="16">
        <f>IFERROR(__xludf.DUMMYFUNCTION("""COMPUTED_VALUE"""),0.0)</f>
        <v>0</v>
      </c>
      <c r="U16" s="16">
        <f>IFERROR(__xludf.DUMMYFUNCTION("""COMPUTED_VALUE"""),0.0)</f>
        <v>0</v>
      </c>
      <c r="V16" s="16">
        <f>IFERROR(__xludf.DUMMYFUNCTION("""COMPUTED_VALUE"""),0.0)</f>
        <v>0</v>
      </c>
      <c r="W16" s="16">
        <f>IFERROR(__xludf.DUMMYFUNCTION("""COMPUTED_VALUE"""),0.0)</f>
        <v>0</v>
      </c>
      <c r="X16" s="16">
        <f>IFERROR(__xludf.DUMMYFUNCTION("""COMPUTED_VALUE"""),0.0)</f>
        <v>0</v>
      </c>
      <c r="Y16" s="16">
        <f>IFERROR(__xludf.DUMMYFUNCTION("""COMPUTED_VALUE"""),0.0)</f>
        <v>0</v>
      </c>
      <c r="Z16" s="16">
        <f>IFERROR(__xludf.DUMMYFUNCTION("""COMPUTED_VALUE"""),0.0)</f>
        <v>0</v>
      </c>
      <c r="AA16" s="16">
        <f>IFERROR(__xludf.DUMMYFUNCTION("""COMPUTED_VALUE"""),0.0)</f>
        <v>0</v>
      </c>
      <c r="AB16" s="16">
        <f>IFERROR(__xludf.DUMMYFUNCTION("""COMPUTED_VALUE"""),0.0)</f>
        <v>0</v>
      </c>
      <c r="AC16" s="16">
        <f>IFERROR(__xludf.DUMMYFUNCTION("""COMPUTED_VALUE"""),0.0)</f>
        <v>0</v>
      </c>
      <c r="AD16" s="16">
        <f>IFERROR(__xludf.DUMMYFUNCTION("""COMPUTED_VALUE"""),0.0)</f>
        <v>0</v>
      </c>
      <c r="AE16" s="16">
        <f>IFERROR(__xludf.DUMMYFUNCTION("""COMPUTED_VALUE"""),0.0)</f>
        <v>0</v>
      </c>
      <c r="AF16" s="16">
        <f>IFERROR(__xludf.DUMMYFUNCTION("""COMPUTED_VALUE"""),0.0)</f>
        <v>0</v>
      </c>
      <c r="AG16" s="16">
        <f>IFERROR(__xludf.DUMMYFUNCTION("""COMPUTED_VALUE"""),0.0)</f>
        <v>0</v>
      </c>
      <c r="AH16" s="16">
        <f>IFERROR(__xludf.DUMMYFUNCTION("""COMPUTED_VALUE"""),0.0)</f>
        <v>0</v>
      </c>
    </row>
    <row r="17">
      <c r="A17" s="16" t="str">
        <f>IFERROR(__xludf.DUMMYFUNCTION("""COMPUTED_VALUE"""),"0db57923d2182ad47e7480030a03e05da109b1bf")</f>
        <v>0db57923d2182ad47e7480030a03e05da109b1bf</v>
      </c>
      <c r="B17" s="16" t="str">
        <f>IFERROR(__xludf.DUMMYFUNCTION("""COMPUTED_VALUE"""),"The Ceo's Borrowed Beauty")</f>
        <v>The Ceo's Borrowed Beauty</v>
      </c>
      <c r="C17" s="16" t="str">
        <f>IFERROR(__xludf.DUMMYFUNCTION("""COMPUTED_VALUE"""),"Romance")</f>
        <v>Romance</v>
      </c>
      <c r="D17" s="16">
        <f>IFERROR(__xludf.DUMMYFUNCTION("""COMPUTED_VALUE"""),203.0)</f>
        <v>203</v>
      </c>
      <c r="E17" s="16">
        <f>IFERROR(__xludf.DUMMYFUNCTION("""COMPUTED_VALUE"""),0.975369458128078)</f>
        <v>0.9753694581</v>
      </c>
      <c r="F17" s="16">
        <f>IFERROR(__xludf.DUMMYFUNCTION("""COMPUTED_VALUE"""),0.413793103448275)</f>
        <v>0.4137931034</v>
      </c>
      <c r="G17" s="16">
        <f>IFERROR(__xludf.DUMMYFUNCTION("""COMPUTED_VALUE"""),0.339901477832512)</f>
        <v>0.3399014778</v>
      </c>
      <c r="H17" s="16">
        <f>IFERROR(__xludf.DUMMYFUNCTION("""COMPUTED_VALUE"""),0.301980198019801)</f>
        <v>0.301980198</v>
      </c>
      <c r="I17" s="16">
        <f>IFERROR(__xludf.DUMMYFUNCTION("""COMPUTED_VALUE"""),0.271356783919598)</f>
        <v>0.2713567839</v>
      </c>
      <c r="J17" s="16">
        <f>IFERROR(__xludf.DUMMYFUNCTION("""COMPUTED_VALUE"""),0.242424242424242)</f>
        <v>0.2424242424</v>
      </c>
      <c r="K17" s="16">
        <f>IFERROR(__xludf.DUMMYFUNCTION("""COMPUTED_VALUE"""),0.212121212121212)</f>
        <v>0.2121212121</v>
      </c>
      <c r="L17" s="16">
        <f>IFERROR(__xludf.DUMMYFUNCTION("""COMPUTED_VALUE"""),0.189743589743589)</f>
        <v>0.1897435897</v>
      </c>
      <c r="M17" s="16">
        <f>IFERROR(__xludf.DUMMYFUNCTION("""COMPUTED_VALUE"""),0.18041237113402)</f>
        <v>0.1804123711</v>
      </c>
      <c r="N17" s="16">
        <f>IFERROR(__xludf.DUMMYFUNCTION("""COMPUTED_VALUE"""),0.192708333333333)</f>
        <v>0.1927083333</v>
      </c>
      <c r="O17" s="16">
        <f>IFERROR(__xludf.DUMMYFUNCTION("""COMPUTED_VALUE"""),0.16)</f>
        <v>0.16</v>
      </c>
      <c r="P17" s="16">
        <f>IFERROR(__xludf.DUMMYFUNCTION("""COMPUTED_VALUE"""),0.119402985074626)</f>
        <v>0.1194029851</v>
      </c>
      <c r="Q17" s="16">
        <f>IFERROR(__xludf.DUMMYFUNCTION("""COMPUTED_VALUE"""),0.285714285714285)</f>
        <v>0.2857142857</v>
      </c>
      <c r="R17" s="16">
        <f>IFERROR(__xludf.DUMMYFUNCTION("""COMPUTED_VALUE"""),0.666666666666666)</f>
        <v>0.6666666667</v>
      </c>
      <c r="S17" s="16">
        <f>IFERROR(__xludf.DUMMYFUNCTION("""COMPUTED_VALUE"""),0.0)</f>
        <v>0</v>
      </c>
      <c r="T17" s="16">
        <f>IFERROR(__xludf.DUMMYFUNCTION("""COMPUTED_VALUE"""),0.0)</f>
        <v>0</v>
      </c>
      <c r="U17" s="16">
        <f>IFERROR(__xludf.DUMMYFUNCTION("""COMPUTED_VALUE"""),0.0)</f>
        <v>0</v>
      </c>
      <c r="V17" s="16">
        <f>IFERROR(__xludf.DUMMYFUNCTION("""COMPUTED_VALUE"""),0.0)</f>
        <v>0</v>
      </c>
      <c r="W17" s="16">
        <f>IFERROR(__xludf.DUMMYFUNCTION("""COMPUTED_VALUE"""),0.0)</f>
        <v>0</v>
      </c>
      <c r="X17" s="16">
        <f>IFERROR(__xludf.DUMMYFUNCTION("""COMPUTED_VALUE"""),0.0)</f>
        <v>0</v>
      </c>
      <c r="Y17" s="16">
        <f>IFERROR(__xludf.DUMMYFUNCTION("""COMPUTED_VALUE"""),0.0)</f>
        <v>0</v>
      </c>
      <c r="Z17" s="16">
        <f>IFERROR(__xludf.DUMMYFUNCTION("""COMPUTED_VALUE"""),0.0)</f>
        <v>0</v>
      </c>
      <c r="AA17" s="16">
        <f>IFERROR(__xludf.DUMMYFUNCTION("""COMPUTED_VALUE"""),0.0)</f>
        <v>0</v>
      </c>
      <c r="AB17" s="16">
        <f>IFERROR(__xludf.DUMMYFUNCTION("""COMPUTED_VALUE"""),0.0)</f>
        <v>0</v>
      </c>
      <c r="AC17" s="16">
        <f>IFERROR(__xludf.DUMMYFUNCTION("""COMPUTED_VALUE"""),0.0)</f>
        <v>0</v>
      </c>
      <c r="AD17" s="16">
        <f>IFERROR(__xludf.DUMMYFUNCTION("""COMPUTED_VALUE"""),0.0)</f>
        <v>0</v>
      </c>
      <c r="AE17" s="16">
        <f>IFERROR(__xludf.DUMMYFUNCTION("""COMPUTED_VALUE"""),0.0)</f>
        <v>0</v>
      </c>
      <c r="AF17" s="16">
        <f>IFERROR(__xludf.DUMMYFUNCTION("""COMPUTED_VALUE"""),0.0)</f>
        <v>0</v>
      </c>
      <c r="AG17" s="16">
        <f>IFERROR(__xludf.DUMMYFUNCTION("""COMPUTED_VALUE"""),0.0)</f>
        <v>0</v>
      </c>
      <c r="AH17" s="16">
        <f>IFERROR(__xludf.DUMMYFUNCTION("""COMPUTED_VALUE"""),0.0)</f>
        <v>0</v>
      </c>
    </row>
    <row r="18">
      <c r="A18" s="16" t="str">
        <f>IFERROR(__xludf.DUMMYFUNCTION("""COMPUTED_VALUE"""),"0f3d56fd651e66eb62e990fd31d006aa80eaab5f")</f>
        <v>0f3d56fd651e66eb62e990fd31d006aa80eaab5f</v>
      </c>
      <c r="B18" s="16" t="str">
        <f>IFERROR(__xludf.DUMMYFUNCTION("""COMPUTED_VALUE"""),"The Forsaken Tamer")</f>
        <v>The Forsaken Tamer</v>
      </c>
      <c r="C18" s="16" t="str">
        <f>IFERROR(__xludf.DUMMYFUNCTION("""COMPUTED_VALUE"""),"System and Superpower")</f>
        <v>System and Superpower</v>
      </c>
      <c r="D18" s="16">
        <f>IFERROR(__xludf.DUMMYFUNCTION("""COMPUTED_VALUE"""),1417.0)</f>
        <v>1417</v>
      </c>
      <c r="E18" s="16">
        <f>IFERROR(__xludf.DUMMYFUNCTION("""COMPUTED_VALUE"""),0.990119971771347)</f>
        <v>0.9901199718</v>
      </c>
      <c r="F18" s="16">
        <f>IFERROR(__xludf.DUMMYFUNCTION("""COMPUTED_VALUE"""),0.65349329569513)</f>
        <v>0.6534932957</v>
      </c>
      <c r="G18" s="16">
        <f>IFERROR(__xludf.DUMMYFUNCTION("""COMPUTED_VALUE"""),0.597035991531404)</f>
        <v>0.5970359915</v>
      </c>
      <c r="H18" s="16">
        <f>IFERROR(__xludf.DUMMYFUNCTION("""COMPUTED_VALUE"""),0.499293785310734)</f>
        <v>0.4992937853</v>
      </c>
      <c r="I18" s="16">
        <f>IFERROR(__xludf.DUMMYFUNCTION("""COMPUTED_VALUE"""),0.439630681818181)</f>
        <v>0.4396306818</v>
      </c>
      <c r="J18" s="16">
        <f>IFERROR(__xludf.DUMMYFUNCTION("""COMPUTED_VALUE"""),0.353846153846153)</f>
        <v>0.3538461538</v>
      </c>
      <c r="K18" s="16">
        <f>IFERROR(__xludf.DUMMYFUNCTION("""COMPUTED_VALUE"""),0.310030395136778)</f>
        <v>0.3100303951</v>
      </c>
      <c r="L18" s="16">
        <f>IFERROR(__xludf.DUMMYFUNCTION("""COMPUTED_VALUE"""),0.280228758169934)</f>
        <v>0.2802287582</v>
      </c>
      <c r="M18" s="16">
        <f>IFERROR(__xludf.DUMMYFUNCTION("""COMPUTED_VALUE"""),0.262734584450402)</f>
        <v>0.2627345845</v>
      </c>
      <c r="N18" s="16">
        <f>IFERROR(__xludf.DUMMYFUNCTION("""COMPUTED_VALUE"""),0.241550695825049)</f>
        <v>0.2415506958</v>
      </c>
      <c r="O18" s="16">
        <f>IFERROR(__xludf.DUMMYFUNCTION("""COMPUTED_VALUE"""),0.172642762284196)</f>
        <v>0.1726427623</v>
      </c>
      <c r="P18" s="16">
        <f>IFERROR(__xludf.DUMMYFUNCTION("""COMPUTED_VALUE"""),0.119079837618403)</f>
        <v>0.1190798376</v>
      </c>
      <c r="Q18" s="16">
        <f>IFERROR(__xludf.DUMMYFUNCTION("""COMPUTED_VALUE"""),0.0387596899224806)</f>
        <v>0.03875968992</v>
      </c>
      <c r="R18" s="16">
        <f>IFERROR(__xludf.DUMMYFUNCTION("""COMPUTED_VALUE"""),0.0265486725663716)</f>
        <v>0.02654867257</v>
      </c>
      <c r="S18" s="16">
        <f>IFERROR(__xludf.DUMMYFUNCTION("""COMPUTED_VALUE"""),0.0)</f>
        <v>0</v>
      </c>
      <c r="T18" s="16">
        <f>IFERROR(__xludf.DUMMYFUNCTION("""COMPUTED_VALUE"""),0.0)</f>
        <v>0</v>
      </c>
      <c r="U18" s="16">
        <f>IFERROR(__xludf.DUMMYFUNCTION("""COMPUTED_VALUE"""),0.0)</f>
        <v>0</v>
      </c>
      <c r="V18" s="16">
        <f>IFERROR(__xludf.DUMMYFUNCTION("""COMPUTED_VALUE"""),0.0)</f>
        <v>0</v>
      </c>
      <c r="W18" s="16">
        <f>IFERROR(__xludf.DUMMYFUNCTION("""COMPUTED_VALUE"""),0.0)</f>
        <v>0</v>
      </c>
      <c r="X18" s="16">
        <f>IFERROR(__xludf.DUMMYFUNCTION("""COMPUTED_VALUE"""),0.0)</f>
        <v>0</v>
      </c>
      <c r="Y18" s="16">
        <f>IFERROR(__xludf.DUMMYFUNCTION("""COMPUTED_VALUE"""),0.0)</f>
        <v>0</v>
      </c>
      <c r="Z18" s="16">
        <f>IFERROR(__xludf.DUMMYFUNCTION("""COMPUTED_VALUE"""),0.0)</f>
        <v>0</v>
      </c>
      <c r="AA18" s="16">
        <f>IFERROR(__xludf.DUMMYFUNCTION("""COMPUTED_VALUE"""),0.0)</f>
        <v>0</v>
      </c>
      <c r="AB18" s="16">
        <f>IFERROR(__xludf.DUMMYFUNCTION("""COMPUTED_VALUE"""),0.0)</f>
        <v>0</v>
      </c>
      <c r="AC18" s="16">
        <f>IFERROR(__xludf.DUMMYFUNCTION("""COMPUTED_VALUE"""),0.0)</f>
        <v>0</v>
      </c>
      <c r="AD18" s="16">
        <f>IFERROR(__xludf.DUMMYFUNCTION("""COMPUTED_VALUE"""),0.0)</f>
        <v>0</v>
      </c>
      <c r="AE18" s="16">
        <f>IFERROR(__xludf.DUMMYFUNCTION("""COMPUTED_VALUE"""),0.0)</f>
        <v>0</v>
      </c>
      <c r="AF18" s="16">
        <f>IFERROR(__xludf.DUMMYFUNCTION("""COMPUTED_VALUE"""),0.0)</f>
        <v>0</v>
      </c>
      <c r="AG18" s="16">
        <f>IFERROR(__xludf.DUMMYFUNCTION("""COMPUTED_VALUE"""),0.0)</f>
        <v>0</v>
      </c>
      <c r="AH18" s="16">
        <f>IFERROR(__xludf.DUMMYFUNCTION("""COMPUTED_VALUE"""),0.0)</f>
        <v>0</v>
      </c>
    </row>
    <row r="19">
      <c r="A19" s="16" t="str">
        <f>IFERROR(__xludf.DUMMYFUNCTION("""COMPUTED_VALUE"""),"0fadc6da7c4d814463023dc7ffd8be44c68fa457")</f>
        <v>0fadc6da7c4d814463023dc7ffd8be44c68fa457</v>
      </c>
      <c r="B19" s="16" t="str">
        <f>IFERROR(__xludf.DUMMYFUNCTION("""COMPUTED_VALUE"""),"From Ceo to Young Lord")</f>
        <v>From Ceo to Young Lord</v>
      </c>
      <c r="C19" s="16" t="str">
        <f>IFERROR(__xludf.DUMMYFUNCTION("""COMPUTED_VALUE"""),"Fantasy")</f>
        <v>Fantasy</v>
      </c>
      <c r="D19" s="16">
        <f>IFERROR(__xludf.DUMMYFUNCTION("""COMPUTED_VALUE"""),1050.0)</f>
        <v>1050</v>
      </c>
      <c r="E19" s="16">
        <f>IFERROR(__xludf.DUMMYFUNCTION("""COMPUTED_VALUE"""),0.955238095238095)</f>
        <v>0.9552380952</v>
      </c>
      <c r="F19" s="16">
        <f>IFERROR(__xludf.DUMMYFUNCTION("""COMPUTED_VALUE"""),0.688571428571428)</f>
        <v>0.6885714286</v>
      </c>
      <c r="G19" s="16">
        <f>IFERROR(__xludf.DUMMYFUNCTION("""COMPUTED_VALUE"""),0.648571428571428)</f>
        <v>0.6485714286</v>
      </c>
      <c r="H19" s="16">
        <f>IFERROR(__xludf.DUMMYFUNCTION("""COMPUTED_VALUE"""),0.646666666666666)</f>
        <v>0.6466666667</v>
      </c>
      <c r="I19" s="16">
        <f>IFERROR(__xludf.DUMMYFUNCTION("""COMPUTED_VALUE"""),0.609151572926596)</f>
        <v>0.6091515729</v>
      </c>
      <c r="J19" s="16">
        <f>IFERROR(__xludf.DUMMYFUNCTION("""COMPUTED_VALUE"""),0.577841451766953)</f>
        <v>0.5778414518</v>
      </c>
      <c r="K19" s="16">
        <f>IFERROR(__xludf.DUMMYFUNCTION("""COMPUTED_VALUE"""),0.567335243553008)</f>
        <v>0.5673352436</v>
      </c>
      <c r="L19" s="16">
        <f>IFERROR(__xludf.DUMMYFUNCTION("""COMPUTED_VALUE"""),0.5377990430622)</f>
        <v>0.5377990431</v>
      </c>
      <c r="M19" s="16">
        <f>IFERROR(__xludf.DUMMYFUNCTION("""COMPUTED_VALUE"""),0.522574447646493)</f>
        <v>0.5225744476</v>
      </c>
      <c r="N19" s="16">
        <f>IFERROR(__xludf.DUMMYFUNCTION("""COMPUTED_VALUE"""),0.512030798845043)</f>
        <v>0.5120307988</v>
      </c>
      <c r="O19" s="16">
        <f>IFERROR(__xludf.DUMMYFUNCTION("""COMPUTED_VALUE"""),0.458617332035053)</f>
        <v>0.458617332</v>
      </c>
      <c r="P19" s="16">
        <f>IFERROR(__xludf.DUMMYFUNCTION("""COMPUTED_VALUE"""),0.31694560669456)</f>
        <v>0.3169456067</v>
      </c>
      <c r="Q19" s="16">
        <f>IFERROR(__xludf.DUMMYFUNCTION("""COMPUTED_VALUE"""),0.229607250755287)</f>
        <v>0.2296072508</v>
      </c>
      <c r="R19" s="16">
        <f>IFERROR(__xludf.DUMMYFUNCTION("""COMPUTED_VALUE"""),0.163793103448275)</f>
        <v>0.1637931034</v>
      </c>
      <c r="S19" s="16">
        <f>IFERROR(__xludf.DUMMYFUNCTION("""COMPUTED_VALUE"""),0.0833333333333333)</f>
        <v>0.08333333333</v>
      </c>
      <c r="T19" s="16">
        <f>IFERROR(__xludf.DUMMYFUNCTION("""COMPUTED_VALUE"""),0.0)</f>
        <v>0</v>
      </c>
      <c r="U19" s="16">
        <f>IFERROR(__xludf.DUMMYFUNCTION("""COMPUTED_VALUE"""),0.0)</f>
        <v>0</v>
      </c>
      <c r="V19" s="16">
        <f>IFERROR(__xludf.DUMMYFUNCTION("""COMPUTED_VALUE"""),0.0)</f>
        <v>0</v>
      </c>
      <c r="W19" s="16">
        <f>IFERROR(__xludf.DUMMYFUNCTION("""COMPUTED_VALUE"""),0.0)</f>
        <v>0</v>
      </c>
      <c r="X19" s="16">
        <f>IFERROR(__xludf.DUMMYFUNCTION("""COMPUTED_VALUE"""),0.0)</f>
        <v>0</v>
      </c>
      <c r="Y19" s="16">
        <f>IFERROR(__xludf.DUMMYFUNCTION("""COMPUTED_VALUE"""),0.0)</f>
        <v>0</v>
      </c>
      <c r="Z19" s="16">
        <f>IFERROR(__xludf.DUMMYFUNCTION("""COMPUTED_VALUE"""),0.0)</f>
        <v>0</v>
      </c>
      <c r="AA19" s="16">
        <f>IFERROR(__xludf.DUMMYFUNCTION("""COMPUTED_VALUE"""),0.0)</f>
        <v>0</v>
      </c>
      <c r="AB19" s="16">
        <f>IFERROR(__xludf.DUMMYFUNCTION("""COMPUTED_VALUE"""),0.0)</f>
        <v>0</v>
      </c>
      <c r="AC19" s="16">
        <f>IFERROR(__xludf.DUMMYFUNCTION("""COMPUTED_VALUE"""),0.0)</f>
        <v>0</v>
      </c>
      <c r="AD19" s="16">
        <f>IFERROR(__xludf.DUMMYFUNCTION("""COMPUTED_VALUE"""),0.0)</f>
        <v>0</v>
      </c>
      <c r="AE19" s="16">
        <f>IFERROR(__xludf.DUMMYFUNCTION("""COMPUTED_VALUE"""),0.0)</f>
        <v>0</v>
      </c>
      <c r="AF19" s="16">
        <f>IFERROR(__xludf.DUMMYFUNCTION("""COMPUTED_VALUE"""),0.0)</f>
        <v>0</v>
      </c>
      <c r="AG19" s="16">
        <f>IFERROR(__xludf.DUMMYFUNCTION("""COMPUTED_VALUE"""),0.0)</f>
        <v>0</v>
      </c>
      <c r="AH19" s="16">
        <f>IFERROR(__xludf.DUMMYFUNCTION("""COMPUTED_VALUE"""),0.0)</f>
        <v>0</v>
      </c>
    </row>
    <row r="20">
      <c r="A20" s="16" t="str">
        <f>IFERROR(__xludf.DUMMYFUNCTION("""COMPUTED_VALUE"""),"114fed9f0540f90ccc58d03a383c7c69260baeae")</f>
        <v>114fed9f0540f90ccc58d03a383c7c69260baeae</v>
      </c>
      <c r="B20" s="16" t="str">
        <f>IFERROR(__xludf.DUMMYFUNCTION("""COMPUTED_VALUE"""),"Mother's Murder &amp; Secrets")</f>
        <v>Mother's Murder &amp; Secrets</v>
      </c>
      <c r="C20" s="16" t="str">
        <f>IFERROR(__xludf.DUMMYFUNCTION("""COMPUTED_VALUE"""),"Suspense or Thriller")</f>
        <v>Suspense or Thriller</v>
      </c>
      <c r="D20" s="16">
        <f>IFERROR(__xludf.DUMMYFUNCTION("""COMPUTED_VALUE"""),328.0)</f>
        <v>328</v>
      </c>
      <c r="E20" s="16">
        <f>IFERROR(__xludf.DUMMYFUNCTION("""COMPUTED_VALUE"""),0.98780487804878)</f>
        <v>0.987804878</v>
      </c>
      <c r="F20" s="16">
        <f>IFERROR(__xludf.DUMMYFUNCTION("""COMPUTED_VALUE"""),0.36890243902439)</f>
        <v>0.368902439</v>
      </c>
      <c r="G20" s="16">
        <f>IFERROR(__xludf.DUMMYFUNCTION("""COMPUTED_VALUE"""),0.295731707317073)</f>
        <v>0.2957317073</v>
      </c>
      <c r="H20" s="16">
        <f>IFERROR(__xludf.DUMMYFUNCTION("""COMPUTED_VALUE"""),0.262195121951219)</f>
        <v>0.262195122</v>
      </c>
      <c r="I20" s="16">
        <f>IFERROR(__xludf.DUMMYFUNCTION("""COMPUTED_VALUE"""),0.216463414634146)</f>
        <v>0.2164634146</v>
      </c>
      <c r="J20" s="16">
        <f>IFERROR(__xludf.DUMMYFUNCTION("""COMPUTED_VALUE"""),0.185975609756097)</f>
        <v>0.1859756098</v>
      </c>
      <c r="K20" s="16">
        <f>IFERROR(__xludf.DUMMYFUNCTION("""COMPUTED_VALUE"""),0.149390243902439)</f>
        <v>0.1493902439</v>
      </c>
      <c r="L20" s="16">
        <f>IFERROR(__xludf.DUMMYFUNCTION("""COMPUTED_VALUE"""),0.143292682926829)</f>
        <v>0.1432926829</v>
      </c>
      <c r="M20" s="16">
        <f>IFERROR(__xludf.DUMMYFUNCTION("""COMPUTED_VALUE"""),0.131097560975609)</f>
        <v>0.131097561</v>
      </c>
      <c r="N20" s="16">
        <f>IFERROR(__xludf.DUMMYFUNCTION("""COMPUTED_VALUE"""),0.131097560975609)</f>
        <v>0.131097561</v>
      </c>
      <c r="O20" s="16">
        <f>IFERROR(__xludf.DUMMYFUNCTION("""COMPUTED_VALUE"""),0.0877742946708464)</f>
        <v>0.08777429467</v>
      </c>
      <c r="P20" s="16">
        <f>IFERROR(__xludf.DUMMYFUNCTION("""COMPUTED_VALUE"""),0.0517799352750809)</f>
        <v>0.05177993528</v>
      </c>
      <c r="Q20" s="16">
        <f>IFERROR(__xludf.DUMMYFUNCTION("""COMPUTED_VALUE"""),0.0456026058631921)</f>
        <v>0.04560260586</v>
      </c>
      <c r="R20" s="16">
        <f>IFERROR(__xludf.DUMMYFUNCTION("""COMPUTED_VALUE"""),0.0372881355932203)</f>
        <v>0.03728813559</v>
      </c>
      <c r="S20" s="16">
        <f>IFERROR(__xludf.DUMMYFUNCTION("""COMPUTED_VALUE"""),0.0293040293040293)</f>
        <v>0.0293040293</v>
      </c>
      <c r="T20" s="16">
        <f>IFERROR(__xludf.DUMMYFUNCTION("""COMPUTED_VALUE"""),0.017094017094017)</f>
        <v>0.01709401709</v>
      </c>
      <c r="U20" s="16">
        <f>IFERROR(__xludf.DUMMYFUNCTION("""COMPUTED_VALUE"""),0.0128205128205128)</f>
        <v>0.01282051282</v>
      </c>
      <c r="V20" s="16">
        <f>IFERROR(__xludf.DUMMYFUNCTION("""COMPUTED_VALUE"""),0.037037037037037)</f>
        <v>0.03703703704</v>
      </c>
      <c r="W20" s="16">
        <f>IFERROR(__xludf.DUMMYFUNCTION("""COMPUTED_VALUE"""),0.0)</f>
        <v>0</v>
      </c>
      <c r="X20" s="16">
        <f>IFERROR(__xludf.DUMMYFUNCTION("""COMPUTED_VALUE"""),0.0)</f>
        <v>0</v>
      </c>
      <c r="Y20" s="16">
        <f>IFERROR(__xludf.DUMMYFUNCTION("""COMPUTED_VALUE"""),0.0)</f>
        <v>0</v>
      </c>
      <c r="Z20" s="16">
        <f>IFERROR(__xludf.DUMMYFUNCTION("""COMPUTED_VALUE"""),0.0)</f>
        <v>0</v>
      </c>
      <c r="AA20" s="16">
        <f>IFERROR(__xludf.DUMMYFUNCTION("""COMPUTED_VALUE"""),0.0)</f>
        <v>0</v>
      </c>
      <c r="AB20" s="16">
        <f>IFERROR(__xludf.DUMMYFUNCTION("""COMPUTED_VALUE"""),0.0)</f>
        <v>0</v>
      </c>
      <c r="AC20" s="16">
        <f>IFERROR(__xludf.DUMMYFUNCTION("""COMPUTED_VALUE"""),0.0)</f>
        <v>0</v>
      </c>
      <c r="AD20" s="16">
        <f>IFERROR(__xludf.DUMMYFUNCTION("""COMPUTED_VALUE"""),0.0)</f>
        <v>0</v>
      </c>
      <c r="AE20" s="16">
        <f>IFERROR(__xludf.DUMMYFUNCTION("""COMPUTED_VALUE"""),0.0)</f>
        <v>0</v>
      </c>
      <c r="AF20" s="16">
        <f>IFERROR(__xludf.DUMMYFUNCTION("""COMPUTED_VALUE"""),0.0)</f>
        <v>0</v>
      </c>
      <c r="AG20" s="16">
        <f>IFERROR(__xludf.DUMMYFUNCTION("""COMPUTED_VALUE"""),0.0)</f>
        <v>0</v>
      </c>
      <c r="AH20" s="16">
        <f>IFERROR(__xludf.DUMMYFUNCTION("""COMPUTED_VALUE"""),0.0)</f>
        <v>0</v>
      </c>
    </row>
    <row r="21">
      <c r="A21" s="16" t="str">
        <f>IFERROR(__xludf.DUMMYFUNCTION("""COMPUTED_VALUE"""),"123964565c4c79c7f1a3737171a0125020300913")</f>
        <v>123964565c4c79c7f1a3737171a0125020300913</v>
      </c>
      <c r="B21" s="16" t="str">
        <f>IFERROR(__xludf.DUMMYFUNCTION("""COMPUTED_VALUE"""),"My Alien Boxing System")</f>
        <v>My Alien Boxing System</v>
      </c>
      <c r="C21" s="16" t="str">
        <f>IFERROR(__xludf.DUMMYFUNCTION("""COMPUTED_VALUE"""),"Fantasy")</f>
        <v>Fantasy</v>
      </c>
      <c r="D21" s="16">
        <f>IFERROR(__xludf.DUMMYFUNCTION("""COMPUTED_VALUE"""),747.0)</f>
        <v>747</v>
      </c>
      <c r="E21" s="16">
        <f>IFERROR(__xludf.DUMMYFUNCTION("""COMPUTED_VALUE"""),0.979919678714859)</f>
        <v>0.9799196787</v>
      </c>
      <c r="F21" s="16">
        <f>IFERROR(__xludf.DUMMYFUNCTION("""COMPUTED_VALUE"""),0.633199464524765)</f>
        <v>0.6331994645</v>
      </c>
      <c r="G21" s="16">
        <f>IFERROR(__xludf.DUMMYFUNCTION("""COMPUTED_VALUE"""),0.597054886211512)</f>
        <v>0.5970548862</v>
      </c>
      <c r="H21" s="16">
        <f>IFERROR(__xludf.DUMMYFUNCTION("""COMPUTED_VALUE"""),0.532797858099062)</f>
        <v>0.5327978581</v>
      </c>
      <c r="I21" s="16">
        <f>IFERROR(__xludf.DUMMYFUNCTION("""COMPUTED_VALUE"""),0.492637215528781)</f>
        <v>0.4926372155</v>
      </c>
      <c r="J21" s="16">
        <f>IFERROR(__xludf.DUMMYFUNCTION("""COMPUTED_VALUE"""),0.443105756358768)</f>
        <v>0.4431057564</v>
      </c>
      <c r="K21" s="16">
        <f>IFERROR(__xludf.DUMMYFUNCTION("""COMPUTED_VALUE"""),0.396782841823056)</f>
        <v>0.3967828418</v>
      </c>
      <c r="L21" s="16">
        <f>IFERROR(__xludf.DUMMYFUNCTION("""COMPUTED_VALUE"""),0.397574123989218)</f>
        <v>0.397574124</v>
      </c>
      <c r="M21" s="16">
        <f>IFERROR(__xludf.DUMMYFUNCTION("""COMPUTED_VALUE"""),0.373983739837398)</f>
        <v>0.3739837398</v>
      </c>
      <c r="N21" s="16">
        <f>IFERROR(__xludf.DUMMYFUNCTION("""COMPUTED_VALUE"""),0.331514324693042)</f>
        <v>0.3315143247</v>
      </c>
      <c r="O21" s="16">
        <f>IFERROR(__xludf.DUMMYFUNCTION("""COMPUTED_VALUE"""),0.267313019390581)</f>
        <v>0.2673130194</v>
      </c>
      <c r="P21" s="16">
        <f>IFERROR(__xludf.DUMMYFUNCTION("""COMPUTED_VALUE"""),0.180597014925373)</f>
        <v>0.1805970149</v>
      </c>
      <c r="Q21" s="16">
        <f>IFERROR(__xludf.DUMMYFUNCTION("""COMPUTED_VALUE"""),0.0917602996254681)</f>
        <v>0.09176029963</v>
      </c>
      <c r="R21" s="16">
        <f>IFERROR(__xludf.DUMMYFUNCTION("""COMPUTED_VALUE"""),0.0)</f>
        <v>0</v>
      </c>
      <c r="S21" s="16">
        <f>IFERROR(__xludf.DUMMYFUNCTION("""COMPUTED_VALUE"""),0.0)</f>
        <v>0</v>
      </c>
      <c r="T21" s="16">
        <f>IFERROR(__xludf.DUMMYFUNCTION("""COMPUTED_VALUE"""),0.0)</f>
        <v>0</v>
      </c>
      <c r="U21" s="16">
        <f>IFERROR(__xludf.DUMMYFUNCTION("""COMPUTED_VALUE"""),0.0)</f>
        <v>0</v>
      </c>
      <c r="V21" s="16">
        <f>IFERROR(__xludf.DUMMYFUNCTION("""COMPUTED_VALUE"""),0.0)</f>
        <v>0</v>
      </c>
      <c r="W21" s="16">
        <f>IFERROR(__xludf.DUMMYFUNCTION("""COMPUTED_VALUE"""),0.0)</f>
        <v>0</v>
      </c>
      <c r="X21" s="16">
        <f>IFERROR(__xludf.DUMMYFUNCTION("""COMPUTED_VALUE"""),0.0)</f>
        <v>0</v>
      </c>
      <c r="Y21" s="16">
        <f>IFERROR(__xludf.DUMMYFUNCTION("""COMPUTED_VALUE"""),0.0)</f>
        <v>0</v>
      </c>
      <c r="Z21" s="16">
        <f>IFERROR(__xludf.DUMMYFUNCTION("""COMPUTED_VALUE"""),0.0)</f>
        <v>0</v>
      </c>
      <c r="AA21" s="16">
        <f>IFERROR(__xludf.DUMMYFUNCTION("""COMPUTED_VALUE"""),0.0)</f>
        <v>0</v>
      </c>
      <c r="AB21" s="16">
        <f>IFERROR(__xludf.DUMMYFUNCTION("""COMPUTED_VALUE"""),0.0)</f>
        <v>0</v>
      </c>
      <c r="AC21" s="16">
        <f>IFERROR(__xludf.DUMMYFUNCTION("""COMPUTED_VALUE"""),0.0)</f>
        <v>0</v>
      </c>
      <c r="AD21" s="16">
        <f>IFERROR(__xludf.DUMMYFUNCTION("""COMPUTED_VALUE"""),0.0)</f>
        <v>0</v>
      </c>
      <c r="AE21" s="16">
        <f>IFERROR(__xludf.DUMMYFUNCTION("""COMPUTED_VALUE"""),0.0)</f>
        <v>0</v>
      </c>
      <c r="AF21" s="16">
        <f>IFERROR(__xludf.DUMMYFUNCTION("""COMPUTED_VALUE"""),0.0)</f>
        <v>0</v>
      </c>
      <c r="AG21" s="16">
        <f>IFERROR(__xludf.DUMMYFUNCTION("""COMPUTED_VALUE"""),0.0)</f>
        <v>0</v>
      </c>
      <c r="AH21" s="16">
        <f>IFERROR(__xludf.DUMMYFUNCTION("""COMPUTED_VALUE"""),0.0)</f>
        <v>0</v>
      </c>
    </row>
    <row r="22">
      <c r="A22" s="16" t="str">
        <f>IFERROR(__xludf.DUMMYFUNCTION("""COMPUTED_VALUE"""),"158669d764d53a995f111683b8700642d7c4847c")</f>
        <v>158669d764d53a995f111683b8700642d7c4847c</v>
      </c>
      <c r="B22" s="16" t="str">
        <f>IFERROR(__xludf.DUMMYFUNCTION("""COMPUTED_VALUE"""),"The Silent Wife Strikes")</f>
        <v>The Silent Wife Strikes</v>
      </c>
      <c r="C22" s="16" t="str">
        <f>IFERROR(__xludf.DUMMYFUNCTION("""COMPUTED_VALUE"""),"Romance")</f>
        <v>Romance</v>
      </c>
      <c r="D22" s="16">
        <f>IFERROR(__xludf.DUMMYFUNCTION("""COMPUTED_VALUE"""),129.0)</f>
        <v>129</v>
      </c>
      <c r="E22" s="16">
        <f>IFERROR(__xludf.DUMMYFUNCTION("""COMPUTED_VALUE"""),0.968992248062015)</f>
        <v>0.9689922481</v>
      </c>
      <c r="F22" s="16">
        <f>IFERROR(__xludf.DUMMYFUNCTION("""COMPUTED_VALUE"""),0.604651162790697)</f>
        <v>0.6046511628</v>
      </c>
      <c r="G22" s="16">
        <f>IFERROR(__xludf.DUMMYFUNCTION("""COMPUTED_VALUE"""),0.550387596899224)</f>
        <v>0.5503875969</v>
      </c>
      <c r="H22" s="16">
        <f>IFERROR(__xludf.DUMMYFUNCTION("""COMPUTED_VALUE"""),0.465116279069767)</f>
        <v>0.4651162791</v>
      </c>
      <c r="I22" s="16">
        <f>IFERROR(__xludf.DUMMYFUNCTION("""COMPUTED_VALUE"""),0.387596899224806)</f>
        <v>0.3875968992</v>
      </c>
      <c r="J22" s="16">
        <f>IFERROR(__xludf.DUMMYFUNCTION("""COMPUTED_VALUE"""),0.37984496124031)</f>
        <v>0.3798449612</v>
      </c>
      <c r="K22" s="16">
        <f>IFERROR(__xludf.DUMMYFUNCTION("""COMPUTED_VALUE"""),0.3515625)</f>
        <v>0.3515625</v>
      </c>
      <c r="L22" s="16">
        <f>IFERROR(__xludf.DUMMYFUNCTION("""COMPUTED_VALUE"""),0.296875)</f>
        <v>0.296875</v>
      </c>
      <c r="M22" s="16">
        <f>IFERROR(__xludf.DUMMYFUNCTION("""COMPUTED_VALUE"""),0.3203125)</f>
        <v>0.3203125</v>
      </c>
      <c r="N22" s="16">
        <f>IFERROR(__xludf.DUMMYFUNCTION("""COMPUTED_VALUE"""),0.28125)</f>
        <v>0.28125</v>
      </c>
      <c r="O22" s="16">
        <f>IFERROR(__xludf.DUMMYFUNCTION("""COMPUTED_VALUE"""),0.273584905660377)</f>
        <v>0.2735849057</v>
      </c>
      <c r="P22" s="16">
        <f>IFERROR(__xludf.DUMMYFUNCTION("""COMPUTED_VALUE"""),0.171428571428571)</f>
        <v>0.1714285714</v>
      </c>
      <c r="Q22" s="16">
        <f>IFERROR(__xludf.DUMMYFUNCTION("""COMPUTED_VALUE"""),0.170212765957446)</f>
        <v>0.170212766</v>
      </c>
      <c r="R22" s="16">
        <f>IFERROR(__xludf.DUMMYFUNCTION("""COMPUTED_VALUE"""),0.025)</f>
        <v>0.025</v>
      </c>
      <c r="S22" s="16">
        <f>IFERROR(__xludf.DUMMYFUNCTION("""COMPUTED_VALUE"""),0.0)</f>
        <v>0</v>
      </c>
      <c r="T22" s="16">
        <f>IFERROR(__xludf.DUMMYFUNCTION("""COMPUTED_VALUE"""),0.0)</f>
        <v>0</v>
      </c>
      <c r="U22" s="16">
        <f>IFERROR(__xludf.DUMMYFUNCTION("""COMPUTED_VALUE"""),0.0)</f>
        <v>0</v>
      </c>
      <c r="V22" s="16">
        <f>IFERROR(__xludf.DUMMYFUNCTION("""COMPUTED_VALUE"""),0.0)</f>
        <v>0</v>
      </c>
      <c r="W22" s="16">
        <f>IFERROR(__xludf.DUMMYFUNCTION("""COMPUTED_VALUE"""),0.0)</f>
        <v>0</v>
      </c>
      <c r="X22" s="16">
        <f>IFERROR(__xludf.DUMMYFUNCTION("""COMPUTED_VALUE"""),0.0)</f>
        <v>0</v>
      </c>
      <c r="Y22" s="16">
        <f>IFERROR(__xludf.DUMMYFUNCTION("""COMPUTED_VALUE"""),0.0)</f>
        <v>0</v>
      </c>
      <c r="Z22" s="16">
        <f>IFERROR(__xludf.DUMMYFUNCTION("""COMPUTED_VALUE"""),0.0)</f>
        <v>0</v>
      </c>
      <c r="AA22" s="16">
        <f>IFERROR(__xludf.DUMMYFUNCTION("""COMPUTED_VALUE"""),0.0)</f>
        <v>0</v>
      </c>
      <c r="AB22" s="16">
        <f>IFERROR(__xludf.DUMMYFUNCTION("""COMPUTED_VALUE"""),0.0)</f>
        <v>0</v>
      </c>
      <c r="AC22" s="16">
        <f>IFERROR(__xludf.DUMMYFUNCTION("""COMPUTED_VALUE"""),0.0)</f>
        <v>0</v>
      </c>
      <c r="AD22" s="16">
        <f>IFERROR(__xludf.DUMMYFUNCTION("""COMPUTED_VALUE"""),0.0)</f>
        <v>0</v>
      </c>
      <c r="AE22" s="16">
        <f>IFERROR(__xludf.DUMMYFUNCTION("""COMPUTED_VALUE"""),0.0)</f>
        <v>0</v>
      </c>
      <c r="AF22" s="16">
        <f>IFERROR(__xludf.DUMMYFUNCTION("""COMPUTED_VALUE"""),0.0)</f>
        <v>0</v>
      </c>
      <c r="AG22" s="16">
        <f>IFERROR(__xludf.DUMMYFUNCTION("""COMPUTED_VALUE"""),0.0)</f>
        <v>0</v>
      </c>
      <c r="AH22" s="16">
        <f>IFERROR(__xludf.DUMMYFUNCTION("""COMPUTED_VALUE"""),0.0)</f>
        <v>0</v>
      </c>
    </row>
    <row r="23">
      <c r="A23" s="16" t="str">
        <f>IFERROR(__xludf.DUMMYFUNCTION("""COMPUTED_VALUE"""),"15d562c8522444b34fd8ab70e87d9d92f8b0e523")</f>
        <v>15d562c8522444b34fd8ab70e87d9d92f8b0e523</v>
      </c>
      <c r="B23" s="16" t="str">
        <f>IFERROR(__xludf.DUMMYFUNCTION("""COMPUTED_VALUE"""),"Her Second Awakening")</f>
        <v>Her Second Awakening</v>
      </c>
      <c r="C23" s="16" t="str">
        <f>IFERROR(__xludf.DUMMYFUNCTION("""COMPUTED_VALUE"""),"Fantasy")</f>
        <v>Fantasy</v>
      </c>
      <c r="D23" s="16">
        <f>IFERROR(__xludf.DUMMYFUNCTION("""COMPUTED_VALUE"""),25.0)</f>
        <v>25</v>
      </c>
      <c r="E23" s="16">
        <f>IFERROR(__xludf.DUMMYFUNCTION("""COMPUTED_VALUE"""),1.0)</f>
        <v>1</v>
      </c>
      <c r="F23" s="16">
        <f>IFERROR(__xludf.DUMMYFUNCTION("""COMPUTED_VALUE"""),0.6)</f>
        <v>0.6</v>
      </c>
      <c r="G23" s="16">
        <f>IFERROR(__xludf.DUMMYFUNCTION("""COMPUTED_VALUE"""),0.48)</f>
        <v>0.48</v>
      </c>
      <c r="H23" s="16">
        <f>IFERROR(__xludf.DUMMYFUNCTION("""COMPUTED_VALUE"""),0.4)</f>
        <v>0.4</v>
      </c>
      <c r="I23" s="16">
        <f>IFERROR(__xludf.DUMMYFUNCTION("""COMPUTED_VALUE"""),0.36)</f>
        <v>0.36</v>
      </c>
      <c r="J23" s="16">
        <f>IFERROR(__xludf.DUMMYFUNCTION("""COMPUTED_VALUE"""),0.272727272727272)</f>
        <v>0.2727272727</v>
      </c>
      <c r="K23" s="16">
        <f>IFERROR(__xludf.DUMMYFUNCTION("""COMPUTED_VALUE"""),0.0)</f>
        <v>0</v>
      </c>
      <c r="L23" s="16">
        <f>IFERROR(__xludf.DUMMYFUNCTION("""COMPUTED_VALUE"""),0.0)</f>
        <v>0</v>
      </c>
      <c r="M23" s="16">
        <f>IFERROR(__xludf.DUMMYFUNCTION("""COMPUTED_VALUE"""),0.0)</f>
        <v>0</v>
      </c>
      <c r="N23" s="16">
        <f>IFERROR(__xludf.DUMMYFUNCTION("""COMPUTED_VALUE"""),0.0)</f>
        <v>0</v>
      </c>
      <c r="O23" s="16">
        <f>IFERROR(__xludf.DUMMYFUNCTION("""COMPUTED_VALUE"""),0.0)</f>
        <v>0</v>
      </c>
      <c r="P23" s="16">
        <f>IFERROR(__xludf.DUMMYFUNCTION("""COMPUTED_VALUE"""),0.0)</f>
        <v>0</v>
      </c>
      <c r="Q23" s="16">
        <f>IFERROR(__xludf.DUMMYFUNCTION("""COMPUTED_VALUE"""),0.0)</f>
        <v>0</v>
      </c>
      <c r="R23" s="16">
        <f>IFERROR(__xludf.DUMMYFUNCTION("""COMPUTED_VALUE"""),0.0)</f>
        <v>0</v>
      </c>
      <c r="S23" s="16">
        <f>IFERROR(__xludf.DUMMYFUNCTION("""COMPUTED_VALUE"""),0.0)</f>
        <v>0</v>
      </c>
      <c r="T23" s="16">
        <f>IFERROR(__xludf.DUMMYFUNCTION("""COMPUTED_VALUE"""),0.0)</f>
        <v>0</v>
      </c>
      <c r="U23" s="16">
        <f>IFERROR(__xludf.DUMMYFUNCTION("""COMPUTED_VALUE"""),0.0)</f>
        <v>0</v>
      </c>
      <c r="V23" s="16">
        <f>IFERROR(__xludf.DUMMYFUNCTION("""COMPUTED_VALUE"""),0.0)</f>
        <v>0</v>
      </c>
      <c r="W23" s="16">
        <f>IFERROR(__xludf.DUMMYFUNCTION("""COMPUTED_VALUE"""),0.0)</f>
        <v>0</v>
      </c>
      <c r="X23" s="16">
        <f>IFERROR(__xludf.DUMMYFUNCTION("""COMPUTED_VALUE"""),0.0)</f>
        <v>0</v>
      </c>
      <c r="Y23" s="16">
        <f>IFERROR(__xludf.DUMMYFUNCTION("""COMPUTED_VALUE"""),0.0)</f>
        <v>0</v>
      </c>
      <c r="Z23" s="16">
        <f>IFERROR(__xludf.DUMMYFUNCTION("""COMPUTED_VALUE"""),0.0)</f>
        <v>0</v>
      </c>
      <c r="AA23" s="16">
        <f>IFERROR(__xludf.DUMMYFUNCTION("""COMPUTED_VALUE"""),0.0)</f>
        <v>0</v>
      </c>
      <c r="AB23" s="16">
        <f>IFERROR(__xludf.DUMMYFUNCTION("""COMPUTED_VALUE"""),0.0)</f>
        <v>0</v>
      </c>
      <c r="AC23" s="16">
        <f>IFERROR(__xludf.DUMMYFUNCTION("""COMPUTED_VALUE"""),0.0)</f>
        <v>0</v>
      </c>
      <c r="AD23" s="16">
        <f>IFERROR(__xludf.DUMMYFUNCTION("""COMPUTED_VALUE"""),0.0)</f>
        <v>0</v>
      </c>
      <c r="AE23" s="16">
        <f>IFERROR(__xludf.DUMMYFUNCTION("""COMPUTED_VALUE"""),0.0)</f>
        <v>0</v>
      </c>
      <c r="AF23" s="16">
        <f>IFERROR(__xludf.DUMMYFUNCTION("""COMPUTED_VALUE"""),0.0)</f>
        <v>0</v>
      </c>
      <c r="AG23" s="16">
        <f>IFERROR(__xludf.DUMMYFUNCTION("""COMPUTED_VALUE"""),0.0)</f>
        <v>0</v>
      </c>
      <c r="AH23" s="16">
        <f>IFERROR(__xludf.DUMMYFUNCTION("""COMPUTED_VALUE"""),0.0)</f>
        <v>0</v>
      </c>
    </row>
    <row r="24">
      <c r="A24" s="16" t="str">
        <f>IFERROR(__xludf.DUMMYFUNCTION("""COMPUTED_VALUE"""),"170bf0ee514e18fe892383ebee0f53a0f634136f")</f>
        <v>170bf0ee514e18fe892383ebee0f53a0f634136f</v>
      </c>
      <c r="B24" s="16" t="str">
        <f>IFERROR(__xludf.DUMMYFUNCTION("""COMPUTED_VALUE"""),"Started From the Bottom")</f>
        <v>Started From the Bottom</v>
      </c>
      <c r="C24" s="16" t="str">
        <f>IFERROR(__xludf.DUMMYFUNCTION("""COMPUTED_VALUE"""),"Drama")</f>
        <v>Drama</v>
      </c>
      <c r="D24" s="16">
        <f>IFERROR(__xludf.DUMMYFUNCTION("""COMPUTED_VALUE"""),15.0)</f>
        <v>15</v>
      </c>
      <c r="E24" s="16">
        <f>IFERROR(__xludf.DUMMYFUNCTION("""COMPUTED_VALUE"""),0.933333333333333)</f>
        <v>0.9333333333</v>
      </c>
      <c r="F24" s="16">
        <f>IFERROR(__xludf.DUMMYFUNCTION("""COMPUTED_VALUE"""),0.0)</f>
        <v>0</v>
      </c>
      <c r="G24" s="16">
        <f>IFERROR(__xludf.DUMMYFUNCTION("""COMPUTED_VALUE"""),0.0)</f>
        <v>0</v>
      </c>
      <c r="H24" s="16">
        <f>IFERROR(__xludf.DUMMYFUNCTION("""COMPUTED_VALUE"""),0.0)</f>
        <v>0</v>
      </c>
      <c r="I24" s="16">
        <f>IFERROR(__xludf.DUMMYFUNCTION("""COMPUTED_VALUE"""),0.0)</f>
        <v>0</v>
      </c>
      <c r="J24" s="16">
        <f>IFERROR(__xludf.DUMMYFUNCTION("""COMPUTED_VALUE"""),0.133333333333333)</f>
        <v>0.1333333333</v>
      </c>
      <c r="K24" s="16">
        <f>IFERROR(__xludf.DUMMYFUNCTION("""COMPUTED_VALUE"""),0.0666666666666666)</f>
        <v>0.06666666667</v>
      </c>
      <c r="L24" s="16">
        <f>IFERROR(__xludf.DUMMYFUNCTION("""COMPUTED_VALUE"""),0.0)</f>
        <v>0</v>
      </c>
      <c r="M24" s="16">
        <f>IFERROR(__xludf.DUMMYFUNCTION("""COMPUTED_VALUE"""),0.0)</f>
        <v>0</v>
      </c>
      <c r="N24" s="16">
        <f>IFERROR(__xludf.DUMMYFUNCTION("""COMPUTED_VALUE"""),0.0)</f>
        <v>0</v>
      </c>
      <c r="O24" s="16">
        <f>IFERROR(__xludf.DUMMYFUNCTION("""COMPUTED_VALUE"""),0.0)</f>
        <v>0</v>
      </c>
      <c r="P24" s="16">
        <f>IFERROR(__xludf.DUMMYFUNCTION("""COMPUTED_VALUE"""),0.0)</f>
        <v>0</v>
      </c>
      <c r="Q24" s="16">
        <f>IFERROR(__xludf.DUMMYFUNCTION("""COMPUTED_VALUE"""),0.0)</f>
        <v>0</v>
      </c>
      <c r="R24" s="16">
        <f>IFERROR(__xludf.DUMMYFUNCTION("""COMPUTED_VALUE"""),0.0)</f>
        <v>0</v>
      </c>
      <c r="S24" s="16">
        <f>IFERROR(__xludf.DUMMYFUNCTION("""COMPUTED_VALUE"""),0.0)</f>
        <v>0</v>
      </c>
      <c r="T24" s="16">
        <f>IFERROR(__xludf.DUMMYFUNCTION("""COMPUTED_VALUE"""),0.0)</f>
        <v>0</v>
      </c>
      <c r="U24" s="16">
        <f>IFERROR(__xludf.DUMMYFUNCTION("""COMPUTED_VALUE"""),0.0)</f>
        <v>0</v>
      </c>
      <c r="V24" s="16">
        <f>IFERROR(__xludf.DUMMYFUNCTION("""COMPUTED_VALUE"""),0.0)</f>
        <v>0</v>
      </c>
      <c r="W24" s="16">
        <f>IFERROR(__xludf.DUMMYFUNCTION("""COMPUTED_VALUE"""),0.0)</f>
        <v>0</v>
      </c>
      <c r="X24" s="16">
        <f>IFERROR(__xludf.DUMMYFUNCTION("""COMPUTED_VALUE"""),0.0)</f>
        <v>0</v>
      </c>
      <c r="Y24" s="16">
        <f>IFERROR(__xludf.DUMMYFUNCTION("""COMPUTED_VALUE"""),0.0)</f>
        <v>0</v>
      </c>
      <c r="Z24" s="16">
        <f>IFERROR(__xludf.DUMMYFUNCTION("""COMPUTED_VALUE"""),0.0)</f>
        <v>0</v>
      </c>
      <c r="AA24" s="16">
        <f>IFERROR(__xludf.DUMMYFUNCTION("""COMPUTED_VALUE"""),0.0)</f>
        <v>0</v>
      </c>
      <c r="AB24" s="16">
        <f>IFERROR(__xludf.DUMMYFUNCTION("""COMPUTED_VALUE"""),0.0)</f>
        <v>0</v>
      </c>
      <c r="AC24" s="16">
        <f>IFERROR(__xludf.DUMMYFUNCTION("""COMPUTED_VALUE"""),0.0)</f>
        <v>0</v>
      </c>
      <c r="AD24" s="16">
        <f>IFERROR(__xludf.DUMMYFUNCTION("""COMPUTED_VALUE"""),0.0)</f>
        <v>0</v>
      </c>
      <c r="AE24" s="16">
        <f>IFERROR(__xludf.DUMMYFUNCTION("""COMPUTED_VALUE"""),0.0)</f>
        <v>0</v>
      </c>
      <c r="AF24" s="16">
        <f>IFERROR(__xludf.DUMMYFUNCTION("""COMPUTED_VALUE"""),0.0)</f>
        <v>0</v>
      </c>
      <c r="AG24" s="16">
        <f>IFERROR(__xludf.DUMMYFUNCTION("""COMPUTED_VALUE"""),0.0)</f>
        <v>0</v>
      </c>
      <c r="AH24" s="16">
        <f>IFERROR(__xludf.DUMMYFUNCTION("""COMPUTED_VALUE"""),0.0)</f>
        <v>0</v>
      </c>
    </row>
    <row r="25">
      <c r="A25" s="16" t="str">
        <f>IFERROR(__xludf.DUMMYFUNCTION("""COMPUTED_VALUE"""),"184b660f61809850b4478d5bf89e9d10794578ee")</f>
        <v>184b660f61809850b4478d5bf89e9d10794578ee</v>
      </c>
      <c r="B25" s="16" t="str">
        <f>IFERROR(__xludf.DUMMYFUNCTION("""COMPUTED_VALUE"""),"Playing with Fire")</f>
        <v>Playing with Fire</v>
      </c>
      <c r="C25" s="16" t="str">
        <f>IFERROR(__xludf.DUMMYFUNCTION("""COMPUTED_VALUE"""),"Romance")</f>
        <v>Romance</v>
      </c>
      <c r="D25" s="16">
        <f>IFERROR(__xludf.DUMMYFUNCTION("""COMPUTED_VALUE"""),29.0)</f>
        <v>29</v>
      </c>
      <c r="E25" s="16">
        <f>IFERROR(__xludf.DUMMYFUNCTION("""COMPUTED_VALUE"""),0.896551724137931)</f>
        <v>0.8965517241</v>
      </c>
      <c r="F25" s="16">
        <f>IFERROR(__xludf.DUMMYFUNCTION("""COMPUTED_VALUE"""),0.241379310344827)</f>
        <v>0.2413793103</v>
      </c>
      <c r="G25" s="16">
        <f>IFERROR(__xludf.DUMMYFUNCTION("""COMPUTED_VALUE"""),0.206896551724137)</f>
        <v>0.2068965517</v>
      </c>
      <c r="H25" s="16">
        <f>IFERROR(__xludf.DUMMYFUNCTION("""COMPUTED_VALUE"""),0.172413793103448)</f>
        <v>0.1724137931</v>
      </c>
      <c r="I25" s="16">
        <f>IFERROR(__xludf.DUMMYFUNCTION("""COMPUTED_VALUE"""),0.172413793103448)</f>
        <v>0.1724137931</v>
      </c>
      <c r="J25" s="16">
        <f>IFERROR(__xludf.DUMMYFUNCTION("""COMPUTED_VALUE"""),0.137931034482758)</f>
        <v>0.1379310345</v>
      </c>
      <c r="K25" s="16">
        <f>IFERROR(__xludf.DUMMYFUNCTION("""COMPUTED_VALUE"""),0.142857142857142)</f>
        <v>0.1428571429</v>
      </c>
      <c r="L25" s="16">
        <f>IFERROR(__xludf.DUMMYFUNCTION("""COMPUTED_VALUE"""),0.142857142857142)</f>
        <v>0.1428571429</v>
      </c>
      <c r="M25" s="16">
        <f>IFERROR(__xludf.DUMMYFUNCTION("""COMPUTED_VALUE"""),0.0714285714285714)</f>
        <v>0.07142857143</v>
      </c>
      <c r="N25" s="16">
        <f>IFERROR(__xludf.DUMMYFUNCTION("""COMPUTED_VALUE"""),0.0714285714285714)</f>
        <v>0.07142857143</v>
      </c>
      <c r="O25" s="16">
        <f>IFERROR(__xludf.DUMMYFUNCTION("""COMPUTED_VALUE"""),0.0714285714285714)</f>
        <v>0.07142857143</v>
      </c>
      <c r="P25" s="16">
        <f>IFERROR(__xludf.DUMMYFUNCTION("""COMPUTED_VALUE"""),0.0357142857142857)</f>
        <v>0.03571428571</v>
      </c>
      <c r="Q25" s="16">
        <f>IFERROR(__xludf.DUMMYFUNCTION("""COMPUTED_VALUE"""),0.0)</f>
        <v>0</v>
      </c>
      <c r="R25" s="16">
        <f>IFERROR(__xludf.DUMMYFUNCTION("""COMPUTED_VALUE"""),0.0)</f>
        <v>0</v>
      </c>
      <c r="S25" s="16">
        <f>IFERROR(__xludf.DUMMYFUNCTION("""COMPUTED_VALUE"""),0.0)</f>
        <v>0</v>
      </c>
      <c r="T25" s="16">
        <f>IFERROR(__xludf.DUMMYFUNCTION("""COMPUTED_VALUE"""),0.0)</f>
        <v>0</v>
      </c>
      <c r="U25" s="16">
        <f>IFERROR(__xludf.DUMMYFUNCTION("""COMPUTED_VALUE"""),0.0)</f>
        <v>0</v>
      </c>
      <c r="V25" s="16">
        <f>IFERROR(__xludf.DUMMYFUNCTION("""COMPUTED_VALUE"""),0.0)</f>
        <v>0</v>
      </c>
      <c r="W25" s="16">
        <f>IFERROR(__xludf.DUMMYFUNCTION("""COMPUTED_VALUE"""),0.0)</f>
        <v>0</v>
      </c>
      <c r="X25" s="16">
        <f>IFERROR(__xludf.DUMMYFUNCTION("""COMPUTED_VALUE"""),0.0)</f>
        <v>0</v>
      </c>
      <c r="Y25" s="16">
        <f>IFERROR(__xludf.DUMMYFUNCTION("""COMPUTED_VALUE"""),0.0)</f>
        <v>0</v>
      </c>
      <c r="Z25" s="16">
        <f>IFERROR(__xludf.DUMMYFUNCTION("""COMPUTED_VALUE"""),0.0)</f>
        <v>0</v>
      </c>
      <c r="AA25" s="16">
        <f>IFERROR(__xludf.DUMMYFUNCTION("""COMPUTED_VALUE"""),0.0)</f>
        <v>0</v>
      </c>
      <c r="AB25" s="16">
        <f>IFERROR(__xludf.DUMMYFUNCTION("""COMPUTED_VALUE"""),0.0)</f>
        <v>0</v>
      </c>
      <c r="AC25" s="16">
        <f>IFERROR(__xludf.DUMMYFUNCTION("""COMPUTED_VALUE"""),0.0)</f>
        <v>0</v>
      </c>
      <c r="AD25" s="16">
        <f>IFERROR(__xludf.DUMMYFUNCTION("""COMPUTED_VALUE"""),0.0)</f>
        <v>0</v>
      </c>
      <c r="AE25" s="16">
        <f>IFERROR(__xludf.DUMMYFUNCTION("""COMPUTED_VALUE"""),0.0)</f>
        <v>0</v>
      </c>
      <c r="AF25" s="16">
        <f>IFERROR(__xludf.DUMMYFUNCTION("""COMPUTED_VALUE"""),0.0)</f>
        <v>0</v>
      </c>
      <c r="AG25" s="16">
        <f>IFERROR(__xludf.DUMMYFUNCTION("""COMPUTED_VALUE"""),0.0)</f>
        <v>0</v>
      </c>
      <c r="AH25" s="16">
        <f>IFERROR(__xludf.DUMMYFUNCTION("""COMPUTED_VALUE"""),0.0)</f>
        <v>0</v>
      </c>
    </row>
    <row r="26">
      <c r="A26" s="16" t="str">
        <f>IFERROR(__xludf.DUMMYFUNCTION("""COMPUTED_VALUE"""),"19153cd9dd2e137f1311235c9104db0ecba38abb")</f>
        <v>19153cd9dd2e137f1311235c9104db0ecba38abb</v>
      </c>
      <c r="B26" s="16" t="str">
        <f>IFERROR(__xludf.DUMMYFUNCTION("""COMPUTED_VALUE"""),"My Apex Trading System")</f>
        <v>My Apex Trading System</v>
      </c>
      <c r="C26" s="16" t="str">
        <f>IFERROR(__xludf.DUMMYFUNCTION("""COMPUTED_VALUE"""),"Sci-Fi")</f>
        <v>Sci-Fi</v>
      </c>
      <c r="D26" s="16">
        <f>IFERROR(__xludf.DUMMYFUNCTION("""COMPUTED_VALUE"""),677.0)</f>
        <v>677</v>
      </c>
      <c r="E26" s="16">
        <f>IFERROR(__xludf.DUMMYFUNCTION("""COMPUTED_VALUE"""),0.982274741506647)</f>
        <v>0.9822747415</v>
      </c>
      <c r="F26" s="16">
        <f>IFERROR(__xludf.DUMMYFUNCTION("""COMPUTED_VALUE"""),0.564254062038404)</f>
        <v>0.564254062</v>
      </c>
      <c r="G26" s="16">
        <f>IFERROR(__xludf.DUMMYFUNCTION("""COMPUTED_VALUE"""),0.472673559822747)</f>
        <v>0.4726735598</v>
      </c>
      <c r="H26" s="16">
        <f>IFERROR(__xludf.DUMMYFUNCTION("""COMPUTED_VALUE"""),0.44709388971684)</f>
        <v>0.4470938897</v>
      </c>
      <c r="I26" s="16">
        <f>IFERROR(__xludf.DUMMYFUNCTION("""COMPUTED_VALUE"""),0.423493044822256)</f>
        <v>0.4234930448</v>
      </c>
      <c r="J26" s="16">
        <f>IFERROR(__xludf.DUMMYFUNCTION("""COMPUTED_VALUE"""),0.412265758091993)</f>
        <v>0.4122657581</v>
      </c>
      <c r="K26" s="16">
        <f>IFERROR(__xludf.DUMMYFUNCTION("""COMPUTED_VALUE"""),0.392660550458715)</f>
        <v>0.3926605505</v>
      </c>
      <c r="L26" s="16">
        <f>IFERROR(__xludf.DUMMYFUNCTION("""COMPUTED_VALUE"""),0.405462184873949)</f>
        <v>0.4054621849</v>
      </c>
      <c r="M26" s="16">
        <f>IFERROR(__xludf.DUMMYFUNCTION("""COMPUTED_VALUE"""),0.363636363636363)</f>
        <v>0.3636363636</v>
      </c>
      <c r="N26" s="16">
        <f>IFERROR(__xludf.DUMMYFUNCTION("""COMPUTED_VALUE"""),0.337468982630273)</f>
        <v>0.3374689826</v>
      </c>
      <c r="O26" s="16">
        <f>IFERROR(__xludf.DUMMYFUNCTION("""COMPUTED_VALUE"""),0.191964285714285)</f>
        <v>0.1919642857</v>
      </c>
      <c r="P26" s="16">
        <f>IFERROR(__xludf.DUMMYFUNCTION("""COMPUTED_VALUE"""),0.20754716981132)</f>
        <v>0.2075471698</v>
      </c>
      <c r="Q26" s="16">
        <f>IFERROR(__xludf.DUMMYFUNCTION("""COMPUTED_VALUE"""),0.0)</f>
        <v>0</v>
      </c>
      <c r="R26" s="16">
        <f>IFERROR(__xludf.DUMMYFUNCTION("""COMPUTED_VALUE"""),0.0)</f>
        <v>0</v>
      </c>
      <c r="S26" s="16">
        <f>IFERROR(__xludf.DUMMYFUNCTION("""COMPUTED_VALUE"""),0.0)</f>
        <v>0</v>
      </c>
      <c r="T26" s="16">
        <f>IFERROR(__xludf.DUMMYFUNCTION("""COMPUTED_VALUE"""),0.0)</f>
        <v>0</v>
      </c>
      <c r="U26" s="16">
        <f>IFERROR(__xludf.DUMMYFUNCTION("""COMPUTED_VALUE"""),0.0)</f>
        <v>0</v>
      </c>
      <c r="V26" s="16">
        <f>IFERROR(__xludf.DUMMYFUNCTION("""COMPUTED_VALUE"""),0.0)</f>
        <v>0</v>
      </c>
      <c r="W26" s="16">
        <f>IFERROR(__xludf.DUMMYFUNCTION("""COMPUTED_VALUE"""),0.0)</f>
        <v>0</v>
      </c>
      <c r="X26" s="16">
        <f>IFERROR(__xludf.DUMMYFUNCTION("""COMPUTED_VALUE"""),0.0)</f>
        <v>0</v>
      </c>
      <c r="Y26" s="16">
        <f>IFERROR(__xludf.DUMMYFUNCTION("""COMPUTED_VALUE"""),0.0)</f>
        <v>0</v>
      </c>
      <c r="Z26" s="16">
        <f>IFERROR(__xludf.DUMMYFUNCTION("""COMPUTED_VALUE"""),0.0)</f>
        <v>0</v>
      </c>
      <c r="AA26" s="16">
        <f>IFERROR(__xludf.DUMMYFUNCTION("""COMPUTED_VALUE"""),0.0)</f>
        <v>0</v>
      </c>
      <c r="AB26" s="16">
        <f>IFERROR(__xludf.DUMMYFUNCTION("""COMPUTED_VALUE"""),0.0)</f>
        <v>0</v>
      </c>
      <c r="AC26" s="16">
        <f>IFERROR(__xludf.DUMMYFUNCTION("""COMPUTED_VALUE"""),0.0)</f>
        <v>0</v>
      </c>
      <c r="AD26" s="16">
        <f>IFERROR(__xludf.DUMMYFUNCTION("""COMPUTED_VALUE"""),0.0)</f>
        <v>0</v>
      </c>
      <c r="AE26" s="16">
        <f>IFERROR(__xludf.DUMMYFUNCTION("""COMPUTED_VALUE"""),0.0)</f>
        <v>0</v>
      </c>
      <c r="AF26" s="16">
        <f>IFERROR(__xludf.DUMMYFUNCTION("""COMPUTED_VALUE"""),0.0)</f>
        <v>0</v>
      </c>
      <c r="AG26" s="16">
        <f>IFERROR(__xludf.DUMMYFUNCTION("""COMPUTED_VALUE"""),0.0)</f>
        <v>0</v>
      </c>
      <c r="AH26" s="16">
        <f>IFERROR(__xludf.DUMMYFUNCTION("""COMPUTED_VALUE"""),0.0)</f>
        <v>0</v>
      </c>
    </row>
    <row r="27">
      <c r="A27" s="16" t="str">
        <f>IFERROR(__xludf.DUMMYFUNCTION("""COMPUTED_VALUE"""),"19636f24104780140ebb745525226a8989f6b562")</f>
        <v>19636f24104780140ebb745525226a8989f6b562</v>
      </c>
      <c r="B27" s="16" t="str">
        <f>IFERROR(__xludf.DUMMYFUNCTION("""COMPUTED_VALUE"""),"Billionare Revenge System")</f>
        <v>Billionare Revenge System</v>
      </c>
      <c r="C27" s="16" t="str">
        <f>IFERROR(__xludf.DUMMYFUNCTION("""COMPUTED_VALUE"""),"Fantasy")</f>
        <v>Fantasy</v>
      </c>
      <c r="D27" s="16">
        <f>IFERROR(__xludf.DUMMYFUNCTION("""COMPUTED_VALUE"""),265.0)</f>
        <v>265</v>
      </c>
      <c r="E27" s="16">
        <f>IFERROR(__xludf.DUMMYFUNCTION("""COMPUTED_VALUE"""),0.958490566037735)</f>
        <v>0.958490566</v>
      </c>
      <c r="F27" s="16">
        <f>IFERROR(__xludf.DUMMYFUNCTION("""COMPUTED_VALUE"""),0.787878787878787)</f>
        <v>0.7878787879</v>
      </c>
      <c r="G27" s="16">
        <f>IFERROR(__xludf.DUMMYFUNCTION("""COMPUTED_VALUE"""),0.757575757575757)</f>
        <v>0.7575757576</v>
      </c>
      <c r="H27" s="16">
        <f>IFERROR(__xludf.DUMMYFUNCTION("""COMPUTED_VALUE"""),0.727272727272727)</f>
        <v>0.7272727273</v>
      </c>
      <c r="I27" s="16">
        <f>IFERROR(__xludf.DUMMYFUNCTION("""COMPUTED_VALUE"""),0.717557251908396)</f>
        <v>0.7175572519</v>
      </c>
      <c r="J27" s="16">
        <f>IFERROR(__xludf.DUMMYFUNCTION("""COMPUTED_VALUE"""),0.690839694656488)</f>
        <v>0.6908396947</v>
      </c>
      <c r="K27" s="16">
        <f>IFERROR(__xludf.DUMMYFUNCTION("""COMPUTED_VALUE"""),0.66030534351145)</f>
        <v>0.6603053435</v>
      </c>
      <c r="L27" s="16">
        <f>IFERROR(__xludf.DUMMYFUNCTION("""COMPUTED_VALUE"""),0.616858237547892)</f>
        <v>0.6168582375</v>
      </c>
      <c r="M27" s="16">
        <f>IFERROR(__xludf.DUMMYFUNCTION("""COMPUTED_VALUE"""),0.573076923076923)</f>
        <v>0.5730769231</v>
      </c>
      <c r="N27" s="16">
        <f>IFERROR(__xludf.DUMMYFUNCTION("""COMPUTED_VALUE"""),0.542635658914728)</f>
        <v>0.5426356589</v>
      </c>
      <c r="O27" s="16">
        <f>IFERROR(__xludf.DUMMYFUNCTION("""COMPUTED_VALUE"""),0.481012658227848)</f>
        <v>0.4810126582</v>
      </c>
      <c r="P27" s="16">
        <f>IFERROR(__xludf.DUMMYFUNCTION("""COMPUTED_VALUE"""),0.2)</f>
        <v>0.2</v>
      </c>
      <c r="Q27" s="16">
        <f>IFERROR(__xludf.DUMMYFUNCTION("""COMPUTED_VALUE"""),0.0)</f>
        <v>0</v>
      </c>
      <c r="R27" s="16">
        <f>IFERROR(__xludf.DUMMYFUNCTION("""COMPUTED_VALUE"""),0.0)</f>
        <v>0</v>
      </c>
      <c r="S27" s="16">
        <f>IFERROR(__xludf.DUMMYFUNCTION("""COMPUTED_VALUE"""),0.0)</f>
        <v>0</v>
      </c>
      <c r="T27" s="16">
        <f>IFERROR(__xludf.DUMMYFUNCTION("""COMPUTED_VALUE"""),0.0)</f>
        <v>0</v>
      </c>
      <c r="U27" s="16">
        <f>IFERROR(__xludf.DUMMYFUNCTION("""COMPUTED_VALUE"""),0.0)</f>
        <v>0</v>
      </c>
      <c r="V27" s="16">
        <f>IFERROR(__xludf.DUMMYFUNCTION("""COMPUTED_VALUE"""),0.0)</f>
        <v>0</v>
      </c>
      <c r="W27" s="16">
        <f>IFERROR(__xludf.DUMMYFUNCTION("""COMPUTED_VALUE"""),0.0)</f>
        <v>0</v>
      </c>
      <c r="X27" s="16">
        <f>IFERROR(__xludf.DUMMYFUNCTION("""COMPUTED_VALUE"""),0.0)</f>
        <v>0</v>
      </c>
      <c r="Y27" s="16">
        <f>IFERROR(__xludf.DUMMYFUNCTION("""COMPUTED_VALUE"""),0.0)</f>
        <v>0</v>
      </c>
      <c r="Z27" s="16">
        <f>IFERROR(__xludf.DUMMYFUNCTION("""COMPUTED_VALUE"""),0.0)</f>
        <v>0</v>
      </c>
      <c r="AA27" s="16">
        <f>IFERROR(__xludf.DUMMYFUNCTION("""COMPUTED_VALUE"""),0.0)</f>
        <v>0</v>
      </c>
      <c r="AB27" s="16">
        <f>IFERROR(__xludf.DUMMYFUNCTION("""COMPUTED_VALUE"""),0.0)</f>
        <v>0</v>
      </c>
      <c r="AC27" s="16">
        <f>IFERROR(__xludf.DUMMYFUNCTION("""COMPUTED_VALUE"""),0.0)</f>
        <v>0</v>
      </c>
      <c r="AD27" s="16">
        <f>IFERROR(__xludf.DUMMYFUNCTION("""COMPUTED_VALUE"""),0.0)</f>
        <v>0</v>
      </c>
      <c r="AE27" s="16">
        <f>IFERROR(__xludf.DUMMYFUNCTION("""COMPUTED_VALUE"""),0.0)</f>
        <v>0</v>
      </c>
      <c r="AF27" s="16">
        <f>IFERROR(__xludf.DUMMYFUNCTION("""COMPUTED_VALUE"""),0.0)</f>
        <v>0</v>
      </c>
      <c r="AG27" s="16">
        <f>IFERROR(__xludf.DUMMYFUNCTION("""COMPUTED_VALUE"""),0.0)</f>
        <v>0</v>
      </c>
      <c r="AH27" s="16">
        <f>IFERROR(__xludf.DUMMYFUNCTION("""COMPUTED_VALUE"""),0.0)</f>
        <v>0</v>
      </c>
    </row>
    <row r="28">
      <c r="A28" s="16" t="str">
        <f>IFERROR(__xludf.DUMMYFUNCTION("""COMPUTED_VALUE"""),"1a5df306886a7b0e7736ec2c8efad3467507a1c6")</f>
        <v>1a5df306886a7b0e7736ec2c8efad3467507a1c6</v>
      </c>
      <c r="B28" s="16" t="str">
        <f>IFERROR(__xludf.DUMMYFUNCTION("""COMPUTED_VALUE"""),"Billionaire Bentley’s Runaway Princess")</f>
        <v>Billionaire Bentley’s Runaway Princess</v>
      </c>
      <c r="C28" s="16" t="str">
        <f>IFERROR(__xludf.DUMMYFUNCTION("""COMPUTED_VALUE"""),"Romance")</f>
        <v>Romance</v>
      </c>
      <c r="D28" s="16">
        <f>IFERROR(__xludf.DUMMYFUNCTION("""COMPUTED_VALUE"""),1078.0)</f>
        <v>1078</v>
      </c>
      <c r="E28" s="16">
        <f>IFERROR(__xludf.DUMMYFUNCTION("""COMPUTED_VALUE"""),0.943413729128014)</f>
        <v>0.9434137291</v>
      </c>
      <c r="F28" s="16">
        <f>IFERROR(__xludf.DUMMYFUNCTION("""COMPUTED_VALUE"""),0.403525046382189)</f>
        <v>0.4035250464</v>
      </c>
      <c r="G28" s="16">
        <f>IFERROR(__xludf.DUMMYFUNCTION("""COMPUTED_VALUE"""),0.354359925788497)</f>
        <v>0.3543599258</v>
      </c>
      <c r="H28" s="16">
        <f>IFERROR(__xludf.DUMMYFUNCTION("""COMPUTED_VALUE"""),0.326530612244897)</f>
        <v>0.3265306122</v>
      </c>
      <c r="I28" s="16">
        <f>IFERROR(__xludf.DUMMYFUNCTION("""COMPUTED_VALUE"""),0.308263695450325)</f>
        <v>0.3082636955</v>
      </c>
      <c r="J28" s="16">
        <f>IFERROR(__xludf.DUMMYFUNCTION("""COMPUTED_VALUE"""),0.291550603528319)</f>
        <v>0.2915506035</v>
      </c>
      <c r="K28" s="16">
        <f>IFERROR(__xludf.DUMMYFUNCTION("""COMPUTED_VALUE"""),0.277623026926648)</f>
        <v>0.2776230269</v>
      </c>
      <c r="L28" s="16">
        <f>IFERROR(__xludf.DUMMYFUNCTION("""COMPUTED_VALUE"""),0.259052924791086)</f>
        <v>0.2590529248</v>
      </c>
      <c r="M28" s="16">
        <f>IFERROR(__xludf.DUMMYFUNCTION("""COMPUTED_VALUE"""),0.243268337975858)</f>
        <v>0.243268338</v>
      </c>
      <c r="N28" s="16">
        <f>IFERROR(__xludf.DUMMYFUNCTION("""COMPUTED_VALUE"""),0.24233983286908)</f>
        <v>0.2423398329</v>
      </c>
      <c r="O28" s="16">
        <f>IFERROR(__xludf.DUMMYFUNCTION("""COMPUTED_VALUE"""),0.205772811918063)</f>
        <v>0.2057728119</v>
      </c>
      <c r="P28" s="16">
        <f>IFERROR(__xludf.DUMMYFUNCTION("""COMPUTED_VALUE"""),0.158043273753527)</f>
        <v>0.1580432738</v>
      </c>
      <c r="Q28" s="16">
        <f>IFERROR(__xludf.DUMMYFUNCTION("""COMPUTED_VALUE"""),0.136726546906187)</f>
        <v>0.1367265469</v>
      </c>
      <c r="R28" s="16">
        <f>IFERROR(__xludf.DUMMYFUNCTION("""COMPUTED_VALUE"""),0.0)</f>
        <v>0</v>
      </c>
      <c r="S28" s="16">
        <f>IFERROR(__xludf.DUMMYFUNCTION("""COMPUTED_VALUE"""),0.0)</f>
        <v>0</v>
      </c>
      <c r="T28" s="16">
        <f>IFERROR(__xludf.DUMMYFUNCTION("""COMPUTED_VALUE"""),0.0)</f>
        <v>0</v>
      </c>
      <c r="U28" s="16">
        <f>IFERROR(__xludf.DUMMYFUNCTION("""COMPUTED_VALUE"""),0.0)</f>
        <v>0</v>
      </c>
      <c r="V28" s="16">
        <f>IFERROR(__xludf.DUMMYFUNCTION("""COMPUTED_VALUE"""),0.0)</f>
        <v>0</v>
      </c>
      <c r="W28" s="16">
        <f>IFERROR(__xludf.DUMMYFUNCTION("""COMPUTED_VALUE"""),0.0)</f>
        <v>0</v>
      </c>
      <c r="X28" s="16">
        <f>IFERROR(__xludf.DUMMYFUNCTION("""COMPUTED_VALUE"""),0.0)</f>
        <v>0</v>
      </c>
      <c r="Y28" s="16">
        <f>IFERROR(__xludf.DUMMYFUNCTION("""COMPUTED_VALUE"""),0.0)</f>
        <v>0</v>
      </c>
      <c r="Z28" s="16">
        <f>IFERROR(__xludf.DUMMYFUNCTION("""COMPUTED_VALUE"""),0.0)</f>
        <v>0</v>
      </c>
      <c r="AA28" s="16">
        <f>IFERROR(__xludf.DUMMYFUNCTION("""COMPUTED_VALUE"""),0.0)</f>
        <v>0</v>
      </c>
      <c r="AB28" s="16">
        <f>IFERROR(__xludf.DUMMYFUNCTION("""COMPUTED_VALUE"""),0.0)</f>
        <v>0</v>
      </c>
      <c r="AC28" s="16">
        <f>IFERROR(__xludf.DUMMYFUNCTION("""COMPUTED_VALUE"""),0.0)</f>
        <v>0</v>
      </c>
      <c r="AD28" s="16">
        <f>IFERROR(__xludf.DUMMYFUNCTION("""COMPUTED_VALUE"""),0.0)</f>
        <v>0</v>
      </c>
      <c r="AE28" s="16">
        <f>IFERROR(__xludf.DUMMYFUNCTION("""COMPUTED_VALUE"""),0.0)</f>
        <v>0</v>
      </c>
      <c r="AF28" s="16">
        <f>IFERROR(__xludf.DUMMYFUNCTION("""COMPUTED_VALUE"""),0.0)</f>
        <v>0</v>
      </c>
      <c r="AG28" s="16">
        <f>IFERROR(__xludf.DUMMYFUNCTION("""COMPUTED_VALUE"""),0.0)</f>
        <v>0</v>
      </c>
      <c r="AH28" s="16">
        <f>IFERROR(__xludf.DUMMYFUNCTION("""COMPUTED_VALUE"""),0.0)</f>
        <v>0</v>
      </c>
    </row>
    <row r="29">
      <c r="A29" s="16" t="str">
        <f>IFERROR(__xludf.DUMMYFUNCTION("""COMPUTED_VALUE"""),"1b5acb214bfe00156d933b176eef6987dcf9aa8c")</f>
        <v>1b5acb214bfe00156d933b176eef6987dcf9aa8c</v>
      </c>
      <c r="B29" s="16" t="str">
        <f>IFERROR(__xludf.DUMMYFUNCTION("""COMPUTED_VALUE"""),"The Night Forgotten by Us")</f>
        <v>The Night Forgotten by Us</v>
      </c>
      <c r="C29" s="16" t="str">
        <f>IFERROR(__xludf.DUMMYFUNCTION("""COMPUTED_VALUE"""),"Romance")</f>
        <v>Romance</v>
      </c>
      <c r="D29" s="16">
        <f>IFERROR(__xludf.DUMMYFUNCTION("""COMPUTED_VALUE"""),168.0)</f>
        <v>168</v>
      </c>
      <c r="E29" s="16">
        <f>IFERROR(__xludf.DUMMYFUNCTION("""COMPUTED_VALUE"""),0.964285714285714)</f>
        <v>0.9642857143</v>
      </c>
      <c r="F29" s="16">
        <f>IFERROR(__xludf.DUMMYFUNCTION("""COMPUTED_VALUE"""),0.654761904761904)</f>
        <v>0.6547619048</v>
      </c>
      <c r="G29" s="16">
        <f>IFERROR(__xludf.DUMMYFUNCTION("""COMPUTED_VALUE"""),0.583333333333333)</f>
        <v>0.5833333333</v>
      </c>
      <c r="H29" s="16">
        <f>IFERROR(__xludf.DUMMYFUNCTION("""COMPUTED_VALUE"""),0.553571428571428)</f>
        <v>0.5535714286</v>
      </c>
      <c r="I29" s="16">
        <f>IFERROR(__xludf.DUMMYFUNCTION("""COMPUTED_VALUE"""),0.523809523809523)</f>
        <v>0.5238095238</v>
      </c>
      <c r="J29" s="16">
        <f>IFERROR(__xludf.DUMMYFUNCTION("""COMPUTED_VALUE"""),0.523809523809523)</f>
        <v>0.5238095238</v>
      </c>
      <c r="K29" s="16">
        <f>IFERROR(__xludf.DUMMYFUNCTION("""COMPUTED_VALUE"""),0.5)</f>
        <v>0.5</v>
      </c>
      <c r="L29" s="16">
        <f>IFERROR(__xludf.DUMMYFUNCTION("""COMPUTED_VALUE"""),0.497005988023952)</f>
        <v>0.497005988</v>
      </c>
      <c r="M29" s="16">
        <f>IFERROR(__xludf.DUMMYFUNCTION("""COMPUTED_VALUE"""),0.481927710843373)</f>
        <v>0.4819277108</v>
      </c>
      <c r="N29" s="16">
        <f>IFERROR(__xludf.DUMMYFUNCTION("""COMPUTED_VALUE"""),0.475903614457831)</f>
        <v>0.4759036145</v>
      </c>
      <c r="O29" s="16">
        <f>IFERROR(__xludf.DUMMYFUNCTION("""COMPUTED_VALUE"""),0.440993788819875)</f>
        <v>0.4409937888</v>
      </c>
      <c r="P29" s="16">
        <f>IFERROR(__xludf.DUMMYFUNCTION("""COMPUTED_VALUE"""),0.32258064516129)</f>
        <v>0.3225806452</v>
      </c>
      <c r="Q29" s="16">
        <f>IFERROR(__xludf.DUMMYFUNCTION("""COMPUTED_VALUE"""),0.189189189189189)</f>
        <v>0.1891891892</v>
      </c>
      <c r="R29" s="16">
        <f>IFERROR(__xludf.DUMMYFUNCTION("""COMPUTED_VALUE"""),0.0)</f>
        <v>0</v>
      </c>
      <c r="S29" s="16">
        <f>IFERROR(__xludf.DUMMYFUNCTION("""COMPUTED_VALUE"""),0.0)</f>
        <v>0</v>
      </c>
      <c r="T29" s="16">
        <f>IFERROR(__xludf.DUMMYFUNCTION("""COMPUTED_VALUE"""),0.0)</f>
        <v>0</v>
      </c>
      <c r="U29" s="16">
        <f>IFERROR(__xludf.DUMMYFUNCTION("""COMPUTED_VALUE"""),0.0)</f>
        <v>0</v>
      </c>
      <c r="V29" s="16">
        <f>IFERROR(__xludf.DUMMYFUNCTION("""COMPUTED_VALUE"""),0.0)</f>
        <v>0</v>
      </c>
      <c r="W29" s="16">
        <f>IFERROR(__xludf.DUMMYFUNCTION("""COMPUTED_VALUE"""),0.0)</f>
        <v>0</v>
      </c>
      <c r="X29" s="16">
        <f>IFERROR(__xludf.DUMMYFUNCTION("""COMPUTED_VALUE"""),0.0)</f>
        <v>0</v>
      </c>
      <c r="Y29" s="16">
        <f>IFERROR(__xludf.DUMMYFUNCTION("""COMPUTED_VALUE"""),0.0)</f>
        <v>0</v>
      </c>
      <c r="Z29" s="16">
        <f>IFERROR(__xludf.DUMMYFUNCTION("""COMPUTED_VALUE"""),0.0)</f>
        <v>0</v>
      </c>
      <c r="AA29" s="16">
        <f>IFERROR(__xludf.DUMMYFUNCTION("""COMPUTED_VALUE"""),0.0)</f>
        <v>0</v>
      </c>
      <c r="AB29" s="16">
        <f>IFERROR(__xludf.DUMMYFUNCTION("""COMPUTED_VALUE"""),0.0)</f>
        <v>0</v>
      </c>
      <c r="AC29" s="16">
        <f>IFERROR(__xludf.DUMMYFUNCTION("""COMPUTED_VALUE"""),0.0)</f>
        <v>0</v>
      </c>
      <c r="AD29" s="16">
        <f>IFERROR(__xludf.DUMMYFUNCTION("""COMPUTED_VALUE"""),0.0)</f>
        <v>0</v>
      </c>
      <c r="AE29" s="16">
        <f>IFERROR(__xludf.DUMMYFUNCTION("""COMPUTED_VALUE"""),0.0)</f>
        <v>0</v>
      </c>
      <c r="AF29" s="16">
        <f>IFERROR(__xludf.DUMMYFUNCTION("""COMPUTED_VALUE"""),0.0)</f>
        <v>0</v>
      </c>
      <c r="AG29" s="16">
        <f>IFERROR(__xludf.DUMMYFUNCTION("""COMPUTED_VALUE"""),0.0)</f>
        <v>0</v>
      </c>
      <c r="AH29" s="16">
        <f>IFERROR(__xludf.DUMMYFUNCTION("""COMPUTED_VALUE"""),0.0)</f>
        <v>0</v>
      </c>
    </row>
    <row r="30">
      <c r="A30" s="16" t="str">
        <f>IFERROR(__xludf.DUMMYFUNCTION("""COMPUTED_VALUE"""),"1b7d7de6c90d2460cfe3da014469e3c056fec830")</f>
        <v>1b7d7de6c90d2460cfe3da014469e3c056fec830</v>
      </c>
      <c r="B30" s="16" t="str">
        <f>IFERROR(__xludf.DUMMYFUNCTION("""COMPUTED_VALUE"""),"The Ceo's Secret Babies")</f>
        <v>The Ceo's Secret Babies</v>
      </c>
      <c r="C30" s="16" t="str">
        <f>IFERROR(__xludf.DUMMYFUNCTION("""COMPUTED_VALUE"""),"Romance")</f>
        <v>Romance</v>
      </c>
      <c r="D30" s="16">
        <f>IFERROR(__xludf.DUMMYFUNCTION("""COMPUTED_VALUE"""),83.0)</f>
        <v>83</v>
      </c>
      <c r="E30" s="16">
        <f>IFERROR(__xludf.DUMMYFUNCTION("""COMPUTED_VALUE"""),0.915662650602409)</f>
        <v>0.9156626506</v>
      </c>
      <c r="F30" s="16">
        <f>IFERROR(__xludf.DUMMYFUNCTION("""COMPUTED_VALUE"""),0.554216867469879)</f>
        <v>0.5542168675</v>
      </c>
      <c r="G30" s="16">
        <f>IFERROR(__xludf.DUMMYFUNCTION("""COMPUTED_VALUE"""),0.469879518072289)</f>
        <v>0.4698795181</v>
      </c>
      <c r="H30" s="16">
        <f>IFERROR(__xludf.DUMMYFUNCTION("""COMPUTED_VALUE"""),0.481927710843373)</f>
        <v>0.4819277108</v>
      </c>
      <c r="I30" s="16">
        <f>IFERROR(__xludf.DUMMYFUNCTION("""COMPUTED_VALUE"""),0.463414634146341)</f>
        <v>0.4634146341</v>
      </c>
      <c r="J30" s="16">
        <f>IFERROR(__xludf.DUMMYFUNCTION("""COMPUTED_VALUE"""),0.419753086419753)</f>
        <v>0.4197530864</v>
      </c>
      <c r="K30" s="16">
        <f>IFERROR(__xludf.DUMMYFUNCTION("""COMPUTED_VALUE"""),0.407407407407407)</f>
        <v>0.4074074074</v>
      </c>
      <c r="L30" s="16">
        <f>IFERROR(__xludf.DUMMYFUNCTION("""COMPUTED_VALUE"""),0.4)</f>
        <v>0.4</v>
      </c>
      <c r="M30" s="16">
        <f>IFERROR(__xludf.DUMMYFUNCTION("""COMPUTED_VALUE"""),0.4)</f>
        <v>0.4</v>
      </c>
      <c r="N30" s="16">
        <f>IFERROR(__xludf.DUMMYFUNCTION("""COMPUTED_VALUE"""),0.392405063291139)</f>
        <v>0.3924050633</v>
      </c>
      <c r="O30" s="16">
        <f>IFERROR(__xludf.DUMMYFUNCTION("""COMPUTED_VALUE"""),0.269230769230769)</f>
        <v>0.2692307692</v>
      </c>
      <c r="P30" s="16">
        <f>IFERROR(__xludf.DUMMYFUNCTION("""COMPUTED_VALUE"""),0.207792207792207)</f>
        <v>0.2077922078</v>
      </c>
      <c r="Q30" s="16">
        <f>IFERROR(__xludf.DUMMYFUNCTION("""COMPUTED_VALUE"""),0.118421052631578)</f>
        <v>0.1184210526</v>
      </c>
      <c r="R30" s="16">
        <f>IFERROR(__xludf.DUMMYFUNCTION("""COMPUTED_VALUE"""),0.0394736842105263)</f>
        <v>0.03947368421</v>
      </c>
      <c r="S30" s="16">
        <f>IFERROR(__xludf.DUMMYFUNCTION("""COMPUTED_VALUE"""),0.0384615384615384)</f>
        <v>0.03846153846</v>
      </c>
      <c r="T30" s="16">
        <f>IFERROR(__xludf.DUMMYFUNCTION("""COMPUTED_VALUE"""),0.0)</f>
        <v>0</v>
      </c>
      <c r="U30" s="16">
        <f>IFERROR(__xludf.DUMMYFUNCTION("""COMPUTED_VALUE"""),0.0)</f>
        <v>0</v>
      </c>
      <c r="V30" s="16">
        <f>IFERROR(__xludf.DUMMYFUNCTION("""COMPUTED_VALUE"""),0.0)</f>
        <v>0</v>
      </c>
      <c r="W30" s="16">
        <f>IFERROR(__xludf.DUMMYFUNCTION("""COMPUTED_VALUE"""),0.0)</f>
        <v>0</v>
      </c>
      <c r="X30" s="16">
        <f>IFERROR(__xludf.DUMMYFUNCTION("""COMPUTED_VALUE"""),0.0)</f>
        <v>0</v>
      </c>
      <c r="Y30" s="16">
        <f>IFERROR(__xludf.DUMMYFUNCTION("""COMPUTED_VALUE"""),0.0)</f>
        <v>0</v>
      </c>
      <c r="Z30" s="16">
        <f>IFERROR(__xludf.DUMMYFUNCTION("""COMPUTED_VALUE"""),0.0)</f>
        <v>0</v>
      </c>
      <c r="AA30" s="16">
        <f>IFERROR(__xludf.DUMMYFUNCTION("""COMPUTED_VALUE"""),0.0)</f>
        <v>0</v>
      </c>
      <c r="AB30" s="16">
        <f>IFERROR(__xludf.DUMMYFUNCTION("""COMPUTED_VALUE"""),0.0)</f>
        <v>0</v>
      </c>
      <c r="AC30" s="16">
        <f>IFERROR(__xludf.DUMMYFUNCTION("""COMPUTED_VALUE"""),0.0)</f>
        <v>0</v>
      </c>
      <c r="AD30" s="16">
        <f>IFERROR(__xludf.DUMMYFUNCTION("""COMPUTED_VALUE"""),0.0)</f>
        <v>0</v>
      </c>
      <c r="AE30" s="16">
        <f>IFERROR(__xludf.DUMMYFUNCTION("""COMPUTED_VALUE"""),0.0)</f>
        <v>0</v>
      </c>
      <c r="AF30" s="16">
        <f>IFERROR(__xludf.DUMMYFUNCTION("""COMPUTED_VALUE"""),0.0)</f>
        <v>0</v>
      </c>
      <c r="AG30" s="16">
        <f>IFERROR(__xludf.DUMMYFUNCTION("""COMPUTED_VALUE"""),0.0)</f>
        <v>0</v>
      </c>
      <c r="AH30" s="16">
        <f>IFERROR(__xludf.DUMMYFUNCTION("""COMPUTED_VALUE"""),0.0)</f>
        <v>0</v>
      </c>
    </row>
    <row r="31">
      <c r="A31" s="16" t="str">
        <f>IFERROR(__xludf.DUMMYFUNCTION("""COMPUTED_VALUE"""),"1b7d89c237c133e6c5b15db13e684c2e1f3688e1")</f>
        <v>1b7d89c237c133e6c5b15db13e684c2e1f3688e1</v>
      </c>
      <c r="B31" s="16" t="str">
        <f>IFERROR(__xludf.DUMMYFUNCTION("""COMPUTED_VALUE"""),"War God of the Red Sea!")</f>
        <v>War God of the Red Sea!</v>
      </c>
      <c r="C31" s="16" t="str">
        <f>IFERROR(__xludf.DUMMYFUNCTION("""COMPUTED_VALUE"""),"Drama")</f>
        <v>Drama</v>
      </c>
      <c r="D31" s="16">
        <f>IFERROR(__xludf.DUMMYFUNCTION("""COMPUTED_VALUE"""),610.0)</f>
        <v>610</v>
      </c>
      <c r="E31" s="16">
        <f>IFERROR(__xludf.DUMMYFUNCTION("""COMPUTED_VALUE"""),0.978688524590164)</f>
        <v>0.9786885246</v>
      </c>
      <c r="F31" s="16">
        <f>IFERROR(__xludf.DUMMYFUNCTION("""COMPUTED_VALUE"""),0.526229508196721)</f>
        <v>0.5262295082</v>
      </c>
      <c r="G31" s="16">
        <f>IFERROR(__xludf.DUMMYFUNCTION("""COMPUTED_VALUE"""),0.424590163934426)</f>
        <v>0.4245901639</v>
      </c>
      <c r="H31" s="16">
        <f>IFERROR(__xludf.DUMMYFUNCTION("""COMPUTED_VALUE"""),0.370860927152317)</f>
        <v>0.3708609272</v>
      </c>
      <c r="I31" s="16">
        <f>IFERROR(__xludf.DUMMYFUNCTION("""COMPUTED_VALUE"""),0.340604026845637)</f>
        <v>0.3406040268</v>
      </c>
      <c r="J31" s="16">
        <f>IFERROR(__xludf.DUMMYFUNCTION("""COMPUTED_VALUE"""),0.300711743772241)</f>
        <v>0.3007117438</v>
      </c>
      <c r="K31" s="16">
        <f>IFERROR(__xludf.DUMMYFUNCTION("""COMPUTED_VALUE"""),0.280442804428044)</f>
        <v>0.2804428044</v>
      </c>
      <c r="L31" s="16">
        <f>IFERROR(__xludf.DUMMYFUNCTION("""COMPUTED_VALUE"""),0.270750988142292)</f>
        <v>0.2707509881</v>
      </c>
      <c r="M31" s="16">
        <f>IFERROR(__xludf.DUMMYFUNCTION("""COMPUTED_VALUE"""),0.249475890985324)</f>
        <v>0.249475891</v>
      </c>
      <c r="N31" s="16">
        <f>IFERROR(__xludf.DUMMYFUNCTION("""COMPUTED_VALUE"""),0.236842105263157)</f>
        <v>0.2368421053</v>
      </c>
      <c r="O31" s="16">
        <f>IFERROR(__xludf.DUMMYFUNCTION("""COMPUTED_VALUE"""),0.186495176848874)</f>
        <v>0.1864951768</v>
      </c>
      <c r="P31" s="16">
        <f>IFERROR(__xludf.DUMMYFUNCTION("""COMPUTED_VALUE"""),0.179611650485436)</f>
        <v>0.1796116505</v>
      </c>
      <c r="Q31" s="16">
        <f>IFERROR(__xludf.DUMMYFUNCTION("""COMPUTED_VALUE"""),0.0)</f>
        <v>0</v>
      </c>
      <c r="R31" s="16">
        <f>IFERROR(__xludf.DUMMYFUNCTION("""COMPUTED_VALUE"""),0.0)</f>
        <v>0</v>
      </c>
      <c r="S31" s="16">
        <f>IFERROR(__xludf.DUMMYFUNCTION("""COMPUTED_VALUE"""),0.0)</f>
        <v>0</v>
      </c>
      <c r="T31" s="16">
        <f>IFERROR(__xludf.DUMMYFUNCTION("""COMPUTED_VALUE"""),0.0)</f>
        <v>0</v>
      </c>
      <c r="U31" s="16">
        <f>IFERROR(__xludf.DUMMYFUNCTION("""COMPUTED_VALUE"""),0.0)</f>
        <v>0</v>
      </c>
      <c r="V31" s="16">
        <f>IFERROR(__xludf.DUMMYFUNCTION("""COMPUTED_VALUE"""),0.0)</f>
        <v>0</v>
      </c>
      <c r="W31" s="16">
        <f>IFERROR(__xludf.DUMMYFUNCTION("""COMPUTED_VALUE"""),0.0)</f>
        <v>0</v>
      </c>
      <c r="X31" s="16">
        <f>IFERROR(__xludf.DUMMYFUNCTION("""COMPUTED_VALUE"""),0.0)</f>
        <v>0</v>
      </c>
      <c r="Y31" s="16">
        <f>IFERROR(__xludf.DUMMYFUNCTION("""COMPUTED_VALUE"""),0.0)</f>
        <v>0</v>
      </c>
      <c r="Z31" s="16">
        <f>IFERROR(__xludf.DUMMYFUNCTION("""COMPUTED_VALUE"""),0.0)</f>
        <v>0</v>
      </c>
      <c r="AA31" s="16">
        <f>IFERROR(__xludf.DUMMYFUNCTION("""COMPUTED_VALUE"""),0.0)</f>
        <v>0</v>
      </c>
      <c r="AB31" s="16">
        <f>IFERROR(__xludf.DUMMYFUNCTION("""COMPUTED_VALUE"""),0.0)</f>
        <v>0</v>
      </c>
      <c r="AC31" s="16">
        <f>IFERROR(__xludf.DUMMYFUNCTION("""COMPUTED_VALUE"""),0.0)</f>
        <v>0</v>
      </c>
      <c r="AD31" s="16">
        <f>IFERROR(__xludf.DUMMYFUNCTION("""COMPUTED_VALUE"""),0.0)</f>
        <v>0</v>
      </c>
      <c r="AE31" s="16">
        <f>IFERROR(__xludf.DUMMYFUNCTION("""COMPUTED_VALUE"""),0.0)</f>
        <v>0</v>
      </c>
      <c r="AF31" s="16">
        <f>IFERROR(__xludf.DUMMYFUNCTION("""COMPUTED_VALUE"""),0.0)</f>
        <v>0</v>
      </c>
      <c r="AG31" s="16">
        <f>IFERROR(__xludf.DUMMYFUNCTION("""COMPUTED_VALUE"""),0.0)</f>
        <v>0</v>
      </c>
      <c r="AH31" s="16">
        <f>IFERROR(__xludf.DUMMYFUNCTION("""COMPUTED_VALUE"""),0.0)</f>
        <v>0</v>
      </c>
    </row>
    <row r="32">
      <c r="A32" s="16" t="str">
        <f>IFERROR(__xludf.DUMMYFUNCTION("""COMPUTED_VALUE"""),"1c56eb2cce6609cb207d235ae3464f7759d4cb84")</f>
        <v>1c56eb2cce6609cb207d235ae3464f7759d4cb84</v>
      </c>
      <c r="B32" s="16" t="str">
        <f>IFERROR(__xludf.DUMMYFUNCTION("""COMPUTED_VALUE"""),"Rage of the Heiress")</f>
        <v>Rage of the Heiress</v>
      </c>
      <c r="C32" s="16" t="str">
        <f>IFERROR(__xludf.DUMMYFUNCTION("""COMPUTED_VALUE"""),"Drama")</f>
        <v>Drama</v>
      </c>
      <c r="D32" s="16">
        <f>IFERROR(__xludf.DUMMYFUNCTION("""COMPUTED_VALUE"""),448.0)</f>
        <v>448</v>
      </c>
      <c r="E32" s="16">
        <f>IFERROR(__xludf.DUMMYFUNCTION("""COMPUTED_VALUE"""),0.953125)</f>
        <v>0.953125</v>
      </c>
      <c r="F32" s="16">
        <f>IFERROR(__xludf.DUMMYFUNCTION("""COMPUTED_VALUE"""),0.582589285714285)</f>
        <v>0.5825892857</v>
      </c>
      <c r="G32" s="16">
        <f>IFERROR(__xludf.DUMMYFUNCTION("""COMPUTED_VALUE"""),0.549107142857142)</f>
        <v>0.5491071429</v>
      </c>
      <c r="H32" s="16">
        <f>IFERROR(__xludf.DUMMYFUNCTION("""COMPUTED_VALUE"""),0.5)</f>
        <v>0.5</v>
      </c>
      <c r="I32" s="16">
        <f>IFERROR(__xludf.DUMMYFUNCTION("""COMPUTED_VALUE"""),0.472350230414746)</f>
        <v>0.4723502304</v>
      </c>
      <c r="J32" s="16">
        <f>IFERROR(__xludf.DUMMYFUNCTION("""COMPUTED_VALUE"""),0.456730769230769)</f>
        <v>0.4567307692</v>
      </c>
      <c r="K32" s="16">
        <f>IFERROR(__xludf.DUMMYFUNCTION("""COMPUTED_VALUE"""),0.442786069651741)</f>
        <v>0.4427860697</v>
      </c>
      <c r="L32" s="16">
        <f>IFERROR(__xludf.DUMMYFUNCTION("""COMPUTED_VALUE"""),0.427835051546391)</f>
        <v>0.4278350515</v>
      </c>
      <c r="M32" s="16">
        <f>IFERROR(__xludf.DUMMYFUNCTION("""COMPUTED_VALUE"""),0.401617250673854)</f>
        <v>0.4016172507</v>
      </c>
      <c r="N32" s="16">
        <f>IFERROR(__xludf.DUMMYFUNCTION("""COMPUTED_VALUE"""),0.385041551246537)</f>
        <v>0.3850415512</v>
      </c>
      <c r="O32" s="16">
        <f>IFERROR(__xludf.DUMMYFUNCTION("""COMPUTED_VALUE"""),0.354098360655737)</f>
        <v>0.3540983607</v>
      </c>
      <c r="P32" s="16">
        <f>IFERROR(__xludf.DUMMYFUNCTION("""COMPUTED_VALUE"""),0.272357723577235)</f>
        <v>0.2723577236</v>
      </c>
      <c r="Q32" s="16">
        <f>IFERROR(__xludf.DUMMYFUNCTION("""COMPUTED_VALUE"""),0.201086956521739)</f>
        <v>0.2010869565</v>
      </c>
      <c r="R32" s="16">
        <f>IFERROR(__xludf.DUMMYFUNCTION("""COMPUTED_VALUE"""),0.150943396226415)</f>
        <v>0.1509433962</v>
      </c>
      <c r="S32" s="16">
        <f>IFERROR(__xludf.DUMMYFUNCTION("""COMPUTED_VALUE"""),0.14388489208633)</f>
        <v>0.1438848921</v>
      </c>
      <c r="T32" s="16">
        <f>IFERROR(__xludf.DUMMYFUNCTION("""COMPUTED_VALUE"""),0.11023622047244)</f>
        <v>0.1102362205</v>
      </c>
      <c r="U32" s="16">
        <f>IFERROR(__xludf.DUMMYFUNCTION("""COMPUTED_VALUE"""),0.0991735537190082)</f>
        <v>0.09917355372</v>
      </c>
      <c r="V32" s="16">
        <f>IFERROR(__xludf.DUMMYFUNCTION("""COMPUTED_VALUE"""),0.0775862068965517)</f>
        <v>0.0775862069</v>
      </c>
      <c r="W32" s="16">
        <f>IFERROR(__xludf.DUMMYFUNCTION("""COMPUTED_VALUE"""),0.0)</f>
        <v>0</v>
      </c>
      <c r="X32" s="16">
        <f>IFERROR(__xludf.DUMMYFUNCTION("""COMPUTED_VALUE"""),0.0)</f>
        <v>0</v>
      </c>
      <c r="Y32" s="16">
        <f>IFERROR(__xludf.DUMMYFUNCTION("""COMPUTED_VALUE"""),0.0)</f>
        <v>0</v>
      </c>
      <c r="Z32" s="16">
        <f>IFERROR(__xludf.DUMMYFUNCTION("""COMPUTED_VALUE"""),0.0)</f>
        <v>0</v>
      </c>
      <c r="AA32" s="16">
        <f>IFERROR(__xludf.DUMMYFUNCTION("""COMPUTED_VALUE"""),0.0)</f>
        <v>0</v>
      </c>
      <c r="AB32" s="16">
        <f>IFERROR(__xludf.DUMMYFUNCTION("""COMPUTED_VALUE"""),0.0)</f>
        <v>0</v>
      </c>
      <c r="AC32" s="16">
        <f>IFERROR(__xludf.DUMMYFUNCTION("""COMPUTED_VALUE"""),0.0)</f>
        <v>0</v>
      </c>
      <c r="AD32" s="16">
        <f>IFERROR(__xludf.DUMMYFUNCTION("""COMPUTED_VALUE"""),0.0)</f>
        <v>0</v>
      </c>
      <c r="AE32" s="16">
        <f>IFERROR(__xludf.DUMMYFUNCTION("""COMPUTED_VALUE"""),0.0)</f>
        <v>0</v>
      </c>
      <c r="AF32" s="16">
        <f>IFERROR(__xludf.DUMMYFUNCTION("""COMPUTED_VALUE"""),0.0)</f>
        <v>0</v>
      </c>
      <c r="AG32" s="16">
        <f>IFERROR(__xludf.DUMMYFUNCTION("""COMPUTED_VALUE"""),0.0)</f>
        <v>0</v>
      </c>
      <c r="AH32" s="16">
        <f>IFERROR(__xludf.DUMMYFUNCTION("""COMPUTED_VALUE"""),0.0)</f>
        <v>0</v>
      </c>
    </row>
    <row r="33">
      <c r="A33" s="16" t="str">
        <f>IFERROR(__xludf.DUMMYFUNCTION("""COMPUTED_VALUE"""),"1ca4f3c3b8e200f37ec14ed7a11442df6a65f4e6")</f>
        <v>1ca4f3c3b8e200f37ec14ed7a11442df6a65f4e6</v>
      </c>
      <c r="B33" s="16" t="str">
        <f>IFERROR(__xludf.DUMMYFUNCTION("""COMPUTED_VALUE"""),"Unstoppable Cultivator")</f>
        <v>Unstoppable Cultivator</v>
      </c>
      <c r="C33" s="16" t="str">
        <f>IFERROR(__xludf.DUMMYFUNCTION("""COMPUTED_VALUE"""),"Fantasy")</f>
        <v>Fantasy</v>
      </c>
      <c r="D33" s="16">
        <f>IFERROR(__xludf.DUMMYFUNCTION("""COMPUTED_VALUE"""),695.0)</f>
        <v>695</v>
      </c>
      <c r="E33" s="16">
        <f>IFERROR(__xludf.DUMMYFUNCTION("""COMPUTED_VALUE"""),0.975539568345323)</f>
        <v>0.9755395683</v>
      </c>
      <c r="F33" s="16">
        <f>IFERROR(__xludf.DUMMYFUNCTION("""COMPUTED_VALUE"""),0.451798561151079)</f>
        <v>0.4517985612</v>
      </c>
      <c r="G33" s="16">
        <f>IFERROR(__xludf.DUMMYFUNCTION("""COMPUTED_VALUE"""),0.39136690647482)</f>
        <v>0.3913669065</v>
      </c>
      <c r="H33" s="16">
        <f>IFERROR(__xludf.DUMMYFUNCTION("""COMPUTED_VALUE"""),0.351079136690647)</f>
        <v>0.3510791367</v>
      </c>
      <c r="I33" s="16">
        <f>IFERROR(__xludf.DUMMYFUNCTION("""COMPUTED_VALUE"""),0.32564841498559)</f>
        <v>0.325648415</v>
      </c>
      <c r="J33" s="16">
        <f>IFERROR(__xludf.DUMMYFUNCTION("""COMPUTED_VALUE"""),0.295815295815295)</f>
        <v>0.2958152958</v>
      </c>
      <c r="K33" s="16">
        <f>IFERROR(__xludf.DUMMYFUNCTION("""COMPUTED_VALUE"""),0.278260869565217)</f>
        <v>0.2782608696</v>
      </c>
      <c r="L33" s="16">
        <f>IFERROR(__xludf.DUMMYFUNCTION("""COMPUTED_VALUE"""),0.269956458635703)</f>
        <v>0.2699564586</v>
      </c>
      <c r="M33" s="16">
        <f>IFERROR(__xludf.DUMMYFUNCTION("""COMPUTED_VALUE"""),0.248546511627906)</f>
        <v>0.2485465116</v>
      </c>
      <c r="N33" s="16">
        <f>IFERROR(__xludf.DUMMYFUNCTION("""COMPUTED_VALUE"""),0.231778425655976)</f>
        <v>0.2317784257</v>
      </c>
      <c r="O33" s="16">
        <f>IFERROR(__xludf.DUMMYFUNCTION("""COMPUTED_VALUE"""),0.205357142857142)</f>
        <v>0.2053571429</v>
      </c>
      <c r="P33" s="16">
        <f>IFERROR(__xludf.DUMMYFUNCTION("""COMPUTED_VALUE"""),0.109656301145662)</f>
        <v>0.1096563011</v>
      </c>
      <c r="Q33" s="16">
        <f>IFERROR(__xludf.DUMMYFUNCTION("""COMPUTED_VALUE"""),0.133333333333333)</f>
        <v>0.1333333333</v>
      </c>
      <c r="R33" s="16">
        <f>IFERROR(__xludf.DUMMYFUNCTION("""COMPUTED_VALUE"""),0.181818181818181)</f>
        <v>0.1818181818</v>
      </c>
      <c r="S33" s="16">
        <f>IFERROR(__xludf.DUMMYFUNCTION("""COMPUTED_VALUE"""),0.0)</f>
        <v>0</v>
      </c>
      <c r="T33" s="16">
        <f>IFERROR(__xludf.DUMMYFUNCTION("""COMPUTED_VALUE"""),0.0)</f>
        <v>0</v>
      </c>
      <c r="U33" s="16">
        <f>IFERROR(__xludf.DUMMYFUNCTION("""COMPUTED_VALUE"""),0.0)</f>
        <v>0</v>
      </c>
      <c r="V33" s="16">
        <f>IFERROR(__xludf.DUMMYFUNCTION("""COMPUTED_VALUE"""),0.0)</f>
        <v>0</v>
      </c>
      <c r="W33" s="16">
        <f>IFERROR(__xludf.DUMMYFUNCTION("""COMPUTED_VALUE"""),0.0)</f>
        <v>0</v>
      </c>
      <c r="X33" s="16">
        <f>IFERROR(__xludf.DUMMYFUNCTION("""COMPUTED_VALUE"""),0.0)</f>
        <v>0</v>
      </c>
      <c r="Y33" s="16">
        <f>IFERROR(__xludf.DUMMYFUNCTION("""COMPUTED_VALUE"""),0.0)</f>
        <v>0</v>
      </c>
      <c r="Z33" s="16">
        <f>IFERROR(__xludf.DUMMYFUNCTION("""COMPUTED_VALUE"""),0.0)</f>
        <v>0</v>
      </c>
      <c r="AA33" s="16">
        <f>IFERROR(__xludf.DUMMYFUNCTION("""COMPUTED_VALUE"""),0.0)</f>
        <v>0</v>
      </c>
      <c r="AB33" s="16">
        <f>IFERROR(__xludf.DUMMYFUNCTION("""COMPUTED_VALUE"""),0.0)</f>
        <v>0</v>
      </c>
      <c r="AC33" s="16">
        <f>IFERROR(__xludf.DUMMYFUNCTION("""COMPUTED_VALUE"""),0.0)</f>
        <v>0</v>
      </c>
      <c r="AD33" s="16">
        <f>IFERROR(__xludf.DUMMYFUNCTION("""COMPUTED_VALUE"""),0.0)</f>
        <v>0</v>
      </c>
      <c r="AE33" s="16">
        <f>IFERROR(__xludf.DUMMYFUNCTION("""COMPUTED_VALUE"""),0.0)</f>
        <v>0</v>
      </c>
      <c r="AF33" s="16">
        <f>IFERROR(__xludf.DUMMYFUNCTION("""COMPUTED_VALUE"""),0.0)</f>
        <v>0</v>
      </c>
      <c r="AG33" s="16">
        <f>IFERROR(__xludf.DUMMYFUNCTION("""COMPUTED_VALUE"""),0.0)</f>
        <v>0</v>
      </c>
      <c r="AH33" s="16">
        <f>IFERROR(__xludf.DUMMYFUNCTION("""COMPUTED_VALUE"""),0.0)</f>
        <v>0</v>
      </c>
    </row>
    <row r="34">
      <c r="A34" s="16" t="str">
        <f>IFERROR(__xludf.DUMMYFUNCTION("""COMPUTED_VALUE"""),"1d8b1f39e146ede1f7528763445a7a47aad10b05")</f>
        <v>1d8b1f39e146ede1f7528763445a7a47aad10b05</v>
      </c>
      <c r="B34" s="16" t="str">
        <f>IFERROR(__xludf.DUMMYFUNCTION("""COMPUTED_VALUE"""),"Love and Heartbroken")</f>
        <v>Love and Heartbroken</v>
      </c>
      <c r="C34" s="16" t="str">
        <f>IFERROR(__xludf.DUMMYFUNCTION("""COMPUTED_VALUE"""),"System and Superpower")</f>
        <v>System and Superpower</v>
      </c>
      <c r="D34" s="16">
        <f>IFERROR(__xludf.DUMMYFUNCTION("""COMPUTED_VALUE"""),343.0)</f>
        <v>343</v>
      </c>
      <c r="E34" s="16">
        <f>IFERROR(__xludf.DUMMYFUNCTION("""COMPUTED_VALUE"""),0.947521865889212)</f>
        <v>0.9475218659</v>
      </c>
      <c r="F34" s="16">
        <f>IFERROR(__xludf.DUMMYFUNCTION("""COMPUTED_VALUE"""),0.66472303206997)</f>
        <v>0.6647230321</v>
      </c>
      <c r="G34" s="16">
        <f>IFERROR(__xludf.DUMMYFUNCTION("""COMPUTED_VALUE"""),0.612244897959183)</f>
        <v>0.612244898</v>
      </c>
      <c r="H34" s="16">
        <f>IFERROR(__xludf.DUMMYFUNCTION("""COMPUTED_VALUE"""),0.556851311953352)</f>
        <v>0.556851312</v>
      </c>
      <c r="I34" s="16">
        <f>IFERROR(__xludf.DUMMYFUNCTION("""COMPUTED_VALUE"""),0.524781341107871)</f>
        <v>0.5247813411</v>
      </c>
      <c r="J34" s="16">
        <f>IFERROR(__xludf.DUMMYFUNCTION("""COMPUTED_VALUE"""),0.46938775510204)</f>
        <v>0.4693877551</v>
      </c>
      <c r="K34" s="16">
        <f>IFERROR(__xludf.DUMMYFUNCTION("""COMPUTED_VALUE"""),0.443148688046647)</f>
        <v>0.443148688</v>
      </c>
      <c r="L34" s="16">
        <f>IFERROR(__xludf.DUMMYFUNCTION("""COMPUTED_VALUE"""),0.419825072886297)</f>
        <v>0.4198250729</v>
      </c>
      <c r="M34" s="16">
        <f>IFERROR(__xludf.DUMMYFUNCTION("""COMPUTED_VALUE"""),0.396501457725947)</f>
        <v>0.3965014577</v>
      </c>
      <c r="N34" s="16">
        <f>IFERROR(__xludf.DUMMYFUNCTION("""COMPUTED_VALUE"""),0.33625730994152)</f>
        <v>0.3362573099</v>
      </c>
      <c r="O34" s="16">
        <f>IFERROR(__xludf.DUMMYFUNCTION("""COMPUTED_VALUE"""),0.209439528023598)</f>
        <v>0.209439528</v>
      </c>
      <c r="P34" s="16">
        <f>IFERROR(__xludf.DUMMYFUNCTION("""COMPUTED_VALUE"""),0.134426229508196)</f>
        <v>0.1344262295</v>
      </c>
      <c r="Q34" s="16">
        <f>IFERROR(__xludf.DUMMYFUNCTION("""COMPUTED_VALUE"""),0.0894941634241245)</f>
        <v>0.08949416342</v>
      </c>
      <c r="R34" s="16">
        <f>IFERROR(__xludf.DUMMYFUNCTION("""COMPUTED_VALUE"""),0.0297872340425531)</f>
        <v>0.02978723404</v>
      </c>
      <c r="S34" s="16">
        <f>IFERROR(__xludf.DUMMYFUNCTION("""COMPUTED_VALUE"""),0.0181818181818181)</f>
        <v>0.01818181818</v>
      </c>
      <c r="T34" s="16">
        <f>IFERROR(__xludf.DUMMYFUNCTION("""COMPUTED_VALUE"""),0.0)</f>
        <v>0</v>
      </c>
      <c r="U34" s="16">
        <f>IFERROR(__xludf.DUMMYFUNCTION("""COMPUTED_VALUE"""),0.0)</f>
        <v>0</v>
      </c>
      <c r="V34" s="16">
        <f>IFERROR(__xludf.DUMMYFUNCTION("""COMPUTED_VALUE"""),0.0)</f>
        <v>0</v>
      </c>
      <c r="W34" s="16">
        <f>IFERROR(__xludf.DUMMYFUNCTION("""COMPUTED_VALUE"""),0.0)</f>
        <v>0</v>
      </c>
      <c r="X34" s="16">
        <f>IFERROR(__xludf.DUMMYFUNCTION("""COMPUTED_VALUE"""),0.0)</f>
        <v>0</v>
      </c>
      <c r="Y34" s="16">
        <f>IFERROR(__xludf.DUMMYFUNCTION("""COMPUTED_VALUE"""),0.0)</f>
        <v>0</v>
      </c>
      <c r="Z34" s="16">
        <f>IFERROR(__xludf.DUMMYFUNCTION("""COMPUTED_VALUE"""),0.0)</f>
        <v>0</v>
      </c>
      <c r="AA34" s="16">
        <f>IFERROR(__xludf.DUMMYFUNCTION("""COMPUTED_VALUE"""),0.0)</f>
        <v>0</v>
      </c>
      <c r="AB34" s="16">
        <f>IFERROR(__xludf.DUMMYFUNCTION("""COMPUTED_VALUE"""),0.0)</f>
        <v>0</v>
      </c>
      <c r="AC34" s="16">
        <f>IFERROR(__xludf.DUMMYFUNCTION("""COMPUTED_VALUE"""),0.0)</f>
        <v>0</v>
      </c>
      <c r="AD34" s="16">
        <f>IFERROR(__xludf.DUMMYFUNCTION("""COMPUTED_VALUE"""),0.0)</f>
        <v>0</v>
      </c>
      <c r="AE34" s="16">
        <f>IFERROR(__xludf.DUMMYFUNCTION("""COMPUTED_VALUE"""),0.0)</f>
        <v>0</v>
      </c>
      <c r="AF34" s="16">
        <f>IFERROR(__xludf.DUMMYFUNCTION("""COMPUTED_VALUE"""),0.0)</f>
        <v>0</v>
      </c>
      <c r="AG34" s="16">
        <f>IFERROR(__xludf.DUMMYFUNCTION("""COMPUTED_VALUE"""),0.0)</f>
        <v>0</v>
      </c>
      <c r="AH34" s="16">
        <f>IFERROR(__xludf.DUMMYFUNCTION("""COMPUTED_VALUE"""),0.0)</f>
        <v>0</v>
      </c>
    </row>
    <row r="35">
      <c r="A35" s="16" t="str">
        <f>IFERROR(__xludf.DUMMYFUNCTION("""COMPUTED_VALUE"""),"1e1205d9e93348005e7eb4b2e071c8c63b7914ca")</f>
        <v>1e1205d9e93348005e7eb4b2e071c8c63b7914ca</v>
      </c>
      <c r="B35" s="16" t="str">
        <f>IFERROR(__xludf.DUMMYFUNCTION("""COMPUTED_VALUE"""),"The Heart's Captive")</f>
        <v>The Heart's Captive</v>
      </c>
      <c r="C35" s="16" t="str">
        <f>IFERROR(__xludf.DUMMYFUNCTION("""COMPUTED_VALUE"""),"Romantasy")</f>
        <v>Romantasy</v>
      </c>
      <c r="D35" s="16">
        <f>IFERROR(__xludf.DUMMYFUNCTION("""COMPUTED_VALUE"""),49.0)</f>
        <v>49</v>
      </c>
      <c r="E35" s="16">
        <f>IFERROR(__xludf.DUMMYFUNCTION("""COMPUTED_VALUE"""),0.897959183673469)</f>
        <v>0.8979591837</v>
      </c>
      <c r="F35" s="16">
        <f>IFERROR(__xludf.DUMMYFUNCTION("""COMPUTED_VALUE"""),0.163265306122448)</f>
        <v>0.1632653061</v>
      </c>
      <c r="G35" s="16">
        <f>IFERROR(__xludf.DUMMYFUNCTION("""COMPUTED_VALUE"""),0.142857142857142)</f>
        <v>0.1428571429</v>
      </c>
      <c r="H35" s="16">
        <f>IFERROR(__xludf.DUMMYFUNCTION("""COMPUTED_VALUE"""),0.183673469387755)</f>
        <v>0.1836734694</v>
      </c>
      <c r="I35" s="16">
        <f>IFERROR(__xludf.DUMMYFUNCTION("""COMPUTED_VALUE"""),0.163265306122448)</f>
        <v>0.1632653061</v>
      </c>
      <c r="J35" s="16">
        <f>IFERROR(__xludf.DUMMYFUNCTION("""COMPUTED_VALUE"""),0.163265306122448)</f>
        <v>0.1632653061</v>
      </c>
      <c r="K35" s="16">
        <f>IFERROR(__xludf.DUMMYFUNCTION("""COMPUTED_VALUE"""),0.183673469387755)</f>
        <v>0.1836734694</v>
      </c>
      <c r="L35" s="16">
        <f>IFERROR(__xludf.DUMMYFUNCTION("""COMPUTED_VALUE"""),0.183673469387755)</f>
        <v>0.1836734694</v>
      </c>
      <c r="M35" s="16">
        <f>IFERROR(__xludf.DUMMYFUNCTION("""COMPUTED_VALUE"""),0.183673469387755)</f>
        <v>0.1836734694</v>
      </c>
      <c r="N35" s="16">
        <f>IFERROR(__xludf.DUMMYFUNCTION("""COMPUTED_VALUE"""),0.204081632653061)</f>
        <v>0.2040816327</v>
      </c>
      <c r="O35" s="16">
        <f>IFERROR(__xludf.DUMMYFUNCTION("""COMPUTED_VALUE"""),0.142857142857142)</f>
        <v>0.1428571429</v>
      </c>
      <c r="P35" s="16">
        <f>IFERROR(__xludf.DUMMYFUNCTION("""COMPUTED_VALUE"""),0.0612244897959183)</f>
        <v>0.0612244898</v>
      </c>
      <c r="Q35" s="16">
        <f>IFERROR(__xludf.DUMMYFUNCTION("""COMPUTED_VALUE"""),0.0204081632653061)</f>
        <v>0.02040816327</v>
      </c>
      <c r="R35" s="16">
        <f>IFERROR(__xludf.DUMMYFUNCTION("""COMPUTED_VALUE"""),0.0)</f>
        <v>0</v>
      </c>
      <c r="S35" s="16">
        <f>IFERROR(__xludf.DUMMYFUNCTION("""COMPUTED_VALUE"""),0.0)</f>
        <v>0</v>
      </c>
      <c r="T35" s="16">
        <f>IFERROR(__xludf.DUMMYFUNCTION("""COMPUTED_VALUE"""),0.0)</f>
        <v>0</v>
      </c>
      <c r="U35" s="16">
        <f>IFERROR(__xludf.DUMMYFUNCTION("""COMPUTED_VALUE"""),0.0)</f>
        <v>0</v>
      </c>
      <c r="V35" s="16">
        <f>IFERROR(__xludf.DUMMYFUNCTION("""COMPUTED_VALUE"""),0.0)</f>
        <v>0</v>
      </c>
      <c r="W35" s="16">
        <f>IFERROR(__xludf.DUMMYFUNCTION("""COMPUTED_VALUE"""),0.0)</f>
        <v>0</v>
      </c>
      <c r="X35" s="16">
        <f>IFERROR(__xludf.DUMMYFUNCTION("""COMPUTED_VALUE"""),0.0)</f>
        <v>0</v>
      </c>
      <c r="Y35" s="16">
        <f>IFERROR(__xludf.DUMMYFUNCTION("""COMPUTED_VALUE"""),0.0)</f>
        <v>0</v>
      </c>
      <c r="Z35" s="16">
        <f>IFERROR(__xludf.DUMMYFUNCTION("""COMPUTED_VALUE"""),0.0)</f>
        <v>0</v>
      </c>
      <c r="AA35" s="16">
        <f>IFERROR(__xludf.DUMMYFUNCTION("""COMPUTED_VALUE"""),0.0)</f>
        <v>0</v>
      </c>
      <c r="AB35" s="16">
        <f>IFERROR(__xludf.DUMMYFUNCTION("""COMPUTED_VALUE"""),0.0)</f>
        <v>0</v>
      </c>
      <c r="AC35" s="16">
        <f>IFERROR(__xludf.DUMMYFUNCTION("""COMPUTED_VALUE"""),0.0)</f>
        <v>0</v>
      </c>
      <c r="AD35" s="16">
        <f>IFERROR(__xludf.DUMMYFUNCTION("""COMPUTED_VALUE"""),0.0)</f>
        <v>0</v>
      </c>
      <c r="AE35" s="16">
        <f>IFERROR(__xludf.DUMMYFUNCTION("""COMPUTED_VALUE"""),0.0)</f>
        <v>0</v>
      </c>
      <c r="AF35" s="16">
        <f>IFERROR(__xludf.DUMMYFUNCTION("""COMPUTED_VALUE"""),0.0)</f>
        <v>0</v>
      </c>
      <c r="AG35" s="16">
        <f>IFERROR(__xludf.DUMMYFUNCTION("""COMPUTED_VALUE"""),0.0)</f>
        <v>0</v>
      </c>
      <c r="AH35" s="16">
        <f>IFERROR(__xludf.DUMMYFUNCTION("""COMPUTED_VALUE"""),0.0)</f>
        <v>0</v>
      </c>
    </row>
    <row r="36">
      <c r="A36" s="16" t="str">
        <f>IFERROR(__xludf.DUMMYFUNCTION("""COMPUTED_VALUE"""),"1e2b4197fd4a9f595c560bc8d4530339758b031a")</f>
        <v>1e2b4197fd4a9f595c560bc8d4530339758b031a</v>
      </c>
      <c r="B36" s="16" t="str">
        <f>IFERROR(__xludf.DUMMYFUNCTION("""COMPUTED_VALUE"""),"Becoming Garrison Green")</f>
        <v>Becoming Garrison Green</v>
      </c>
      <c r="C36" s="16" t="str">
        <f>IFERROR(__xludf.DUMMYFUNCTION("""COMPUTED_VALUE"""),"Drama")</f>
        <v>Drama</v>
      </c>
      <c r="D36" s="16">
        <f>IFERROR(__xludf.DUMMYFUNCTION("""COMPUTED_VALUE"""),850.0)</f>
        <v>850</v>
      </c>
      <c r="E36" s="16">
        <f>IFERROR(__xludf.DUMMYFUNCTION("""COMPUTED_VALUE"""),0.94235294117647)</f>
        <v>0.9423529412</v>
      </c>
      <c r="F36" s="16">
        <f>IFERROR(__xludf.DUMMYFUNCTION("""COMPUTED_VALUE"""),0.649411764705882)</f>
        <v>0.6494117647</v>
      </c>
      <c r="G36" s="16">
        <f>IFERROR(__xludf.DUMMYFUNCTION("""COMPUTED_VALUE"""),0.628235294117647)</f>
        <v>0.6282352941</v>
      </c>
      <c r="H36" s="16">
        <f>IFERROR(__xludf.DUMMYFUNCTION("""COMPUTED_VALUE"""),0.603529411764705)</f>
        <v>0.6035294118</v>
      </c>
      <c r="I36" s="16">
        <f>IFERROR(__xludf.DUMMYFUNCTION("""COMPUTED_VALUE"""),0.571764705882353)</f>
        <v>0.5717647059</v>
      </c>
      <c r="J36" s="16">
        <f>IFERROR(__xludf.DUMMYFUNCTION("""COMPUTED_VALUE"""),0.557783018867924)</f>
        <v>0.5577830189</v>
      </c>
      <c r="K36" s="16">
        <f>IFERROR(__xludf.DUMMYFUNCTION("""COMPUTED_VALUE"""),0.526564344746163)</f>
        <v>0.5265643447</v>
      </c>
      <c r="L36" s="16">
        <f>IFERROR(__xludf.DUMMYFUNCTION("""COMPUTED_VALUE"""),0.496445497630331)</f>
        <v>0.4964454976</v>
      </c>
      <c r="M36" s="16">
        <f>IFERROR(__xludf.DUMMYFUNCTION("""COMPUTED_VALUE"""),0.484597156398104)</f>
        <v>0.4845971564</v>
      </c>
      <c r="N36" s="16">
        <f>IFERROR(__xludf.DUMMYFUNCTION("""COMPUTED_VALUE"""),0.473309608540925)</f>
        <v>0.4733096085</v>
      </c>
      <c r="O36" s="16">
        <f>IFERROR(__xludf.DUMMYFUNCTION("""COMPUTED_VALUE"""),0.428396572827417)</f>
        <v>0.4283965728</v>
      </c>
      <c r="P36" s="16">
        <f>IFERROR(__xludf.DUMMYFUNCTION("""COMPUTED_VALUE"""),0.311173974540311)</f>
        <v>0.3111739745</v>
      </c>
      <c r="Q36" s="16">
        <f>IFERROR(__xludf.DUMMYFUNCTION("""COMPUTED_VALUE"""),0.20054945054945)</f>
        <v>0.2005494505</v>
      </c>
      <c r="R36" s="16">
        <f>IFERROR(__xludf.DUMMYFUNCTION("""COMPUTED_VALUE"""),0.125)</f>
        <v>0.125</v>
      </c>
      <c r="S36" s="16">
        <f>IFERROR(__xludf.DUMMYFUNCTION("""COMPUTED_VALUE"""),0.0)</f>
        <v>0</v>
      </c>
      <c r="T36" s="16">
        <f>IFERROR(__xludf.DUMMYFUNCTION("""COMPUTED_VALUE"""),0.0)</f>
        <v>0</v>
      </c>
      <c r="U36" s="16">
        <f>IFERROR(__xludf.DUMMYFUNCTION("""COMPUTED_VALUE"""),0.0)</f>
        <v>0</v>
      </c>
      <c r="V36" s="16">
        <f>IFERROR(__xludf.DUMMYFUNCTION("""COMPUTED_VALUE"""),0.0)</f>
        <v>0</v>
      </c>
      <c r="W36" s="16">
        <f>IFERROR(__xludf.DUMMYFUNCTION("""COMPUTED_VALUE"""),0.0)</f>
        <v>0</v>
      </c>
      <c r="X36" s="16">
        <f>IFERROR(__xludf.DUMMYFUNCTION("""COMPUTED_VALUE"""),0.0)</f>
        <v>0</v>
      </c>
      <c r="Y36" s="16">
        <f>IFERROR(__xludf.DUMMYFUNCTION("""COMPUTED_VALUE"""),0.0)</f>
        <v>0</v>
      </c>
      <c r="Z36" s="16">
        <f>IFERROR(__xludf.DUMMYFUNCTION("""COMPUTED_VALUE"""),0.0)</f>
        <v>0</v>
      </c>
      <c r="AA36" s="16">
        <f>IFERROR(__xludf.DUMMYFUNCTION("""COMPUTED_VALUE"""),0.0)</f>
        <v>0</v>
      </c>
      <c r="AB36" s="16">
        <f>IFERROR(__xludf.DUMMYFUNCTION("""COMPUTED_VALUE"""),0.0)</f>
        <v>0</v>
      </c>
      <c r="AC36" s="16">
        <f>IFERROR(__xludf.DUMMYFUNCTION("""COMPUTED_VALUE"""),0.0)</f>
        <v>0</v>
      </c>
      <c r="AD36" s="16">
        <f>IFERROR(__xludf.DUMMYFUNCTION("""COMPUTED_VALUE"""),0.0)</f>
        <v>0</v>
      </c>
      <c r="AE36" s="16">
        <f>IFERROR(__xludf.DUMMYFUNCTION("""COMPUTED_VALUE"""),0.0)</f>
        <v>0</v>
      </c>
      <c r="AF36" s="16">
        <f>IFERROR(__xludf.DUMMYFUNCTION("""COMPUTED_VALUE"""),0.0)</f>
        <v>0</v>
      </c>
      <c r="AG36" s="16">
        <f>IFERROR(__xludf.DUMMYFUNCTION("""COMPUTED_VALUE"""),0.0)</f>
        <v>0</v>
      </c>
      <c r="AH36" s="16">
        <f>IFERROR(__xludf.DUMMYFUNCTION("""COMPUTED_VALUE"""),0.0)</f>
        <v>0</v>
      </c>
    </row>
    <row r="37">
      <c r="A37" s="16" t="str">
        <f>IFERROR(__xludf.DUMMYFUNCTION("""COMPUTED_VALUE"""),"1e8c33b5d824973efcdca4b5194f961aed4ba258")</f>
        <v>1e8c33b5d824973efcdca4b5194f961aed4ba258</v>
      </c>
      <c r="B37" s="16" t="str">
        <f>IFERROR(__xludf.DUMMYFUNCTION("""COMPUTED_VALUE"""),"Mafia's Reluctant Bride")</f>
        <v>Mafia's Reluctant Bride</v>
      </c>
      <c r="C37" s="16" t="str">
        <f>IFERROR(__xludf.DUMMYFUNCTION("""COMPUTED_VALUE"""),"Romance")</f>
        <v>Romance</v>
      </c>
      <c r="D37" s="16">
        <f>IFERROR(__xludf.DUMMYFUNCTION("""COMPUTED_VALUE"""),151.0)</f>
        <v>151</v>
      </c>
      <c r="E37" s="16">
        <f>IFERROR(__xludf.DUMMYFUNCTION("""COMPUTED_VALUE"""),0.986754966887417)</f>
        <v>0.9867549669</v>
      </c>
      <c r="F37" s="16">
        <f>IFERROR(__xludf.DUMMYFUNCTION("""COMPUTED_VALUE"""),0.490066225165562)</f>
        <v>0.4900662252</v>
      </c>
      <c r="G37" s="16">
        <f>IFERROR(__xludf.DUMMYFUNCTION("""COMPUTED_VALUE"""),0.437086092715231)</f>
        <v>0.4370860927</v>
      </c>
      <c r="H37" s="16">
        <f>IFERROR(__xludf.DUMMYFUNCTION("""COMPUTED_VALUE"""),0.410596026490066)</f>
        <v>0.4105960265</v>
      </c>
      <c r="I37" s="16">
        <f>IFERROR(__xludf.DUMMYFUNCTION("""COMPUTED_VALUE"""),0.331081081081081)</f>
        <v>0.3310810811</v>
      </c>
      <c r="J37" s="16">
        <f>IFERROR(__xludf.DUMMYFUNCTION("""COMPUTED_VALUE"""),0.294520547945205)</f>
        <v>0.2945205479</v>
      </c>
      <c r="K37" s="16">
        <f>IFERROR(__xludf.DUMMYFUNCTION("""COMPUTED_VALUE"""),0.287671232876712)</f>
        <v>0.2876712329</v>
      </c>
      <c r="L37" s="16">
        <f>IFERROR(__xludf.DUMMYFUNCTION("""COMPUTED_VALUE"""),0.3)</f>
        <v>0.3</v>
      </c>
      <c r="M37" s="16">
        <f>IFERROR(__xludf.DUMMYFUNCTION("""COMPUTED_VALUE"""),0.292857142857142)</f>
        <v>0.2928571429</v>
      </c>
      <c r="N37" s="16">
        <f>IFERROR(__xludf.DUMMYFUNCTION("""COMPUTED_VALUE"""),0.270072992700729)</f>
        <v>0.2700729927</v>
      </c>
      <c r="O37" s="16">
        <f>IFERROR(__xludf.DUMMYFUNCTION("""COMPUTED_VALUE"""),0.24793388429752)</f>
        <v>0.2479338843</v>
      </c>
      <c r="P37" s="16">
        <f>IFERROR(__xludf.DUMMYFUNCTION("""COMPUTED_VALUE"""),0.185185185185185)</f>
        <v>0.1851851852</v>
      </c>
      <c r="Q37" s="16">
        <f>IFERROR(__xludf.DUMMYFUNCTION("""COMPUTED_VALUE"""),0.0)</f>
        <v>0</v>
      </c>
      <c r="R37" s="16">
        <f>IFERROR(__xludf.DUMMYFUNCTION("""COMPUTED_VALUE"""),0.0)</f>
        <v>0</v>
      </c>
      <c r="S37" s="16">
        <f>IFERROR(__xludf.DUMMYFUNCTION("""COMPUTED_VALUE"""),0.0)</f>
        <v>0</v>
      </c>
      <c r="T37" s="16">
        <f>IFERROR(__xludf.DUMMYFUNCTION("""COMPUTED_VALUE"""),0.0)</f>
        <v>0</v>
      </c>
      <c r="U37" s="16">
        <f>IFERROR(__xludf.DUMMYFUNCTION("""COMPUTED_VALUE"""),0.0)</f>
        <v>0</v>
      </c>
      <c r="V37" s="16">
        <f>IFERROR(__xludf.DUMMYFUNCTION("""COMPUTED_VALUE"""),0.0)</f>
        <v>0</v>
      </c>
      <c r="W37" s="16">
        <f>IFERROR(__xludf.DUMMYFUNCTION("""COMPUTED_VALUE"""),0.0)</f>
        <v>0</v>
      </c>
      <c r="X37" s="16">
        <f>IFERROR(__xludf.DUMMYFUNCTION("""COMPUTED_VALUE"""),0.0)</f>
        <v>0</v>
      </c>
      <c r="Y37" s="16">
        <f>IFERROR(__xludf.DUMMYFUNCTION("""COMPUTED_VALUE"""),0.0)</f>
        <v>0</v>
      </c>
      <c r="Z37" s="16">
        <f>IFERROR(__xludf.DUMMYFUNCTION("""COMPUTED_VALUE"""),0.0)</f>
        <v>0</v>
      </c>
      <c r="AA37" s="16">
        <f>IFERROR(__xludf.DUMMYFUNCTION("""COMPUTED_VALUE"""),0.0)</f>
        <v>0</v>
      </c>
      <c r="AB37" s="16">
        <f>IFERROR(__xludf.DUMMYFUNCTION("""COMPUTED_VALUE"""),0.0)</f>
        <v>0</v>
      </c>
      <c r="AC37" s="16">
        <f>IFERROR(__xludf.DUMMYFUNCTION("""COMPUTED_VALUE"""),0.0)</f>
        <v>0</v>
      </c>
      <c r="AD37" s="16">
        <f>IFERROR(__xludf.DUMMYFUNCTION("""COMPUTED_VALUE"""),0.0)</f>
        <v>0</v>
      </c>
      <c r="AE37" s="16">
        <f>IFERROR(__xludf.DUMMYFUNCTION("""COMPUTED_VALUE"""),0.0)</f>
        <v>0</v>
      </c>
      <c r="AF37" s="16">
        <f>IFERROR(__xludf.DUMMYFUNCTION("""COMPUTED_VALUE"""),0.0)</f>
        <v>0</v>
      </c>
      <c r="AG37" s="16">
        <f>IFERROR(__xludf.DUMMYFUNCTION("""COMPUTED_VALUE"""),0.0)</f>
        <v>0</v>
      </c>
      <c r="AH37" s="16">
        <f>IFERROR(__xludf.DUMMYFUNCTION("""COMPUTED_VALUE"""),0.0)</f>
        <v>0</v>
      </c>
    </row>
    <row r="38">
      <c r="A38" s="16" t="str">
        <f>IFERROR(__xludf.DUMMYFUNCTION("""COMPUTED_VALUE"""),"1f78098e196cc2154bbadfe054e0bdd13c10fa60")</f>
        <v>1f78098e196cc2154bbadfe054e0bdd13c10fa60</v>
      </c>
      <c r="B38" s="16" t="str">
        <f>IFERROR(__xludf.DUMMYFUNCTION("""COMPUTED_VALUE"""),"The Marriage Timer")</f>
        <v>The Marriage Timer</v>
      </c>
      <c r="C38" s="16" t="str">
        <f>IFERROR(__xludf.DUMMYFUNCTION("""COMPUTED_VALUE"""),"Romance")</f>
        <v>Romance</v>
      </c>
      <c r="D38" s="16">
        <f>IFERROR(__xludf.DUMMYFUNCTION("""COMPUTED_VALUE"""),354.0)</f>
        <v>354</v>
      </c>
      <c r="E38" s="16">
        <f>IFERROR(__xludf.DUMMYFUNCTION("""COMPUTED_VALUE"""),0.971751412429378)</f>
        <v>0.9717514124</v>
      </c>
      <c r="F38" s="16">
        <f>IFERROR(__xludf.DUMMYFUNCTION("""COMPUTED_VALUE"""),0.429378531073446)</f>
        <v>0.4293785311</v>
      </c>
      <c r="G38" s="16">
        <f>IFERROR(__xludf.DUMMYFUNCTION("""COMPUTED_VALUE"""),0.338983050847457)</f>
        <v>0.3389830508</v>
      </c>
      <c r="H38" s="16">
        <f>IFERROR(__xludf.DUMMYFUNCTION("""COMPUTED_VALUE"""),0.305084745762711)</f>
        <v>0.3050847458</v>
      </c>
      <c r="I38" s="16">
        <f>IFERROR(__xludf.DUMMYFUNCTION("""COMPUTED_VALUE"""),0.285310734463276)</f>
        <v>0.2853107345</v>
      </c>
      <c r="J38" s="16">
        <f>IFERROR(__xludf.DUMMYFUNCTION("""COMPUTED_VALUE"""),0.269121813031161)</f>
        <v>0.269121813</v>
      </c>
      <c r="K38" s="16">
        <f>IFERROR(__xludf.DUMMYFUNCTION("""COMPUTED_VALUE"""),0.260623229461756)</f>
        <v>0.2606232295</v>
      </c>
      <c r="L38" s="16">
        <f>IFERROR(__xludf.DUMMYFUNCTION("""COMPUTED_VALUE"""),0.249291784702549)</f>
        <v>0.2492917847</v>
      </c>
      <c r="M38" s="16">
        <f>IFERROR(__xludf.DUMMYFUNCTION("""COMPUTED_VALUE"""),0.237960339943342)</f>
        <v>0.2379603399</v>
      </c>
      <c r="N38" s="16">
        <f>IFERROR(__xludf.DUMMYFUNCTION("""COMPUTED_VALUE"""),0.235127478753541)</f>
        <v>0.2351274788</v>
      </c>
      <c r="O38" s="16">
        <f>IFERROR(__xludf.DUMMYFUNCTION("""COMPUTED_VALUE"""),0.219373219373219)</f>
        <v>0.2193732194</v>
      </c>
      <c r="P38" s="16">
        <f>IFERROR(__xludf.DUMMYFUNCTION("""COMPUTED_VALUE"""),0.113074204946996)</f>
        <v>0.1130742049</v>
      </c>
      <c r="Q38" s="16">
        <f>IFERROR(__xludf.DUMMYFUNCTION("""COMPUTED_VALUE"""),0.0695970695970696)</f>
        <v>0.0695970696</v>
      </c>
      <c r="R38" s="16">
        <f>IFERROR(__xludf.DUMMYFUNCTION("""COMPUTED_VALUE"""),0.0)</f>
        <v>0</v>
      </c>
      <c r="S38" s="16">
        <f>IFERROR(__xludf.DUMMYFUNCTION("""COMPUTED_VALUE"""),0.0)</f>
        <v>0</v>
      </c>
      <c r="T38" s="16">
        <f>IFERROR(__xludf.DUMMYFUNCTION("""COMPUTED_VALUE"""),0.0)</f>
        <v>0</v>
      </c>
      <c r="U38" s="16">
        <f>IFERROR(__xludf.DUMMYFUNCTION("""COMPUTED_VALUE"""),0.0)</f>
        <v>0</v>
      </c>
      <c r="V38" s="16">
        <f>IFERROR(__xludf.DUMMYFUNCTION("""COMPUTED_VALUE"""),0.0)</f>
        <v>0</v>
      </c>
      <c r="W38" s="16">
        <f>IFERROR(__xludf.DUMMYFUNCTION("""COMPUTED_VALUE"""),0.0)</f>
        <v>0</v>
      </c>
      <c r="X38" s="16">
        <f>IFERROR(__xludf.DUMMYFUNCTION("""COMPUTED_VALUE"""),0.0)</f>
        <v>0</v>
      </c>
      <c r="Y38" s="16">
        <f>IFERROR(__xludf.DUMMYFUNCTION("""COMPUTED_VALUE"""),0.0)</f>
        <v>0</v>
      </c>
      <c r="Z38" s="16">
        <f>IFERROR(__xludf.DUMMYFUNCTION("""COMPUTED_VALUE"""),0.0)</f>
        <v>0</v>
      </c>
      <c r="AA38" s="16">
        <f>IFERROR(__xludf.DUMMYFUNCTION("""COMPUTED_VALUE"""),0.0)</f>
        <v>0</v>
      </c>
      <c r="AB38" s="16">
        <f>IFERROR(__xludf.DUMMYFUNCTION("""COMPUTED_VALUE"""),0.0)</f>
        <v>0</v>
      </c>
      <c r="AC38" s="16">
        <f>IFERROR(__xludf.DUMMYFUNCTION("""COMPUTED_VALUE"""),0.0)</f>
        <v>0</v>
      </c>
      <c r="AD38" s="16">
        <f>IFERROR(__xludf.DUMMYFUNCTION("""COMPUTED_VALUE"""),0.0)</f>
        <v>0</v>
      </c>
      <c r="AE38" s="16">
        <f>IFERROR(__xludf.DUMMYFUNCTION("""COMPUTED_VALUE"""),0.0)</f>
        <v>0</v>
      </c>
      <c r="AF38" s="16">
        <f>IFERROR(__xludf.DUMMYFUNCTION("""COMPUTED_VALUE"""),0.0)</f>
        <v>0</v>
      </c>
      <c r="AG38" s="16">
        <f>IFERROR(__xludf.DUMMYFUNCTION("""COMPUTED_VALUE"""),0.0)</f>
        <v>0</v>
      </c>
      <c r="AH38" s="16">
        <f>IFERROR(__xludf.DUMMYFUNCTION("""COMPUTED_VALUE"""),0.0)</f>
        <v>0</v>
      </c>
    </row>
    <row r="39">
      <c r="A39" s="16" t="str">
        <f>IFERROR(__xludf.DUMMYFUNCTION("""COMPUTED_VALUE"""),"2039c770620dbd485e50118a476f0b91b4bd035b")</f>
        <v>2039c770620dbd485e50118a476f0b91b4bd035b</v>
      </c>
      <c r="B39" s="16" t="str">
        <f>IFERROR(__xludf.DUMMYFUNCTION("""COMPUTED_VALUE"""),"Princess Ebony &amp; the Silver Dragon - Remastered Edition")</f>
        <v>Princess Ebony &amp; the Silver Dragon - Remastered Edition</v>
      </c>
      <c r="C39" s="16" t="str">
        <f>IFERROR(__xludf.DUMMYFUNCTION("""COMPUTED_VALUE"""),"Fantasy")</f>
        <v>Fantasy</v>
      </c>
      <c r="D39" s="16">
        <f>IFERROR(__xludf.DUMMYFUNCTION("""COMPUTED_VALUE"""),3810.0)</f>
        <v>3810</v>
      </c>
      <c r="E39" s="16">
        <f>IFERROR(__xludf.DUMMYFUNCTION("""COMPUTED_VALUE"""),0.932283464566929)</f>
        <v>0.9322834646</v>
      </c>
      <c r="F39" s="16">
        <f>IFERROR(__xludf.DUMMYFUNCTION("""COMPUTED_VALUE"""),0.467191601049868)</f>
        <v>0.467191601</v>
      </c>
      <c r="G39" s="16">
        <f>IFERROR(__xludf.DUMMYFUNCTION("""COMPUTED_VALUE"""),0.417322834645669)</f>
        <v>0.4173228346</v>
      </c>
      <c r="H39" s="16">
        <f>IFERROR(__xludf.DUMMYFUNCTION("""COMPUTED_VALUE"""),0.389371218100499)</f>
        <v>0.3893712181</v>
      </c>
      <c r="I39" s="16">
        <f>IFERROR(__xludf.DUMMYFUNCTION("""COMPUTED_VALUE"""),0.369743454112668)</f>
        <v>0.3697434541</v>
      </c>
      <c r="J39" s="16">
        <f>IFERROR(__xludf.DUMMYFUNCTION("""COMPUTED_VALUE"""),0.35820895522388)</f>
        <v>0.3582089552</v>
      </c>
      <c r="K39" s="16">
        <f>IFERROR(__xludf.DUMMYFUNCTION("""COMPUTED_VALUE"""),0.348293469497446)</f>
        <v>0.3482934695</v>
      </c>
      <c r="L39" s="16">
        <f>IFERROR(__xludf.DUMMYFUNCTION("""COMPUTED_VALUE"""),0.339929520195174)</f>
        <v>0.3399295202</v>
      </c>
      <c r="M39" s="16">
        <f>IFERROR(__xludf.DUMMYFUNCTION("""COMPUTED_VALUE"""),0.334874863982589)</f>
        <v>0.334874864</v>
      </c>
      <c r="N39" s="16">
        <f>IFERROR(__xludf.DUMMYFUNCTION("""COMPUTED_VALUE"""),0.329763866007688)</f>
        <v>0.329763866</v>
      </c>
      <c r="O39" s="16">
        <f>IFERROR(__xludf.DUMMYFUNCTION("""COMPUTED_VALUE"""),0.315774240231548)</f>
        <v>0.3157742402</v>
      </c>
      <c r="P39" s="16">
        <f>IFERROR(__xludf.DUMMYFUNCTION("""COMPUTED_VALUE"""),0.272699292089873)</f>
        <v>0.2726992921</v>
      </c>
      <c r="Q39" s="16">
        <f>IFERROR(__xludf.DUMMYFUNCTION("""COMPUTED_VALUE"""),0.216262384694226)</f>
        <v>0.2162623847</v>
      </c>
      <c r="R39" s="16">
        <f>IFERROR(__xludf.DUMMYFUNCTION("""COMPUTED_VALUE"""),0.159182183278568)</f>
        <v>0.1591821833</v>
      </c>
      <c r="S39" s="16">
        <f>IFERROR(__xludf.DUMMYFUNCTION("""COMPUTED_VALUE"""),0.121259842519685)</f>
        <v>0.1212598425</v>
      </c>
      <c r="T39" s="16">
        <f>IFERROR(__xludf.DUMMYFUNCTION("""COMPUTED_VALUE"""),0.0893162393162393)</f>
        <v>0.08931623932</v>
      </c>
      <c r="U39" s="16">
        <f>IFERROR(__xludf.DUMMYFUNCTION("""COMPUTED_VALUE"""),0.070298769771529)</f>
        <v>0.07029876977</v>
      </c>
      <c r="V39" s="16">
        <f>IFERROR(__xludf.DUMMYFUNCTION("""COMPUTED_VALUE"""),0.0635658914728682)</f>
        <v>0.06356589147</v>
      </c>
      <c r="W39" s="16">
        <f>IFERROR(__xludf.DUMMYFUNCTION("""COMPUTED_VALUE"""),0.056084656084656)</f>
        <v>0.05608465608</v>
      </c>
      <c r="X39" s="16">
        <f>IFERROR(__xludf.DUMMYFUNCTION("""COMPUTED_VALUE"""),0.0300187617260788)</f>
        <v>0.03001876173</v>
      </c>
      <c r="Y39" s="16">
        <f>IFERROR(__xludf.DUMMYFUNCTION("""COMPUTED_VALUE"""),0.0163934426229508)</f>
        <v>0.01639344262</v>
      </c>
      <c r="Z39" s="16">
        <f>IFERROR(__xludf.DUMMYFUNCTION("""COMPUTED_VALUE"""),0.0)</f>
        <v>0</v>
      </c>
      <c r="AA39" s="16">
        <f>IFERROR(__xludf.DUMMYFUNCTION("""COMPUTED_VALUE"""),0.0)</f>
        <v>0</v>
      </c>
      <c r="AB39" s="16">
        <f>IFERROR(__xludf.DUMMYFUNCTION("""COMPUTED_VALUE"""),0.0)</f>
        <v>0</v>
      </c>
      <c r="AC39" s="16">
        <f>IFERROR(__xludf.DUMMYFUNCTION("""COMPUTED_VALUE"""),0.0)</f>
        <v>0</v>
      </c>
      <c r="AD39" s="16">
        <f>IFERROR(__xludf.DUMMYFUNCTION("""COMPUTED_VALUE"""),0.0)</f>
        <v>0</v>
      </c>
      <c r="AE39" s="16">
        <f>IFERROR(__xludf.DUMMYFUNCTION("""COMPUTED_VALUE"""),0.0)</f>
        <v>0</v>
      </c>
      <c r="AF39" s="16">
        <f>IFERROR(__xludf.DUMMYFUNCTION("""COMPUTED_VALUE"""),0.0)</f>
        <v>0</v>
      </c>
      <c r="AG39" s="16">
        <f>IFERROR(__xludf.DUMMYFUNCTION("""COMPUTED_VALUE"""),0.0)</f>
        <v>0</v>
      </c>
      <c r="AH39" s="16">
        <f>IFERROR(__xludf.DUMMYFUNCTION("""COMPUTED_VALUE"""),0.0)</f>
        <v>0</v>
      </c>
    </row>
    <row r="40">
      <c r="A40" s="16" t="str">
        <f>IFERROR(__xludf.DUMMYFUNCTION("""COMPUTED_VALUE"""),"215d4622bad0b1fca5cb36bca9f92b3c41d21f7e")</f>
        <v>215d4622bad0b1fca5cb36bca9f92b3c41d21f7e</v>
      </c>
      <c r="B40" s="16" t="str">
        <f>IFERROR(__xludf.DUMMYFUNCTION("""COMPUTED_VALUE"""),"Aiden's Regression")</f>
        <v>Aiden's Regression</v>
      </c>
      <c r="C40" s="16" t="str">
        <f>IFERROR(__xludf.DUMMYFUNCTION("""COMPUTED_VALUE"""),"System and Superpower")</f>
        <v>System and Superpower</v>
      </c>
      <c r="D40" s="16">
        <f>IFERROR(__xludf.DUMMYFUNCTION("""COMPUTED_VALUE"""),820.0)</f>
        <v>820</v>
      </c>
      <c r="E40" s="16">
        <f>IFERROR(__xludf.DUMMYFUNCTION("""COMPUTED_VALUE"""),0.968292682926829)</f>
        <v>0.9682926829</v>
      </c>
      <c r="F40" s="16">
        <f>IFERROR(__xludf.DUMMYFUNCTION("""COMPUTED_VALUE"""),0.609756097560975)</f>
        <v>0.6097560976</v>
      </c>
      <c r="G40" s="16">
        <f>IFERROR(__xludf.DUMMYFUNCTION("""COMPUTED_VALUE"""),0.558536585365853)</f>
        <v>0.5585365854</v>
      </c>
      <c r="H40" s="16">
        <f>IFERROR(__xludf.DUMMYFUNCTION("""COMPUTED_VALUE"""),0.533007334963325)</f>
        <v>0.533007335</v>
      </c>
      <c r="I40" s="16">
        <f>IFERROR(__xludf.DUMMYFUNCTION("""COMPUTED_VALUE"""),0.504889975550122)</f>
        <v>0.5048899756</v>
      </c>
      <c r="J40" s="16">
        <f>IFERROR(__xludf.DUMMYFUNCTION("""COMPUTED_VALUE"""),0.486519607843137)</f>
        <v>0.4865196078</v>
      </c>
      <c r="K40" s="16">
        <f>IFERROR(__xludf.DUMMYFUNCTION("""COMPUTED_VALUE"""),0.474201474201474)</f>
        <v>0.4742014742</v>
      </c>
      <c r="L40" s="16">
        <f>IFERROR(__xludf.DUMMYFUNCTION("""COMPUTED_VALUE"""),0.452644526445264)</f>
        <v>0.4526445264</v>
      </c>
      <c r="M40" s="16">
        <f>IFERROR(__xludf.DUMMYFUNCTION("""COMPUTED_VALUE"""),0.436498150431566)</f>
        <v>0.4364981504</v>
      </c>
      <c r="N40" s="16">
        <f>IFERROR(__xludf.DUMMYFUNCTION("""COMPUTED_VALUE"""),0.419554455445544)</f>
        <v>0.4195544554</v>
      </c>
      <c r="O40" s="16">
        <f>IFERROR(__xludf.DUMMYFUNCTION("""COMPUTED_VALUE"""),0.380587484035759)</f>
        <v>0.380587484</v>
      </c>
      <c r="P40" s="16">
        <f>IFERROR(__xludf.DUMMYFUNCTION("""COMPUTED_VALUE"""),0.297045101088646)</f>
        <v>0.2970451011</v>
      </c>
      <c r="Q40" s="16">
        <f>IFERROR(__xludf.DUMMYFUNCTION("""COMPUTED_VALUE"""),0.0)</f>
        <v>0</v>
      </c>
      <c r="R40" s="16">
        <f>IFERROR(__xludf.DUMMYFUNCTION("""COMPUTED_VALUE"""),0.0)</f>
        <v>0</v>
      </c>
      <c r="S40" s="16">
        <f>IFERROR(__xludf.DUMMYFUNCTION("""COMPUTED_VALUE"""),0.0)</f>
        <v>0</v>
      </c>
      <c r="T40" s="16">
        <f>IFERROR(__xludf.DUMMYFUNCTION("""COMPUTED_VALUE"""),0.0)</f>
        <v>0</v>
      </c>
      <c r="U40" s="16">
        <f>IFERROR(__xludf.DUMMYFUNCTION("""COMPUTED_VALUE"""),0.0)</f>
        <v>0</v>
      </c>
      <c r="V40" s="16">
        <f>IFERROR(__xludf.DUMMYFUNCTION("""COMPUTED_VALUE"""),0.0)</f>
        <v>0</v>
      </c>
      <c r="W40" s="16">
        <f>IFERROR(__xludf.DUMMYFUNCTION("""COMPUTED_VALUE"""),0.0)</f>
        <v>0</v>
      </c>
      <c r="X40" s="16">
        <f>IFERROR(__xludf.DUMMYFUNCTION("""COMPUTED_VALUE"""),0.0)</f>
        <v>0</v>
      </c>
      <c r="Y40" s="16">
        <f>IFERROR(__xludf.DUMMYFUNCTION("""COMPUTED_VALUE"""),0.0)</f>
        <v>0</v>
      </c>
      <c r="Z40" s="16">
        <f>IFERROR(__xludf.DUMMYFUNCTION("""COMPUTED_VALUE"""),0.0)</f>
        <v>0</v>
      </c>
      <c r="AA40" s="16">
        <f>IFERROR(__xludf.DUMMYFUNCTION("""COMPUTED_VALUE"""),0.0)</f>
        <v>0</v>
      </c>
      <c r="AB40" s="16">
        <f>IFERROR(__xludf.DUMMYFUNCTION("""COMPUTED_VALUE"""),0.0)</f>
        <v>0</v>
      </c>
      <c r="AC40" s="16">
        <f>IFERROR(__xludf.DUMMYFUNCTION("""COMPUTED_VALUE"""),0.0)</f>
        <v>0</v>
      </c>
      <c r="AD40" s="16">
        <f>IFERROR(__xludf.DUMMYFUNCTION("""COMPUTED_VALUE"""),0.0)</f>
        <v>0</v>
      </c>
      <c r="AE40" s="16">
        <f>IFERROR(__xludf.DUMMYFUNCTION("""COMPUTED_VALUE"""),0.0)</f>
        <v>0</v>
      </c>
      <c r="AF40" s="16">
        <f>IFERROR(__xludf.DUMMYFUNCTION("""COMPUTED_VALUE"""),0.0)</f>
        <v>0</v>
      </c>
      <c r="AG40" s="16">
        <f>IFERROR(__xludf.DUMMYFUNCTION("""COMPUTED_VALUE"""),0.0)</f>
        <v>0</v>
      </c>
      <c r="AH40" s="16">
        <f>IFERROR(__xludf.DUMMYFUNCTION("""COMPUTED_VALUE"""),0.0)</f>
        <v>0</v>
      </c>
    </row>
    <row r="41">
      <c r="A41" s="16" t="str">
        <f>IFERROR(__xludf.DUMMYFUNCTION("""COMPUTED_VALUE"""),"2217881cc8f3c05fb3e0dbf70a118129e4e12471")</f>
        <v>2217881cc8f3c05fb3e0dbf70a118129e4e12471</v>
      </c>
      <c r="B41" s="16" t="str">
        <f>IFERROR(__xludf.DUMMYFUNCTION("""COMPUTED_VALUE"""),"Sevenfold Saint's Rise")</f>
        <v>Sevenfold Saint's Rise</v>
      </c>
      <c r="C41" s="16" t="str">
        <f>IFERROR(__xludf.DUMMYFUNCTION("""COMPUTED_VALUE"""),"Fantasy")</f>
        <v>Fantasy</v>
      </c>
      <c r="D41" s="16">
        <f>IFERROR(__xludf.DUMMYFUNCTION("""COMPUTED_VALUE"""),497.0)</f>
        <v>497</v>
      </c>
      <c r="E41" s="16">
        <f>IFERROR(__xludf.DUMMYFUNCTION("""COMPUTED_VALUE"""),0.985915492957746)</f>
        <v>0.985915493</v>
      </c>
      <c r="F41" s="16">
        <f>IFERROR(__xludf.DUMMYFUNCTION("""COMPUTED_VALUE"""),0.62374245472837)</f>
        <v>0.6237424547</v>
      </c>
      <c r="G41" s="16">
        <f>IFERROR(__xludf.DUMMYFUNCTION("""COMPUTED_VALUE"""),0.561368209255533)</f>
        <v>0.5613682093</v>
      </c>
      <c r="H41" s="16">
        <f>IFERROR(__xludf.DUMMYFUNCTION("""COMPUTED_VALUE"""),0.545271629778672)</f>
        <v>0.5452716298</v>
      </c>
      <c r="I41" s="16">
        <f>IFERROR(__xludf.DUMMYFUNCTION("""COMPUTED_VALUE"""),0.466800804828973)</f>
        <v>0.4668008048</v>
      </c>
      <c r="J41" s="16">
        <f>IFERROR(__xludf.DUMMYFUNCTION("""COMPUTED_VALUE"""),0.42393509127789)</f>
        <v>0.4239350913</v>
      </c>
      <c r="K41" s="16">
        <f>IFERROR(__xludf.DUMMYFUNCTION("""COMPUTED_VALUE"""),0.370672097759674)</f>
        <v>0.3706720978</v>
      </c>
      <c r="L41" s="16">
        <f>IFERROR(__xludf.DUMMYFUNCTION("""COMPUTED_VALUE"""),0.34560327198364)</f>
        <v>0.345603272</v>
      </c>
      <c r="M41" s="16">
        <f>IFERROR(__xludf.DUMMYFUNCTION("""COMPUTED_VALUE"""),0.315463917525773)</f>
        <v>0.3154639175</v>
      </c>
      <c r="N41" s="16">
        <f>IFERROR(__xludf.DUMMYFUNCTION("""COMPUTED_VALUE"""),0.270833333333333)</f>
        <v>0.2708333333</v>
      </c>
      <c r="O41" s="16">
        <f>IFERROR(__xludf.DUMMYFUNCTION("""COMPUTED_VALUE"""),0.177215189873417)</f>
        <v>0.1772151899</v>
      </c>
      <c r="P41" s="16">
        <f>IFERROR(__xludf.DUMMYFUNCTION("""COMPUTED_VALUE"""),0.0)</f>
        <v>0</v>
      </c>
      <c r="Q41" s="16">
        <f>IFERROR(__xludf.DUMMYFUNCTION("""COMPUTED_VALUE"""),0.0)</f>
        <v>0</v>
      </c>
      <c r="R41" s="16">
        <f>IFERROR(__xludf.DUMMYFUNCTION("""COMPUTED_VALUE"""),0.0)</f>
        <v>0</v>
      </c>
      <c r="S41" s="16">
        <f>IFERROR(__xludf.DUMMYFUNCTION("""COMPUTED_VALUE"""),0.0)</f>
        <v>0</v>
      </c>
      <c r="T41" s="16">
        <f>IFERROR(__xludf.DUMMYFUNCTION("""COMPUTED_VALUE"""),0.0)</f>
        <v>0</v>
      </c>
      <c r="U41" s="16">
        <f>IFERROR(__xludf.DUMMYFUNCTION("""COMPUTED_VALUE"""),0.0)</f>
        <v>0</v>
      </c>
      <c r="V41" s="16">
        <f>IFERROR(__xludf.DUMMYFUNCTION("""COMPUTED_VALUE"""),0.0)</f>
        <v>0</v>
      </c>
      <c r="W41" s="16">
        <f>IFERROR(__xludf.DUMMYFUNCTION("""COMPUTED_VALUE"""),0.0)</f>
        <v>0</v>
      </c>
      <c r="X41" s="16">
        <f>IFERROR(__xludf.DUMMYFUNCTION("""COMPUTED_VALUE"""),0.0)</f>
        <v>0</v>
      </c>
      <c r="Y41" s="16">
        <f>IFERROR(__xludf.DUMMYFUNCTION("""COMPUTED_VALUE"""),0.0)</f>
        <v>0</v>
      </c>
      <c r="Z41" s="16">
        <f>IFERROR(__xludf.DUMMYFUNCTION("""COMPUTED_VALUE"""),0.0)</f>
        <v>0</v>
      </c>
      <c r="AA41" s="16">
        <f>IFERROR(__xludf.DUMMYFUNCTION("""COMPUTED_VALUE"""),0.0)</f>
        <v>0</v>
      </c>
      <c r="AB41" s="16">
        <f>IFERROR(__xludf.DUMMYFUNCTION("""COMPUTED_VALUE"""),0.0)</f>
        <v>0</v>
      </c>
      <c r="AC41" s="16">
        <f>IFERROR(__xludf.DUMMYFUNCTION("""COMPUTED_VALUE"""),0.0)</f>
        <v>0</v>
      </c>
      <c r="AD41" s="16">
        <f>IFERROR(__xludf.DUMMYFUNCTION("""COMPUTED_VALUE"""),0.0)</f>
        <v>0</v>
      </c>
      <c r="AE41" s="16">
        <f>IFERROR(__xludf.DUMMYFUNCTION("""COMPUTED_VALUE"""),0.0)</f>
        <v>0</v>
      </c>
      <c r="AF41" s="16">
        <f>IFERROR(__xludf.DUMMYFUNCTION("""COMPUTED_VALUE"""),0.0)</f>
        <v>0</v>
      </c>
      <c r="AG41" s="16">
        <f>IFERROR(__xludf.DUMMYFUNCTION("""COMPUTED_VALUE"""),0.0)</f>
        <v>0</v>
      </c>
      <c r="AH41" s="16">
        <f>IFERROR(__xludf.DUMMYFUNCTION("""COMPUTED_VALUE"""),0.0)</f>
        <v>0</v>
      </c>
    </row>
    <row r="42">
      <c r="A42" s="16" t="str">
        <f>IFERROR(__xludf.DUMMYFUNCTION("""COMPUTED_VALUE"""),"224e6f56466e098b0d6a19535a60cc9f4da7f36a")</f>
        <v>224e6f56466e098b0d6a19535a60cc9f4da7f36a</v>
      </c>
      <c r="B42" s="16" t="str">
        <f>IFERROR(__xludf.DUMMYFUNCTION("""COMPUTED_VALUE"""),"Bound by Billions")</f>
        <v>Bound by Billions</v>
      </c>
      <c r="C42" s="16" t="str">
        <f>IFERROR(__xludf.DUMMYFUNCTION("""COMPUTED_VALUE"""),"Drama")</f>
        <v>Drama</v>
      </c>
      <c r="D42" s="16">
        <f>IFERROR(__xludf.DUMMYFUNCTION("""COMPUTED_VALUE"""),4532.0)</f>
        <v>4532</v>
      </c>
      <c r="E42" s="16">
        <f>IFERROR(__xludf.DUMMYFUNCTION("""COMPUTED_VALUE"""),0.941747572815534)</f>
        <v>0.9417475728</v>
      </c>
      <c r="F42" s="16">
        <f>IFERROR(__xludf.DUMMYFUNCTION("""COMPUTED_VALUE"""),0.400926743159752)</f>
        <v>0.4009267432</v>
      </c>
      <c r="G42" s="16">
        <f>IFERROR(__xludf.DUMMYFUNCTION("""COMPUTED_VALUE"""),0.35414827890556)</f>
        <v>0.3541482789</v>
      </c>
      <c r="H42" s="16">
        <f>IFERROR(__xludf.DUMMYFUNCTION("""COMPUTED_VALUE"""),0.327449249779346)</f>
        <v>0.3274492498</v>
      </c>
      <c r="I42" s="16">
        <f>IFERROR(__xludf.DUMMYFUNCTION("""COMPUTED_VALUE"""),0.314210061782877)</f>
        <v>0.3142100618</v>
      </c>
      <c r="J42" s="16">
        <f>IFERROR(__xludf.DUMMYFUNCTION("""COMPUTED_VALUE"""),0.297881729920564)</f>
        <v>0.2978817299</v>
      </c>
      <c r="K42" s="16">
        <f>IFERROR(__xludf.DUMMYFUNCTION("""COMPUTED_VALUE"""),0.281994704324801)</f>
        <v>0.2819947043</v>
      </c>
      <c r="L42" s="16">
        <f>IFERROR(__xludf.DUMMYFUNCTION("""COMPUTED_VALUE"""),0.276257722859664)</f>
        <v>0.2762577229</v>
      </c>
      <c r="M42" s="16">
        <f>IFERROR(__xludf.DUMMYFUNCTION("""COMPUTED_VALUE"""),0.263901147396293)</f>
        <v>0.2639011474</v>
      </c>
      <c r="N42" s="16">
        <f>IFERROR(__xludf.DUMMYFUNCTION("""COMPUTED_VALUE"""),0.255131317589936)</f>
        <v>0.2551313176</v>
      </c>
      <c r="O42" s="16">
        <f>IFERROR(__xludf.DUMMYFUNCTION("""COMPUTED_VALUE"""),0.221854304635761)</f>
        <v>0.2218543046</v>
      </c>
      <c r="P42" s="16">
        <f>IFERROR(__xludf.DUMMYFUNCTION("""COMPUTED_VALUE"""),0.133819951338199)</f>
        <v>0.1338199513</v>
      </c>
      <c r="Q42" s="16">
        <f>IFERROR(__xludf.DUMMYFUNCTION("""COMPUTED_VALUE"""),0.0876369327073552)</f>
        <v>0.08763693271</v>
      </c>
      <c r="R42" s="16">
        <f>IFERROR(__xludf.DUMMYFUNCTION("""COMPUTED_VALUE"""),0.064030554931476)</f>
        <v>0.06403055493</v>
      </c>
      <c r="S42" s="16">
        <f>IFERROR(__xludf.DUMMYFUNCTION("""COMPUTED_VALUE"""),0.0502139157847331)</f>
        <v>0.05021391578</v>
      </c>
      <c r="T42" s="16">
        <f>IFERROR(__xludf.DUMMYFUNCTION("""COMPUTED_VALUE"""),0.0294653705953827)</f>
        <v>0.0294653706</v>
      </c>
      <c r="U42" s="16">
        <f>IFERROR(__xludf.DUMMYFUNCTION("""COMPUTED_VALUE"""),0.0321135175504107)</f>
        <v>0.03211351755</v>
      </c>
      <c r="V42" s="16">
        <f>IFERROR(__xludf.DUMMYFUNCTION("""COMPUTED_VALUE"""),0.0301507537688442)</f>
        <v>0.03015075377</v>
      </c>
      <c r="W42" s="16">
        <f>IFERROR(__xludf.DUMMYFUNCTION("""COMPUTED_VALUE"""),0.0162241887905604)</f>
        <v>0.01622418879</v>
      </c>
      <c r="X42" s="16">
        <f>IFERROR(__xludf.DUMMYFUNCTION("""COMPUTED_VALUE"""),0.0132827324478178)</f>
        <v>0.01328273245</v>
      </c>
      <c r="Y42" s="16">
        <f>IFERROR(__xludf.DUMMYFUNCTION("""COMPUTED_VALUE"""),0.00697674418604651)</f>
        <v>0.006976744186</v>
      </c>
      <c r="Z42" s="16">
        <f>IFERROR(__xludf.DUMMYFUNCTION("""COMPUTED_VALUE"""),0.0158730158730158)</f>
        <v>0.01587301587</v>
      </c>
      <c r="AA42" s="16">
        <f>IFERROR(__xludf.DUMMYFUNCTION("""COMPUTED_VALUE"""),0.00515463917525773)</f>
        <v>0.005154639175</v>
      </c>
      <c r="AB42" s="16">
        <f>IFERROR(__xludf.DUMMYFUNCTION("""COMPUTED_VALUE"""),0.0128205128205128)</f>
        <v>0.01282051282</v>
      </c>
      <c r="AC42" s="16">
        <f>IFERROR(__xludf.DUMMYFUNCTION("""COMPUTED_VALUE"""),0.00934579439252336)</f>
        <v>0.009345794393</v>
      </c>
      <c r="AD42" s="16">
        <f>IFERROR(__xludf.DUMMYFUNCTION("""COMPUTED_VALUE"""),0.0)</f>
        <v>0</v>
      </c>
      <c r="AE42" s="16">
        <f>IFERROR(__xludf.DUMMYFUNCTION("""COMPUTED_VALUE"""),0.0)</f>
        <v>0</v>
      </c>
      <c r="AF42" s="16">
        <f>IFERROR(__xludf.DUMMYFUNCTION("""COMPUTED_VALUE"""),0.0)</f>
        <v>0</v>
      </c>
      <c r="AG42" s="16">
        <f>IFERROR(__xludf.DUMMYFUNCTION("""COMPUTED_VALUE"""),0.0)</f>
        <v>0</v>
      </c>
      <c r="AH42" s="16">
        <f>IFERROR(__xludf.DUMMYFUNCTION("""COMPUTED_VALUE"""),0.0)</f>
        <v>0</v>
      </c>
    </row>
    <row r="43">
      <c r="A43" s="16" t="str">
        <f>IFERROR(__xludf.DUMMYFUNCTION("""COMPUTED_VALUE"""),"23200139c53ab123429a0f621a7519272bf21ea7")</f>
        <v>23200139c53ab123429a0f621a7519272bf21ea7</v>
      </c>
      <c r="B43" s="16" t="str">
        <f>IFERROR(__xludf.DUMMYFUNCTION("""COMPUTED_VALUE"""),"The Fae Lycan Abomination")</f>
        <v>The Fae Lycan Abomination</v>
      </c>
      <c r="C43" s="16" t="str">
        <f>IFERROR(__xludf.DUMMYFUNCTION("""COMPUTED_VALUE"""),"Fantasy")</f>
        <v>Fantasy</v>
      </c>
      <c r="D43" s="16">
        <f>IFERROR(__xludf.DUMMYFUNCTION("""COMPUTED_VALUE"""),134.0)</f>
        <v>134</v>
      </c>
      <c r="E43" s="16">
        <f>IFERROR(__xludf.DUMMYFUNCTION("""COMPUTED_VALUE"""),0.977611940298507)</f>
        <v>0.9776119403</v>
      </c>
      <c r="F43" s="16">
        <f>IFERROR(__xludf.DUMMYFUNCTION("""COMPUTED_VALUE"""),0.37593984962406)</f>
        <v>0.3759398496</v>
      </c>
      <c r="G43" s="16">
        <f>IFERROR(__xludf.DUMMYFUNCTION("""COMPUTED_VALUE"""),0.257575757575757)</f>
        <v>0.2575757576</v>
      </c>
      <c r="H43" s="16">
        <f>IFERROR(__xludf.DUMMYFUNCTION("""COMPUTED_VALUE"""),0.227272727272727)</f>
        <v>0.2272727273</v>
      </c>
      <c r="I43" s="16">
        <f>IFERROR(__xludf.DUMMYFUNCTION("""COMPUTED_VALUE"""),0.196969696969696)</f>
        <v>0.196969697</v>
      </c>
      <c r="J43" s="16">
        <f>IFERROR(__xludf.DUMMYFUNCTION("""COMPUTED_VALUE"""),0.162790697674418)</f>
        <v>0.1627906977</v>
      </c>
      <c r="K43" s="16">
        <f>IFERROR(__xludf.DUMMYFUNCTION("""COMPUTED_VALUE"""),0.147286821705426)</f>
        <v>0.1472868217</v>
      </c>
      <c r="L43" s="16">
        <f>IFERROR(__xludf.DUMMYFUNCTION("""COMPUTED_VALUE"""),0.129032258064516)</f>
        <v>0.1290322581</v>
      </c>
      <c r="M43" s="16">
        <f>IFERROR(__xludf.DUMMYFUNCTION("""COMPUTED_VALUE"""),0.115702479338842)</f>
        <v>0.1157024793</v>
      </c>
      <c r="N43" s="16">
        <f>IFERROR(__xludf.DUMMYFUNCTION("""COMPUTED_VALUE"""),0.0973451327433628)</f>
        <v>0.09734513274</v>
      </c>
      <c r="O43" s="16">
        <f>IFERROR(__xludf.DUMMYFUNCTION("""COMPUTED_VALUE"""),0.0786516853932584)</f>
        <v>0.07865168539</v>
      </c>
      <c r="P43" s="16">
        <f>IFERROR(__xludf.DUMMYFUNCTION("""COMPUTED_VALUE"""),0.081081081081081)</f>
        <v>0.08108108108</v>
      </c>
      <c r="Q43" s="16">
        <f>IFERROR(__xludf.DUMMYFUNCTION("""COMPUTED_VALUE"""),0.0)</f>
        <v>0</v>
      </c>
      <c r="R43" s="16">
        <f>IFERROR(__xludf.DUMMYFUNCTION("""COMPUTED_VALUE"""),0.0)</f>
        <v>0</v>
      </c>
      <c r="S43" s="16">
        <f>IFERROR(__xludf.DUMMYFUNCTION("""COMPUTED_VALUE"""),0.0)</f>
        <v>0</v>
      </c>
      <c r="T43" s="16">
        <f>IFERROR(__xludf.DUMMYFUNCTION("""COMPUTED_VALUE"""),0.0)</f>
        <v>0</v>
      </c>
      <c r="U43" s="16">
        <f>IFERROR(__xludf.DUMMYFUNCTION("""COMPUTED_VALUE"""),0.0)</f>
        <v>0</v>
      </c>
      <c r="V43" s="16">
        <f>IFERROR(__xludf.DUMMYFUNCTION("""COMPUTED_VALUE"""),0.0)</f>
        <v>0</v>
      </c>
      <c r="W43" s="16">
        <f>IFERROR(__xludf.DUMMYFUNCTION("""COMPUTED_VALUE"""),0.0)</f>
        <v>0</v>
      </c>
      <c r="X43" s="16">
        <f>IFERROR(__xludf.DUMMYFUNCTION("""COMPUTED_VALUE"""),0.0)</f>
        <v>0</v>
      </c>
      <c r="Y43" s="16">
        <f>IFERROR(__xludf.DUMMYFUNCTION("""COMPUTED_VALUE"""),0.0)</f>
        <v>0</v>
      </c>
      <c r="Z43" s="16">
        <f>IFERROR(__xludf.DUMMYFUNCTION("""COMPUTED_VALUE"""),0.0)</f>
        <v>0</v>
      </c>
      <c r="AA43" s="16">
        <f>IFERROR(__xludf.DUMMYFUNCTION("""COMPUTED_VALUE"""),0.0)</f>
        <v>0</v>
      </c>
      <c r="AB43" s="16">
        <f>IFERROR(__xludf.DUMMYFUNCTION("""COMPUTED_VALUE"""),0.0)</f>
        <v>0</v>
      </c>
      <c r="AC43" s="16">
        <f>IFERROR(__xludf.DUMMYFUNCTION("""COMPUTED_VALUE"""),0.0)</f>
        <v>0</v>
      </c>
      <c r="AD43" s="16">
        <f>IFERROR(__xludf.DUMMYFUNCTION("""COMPUTED_VALUE"""),0.0)</f>
        <v>0</v>
      </c>
      <c r="AE43" s="16">
        <f>IFERROR(__xludf.DUMMYFUNCTION("""COMPUTED_VALUE"""),0.0)</f>
        <v>0</v>
      </c>
      <c r="AF43" s="16">
        <f>IFERROR(__xludf.DUMMYFUNCTION("""COMPUTED_VALUE"""),0.0)</f>
        <v>0</v>
      </c>
      <c r="AG43" s="16">
        <f>IFERROR(__xludf.DUMMYFUNCTION("""COMPUTED_VALUE"""),0.0)</f>
        <v>0</v>
      </c>
      <c r="AH43" s="16">
        <f>IFERROR(__xludf.DUMMYFUNCTION("""COMPUTED_VALUE"""),0.0)</f>
        <v>0</v>
      </c>
    </row>
    <row r="44">
      <c r="A44" s="16" t="str">
        <f>IFERROR(__xludf.DUMMYFUNCTION("""COMPUTED_VALUE"""),"234ed47144507d63e9a903acfe37512c24bc9290")</f>
        <v>234ed47144507d63e9a903acfe37512c24bc9290</v>
      </c>
      <c r="B44" s="16" t="str">
        <f>IFERROR(__xludf.DUMMYFUNCTION("""COMPUTED_VALUE"""),"Twists of Love &amp; Revenge")</f>
        <v>Twists of Love &amp; Revenge</v>
      </c>
      <c r="C44" s="16" t="str">
        <f>IFERROR(__xludf.DUMMYFUNCTION("""COMPUTED_VALUE"""),"Romantasy")</f>
        <v>Romantasy</v>
      </c>
      <c r="D44" s="16">
        <f>IFERROR(__xludf.DUMMYFUNCTION("""COMPUTED_VALUE"""),3166.0)</f>
        <v>3166</v>
      </c>
      <c r="E44" s="16">
        <f>IFERROR(__xludf.DUMMYFUNCTION("""COMPUTED_VALUE"""),0.912192040429564)</f>
        <v>0.9121920404</v>
      </c>
      <c r="F44" s="16">
        <f>IFERROR(__xludf.DUMMYFUNCTION("""COMPUTED_VALUE"""),0.586228679722046)</f>
        <v>0.5862286797</v>
      </c>
      <c r="G44" s="16">
        <f>IFERROR(__xludf.DUMMYFUNCTION("""COMPUTED_VALUE"""),0.524952621604548)</f>
        <v>0.5249526216</v>
      </c>
      <c r="H44" s="16">
        <f>IFERROR(__xludf.DUMMYFUNCTION("""COMPUTED_VALUE"""),0.475047378395451)</f>
        <v>0.4750473784</v>
      </c>
      <c r="I44" s="16">
        <f>IFERROR(__xludf.DUMMYFUNCTION("""COMPUTED_VALUE"""),0.453194180898165)</f>
        <v>0.4531941809</v>
      </c>
      <c r="J44" s="16">
        <f>IFERROR(__xludf.DUMMYFUNCTION("""COMPUTED_VALUE"""),0.441772151898734)</f>
        <v>0.4417721519</v>
      </c>
      <c r="K44" s="16">
        <f>IFERROR(__xludf.DUMMYFUNCTION("""COMPUTED_VALUE"""),0.422285533396644)</f>
        <v>0.4222855334</v>
      </c>
      <c r="L44" s="16">
        <f>IFERROR(__xludf.DUMMYFUNCTION("""COMPUTED_VALUE"""),0.404181184668989)</f>
        <v>0.4041811847</v>
      </c>
      <c r="M44" s="16">
        <f>IFERROR(__xludf.DUMMYFUNCTION("""COMPUTED_VALUE"""),0.389927146024707)</f>
        <v>0.389927146</v>
      </c>
      <c r="N44" s="16">
        <f>IFERROR(__xludf.DUMMYFUNCTION("""COMPUTED_VALUE"""),0.383835182250396)</f>
        <v>0.3838351823</v>
      </c>
      <c r="O44" s="16">
        <f>IFERROR(__xludf.DUMMYFUNCTION("""COMPUTED_VALUE"""),0.355187778485041)</f>
        <v>0.3551877785</v>
      </c>
      <c r="P44" s="16">
        <f>IFERROR(__xludf.DUMMYFUNCTION("""COMPUTED_VALUE"""),0.306498545101842)</f>
        <v>0.3064985451</v>
      </c>
      <c r="Q44" s="16">
        <f>IFERROR(__xludf.DUMMYFUNCTION("""COMPUTED_VALUE"""),0.242077752368507)</f>
        <v>0.2420777524</v>
      </c>
      <c r="R44" s="16">
        <f>IFERROR(__xludf.DUMMYFUNCTION("""COMPUTED_VALUE"""),0.183498349834983)</f>
        <v>0.1834983498</v>
      </c>
      <c r="S44" s="16">
        <f>IFERROR(__xludf.DUMMYFUNCTION("""COMPUTED_VALUE"""),0.157299634186897)</f>
        <v>0.1572996342</v>
      </c>
      <c r="T44" s="16">
        <f>IFERROR(__xludf.DUMMYFUNCTION("""COMPUTED_VALUE"""),0.147887323943661)</f>
        <v>0.1478873239</v>
      </c>
      <c r="U44" s="16">
        <f>IFERROR(__xludf.DUMMYFUNCTION("""COMPUTED_VALUE"""),0.138072453861927)</f>
        <v>0.1380724539</v>
      </c>
      <c r="V44" s="16">
        <f>IFERROR(__xludf.DUMMYFUNCTION("""COMPUTED_VALUE"""),0.127335112466641)</f>
        <v>0.1273351125</v>
      </c>
      <c r="W44" s="16">
        <f>IFERROR(__xludf.DUMMYFUNCTION("""COMPUTED_VALUE"""),0.120521172638436)</f>
        <v>0.1205211726</v>
      </c>
      <c r="X44" s="16">
        <f>IFERROR(__xludf.DUMMYFUNCTION("""COMPUTED_VALUE"""),0.11212516297262)</f>
        <v>0.112125163</v>
      </c>
      <c r="Y44" s="16">
        <f>IFERROR(__xludf.DUMMYFUNCTION("""COMPUTED_VALUE"""),0.103896103896103)</f>
        <v>0.1038961039</v>
      </c>
      <c r="Z44" s="16">
        <f>IFERROR(__xludf.DUMMYFUNCTION("""COMPUTED_VALUE"""),0.0959288722508189)</f>
        <v>0.09592887225</v>
      </c>
      <c r="AA44" s="16">
        <f>IFERROR(__xludf.DUMMYFUNCTION("""COMPUTED_VALUE"""),0.0933398152649489)</f>
        <v>0.09333981526</v>
      </c>
      <c r="AB44" s="16">
        <f>IFERROR(__xludf.DUMMYFUNCTION("""COMPUTED_VALUE"""),0.083375699034062)</f>
        <v>0.08337569903</v>
      </c>
      <c r="AC44" s="16">
        <f>IFERROR(__xludf.DUMMYFUNCTION("""COMPUTED_VALUE"""),0.0759280089988751)</f>
        <v>0.075928009</v>
      </c>
      <c r="AD44" s="16">
        <f>IFERROR(__xludf.DUMMYFUNCTION("""COMPUTED_VALUE"""),0.033596837944664)</f>
        <v>0.03359683794</v>
      </c>
      <c r="AE44" s="16">
        <f>IFERROR(__xludf.DUMMYFUNCTION("""COMPUTED_VALUE"""),0.0212765957446808)</f>
        <v>0.02127659574</v>
      </c>
      <c r="AF44" s="16">
        <f>IFERROR(__xludf.DUMMYFUNCTION("""COMPUTED_VALUE"""),0.0161290322580645)</f>
        <v>0.01612903226</v>
      </c>
      <c r="AG44" s="16">
        <f>IFERROR(__xludf.DUMMYFUNCTION("""COMPUTED_VALUE"""),0.0)</f>
        <v>0</v>
      </c>
      <c r="AH44" s="16">
        <f>IFERROR(__xludf.DUMMYFUNCTION("""COMPUTED_VALUE"""),0.0)</f>
        <v>0</v>
      </c>
    </row>
    <row r="45">
      <c r="A45" s="16" t="str">
        <f>IFERROR(__xludf.DUMMYFUNCTION("""COMPUTED_VALUE"""),"239987644f409ac822be4ca9051a98eb8bf7e766")</f>
        <v>239987644f409ac822be4ca9051a98eb8bf7e766</v>
      </c>
      <c r="B45" s="16" t="str">
        <f>IFERROR(__xludf.DUMMYFUNCTION("""COMPUTED_VALUE"""),"The Silent Rebirth")</f>
        <v>The Silent Rebirth</v>
      </c>
      <c r="C45" s="16" t="str">
        <f>IFERROR(__xludf.DUMMYFUNCTION("""COMPUTED_VALUE"""),"Romantasy")</f>
        <v>Romantasy</v>
      </c>
      <c r="D45" s="16">
        <f>IFERROR(__xludf.DUMMYFUNCTION("""COMPUTED_VALUE"""),2185.0)</f>
        <v>2185</v>
      </c>
      <c r="E45" s="16">
        <f>IFERROR(__xludf.DUMMYFUNCTION("""COMPUTED_VALUE"""),0.963386727688787)</f>
        <v>0.9633867277</v>
      </c>
      <c r="F45" s="16">
        <f>IFERROR(__xludf.DUMMYFUNCTION("""COMPUTED_VALUE"""),0.438901601830663)</f>
        <v>0.4389016018</v>
      </c>
      <c r="G45" s="16">
        <f>IFERROR(__xludf.DUMMYFUNCTION("""COMPUTED_VALUE"""),0.378032036613272)</f>
        <v>0.3780320366</v>
      </c>
      <c r="H45" s="16">
        <f>IFERROR(__xludf.DUMMYFUNCTION("""COMPUTED_VALUE"""),0.348741418764302)</f>
        <v>0.3487414188</v>
      </c>
      <c r="I45" s="16">
        <f>IFERROR(__xludf.DUMMYFUNCTION("""COMPUTED_VALUE"""),0.336996336996337)</f>
        <v>0.336996337</v>
      </c>
      <c r="J45" s="16">
        <f>IFERROR(__xludf.DUMMYFUNCTION("""COMPUTED_VALUE"""),0.320970695970696)</f>
        <v>0.320970696</v>
      </c>
      <c r="K45" s="16">
        <f>IFERROR(__xludf.DUMMYFUNCTION("""COMPUTED_VALUE"""),0.299908424908424)</f>
        <v>0.2999084249</v>
      </c>
      <c r="L45" s="16">
        <f>IFERROR(__xludf.DUMMYFUNCTION("""COMPUTED_VALUE"""),0.286761337608795)</f>
        <v>0.2867613376</v>
      </c>
      <c r="M45" s="16">
        <f>IFERROR(__xludf.DUMMYFUNCTION("""COMPUTED_VALUE"""),0.275767292716445)</f>
        <v>0.2757672927</v>
      </c>
      <c r="N45" s="16">
        <f>IFERROR(__xludf.DUMMYFUNCTION("""COMPUTED_VALUE"""),0.268896014658726)</f>
        <v>0.2688960147</v>
      </c>
      <c r="O45" s="16">
        <f>IFERROR(__xludf.DUMMYFUNCTION("""COMPUTED_VALUE"""),0.252066115702479)</f>
        <v>0.2520661157</v>
      </c>
      <c r="P45" s="16">
        <f>IFERROR(__xludf.DUMMYFUNCTION("""COMPUTED_VALUE"""),0.199263690750115)</f>
        <v>0.1992636908</v>
      </c>
      <c r="Q45" s="16">
        <f>IFERROR(__xludf.DUMMYFUNCTION("""COMPUTED_VALUE"""),0.134570765661252)</f>
        <v>0.1345707657</v>
      </c>
      <c r="R45" s="16">
        <f>IFERROR(__xludf.DUMMYFUNCTION("""COMPUTED_VALUE"""),0.110994764397905)</f>
        <v>0.1109947644</v>
      </c>
      <c r="S45" s="16">
        <f>IFERROR(__xludf.DUMMYFUNCTION("""COMPUTED_VALUE"""),0.0965130759651307)</f>
        <v>0.09651307597</v>
      </c>
      <c r="T45" s="16">
        <f>IFERROR(__xludf.DUMMYFUNCTION("""COMPUTED_VALUE"""),0.0786061588330632)</f>
        <v>0.07860615883</v>
      </c>
      <c r="U45" s="16">
        <f>IFERROR(__xludf.DUMMYFUNCTION("""COMPUTED_VALUE"""),0.0629170638703527)</f>
        <v>0.06291706387</v>
      </c>
      <c r="V45" s="16">
        <f>IFERROR(__xludf.DUMMYFUNCTION("""COMPUTED_VALUE"""),0.0536649214659685)</f>
        <v>0.05366492147</v>
      </c>
      <c r="W45" s="16">
        <f>IFERROR(__xludf.DUMMYFUNCTION("""COMPUTED_VALUE"""),0.0579710144927536)</f>
        <v>0.05797101449</v>
      </c>
      <c r="X45" s="16">
        <f>IFERROR(__xludf.DUMMYFUNCTION("""COMPUTED_VALUE"""),0.0524017467248908)</f>
        <v>0.05240174672</v>
      </c>
      <c r="Y45" s="16">
        <f>IFERROR(__xludf.DUMMYFUNCTION("""COMPUTED_VALUE"""),0.0158730158730158)</f>
        <v>0.01587301587</v>
      </c>
      <c r="Z45" s="16">
        <f>IFERROR(__xludf.DUMMYFUNCTION("""COMPUTED_VALUE"""),0.0)</f>
        <v>0</v>
      </c>
      <c r="AA45" s="16">
        <f>IFERROR(__xludf.DUMMYFUNCTION("""COMPUTED_VALUE"""),0.0)</f>
        <v>0</v>
      </c>
      <c r="AB45" s="16">
        <f>IFERROR(__xludf.DUMMYFUNCTION("""COMPUTED_VALUE"""),0.0)</f>
        <v>0</v>
      </c>
      <c r="AC45" s="16">
        <f>IFERROR(__xludf.DUMMYFUNCTION("""COMPUTED_VALUE"""),0.0)</f>
        <v>0</v>
      </c>
      <c r="AD45" s="16">
        <f>IFERROR(__xludf.DUMMYFUNCTION("""COMPUTED_VALUE"""),0.0)</f>
        <v>0</v>
      </c>
      <c r="AE45" s="16">
        <f>IFERROR(__xludf.DUMMYFUNCTION("""COMPUTED_VALUE"""),0.0)</f>
        <v>0</v>
      </c>
      <c r="AF45" s="16">
        <f>IFERROR(__xludf.DUMMYFUNCTION("""COMPUTED_VALUE"""),0.0)</f>
        <v>0</v>
      </c>
      <c r="AG45" s="16">
        <f>IFERROR(__xludf.DUMMYFUNCTION("""COMPUTED_VALUE"""),0.0)</f>
        <v>0</v>
      </c>
      <c r="AH45" s="16">
        <f>IFERROR(__xludf.DUMMYFUNCTION("""COMPUTED_VALUE"""),0.0)</f>
        <v>0</v>
      </c>
    </row>
    <row r="46">
      <c r="A46" s="16" t="str">
        <f>IFERROR(__xludf.DUMMYFUNCTION("""COMPUTED_VALUE"""),"239fafc880752526fba110a11c49b101aec7192f")</f>
        <v>239fafc880752526fba110a11c49b101aec7192f</v>
      </c>
      <c r="B46" s="16" t="str">
        <f>IFERROR(__xludf.DUMMYFUNCTION("""COMPUTED_VALUE"""),"Mama's Lil Kings")</f>
        <v>Mama's Lil Kings</v>
      </c>
      <c r="C46" s="16" t="str">
        <f>IFERROR(__xludf.DUMMYFUNCTION("""COMPUTED_VALUE"""),"Drama")</f>
        <v>Drama</v>
      </c>
      <c r="D46" s="16">
        <f>IFERROR(__xludf.DUMMYFUNCTION("""COMPUTED_VALUE"""),42.0)</f>
        <v>42</v>
      </c>
      <c r="E46" s="16">
        <f>IFERROR(__xludf.DUMMYFUNCTION("""COMPUTED_VALUE"""),0.761904761904761)</f>
        <v>0.7619047619</v>
      </c>
      <c r="F46" s="16">
        <f>IFERROR(__xludf.DUMMYFUNCTION("""COMPUTED_VALUE"""),0.261904761904761)</f>
        <v>0.2619047619</v>
      </c>
      <c r="G46" s="16">
        <f>IFERROR(__xludf.DUMMYFUNCTION("""COMPUTED_VALUE"""),0.214285714285714)</f>
        <v>0.2142857143</v>
      </c>
      <c r="H46" s="16">
        <f>IFERROR(__xludf.DUMMYFUNCTION("""COMPUTED_VALUE"""),0.166666666666666)</f>
        <v>0.1666666667</v>
      </c>
      <c r="I46" s="16">
        <f>IFERROR(__xludf.DUMMYFUNCTION("""COMPUTED_VALUE"""),0.170731707317073)</f>
        <v>0.1707317073</v>
      </c>
      <c r="J46" s="16">
        <f>IFERROR(__xludf.DUMMYFUNCTION("""COMPUTED_VALUE"""),0.170731707317073)</f>
        <v>0.1707317073</v>
      </c>
      <c r="K46" s="16">
        <f>IFERROR(__xludf.DUMMYFUNCTION("""COMPUTED_VALUE"""),0.146341463414634)</f>
        <v>0.1463414634</v>
      </c>
      <c r="L46" s="16">
        <f>IFERROR(__xludf.DUMMYFUNCTION("""COMPUTED_VALUE"""),0.146341463414634)</f>
        <v>0.1463414634</v>
      </c>
      <c r="M46" s="16">
        <f>IFERROR(__xludf.DUMMYFUNCTION("""COMPUTED_VALUE"""),0.125)</f>
        <v>0.125</v>
      </c>
      <c r="N46" s="16">
        <f>IFERROR(__xludf.DUMMYFUNCTION("""COMPUTED_VALUE"""),0.125)</f>
        <v>0.125</v>
      </c>
      <c r="O46" s="16">
        <f>IFERROR(__xludf.DUMMYFUNCTION("""COMPUTED_VALUE"""),0.138888888888888)</f>
        <v>0.1388888889</v>
      </c>
      <c r="P46" s="16">
        <f>IFERROR(__xludf.DUMMYFUNCTION("""COMPUTED_VALUE"""),0.111111111111111)</f>
        <v>0.1111111111</v>
      </c>
      <c r="Q46" s="16">
        <f>IFERROR(__xludf.DUMMYFUNCTION("""COMPUTED_VALUE"""),0.117647058823529)</f>
        <v>0.1176470588</v>
      </c>
      <c r="R46" s="16">
        <f>IFERROR(__xludf.DUMMYFUNCTION("""COMPUTED_VALUE"""),0.0333333333333333)</f>
        <v>0.03333333333</v>
      </c>
      <c r="S46" s="16">
        <f>IFERROR(__xludf.DUMMYFUNCTION("""COMPUTED_VALUE"""),0.0)</f>
        <v>0</v>
      </c>
      <c r="T46" s="16">
        <f>IFERROR(__xludf.DUMMYFUNCTION("""COMPUTED_VALUE"""),0.05)</f>
        <v>0.05</v>
      </c>
      <c r="U46" s="16">
        <f>IFERROR(__xludf.DUMMYFUNCTION("""COMPUTED_VALUE"""),0.0666666666666666)</f>
        <v>0.06666666667</v>
      </c>
      <c r="V46" s="16">
        <f>IFERROR(__xludf.DUMMYFUNCTION("""COMPUTED_VALUE"""),0.0714285714285714)</f>
        <v>0.07142857143</v>
      </c>
      <c r="W46" s="16">
        <f>IFERROR(__xludf.DUMMYFUNCTION("""COMPUTED_VALUE"""),0.111111111111111)</f>
        <v>0.1111111111</v>
      </c>
      <c r="X46" s="16">
        <f>IFERROR(__xludf.DUMMYFUNCTION("""COMPUTED_VALUE"""),0.111111111111111)</f>
        <v>0.1111111111</v>
      </c>
      <c r="Y46" s="16">
        <f>IFERROR(__xludf.DUMMYFUNCTION("""COMPUTED_VALUE"""),0.0)</f>
        <v>0</v>
      </c>
      <c r="Z46" s="16">
        <f>IFERROR(__xludf.DUMMYFUNCTION("""COMPUTED_VALUE"""),0.0)</f>
        <v>0</v>
      </c>
      <c r="AA46" s="16">
        <f>IFERROR(__xludf.DUMMYFUNCTION("""COMPUTED_VALUE"""),0.0)</f>
        <v>0</v>
      </c>
      <c r="AB46" s="16">
        <f>IFERROR(__xludf.DUMMYFUNCTION("""COMPUTED_VALUE"""),0.0)</f>
        <v>0</v>
      </c>
      <c r="AC46" s="16">
        <f>IFERROR(__xludf.DUMMYFUNCTION("""COMPUTED_VALUE"""),0.0)</f>
        <v>0</v>
      </c>
      <c r="AD46" s="16">
        <f>IFERROR(__xludf.DUMMYFUNCTION("""COMPUTED_VALUE"""),0.0)</f>
        <v>0</v>
      </c>
      <c r="AE46" s="16">
        <f>IFERROR(__xludf.DUMMYFUNCTION("""COMPUTED_VALUE"""),0.0)</f>
        <v>0</v>
      </c>
      <c r="AF46" s="16">
        <f>IFERROR(__xludf.DUMMYFUNCTION("""COMPUTED_VALUE"""),0.0)</f>
        <v>0</v>
      </c>
      <c r="AG46" s="16">
        <f>IFERROR(__xludf.DUMMYFUNCTION("""COMPUTED_VALUE"""),0.0)</f>
        <v>0</v>
      </c>
      <c r="AH46" s="16">
        <f>IFERROR(__xludf.DUMMYFUNCTION("""COMPUTED_VALUE"""),0.0)</f>
        <v>0</v>
      </c>
    </row>
    <row r="47">
      <c r="A47" s="16" t="str">
        <f>IFERROR(__xludf.DUMMYFUNCTION("""COMPUTED_VALUE"""),"23a0bb3d5deb8d4707bdb34175170e288d724c97")</f>
        <v>23a0bb3d5deb8d4707bdb34175170e288d724c97</v>
      </c>
      <c r="B47" s="16" t="str">
        <f>IFERROR(__xludf.DUMMYFUNCTION("""COMPUTED_VALUE"""),"System of Super Tech")</f>
        <v>System of Super Tech</v>
      </c>
      <c r="C47" s="16" t="str">
        <f>IFERROR(__xludf.DUMMYFUNCTION("""COMPUTED_VALUE"""),"System and Superpower")</f>
        <v>System and Superpower</v>
      </c>
      <c r="D47" s="16">
        <f>IFERROR(__xludf.DUMMYFUNCTION("""COMPUTED_VALUE"""),671.0)</f>
        <v>671</v>
      </c>
      <c r="E47" s="16">
        <f>IFERROR(__xludf.DUMMYFUNCTION("""COMPUTED_VALUE"""),0.976154992548435)</f>
        <v>0.9761549925</v>
      </c>
      <c r="F47" s="16">
        <f>IFERROR(__xludf.DUMMYFUNCTION("""COMPUTED_VALUE"""),0.543964232488822)</f>
        <v>0.5439642325</v>
      </c>
      <c r="G47" s="16">
        <f>IFERROR(__xludf.DUMMYFUNCTION("""COMPUTED_VALUE"""),0.442622950819672)</f>
        <v>0.4426229508</v>
      </c>
      <c r="H47" s="16">
        <f>IFERROR(__xludf.DUMMYFUNCTION("""COMPUTED_VALUE"""),0.414307004470938)</f>
        <v>0.4143070045</v>
      </c>
      <c r="I47" s="16">
        <f>IFERROR(__xludf.DUMMYFUNCTION("""COMPUTED_VALUE"""),0.383233532934131)</f>
        <v>0.3832335329</v>
      </c>
      <c r="J47" s="16">
        <f>IFERROR(__xludf.DUMMYFUNCTION("""COMPUTED_VALUE"""),0.352852852852852)</f>
        <v>0.3528528529</v>
      </c>
      <c r="K47" s="16">
        <f>IFERROR(__xludf.DUMMYFUNCTION("""COMPUTED_VALUE"""),0.333333333333333)</f>
        <v>0.3333333333</v>
      </c>
      <c r="L47" s="16">
        <f>IFERROR(__xludf.DUMMYFUNCTION("""COMPUTED_VALUE"""),0.311649016641452)</f>
        <v>0.3116490166</v>
      </c>
      <c r="M47" s="16">
        <f>IFERROR(__xludf.DUMMYFUNCTION("""COMPUTED_VALUE"""),0.298780487804878)</f>
        <v>0.2987804878</v>
      </c>
      <c r="N47" s="16">
        <f>IFERROR(__xludf.DUMMYFUNCTION("""COMPUTED_VALUE"""),0.276131045241809)</f>
        <v>0.2761310452</v>
      </c>
      <c r="O47" s="16">
        <f>IFERROR(__xludf.DUMMYFUNCTION("""COMPUTED_VALUE"""),0.208092485549132)</f>
        <v>0.2080924855</v>
      </c>
      <c r="P47" s="16">
        <f>IFERROR(__xludf.DUMMYFUNCTION("""COMPUTED_VALUE"""),0.134615384615384)</f>
        <v>0.1346153846</v>
      </c>
      <c r="Q47" s="16">
        <f>IFERROR(__xludf.DUMMYFUNCTION("""COMPUTED_VALUE"""),0.0588235294117647)</f>
        <v>0.05882352941</v>
      </c>
      <c r="R47" s="16">
        <f>IFERROR(__xludf.DUMMYFUNCTION("""COMPUTED_VALUE"""),0.0)</f>
        <v>0</v>
      </c>
      <c r="S47" s="16">
        <f>IFERROR(__xludf.DUMMYFUNCTION("""COMPUTED_VALUE"""),0.0)</f>
        <v>0</v>
      </c>
      <c r="T47" s="16">
        <f>IFERROR(__xludf.DUMMYFUNCTION("""COMPUTED_VALUE"""),0.0)</f>
        <v>0</v>
      </c>
      <c r="U47" s="16">
        <f>IFERROR(__xludf.DUMMYFUNCTION("""COMPUTED_VALUE"""),0.0)</f>
        <v>0</v>
      </c>
      <c r="V47" s="16">
        <f>IFERROR(__xludf.DUMMYFUNCTION("""COMPUTED_VALUE"""),0.0)</f>
        <v>0</v>
      </c>
      <c r="W47" s="16">
        <f>IFERROR(__xludf.DUMMYFUNCTION("""COMPUTED_VALUE"""),0.0)</f>
        <v>0</v>
      </c>
      <c r="X47" s="16">
        <f>IFERROR(__xludf.DUMMYFUNCTION("""COMPUTED_VALUE"""),0.0)</f>
        <v>0</v>
      </c>
      <c r="Y47" s="16">
        <f>IFERROR(__xludf.DUMMYFUNCTION("""COMPUTED_VALUE"""),0.0)</f>
        <v>0</v>
      </c>
      <c r="Z47" s="16">
        <f>IFERROR(__xludf.DUMMYFUNCTION("""COMPUTED_VALUE"""),0.0)</f>
        <v>0</v>
      </c>
      <c r="AA47" s="16">
        <f>IFERROR(__xludf.DUMMYFUNCTION("""COMPUTED_VALUE"""),0.0)</f>
        <v>0</v>
      </c>
      <c r="AB47" s="16">
        <f>IFERROR(__xludf.DUMMYFUNCTION("""COMPUTED_VALUE"""),0.0)</f>
        <v>0</v>
      </c>
      <c r="AC47" s="16">
        <f>IFERROR(__xludf.DUMMYFUNCTION("""COMPUTED_VALUE"""),0.0)</f>
        <v>0</v>
      </c>
      <c r="AD47" s="16">
        <f>IFERROR(__xludf.DUMMYFUNCTION("""COMPUTED_VALUE"""),0.0)</f>
        <v>0</v>
      </c>
      <c r="AE47" s="16">
        <f>IFERROR(__xludf.DUMMYFUNCTION("""COMPUTED_VALUE"""),0.0)</f>
        <v>0</v>
      </c>
      <c r="AF47" s="16">
        <f>IFERROR(__xludf.DUMMYFUNCTION("""COMPUTED_VALUE"""),0.0)</f>
        <v>0</v>
      </c>
      <c r="AG47" s="16">
        <f>IFERROR(__xludf.DUMMYFUNCTION("""COMPUTED_VALUE"""),0.0)</f>
        <v>0</v>
      </c>
      <c r="AH47" s="16">
        <f>IFERROR(__xludf.DUMMYFUNCTION("""COMPUTED_VALUE"""),0.0)</f>
        <v>0</v>
      </c>
    </row>
    <row r="48">
      <c r="A48" s="16" t="str">
        <f>IFERROR(__xludf.DUMMYFUNCTION("""COMPUTED_VALUE"""),"247dcedeaecc161909c6ddd57b599f4e38d758d8")</f>
        <v>247dcedeaecc161909c6ddd57b599f4e38d758d8</v>
      </c>
      <c r="B48" s="16" t="str">
        <f>IFERROR(__xludf.DUMMYFUNCTION("""COMPUTED_VALUE"""),"A Christmas of Betrayals")</f>
        <v>A Christmas of Betrayals</v>
      </c>
      <c r="C48" s="16" t="str">
        <f>IFERROR(__xludf.DUMMYFUNCTION("""COMPUTED_VALUE"""),"Romance")</f>
        <v>Romance</v>
      </c>
      <c r="D48" s="16">
        <f>IFERROR(__xludf.DUMMYFUNCTION("""COMPUTED_VALUE"""),101.0)</f>
        <v>101</v>
      </c>
      <c r="E48" s="16">
        <f>IFERROR(__xludf.DUMMYFUNCTION("""COMPUTED_VALUE"""),0.96039603960396)</f>
        <v>0.9603960396</v>
      </c>
      <c r="F48" s="16">
        <f>IFERROR(__xludf.DUMMYFUNCTION("""COMPUTED_VALUE"""),0.504950495049505)</f>
        <v>0.504950495</v>
      </c>
      <c r="G48" s="16">
        <f>IFERROR(__xludf.DUMMYFUNCTION("""COMPUTED_VALUE"""),0.475247524752475)</f>
        <v>0.4752475248</v>
      </c>
      <c r="H48" s="16">
        <f>IFERROR(__xludf.DUMMYFUNCTION("""COMPUTED_VALUE"""),0.425742574257425)</f>
        <v>0.4257425743</v>
      </c>
      <c r="I48" s="16">
        <f>IFERROR(__xludf.DUMMYFUNCTION("""COMPUTED_VALUE"""),0.376237623762376)</f>
        <v>0.3762376238</v>
      </c>
      <c r="J48" s="16">
        <f>IFERROR(__xludf.DUMMYFUNCTION("""COMPUTED_VALUE"""),0.366336633663366)</f>
        <v>0.3663366337</v>
      </c>
      <c r="K48" s="16">
        <f>IFERROR(__xludf.DUMMYFUNCTION("""COMPUTED_VALUE"""),0.316831683168316)</f>
        <v>0.3168316832</v>
      </c>
      <c r="L48" s="16">
        <f>IFERROR(__xludf.DUMMYFUNCTION("""COMPUTED_VALUE"""),0.262626262626262)</f>
        <v>0.2626262626</v>
      </c>
      <c r="M48" s="16">
        <f>IFERROR(__xludf.DUMMYFUNCTION("""COMPUTED_VALUE"""),0.244897959183673)</f>
        <v>0.2448979592</v>
      </c>
      <c r="N48" s="16">
        <f>IFERROR(__xludf.DUMMYFUNCTION("""COMPUTED_VALUE"""),0.23469387755102)</f>
        <v>0.2346938776</v>
      </c>
      <c r="O48" s="16">
        <f>IFERROR(__xludf.DUMMYFUNCTION("""COMPUTED_VALUE"""),0.204081632653061)</f>
        <v>0.2040816327</v>
      </c>
      <c r="P48" s="16">
        <f>IFERROR(__xludf.DUMMYFUNCTION("""COMPUTED_VALUE"""),0.166666666666666)</f>
        <v>0.1666666667</v>
      </c>
      <c r="Q48" s="16">
        <f>IFERROR(__xludf.DUMMYFUNCTION("""COMPUTED_VALUE"""),0.0666666666666666)</f>
        <v>0.06666666667</v>
      </c>
      <c r="R48" s="16">
        <f>IFERROR(__xludf.DUMMYFUNCTION("""COMPUTED_VALUE"""),0.0)</f>
        <v>0</v>
      </c>
      <c r="S48" s="16">
        <f>IFERROR(__xludf.DUMMYFUNCTION("""COMPUTED_VALUE"""),0.0)</f>
        <v>0</v>
      </c>
      <c r="T48" s="16">
        <f>IFERROR(__xludf.DUMMYFUNCTION("""COMPUTED_VALUE"""),0.0)</f>
        <v>0</v>
      </c>
      <c r="U48" s="16">
        <f>IFERROR(__xludf.DUMMYFUNCTION("""COMPUTED_VALUE"""),0.0)</f>
        <v>0</v>
      </c>
      <c r="V48" s="16">
        <f>IFERROR(__xludf.DUMMYFUNCTION("""COMPUTED_VALUE"""),0.0)</f>
        <v>0</v>
      </c>
      <c r="W48" s="16">
        <f>IFERROR(__xludf.DUMMYFUNCTION("""COMPUTED_VALUE"""),0.0)</f>
        <v>0</v>
      </c>
      <c r="X48" s="16">
        <f>IFERROR(__xludf.DUMMYFUNCTION("""COMPUTED_VALUE"""),0.0)</f>
        <v>0</v>
      </c>
      <c r="Y48" s="16">
        <f>IFERROR(__xludf.DUMMYFUNCTION("""COMPUTED_VALUE"""),0.0)</f>
        <v>0</v>
      </c>
      <c r="Z48" s="16">
        <f>IFERROR(__xludf.DUMMYFUNCTION("""COMPUTED_VALUE"""),0.0)</f>
        <v>0</v>
      </c>
      <c r="AA48" s="16">
        <f>IFERROR(__xludf.DUMMYFUNCTION("""COMPUTED_VALUE"""),0.0)</f>
        <v>0</v>
      </c>
      <c r="AB48" s="16">
        <f>IFERROR(__xludf.DUMMYFUNCTION("""COMPUTED_VALUE"""),0.0)</f>
        <v>0</v>
      </c>
      <c r="AC48" s="16">
        <f>IFERROR(__xludf.DUMMYFUNCTION("""COMPUTED_VALUE"""),0.0)</f>
        <v>0</v>
      </c>
      <c r="AD48" s="16">
        <f>IFERROR(__xludf.DUMMYFUNCTION("""COMPUTED_VALUE"""),0.0)</f>
        <v>0</v>
      </c>
      <c r="AE48" s="16">
        <f>IFERROR(__xludf.DUMMYFUNCTION("""COMPUTED_VALUE"""),0.0)</f>
        <v>0</v>
      </c>
      <c r="AF48" s="16">
        <f>IFERROR(__xludf.DUMMYFUNCTION("""COMPUTED_VALUE"""),0.0)</f>
        <v>0</v>
      </c>
      <c r="AG48" s="16">
        <f>IFERROR(__xludf.DUMMYFUNCTION("""COMPUTED_VALUE"""),0.0)</f>
        <v>0</v>
      </c>
      <c r="AH48" s="16">
        <f>IFERROR(__xludf.DUMMYFUNCTION("""COMPUTED_VALUE"""),0.0)</f>
        <v>0</v>
      </c>
    </row>
    <row r="49">
      <c r="A49" s="16" t="str">
        <f>IFERROR(__xludf.DUMMYFUNCTION("""COMPUTED_VALUE"""),"248aae390e84177edc04ecc06fac6c17aed375ff")</f>
        <v>248aae390e84177edc04ecc06fac6c17aed375ff</v>
      </c>
      <c r="B49" s="16" t="str">
        <f>IFERROR(__xludf.DUMMYFUNCTION("""COMPUTED_VALUE"""),"Silver Onyx: Dragonbound")</f>
        <v>Silver Onyx: Dragonbound</v>
      </c>
      <c r="C49" s="16" t="str">
        <f>IFERROR(__xludf.DUMMYFUNCTION("""COMPUTED_VALUE"""),"Romantasy")</f>
        <v>Romantasy</v>
      </c>
      <c r="D49" s="16">
        <f>IFERROR(__xludf.DUMMYFUNCTION("""COMPUTED_VALUE"""),346.0)</f>
        <v>346</v>
      </c>
      <c r="E49" s="16">
        <f>IFERROR(__xludf.DUMMYFUNCTION("""COMPUTED_VALUE"""),0.953757225433526)</f>
        <v>0.9537572254</v>
      </c>
      <c r="F49" s="16">
        <f>IFERROR(__xludf.DUMMYFUNCTION("""COMPUTED_VALUE"""),0.563583815028901)</f>
        <v>0.563583815</v>
      </c>
      <c r="G49" s="16">
        <f>IFERROR(__xludf.DUMMYFUNCTION("""COMPUTED_VALUE"""),0.49421965317919)</f>
        <v>0.4942196532</v>
      </c>
      <c r="H49" s="16">
        <f>IFERROR(__xludf.DUMMYFUNCTION("""COMPUTED_VALUE"""),0.468208092485549)</f>
        <v>0.4682080925</v>
      </c>
      <c r="I49" s="16">
        <f>IFERROR(__xludf.DUMMYFUNCTION("""COMPUTED_VALUE"""),0.451612903225806)</f>
        <v>0.4516129032</v>
      </c>
      <c r="J49" s="16">
        <f>IFERROR(__xludf.DUMMYFUNCTION("""COMPUTED_VALUE"""),0.425149700598802)</f>
        <v>0.4251497006</v>
      </c>
      <c r="K49" s="16">
        <f>IFERROR(__xludf.DUMMYFUNCTION("""COMPUTED_VALUE"""),0.407407407407407)</f>
        <v>0.4074074074</v>
      </c>
      <c r="L49" s="16">
        <f>IFERROR(__xludf.DUMMYFUNCTION("""COMPUTED_VALUE"""),0.403174603174603)</f>
        <v>0.4031746032</v>
      </c>
      <c r="M49" s="16">
        <f>IFERROR(__xludf.DUMMYFUNCTION("""COMPUTED_VALUE"""),0.393548387096774)</f>
        <v>0.3935483871</v>
      </c>
      <c r="N49" s="16">
        <f>IFERROR(__xludf.DUMMYFUNCTION("""COMPUTED_VALUE"""),0.387959866220735)</f>
        <v>0.3879598662</v>
      </c>
      <c r="O49" s="16">
        <f>IFERROR(__xludf.DUMMYFUNCTION("""COMPUTED_VALUE"""),0.459459459459459)</f>
        <v>0.4594594595</v>
      </c>
      <c r="P49" s="16">
        <f>IFERROR(__xludf.DUMMYFUNCTION("""COMPUTED_VALUE"""),0.38095238095238)</f>
        <v>0.380952381</v>
      </c>
      <c r="Q49" s="16">
        <f>IFERROR(__xludf.DUMMYFUNCTION("""COMPUTED_VALUE"""),0.0)</f>
        <v>0</v>
      </c>
      <c r="R49" s="16">
        <f>IFERROR(__xludf.DUMMYFUNCTION("""COMPUTED_VALUE"""),0.0)</f>
        <v>0</v>
      </c>
      <c r="S49" s="16">
        <f>IFERROR(__xludf.DUMMYFUNCTION("""COMPUTED_VALUE"""),0.0)</f>
        <v>0</v>
      </c>
      <c r="T49" s="16">
        <f>IFERROR(__xludf.DUMMYFUNCTION("""COMPUTED_VALUE"""),0.0)</f>
        <v>0</v>
      </c>
      <c r="U49" s="16">
        <f>IFERROR(__xludf.DUMMYFUNCTION("""COMPUTED_VALUE"""),0.0)</f>
        <v>0</v>
      </c>
      <c r="V49" s="16">
        <f>IFERROR(__xludf.DUMMYFUNCTION("""COMPUTED_VALUE"""),0.0)</f>
        <v>0</v>
      </c>
      <c r="W49" s="16">
        <f>IFERROR(__xludf.DUMMYFUNCTION("""COMPUTED_VALUE"""),0.0)</f>
        <v>0</v>
      </c>
      <c r="X49" s="16">
        <f>IFERROR(__xludf.DUMMYFUNCTION("""COMPUTED_VALUE"""),0.0)</f>
        <v>0</v>
      </c>
      <c r="Y49" s="16">
        <f>IFERROR(__xludf.DUMMYFUNCTION("""COMPUTED_VALUE"""),0.0)</f>
        <v>0</v>
      </c>
      <c r="Z49" s="16">
        <f>IFERROR(__xludf.DUMMYFUNCTION("""COMPUTED_VALUE"""),0.0)</f>
        <v>0</v>
      </c>
      <c r="AA49" s="16">
        <f>IFERROR(__xludf.DUMMYFUNCTION("""COMPUTED_VALUE"""),0.0)</f>
        <v>0</v>
      </c>
      <c r="AB49" s="16">
        <f>IFERROR(__xludf.DUMMYFUNCTION("""COMPUTED_VALUE"""),0.0)</f>
        <v>0</v>
      </c>
      <c r="AC49" s="16">
        <f>IFERROR(__xludf.DUMMYFUNCTION("""COMPUTED_VALUE"""),0.0)</f>
        <v>0</v>
      </c>
      <c r="AD49" s="16">
        <f>IFERROR(__xludf.DUMMYFUNCTION("""COMPUTED_VALUE"""),0.0)</f>
        <v>0</v>
      </c>
      <c r="AE49" s="16">
        <f>IFERROR(__xludf.DUMMYFUNCTION("""COMPUTED_VALUE"""),0.0)</f>
        <v>0</v>
      </c>
      <c r="AF49" s="16">
        <f>IFERROR(__xludf.DUMMYFUNCTION("""COMPUTED_VALUE"""),0.0)</f>
        <v>0</v>
      </c>
      <c r="AG49" s="16">
        <f>IFERROR(__xludf.DUMMYFUNCTION("""COMPUTED_VALUE"""),0.0)</f>
        <v>0</v>
      </c>
      <c r="AH49" s="16">
        <f>IFERROR(__xludf.DUMMYFUNCTION("""COMPUTED_VALUE"""),0.0)</f>
        <v>0</v>
      </c>
    </row>
    <row r="50">
      <c r="A50" s="16" t="str">
        <f>IFERROR(__xludf.DUMMYFUNCTION("""COMPUTED_VALUE"""),"248ba0ec55862a22dd7993c8b49d5f052ce03954")</f>
        <v>248ba0ec55862a22dd7993c8b49d5f052ce03954</v>
      </c>
      <c r="B50" s="16" t="str">
        <f>IFERROR(__xludf.DUMMYFUNCTION("""COMPUTED_VALUE"""),"The Silent Sovereign")</f>
        <v>The Silent Sovereign</v>
      </c>
      <c r="C50" s="16" t="str">
        <f>IFERROR(__xludf.DUMMYFUNCTION("""COMPUTED_VALUE"""),"Fantasy")</f>
        <v>Fantasy</v>
      </c>
      <c r="D50" s="16">
        <f>IFERROR(__xludf.DUMMYFUNCTION("""COMPUTED_VALUE"""),786.0)</f>
        <v>786</v>
      </c>
      <c r="E50" s="16">
        <f>IFERROR(__xludf.DUMMYFUNCTION("""COMPUTED_VALUE"""),0.972010178117048)</f>
        <v>0.9720101781</v>
      </c>
      <c r="F50" s="16">
        <f>IFERROR(__xludf.DUMMYFUNCTION("""COMPUTED_VALUE"""),0.759541984732824)</f>
        <v>0.7595419847</v>
      </c>
      <c r="G50" s="16">
        <f>IFERROR(__xludf.DUMMYFUNCTION("""COMPUTED_VALUE"""),0.692111959287531)</f>
        <v>0.6921119593</v>
      </c>
      <c r="H50" s="16">
        <f>IFERROR(__xludf.DUMMYFUNCTION("""COMPUTED_VALUE"""),0.636132315521628)</f>
        <v>0.6361323155</v>
      </c>
      <c r="I50" s="16">
        <f>IFERROR(__xludf.DUMMYFUNCTION("""COMPUTED_VALUE"""),0.60559796437659)</f>
        <v>0.6055979644</v>
      </c>
      <c r="J50" s="16">
        <f>IFERROR(__xludf.DUMMYFUNCTION("""COMPUTED_VALUE"""),0.575796178343949)</f>
        <v>0.5757961783</v>
      </c>
      <c r="K50" s="16">
        <f>IFERROR(__xludf.DUMMYFUNCTION("""COMPUTED_VALUE"""),0.512163892445582)</f>
        <v>0.5121638924</v>
      </c>
      <c r="L50" s="16">
        <f>IFERROR(__xludf.DUMMYFUNCTION("""COMPUTED_VALUE"""),0.486238532110091)</f>
        <v>0.4862385321</v>
      </c>
      <c r="M50" s="16">
        <f>IFERROR(__xludf.DUMMYFUNCTION("""COMPUTED_VALUE"""),0.455145118733509)</f>
        <v>0.4551451187</v>
      </c>
      <c r="N50" s="16">
        <f>IFERROR(__xludf.DUMMYFUNCTION("""COMPUTED_VALUE"""),0.431664411366711)</f>
        <v>0.4316644114</v>
      </c>
      <c r="O50" s="16">
        <f>IFERROR(__xludf.DUMMYFUNCTION("""COMPUTED_VALUE"""),0.349442379182156)</f>
        <v>0.3494423792</v>
      </c>
      <c r="P50" s="16">
        <f>IFERROR(__xludf.DUMMYFUNCTION("""COMPUTED_VALUE"""),0.236024844720496)</f>
        <v>0.2360248447</v>
      </c>
      <c r="Q50" s="16">
        <f>IFERROR(__xludf.DUMMYFUNCTION("""COMPUTED_VALUE"""),0.181818181818181)</f>
        <v>0.1818181818</v>
      </c>
      <c r="R50" s="16">
        <f>IFERROR(__xludf.DUMMYFUNCTION("""COMPUTED_VALUE"""),0.0)</f>
        <v>0</v>
      </c>
      <c r="S50" s="16">
        <f>IFERROR(__xludf.DUMMYFUNCTION("""COMPUTED_VALUE"""),0.0)</f>
        <v>0</v>
      </c>
      <c r="T50" s="16">
        <f>IFERROR(__xludf.DUMMYFUNCTION("""COMPUTED_VALUE"""),0.0)</f>
        <v>0</v>
      </c>
      <c r="U50" s="16">
        <f>IFERROR(__xludf.DUMMYFUNCTION("""COMPUTED_VALUE"""),0.0)</f>
        <v>0</v>
      </c>
      <c r="V50" s="16">
        <f>IFERROR(__xludf.DUMMYFUNCTION("""COMPUTED_VALUE"""),0.0)</f>
        <v>0</v>
      </c>
      <c r="W50" s="16">
        <f>IFERROR(__xludf.DUMMYFUNCTION("""COMPUTED_VALUE"""),0.0)</f>
        <v>0</v>
      </c>
      <c r="X50" s="16">
        <f>IFERROR(__xludf.DUMMYFUNCTION("""COMPUTED_VALUE"""),0.0)</f>
        <v>0</v>
      </c>
      <c r="Y50" s="16">
        <f>IFERROR(__xludf.DUMMYFUNCTION("""COMPUTED_VALUE"""),0.0)</f>
        <v>0</v>
      </c>
      <c r="Z50" s="16">
        <f>IFERROR(__xludf.DUMMYFUNCTION("""COMPUTED_VALUE"""),0.0)</f>
        <v>0</v>
      </c>
      <c r="AA50" s="16">
        <f>IFERROR(__xludf.DUMMYFUNCTION("""COMPUTED_VALUE"""),0.0)</f>
        <v>0</v>
      </c>
      <c r="AB50" s="16">
        <f>IFERROR(__xludf.DUMMYFUNCTION("""COMPUTED_VALUE"""),0.0)</f>
        <v>0</v>
      </c>
      <c r="AC50" s="16">
        <f>IFERROR(__xludf.DUMMYFUNCTION("""COMPUTED_VALUE"""),0.0)</f>
        <v>0</v>
      </c>
      <c r="AD50" s="16">
        <f>IFERROR(__xludf.DUMMYFUNCTION("""COMPUTED_VALUE"""),0.0)</f>
        <v>0</v>
      </c>
      <c r="AE50" s="16">
        <f>IFERROR(__xludf.DUMMYFUNCTION("""COMPUTED_VALUE"""),0.0)</f>
        <v>0</v>
      </c>
      <c r="AF50" s="16">
        <f>IFERROR(__xludf.DUMMYFUNCTION("""COMPUTED_VALUE"""),0.0)</f>
        <v>0</v>
      </c>
      <c r="AG50" s="16">
        <f>IFERROR(__xludf.DUMMYFUNCTION("""COMPUTED_VALUE"""),0.0)</f>
        <v>0</v>
      </c>
      <c r="AH50" s="16">
        <f>IFERROR(__xludf.DUMMYFUNCTION("""COMPUTED_VALUE"""),0.0)</f>
        <v>0</v>
      </c>
    </row>
    <row r="51">
      <c r="A51" s="16" t="str">
        <f>IFERROR(__xludf.DUMMYFUNCTION("""COMPUTED_VALUE"""),"256420b150a08ae24e418a9316db10d1c7142a09")</f>
        <v>256420b150a08ae24e418a9316db10d1c7142a09</v>
      </c>
      <c r="B51" s="16" t="str">
        <f>IFERROR(__xludf.DUMMYFUNCTION("""COMPUTED_VALUE"""),"Monarch of Spirits")</f>
        <v>Monarch of Spirits</v>
      </c>
      <c r="C51" s="16" t="str">
        <f>IFERROR(__xludf.DUMMYFUNCTION("""COMPUTED_VALUE"""),"Fantasy")</f>
        <v>Fantasy</v>
      </c>
      <c r="D51" s="16">
        <f>IFERROR(__xludf.DUMMYFUNCTION("""COMPUTED_VALUE"""),764.0)</f>
        <v>764</v>
      </c>
      <c r="E51" s="16">
        <f>IFERROR(__xludf.DUMMYFUNCTION("""COMPUTED_VALUE"""),0.988219895287958)</f>
        <v>0.9882198953</v>
      </c>
      <c r="F51" s="16">
        <f>IFERROR(__xludf.DUMMYFUNCTION("""COMPUTED_VALUE"""),0.604712041884816)</f>
        <v>0.6047120419</v>
      </c>
      <c r="G51" s="16">
        <f>IFERROR(__xludf.DUMMYFUNCTION("""COMPUTED_VALUE"""),0.509162303664921)</f>
        <v>0.5091623037</v>
      </c>
      <c r="H51" s="16">
        <f>IFERROR(__xludf.DUMMYFUNCTION("""COMPUTED_VALUE"""),0.445026178010471)</f>
        <v>0.445026178</v>
      </c>
      <c r="I51" s="16">
        <f>IFERROR(__xludf.DUMMYFUNCTION("""COMPUTED_VALUE"""),0.404980340760157)</f>
        <v>0.4049803408</v>
      </c>
      <c r="J51" s="16">
        <f>IFERROR(__xludf.DUMMYFUNCTION("""COMPUTED_VALUE"""),0.368283093053735)</f>
        <v>0.3682830931</v>
      </c>
      <c r="K51" s="16">
        <f>IFERROR(__xludf.DUMMYFUNCTION("""COMPUTED_VALUE"""),0.33508541392904)</f>
        <v>0.3350854139</v>
      </c>
      <c r="L51" s="16">
        <f>IFERROR(__xludf.DUMMYFUNCTION("""COMPUTED_VALUE"""),0.324572930354796)</f>
        <v>0.3245729304</v>
      </c>
      <c r="M51" s="16">
        <f>IFERROR(__xludf.DUMMYFUNCTION("""COMPUTED_VALUE"""),0.296977660972404)</f>
        <v>0.296977661</v>
      </c>
      <c r="N51" s="16">
        <f>IFERROR(__xludf.DUMMYFUNCTION("""COMPUTED_VALUE"""),0.293421052631578)</f>
        <v>0.2934210526</v>
      </c>
      <c r="O51" s="16">
        <f>IFERROR(__xludf.DUMMYFUNCTION("""COMPUTED_VALUE"""),0.251664447403462)</f>
        <v>0.2516644474</v>
      </c>
      <c r="P51" s="16">
        <f>IFERROR(__xludf.DUMMYFUNCTION("""COMPUTED_VALUE"""),0.177871148459383)</f>
        <v>0.1778711485</v>
      </c>
      <c r="Q51" s="16">
        <f>IFERROR(__xludf.DUMMYFUNCTION("""COMPUTED_VALUE"""),0.122749590834697)</f>
        <v>0.1227495908</v>
      </c>
      <c r="R51" s="16">
        <f>IFERROR(__xludf.DUMMYFUNCTION("""COMPUTED_VALUE"""),0.158878504672897)</f>
        <v>0.1588785047</v>
      </c>
      <c r="S51" s="16">
        <f>IFERROR(__xludf.DUMMYFUNCTION("""COMPUTED_VALUE"""),0.134328358208955)</f>
        <v>0.1343283582</v>
      </c>
      <c r="T51" s="16">
        <f>IFERROR(__xludf.DUMMYFUNCTION("""COMPUTED_VALUE"""),0.137931034482758)</f>
        <v>0.1379310345</v>
      </c>
      <c r="U51" s="16">
        <f>IFERROR(__xludf.DUMMYFUNCTION("""COMPUTED_VALUE"""),0.132075471698113)</f>
        <v>0.1320754717</v>
      </c>
      <c r="V51" s="16">
        <f>IFERROR(__xludf.DUMMYFUNCTION("""COMPUTED_VALUE"""),0.122448979591836)</f>
        <v>0.1224489796</v>
      </c>
      <c r="W51" s="16">
        <f>IFERROR(__xludf.DUMMYFUNCTION("""COMPUTED_VALUE"""),0.0714285714285714)</f>
        <v>0.07142857143</v>
      </c>
      <c r="X51" s="16">
        <f>IFERROR(__xludf.DUMMYFUNCTION("""COMPUTED_VALUE"""),0.0555555555555555)</f>
        <v>0.05555555556</v>
      </c>
      <c r="Y51" s="16">
        <f>IFERROR(__xludf.DUMMYFUNCTION("""COMPUTED_VALUE"""),0.0)</f>
        <v>0</v>
      </c>
      <c r="Z51" s="16">
        <f>IFERROR(__xludf.DUMMYFUNCTION("""COMPUTED_VALUE"""),0.0)</f>
        <v>0</v>
      </c>
      <c r="AA51" s="16">
        <f>IFERROR(__xludf.DUMMYFUNCTION("""COMPUTED_VALUE"""),0.0)</f>
        <v>0</v>
      </c>
      <c r="AB51" s="16">
        <f>IFERROR(__xludf.DUMMYFUNCTION("""COMPUTED_VALUE"""),0.0)</f>
        <v>0</v>
      </c>
      <c r="AC51" s="16">
        <f>IFERROR(__xludf.DUMMYFUNCTION("""COMPUTED_VALUE"""),0.0)</f>
        <v>0</v>
      </c>
      <c r="AD51" s="16">
        <f>IFERROR(__xludf.DUMMYFUNCTION("""COMPUTED_VALUE"""),0.0)</f>
        <v>0</v>
      </c>
      <c r="AE51" s="16">
        <f>IFERROR(__xludf.DUMMYFUNCTION("""COMPUTED_VALUE"""),0.0)</f>
        <v>0</v>
      </c>
      <c r="AF51" s="16">
        <f>IFERROR(__xludf.DUMMYFUNCTION("""COMPUTED_VALUE"""),0.0)</f>
        <v>0</v>
      </c>
      <c r="AG51" s="16">
        <f>IFERROR(__xludf.DUMMYFUNCTION("""COMPUTED_VALUE"""),0.0)</f>
        <v>0</v>
      </c>
      <c r="AH51" s="16">
        <f>IFERROR(__xludf.DUMMYFUNCTION("""COMPUTED_VALUE"""),0.0)</f>
        <v>0</v>
      </c>
    </row>
    <row r="52">
      <c r="A52" s="16" t="str">
        <f>IFERROR(__xludf.DUMMYFUNCTION("""COMPUTED_VALUE"""),"26e1fd07be016edcad6988356011ef8b49038bd1")</f>
        <v>26e1fd07be016edcad6988356011ef8b49038bd1</v>
      </c>
      <c r="B52" s="16" t="str">
        <f>IFERROR(__xludf.DUMMYFUNCTION("""COMPUTED_VALUE"""),"The Last Anniversary Lie")</f>
        <v>The Last Anniversary Lie</v>
      </c>
      <c r="C52" s="16" t="str">
        <f>IFERROR(__xludf.DUMMYFUNCTION("""COMPUTED_VALUE"""),"Romance")</f>
        <v>Romance</v>
      </c>
      <c r="D52" s="16">
        <f>IFERROR(__xludf.DUMMYFUNCTION("""COMPUTED_VALUE"""),71.0)</f>
        <v>71</v>
      </c>
      <c r="E52" s="16">
        <f>IFERROR(__xludf.DUMMYFUNCTION("""COMPUTED_VALUE"""),0.957746478873239)</f>
        <v>0.9577464789</v>
      </c>
      <c r="F52" s="16">
        <f>IFERROR(__xludf.DUMMYFUNCTION("""COMPUTED_VALUE"""),0.605633802816901)</f>
        <v>0.6056338028</v>
      </c>
      <c r="G52" s="16">
        <f>IFERROR(__xludf.DUMMYFUNCTION("""COMPUTED_VALUE"""),0.535211267605633)</f>
        <v>0.5352112676</v>
      </c>
      <c r="H52" s="16">
        <f>IFERROR(__xludf.DUMMYFUNCTION("""COMPUTED_VALUE"""),0.464788732394366)</f>
        <v>0.4647887324</v>
      </c>
      <c r="I52" s="16">
        <f>IFERROR(__xludf.DUMMYFUNCTION("""COMPUTED_VALUE"""),0.450704225352112)</f>
        <v>0.4507042254</v>
      </c>
      <c r="J52" s="16">
        <f>IFERROR(__xludf.DUMMYFUNCTION("""COMPUTED_VALUE"""),0.394366197183098)</f>
        <v>0.3943661972</v>
      </c>
      <c r="K52" s="16">
        <f>IFERROR(__xludf.DUMMYFUNCTION("""COMPUTED_VALUE"""),0.394366197183098)</f>
        <v>0.3943661972</v>
      </c>
      <c r="L52" s="16">
        <f>IFERROR(__xludf.DUMMYFUNCTION("""COMPUTED_VALUE"""),0.394366197183098)</f>
        <v>0.3943661972</v>
      </c>
      <c r="M52" s="16">
        <f>IFERROR(__xludf.DUMMYFUNCTION("""COMPUTED_VALUE"""),0.4)</f>
        <v>0.4</v>
      </c>
      <c r="N52" s="16">
        <f>IFERROR(__xludf.DUMMYFUNCTION("""COMPUTED_VALUE"""),0.371428571428571)</f>
        <v>0.3714285714</v>
      </c>
      <c r="O52" s="16">
        <f>IFERROR(__xludf.DUMMYFUNCTION("""COMPUTED_VALUE"""),0.229508196721311)</f>
        <v>0.2295081967</v>
      </c>
      <c r="P52" s="16">
        <f>IFERROR(__xludf.DUMMYFUNCTION("""COMPUTED_VALUE"""),0.125)</f>
        <v>0.125</v>
      </c>
      <c r="Q52" s="16">
        <f>IFERROR(__xludf.DUMMYFUNCTION("""COMPUTED_VALUE"""),0.0)</f>
        <v>0</v>
      </c>
      <c r="R52" s="16">
        <f>IFERROR(__xludf.DUMMYFUNCTION("""COMPUTED_VALUE"""),0.0)</f>
        <v>0</v>
      </c>
      <c r="S52" s="16">
        <f>IFERROR(__xludf.DUMMYFUNCTION("""COMPUTED_VALUE"""),0.0)</f>
        <v>0</v>
      </c>
      <c r="T52" s="16">
        <f>IFERROR(__xludf.DUMMYFUNCTION("""COMPUTED_VALUE"""),0.0)</f>
        <v>0</v>
      </c>
      <c r="U52" s="16">
        <f>IFERROR(__xludf.DUMMYFUNCTION("""COMPUTED_VALUE"""),0.0)</f>
        <v>0</v>
      </c>
      <c r="V52" s="16">
        <f>IFERROR(__xludf.DUMMYFUNCTION("""COMPUTED_VALUE"""),0.0)</f>
        <v>0</v>
      </c>
      <c r="W52" s="16">
        <f>IFERROR(__xludf.DUMMYFUNCTION("""COMPUTED_VALUE"""),0.0)</f>
        <v>0</v>
      </c>
      <c r="X52" s="16">
        <f>IFERROR(__xludf.DUMMYFUNCTION("""COMPUTED_VALUE"""),0.0)</f>
        <v>0</v>
      </c>
      <c r="Y52" s="16">
        <f>IFERROR(__xludf.DUMMYFUNCTION("""COMPUTED_VALUE"""),0.0)</f>
        <v>0</v>
      </c>
      <c r="Z52" s="16">
        <f>IFERROR(__xludf.DUMMYFUNCTION("""COMPUTED_VALUE"""),0.0)</f>
        <v>0</v>
      </c>
      <c r="AA52" s="16">
        <f>IFERROR(__xludf.DUMMYFUNCTION("""COMPUTED_VALUE"""),0.0)</f>
        <v>0</v>
      </c>
      <c r="AB52" s="16">
        <f>IFERROR(__xludf.DUMMYFUNCTION("""COMPUTED_VALUE"""),0.0)</f>
        <v>0</v>
      </c>
      <c r="AC52" s="16">
        <f>IFERROR(__xludf.DUMMYFUNCTION("""COMPUTED_VALUE"""),0.0)</f>
        <v>0</v>
      </c>
      <c r="AD52" s="16">
        <f>IFERROR(__xludf.DUMMYFUNCTION("""COMPUTED_VALUE"""),0.0)</f>
        <v>0</v>
      </c>
      <c r="AE52" s="16">
        <f>IFERROR(__xludf.DUMMYFUNCTION("""COMPUTED_VALUE"""),0.0)</f>
        <v>0</v>
      </c>
      <c r="AF52" s="16">
        <f>IFERROR(__xludf.DUMMYFUNCTION("""COMPUTED_VALUE"""),0.0)</f>
        <v>0</v>
      </c>
      <c r="AG52" s="16">
        <f>IFERROR(__xludf.DUMMYFUNCTION("""COMPUTED_VALUE"""),0.0)</f>
        <v>0</v>
      </c>
      <c r="AH52" s="16">
        <f>IFERROR(__xludf.DUMMYFUNCTION("""COMPUTED_VALUE"""),0.0)</f>
        <v>0</v>
      </c>
    </row>
    <row r="53">
      <c r="A53" s="16" t="str">
        <f>IFERROR(__xludf.DUMMYFUNCTION("""COMPUTED_VALUE"""),"2804c5c0d94ac97e4b67564cc852e784e64583e5")</f>
        <v>2804c5c0d94ac97e4b67564cc852e784e64583e5</v>
      </c>
      <c r="B53" s="16" t="str">
        <f>IFERROR(__xludf.DUMMYFUNCTION("""COMPUTED_VALUE"""),"Rebirth in Beauty")</f>
        <v>Rebirth in Beauty</v>
      </c>
      <c r="C53" s="16" t="str">
        <f>IFERROR(__xludf.DUMMYFUNCTION("""COMPUTED_VALUE"""),"Fantasy")</f>
        <v>Fantasy</v>
      </c>
      <c r="D53" s="16">
        <f>IFERROR(__xludf.DUMMYFUNCTION("""COMPUTED_VALUE"""),82.0)</f>
        <v>82</v>
      </c>
      <c r="E53" s="16">
        <f>IFERROR(__xludf.DUMMYFUNCTION("""COMPUTED_VALUE"""),0.98780487804878)</f>
        <v>0.987804878</v>
      </c>
      <c r="F53" s="16">
        <f>IFERROR(__xludf.DUMMYFUNCTION("""COMPUTED_VALUE"""),0.560975609756097)</f>
        <v>0.5609756098</v>
      </c>
      <c r="G53" s="16">
        <f>IFERROR(__xludf.DUMMYFUNCTION("""COMPUTED_VALUE"""),0.463414634146341)</f>
        <v>0.4634146341</v>
      </c>
      <c r="H53" s="16">
        <f>IFERROR(__xludf.DUMMYFUNCTION("""COMPUTED_VALUE"""),0.414634146341463)</f>
        <v>0.4146341463</v>
      </c>
      <c r="I53" s="16">
        <f>IFERROR(__xludf.DUMMYFUNCTION("""COMPUTED_VALUE"""),0.382716049382716)</f>
        <v>0.3827160494</v>
      </c>
      <c r="J53" s="16">
        <f>IFERROR(__xludf.DUMMYFUNCTION("""COMPUTED_VALUE"""),0.325)</f>
        <v>0.325</v>
      </c>
      <c r="K53" s="16">
        <f>IFERROR(__xludf.DUMMYFUNCTION("""COMPUTED_VALUE"""),0.325)</f>
        <v>0.325</v>
      </c>
      <c r="L53" s="16">
        <f>IFERROR(__xludf.DUMMYFUNCTION("""COMPUTED_VALUE"""),0.3)</f>
        <v>0.3</v>
      </c>
      <c r="M53" s="16">
        <f>IFERROR(__xludf.DUMMYFUNCTION("""COMPUTED_VALUE"""),0.3125)</f>
        <v>0.3125</v>
      </c>
      <c r="N53" s="16">
        <f>IFERROR(__xludf.DUMMYFUNCTION("""COMPUTED_VALUE"""),0.256756756756756)</f>
        <v>0.2567567568</v>
      </c>
      <c r="O53" s="16">
        <f>IFERROR(__xludf.DUMMYFUNCTION("""COMPUTED_VALUE"""),0.289473684210526)</f>
        <v>0.2894736842</v>
      </c>
      <c r="P53" s="16">
        <f>IFERROR(__xludf.DUMMYFUNCTION("""COMPUTED_VALUE"""),0.0)</f>
        <v>0</v>
      </c>
      <c r="Q53" s="16">
        <f>IFERROR(__xludf.DUMMYFUNCTION("""COMPUTED_VALUE"""),0.0)</f>
        <v>0</v>
      </c>
      <c r="R53" s="16">
        <f>IFERROR(__xludf.DUMMYFUNCTION("""COMPUTED_VALUE"""),0.0)</f>
        <v>0</v>
      </c>
      <c r="S53" s="16">
        <f>IFERROR(__xludf.DUMMYFUNCTION("""COMPUTED_VALUE"""),0.0)</f>
        <v>0</v>
      </c>
      <c r="T53" s="16">
        <f>IFERROR(__xludf.DUMMYFUNCTION("""COMPUTED_VALUE"""),0.0)</f>
        <v>0</v>
      </c>
      <c r="U53" s="16">
        <f>IFERROR(__xludf.DUMMYFUNCTION("""COMPUTED_VALUE"""),0.0)</f>
        <v>0</v>
      </c>
      <c r="V53" s="16">
        <f>IFERROR(__xludf.DUMMYFUNCTION("""COMPUTED_VALUE"""),0.0)</f>
        <v>0</v>
      </c>
      <c r="W53" s="16">
        <f>IFERROR(__xludf.DUMMYFUNCTION("""COMPUTED_VALUE"""),0.0)</f>
        <v>0</v>
      </c>
      <c r="X53" s="16">
        <f>IFERROR(__xludf.DUMMYFUNCTION("""COMPUTED_VALUE"""),0.0)</f>
        <v>0</v>
      </c>
      <c r="Y53" s="16">
        <f>IFERROR(__xludf.DUMMYFUNCTION("""COMPUTED_VALUE"""),0.0)</f>
        <v>0</v>
      </c>
      <c r="Z53" s="16">
        <f>IFERROR(__xludf.DUMMYFUNCTION("""COMPUTED_VALUE"""),0.0)</f>
        <v>0</v>
      </c>
      <c r="AA53" s="16">
        <f>IFERROR(__xludf.DUMMYFUNCTION("""COMPUTED_VALUE"""),0.0)</f>
        <v>0</v>
      </c>
      <c r="AB53" s="16">
        <f>IFERROR(__xludf.DUMMYFUNCTION("""COMPUTED_VALUE"""),0.0)</f>
        <v>0</v>
      </c>
      <c r="AC53" s="16">
        <f>IFERROR(__xludf.DUMMYFUNCTION("""COMPUTED_VALUE"""),0.0)</f>
        <v>0</v>
      </c>
      <c r="AD53" s="16">
        <f>IFERROR(__xludf.DUMMYFUNCTION("""COMPUTED_VALUE"""),0.0)</f>
        <v>0</v>
      </c>
      <c r="AE53" s="16">
        <f>IFERROR(__xludf.DUMMYFUNCTION("""COMPUTED_VALUE"""),0.0)</f>
        <v>0</v>
      </c>
      <c r="AF53" s="16">
        <f>IFERROR(__xludf.DUMMYFUNCTION("""COMPUTED_VALUE"""),0.0)</f>
        <v>0</v>
      </c>
      <c r="AG53" s="16">
        <f>IFERROR(__xludf.DUMMYFUNCTION("""COMPUTED_VALUE"""),0.0)</f>
        <v>0</v>
      </c>
      <c r="AH53" s="16">
        <f>IFERROR(__xludf.DUMMYFUNCTION("""COMPUTED_VALUE"""),0.0)</f>
        <v>0</v>
      </c>
    </row>
    <row r="54">
      <c r="A54" s="16" t="str">
        <f>IFERROR(__xludf.DUMMYFUNCTION("""COMPUTED_VALUE"""),"2969766ce2d0cd5c21da961666ea357622d5d073")</f>
        <v>2969766ce2d0cd5c21da961666ea357622d5d073</v>
      </c>
      <c r="B54" s="16" t="str">
        <f>IFERROR(__xludf.DUMMYFUNCTION("""COMPUTED_VALUE"""),"The Magical Mystic Master")</f>
        <v>The Magical Mystic Master</v>
      </c>
      <c r="C54" s="16" t="str">
        <f>IFERROR(__xludf.DUMMYFUNCTION("""COMPUTED_VALUE"""),"Fantasy")</f>
        <v>Fantasy</v>
      </c>
      <c r="D54" s="16">
        <f>IFERROR(__xludf.DUMMYFUNCTION("""COMPUTED_VALUE"""),1275.0)</f>
        <v>1275</v>
      </c>
      <c r="E54" s="16">
        <f>IFERROR(__xludf.DUMMYFUNCTION("""COMPUTED_VALUE"""),0.982745098039215)</f>
        <v>0.982745098</v>
      </c>
      <c r="F54" s="16">
        <f>IFERROR(__xludf.DUMMYFUNCTION("""COMPUTED_VALUE"""),0.557647058823529)</f>
        <v>0.5576470588</v>
      </c>
      <c r="G54" s="16">
        <f>IFERROR(__xludf.DUMMYFUNCTION("""COMPUTED_VALUE"""),0.431372549019607)</f>
        <v>0.431372549</v>
      </c>
      <c r="H54" s="16">
        <f>IFERROR(__xludf.DUMMYFUNCTION("""COMPUTED_VALUE"""),0.377847604084839)</f>
        <v>0.3778476041</v>
      </c>
      <c r="I54" s="16">
        <f>IFERROR(__xludf.DUMMYFUNCTION("""COMPUTED_VALUE"""),0.32050274941084)</f>
        <v>0.3205027494</v>
      </c>
      <c r="J54" s="16">
        <f>IFERROR(__xludf.DUMMYFUNCTION("""COMPUTED_VALUE"""),0.289866457187745)</f>
        <v>0.2898664572</v>
      </c>
      <c r="K54" s="16">
        <f>IFERROR(__xludf.DUMMYFUNCTION("""COMPUTED_VALUE"""),0.261867088607594)</f>
        <v>0.2618670886</v>
      </c>
      <c r="L54" s="16">
        <f>IFERROR(__xludf.DUMMYFUNCTION("""COMPUTED_VALUE"""),0.246239113222486)</f>
        <v>0.2462391132</v>
      </c>
      <c r="M54" s="16">
        <f>IFERROR(__xludf.DUMMYFUNCTION("""COMPUTED_VALUE"""),0.231987331749802)</f>
        <v>0.2319873317</v>
      </c>
      <c r="N54" s="16">
        <f>IFERROR(__xludf.DUMMYFUNCTION("""COMPUTED_VALUE"""),0.221252973830293)</f>
        <v>0.2212529738</v>
      </c>
      <c r="O54" s="16">
        <f>IFERROR(__xludf.DUMMYFUNCTION("""COMPUTED_VALUE"""),0.171501706484641)</f>
        <v>0.1715017065</v>
      </c>
      <c r="P54" s="16">
        <f>IFERROR(__xludf.DUMMYFUNCTION("""COMPUTED_VALUE"""),0.110418521816562)</f>
        <v>0.1104185218</v>
      </c>
      <c r="Q54" s="16">
        <f>IFERROR(__xludf.DUMMYFUNCTION("""COMPUTED_VALUE"""),0.0915032679738562)</f>
        <v>0.09150326797</v>
      </c>
      <c r="R54" s="16">
        <f>IFERROR(__xludf.DUMMYFUNCTION("""COMPUTED_VALUE"""),0.105357142857142)</f>
        <v>0.1053571429</v>
      </c>
      <c r="S54" s="16">
        <f>IFERROR(__xludf.DUMMYFUNCTION("""COMPUTED_VALUE"""),0.0159090909090909)</f>
        <v>0.01590909091</v>
      </c>
      <c r="T54" s="16">
        <f>IFERROR(__xludf.DUMMYFUNCTION("""COMPUTED_VALUE"""),0.0)</f>
        <v>0</v>
      </c>
      <c r="U54" s="16">
        <f>IFERROR(__xludf.DUMMYFUNCTION("""COMPUTED_VALUE"""),0.0)</f>
        <v>0</v>
      </c>
      <c r="V54" s="16">
        <f>IFERROR(__xludf.DUMMYFUNCTION("""COMPUTED_VALUE"""),0.0)</f>
        <v>0</v>
      </c>
      <c r="W54" s="16">
        <f>IFERROR(__xludf.DUMMYFUNCTION("""COMPUTED_VALUE"""),0.0)</f>
        <v>0</v>
      </c>
      <c r="X54" s="16">
        <f>IFERROR(__xludf.DUMMYFUNCTION("""COMPUTED_VALUE"""),0.0)</f>
        <v>0</v>
      </c>
      <c r="Y54" s="16">
        <f>IFERROR(__xludf.DUMMYFUNCTION("""COMPUTED_VALUE"""),0.0)</f>
        <v>0</v>
      </c>
      <c r="Z54" s="16">
        <f>IFERROR(__xludf.DUMMYFUNCTION("""COMPUTED_VALUE"""),0.0)</f>
        <v>0</v>
      </c>
      <c r="AA54" s="16">
        <f>IFERROR(__xludf.DUMMYFUNCTION("""COMPUTED_VALUE"""),0.0)</f>
        <v>0</v>
      </c>
      <c r="AB54" s="16">
        <f>IFERROR(__xludf.DUMMYFUNCTION("""COMPUTED_VALUE"""),0.0)</f>
        <v>0</v>
      </c>
      <c r="AC54" s="16">
        <f>IFERROR(__xludf.DUMMYFUNCTION("""COMPUTED_VALUE"""),0.0)</f>
        <v>0</v>
      </c>
      <c r="AD54" s="16">
        <f>IFERROR(__xludf.DUMMYFUNCTION("""COMPUTED_VALUE"""),0.0)</f>
        <v>0</v>
      </c>
      <c r="AE54" s="16">
        <f>IFERROR(__xludf.DUMMYFUNCTION("""COMPUTED_VALUE"""),0.0)</f>
        <v>0</v>
      </c>
      <c r="AF54" s="16">
        <f>IFERROR(__xludf.DUMMYFUNCTION("""COMPUTED_VALUE"""),0.0)</f>
        <v>0</v>
      </c>
      <c r="AG54" s="16">
        <f>IFERROR(__xludf.DUMMYFUNCTION("""COMPUTED_VALUE"""),0.0)</f>
        <v>0</v>
      </c>
      <c r="AH54" s="16">
        <f>IFERROR(__xludf.DUMMYFUNCTION("""COMPUTED_VALUE"""),0.0)</f>
        <v>0</v>
      </c>
    </row>
    <row r="55">
      <c r="A55" s="16" t="str">
        <f>IFERROR(__xludf.DUMMYFUNCTION("""COMPUTED_VALUE"""),"29b6547143fa9e79e6e0d3e0463e7b79ac00c7fd")</f>
        <v>29b6547143fa9e79e6e0d3e0463e7b79ac00c7fd</v>
      </c>
      <c r="B55" s="16" t="str">
        <f>IFERROR(__xludf.DUMMYFUNCTION("""COMPUTED_VALUE"""),"Love, Revenge &amp; My Past")</f>
        <v>Love, Revenge &amp; My Past</v>
      </c>
      <c r="C55" s="16" t="str">
        <f>IFERROR(__xludf.DUMMYFUNCTION("""COMPUTED_VALUE"""),"Romance")</f>
        <v>Romance</v>
      </c>
      <c r="D55" s="16">
        <f>IFERROR(__xludf.DUMMYFUNCTION("""COMPUTED_VALUE"""),186.0)</f>
        <v>186</v>
      </c>
      <c r="E55" s="16">
        <f>IFERROR(__xludf.DUMMYFUNCTION("""COMPUTED_VALUE"""),0.983870967741935)</f>
        <v>0.9838709677</v>
      </c>
      <c r="F55" s="16">
        <f>IFERROR(__xludf.DUMMYFUNCTION("""COMPUTED_VALUE"""),0.392473118279569)</f>
        <v>0.3924731183</v>
      </c>
      <c r="G55" s="16">
        <f>IFERROR(__xludf.DUMMYFUNCTION("""COMPUTED_VALUE"""),0.338709677419354)</f>
        <v>0.3387096774</v>
      </c>
      <c r="H55" s="16">
        <f>IFERROR(__xludf.DUMMYFUNCTION("""COMPUTED_VALUE"""),0.338709677419354)</f>
        <v>0.3387096774</v>
      </c>
      <c r="I55" s="16">
        <f>IFERROR(__xludf.DUMMYFUNCTION("""COMPUTED_VALUE"""),0.318918918918918)</f>
        <v>0.3189189189</v>
      </c>
      <c r="J55" s="16">
        <f>IFERROR(__xludf.DUMMYFUNCTION("""COMPUTED_VALUE"""),0.286486486486486)</f>
        <v>0.2864864865</v>
      </c>
      <c r="K55" s="16">
        <f>IFERROR(__xludf.DUMMYFUNCTION("""COMPUTED_VALUE"""),0.27027027027027)</f>
        <v>0.2702702703</v>
      </c>
      <c r="L55" s="16">
        <f>IFERROR(__xludf.DUMMYFUNCTION("""COMPUTED_VALUE"""),0.259459459459459)</f>
        <v>0.2594594595</v>
      </c>
      <c r="M55" s="16">
        <f>IFERROR(__xludf.DUMMYFUNCTION("""COMPUTED_VALUE"""),0.248648648648648)</f>
        <v>0.2486486486</v>
      </c>
      <c r="N55" s="16">
        <f>IFERROR(__xludf.DUMMYFUNCTION("""COMPUTED_VALUE"""),0.237837837837837)</f>
        <v>0.2378378378</v>
      </c>
      <c r="O55" s="16">
        <f>IFERROR(__xludf.DUMMYFUNCTION("""COMPUTED_VALUE"""),0.173184357541899)</f>
        <v>0.1731843575</v>
      </c>
      <c r="P55" s="16">
        <f>IFERROR(__xludf.DUMMYFUNCTION("""COMPUTED_VALUE"""),0.102272727272727)</f>
        <v>0.1022727273</v>
      </c>
      <c r="Q55" s="16">
        <f>IFERROR(__xludf.DUMMYFUNCTION("""COMPUTED_VALUE"""),0.0518518518518518)</f>
        <v>0.05185185185</v>
      </c>
      <c r="R55" s="16">
        <f>IFERROR(__xludf.DUMMYFUNCTION("""COMPUTED_VALUE"""),0.0416666666666666)</f>
        <v>0.04166666667</v>
      </c>
      <c r="S55" s="16">
        <f>IFERROR(__xludf.DUMMYFUNCTION("""COMPUTED_VALUE"""),0.0)</f>
        <v>0</v>
      </c>
      <c r="T55" s="16">
        <f>IFERROR(__xludf.DUMMYFUNCTION("""COMPUTED_VALUE"""),0.0)</f>
        <v>0</v>
      </c>
      <c r="U55" s="16">
        <f>IFERROR(__xludf.DUMMYFUNCTION("""COMPUTED_VALUE"""),0.0)</f>
        <v>0</v>
      </c>
      <c r="V55" s="16">
        <f>IFERROR(__xludf.DUMMYFUNCTION("""COMPUTED_VALUE"""),0.0)</f>
        <v>0</v>
      </c>
      <c r="W55" s="16">
        <f>IFERROR(__xludf.DUMMYFUNCTION("""COMPUTED_VALUE"""),0.0)</f>
        <v>0</v>
      </c>
      <c r="X55" s="16">
        <f>IFERROR(__xludf.DUMMYFUNCTION("""COMPUTED_VALUE"""),0.0)</f>
        <v>0</v>
      </c>
      <c r="Y55" s="16">
        <f>IFERROR(__xludf.DUMMYFUNCTION("""COMPUTED_VALUE"""),0.0)</f>
        <v>0</v>
      </c>
      <c r="Z55" s="16">
        <f>IFERROR(__xludf.DUMMYFUNCTION("""COMPUTED_VALUE"""),0.0)</f>
        <v>0</v>
      </c>
      <c r="AA55" s="16">
        <f>IFERROR(__xludf.DUMMYFUNCTION("""COMPUTED_VALUE"""),0.0)</f>
        <v>0</v>
      </c>
      <c r="AB55" s="16">
        <f>IFERROR(__xludf.DUMMYFUNCTION("""COMPUTED_VALUE"""),0.0)</f>
        <v>0</v>
      </c>
      <c r="AC55" s="16">
        <f>IFERROR(__xludf.DUMMYFUNCTION("""COMPUTED_VALUE"""),0.0)</f>
        <v>0</v>
      </c>
      <c r="AD55" s="16">
        <f>IFERROR(__xludf.DUMMYFUNCTION("""COMPUTED_VALUE"""),0.0)</f>
        <v>0</v>
      </c>
      <c r="AE55" s="16">
        <f>IFERROR(__xludf.DUMMYFUNCTION("""COMPUTED_VALUE"""),0.0)</f>
        <v>0</v>
      </c>
      <c r="AF55" s="16">
        <f>IFERROR(__xludf.DUMMYFUNCTION("""COMPUTED_VALUE"""),0.0)</f>
        <v>0</v>
      </c>
      <c r="AG55" s="16">
        <f>IFERROR(__xludf.DUMMYFUNCTION("""COMPUTED_VALUE"""),0.0)</f>
        <v>0</v>
      </c>
      <c r="AH55" s="16">
        <f>IFERROR(__xludf.DUMMYFUNCTION("""COMPUTED_VALUE"""),0.0)</f>
        <v>0</v>
      </c>
    </row>
    <row r="56">
      <c r="A56" s="16" t="str">
        <f>IFERROR(__xludf.DUMMYFUNCTION("""COMPUTED_VALUE"""),"2a8120a20d0bebaa0f325746e4058859d5e610ee")</f>
        <v>2a8120a20d0bebaa0f325746e4058859d5e610ee</v>
      </c>
      <c r="B56" s="16" t="str">
        <f>IFERROR(__xludf.DUMMYFUNCTION("""COMPUTED_VALUE"""),"Cultivated Love")</f>
        <v>Cultivated Love</v>
      </c>
      <c r="C56" s="16" t="str">
        <f>IFERROR(__xludf.DUMMYFUNCTION("""COMPUTED_VALUE"""),"Romance")</f>
        <v>Romance</v>
      </c>
      <c r="D56" s="16">
        <f>IFERROR(__xludf.DUMMYFUNCTION("""COMPUTED_VALUE"""),56.0)</f>
        <v>56</v>
      </c>
      <c r="E56" s="16">
        <f>IFERROR(__xludf.DUMMYFUNCTION("""COMPUTED_VALUE"""),0.928571428571428)</f>
        <v>0.9285714286</v>
      </c>
      <c r="F56" s="16">
        <f>IFERROR(__xludf.DUMMYFUNCTION("""COMPUTED_VALUE"""),0.178571428571428)</f>
        <v>0.1785714286</v>
      </c>
      <c r="G56" s="16">
        <f>IFERROR(__xludf.DUMMYFUNCTION("""COMPUTED_VALUE"""),0.125)</f>
        <v>0.125</v>
      </c>
      <c r="H56" s="16">
        <f>IFERROR(__xludf.DUMMYFUNCTION("""COMPUTED_VALUE"""),0.129629629629629)</f>
        <v>0.1296296296</v>
      </c>
      <c r="I56" s="16">
        <f>IFERROR(__xludf.DUMMYFUNCTION("""COMPUTED_VALUE"""),0.111111111111111)</f>
        <v>0.1111111111</v>
      </c>
      <c r="J56" s="16">
        <f>IFERROR(__xludf.DUMMYFUNCTION("""COMPUTED_VALUE"""),0.129629629629629)</f>
        <v>0.1296296296</v>
      </c>
      <c r="K56" s="16">
        <f>IFERROR(__xludf.DUMMYFUNCTION("""COMPUTED_VALUE"""),0.0925925925925925)</f>
        <v>0.09259259259</v>
      </c>
      <c r="L56" s="16">
        <f>IFERROR(__xludf.DUMMYFUNCTION("""COMPUTED_VALUE"""),0.115384615384615)</f>
        <v>0.1153846154</v>
      </c>
      <c r="M56" s="16">
        <f>IFERROR(__xludf.DUMMYFUNCTION("""COMPUTED_VALUE"""),0.0961538461538461)</f>
        <v>0.09615384615</v>
      </c>
      <c r="N56" s="16">
        <f>IFERROR(__xludf.DUMMYFUNCTION("""COMPUTED_VALUE"""),0.0769230769230769)</f>
        <v>0.07692307692</v>
      </c>
      <c r="O56" s="16">
        <f>IFERROR(__xludf.DUMMYFUNCTION("""COMPUTED_VALUE"""),0.0612244897959183)</f>
        <v>0.0612244898</v>
      </c>
      <c r="P56" s="16">
        <f>IFERROR(__xludf.DUMMYFUNCTION("""COMPUTED_VALUE"""),0.0476190476190476)</f>
        <v>0.04761904762</v>
      </c>
      <c r="Q56" s="16">
        <f>IFERROR(__xludf.DUMMYFUNCTION("""COMPUTED_VALUE"""),0.0)</f>
        <v>0</v>
      </c>
      <c r="R56" s="16">
        <f>IFERROR(__xludf.DUMMYFUNCTION("""COMPUTED_VALUE"""),0.0)</f>
        <v>0</v>
      </c>
      <c r="S56" s="16">
        <f>IFERROR(__xludf.DUMMYFUNCTION("""COMPUTED_VALUE"""),0.0)</f>
        <v>0</v>
      </c>
      <c r="T56" s="16">
        <f>IFERROR(__xludf.DUMMYFUNCTION("""COMPUTED_VALUE"""),0.0)</f>
        <v>0</v>
      </c>
      <c r="U56" s="16">
        <f>IFERROR(__xludf.DUMMYFUNCTION("""COMPUTED_VALUE"""),0.0)</f>
        <v>0</v>
      </c>
      <c r="V56" s="16">
        <f>IFERROR(__xludf.DUMMYFUNCTION("""COMPUTED_VALUE"""),0.0)</f>
        <v>0</v>
      </c>
      <c r="W56" s="16">
        <f>IFERROR(__xludf.DUMMYFUNCTION("""COMPUTED_VALUE"""),0.0)</f>
        <v>0</v>
      </c>
      <c r="X56" s="16">
        <f>IFERROR(__xludf.DUMMYFUNCTION("""COMPUTED_VALUE"""),0.0)</f>
        <v>0</v>
      </c>
      <c r="Y56" s="16">
        <f>IFERROR(__xludf.DUMMYFUNCTION("""COMPUTED_VALUE"""),0.0)</f>
        <v>0</v>
      </c>
      <c r="Z56" s="16">
        <f>IFERROR(__xludf.DUMMYFUNCTION("""COMPUTED_VALUE"""),0.0)</f>
        <v>0</v>
      </c>
      <c r="AA56" s="16">
        <f>IFERROR(__xludf.DUMMYFUNCTION("""COMPUTED_VALUE"""),0.0)</f>
        <v>0</v>
      </c>
      <c r="AB56" s="16">
        <f>IFERROR(__xludf.DUMMYFUNCTION("""COMPUTED_VALUE"""),0.0)</f>
        <v>0</v>
      </c>
      <c r="AC56" s="16">
        <f>IFERROR(__xludf.DUMMYFUNCTION("""COMPUTED_VALUE"""),0.0)</f>
        <v>0</v>
      </c>
      <c r="AD56" s="16">
        <f>IFERROR(__xludf.DUMMYFUNCTION("""COMPUTED_VALUE"""),0.0)</f>
        <v>0</v>
      </c>
      <c r="AE56" s="16">
        <f>IFERROR(__xludf.DUMMYFUNCTION("""COMPUTED_VALUE"""),0.0)</f>
        <v>0</v>
      </c>
      <c r="AF56" s="16">
        <f>IFERROR(__xludf.DUMMYFUNCTION("""COMPUTED_VALUE"""),0.0)</f>
        <v>0</v>
      </c>
      <c r="AG56" s="16">
        <f>IFERROR(__xludf.DUMMYFUNCTION("""COMPUTED_VALUE"""),0.0)</f>
        <v>0</v>
      </c>
      <c r="AH56" s="16">
        <f>IFERROR(__xludf.DUMMYFUNCTION("""COMPUTED_VALUE"""),0.0)</f>
        <v>0</v>
      </c>
    </row>
    <row r="57">
      <c r="A57" s="16" t="str">
        <f>IFERROR(__xludf.DUMMYFUNCTION("""COMPUTED_VALUE"""),"2b967281ca19c941aa99d03c959adaf6349da9b3")</f>
        <v>2b967281ca19c941aa99d03c959adaf6349da9b3</v>
      </c>
      <c r="B57" s="16" t="str">
        <f>IFERROR(__xludf.DUMMYFUNCTION("""COMPUTED_VALUE"""),"The Unlikely Heiress")</f>
        <v>The Unlikely Heiress</v>
      </c>
      <c r="C57" s="16" t="str">
        <f>IFERROR(__xludf.DUMMYFUNCTION("""COMPUTED_VALUE"""),"Romance")</f>
        <v>Romance</v>
      </c>
      <c r="D57" s="16">
        <f>IFERROR(__xludf.DUMMYFUNCTION("""COMPUTED_VALUE"""),2026.0)</f>
        <v>2026</v>
      </c>
      <c r="E57" s="16">
        <f>IFERROR(__xludf.DUMMYFUNCTION("""COMPUTED_VALUE"""),0.94817374136229)</f>
        <v>0.9481737414</v>
      </c>
      <c r="F57" s="16">
        <f>IFERROR(__xludf.DUMMYFUNCTION("""COMPUTED_VALUE"""),0.435834155972359)</f>
        <v>0.435834156</v>
      </c>
      <c r="G57" s="16">
        <f>IFERROR(__xludf.DUMMYFUNCTION("""COMPUTED_VALUE"""),0.404244817374136)</f>
        <v>0.4042448174</v>
      </c>
      <c r="H57" s="16">
        <f>IFERROR(__xludf.DUMMYFUNCTION("""COMPUTED_VALUE"""),0.375616979269496)</f>
        <v>0.3756169793</v>
      </c>
      <c r="I57" s="16">
        <f>IFERROR(__xludf.DUMMYFUNCTION("""COMPUTED_VALUE"""),0.361523244312561)</f>
        <v>0.3615232443</v>
      </c>
      <c r="J57" s="16">
        <f>IFERROR(__xludf.DUMMYFUNCTION("""COMPUTED_VALUE"""),0.354486861675756)</f>
        <v>0.3544868617</v>
      </c>
      <c r="K57" s="16">
        <f>IFERROR(__xludf.DUMMYFUNCTION("""COMPUTED_VALUE"""),0.338957816377171)</f>
        <v>0.3389578164</v>
      </c>
      <c r="L57" s="16">
        <f>IFERROR(__xludf.DUMMYFUNCTION("""COMPUTED_VALUE"""),0.325881768504719)</f>
        <v>0.3258817685</v>
      </c>
      <c r="M57" s="16">
        <f>IFERROR(__xludf.DUMMYFUNCTION("""COMPUTED_VALUE"""),0.312593330014932)</f>
        <v>0.31259333</v>
      </c>
      <c r="N57" s="16">
        <f>IFERROR(__xludf.DUMMYFUNCTION("""COMPUTED_VALUE"""),0.309760956175298)</f>
        <v>0.3097609562</v>
      </c>
      <c r="O57" s="16">
        <f>IFERROR(__xludf.DUMMYFUNCTION("""COMPUTED_VALUE"""),0.274185463659147)</f>
        <v>0.2741854637</v>
      </c>
      <c r="P57" s="16">
        <f>IFERROR(__xludf.DUMMYFUNCTION("""COMPUTED_VALUE"""),0.216270843860535)</f>
        <v>0.2162708439</v>
      </c>
      <c r="Q57" s="16">
        <f>IFERROR(__xludf.DUMMYFUNCTION("""COMPUTED_VALUE"""),0.144286466561348)</f>
        <v>0.1442864666</v>
      </c>
      <c r="R57" s="16">
        <f>IFERROR(__xludf.DUMMYFUNCTION("""COMPUTED_VALUE"""),0.136190992946283)</f>
        <v>0.1361909929</v>
      </c>
      <c r="S57" s="16">
        <f>IFERROR(__xludf.DUMMYFUNCTION("""COMPUTED_VALUE"""),0.10522442972774)</f>
        <v>0.1052244297</v>
      </c>
      <c r="T57" s="16">
        <f>IFERROR(__xludf.DUMMYFUNCTION("""COMPUTED_VALUE"""),0.0969827586206896)</f>
        <v>0.09698275862</v>
      </c>
      <c r="U57" s="16">
        <f>IFERROR(__xludf.DUMMYFUNCTION("""COMPUTED_VALUE"""),0.0)</f>
        <v>0</v>
      </c>
      <c r="V57" s="16">
        <f>IFERROR(__xludf.DUMMYFUNCTION("""COMPUTED_VALUE"""),0.0)</f>
        <v>0</v>
      </c>
      <c r="W57" s="16">
        <f>IFERROR(__xludf.DUMMYFUNCTION("""COMPUTED_VALUE"""),0.0)</f>
        <v>0</v>
      </c>
      <c r="X57" s="16">
        <f>IFERROR(__xludf.DUMMYFUNCTION("""COMPUTED_VALUE"""),0.0)</f>
        <v>0</v>
      </c>
      <c r="Y57" s="16">
        <f>IFERROR(__xludf.DUMMYFUNCTION("""COMPUTED_VALUE"""),0.0)</f>
        <v>0</v>
      </c>
      <c r="Z57" s="16">
        <f>IFERROR(__xludf.DUMMYFUNCTION("""COMPUTED_VALUE"""),0.0)</f>
        <v>0</v>
      </c>
      <c r="AA57" s="16">
        <f>IFERROR(__xludf.DUMMYFUNCTION("""COMPUTED_VALUE"""),0.0)</f>
        <v>0</v>
      </c>
      <c r="AB57" s="16">
        <f>IFERROR(__xludf.DUMMYFUNCTION("""COMPUTED_VALUE"""),0.0)</f>
        <v>0</v>
      </c>
      <c r="AC57" s="16">
        <f>IFERROR(__xludf.DUMMYFUNCTION("""COMPUTED_VALUE"""),0.0)</f>
        <v>0</v>
      </c>
      <c r="AD57" s="16">
        <f>IFERROR(__xludf.DUMMYFUNCTION("""COMPUTED_VALUE"""),0.0)</f>
        <v>0</v>
      </c>
      <c r="AE57" s="16">
        <f>IFERROR(__xludf.DUMMYFUNCTION("""COMPUTED_VALUE"""),0.0)</f>
        <v>0</v>
      </c>
      <c r="AF57" s="16">
        <f>IFERROR(__xludf.DUMMYFUNCTION("""COMPUTED_VALUE"""),0.0)</f>
        <v>0</v>
      </c>
      <c r="AG57" s="16">
        <f>IFERROR(__xludf.DUMMYFUNCTION("""COMPUTED_VALUE"""),0.0)</f>
        <v>0</v>
      </c>
      <c r="AH57" s="16">
        <f>IFERROR(__xludf.DUMMYFUNCTION("""COMPUTED_VALUE"""),0.0)</f>
        <v>0</v>
      </c>
    </row>
    <row r="58">
      <c r="A58" s="16" t="str">
        <f>IFERROR(__xludf.DUMMYFUNCTION("""COMPUTED_VALUE"""),"2fb79ac2c90574002aaeec2f842f6693eb8ff7c2")</f>
        <v>2fb79ac2c90574002aaeec2f842f6693eb8ff7c2</v>
      </c>
      <c r="B58" s="16" t="str">
        <f>IFERROR(__xludf.DUMMYFUNCTION("""COMPUTED_VALUE"""),"Dear Boss")</f>
        <v>Dear Boss</v>
      </c>
      <c r="C58" s="16" t="str">
        <f>IFERROR(__xludf.DUMMYFUNCTION("""COMPUTED_VALUE"""),"Romance")</f>
        <v>Romance</v>
      </c>
      <c r="D58" s="16">
        <f>IFERROR(__xludf.DUMMYFUNCTION("""COMPUTED_VALUE"""),68.0)</f>
        <v>68</v>
      </c>
      <c r="E58" s="16">
        <f>IFERROR(__xludf.DUMMYFUNCTION("""COMPUTED_VALUE"""),0.970588235294117)</f>
        <v>0.9705882353</v>
      </c>
      <c r="F58" s="16">
        <f>IFERROR(__xludf.DUMMYFUNCTION("""COMPUTED_VALUE"""),0.529411764705882)</f>
        <v>0.5294117647</v>
      </c>
      <c r="G58" s="16">
        <f>IFERROR(__xludf.DUMMYFUNCTION("""COMPUTED_VALUE"""),0.455882352941176)</f>
        <v>0.4558823529</v>
      </c>
      <c r="H58" s="16">
        <f>IFERROR(__xludf.DUMMYFUNCTION("""COMPUTED_VALUE"""),0.338235294117647)</f>
        <v>0.3382352941</v>
      </c>
      <c r="I58" s="16">
        <f>IFERROR(__xludf.DUMMYFUNCTION("""COMPUTED_VALUE"""),0.294117647058823)</f>
        <v>0.2941176471</v>
      </c>
      <c r="J58" s="16">
        <f>IFERROR(__xludf.DUMMYFUNCTION("""COMPUTED_VALUE"""),0.264705882352941)</f>
        <v>0.2647058824</v>
      </c>
      <c r="K58" s="16">
        <f>IFERROR(__xludf.DUMMYFUNCTION("""COMPUTED_VALUE"""),0.238805970149253)</f>
        <v>0.2388059701</v>
      </c>
      <c r="L58" s="16">
        <f>IFERROR(__xludf.DUMMYFUNCTION("""COMPUTED_VALUE"""),0.238805970149253)</f>
        <v>0.2388059701</v>
      </c>
      <c r="M58" s="16">
        <f>IFERROR(__xludf.DUMMYFUNCTION("""COMPUTED_VALUE"""),0.223880597014925)</f>
        <v>0.223880597</v>
      </c>
      <c r="N58" s="16">
        <f>IFERROR(__xludf.DUMMYFUNCTION("""COMPUTED_VALUE"""),0.227272727272727)</f>
        <v>0.2272727273</v>
      </c>
      <c r="O58" s="16">
        <f>IFERROR(__xludf.DUMMYFUNCTION("""COMPUTED_VALUE"""),0.19298245614035)</f>
        <v>0.1929824561</v>
      </c>
      <c r="P58" s="16">
        <f>IFERROR(__xludf.DUMMYFUNCTION("""COMPUTED_VALUE"""),0.088235294117647)</f>
        <v>0.08823529412</v>
      </c>
      <c r="Q58" s="16">
        <f>IFERROR(__xludf.DUMMYFUNCTION("""COMPUTED_VALUE"""),0.0)</f>
        <v>0</v>
      </c>
      <c r="R58" s="16">
        <f>IFERROR(__xludf.DUMMYFUNCTION("""COMPUTED_VALUE"""),0.0)</f>
        <v>0</v>
      </c>
      <c r="S58" s="16">
        <f>IFERROR(__xludf.DUMMYFUNCTION("""COMPUTED_VALUE"""),0.0)</f>
        <v>0</v>
      </c>
      <c r="T58" s="16">
        <f>IFERROR(__xludf.DUMMYFUNCTION("""COMPUTED_VALUE"""),0.0)</f>
        <v>0</v>
      </c>
      <c r="U58" s="16">
        <f>IFERROR(__xludf.DUMMYFUNCTION("""COMPUTED_VALUE"""),0.0)</f>
        <v>0</v>
      </c>
      <c r="V58" s="16">
        <f>IFERROR(__xludf.DUMMYFUNCTION("""COMPUTED_VALUE"""),0.0)</f>
        <v>0</v>
      </c>
      <c r="W58" s="16">
        <f>IFERROR(__xludf.DUMMYFUNCTION("""COMPUTED_VALUE"""),0.0)</f>
        <v>0</v>
      </c>
      <c r="X58" s="16">
        <f>IFERROR(__xludf.DUMMYFUNCTION("""COMPUTED_VALUE"""),0.0)</f>
        <v>0</v>
      </c>
      <c r="Y58" s="16">
        <f>IFERROR(__xludf.DUMMYFUNCTION("""COMPUTED_VALUE"""),0.0)</f>
        <v>0</v>
      </c>
      <c r="Z58" s="16">
        <f>IFERROR(__xludf.DUMMYFUNCTION("""COMPUTED_VALUE"""),0.0)</f>
        <v>0</v>
      </c>
      <c r="AA58" s="16">
        <f>IFERROR(__xludf.DUMMYFUNCTION("""COMPUTED_VALUE"""),0.0)</f>
        <v>0</v>
      </c>
      <c r="AB58" s="16">
        <f>IFERROR(__xludf.DUMMYFUNCTION("""COMPUTED_VALUE"""),0.0)</f>
        <v>0</v>
      </c>
      <c r="AC58" s="16">
        <f>IFERROR(__xludf.DUMMYFUNCTION("""COMPUTED_VALUE"""),0.0)</f>
        <v>0</v>
      </c>
      <c r="AD58" s="16">
        <f>IFERROR(__xludf.DUMMYFUNCTION("""COMPUTED_VALUE"""),0.0)</f>
        <v>0</v>
      </c>
      <c r="AE58" s="16">
        <f>IFERROR(__xludf.DUMMYFUNCTION("""COMPUTED_VALUE"""),0.0)</f>
        <v>0</v>
      </c>
      <c r="AF58" s="16">
        <f>IFERROR(__xludf.DUMMYFUNCTION("""COMPUTED_VALUE"""),0.0)</f>
        <v>0</v>
      </c>
      <c r="AG58" s="16">
        <f>IFERROR(__xludf.DUMMYFUNCTION("""COMPUTED_VALUE"""),0.0)</f>
        <v>0</v>
      </c>
      <c r="AH58" s="16">
        <f>IFERROR(__xludf.DUMMYFUNCTION("""COMPUTED_VALUE"""),0.0)</f>
        <v>0</v>
      </c>
    </row>
    <row r="59">
      <c r="A59" s="16" t="str">
        <f>IFERROR(__xludf.DUMMYFUNCTION("""COMPUTED_VALUE"""),"31b86ee5ffeadf52fab3148c3add083a2f90b442")</f>
        <v>31b86ee5ffeadf52fab3148c3add083a2f90b442</v>
      </c>
      <c r="B59" s="16" t="str">
        <f>IFERROR(__xludf.DUMMYFUNCTION("""COMPUTED_VALUE"""),"Enchanted by Blood ")</f>
        <v>Enchanted by Blood </v>
      </c>
      <c r="C59" s="16" t="str">
        <f>IFERROR(__xludf.DUMMYFUNCTION("""COMPUTED_VALUE"""),"Romantasy")</f>
        <v>Romantasy</v>
      </c>
      <c r="D59" s="16">
        <f>IFERROR(__xludf.DUMMYFUNCTION("""COMPUTED_VALUE"""),10.0)</f>
        <v>10</v>
      </c>
      <c r="E59" s="16">
        <f>IFERROR(__xludf.DUMMYFUNCTION("""COMPUTED_VALUE"""),1.0)</f>
        <v>1</v>
      </c>
      <c r="F59" s="16">
        <f>IFERROR(__xludf.DUMMYFUNCTION("""COMPUTED_VALUE"""),0.5)</f>
        <v>0.5</v>
      </c>
      <c r="G59" s="16">
        <f>IFERROR(__xludf.DUMMYFUNCTION("""COMPUTED_VALUE"""),0.5)</f>
        <v>0.5</v>
      </c>
      <c r="H59" s="16">
        <f>IFERROR(__xludf.DUMMYFUNCTION("""COMPUTED_VALUE"""),0.4)</f>
        <v>0.4</v>
      </c>
      <c r="I59" s="16">
        <f>IFERROR(__xludf.DUMMYFUNCTION("""COMPUTED_VALUE"""),0.4)</f>
        <v>0.4</v>
      </c>
      <c r="J59" s="16">
        <f>IFERROR(__xludf.DUMMYFUNCTION("""COMPUTED_VALUE"""),0.4)</f>
        <v>0.4</v>
      </c>
      <c r="K59" s="16">
        <f>IFERROR(__xludf.DUMMYFUNCTION("""COMPUTED_VALUE"""),0.4)</f>
        <v>0.4</v>
      </c>
      <c r="L59" s="16">
        <f>IFERROR(__xludf.DUMMYFUNCTION("""COMPUTED_VALUE"""),0.444444444444444)</f>
        <v>0.4444444444</v>
      </c>
      <c r="M59" s="16">
        <f>IFERROR(__xludf.DUMMYFUNCTION("""COMPUTED_VALUE"""),0.5)</f>
        <v>0.5</v>
      </c>
      <c r="N59" s="16">
        <f>IFERROR(__xludf.DUMMYFUNCTION("""COMPUTED_VALUE"""),0.5)</f>
        <v>0.5</v>
      </c>
      <c r="O59" s="16">
        <f>IFERROR(__xludf.DUMMYFUNCTION("""COMPUTED_VALUE"""),0.333333333333333)</f>
        <v>0.3333333333</v>
      </c>
      <c r="P59" s="16">
        <f>IFERROR(__xludf.DUMMYFUNCTION("""COMPUTED_VALUE"""),0.0)</f>
        <v>0</v>
      </c>
      <c r="Q59" s="16">
        <f>IFERROR(__xludf.DUMMYFUNCTION("""COMPUTED_VALUE"""),0.0)</f>
        <v>0</v>
      </c>
      <c r="R59" s="16">
        <f>IFERROR(__xludf.DUMMYFUNCTION("""COMPUTED_VALUE"""),0.0)</f>
        <v>0</v>
      </c>
      <c r="S59" s="16">
        <f>IFERROR(__xludf.DUMMYFUNCTION("""COMPUTED_VALUE"""),0.0)</f>
        <v>0</v>
      </c>
      <c r="T59" s="16">
        <f>IFERROR(__xludf.DUMMYFUNCTION("""COMPUTED_VALUE"""),0.0)</f>
        <v>0</v>
      </c>
      <c r="U59" s="16">
        <f>IFERROR(__xludf.DUMMYFUNCTION("""COMPUTED_VALUE"""),0.0)</f>
        <v>0</v>
      </c>
      <c r="V59" s="16">
        <f>IFERROR(__xludf.DUMMYFUNCTION("""COMPUTED_VALUE"""),0.0)</f>
        <v>0</v>
      </c>
      <c r="W59" s="16">
        <f>IFERROR(__xludf.DUMMYFUNCTION("""COMPUTED_VALUE"""),0.0)</f>
        <v>0</v>
      </c>
      <c r="X59" s="16">
        <f>IFERROR(__xludf.DUMMYFUNCTION("""COMPUTED_VALUE"""),0.0)</f>
        <v>0</v>
      </c>
      <c r="Y59" s="16">
        <f>IFERROR(__xludf.DUMMYFUNCTION("""COMPUTED_VALUE"""),0.0)</f>
        <v>0</v>
      </c>
      <c r="Z59" s="16">
        <f>IFERROR(__xludf.DUMMYFUNCTION("""COMPUTED_VALUE"""),0.0)</f>
        <v>0</v>
      </c>
      <c r="AA59" s="16">
        <f>IFERROR(__xludf.DUMMYFUNCTION("""COMPUTED_VALUE"""),0.0)</f>
        <v>0</v>
      </c>
      <c r="AB59" s="16">
        <f>IFERROR(__xludf.DUMMYFUNCTION("""COMPUTED_VALUE"""),0.0)</f>
        <v>0</v>
      </c>
      <c r="AC59" s="16">
        <f>IFERROR(__xludf.DUMMYFUNCTION("""COMPUTED_VALUE"""),0.0)</f>
        <v>0</v>
      </c>
      <c r="AD59" s="16">
        <f>IFERROR(__xludf.DUMMYFUNCTION("""COMPUTED_VALUE"""),0.0)</f>
        <v>0</v>
      </c>
      <c r="AE59" s="16">
        <f>IFERROR(__xludf.DUMMYFUNCTION("""COMPUTED_VALUE"""),0.0)</f>
        <v>0</v>
      </c>
      <c r="AF59" s="16">
        <f>IFERROR(__xludf.DUMMYFUNCTION("""COMPUTED_VALUE"""),0.0)</f>
        <v>0</v>
      </c>
      <c r="AG59" s="16">
        <f>IFERROR(__xludf.DUMMYFUNCTION("""COMPUTED_VALUE"""),0.0)</f>
        <v>0</v>
      </c>
      <c r="AH59" s="16">
        <f>IFERROR(__xludf.DUMMYFUNCTION("""COMPUTED_VALUE"""),0.0)</f>
        <v>0</v>
      </c>
    </row>
    <row r="60">
      <c r="A60" s="16" t="str">
        <f>IFERROR(__xludf.DUMMYFUNCTION("""COMPUTED_VALUE"""),"31e58f7ec421b1daaed1f4ac654ecd9eb855bc93")</f>
        <v>31e58f7ec421b1daaed1f4ac654ecd9eb855bc93</v>
      </c>
      <c r="B60" s="16" t="str">
        <f>IFERROR(__xludf.DUMMYFUNCTION("""COMPUTED_VALUE"""),"The Forsaken Path")</f>
        <v>The Forsaken Path</v>
      </c>
      <c r="C60" s="16" t="str">
        <f>IFERROR(__xludf.DUMMYFUNCTION("""COMPUTED_VALUE"""),"Fantasy")</f>
        <v>Fantasy</v>
      </c>
      <c r="D60" s="16">
        <f>IFERROR(__xludf.DUMMYFUNCTION("""COMPUTED_VALUE"""),981.0)</f>
        <v>981</v>
      </c>
      <c r="E60" s="16">
        <f>IFERROR(__xludf.DUMMYFUNCTION("""COMPUTED_VALUE"""),0.985728848114169)</f>
        <v>0.9857288481</v>
      </c>
      <c r="F60" s="16">
        <f>IFERROR(__xludf.DUMMYFUNCTION("""COMPUTED_VALUE"""),0.541284403669724)</f>
        <v>0.5412844037</v>
      </c>
      <c r="G60" s="16">
        <f>IFERROR(__xludf.DUMMYFUNCTION("""COMPUTED_VALUE"""),0.486238532110091)</f>
        <v>0.4862385321</v>
      </c>
      <c r="H60" s="16">
        <f>IFERROR(__xludf.DUMMYFUNCTION("""COMPUTED_VALUE"""),0.419979612640163)</f>
        <v>0.4199796126</v>
      </c>
      <c r="I60" s="16">
        <f>IFERROR(__xludf.DUMMYFUNCTION("""COMPUTED_VALUE"""),0.397750511247443)</f>
        <v>0.3977505112</v>
      </c>
      <c r="J60" s="16">
        <f>IFERROR(__xludf.DUMMYFUNCTION("""COMPUTED_VALUE"""),0.378211716341212)</f>
        <v>0.3782117163</v>
      </c>
      <c r="K60" s="16">
        <f>IFERROR(__xludf.DUMMYFUNCTION("""COMPUTED_VALUE"""),0.358684480986639)</f>
        <v>0.358684481</v>
      </c>
      <c r="L60" s="16">
        <f>IFERROR(__xludf.DUMMYFUNCTION("""COMPUTED_VALUE"""),0.348453608247422)</f>
        <v>0.3484536082</v>
      </c>
      <c r="M60" s="16">
        <f>IFERROR(__xludf.DUMMYFUNCTION("""COMPUTED_VALUE"""),0.334022750775594)</f>
        <v>0.3340227508</v>
      </c>
      <c r="N60" s="16">
        <f>IFERROR(__xludf.DUMMYFUNCTION("""COMPUTED_VALUE"""),0.320499479708636)</f>
        <v>0.3204994797</v>
      </c>
      <c r="O60" s="16">
        <f>IFERROR(__xludf.DUMMYFUNCTION("""COMPUTED_VALUE"""),0.266899766899766)</f>
        <v>0.2668997669</v>
      </c>
      <c r="P60" s="16">
        <f>IFERROR(__xludf.DUMMYFUNCTION("""COMPUTED_VALUE"""),0.18041237113402)</f>
        <v>0.1804123711</v>
      </c>
      <c r="Q60" s="16">
        <f>IFERROR(__xludf.DUMMYFUNCTION("""COMPUTED_VALUE"""),0.112359550561797)</f>
        <v>0.1123595506</v>
      </c>
      <c r="R60" s="16">
        <f>IFERROR(__xludf.DUMMYFUNCTION("""COMPUTED_VALUE"""),0.181818181818181)</f>
        <v>0.1818181818</v>
      </c>
      <c r="S60" s="16">
        <f>IFERROR(__xludf.DUMMYFUNCTION("""COMPUTED_VALUE"""),0.0)</f>
        <v>0</v>
      </c>
      <c r="T60" s="16">
        <f>IFERROR(__xludf.DUMMYFUNCTION("""COMPUTED_VALUE"""),0.0)</f>
        <v>0</v>
      </c>
      <c r="U60" s="16">
        <f>IFERROR(__xludf.DUMMYFUNCTION("""COMPUTED_VALUE"""),0.0)</f>
        <v>0</v>
      </c>
      <c r="V60" s="16">
        <f>IFERROR(__xludf.DUMMYFUNCTION("""COMPUTED_VALUE"""),0.0)</f>
        <v>0</v>
      </c>
      <c r="W60" s="16">
        <f>IFERROR(__xludf.DUMMYFUNCTION("""COMPUTED_VALUE"""),0.0)</f>
        <v>0</v>
      </c>
      <c r="X60" s="16">
        <f>IFERROR(__xludf.DUMMYFUNCTION("""COMPUTED_VALUE"""),0.0)</f>
        <v>0</v>
      </c>
      <c r="Y60" s="16">
        <f>IFERROR(__xludf.DUMMYFUNCTION("""COMPUTED_VALUE"""),0.0)</f>
        <v>0</v>
      </c>
      <c r="Z60" s="16">
        <f>IFERROR(__xludf.DUMMYFUNCTION("""COMPUTED_VALUE"""),0.0)</f>
        <v>0</v>
      </c>
      <c r="AA60" s="16">
        <f>IFERROR(__xludf.DUMMYFUNCTION("""COMPUTED_VALUE"""),0.0)</f>
        <v>0</v>
      </c>
      <c r="AB60" s="16">
        <f>IFERROR(__xludf.DUMMYFUNCTION("""COMPUTED_VALUE"""),0.0)</f>
        <v>0</v>
      </c>
      <c r="AC60" s="16">
        <f>IFERROR(__xludf.DUMMYFUNCTION("""COMPUTED_VALUE"""),0.0)</f>
        <v>0</v>
      </c>
      <c r="AD60" s="16">
        <f>IFERROR(__xludf.DUMMYFUNCTION("""COMPUTED_VALUE"""),0.0)</f>
        <v>0</v>
      </c>
      <c r="AE60" s="16">
        <f>IFERROR(__xludf.DUMMYFUNCTION("""COMPUTED_VALUE"""),0.0)</f>
        <v>0</v>
      </c>
      <c r="AF60" s="16">
        <f>IFERROR(__xludf.DUMMYFUNCTION("""COMPUTED_VALUE"""),0.0)</f>
        <v>0</v>
      </c>
      <c r="AG60" s="16">
        <f>IFERROR(__xludf.DUMMYFUNCTION("""COMPUTED_VALUE"""),0.0)</f>
        <v>0</v>
      </c>
      <c r="AH60" s="16">
        <f>IFERROR(__xludf.DUMMYFUNCTION("""COMPUTED_VALUE"""),0.0)</f>
        <v>0</v>
      </c>
    </row>
    <row r="61">
      <c r="A61" s="16" t="str">
        <f>IFERROR(__xludf.DUMMYFUNCTION("""COMPUTED_VALUE"""),"328a6c95d732271bc4717aa2abf3a7c15f89a25e")</f>
        <v>328a6c95d732271bc4717aa2abf3a7c15f89a25e</v>
      </c>
      <c r="B61" s="16" t="str">
        <f>IFERROR(__xludf.DUMMYFUNCTION("""COMPUTED_VALUE"""),"Braving the Rapid Waters")</f>
        <v>Braving the Rapid Waters</v>
      </c>
      <c r="C61" s="16" t="str">
        <f>IFERROR(__xludf.DUMMYFUNCTION("""COMPUTED_VALUE"""),"Romance")</f>
        <v>Romance</v>
      </c>
      <c r="D61" s="16">
        <f>IFERROR(__xludf.DUMMYFUNCTION("""COMPUTED_VALUE"""),135.0)</f>
        <v>135</v>
      </c>
      <c r="E61" s="16">
        <f>IFERROR(__xludf.DUMMYFUNCTION("""COMPUTED_VALUE"""),0.97037037037037)</f>
        <v>0.9703703704</v>
      </c>
      <c r="F61" s="16">
        <f>IFERROR(__xludf.DUMMYFUNCTION("""COMPUTED_VALUE"""),0.548148148148148)</f>
        <v>0.5481481481</v>
      </c>
      <c r="G61" s="16">
        <f>IFERROR(__xludf.DUMMYFUNCTION("""COMPUTED_VALUE"""),0.466666666666666)</f>
        <v>0.4666666667</v>
      </c>
      <c r="H61" s="16">
        <f>IFERROR(__xludf.DUMMYFUNCTION("""COMPUTED_VALUE"""),0.451851851851851)</f>
        <v>0.4518518519</v>
      </c>
      <c r="I61" s="16">
        <f>IFERROR(__xludf.DUMMYFUNCTION("""COMPUTED_VALUE"""),0.414814814814814)</f>
        <v>0.4148148148</v>
      </c>
      <c r="J61" s="16">
        <f>IFERROR(__xludf.DUMMYFUNCTION("""COMPUTED_VALUE"""),0.407407407407407)</f>
        <v>0.4074074074</v>
      </c>
      <c r="K61" s="16">
        <f>IFERROR(__xludf.DUMMYFUNCTION("""COMPUTED_VALUE"""),0.362962962962963)</f>
        <v>0.362962963</v>
      </c>
      <c r="L61" s="16">
        <f>IFERROR(__xludf.DUMMYFUNCTION("""COMPUTED_VALUE"""),0.355555555555555)</f>
        <v>0.3555555556</v>
      </c>
      <c r="M61" s="16">
        <f>IFERROR(__xludf.DUMMYFUNCTION("""COMPUTED_VALUE"""),0.34074074074074)</f>
        <v>0.3407407407</v>
      </c>
      <c r="N61" s="16">
        <f>IFERROR(__xludf.DUMMYFUNCTION("""COMPUTED_VALUE"""),0.34074074074074)</f>
        <v>0.3407407407</v>
      </c>
      <c r="O61" s="16">
        <f>IFERROR(__xludf.DUMMYFUNCTION("""COMPUTED_VALUE"""),0.244274809160305)</f>
        <v>0.2442748092</v>
      </c>
      <c r="P61" s="16">
        <f>IFERROR(__xludf.DUMMYFUNCTION("""COMPUTED_VALUE"""),0.129770992366412)</f>
        <v>0.1297709924</v>
      </c>
      <c r="Q61" s="16">
        <f>IFERROR(__xludf.DUMMYFUNCTION("""COMPUTED_VALUE"""),0.0941176470588235)</f>
        <v>0.09411764706</v>
      </c>
      <c r="R61" s="16">
        <f>IFERROR(__xludf.DUMMYFUNCTION("""COMPUTED_VALUE"""),0.0352941176470588)</f>
        <v>0.03529411765</v>
      </c>
      <c r="S61" s="16">
        <f>IFERROR(__xludf.DUMMYFUNCTION("""COMPUTED_VALUE"""),0.0)</f>
        <v>0</v>
      </c>
      <c r="T61" s="16">
        <f>IFERROR(__xludf.DUMMYFUNCTION("""COMPUTED_VALUE"""),0.0)</f>
        <v>0</v>
      </c>
      <c r="U61" s="16">
        <f>IFERROR(__xludf.DUMMYFUNCTION("""COMPUTED_VALUE"""),0.0)</f>
        <v>0</v>
      </c>
      <c r="V61" s="16">
        <f>IFERROR(__xludf.DUMMYFUNCTION("""COMPUTED_VALUE"""),0.0)</f>
        <v>0</v>
      </c>
      <c r="W61" s="16">
        <f>IFERROR(__xludf.DUMMYFUNCTION("""COMPUTED_VALUE"""),0.0)</f>
        <v>0</v>
      </c>
      <c r="X61" s="16">
        <f>IFERROR(__xludf.DUMMYFUNCTION("""COMPUTED_VALUE"""),0.0)</f>
        <v>0</v>
      </c>
      <c r="Y61" s="16">
        <f>IFERROR(__xludf.DUMMYFUNCTION("""COMPUTED_VALUE"""),0.0)</f>
        <v>0</v>
      </c>
      <c r="Z61" s="16">
        <f>IFERROR(__xludf.DUMMYFUNCTION("""COMPUTED_VALUE"""),0.0)</f>
        <v>0</v>
      </c>
      <c r="AA61" s="16">
        <f>IFERROR(__xludf.DUMMYFUNCTION("""COMPUTED_VALUE"""),0.0)</f>
        <v>0</v>
      </c>
      <c r="AB61" s="16">
        <f>IFERROR(__xludf.DUMMYFUNCTION("""COMPUTED_VALUE"""),0.0)</f>
        <v>0</v>
      </c>
      <c r="AC61" s="16">
        <f>IFERROR(__xludf.DUMMYFUNCTION("""COMPUTED_VALUE"""),0.0)</f>
        <v>0</v>
      </c>
      <c r="AD61" s="16">
        <f>IFERROR(__xludf.DUMMYFUNCTION("""COMPUTED_VALUE"""),0.0)</f>
        <v>0</v>
      </c>
      <c r="AE61" s="16">
        <f>IFERROR(__xludf.DUMMYFUNCTION("""COMPUTED_VALUE"""),0.0)</f>
        <v>0</v>
      </c>
      <c r="AF61" s="16">
        <f>IFERROR(__xludf.DUMMYFUNCTION("""COMPUTED_VALUE"""),0.0)</f>
        <v>0</v>
      </c>
      <c r="AG61" s="16">
        <f>IFERROR(__xludf.DUMMYFUNCTION("""COMPUTED_VALUE"""),0.0)</f>
        <v>0</v>
      </c>
      <c r="AH61" s="16">
        <f>IFERROR(__xludf.DUMMYFUNCTION("""COMPUTED_VALUE"""),0.0)</f>
        <v>0</v>
      </c>
    </row>
    <row r="62">
      <c r="A62" s="16" t="str">
        <f>IFERROR(__xludf.DUMMYFUNCTION("""COMPUTED_VALUE"""),"328d4b017d5db890a886902acdade960088fb3d8")</f>
        <v>328d4b017d5db890a886902acdade960088fb3d8</v>
      </c>
      <c r="B62" s="16" t="str">
        <f>IFERROR(__xludf.DUMMYFUNCTION("""COMPUTED_VALUE"""),"Her Worthless Son-in-Law")</f>
        <v>Her Worthless Son-in-Law</v>
      </c>
      <c r="C62" s="16" t="str">
        <f>IFERROR(__xludf.DUMMYFUNCTION("""COMPUTED_VALUE"""),"System and Superpower")</f>
        <v>System and Superpower</v>
      </c>
      <c r="D62" s="16">
        <f>IFERROR(__xludf.DUMMYFUNCTION("""COMPUTED_VALUE"""),353.0)</f>
        <v>353</v>
      </c>
      <c r="E62" s="16">
        <f>IFERROR(__xludf.DUMMYFUNCTION("""COMPUTED_VALUE"""),0.946175637393767)</f>
        <v>0.9461756374</v>
      </c>
      <c r="F62" s="16">
        <f>IFERROR(__xludf.DUMMYFUNCTION("""COMPUTED_VALUE"""),0.728045325779036)</f>
        <v>0.7280453258</v>
      </c>
      <c r="G62" s="16">
        <f>IFERROR(__xludf.DUMMYFUNCTION("""COMPUTED_VALUE"""),0.674220963172804)</f>
        <v>0.6742209632</v>
      </c>
      <c r="H62" s="16">
        <f>IFERROR(__xludf.DUMMYFUNCTION("""COMPUTED_VALUE"""),0.65155807365439)</f>
        <v>0.6515580737</v>
      </c>
      <c r="I62" s="16">
        <f>IFERROR(__xludf.DUMMYFUNCTION("""COMPUTED_VALUE"""),0.62215909090909)</f>
        <v>0.6221590909</v>
      </c>
      <c r="J62" s="16">
        <f>IFERROR(__xludf.DUMMYFUNCTION("""COMPUTED_VALUE"""),0.57593123209169)</f>
        <v>0.5759312321</v>
      </c>
      <c r="K62" s="16">
        <f>IFERROR(__xludf.DUMMYFUNCTION("""COMPUTED_VALUE"""),0.573065902578796)</f>
        <v>0.5730659026</v>
      </c>
      <c r="L62" s="16">
        <f>IFERROR(__xludf.DUMMYFUNCTION("""COMPUTED_VALUE"""),0.544668587896253)</f>
        <v>0.5446685879</v>
      </c>
      <c r="M62" s="16">
        <f>IFERROR(__xludf.DUMMYFUNCTION("""COMPUTED_VALUE"""),0.542274052478134)</f>
        <v>0.5422740525</v>
      </c>
      <c r="N62" s="16">
        <f>IFERROR(__xludf.DUMMYFUNCTION("""COMPUTED_VALUE"""),0.521084337349397)</f>
        <v>0.5210843373</v>
      </c>
      <c r="O62" s="16">
        <f>IFERROR(__xludf.DUMMYFUNCTION("""COMPUTED_VALUE"""),0.414012738853503)</f>
        <v>0.4140127389</v>
      </c>
      <c r="P62" s="16">
        <f>IFERROR(__xludf.DUMMYFUNCTION("""COMPUTED_VALUE"""),0.320689655172413)</f>
        <v>0.3206896552</v>
      </c>
      <c r="Q62" s="16">
        <f>IFERROR(__xludf.DUMMYFUNCTION("""COMPUTED_VALUE"""),0.252293577981651)</f>
        <v>0.252293578</v>
      </c>
      <c r="R62" s="16">
        <f>IFERROR(__xludf.DUMMYFUNCTION("""COMPUTED_VALUE"""),0.117647058823529)</f>
        <v>0.1176470588</v>
      </c>
      <c r="S62" s="16">
        <f>IFERROR(__xludf.DUMMYFUNCTION("""COMPUTED_VALUE"""),0.0)</f>
        <v>0</v>
      </c>
      <c r="T62" s="16">
        <f>IFERROR(__xludf.DUMMYFUNCTION("""COMPUTED_VALUE"""),0.0)</f>
        <v>0</v>
      </c>
      <c r="U62" s="16">
        <f>IFERROR(__xludf.DUMMYFUNCTION("""COMPUTED_VALUE"""),0.0)</f>
        <v>0</v>
      </c>
      <c r="V62" s="16">
        <f>IFERROR(__xludf.DUMMYFUNCTION("""COMPUTED_VALUE"""),0.0)</f>
        <v>0</v>
      </c>
      <c r="W62" s="16">
        <f>IFERROR(__xludf.DUMMYFUNCTION("""COMPUTED_VALUE"""),0.0)</f>
        <v>0</v>
      </c>
      <c r="X62" s="16">
        <f>IFERROR(__xludf.DUMMYFUNCTION("""COMPUTED_VALUE"""),0.0)</f>
        <v>0</v>
      </c>
      <c r="Y62" s="16">
        <f>IFERROR(__xludf.DUMMYFUNCTION("""COMPUTED_VALUE"""),0.0)</f>
        <v>0</v>
      </c>
      <c r="Z62" s="16">
        <f>IFERROR(__xludf.DUMMYFUNCTION("""COMPUTED_VALUE"""),0.0)</f>
        <v>0</v>
      </c>
      <c r="AA62" s="16">
        <f>IFERROR(__xludf.DUMMYFUNCTION("""COMPUTED_VALUE"""),0.0)</f>
        <v>0</v>
      </c>
      <c r="AB62" s="16">
        <f>IFERROR(__xludf.DUMMYFUNCTION("""COMPUTED_VALUE"""),0.0)</f>
        <v>0</v>
      </c>
      <c r="AC62" s="16">
        <f>IFERROR(__xludf.DUMMYFUNCTION("""COMPUTED_VALUE"""),0.0)</f>
        <v>0</v>
      </c>
      <c r="AD62" s="16">
        <f>IFERROR(__xludf.DUMMYFUNCTION("""COMPUTED_VALUE"""),0.0)</f>
        <v>0</v>
      </c>
      <c r="AE62" s="16">
        <f>IFERROR(__xludf.DUMMYFUNCTION("""COMPUTED_VALUE"""),0.0)</f>
        <v>0</v>
      </c>
      <c r="AF62" s="16">
        <f>IFERROR(__xludf.DUMMYFUNCTION("""COMPUTED_VALUE"""),0.0)</f>
        <v>0</v>
      </c>
      <c r="AG62" s="16">
        <f>IFERROR(__xludf.DUMMYFUNCTION("""COMPUTED_VALUE"""),0.0)</f>
        <v>0</v>
      </c>
      <c r="AH62" s="16">
        <f>IFERROR(__xludf.DUMMYFUNCTION("""COMPUTED_VALUE"""),0.0)</f>
        <v>0</v>
      </c>
    </row>
    <row r="63">
      <c r="A63" s="16" t="str">
        <f>IFERROR(__xludf.DUMMYFUNCTION("""COMPUTED_VALUE"""),"33e8ab0db9ae32917785af78276932f16eac10c0")</f>
        <v>33e8ab0db9ae32917785af78276932f16eac10c0</v>
      </c>
      <c r="B63" s="16" t="str">
        <f>IFERROR(__xludf.DUMMYFUNCTION("""COMPUTED_VALUE"""),"The Crowns Selection")</f>
        <v>The Crowns Selection</v>
      </c>
      <c r="C63" s="16" t="str">
        <f>IFERROR(__xludf.DUMMYFUNCTION("""COMPUTED_VALUE"""),"Romance")</f>
        <v>Romance</v>
      </c>
      <c r="D63" s="16">
        <f>IFERROR(__xludf.DUMMYFUNCTION("""COMPUTED_VALUE"""),104.0)</f>
        <v>104</v>
      </c>
      <c r="E63" s="16">
        <f>IFERROR(__xludf.DUMMYFUNCTION("""COMPUTED_VALUE"""),0.990384615384615)</f>
        <v>0.9903846154</v>
      </c>
      <c r="F63" s="16">
        <f>IFERROR(__xludf.DUMMYFUNCTION("""COMPUTED_VALUE"""),0.557692307692307)</f>
        <v>0.5576923077</v>
      </c>
      <c r="G63" s="16">
        <f>IFERROR(__xludf.DUMMYFUNCTION("""COMPUTED_VALUE"""),0.504854368932038)</f>
        <v>0.5048543689</v>
      </c>
      <c r="H63" s="16">
        <f>IFERROR(__xludf.DUMMYFUNCTION("""COMPUTED_VALUE"""),0.466019417475728)</f>
        <v>0.4660194175</v>
      </c>
      <c r="I63" s="16">
        <f>IFERROR(__xludf.DUMMYFUNCTION("""COMPUTED_VALUE"""),0.362745098039215)</f>
        <v>0.362745098</v>
      </c>
      <c r="J63" s="16">
        <f>IFERROR(__xludf.DUMMYFUNCTION("""COMPUTED_VALUE"""),0.333333333333333)</f>
        <v>0.3333333333</v>
      </c>
      <c r="K63" s="16">
        <f>IFERROR(__xludf.DUMMYFUNCTION("""COMPUTED_VALUE"""),0.297029702970297)</f>
        <v>0.297029703</v>
      </c>
      <c r="L63" s="16">
        <f>IFERROR(__xludf.DUMMYFUNCTION("""COMPUTED_VALUE"""),0.267326732673267)</f>
        <v>0.2673267327</v>
      </c>
      <c r="M63" s="16">
        <f>IFERROR(__xludf.DUMMYFUNCTION("""COMPUTED_VALUE"""),0.237623762376237)</f>
        <v>0.2376237624</v>
      </c>
      <c r="N63" s="16">
        <f>IFERROR(__xludf.DUMMYFUNCTION("""COMPUTED_VALUE"""),0.247524752475247)</f>
        <v>0.2475247525</v>
      </c>
      <c r="O63" s="16">
        <f>IFERROR(__xludf.DUMMYFUNCTION("""COMPUTED_VALUE"""),0.25)</f>
        <v>0.25</v>
      </c>
      <c r="P63" s="16">
        <f>IFERROR(__xludf.DUMMYFUNCTION("""COMPUTED_VALUE"""),0.163636363636363)</f>
        <v>0.1636363636</v>
      </c>
      <c r="Q63" s="16">
        <f>IFERROR(__xludf.DUMMYFUNCTION("""COMPUTED_VALUE"""),0.5)</f>
        <v>0.5</v>
      </c>
      <c r="R63" s="16">
        <f>IFERROR(__xludf.DUMMYFUNCTION("""COMPUTED_VALUE"""),0.0)</f>
        <v>0</v>
      </c>
      <c r="S63" s="16">
        <f>IFERROR(__xludf.DUMMYFUNCTION("""COMPUTED_VALUE"""),0.0)</f>
        <v>0</v>
      </c>
      <c r="T63" s="16">
        <f>IFERROR(__xludf.DUMMYFUNCTION("""COMPUTED_VALUE"""),0.0)</f>
        <v>0</v>
      </c>
      <c r="U63" s="16">
        <f>IFERROR(__xludf.DUMMYFUNCTION("""COMPUTED_VALUE"""),0.0)</f>
        <v>0</v>
      </c>
      <c r="V63" s="16">
        <f>IFERROR(__xludf.DUMMYFUNCTION("""COMPUTED_VALUE"""),0.0)</f>
        <v>0</v>
      </c>
      <c r="W63" s="16">
        <f>IFERROR(__xludf.DUMMYFUNCTION("""COMPUTED_VALUE"""),0.0)</f>
        <v>0</v>
      </c>
      <c r="X63" s="16">
        <f>IFERROR(__xludf.DUMMYFUNCTION("""COMPUTED_VALUE"""),0.0)</f>
        <v>0</v>
      </c>
      <c r="Y63" s="16">
        <f>IFERROR(__xludf.DUMMYFUNCTION("""COMPUTED_VALUE"""),0.0)</f>
        <v>0</v>
      </c>
      <c r="Z63" s="16">
        <f>IFERROR(__xludf.DUMMYFUNCTION("""COMPUTED_VALUE"""),0.0)</f>
        <v>0</v>
      </c>
      <c r="AA63" s="16">
        <f>IFERROR(__xludf.DUMMYFUNCTION("""COMPUTED_VALUE"""),0.0)</f>
        <v>0</v>
      </c>
      <c r="AB63" s="16">
        <f>IFERROR(__xludf.DUMMYFUNCTION("""COMPUTED_VALUE"""),0.0)</f>
        <v>0</v>
      </c>
      <c r="AC63" s="16">
        <f>IFERROR(__xludf.DUMMYFUNCTION("""COMPUTED_VALUE"""),0.0)</f>
        <v>0</v>
      </c>
      <c r="AD63" s="16">
        <f>IFERROR(__xludf.DUMMYFUNCTION("""COMPUTED_VALUE"""),0.0)</f>
        <v>0</v>
      </c>
      <c r="AE63" s="16">
        <f>IFERROR(__xludf.DUMMYFUNCTION("""COMPUTED_VALUE"""),0.0)</f>
        <v>0</v>
      </c>
      <c r="AF63" s="16">
        <f>IFERROR(__xludf.DUMMYFUNCTION("""COMPUTED_VALUE"""),0.0)</f>
        <v>0</v>
      </c>
      <c r="AG63" s="16">
        <f>IFERROR(__xludf.DUMMYFUNCTION("""COMPUTED_VALUE"""),0.0)</f>
        <v>0</v>
      </c>
      <c r="AH63" s="16">
        <f>IFERROR(__xludf.DUMMYFUNCTION("""COMPUTED_VALUE"""),0.0)</f>
        <v>0</v>
      </c>
    </row>
    <row r="64">
      <c r="A64" s="16" t="str">
        <f>IFERROR(__xludf.DUMMYFUNCTION("""COMPUTED_VALUE"""),"344fcbb2ea419c5e240def842cb2949db59acee4")</f>
        <v>344fcbb2ea419c5e240def842cb2949db59acee4</v>
      </c>
      <c r="B64" s="16" t="str">
        <f>IFERROR(__xludf.DUMMYFUNCTION("""COMPUTED_VALUE"""),"Gate of Immortality")</f>
        <v>Gate of Immortality</v>
      </c>
      <c r="C64" s="16" t="str">
        <f>IFERROR(__xludf.DUMMYFUNCTION("""COMPUTED_VALUE"""),"Drama")</f>
        <v>Drama</v>
      </c>
      <c r="D64" s="16">
        <f>IFERROR(__xludf.DUMMYFUNCTION("""COMPUTED_VALUE"""),600.0)</f>
        <v>600</v>
      </c>
      <c r="E64" s="16">
        <f>IFERROR(__xludf.DUMMYFUNCTION("""COMPUTED_VALUE"""),0.986666666666666)</f>
        <v>0.9866666667</v>
      </c>
      <c r="F64" s="16">
        <f>IFERROR(__xludf.DUMMYFUNCTION("""COMPUTED_VALUE"""),0.588333333333333)</f>
        <v>0.5883333333</v>
      </c>
      <c r="G64" s="16">
        <f>IFERROR(__xludf.DUMMYFUNCTION("""COMPUTED_VALUE"""),0.528333333333333)</f>
        <v>0.5283333333</v>
      </c>
      <c r="H64" s="16">
        <f>IFERROR(__xludf.DUMMYFUNCTION("""COMPUTED_VALUE"""),0.482173174872665)</f>
        <v>0.4821731749</v>
      </c>
      <c r="I64" s="16">
        <f>IFERROR(__xludf.DUMMYFUNCTION("""COMPUTED_VALUE"""),0.435677530017152)</f>
        <v>0.43567753</v>
      </c>
      <c r="J64" s="16">
        <f>IFERROR(__xludf.DUMMYFUNCTION("""COMPUTED_VALUE"""),0.405714285714285)</f>
        <v>0.4057142857</v>
      </c>
      <c r="K64" s="16">
        <f>IFERROR(__xludf.DUMMYFUNCTION("""COMPUTED_VALUE"""),0.372188139059304)</f>
        <v>0.3721881391</v>
      </c>
      <c r="L64" s="16">
        <f>IFERROR(__xludf.DUMMYFUNCTION("""COMPUTED_VALUE"""),0.352549889135255)</f>
        <v>0.3525498891</v>
      </c>
      <c r="M64" s="16">
        <f>IFERROR(__xludf.DUMMYFUNCTION("""COMPUTED_VALUE"""),0.330049261083743)</f>
        <v>0.3300492611</v>
      </c>
      <c r="N64" s="16">
        <f>IFERROR(__xludf.DUMMYFUNCTION("""COMPUTED_VALUE"""),0.311953352769679)</f>
        <v>0.3119533528</v>
      </c>
      <c r="O64" s="16">
        <f>IFERROR(__xludf.DUMMYFUNCTION("""COMPUTED_VALUE"""),0.219512195121951)</f>
        <v>0.2195121951</v>
      </c>
      <c r="P64" s="16">
        <f>IFERROR(__xludf.DUMMYFUNCTION("""COMPUTED_VALUE"""),0.191489361702127)</f>
        <v>0.1914893617</v>
      </c>
      <c r="Q64" s="16">
        <f>IFERROR(__xludf.DUMMYFUNCTION("""COMPUTED_VALUE"""),0.0930232558139534)</f>
        <v>0.09302325581</v>
      </c>
      <c r="R64" s="16">
        <f>IFERROR(__xludf.DUMMYFUNCTION("""COMPUTED_VALUE"""),0.0833333333333333)</f>
        <v>0.08333333333</v>
      </c>
      <c r="S64" s="16">
        <f>IFERROR(__xludf.DUMMYFUNCTION("""COMPUTED_VALUE"""),0.0)</f>
        <v>0</v>
      </c>
      <c r="T64" s="16">
        <f>IFERROR(__xludf.DUMMYFUNCTION("""COMPUTED_VALUE"""),0.0)</f>
        <v>0</v>
      </c>
      <c r="U64" s="16">
        <f>IFERROR(__xludf.DUMMYFUNCTION("""COMPUTED_VALUE"""),0.0)</f>
        <v>0</v>
      </c>
      <c r="V64" s="16">
        <f>IFERROR(__xludf.DUMMYFUNCTION("""COMPUTED_VALUE"""),0.0)</f>
        <v>0</v>
      </c>
      <c r="W64" s="16">
        <f>IFERROR(__xludf.DUMMYFUNCTION("""COMPUTED_VALUE"""),0.0)</f>
        <v>0</v>
      </c>
      <c r="X64" s="16">
        <f>IFERROR(__xludf.DUMMYFUNCTION("""COMPUTED_VALUE"""),0.0)</f>
        <v>0</v>
      </c>
      <c r="Y64" s="16">
        <f>IFERROR(__xludf.DUMMYFUNCTION("""COMPUTED_VALUE"""),0.0)</f>
        <v>0</v>
      </c>
      <c r="Z64" s="16">
        <f>IFERROR(__xludf.DUMMYFUNCTION("""COMPUTED_VALUE"""),0.0)</f>
        <v>0</v>
      </c>
      <c r="AA64" s="16">
        <f>IFERROR(__xludf.DUMMYFUNCTION("""COMPUTED_VALUE"""),0.0)</f>
        <v>0</v>
      </c>
      <c r="AB64" s="16">
        <f>IFERROR(__xludf.DUMMYFUNCTION("""COMPUTED_VALUE"""),0.0)</f>
        <v>0</v>
      </c>
      <c r="AC64" s="16">
        <f>IFERROR(__xludf.DUMMYFUNCTION("""COMPUTED_VALUE"""),0.0)</f>
        <v>0</v>
      </c>
      <c r="AD64" s="16">
        <f>IFERROR(__xludf.DUMMYFUNCTION("""COMPUTED_VALUE"""),0.0)</f>
        <v>0</v>
      </c>
      <c r="AE64" s="16">
        <f>IFERROR(__xludf.DUMMYFUNCTION("""COMPUTED_VALUE"""),0.0)</f>
        <v>0</v>
      </c>
      <c r="AF64" s="16">
        <f>IFERROR(__xludf.DUMMYFUNCTION("""COMPUTED_VALUE"""),0.0)</f>
        <v>0</v>
      </c>
      <c r="AG64" s="16">
        <f>IFERROR(__xludf.DUMMYFUNCTION("""COMPUTED_VALUE"""),0.0)</f>
        <v>0</v>
      </c>
      <c r="AH64" s="16">
        <f>IFERROR(__xludf.DUMMYFUNCTION("""COMPUTED_VALUE"""),0.0)</f>
        <v>0</v>
      </c>
    </row>
    <row r="65">
      <c r="A65" s="16" t="str">
        <f>IFERROR(__xludf.DUMMYFUNCTION("""COMPUTED_VALUE"""),"34997bc4167305107b251e0bf8431553064ef3a5")</f>
        <v>34997bc4167305107b251e0bf8431553064ef3a5</v>
      </c>
      <c r="B65" s="16" t="str">
        <f>IFERROR(__xludf.DUMMYFUNCTION("""COMPUTED_VALUE"""),"The Ghost Heiress")</f>
        <v>The Ghost Heiress</v>
      </c>
      <c r="C65" s="16" t="str">
        <f>IFERROR(__xludf.DUMMYFUNCTION("""COMPUTED_VALUE"""),"Romance")</f>
        <v>Romance</v>
      </c>
      <c r="D65" s="16">
        <f>IFERROR(__xludf.DUMMYFUNCTION("""COMPUTED_VALUE"""),144.0)</f>
        <v>144</v>
      </c>
      <c r="E65" s="16">
        <f>IFERROR(__xludf.DUMMYFUNCTION("""COMPUTED_VALUE"""),0.965277777777777)</f>
        <v>0.9652777778</v>
      </c>
      <c r="F65" s="16">
        <f>IFERROR(__xludf.DUMMYFUNCTION("""COMPUTED_VALUE"""),0.638888888888888)</f>
        <v>0.6388888889</v>
      </c>
      <c r="G65" s="16">
        <f>IFERROR(__xludf.DUMMYFUNCTION("""COMPUTED_VALUE"""),0.5625)</f>
        <v>0.5625</v>
      </c>
      <c r="H65" s="16">
        <f>IFERROR(__xludf.DUMMYFUNCTION("""COMPUTED_VALUE"""),0.531468531468531)</f>
        <v>0.5314685315</v>
      </c>
      <c r="I65" s="16">
        <f>IFERROR(__xludf.DUMMYFUNCTION("""COMPUTED_VALUE"""),0.507142857142857)</f>
        <v>0.5071428571</v>
      </c>
      <c r="J65" s="16">
        <f>IFERROR(__xludf.DUMMYFUNCTION("""COMPUTED_VALUE"""),0.470149253731343)</f>
        <v>0.4701492537</v>
      </c>
      <c r="K65" s="16">
        <f>IFERROR(__xludf.DUMMYFUNCTION("""COMPUTED_VALUE"""),0.325581395348837)</f>
        <v>0.3255813953</v>
      </c>
      <c r="L65" s="16">
        <f>IFERROR(__xludf.DUMMYFUNCTION("""COMPUTED_VALUE"""),0.349593495934959)</f>
        <v>0.3495934959</v>
      </c>
      <c r="M65" s="16">
        <f>IFERROR(__xludf.DUMMYFUNCTION("""COMPUTED_VALUE"""),0.41025641025641)</f>
        <v>0.4102564103</v>
      </c>
      <c r="N65" s="16">
        <f>IFERROR(__xludf.DUMMYFUNCTION("""COMPUTED_VALUE"""),0.432432432432432)</f>
        <v>0.4324324324</v>
      </c>
      <c r="O65" s="16">
        <f>IFERROR(__xludf.DUMMYFUNCTION("""COMPUTED_VALUE"""),0.272727272727272)</f>
        <v>0.2727272727</v>
      </c>
      <c r="P65" s="16">
        <f>IFERROR(__xludf.DUMMYFUNCTION("""COMPUTED_VALUE"""),0.243243243243243)</f>
        <v>0.2432432432</v>
      </c>
      <c r="Q65" s="16">
        <f>IFERROR(__xludf.DUMMYFUNCTION("""COMPUTED_VALUE"""),0.0)</f>
        <v>0</v>
      </c>
      <c r="R65" s="16">
        <f>IFERROR(__xludf.DUMMYFUNCTION("""COMPUTED_VALUE"""),0.0)</f>
        <v>0</v>
      </c>
      <c r="S65" s="16">
        <f>IFERROR(__xludf.DUMMYFUNCTION("""COMPUTED_VALUE"""),0.0)</f>
        <v>0</v>
      </c>
      <c r="T65" s="16">
        <f>IFERROR(__xludf.DUMMYFUNCTION("""COMPUTED_VALUE"""),0.0)</f>
        <v>0</v>
      </c>
      <c r="U65" s="16">
        <f>IFERROR(__xludf.DUMMYFUNCTION("""COMPUTED_VALUE"""),0.0)</f>
        <v>0</v>
      </c>
      <c r="V65" s="16">
        <f>IFERROR(__xludf.DUMMYFUNCTION("""COMPUTED_VALUE"""),0.0)</f>
        <v>0</v>
      </c>
      <c r="W65" s="16">
        <f>IFERROR(__xludf.DUMMYFUNCTION("""COMPUTED_VALUE"""),0.0)</f>
        <v>0</v>
      </c>
      <c r="X65" s="16">
        <f>IFERROR(__xludf.DUMMYFUNCTION("""COMPUTED_VALUE"""),0.0)</f>
        <v>0</v>
      </c>
      <c r="Y65" s="16">
        <f>IFERROR(__xludf.DUMMYFUNCTION("""COMPUTED_VALUE"""),0.0)</f>
        <v>0</v>
      </c>
      <c r="Z65" s="16">
        <f>IFERROR(__xludf.DUMMYFUNCTION("""COMPUTED_VALUE"""),0.0)</f>
        <v>0</v>
      </c>
      <c r="AA65" s="16">
        <f>IFERROR(__xludf.DUMMYFUNCTION("""COMPUTED_VALUE"""),0.0)</f>
        <v>0</v>
      </c>
      <c r="AB65" s="16">
        <f>IFERROR(__xludf.DUMMYFUNCTION("""COMPUTED_VALUE"""),0.0)</f>
        <v>0</v>
      </c>
      <c r="AC65" s="16">
        <f>IFERROR(__xludf.DUMMYFUNCTION("""COMPUTED_VALUE"""),0.0)</f>
        <v>0</v>
      </c>
      <c r="AD65" s="16">
        <f>IFERROR(__xludf.DUMMYFUNCTION("""COMPUTED_VALUE"""),0.0)</f>
        <v>0</v>
      </c>
      <c r="AE65" s="16">
        <f>IFERROR(__xludf.DUMMYFUNCTION("""COMPUTED_VALUE"""),0.0)</f>
        <v>0</v>
      </c>
      <c r="AF65" s="16">
        <f>IFERROR(__xludf.DUMMYFUNCTION("""COMPUTED_VALUE"""),0.0)</f>
        <v>0</v>
      </c>
      <c r="AG65" s="16">
        <f>IFERROR(__xludf.DUMMYFUNCTION("""COMPUTED_VALUE"""),0.0)</f>
        <v>0</v>
      </c>
      <c r="AH65" s="16">
        <f>IFERROR(__xludf.DUMMYFUNCTION("""COMPUTED_VALUE"""),0.0)</f>
        <v>0</v>
      </c>
    </row>
    <row r="66">
      <c r="A66" s="16" t="str">
        <f>IFERROR(__xludf.DUMMYFUNCTION("""COMPUTED_VALUE"""),"34f2f307c600eaadeadd185f5681a891034fb635")</f>
        <v>34f2f307c600eaadeadd185f5681a891034fb635</v>
      </c>
      <c r="B66" s="16" t="str">
        <f>IFERROR(__xludf.DUMMYFUNCTION("""COMPUTED_VALUE"""),"Complete Deception")</f>
        <v>Complete Deception</v>
      </c>
      <c r="C66" s="16" t="str">
        <f>IFERROR(__xludf.DUMMYFUNCTION("""COMPUTED_VALUE"""),"Romance")</f>
        <v>Romance</v>
      </c>
      <c r="D66" s="16">
        <f>IFERROR(__xludf.DUMMYFUNCTION("""COMPUTED_VALUE"""),91.0)</f>
        <v>91</v>
      </c>
      <c r="E66" s="16">
        <f>IFERROR(__xludf.DUMMYFUNCTION("""COMPUTED_VALUE"""),0.923076923076923)</f>
        <v>0.9230769231</v>
      </c>
      <c r="F66" s="16">
        <f>IFERROR(__xludf.DUMMYFUNCTION("""COMPUTED_VALUE"""),0.461538461538461)</f>
        <v>0.4615384615</v>
      </c>
      <c r="G66" s="16">
        <f>IFERROR(__xludf.DUMMYFUNCTION("""COMPUTED_VALUE"""),0.351648351648351)</f>
        <v>0.3516483516</v>
      </c>
      <c r="H66" s="16">
        <f>IFERROR(__xludf.DUMMYFUNCTION("""COMPUTED_VALUE"""),0.329670329670329)</f>
        <v>0.3296703297</v>
      </c>
      <c r="I66" s="16">
        <f>IFERROR(__xludf.DUMMYFUNCTION("""COMPUTED_VALUE"""),0.296703296703296)</f>
        <v>0.2967032967</v>
      </c>
      <c r="J66" s="16">
        <f>IFERROR(__xludf.DUMMYFUNCTION("""COMPUTED_VALUE"""),0.263736263736263)</f>
        <v>0.2637362637</v>
      </c>
      <c r="K66" s="16">
        <f>IFERROR(__xludf.DUMMYFUNCTION("""COMPUTED_VALUE"""),0.266666666666666)</f>
        <v>0.2666666667</v>
      </c>
      <c r="L66" s="16">
        <f>IFERROR(__xludf.DUMMYFUNCTION("""COMPUTED_VALUE"""),0.244444444444444)</f>
        <v>0.2444444444</v>
      </c>
      <c r="M66" s="16">
        <f>IFERROR(__xludf.DUMMYFUNCTION("""COMPUTED_VALUE"""),0.255555555555555)</f>
        <v>0.2555555556</v>
      </c>
      <c r="N66" s="16">
        <f>IFERROR(__xludf.DUMMYFUNCTION("""COMPUTED_VALUE"""),0.266666666666666)</f>
        <v>0.2666666667</v>
      </c>
      <c r="O66" s="16">
        <f>IFERROR(__xludf.DUMMYFUNCTION("""COMPUTED_VALUE"""),0.271604938271604)</f>
        <v>0.2716049383</v>
      </c>
      <c r="P66" s="16">
        <f>IFERROR(__xludf.DUMMYFUNCTION("""COMPUTED_VALUE"""),0.159420289855072)</f>
        <v>0.1594202899</v>
      </c>
      <c r="Q66" s="16">
        <f>IFERROR(__xludf.DUMMYFUNCTION("""COMPUTED_VALUE"""),0.0784313725490196)</f>
        <v>0.07843137255</v>
      </c>
      <c r="R66" s="16">
        <f>IFERROR(__xludf.DUMMYFUNCTION("""COMPUTED_VALUE"""),0.0784313725490196)</f>
        <v>0.07843137255</v>
      </c>
      <c r="S66" s="16">
        <f>IFERROR(__xludf.DUMMYFUNCTION("""COMPUTED_VALUE"""),0.0588235294117647)</f>
        <v>0.05882352941</v>
      </c>
      <c r="T66" s="16">
        <f>IFERROR(__xludf.DUMMYFUNCTION("""COMPUTED_VALUE"""),0.06)</f>
        <v>0.06</v>
      </c>
      <c r="U66" s="16">
        <f>IFERROR(__xludf.DUMMYFUNCTION("""COMPUTED_VALUE"""),0.0571428571428571)</f>
        <v>0.05714285714</v>
      </c>
      <c r="V66" s="16">
        <f>IFERROR(__xludf.DUMMYFUNCTION("""COMPUTED_VALUE"""),0.0434782608695652)</f>
        <v>0.04347826087</v>
      </c>
      <c r="W66" s="16">
        <f>IFERROR(__xludf.DUMMYFUNCTION("""COMPUTED_VALUE"""),0.0)</f>
        <v>0</v>
      </c>
      <c r="X66" s="16">
        <f>IFERROR(__xludf.DUMMYFUNCTION("""COMPUTED_VALUE"""),0.0)</f>
        <v>0</v>
      </c>
      <c r="Y66" s="16">
        <f>IFERROR(__xludf.DUMMYFUNCTION("""COMPUTED_VALUE"""),0.0)</f>
        <v>0</v>
      </c>
      <c r="Z66" s="16">
        <f>IFERROR(__xludf.DUMMYFUNCTION("""COMPUTED_VALUE"""),0.0)</f>
        <v>0</v>
      </c>
      <c r="AA66" s="16">
        <f>IFERROR(__xludf.DUMMYFUNCTION("""COMPUTED_VALUE"""),0.0)</f>
        <v>0</v>
      </c>
      <c r="AB66" s="16">
        <f>IFERROR(__xludf.DUMMYFUNCTION("""COMPUTED_VALUE"""),0.0)</f>
        <v>0</v>
      </c>
      <c r="AC66" s="16">
        <f>IFERROR(__xludf.DUMMYFUNCTION("""COMPUTED_VALUE"""),0.0)</f>
        <v>0</v>
      </c>
      <c r="AD66" s="16">
        <f>IFERROR(__xludf.DUMMYFUNCTION("""COMPUTED_VALUE"""),0.0)</f>
        <v>0</v>
      </c>
      <c r="AE66" s="16">
        <f>IFERROR(__xludf.DUMMYFUNCTION("""COMPUTED_VALUE"""),0.0)</f>
        <v>0</v>
      </c>
      <c r="AF66" s="16">
        <f>IFERROR(__xludf.DUMMYFUNCTION("""COMPUTED_VALUE"""),0.0)</f>
        <v>0</v>
      </c>
      <c r="AG66" s="16">
        <f>IFERROR(__xludf.DUMMYFUNCTION("""COMPUTED_VALUE"""),0.0)</f>
        <v>0</v>
      </c>
      <c r="AH66" s="16">
        <f>IFERROR(__xludf.DUMMYFUNCTION("""COMPUTED_VALUE"""),0.0)</f>
        <v>0</v>
      </c>
    </row>
    <row r="67">
      <c r="A67" s="16" t="str">
        <f>IFERROR(__xludf.DUMMYFUNCTION("""COMPUTED_VALUE"""),"352616a7060cd6bae27e25732ce5479dfee317f3")</f>
        <v>352616a7060cd6bae27e25732ce5479dfee317f3</v>
      </c>
      <c r="B67" s="16" t="str">
        <f>IFERROR(__xludf.DUMMYFUNCTION("""COMPUTED_VALUE"""),"D Vicious Sword Sovereign")</f>
        <v>D Vicious Sword Sovereign</v>
      </c>
      <c r="C67" s="16" t="str">
        <f>IFERROR(__xludf.DUMMYFUNCTION("""COMPUTED_VALUE"""),"Fantasy")</f>
        <v>Fantasy</v>
      </c>
      <c r="D67" s="16">
        <f>IFERROR(__xludf.DUMMYFUNCTION("""COMPUTED_VALUE"""),18.0)</f>
        <v>18</v>
      </c>
      <c r="E67" s="16">
        <f>IFERROR(__xludf.DUMMYFUNCTION("""COMPUTED_VALUE"""),1.0)</f>
        <v>1</v>
      </c>
      <c r="F67" s="16">
        <f>IFERROR(__xludf.DUMMYFUNCTION("""COMPUTED_VALUE"""),0.666666666666666)</f>
        <v>0.6666666667</v>
      </c>
      <c r="G67" s="16">
        <f>IFERROR(__xludf.DUMMYFUNCTION("""COMPUTED_VALUE"""),0.555555555555555)</f>
        <v>0.5555555556</v>
      </c>
      <c r="H67" s="16">
        <f>IFERROR(__xludf.DUMMYFUNCTION("""COMPUTED_VALUE"""),0.444444444444444)</f>
        <v>0.4444444444</v>
      </c>
      <c r="I67" s="16">
        <f>IFERROR(__xludf.DUMMYFUNCTION("""COMPUTED_VALUE"""),0.388888888888888)</f>
        <v>0.3888888889</v>
      </c>
      <c r="J67" s="16">
        <f>IFERROR(__xludf.DUMMYFUNCTION("""COMPUTED_VALUE"""),0.388888888888888)</f>
        <v>0.3888888889</v>
      </c>
      <c r="K67" s="16">
        <f>IFERROR(__xludf.DUMMYFUNCTION("""COMPUTED_VALUE"""),0.307692307692307)</f>
        <v>0.3076923077</v>
      </c>
      <c r="L67" s="16">
        <f>IFERROR(__xludf.DUMMYFUNCTION("""COMPUTED_VALUE"""),0.333333333333333)</f>
        <v>0.3333333333</v>
      </c>
      <c r="M67" s="16">
        <f>IFERROR(__xludf.DUMMYFUNCTION("""COMPUTED_VALUE"""),0.272727272727272)</f>
        <v>0.2727272727</v>
      </c>
      <c r="N67" s="16">
        <f>IFERROR(__xludf.DUMMYFUNCTION("""COMPUTED_VALUE"""),0.272727272727272)</f>
        <v>0.2727272727</v>
      </c>
      <c r="O67" s="16">
        <f>IFERROR(__xludf.DUMMYFUNCTION("""COMPUTED_VALUE"""),0.333333333333333)</f>
        <v>0.3333333333</v>
      </c>
      <c r="P67" s="16">
        <f>IFERROR(__xludf.DUMMYFUNCTION("""COMPUTED_VALUE"""),0.0)</f>
        <v>0</v>
      </c>
      <c r="Q67" s="16">
        <f>IFERROR(__xludf.DUMMYFUNCTION("""COMPUTED_VALUE"""),0.0)</f>
        <v>0</v>
      </c>
      <c r="R67" s="16">
        <f>IFERROR(__xludf.DUMMYFUNCTION("""COMPUTED_VALUE"""),0.0)</f>
        <v>0</v>
      </c>
      <c r="S67" s="16">
        <f>IFERROR(__xludf.DUMMYFUNCTION("""COMPUTED_VALUE"""),0.0)</f>
        <v>0</v>
      </c>
      <c r="T67" s="16">
        <f>IFERROR(__xludf.DUMMYFUNCTION("""COMPUTED_VALUE"""),0.0)</f>
        <v>0</v>
      </c>
      <c r="U67" s="16">
        <f>IFERROR(__xludf.DUMMYFUNCTION("""COMPUTED_VALUE"""),0.0)</f>
        <v>0</v>
      </c>
      <c r="V67" s="16">
        <f>IFERROR(__xludf.DUMMYFUNCTION("""COMPUTED_VALUE"""),0.0)</f>
        <v>0</v>
      </c>
      <c r="W67" s="16">
        <f>IFERROR(__xludf.DUMMYFUNCTION("""COMPUTED_VALUE"""),0.0)</f>
        <v>0</v>
      </c>
      <c r="X67" s="16">
        <f>IFERROR(__xludf.DUMMYFUNCTION("""COMPUTED_VALUE"""),0.0)</f>
        <v>0</v>
      </c>
      <c r="Y67" s="16">
        <f>IFERROR(__xludf.DUMMYFUNCTION("""COMPUTED_VALUE"""),0.0)</f>
        <v>0</v>
      </c>
      <c r="Z67" s="16">
        <f>IFERROR(__xludf.DUMMYFUNCTION("""COMPUTED_VALUE"""),0.0)</f>
        <v>0</v>
      </c>
      <c r="AA67" s="16">
        <f>IFERROR(__xludf.DUMMYFUNCTION("""COMPUTED_VALUE"""),0.0)</f>
        <v>0</v>
      </c>
      <c r="AB67" s="16">
        <f>IFERROR(__xludf.DUMMYFUNCTION("""COMPUTED_VALUE"""),0.0)</f>
        <v>0</v>
      </c>
      <c r="AC67" s="16">
        <f>IFERROR(__xludf.DUMMYFUNCTION("""COMPUTED_VALUE"""),0.0)</f>
        <v>0</v>
      </c>
      <c r="AD67" s="16">
        <f>IFERROR(__xludf.DUMMYFUNCTION("""COMPUTED_VALUE"""),0.0)</f>
        <v>0</v>
      </c>
      <c r="AE67" s="16">
        <f>IFERROR(__xludf.DUMMYFUNCTION("""COMPUTED_VALUE"""),0.0)</f>
        <v>0</v>
      </c>
      <c r="AF67" s="16">
        <f>IFERROR(__xludf.DUMMYFUNCTION("""COMPUTED_VALUE"""),0.0)</f>
        <v>0</v>
      </c>
      <c r="AG67" s="16">
        <f>IFERROR(__xludf.DUMMYFUNCTION("""COMPUTED_VALUE"""),0.0)</f>
        <v>0</v>
      </c>
      <c r="AH67" s="16">
        <f>IFERROR(__xludf.DUMMYFUNCTION("""COMPUTED_VALUE"""),0.0)</f>
        <v>0</v>
      </c>
    </row>
    <row r="68">
      <c r="A68" s="16" t="str">
        <f>IFERROR(__xludf.DUMMYFUNCTION("""COMPUTED_VALUE"""),"362902a5f0edf9862b88e64b166bdf3fa44487fc")</f>
        <v>362902a5f0edf9862b88e64b166bdf3fa44487fc</v>
      </c>
      <c r="B68" s="16" t="str">
        <f>IFERROR(__xludf.DUMMYFUNCTION("""COMPUTED_VALUE"""),"Almighty Sword Domain")</f>
        <v>Almighty Sword Domain</v>
      </c>
      <c r="C68" s="16" t="str">
        <f>IFERROR(__xludf.DUMMYFUNCTION("""COMPUTED_VALUE"""),"Fantasy")</f>
        <v>Fantasy</v>
      </c>
      <c r="D68" s="16">
        <f>IFERROR(__xludf.DUMMYFUNCTION("""COMPUTED_VALUE"""),205.0)</f>
        <v>205</v>
      </c>
      <c r="E68" s="16">
        <f>IFERROR(__xludf.DUMMYFUNCTION("""COMPUTED_VALUE"""),0.985365853658536)</f>
        <v>0.9853658537</v>
      </c>
      <c r="F68" s="16">
        <f>IFERROR(__xludf.DUMMYFUNCTION("""COMPUTED_VALUE"""),0.317073170731707)</f>
        <v>0.3170731707</v>
      </c>
      <c r="G68" s="16">
        <f>IFERROR(__xludf.DUMMYFUNCTION("""COMPUTED_VALUE"""),0.282926829268292)</f>
        <v>0.2829268293</v>
      </c>
      <c r="H68" s="16">
        <f>IFERROR(__xludf.DUMMYFUNCTION("""COMPUTED_VALUE"""),0.241379310344827)</f>
        <v>0.2413793103</v>
      </c>
      <c r="I68" s="16">
        <f>IFERROR(__xludf.DUMMYFUNCTION("""COMPUTED_VALUE"""),0.216494845360824)</f>
        <v>0.2164948454</v>
      </c>
      <c r="J68" s="16">
        <f>IFERROR(__xludf.DUMMYFUNCTION("""COMPUTED_VALUE"""),0.217391304347826)</f>
        <v>0.2173913043</v>
      </c>
      <c r="K68" s="16">
        <f>IFERROR(__xludf.DUMMYFUNCTION("""COMPUTED_VALUE"""),0.210884353741496)</f>
        <v>0.2108843537</v>
      </c>
      <c r="L68" s="16">
        <f>IFERROR(__xludf.DUMMYFUNCTION("""COMPUTED_VALUE"""),0.213592233009708)</f>
        <v>0.213592233</v>
      </c>
      <c r="M68" s="16">
        <f>IFERROR(__xludf.DUMMYFUNCTION("""COMPUTED_VALUE"""),0.211267605633802)</f>
        <v>0.2112676056</v>
      </c>
      <c r="N68" s="16">
        <f>IFERROR(__xludf.DUMMYFUNCTION("""COMPUTED_VALUE"""),0.204545454545454)</f>
        <v>0.2045454545</v>
      </c>
      <c r="O68" s="16">
        <f>IFERROR(__xludf.DUMMYFUNCTION("""COMPUTED_VALUE"""),0.3)</f>
        <v>0.3</v>
      </c>
      <c r="P68" s="16">
        <f>IFERROR(__xludf.DUMMYFUNCTION("""COMPUTED_VALUE"""),0.31578947368421)</f>
        <v>0.3157894737</v>
      </c>
      <c r="Q68" s="16">
        <f>IFERROR(__xludf.DUMMYFUNCTION("""COMPUTED_VALUE"""),0.277777777777777)</f>
        <v>0.2777777778</v>
      </c>
      <c r="R68" s="16">
        <f>IFERROR(__xludf.DUMMYFUNCTION("""COMPUTED_VALUE"""),0.3125)</f>
        <v>0.3125</v>
      </c>
      <c r="S68" s="16">
        <f>IFERROR(__xludf.DUMMYFUNCTION("""COMPUTED_VALUE"""),0.357142857142857)</f>
        <v>0.3571428571</v>
      </c>
      <c r="T68" s="16">
        <f>IFERROR(__xludf.DUMMYFUNCTION("""COMPUTED_VALUE"""),0.222222222222222)</f>
        <v>0.2222222222</v>
      </c>
      <c r="U68" s="16">
        <f>IFERROR(__xludf.DUMMYFUNCTION("""COMPUTED_VALUE"""),0.0)</f>
        <v>0</v>
      </c>
      <c r="V68" s="16">
        <f>IFERROR(__xludf.DUMMYFUNCTION("""COMPUTED_VALUE"""),0.0)</f>
        <v>0</v>
      </c>
      <c r="W68" s="16">
        <f>IFERROR(__xludf.DUMMYFUNCTION("""COMPUTED_VALUE"""),0.0)</f>
        <v>0</v>
      </c>
      <c r="X68" s="16">
        <f>IFERROR(__xludf.DUMMYFUNCTION("""COMPUTED_VALUE"""),0.0)</f>
        <v>0</v>
      </c>
      <c r="Y68" s="16">
        <f>IFERROR(__xludf.DUMMYFUNCTION("""COMPUTED_VALUE"""),0.0)</f>
        <v>0</v>
      </c>
      <c r="Z68" s="16">
        <f>IFERROR(__xludf.DUMMYFUNCTION("""COMPUTED_VALUE"""),0.0)</f>
        <v>0</v>
      </c>
      <c r="AA68" s="16">
        <f>IFERROR(__xludf.DUMMYFUNCTION("""COMPUTED_VALUE"""),0.0)</f>
        <v>0</v>
      </c>
      <c r="AB68" s="16">
        <f>IFERROR(__xludf.DUMMYFUNCTION("""COMPUTED_VALUE"""),0.0)</f>
        <v>0</v>
      </c>
      <c r="AC68" s="16">
        <f>IFERROR(__xludf.DUMMYFUNCTION("""COMPUTED_VALUE"""),0.0)</f>
        <v>0</v>
      </c>
      <c r="AD68" s="16">
        <f>IFERROR(__xludf.DUMMYFUNCTION("""COMPUTED_VALUE"""),0.0)</f>
        <v>0</v>
      </c>
      <c r="AE68" s="16">
        <f>IFERROR(__xludf.DUMMYFUNCTION("""COMPUTED_VALUE"""),0.0)</f>
        <v>0</v>
      </c>
      <c r="AF68" s="16">
        <f>IFERROR(__xludf.DUMMYFUNCTION("""COMPUTED_VALUE"""),0.0)</f>
        <v>0</v>
      </c>
      <c r="AG68" s="16">
        <f>IFERROR(__xludf.DUMMYFUNCTION("""COMPUTED_VALUE"""),0.0)</f>
        <v>0</v>
      </c>
      <c r="AH68" s="16">
        <f>IFERROR(__xludf.DUMMYFUNCTION("""COMPUTED_VALUE"""),0.0)</f>
        <v>0</v>
      </c>
    </row>
    <row r="69">
      <c r="A69" s="16" t="str">
        <f>IFERROR(__xludf.DUMMYFUNCTION("""COMPUTED_VALUE"""),"37a4619595e440ac361cdc0df4d1bd0a9bd5d60c")</f>
        <v>37a4619595e440ac361cdc0df4d1bd0a9bd5d60c</v>
      </c>
      <c r="B69" s="16" t="str">
        <f>IFERROR(__xludf.DUMMYFUNCTION("""COMPUTED_VALUE"""),"The Bloodline Copy System")</f>
        <v>The Bloodline Copy System</v>
      </c>
      <c r="C69" s="16" t="str">
        <f>IFERROR(__xludf.DUMMYFUNCTION("""COMPUTED_VALUE"""),"System and Superpower")</f>
        <v>System and Superpower</v>
      </c>
      <c r="D69" s="16">
        <f>IFERROR(__xludf.DUMMYFUNCTION("""COMPUTED_VALUE"""),1351.0)</f>
        <v>1351</v>
      </c>
      <c r="E69" s="16">
        <f>IFERROR(__xludf.DUMMYFUNCTION("""COMPUTED_VALUE"""),0.977794226498889)</f>
        <v>0.9777942265</v>
      </c>
      <c r="F69" s="16">
        <f>IFERROR(__xludf.DUMMYFUNCTION("""COMPUTED_VALUE"""),0.650629163582531)</f>
        <v>0.6506291636</v>
      </c>
      <c r="G69" s="16">
        <f>IFERROR(__xludf.DUMMYFUNCTION("""COMPUTED_VALUE"""),0.593634344929681)</f>
        <v>0.5936343449</v>
      </c>
      <c r="H69" s="16">
        <f>IFERROR(__xludf.DUMMYFUNCTION("""COMPUTED_VALUE"""),0.535555555555555)</f>
        <v>0.5355555556</v>
      </c>
      <c r="I69" s="16">
        <f>IFERROR(__xludf.DUMMYFUNCTION("""COMPUTED_VALUE"""),0.504818383988139)</f>
        <v>0.504818384</v>
      </c>
      <c r="J69" s="16">
        <f>IFERROR(__xludf.DUMMYFUNCTION("""COMPUTED_VALUE"""),0.476614699331848)</f>
        <v>0.4766146993</v>
      </c>
      <c r="K69" s="16">
        <f>IFERROR(__xludf.DUMMYFUNCTION("""COMPUTED_VALUE"""),0.452717795979151)</f>
        <v>0.452717796</v>
      </c>
      <c r="L69" s="16">
        <f>IFERROR(__xludf.DUMMYFUNCTION("""COMPUTED_VALUE"""),0.43754674644727)</f>
        <v>0.4375467464</v>
      </c>
      <c r="M69" s="16">
        <f>IFERROR(__xludf.DUMMYFUNCTION("""COMPUTED_VALUE"""),0.420539730134932)</f>
        <v>0.4205397301</v>
      </c>
      <c r="N69" s="16">
        <f>IFERROR(__xludf.DUMMYFUNCTION("""COMPUTED_VALUE"""),0.40754716981132)</f>
        <v>0.4075471698</v>
      </c>
      <c r="O69" s="16">
        <f>IFERROR(__xludf.DUMMYFUNCTION("""COMPUTED_VALUE"""),0.358839050131926)</f>
        <v>0.3588390501</v>
      </c>
      <c r="P69" s="16">
        <f>IFERROR(__xludf.DUMMYFUNCTION("""COMPUTED_VALUE"""),0.269867549668874)</f>
        <v>0.2698675497</v>
      </c>
      <c r="Q69" s="16">
        <f>IFERROR(__xludf.DUMMYFUNCTION("""COMPUTED_VALUE"""),0.144329896907216)</f>
        <v>0.1443298969</v>
      </c>
      <c r="R69" s="16">
        <f>IFERROR(__xludf.DUMMYFUNCTION("""COMPUTED_VALUE"""),0.0888888888888888)</f>
        <v>0.08888888889</v>
      </c>
      <c r="S69" s="16">
        <f>IFERROR(__xludf.DUMMYFUNCTION("""COMPUTED_VALUE"""),0.0869565217391304)</f>
        <v>0.08695652174</v>
      </c>
      <c r="T69" s="16">
        <f>IFERROR(__xludf.DUMMYFUNCTION("""COMPUTED_VALUE"""),0.0)</f>
        <v>0</v>
      </c>
      <c r="U69" s="16">
        <f>IFERROR(__xludf.DUMMYFUNCTION("""COMPUTED_VALUE"""),0.0)</f>
        <v>0</v>
      </c>
      <c r="V69" s="16">
        <f>IFERROR(__xludf.DUMMYFUNCTION("""COMPUTED_VALUE"""),0.0)</f>
        <v>0</v>
      </c>
      <c r="W69" s="16">
        <f>IFERROR(__xludf.DUMMYFUNCTION("""COMPUTED_VALUE"""),0.0)</f>
        <v>0</v>
      </c>
      <c r="X69" s="16">
        <f>IFERROR(__xludf.DUMMYFUNCTION("""COMPUTED_VALUE"""),0.0)</f>
        <v>0</v>
      </c>
      <c r="Y69" s="16">
        <f>IFERROR(__xludf.DUMMYFUNCTION("""COMPUTED_VALUE"""),0.0)</f>
        <v>0</v>
      </c>
      <c r="Z69" s="16">
        <f>IFERROR(__xludf.DUMMYFUNCTION("""COMPUTED_VALUE"""),0.0)</f>
        <v>0</v>
      </c>
      <c r="AA69" s="16">
        <f>IFERROR(__xludf.DUMMYFUNCTION("""COMPUTED_VALUE"""),0.0)</f>
        <v>0</v>
      </c>
      <c r="AB69" s="16">
        <f>IFERROR(__xludf.DUMMYFUNCTION("""COMPUTED_VALUE"""),0.0)</f>
        <v>0</v>
      </c>
      <c r="AC69" s="16">
        <f>IFERROR(__xludf.DUMMYFUNCTION("""COMPUTED_VALUE"""),0.0)</f>
        <v>0</v>
      </c>
      <c r="AD69" s="16">
        <f>IFERROR(__xludf.DUMMYFUNCTION("""COMPUTED_VALUE"""),0.0)</f>
        <v>0</v>
      </c>
      <c r="AE69" s="16">
        <f>IFERROR(__xludf.DUMMYFUNCTION("""COMPUTED_VALUE"""),0.0)</f>
        <v>0</v>
      </c>
      <c r="AF69" s="16">
        <f>IFERROR(__xludf.DUMMYFUNCTION("""COMPUTED_VALUE"""),0.0)</f>
        <v>0</v>
      </c>
      <c r="AG69" s="16">
        <f>IFERROR(__xludf.DUMMYFUNCTION("""COMPUTED_VALUE"""),0.0)</f>
        <v>0</v>
      </c>
      <c r="AH69" s="16">
        <f>IFERROR(__xludf.DUMMYFUNCTION("""COMPUTED_VALUE"""),0.0)</f>
        <v>0</v>
      </c>
    </row>
    <row r="70">
      <c r="A70" s="16" t="str">
        <f>IFERROR(__xludf.DUMMYFUNCTION("""COMPUTED_VALUE"""),"381f2f23cfe6043e04a4a705bfde2d0832cb6847")</f>
        <v>381f2f23cfe6043e04a4a705bfde2d0832cb6847</v>
      </c>
      <c r="B70" s="16" t="str">
        <f>IFERROR(__xludf.DUMMYFUNCTION("""COMPUTED_VALUE"""),"The Personal Maid")</f>
        <v>The Personal Maid</v>
      </c>
      <c r="C70" s="16" t="str">
        <f>IFERROR(__xludf.DUMMYFUNCTION("""COMPUTED_VALUE"""),"Romance")</f>
        <v>Romance</v>
      </c>
      <c r="D70" s="16">
        <f>IFERROR(__xludf.DUMMYFUNCTION("""COMPUTED_VALUE"""),29.0)</f>
        <v>29</v>
      </c>
      <c r="E70" s="16">
        <f>IFERROR(__xludf.DUMMYFUNCTION("""COMPUTED_VALUE"""),0.827586206896551)</f>
        <v>0.8275862069</v>
      </c>
      <c r="F70" s="16">
        <f>IFERROR(__xludf.DUMMYFUNCTION("""COMPUTED_VALUE"""),0.413793103448275)</f>
        <v>0.4137931034</v>
      </c>
      <c r="G70" s="16">
        <f>IFERROR(__xludf.DUMMYFUNCTION("""COMPUTED_VALUE"""),0.310344827586206)</f>
        <v>0.3103448276</v>
      </c>
      <c r="H70" s="16">
        <f>IFERROR(__xludf.DUMMYFUNCTION("""COMPUTED_VALUE"""),0.310344827586206)</f>
        <v>0.3103448276</v>
      </c>
      <c r="I70" s="16">
        <f>IFERROR(__xludf.DUMMYFUNCTION("""COMPUTED_VALUE"""),0.344827586206896)</f>
        <v>0.3448275862</v>
      </c>
      <c r="J70" s="16">
        <f>IFERROR(__xludf.DUMMYFUNCTION("""COMPUTED_VALUE"""),0.310344827586206)</f>
        <v>0.3103448276</v>
      </c>
      <c r="K70" s="16">
        <f>IFERROR(__xludf.DUMMYFUNCTION("""COMPUTED_VALUE"""),0.241379310344827)</f>
        <v>0.2413793103</v>
      </c>
      <c r="L70" s="16">
        <f>IFERROR(__xludf.DUMMYFUNCTION("""COMPUTED_VALUE"""),0.206896551724137)</f>
        <v>0.2068965517</v>
      </c>
      <c r="M70" s="16">
        <f>IFERROR(__xludf.DUMMYFUNCTION("""COMPUTED_VALUE"""),0.172413793103448)</f>
        <v>0.1724137931</v>
      </c>
      <c r="N70" s="16">
        <f>IFERROR(__xludf.DUMMYFUNCTION("""COMPUTED_VALUE"""),0.172413793103448)</f>
        <v>0.1724137931</v>
      </c>
      <c r="O70" s="16">
        <f>IFERROR(__xludf.DUMMYFUNCTION("""COMPUTED_VALUE"""),0.142857142857142)</f>
        <v>0.1428571429</v>
      </c>
      <c r="P70" s="16">
        <f>IFERROR(__xludf.DUMMYFUNCTION("""COMPUTED_VALUE"""),0.178571428571428)</f>
        <v>0.1785714286</v>
      </c>
      <c r="Q70" s="16">
        <f>IFERROR(__xludf.DUMMYFUNCTION("""COMPUTED_VALUE"""),0.0526315789473684)</f>
        <v>0.05263157895</v>
      </c>
      <c r="R70" s="16">
        <f>IFERROR(__xludf.DUMMYFUNCTION("""COMPUTED_VALUE"""),0.0)</f>
        <v>0</v>
      </c>
      <c r="S70" s="16">
        <f>IFERROR(__xludf.DUMMYFUNCTION("""COMPUTED_VALUE"""),0.0)</f>
        <v>0</v>
      </c>
      <c r="T70" s="16">
        <f>IFERROR(__xludf.DUMMYFUNCTION("""COMPUTED_VALUE"""),0.0)</f>
        <v>0</v>
      </c>
      <c r="U70" s="16">
        <f>IFERROR(__xludf.DUMMYFUNCTION("""COMPUTED_VALUE"""),0.0)</f>
        <v>0</v>
      </c>
      <c r="V70" s="16">
        <f>IFERROR(__xludf.DUMMYFUNCTION("""COMPUTED_VALUE"""),0.0)</f>
        <v>0</v>
      </c>
      <c r="W70" s="16">
        <f>IFERROR(__xludf.DUMMYFUNCTION("""COMPUTED_VALUE"""),0.0)</f>
        <v>0</v>
      </c>
      <c r="X70" s="16">
        <f>IFERROR(__xludf.DUMMYFUNCTION("""COMPUTED_VALUE"""),0.0)</f>
        <v>0</v>
      </c>
      <c r="Y70" s="16">
        <f>IFERROR(__xludf.DUMMYFUNCTION("""COMPUTED_VALUE"""),0.0)</f>
        <v>0</v>
      </c>
      <c r="Z70" s="16">
        <f>IFERROR(__xludf.DUMMYFUNCTION("""COMPUTED_VALUE"""),0.0)</f>
        <v>0</v>
      </c>
      <c r="AA70" s="16">
        <f>IFERROR(__xludf.DUMMYFUNCTION("""COMPUTED_VALUE"""),0.0)</f>
        <v>0</v>
      </c>
      <c r="AB70" s="16">
        <f>IFERROR(__xludf.DUMMYFUNCTION("""COMPUTED_VALUE"""),0.0)</f>
        <v>0</v>
      </c>
      <c r="AC70" s="16">
        <f>IFERROR(__xludf.DUMMYFUNCTION("""COMPUTED_VALUE"""),0.0)</f>
        <v>0</v>
      </c>
      <c r="AD70" s="16">
        <f>IFERROR(__xludf.DUMMYFUNCTION("""COMPUTED_VALUE"""),0.0)</f>
        <v>0</v>
      </c>
      <c r="AE70" s="16">
        <f>IFERROR(__xludf.DUMMYFUNCTION("""COMPUTED_VALUE"""),0.0)</f>
        <v>0</v>
      </c>
      <c r="AF70" s="16">
        <f>IFERROR(__xludf.DUMMYFUNCTION("""COMPUTED_VALUE"""),0.0)</f>
        <v>0</v>
      </c>
      <c r="AG70" s="16">
        <f>IFERROR(__xludf.DUMMYFUNCTION("""COMPUTED_VALUE"""),0.0)</f>
        <v>0</v>
      </c>
      <c r="AH70" s="16">
        <f>IFERROR(__xludf.DUMMYFUNCTION("""COMPUTED_VALUE"""),0.0)</f>
        <v>0</v>
      </c>
    </row>
    <row r="71">
      <c r="A71" s="16" t="str">
        <f>IFERROR(__xludf.DUMMYFUNCTION("""COMPUTED_VALUE"""),"392537ffa8338eed285daa71798d35bcff2726a9")</f>
        <v>392537ffa8338eed285daa71798d35bcff2726a9</v>
      </c>
      <c r="B71" s="16" t="str">
        <f>IFERROR(__xludf.DUMMYFUNCTION("""COMPUTED_VALUE"""),"What the Dead Left Her")</f>
        <v>What the Dead Left Her</v>
      </c>
      <c r="C71" s="16" t="str">
        <f>IFERROR(__xludf.DUMMYFUNCTION("""COMPUTED_VALUE"""),"Drama")</f>
        <v>Drama</v>
      </c>
      <c r="D71" s="16">
        <f>IFERROR(__xludf.DUMMYFUNCTION("""COMPUTED_VALUE"""),4.0)</f>
        <v>4</v>
      </c>
      <c r="E71" s="16">
        <f>IFERROR(__xludf.DUMMYFUNCTION("""COMPUTED_VALUE"""),1.0)</f>
        <v>1</v>
      </c>
      <c r="F71" s="16">
        <f>IFERROR(__xludf.DUMMYFUNCTION("""COMPUTED_VALUE"""),0.75)</f>
        <v>0.75</v>
      </c>
      <c r="G71" s="16">
        <f>IFERROR(__xludf.DUMMYFUNCTION("""COMPUTED_VALUE"""),0.75)</f>
        <v>0.75</v>
      </c>
      <c r="H71" s="16">
        <f>IFERROR(__xludf.DUMMYFUNCTION("""COMPUTED_VALUE"""),0.75)</f>
        <v>0.75</v>
      </c>
      <c r="I71" s="16">
        <f>IFERROR(__xludf.DUMMYFUNCTION("""COMPUTED_VALUE"""),0.5)</f>
        <v>0.5</v>
      </c>
      <c r="J71" s="16">
        <f>IFERROR(__xludf.DUMMYFUNCTION("""COMPUTED_VALUE"""),0.0)</f>
        <v>0</v>
      </c>
      <c r="K71" s="16">
        <f>IFERROR(__xludf.DUMMYFUNCTION("""COMPUTED_VALUE"""),0.0)</f>
        <v>0</v>
      </c>
      <c r="L71" s="16">
        <f>IFERROR(__xludf.DUMMYFUNCTION("""COMPUTED_VALUE"""),0.0)</f>
        <v>0</v>
      </c>
      <c r="M71" s="16">
        <f>IFERROR(__xludf.DUMMYFUNCTION("""COMPUTED_VALUE"""),0.0)</f>
        <v>0</v>
      </c>
      <c r="N71" s="16">
        <f>IFERROR(__xludf.DUMMYFUNCTION("""COMPUTED_VALUE"""),0.0)</f>
        <v>0</v>
      </c>
      <c r="O71" s="16">
        <f>IFERROR(__xludf.DUMMYFUNCTION("""COMPUTED_VALUE"""),0.0)</f>
        <v>0</v>
      </c>
      <c r="P71" s="16">
        <f>IFERROR(__xludf.DUMMYFUNCTION("""COMPUTED_VALUE"""),0.0)</f>
        <v>0</v>
      </c>
      <c r="Q71" s="16">
        <f>IFERROR(__xludf.DUMMYFUNCTION("""COMPUTED_VALUE"""),0.0)</f>
        <v>0</v>
      </c>
      <c r="R71" s="16">
        <f>IFERROR(__xludf.DUMMYFUNCTION("""COMPUTED_VALUE"""),0.0)</f>
        <v>0</v>
      </c>
      <c r="S71" s="16">
        <f>IFERROR(__xludf.DUMMYFUNCTION("""COMPUTED_VALUE"""),0.0)</f>
        <v>0</v>
      </c>
      <c r="T71" s="16">
        <f>IFERROR(__xludf.DUMMYFUNCTION("""COMPUTED_VALUE"""),0.0)</f>
        <v>0</v>
      </c>
      <c r="U71" s="16">
        <f>IFERROR(__xludf.DUMMYFUNCTION("""COMPUTED_VALUE"""),0.0)</f>
        <v>0</v>
      </c>
      <c r="V71" s="16">
        <f>IFERROR(__xludf.DUMMYFUNCTION("""COMPUTED_VALUE"""),0.0)</f>
        <v>0</v>
      </c>
      <c r="W71" s="16">
        <f>IFERROR(__xludf.DUMMYFUNCTION("""COMPUTED_VALUE"""),0.0)</f>
        <v>0</v>
      </c>
      <c r="X71" s="16">
        <f>IFERROR(__xludf.DUMMYFUNCTION("""COMPUTED_VALUE"""),0.0)</f>
        <v>0</v>
      </c>
      <c r="Y71" s="16">
        <f>IFERROR(__xludf.DUMMYFUNCTION("""COMPUTED_VALUE"""),0.0)</f>
        <v>0</v>
      </c>
      <c r="Z71" s="16">
        <f>IFERROR(__xludf.DUMMYFUNCTION("""COMPUTED_VALUE"""),0.0)</f>
        <v>0</v>
      </c>
      <c r="AA71" s="16">
        <f>IFERROR(__xludf.DUMMYFUNCTION("""COMPUTED_VALUE"""),0.0)</f>
        <v>0</v>
      </c>
      <c r="AB71" s="16">
        <f>IFERROR(__xludf.DUMMYFUNCTION("""COMPUTED_VALUE"""),0.0)</f>
        <v>0</v>
      </c>
      <c r="AC71" s="16">
        <f>IFERROR(__xludf.DUMMYFUNCTION("""COMPUTED_VALUE"""),0.0)</f>
        <v>0</v>
      </c>
      <c r="AD71" s="16">
        <f>IFERROR(__xludf.DUMMYFUNCTION("""COMPUTED_VALUE"""),0.0)</f>
        <v>0</v>
      </c>
      <c r="AE71" s="16">
        <f>IFERROR(__xludf.DUMMYFUNCTION("""COMPUTED_VALUE"""),0.0)</f>
        <v>0</v>
      </c>
      <c r="AF71" s="16">
        <f>IFERROR(__xludf.DUMMYFUNCTION("""COMPUTED_VALUE"""),0.0)</f>
        <v>0</v>
      </c>
      <c r="AG71" s="16">
        <f>IFERROR(__xludf.DUMMYFUNCTION("""COMPUTED_VALUE"""),0.0)</f>
        <v>0</v>
      </c>
      <c r="AH71" s="16">
        <f>IFERROR(__xludf.DUMMYFUNCTION("""COMPUTED_VALUE"""),0.0)</f>
        <v>0</v>
      </c>
    </row>
    <row r="72">
      <c r="A72" s="16" t="str">
        <f>IFERROR(__xludf.DUMMYFUNCTION("""COMPUTED_VALUE"""),"3a6212d18e444c9585676ce7dba35b7111dd1613")</f>
        <v>3a6212d18e444c9585676ce7dba35b7111dd1613</v>
      </c>
      <c r="B72" s="16" t="str">
        <f>IFERROR(__xludf.DUMMYFUNCTION("""COMPUTED_VALUE"""),"King of Throne")</f>
        <v>King of Throne</v>
      </c>
      <c r="C72" s="16" t="str">
        <f>IFERROR(__xludf.DUMMYFUNCTION("""COMPUTED_VALUE"""),"Fantasy")</f>
        <v>Fantasy</v>
      </c>
      <c r="D72" s="16">
        <f>IFERROR(__xludf.DUMMYFUNCTION("""COMPUTED_VALUE"""),423.0)</f>
        <v>423</v>
      </c>
      <c r="E72" s="16">
        <f>IFERROR(__xludf.DUMMYFUNCTION("""COMPUTED_VALUE"""),0.992907801418439)</f>
        <v>0.9929078014</v>
      </c>
      <c r="F72" s="16">
        <f>IFERROR(__xludf.DUMMYFUNCTION("""COMPUTED_VALUE"""),0.444444444444444)</f>
        <v>0.4444444444</v>
      </c>
      <c r="G72" s="16">
        <f>IFERROR(__xludf.DUMMYFUNCTION("""COMPUTED_VALUE"""),0.382978723404255)</f>
        <v>0.3829787234</v>
      </c>
      <c r="H72" s="16">
        <f>IFERROR(__xludf.DUMMYFUNCTION("""COMPUTED_VALUE"""),0.366430260047281)</f>
        <v>0.36643026</v>
      </c>
      <c r="I72" s="16">
        <f>IFERROR(__xludf.DUMMYFUNCTION("""COMPUTED_VALUE"""),0.313253012048192)</f>
        <v>0.313253012</v>
      </c>
      <c r="J72" s="16">
        <f>IFERROR(__xludf.DUMMYFUNCTION("""COMPUTED_VALUE"""),0.289603960396039)</f>
        <v>0.2896039604</v>
      </c>
      <c r="K72" s="16">
        <f>IFERROR(__xludf.DUMMYFUNCTION("""COMPUTED_VALUE"""),0.269841269841269)</f>
        <v>0.2698412698</v>
      </c>
      <c r="L72" s="16">
        <f>IFERROR(__xludf.DUMMYFUNCTION("""COMPUTED_VALUE"""),0.265861027190332)</f>
        <v>0.2658610272</v>
      </c>
      <c r="M72" s="16">
        <f>IFERROR(__xludf.DUMMYFUNCTION("""COMPUTED_VALUE"""),0.269896193771626)</f>
        <v>0.2698961938</v>
      </c>
      <c r="N72" s="16">
        <f>IFERROR(__xludf.DUMMYFUNCTION("""COMPUTED_VALUE"""),0.273224043715847)</f>
        <v>0.2732240437</v>
      </c>
      <c r="O72" s="16">
        <f>IFERROR(__xludf.DUMMYFUNCTION("""COMPUTED_VALUE"""),0.0)</f>
        <v>0</v>
      </c>
      <c r="P72" s="16">
        <f>IFERROR(__xludf.DUMMYFUNCTION("""COMPUTED_VALUE"""),0.0)</f>
        <v>0</v>
      </c>
      <c r="Q72" s="16">
        <f>IFERROR(__xludf.DUMMYFUNCTION("""COMPUTED_VALUE"""),0.0)</f>
        <v>0</v>
      </c>
      <c r="R72" s="16">
        <f>IFERROR(__xludf.DUMMYFUNCTION("""COMPUTED_VALUE"""),0.0)</f>
        <v>0</v>
      </c>
      <c r="S72" s="16">
        <f>IFERROR(__xludf.DUMMYFUNCTION("""COMPUTED_VALUE"""),0.0)</f>
        <v>0</v>
      </c>
      <c r="T72" s="16">
        <f>IFERROR(__xludf.DUMMYFUNCTION("""COMPUTED_VALUE"""),0.0)</f>
        <v>0</v>
      </c>
      <c r="U72" s="16">
        <f>IFERROR(__xludf.DUMMYFUNCTION("""COMPUTED_VALUE"""),0.0)</f>
        <v>0</v>
      </c>
      <c r="V72" s="16">
        <f>IFERROR(__xludf.DUMMYFUNCTION("""COMPUTED_VALUE"""),0.0)</f>
        <v>0</v>
      </c>
      <c r="W72" s="16">
        <f>IFERROR(__xludf.DUMMYFUNCTION("""COMPUTED_VALUE"""),0.0)</f>
        <v>0</v>
      </c>
      <c r="X72" s="16">
        <f>IFERROR(__xludf.DUMMYFUNCTION("""COMPUTED_VALUE"""),0.0)</f>
        <v>0</v>
      </c>
      <c r="Y72" s="16">
        <f>IFERROR(__xludf.DUMMYFUNCTION("""COMPUTED_VALUE"""),0.0)</f>
        <v>0</v>
      </c>
      <c r="Z72" s="16">
        <f>IFERROR(__xludf.DUMMYFUNCTION("""COMPUTED_VALUE"""),0.0)</f>
        <v>0</v>
      </c>
      <c r="AA72" s="16">
        <f>IFERROR(__xludf.DUMMYFUNCTION("""COMPUTED_VALUE"""),0.0)</f>
        <v>0</v>
      </c>
      <c r="AB72" s="16">
        <f>IFERROR(__xludf.DUMMYFUNCTION("""COMPUTED_VALUE"""),0.0)</f>
        <v>0</v>
      </c>
      <c r="AC72" s="16">
        <f>IFERROR(__xludf.DUMMYFUNCTION("""COMPUTED_VALUE"""),0.0)</f>
        <v>0</v>
      </c>
      <c r="AD72" s="16">
        <f>IFERROR(__xludf.DUMMYFUNCTION("""COMPUTED_VALUE"""),0.0)</f>
        <v>0</v>
      </c>
      <c r="AE72" s="16">
        <f>IFERROR(__xludf.DUMMYFUNCTION("""COMPUTED_VALUE"""),0.0)</f>
        <v>0</v>
      </c>
      <c r="AF72" s="16">
        <f>IFERROR(__xludf.DUMMYFUNCTION("""COMPUTED_VALUE"""),0.0)</f>
        <v>0</v>
      </c>
      <c r="AG72" s="16">
        <f>IFERROR(__xludf.DUMMYFUNCTION("""COMPUTED_VALUE"""),0.0)</f>
        <v>0</v>
      </c>
      <c r="AH72" s="16">
        <f>IFERROR(__xludf.DUMMYFUNCTION("""COMPUTED_VALUE"""),0.0)</f>
        <v>0</v>
      </c>
    </row>
    <row r="73">
      <c r="A73" s="16" t="str">
        <f>IFERROR(__xludf.DUMMYFUNCTION("""COMPUTED_VALUE"""),"3b626e0d14c34edb82f4b215f3b8d2e50455bbdd")</f>
        <v>3b626e0d14c34edb82f4b215f3b8d2e50455bbdd</v>
      </c>
      <c r="B73" s="16" t="str">
        <f>IFERROR(__xludf.DUMMYFUNCTION("""COMPUTED_VALUE"""),"His Lady Boss Is a Mafia")</f>
        <v>His Lady Boss Is a Mafia</v>
      </c>
      <c r="C73" s="16" t="str">
        <f>IFERROR(__xludf.DUMMYFUNCTION("""COMPUTED_VALUE"""),"Romance")</f>
        <v>Romance</v>
      </c>
      <c r="D73" s="16">
        <f>IFERROR(__xludf.DUMMYFUNCTION("""COMPUTED_VALUE"""),501.0)</f>
        <v>501</v>
      </c>
      <c r="E73" s="16">
        <f>IFERROR(__xludf.DUMMYFUNCTION("""COMPUTED_VALUE"""),0.926147704590818)</f>
        <v>0.9261477046</v>
      </c>
      <c r="F73" s="16">
        <f>IFERROR(__xludf.DUMMYFUNCTION("""COMPUTED_VALUE"""),0.524950099800399)</f>
        <v>0.5249500998</v>
      </c>
      <c r="G73" s="16">
        <f>IFERROR(__xludf.DUMMYFUNCTION("""COMPUTED_VALUE"""),0.504990019960079)</f>
        <v>0.50499002</v>
      </c>
      <c r="H73" s="16">
        <f>IFERROR(__xludf.DUMMYFUNCTION("""COMPUTED_VALUE"""),0.456740442655935)</f>
        <v>0.4567404427</v>
      </c>
      <c r="I73" s="16">
        <f>IFERROR(__xludf.DUMMYFUNCTION("""COMPUTED_VALUE"""),0.42393509127789)</f>
        <v>0.4239350913</v>
      </c>
      <c r="J73" s="16">
        <f>IFERROR(__xludf.DUMMYFUNCTION("""COMPUTED_VALUE"""),0.398747390396659)</f>
        <v>0.3987473904</v>
      </c>
      <c r="K73" s="16">
        <f>IFERROR(__xludf.DUMMYFUNCTION("""COMPUTED_VALUE"""),0.363636363636363)</f>
        <v>0.3636363636</v>
      </c>
      <c r="L73" s="16">
        <f>IFERROR(__xludf.DUMMYFUNCTION("""COMPUTED_VALUE"""),0.361884368308351)</f>
        <v>0.3618843683</v>
      </c>
      <c r="M73" s="16">
        <f>IFERROR(__xludf.DUMMYFUNCTION("""COMPUTED_VALUE"""),0.370932754880694)</f>
        <v>0.3709327549</v>
      </c>
      <c r="N73" s="16">
        <f>IFERROR(__xludf.DUMMYFUNCTION("""COMPUTED_VALUE"""),0.352297592997811)</f>
        <v>0.352297593</v>
      </c>
      <c r="O73" s="16">
        <f>IFERROR(__xludf.DUMMYFUNCTION("""COMPUTED_VALUE"""),0.321100917431192)</f>
        <v>0.3211009174</v>
      </c>
      <c r="P73" s="16">
        <f>IFERROR(__xludf.DUMMYFUNCTION("""COMPUTED_VALUE"""),0.243559718969555)</f>
        <v>0.243559719</v>
      </c>
      <c r="Q73" s="16">
        <f>IFERROR(__xludf.DUMMYFUNCTION("""COMPUTED_VALUE"""),0.0)</f>
        <v>0</v>
      </c>
      <c r="R73" s="16">
        <f>IFERROR(__xludf.DUMMYFUNCTION("""COMPUTED_VALUE"""),0.0)</f>
        <v>0</v>
      </c>
      <c r="S73" s="16">
        <f>IFERROR(__xludf.DUMMYFUNCTION("""COMPUTED_VALUE"""),0.0)</f>
        <v>0</v>
      </c>
      <c r="T73" s="16">
        <f>IFERROR(__xludf.DUMMYFUNCTION("""COMPUTED_VALUE"""),0.0)</f>
        <v>0</v>
      </c>
      <c r="U73" s="16">
        <f>IFERROR(__xludf.DUMMYFUNCTION("""COMPUTED_VALUE"""),0.0)</f>
        <v>0</v>
      </c>
      <c r="V73" s="16">
        <f>IFERROR(__xludf.DUMMYFUNCTION("""COMPUTED_VALUE"""),0.0)</f>
        <v>0</v>
      </c>
      <c r="W73" s="16">
        <f>IFERROR(__xludf.DUMMYFUNCTION("""COMPUTED_VALUE"""),0.0)</f>
        <v>0</v>
      </c>
      <c r="X73" s="16">
        <f>IFERROR(__xludf.DUMMYFUNCTION("""COMPUTED_VALUE"""),0.0)</f>
        <v>0</v>
      </c>
      <c r="Y73" s="16">
        <f>IFERROR(__xludf.DUMMYFUNCTION("""COMPUTED_VALUE"""),0.0)</f>
        <v>0</v>
      </c>
      <c r="Z73" s="16">
        <f>IFERROR(__xludf.DUMMYFUNCTION("""COMPUTED_VALUE"""),0.0)</f>
        <v>0</v>
      </c>
      <c r="AA73" s="16">
        <f>IFERROR(__xludf.DUMMYFUNCTION("""COMPUTED_VALUE"""),0.0)</f>
        <v>0</v>
      </c>
      <c r="AB73" s="16">
        <f>IFERROR(__xludf.DUMMYFUNCTION("""COMPUTED_VALUE"""),0.0)</f>
        <v>0</v>
      </c>
      <c r="AC73" s="16">
        <f>IFERROR(__xludf.DUMMYFUNCTION("""COMPUTED_VALUE"""),0.0)</f>
        <v>0</v>
      </c>
      <c r="AD73" s="16">
        <f>IFERROR(__xludf.DUMMYFUNCTION("""COMPUTED_VALUE"""),0.0)</f>
        <v>0</v>
      </c>
      <c r="AE73" s="16">
        <f>IFERROR(__xludf.DUMMYFUNCTION("""COMPUTED_VALUE"""),0.0)</f>
        <v>0</v>
      </c>
      <c r="AF73" s="16">
        <f>IFERROR(__xludf.DUMMYFUNCTION("""COMPUTED_VALUE"""),0.0)</f>
        <v>0</v>
      </c>
      <c r="AG73" s="16">
        <f>IFERROR(__xludf.DUMMYFUNCTION("""COMPUTED_VALUE"""),0.0)</f>
        <v>0</v>
      </c>
      <c r="AH73" s="16">
        <f>IFERROR(__xludf.DUMMYFUNCTION("""COMPUTED_VALUE"""),0.0)</f>
        <v>0</v>
      </c>
    </row>
    <row r="74">
      <c r="A74" s="16" t="str">
        <f>IFERROR(__xludf.DUMMYFUNCTION("""COMPUTED_VALUE"""),"3c57dd9bd6f929bdb36d8716aa9f261a72778e24")</f>
        <v>3c57dd9bd6f929bdb36d8716aa9f261a72778e24</v>
      </c>
      <c r="B74" s="16" t="str">
        <f>IFERROR(__xludf.DUMMYFUNCTION("""COMPUTED_VALUE"""),"Resurrected as a Secret Billionaire Liam Carson")</f>
        <v>Resurrected as a Secret Billionaire Liam Carson</v>
      </c>
      <c r="C74" s="16" t="str">
        <f>IFERROR(__xludf.DUMMYFUNCTION("""COMPUTED_VALUE"""),"Fantasy")</f>
        <v>Fantasy</v>
      </c>
      <c r="D74" s="16">
        <f>IFERROR(__xludf.DUMMYFUNCTION("""COMPUTED_VALUE"""),25572.0)</f>
        <v>25572</v>
      </c>
      <c r="E74" s="16">
        <f>IFERROR(__xludf.DUMMYFUNCTION("""COMPUTED_VALUE"""),0.874432973564836)</f>
        <v>0.8744329736</v>
      </c>
      <c r="F74" s="16">
        <f>IFERROR(__xludf.DUMMYFUNCTION("""COMPUTED_VALUE"""),0.455498201157516)</f>
        <v>0.4554982012</v>
      </c>
      <c r="G74" s="16">
        <f>IFERROR(__xludf.DUMMYFUNCTION("""COMPUTED_VALUE"""),0.409823244173314)</f>
        <v>0.4098232442</v>
      </c>
      <c r="H74" s="16">
        <f>IFERROR(__xludf.DUMMYFUNCTION("""COMPUTED_VALUE"""),0.387413462666718)</f>
        <v>0.3874134627</v>
      </c>
      <c r="I74" s="16">
        <f>IFERROR(__xludf.DUMMYFUNCTION("""COMPUTED_VALUE"""),0.370969004383218)</f>
        <v>0.3709690044</v>
      </c>
      <c r="J74" s="16">
        <f>IFERROR(__xludf.DUMMYFUNCTION("""COMPUTED_VALUE"""),0.358777429467084)</f>
        <v>0.3587774295</v>
      </c>
      <c r="K74" s="16">
        <f>IFERROR(__xludf.DUMMYFUNCTION("""COMPUTED_VALUE"""),0.355070190573288)</f>
        <v>0.3550701906</v>
      </c>
      <c r="L74" s="16">
        <f>IFERROR(__xludf.DUMMYFUNCTION("""COMPUTED_VALUE"""),0.34794391422175)</f>
        <v>0.3479439142</v>
      </c>
      <c r="M74" s="16">
        <f>IFERROR(__xludf.DUMMYFUNCTION("""COMPUTED_VALUE"""),0.342048358561037)</f>
        <v>0.3420483586</v>
      </c>
      <c r="N74" s="16">
        <f>IFERROR(__xludf.DUMMYFUNCTION("""COMPUTED_VALUE"""),0.339002401480256)</f>
        <v>0.3390024015</v>
      </c>
      <c r="O74" s="16">
        <f>IFERROR(__xludf.DUMMYFUNCTION("""COMPUTED_VALUE"""),0.32378314206569)</f>
        <v>0.3237831421</v>
      </c>
      <c r="P74" s="16">
        <f>IFERROR(__xludf.DUMMYFUNCTION("""COMPUTED_VALUE"""),0.291756272401433)</f>
        <v>0.2917562724</v>
      </c>
      <c r="Q74" s="16">
        <f>IFERROR(__xludf.DUMMYFUNCTION("""COMPUTED_VALUE"""),0.241081517352703)</f>
        <v>0.2410815174</v>
      </c>
      <c r="R74" s="16">
        <f>IFERROR(__xludf.DUMMYFUNCTION("""COMPUTED_VALUE"""),0.208294406759007)</f>
        <v>0.2082944068</v>
      </c>
      <c r="S74" s="16">
        <f>IFERROR(__xludf.DUMMYFUNCTION("""COMPUTED_VALUE"""),0.172014879614111)</f>
        <v>0.1720148796</v>
      </c>
      <c r="T74" s="16">
        <f>IFERROR(__xludf.DUMMYFUNCTION("""COMPUTED_VALUE"""),0.150953498908521)</f>
        <v>0.1509534989</v>
      </c>
      <c r="U74" s="16">
        <f>IFERROR(__xludf.DUMMYFUNCTION("""COMPUTED_VALUE"""),0.138100740360337)</f>
        <v>0.1381007404</v>
      </c>
      <c r="V74" s="16">
        <f>IFERROR(__xludf.DUMMYFUNCTION("""COMPUTED_VALUE"""),0.126139817629179)</f>
        <v>0.1261398176</v>
      </c>
      <c r="W74" s="16">
        <f>IFERROR(__xludf.DUMMYFUNCTION("""COMPUTED_VALUE"""),0.12172342621259)</f>
        <v>0.1217234262</v>
      </c>
      <c r="X74" s="16">
        <f>IFERROR(__xludf.DUMMYFUNCTION("""COMPUTED_VALUE"""),0.0995536470987061)</f>
        <v>0.0995536471</v>
      </c>
      <c r="Y74" s="16">
        <f>IFERROR(__xludf.DUMMYFUNCTION("""COMPUTED_VALUE"""),0.0833068160122191)</f>
        <v>0.08330681601</v>
      </c>
      <c r="Z74" s="16">
        <f>IFERROR(__xludf.DUMMYFUNCTION("""COMPUTED_VALUE"""),0.0474556472220194)</f>
        <v>0.04745564722</v>
      </c>
      <c r="AA74" s="16">
        <f>IFERROR(__xludf.DUMMYFUNCTION("""COMPUTED_VALUE"""),0.043178334184977)</f>
        <v>0.04317833418</v>
      </c>
      <c r="AB74" s="16">
        <f>IFERROR(__xludf.DUMMYFUNCTION("""COMPUTED_VALUE"""),0.035015670593321)</f>
        <v>0.03501567059</v>
      </c>
      <c r="AC74" s="16">
        <f>IFERROR(__xludf.DUMMYFUNCTION("""COMPUTED_VALUE"""),0.026690888764673)</f>
        <v>0.02669088876</v>
      </c>
      <c r="AD74" s="16">
        <f>IFERROR(__xludf.DUMMYFUNCTION("""COMPUTED_VALUE"""),0.0260340632603406)</f>
        <v>0.02603406326</v>
      </c>
      <c r="AE74" s="16">
        <f>IFERROR(__xludf.DUMMYFUNCTION("""COMPUTED_VALUE"""),0.0196905766526019)</f>
        <v>0.01969057665</v>
      </c>
      <c r="AF74" s="16">
        <f>IFERROR(__xludf.DUMMYFUNCTION("""COMPUTED_VALUE"""),0.0)</f>
        <v>0</v>
      </c>
      <c r="AG74" s="16">
        <f>IFERROR(__xludf.DUMMYFUNCTION("""COMPUTED_VALUE"""),0.0)</f>
        <v>0</v>
      </c>
      <c r="AH74" s="16">
        <f>IFERROR(__xludf.DUMMYFUNCTION("""COMPUTED_VALUE"""),0.0)</f>
        <v>0</v>
      </c>
    </row>
    <row r="75">
      <c r="A75" s="16" t="str">
        <f>IFERROR(__xludf.DUMMYFUNCTION("""COMPUTED_VALUE"""),"4010f733ac400156fd9f4d75852b8ebdeabe1689")</f>
        <v>4010f733ac400156fd9f4d75852b8ebdeabe1689</v>
      </c>
      <c r="B75" s="16" t="str">
        <f>IFERROR(__xludf.DUMMYFUNCTION("""COMPUTED_VALUE"""),"My Ceo Husband's Secret")</f>
        <v>My Ceo Husband's Secret</v>
      </c>
      <c r="C75" s="16" t="str">
        <f>IFERROR(__xludf.DUMMYFUNCTION("""COMPUTED_VALUE"""),"Romance")</f>
        <v>Romance</v>
      </c>
      <c r="D75" s="16">
        <f>IFERROR(__xludf.DUMMYFUNCTION("""COMPUTED_VALUE"""),198.0)</f>
        <v>198</v>
      </c>
      <c r="E75" s="16">
        <f>IFERROR(__xludf.DUMMYFUNCTION("""COMPUTED_VALUE"""),0.959595959595959)</f>
        <v>0.9595959596</v>
      </c>
      <c r="F75" s="16">
        <f>IFERROR(__xludf.DUMMYFUNCTION("""COMPUTED_VALUE"""),0.616161616161616)</f>
        <v>0.6161616162</v>
      </c>
      <c r="G75" s="16">
        <f>IFERROR(__xludf.DUMMYFUNCTION("""COMPUTED_VALUE"""),0.527918781725888)</f>
        <v>0.5279187817</v>
      </c>
      <c r="H75" s="16">
        <f>IFERROR(__xludf.DUMMYFUNCTION("""COMPUTED_VALUE"""),0.49238578680203)</f>
        <v>0.4923857868</v>
      </c>
      <c r="I75" s="16">
        <f>IFERROR(__xludf.DUMMYFUNCTION("""COMPUTED_VALUE"""),0.477157360406091)</f>
        <v>0.4771573604</v>
      </c>
      <c r="J75" s="16">
        <f>IFERROR(__xludf.DUMMYFUNCTION("""COMPUTED_VALUE"""),0.436548223350253)</f>
        <v>0.4365482234</v>
      </c>
      <c r="K75" s="16">
        <f>IFERROR(__xludf.DUMMYFUNCTION("""COMPUTED_VALUE"""),0.403061224489795)</f>
        <v>0.4030612245</v>
      </c>
      <c r="L75" s="16">
        <f>IFERROR(__xludf.DUMMYFUNCTION("""COMPUTED_VALUE"""),0.372448979591836)</f>
        <v>0.3724489796</v>
      </c>
      <c r="M75" s="16">
        <f>IFERROR(__xludf.DUMMYFUNCTION("""COMPUTED_VALUE"""),0.35204081632653)</f>
        <v>0.3520408163</v>
      </c>
      <c r="N75" s="16">
        <f>IFERROR(__xludf.DUMMYFUNCTION("""COMPUTED_VALUE"""),0.336734693877551)</f>
        <v>0.3367346939</v>
      </c>
      <c r="O75" s="16">
        <f>IFERROR(__xludf.DUMMYFUNCTION("""COMPUTED_VALUE"""),0.302564102564102)</f>
        <v>0.3025641026</v>
      </c>
      <c r="P75" s="16">
        <f>IFERROR(__xludf.DUMMYFUNCTION("""COMPUTED_VALUE"""),0.274285714285714)</f>
        <v>0.2742857143</v>
      </c>
      <c r="Q75" s="16">
        <f>IFERROR(__xludf.DUMMYFUNCTION("""COMPUTED_VALUE"""),0.32520325203252)</f>
        <v>0.325203252</v>
      </c>
      <c r="R75" s="16">
        <f>IFERROR(__xludf.DUMMYFUNCTION("""COMPUTED_VALUE"""),0.305785123966942)</f>
        <v>0.305785124</v>
      </c>
      <c r="S75" s="16">
        <f>IFERROR(__xludf.DUMMYFUNCTION("""COMPUTED_VALUE"""),0.212765957446808)</f>
        <v>0.2127659574</v>
      </c>
      <c r="T75" s="16">
        <f>IFERROR(__xludf.DUMMYFUNCTION("""COMPUTED_VALUE"""),0.0961538461538461)</f>
        <v>0.09615384615</v>
      </c>
      <c r="U75" s="16">
        <f>IFERROR(__xludf.DUMMYFUNCTION("""COMPUTED_VALUE"""),0.166666666666666)</f>
        <v>0.1666666667</v>
      </c>
      <c r="V75" s="16">
        <f>IFERROR(__xludf.DUMMYFUNCTION("""COMPUTED_VALUE"""),0.0)</f>
        <v>0</v>
      </c>
      <c r="W75" s="16">
        <f>IFERROR(__xludf.DUMMYFUNCTION("""COMPUTED_VALUE"""),0.0)</f>
        <v>0</v>
      </c>
      <c r="X75" s="16">
        <f>IFERROR(__xludf.DUMMYFUNCTION("""COMPUTED_VALUE"""),0.0)</f>
        <v>0</v>
      </c>
      <c r="Y75" s="16">
        <f>IFERROR(__xludf.DUMMYFUNCTION("""COMPUTED_VALUE"""),0.0)</f>
        <v>0</v>
      </c>
      <c r="Z75" s="16">
        <f>IFERROR(__xludf.DUMMYFUNCTION("""COMPUTED_VALUE"""),0.0)</f>
        <v>0</v>
      </c>
      <c r="AA75" s="16">
        <f>IFERROR(__xludf.DUMMYFUNCTION("""COMPUTED_VALUE"""),0.0)</f>
        <v>0</v>
      </c>
      <c r="AB75" s="16">
        <f>IFERROR(__xludf.DUMMYFUNCTION("""COMPUTED_VALUE"""),0.0)</f>
        <v>0</v>
      </c>
      <c r="AC75" s="16">
        <f>IFERROR(__xludf.DUMMYFUNCTION("""COMPUTED_VALUE"""),0.0)</f>
        <v>0</v>
      </c>
      <c r="AD75" s="16">
        <f>IFERROR(__xludf.DUMMYFUNCTION("""COMPUTED_VALUE"""),0.0)</f>
        <v>0</v>
      </c>
      <c r="AE75" s="16">
        <f>IFERROR(__xludf.DUMMYFUNCTION("""COMPUTED_VALUE"""),0.0)</f>
        <v>0</v>
      </c>
      <c r="AF75" s="16">
        <f>IFERROR(__xludf.DUMMYFUNCTION("""COMPUTED_VALUE"""),0.0)</f>
        <v>0</v>
      </c>
      <c r="AG75" s="16">
        <f>IFERROR(__xludf.DUMMYFUNCTION("""COMPUTED_VALUE"""),0.0)</f>
        <v>0</v>
      </c>
      <c r="AH75" s="16">
        <f>IFERROR(__xludf.DUMMYFUNCTION("""COMPUTED_VALUE"""),0.0)</f>
        <v>0</v>
      </c>
    </row>
    <row r="76">
      <c r="A76" s="16" t="str">
        <f>IFERROR(__xludf.DUMMYFUNCTION("""COMPUTED_VALUE"""),"4056d8e031445adbb80d52b1fd723609be585a3b")</f>
        <v>4056d8e031445adbb80d52b1fd723609be585a3b</v>
      </c>
      <c r="B76" s="16" t="str">
        <f>IFERROR(__xludf.DUMMYFUNCTION("""COMPUTED_VALUE"""),"Only Boy on the Bus")</f>
        <v>Only Boy on the Bus</v>
      </c>
      <c r="C76" s="16" t="str">
        <f>IFERROR(__xludf.DUMMYFUNCTION("""COMPUTED_VALUE"""),"Fantasy")</f>
        <v>Fantasy</v>
      </c>
      <c r="D76" s="16">
        <f>IFERROR(__xludf.DUMMYFUNCTION("""COMPUTED_VALUE"""),588.0)</f>
        <v>588</v>
      </c>
      <c r="E76" s="16">
        <f>IFERROR(__xludf.DUMMYFUNCTION("""COMPUTED_VALUE"""),0.976190476190476)</f>
        <v>0.9761904762</v>
      </c>
      <c r="F76" s="16">
        <f>IFERROR(__xludf.DUMMYFUNCTION("""COMPUTED_VALUE"""),0.654761904761904)</f>
        <v>0.6547619048</v>
      </c>
      <c r="G76" s="16">
        <f>IFERROR(__xludf.DUMMYFUNCTION("""COMPUTED_VALUE"""),0.559523809523809)</f>
        <v>0.5595238095</v>
      </c>
      <c r="H76" s="16">
        <f>IFERROR(__xludf.DUMMYFUNCTION("""COMPUTED_VALUE"""),0.51360544217687)</f>
        <v>0.5136054422</v>
      </c>
      <c r="I76" s="16">
        <f>IFERROR(__xludf.DUMMYFUNCTION("""COMPUTED_VALUE"""),0.48469387755102)</f>
        <v>0.4846938776</v>
      </c>
      <c r="J76" s="16">
        <f>IFERROR(__xludf.DUMMYFUNCTION("""COMPUTED_VALUE"""),0.464285714285714)</f>
        <v>0.4642857143</v>
      </c>
      <c r="K76" s="16">
        <f>IFERROR(__xludf.DUMMYFUNCTION("""COMPUTED_VALUE"""),0.415672913117546)</f>
        <v>0.4156729131</v>
      </c>
      <c r="L76" s="16">
        <f>IFERROR(__xludf.DUMMYFUNCTION("""COMPUTED_VALUE"""),0.403747870528109)</f>
        <v>0.4037478705</v>
      </c>
      <c r="M76" s="16">
        <f>IFERROR(__xludf.DUMMYFUNCTION("""COMPUTED_VALUE"""),0.402044293015332)</f>
        <v>0.402044293</v>
      </c>
      <c r="N76" s="16">
        <f>IFERROR(__xludf.DUMMYFUNCTION("""COMPUTED_VALUE"""),0.393103448275862)</f>
        <v>0.3931034483</v>
      </c>
      <c r="O76" s="16">
        <f>IFERROR(__xludf.DUMMYFUNCTION("""COMPUTED_VALUE"""),0.377622377622377)</f>
        <v>0.3776223776</v>
      </c>
      <c r="P76" s="16">
        <f>IFERROR(__xludf.DUMMYFUNCTION("""COMPUTED_VALUE"""),0.302504816955684)</f>
        <v>0.302504817</v>
      </c>
      <c r="Q76" s="16">
        <f>IFERROR(__xludf.DUMMYFUNCTION("""COMPUTED_VALUE"""),0.0818505338078291)</f>
        <v>0.08185053381</v>
      </c>
      <c r="R76" s="16">
        <f>IFERROR(__xludf.DUMMYFUNCTION("""COMPUTED_VALUE"""),0.0)</f>
        <v>0</v>
      </c>
      <c r="S76" s="16">
        <f>IFERROR(__xludf.DUMMYFUNCTION("""COMPUTED_VALUE"""),0.0)</f>
        <v>0</v>
      </c>
      <c r="T76" s="16">
        <f>IFERROR(__xludf.DUMMYFUNCTION("""COMPUTED_VALUE"""),0.0)</f>
        <v>0</v>
      </c>
      <c r="U76" s="16">
        <f>IFERROR(__xludf.DUMMYFUNCTION("""COMPUTED_VALUE"""),0.0)</f>
        <v>0</v>
      </c>
      <c r="V76" s="16">
        <f>IFERROR(__xludf.DUMMYFUNCTION("""COMPUTED_VALUE"""),0.0)</f>
        <v>0</v>
      </c>
      <c r="W76" s="16">
        <f>IFERROR(__xludf.DUMMYFUNCTION("""COMPUTED_VALUE"""),0.0)</f>
        <v>0</v>
      </c>
      <c r="X76" s="16">
        <f>IFERROR(__xludf.DUMMYFUNCTION("""COMPUTED_VALUE"""),0.0)</f>
        <v>0</v>
      </c>
      <c r="Y76" s="16">
        <f>IFERROR(__xludf.DUMMYFUNCTION("""COMPUTED_VALUE"""),0.0)</f>
        <v>0</v>
      </c>
      <c r="Z76" s="16">
        <f>IFERROR(__xludf.DUMMYFUNCTION("""COMPUTED_VALUE"""),0.0)</f>
        <v>0</v>
      </c>
      <c r="AA76" s="16">
        <f>IFERROR(__xludf.DUMMYFUNCTION("""COMPUTED_VALUE"""),0.0)</f>
        <v>0</v>
      </c>
      <c r="AB76" s="16">
        <f>IFERROR(__xludf.DUMMYFUNCTION("""COMPUTED_VALUE"""),0.0)</f>
        <v>0</v>
      </c>
      <c r="AC76" s="16">
        <f>IFERROR(__xludf.DUMMYFUNCTION("""COMPUTED_VALUE"""),0.0)</f>
        <v>0</v>
      </c>
      <c r="AD76" s="16">
        <f>IFERROR(__xludf.DUMMYFUNCTION("""COMPUTED_VALUE"""),0.0)</f>
        <v>0</v>
      </c>
      <c r="AE76" s="16">
        <f>IFERROR(__xludf.DUMMYFUNCTION("""COMPUTED_VALUE"""),0.0)</f>
        <v>0</v>
      </c>
      <c r="AF76" s="16">
        <f>IFERROR(__xludf.DUMMYFUNCTION("""COMPUTED_VALUE"""),0.0)</f>
        <v>0</v>
      </c>
      <c r="AG76" s="16">
        <f>IFERROR(__xludf.DUMMYFUNCTION("""COMPUTED_VALUE"""),0.0)</f>
        <v>0</v>
      </c>
      <c r="AH76" s="16">
        <f>IFERROR(__xludf.DUMMYFUNCTION("""COMPUTED_VALUE"""),0.0)</f>
        <v>0</v>
      </c>
    </row>
    <row r="77">
      <c r="A77" s="16" t="str">
        <f>IFERROR(__xludf.DUMMYFUNCTION("""COMPUTED_VALUE"""),"40e06046d3679811f910f8beed9306369f59c60e")</f>
        <v>40e06046d3679811f910f8beed9306369f59c60e</v>
      </c>
      <c r="B77" s="16" t="str">
        <f>IFERROR(__xludf.DUMMYFUNCTION("""COMPUTED_VALUE"""),"Lycan Unity Academy")</f>
        <v>Lycan Unity Academy</v>
      </c>
      <c r="C77" s="16" t="str">
        <f>IFERROR(__xludf.DUMMYFUNCTION("""COMPUTED_VALUE"""),"Romantasy")</f>
        <v>Romantasy</v>
      </c>
      <c r="D77" s="16">
        <f>IFERROR(__xludf.DUMMYFUNCTION("""COMPUTED_VALUE"""),224.0)</f>
        <v>224</v>
      </c>
      <c r="E77" s="16">
        <f>IFERROR(__xludf.DUMMYFUNCTION("""COMPUTED_VALUE"""),0.982142857142857)</f>
        <v>0.9821428571</v>
      </c>
      <c r="F77" s="16">
        <f>IFERROR(__xludf.DUMMYFUNCTION("""COMPUTED_VALUE"""),0.53125)</f>
        <v>0.53125</v>
      </c>
      <c r="G77" s="16">
        <f>IFERROR(__xludf.DUMMYFUNCTION("""COMPUTED_VALUE"""),0.46875)</f>
        <v>0.46875</v>
      </c>
      <c r="H77" s="16">
        <f>IFERROR(__xludf.DUMMYFUNCTION("""COMPUTED_VALUE"""),0.433035714285714)</f>
        <v>0.4330357143</v>
      </c>
      <c r="I77" s="16">
        <f>IFERROR(__xludf.DUMMYFUNCTION("""COMPUTED_VALUE"""),0.401785714285714)</f>
        <v>0.4017857143</v>
      </c>
      <c r="J77" s="16">
        <f>IFERROR(__xludf.DUMMYFUNCTION("""COMPUTED_VALUE"""),0.375)</f>
        <v>0.375</v>
      </c>
      <c r="K77" s="16">
        <f>IFERROR(__xludf.DUMMYFUNCTION("""COMPUTED_VALUE"""),0.39366515837104)</f>
        <v>0.3936651584</v>
      </c>
      <c r="L77" s="16">
        <f>IFERROR(__xludf.DUMMYFUNCTION("""COMPUTED_VALUE"""),0.375565610859728)</f>
        <v>0.3755656109</v>
      </c>
      <c r="M77" s="16">
        <f>IFERROR(__xludf.DUMMYFUNCTION("""COMPUTED_VALUE"""),0.325791855203619)</f>
        <v>0.3257918552</v>
      </c>
      <c r="N77" s="16">
        <f>IFERROR(__xludf.DUMMYFUNCTION("""COMPUTED_VALUE"""),0.303167420814479)</f>
        <v>0.3031674208</v>
      </c>
      <c r="O77" s="16">
        <f>IFERROR(__xludf.DUMMYFUNCTION("""COMPUTED_VALUE"""),0.246305418719211)</f>
        <v>0.2463054187</v>
      </c>
      <c r="P77" s="16">
        <f>IFERROR(__xludf.DUMMYFUNCTION("""COMPUTED_VALUE"""),0.174358974358974)</f>
        <v>0.1743589744</v>
      </c>
      <c r="Q77" s="16">
        <f>IFERROR(__xludf.DUMMYFUNCTION("""COMPUTED_VALUE"""),0.087719298245614)</f>
        <v>0.08771929825</v>
      </c>
      <c r="R77" s="16">
        <f>IFERROR(__xludf.DUMMYFUNCTION("""COMPUTED_VALUE"""),0.0769230769230769)</f>
        <v>0.07692307692</v>
      </c>
      <c r="S77" s="16">
        <f>IFERROR(__xludf.DUMMYFUNCTION("""COMPUTED_VALUE"""),0.0)</f>
        <v>0</v>
      </c>
      <c r="T77" s="16">
        <f>IFERROR(__xludf.DUMMYFUNCTION("""COMPUTED_VALUE"""),0.0)</f>
        <v>0</v>
      </c>
      <c r="U77" s="16">
        <f>IFERROR(__xludf.DUMMYFUNCTION("""COMPUTED_VALUE"""),0.0)</f>
        <v>0</v>
      </c>
      <c r="V77" s="16">
        <f>IFERROR(__xludf.DUMMYFUNCTION("""COMPUTED_VALUE"""),0.0)</f>
        <v>0</v>
      </c>
      <c r="W77" s="16">
        <f>IFERROR(__xludf.DUMMYFUNCTION("""COMPUTED_VALUE"""),0.0)</f>
        <v>0</v>
      </c>
      <c r="X77" s="16">
        <f>IFERROR(__xludf.DUMMYFUNCTION("""COMPUTED_VALUE"""),0.0)</f>
        <v>0</v>
      </c>
      <c r="Y77" s="16">
        <f>IFERROR(__xludf.DUMMYFUNCTION("""COMPUTED_VALUE"""),0.0)</f>
        <v>0</v>
      </c>
      <c r="Z77" s="16">
        <f>IFERROR(__xludf.DUMMYFUNCTION("""COMPUTED_VALUE"""),0.0)</f>
        <v>0</v>
      </c>
      <c r="AA77" s="16">
        <f>IFERROR(__xludf.DUMMYFUNCTION("""COMPUTED_VALUE"""),0.0)</f>
        <v>0</v>
      </c>
      <c r="AB77" s="16">
        <f>IFERROR(__xludf.DUMMYFUNCTION("""COMPUTED_VALUE"""),0.0)</f>
        <v>0</v>
      </c>
      <c r="AC77" s="16">
        <f>IFERROR(__xludf.DUMMYFUNCTION("""COMPUTED_VALUE"""),0.0)</f>
        <v>0</v>
      </c>
      <c r="AD77" s="16">
        <f>IFERROR(__xludf.DUMMYFUNCTION("""COMPUTED_VALUE"""),0.0)</f>
        <v>0</v>
      </c>
      <c r="AE77" s="16">
        <f>IFERROR(__xludf.DUMMYFUNCTION("""COMPUTED_VALUE"""),0.0)</f>
        <v>0</v>
      </c>
      <c r="AF77" s="16">
        <f>IFERROR(__xludf.DUMMYFUNCTION("""COMPUTED_VALUE"""),0.0)</f>
        <v>0</v>
      </c>
      <c r="AG77" s="16">
        <f>IFERROR(__xludf.DUMMYFUNCTION("""COMPUTED_VALUE"""),0.0)</f>
        <v>0</v>
      </c>
      <c r="AH77" s="16">
        <f>IFERROR(__xludf.DUMMYFUNCTION("""COMPUTED_VALUE"""),0.0)</f>
        <v>0</v>
      </c>
    </row>
    <row r="78">
      <c r="A78" s="16" t="str">
        <f>IFERROR(__xludf.DUMMYFUNCTION("""COMPUTED_VALUE"""),"41afeacb4e481e249d618ae39936f1173864e026")</f>
        <v>41afeacb4e481e249d618ae39936f1173864e026</v>
      </c>
      <c r="B78" s="16" t="str">
        <f>IFERROR(__xludf.DUMMYFUNCTION("""COMPUTED_VALUE"""),"Disguised Successor")</f>
        <v>Disguised Successor</v>
      </c>
      <c r="C78" s="16" t="str">
        <f>IFERROR(__xludf.DUMMYFUNCTION("""COMPUTED_VALUE"""),"Drama")</f>
        <v>Drama</v>
      </c>
      <c r="D78" s="16">
        <f>IFERROR(__xludf.DUMMYFUNCTION("""COMPUTED_VALUE"""),760.0)</f>
        <v>760</v>
      </c>
      <c r="E78" s="16">
        <f>IFERROR(__xludf.DUMMYFUNCTION("""COMPUTED_VALUE"""),0.952631578947368)</f>
        <v>0.9526315789</v>
      </c>
      <c r="F78" s="16">
        <f>IFERROR(__xludf.DUMMYFUNCTION("""COMPUTED_VALUE"""),0.689473684210526)</f>
        <v>0.6894736842</v>
      </c>
      <c r="G78" s="16">
        <f>IFERROR(__xludf.DUMMYFUNCTION("""COMPUTED_VALUE"""),0.626315789473684)</f>
        <v>0.6263157895</v>
      </c>
      <c r="H78" s="16">
        <f>IFERROR(__xludf.DUMMYFUNCTION("""COMPUTED_VALUE"""),0.594736842105263)</f>
        <v>0.5947368421</v>
      </c>
      <c r="I78" s="16">
        <f>IFERROR(__xludf.DUMMYFUNCTION("""COMPUTED_VALUE"""),0.569736842105263)</f>
        <v>0.5697368421</v>
      </c>
      <c r="J78" s="16">
        <f>IFERROR(__xludf.DUMMYFUNCTION("""COMPUTED_VALUE"""),0.535620052770448)</f>
        <v>0.5356200528</v>
      </c>
      <c r="K78" s="16">
        <f>IFERROR(__xludf.DUMMYFUNCTION("""COMPUTED_VALUE"""),0.505960264900662)</f>
        <v>0.5059602649</v>
      </c>
      <c r="L78" s="16">
        <f>IFERROR(__xludf.DUMMYFUNCTION("""COMPUTED_VALUE"""),0.486737400530503)</f>
        <v>0.4867374005</v>
      </c>
      <c r="M78" s="16">
        <f>IFERROR(__xludf.DUMMYFUNCTION("""COMPUTED_VALUE"""),0.45816733067729)</f>
        <v>0.4581673307</v>
      </c>
      <c r="N78" s="16">
        <f>IFERROR(__xludf.DUMMYFUNCTION("""COMPUTED_VALUE"""),0.428191489361702)</f>
        <v>0.4281914894</v>
      </c>
      <c r="O78" s="16">
        <f>IFERROR(__xludf.DUMMYFUNCTION("""COMPUTED_VALUE"""),0.34763948497854)</f>
        <v>0.347639485</v>
      </c>
      <c r="P78" s="16">
        <f>IFERROR(__xludf.DUMMYFUNCTION("""COMPUTED_VALUE"""),0.242225859247135)</f>
        <v>0.2422258592</v>
      </c>
      <c r="Q78" s="16">
        <f>IFERROR(__xludf.DUMMYFUNCTION("""COMPUTED_VALUE"""),0.143418467583497)</f>
        <v>0.1434184676</v>
      </c>
      <c r="R78" s="16">
        <f>IFERROR(__xludf.DUMMYFUNCTION("""COMPUTED_VALUE"""),0.0771349862258953)</f>
        <v>0.07713498623</v>
      </c>
      <c r="S78" s="16">
        <f>IFERROR(__xludf.DUMMYFUNCTION("""COMPUTED_VALUE"""),0.0)</f>
        <v>0</v>
      </c>
      <c r="T78" s="16">
        <f>IFERROR(__xludf.DUMMYFUNCTION("""COMPUTED_VALUE"""),0.0)</f>
        <v>0</v>
      </c>
      <c r="U78" s="16">
        <f>IFERROR(__xludf.DUMMYFUNCTION("""COMPUTED_VALUE"""),0.0)</f>
        <v>0</v>
      </c>
      <c r="V78" s="16">
        <f>IFERROR(__xludf.DUMMYFUNCTION("""COMPUTED_VALUE"""),0.0)</f>
        <v>0</v>
      </c>
      <c r="W78" s="16">
        <f>IFERROR(__xludf.DUMMYFUNCTION("""COMPUTED_VALUE"""),0.0)</f>
        <v>0</v>
      </c>
      <c r="X78" s="16">
        <f>IFERROR(__xludf.DUMMYFUNCTION("""COMPUTED_VALUE"""),0.0)</f>
        <v>0</v>
      </c>
      <c r="Y78" s="16">
        <f>IFERROR(__xludf.DUMMYFUNCTION("""COMPUTED_VALUE"""),0.0)</f>
        <v>0</v>
      </c>
      <c r="Z78" s="16">
        <f>IFERROR(__xludf.DUMMYFUNCTION("""COMPUTED_VALUE"""),0.0)</f>
        <v>0</v>
      </c>
      <c r="AA78" s="16">
        <f>IFERROR(__xludf.DUMMYFUNCTION("""COMPUTED_VALUE"""),0.0)</f>
        <v>0</v>
      </c>
      <c r="AB78" s="16">
        <f>IFERROR(__xludf.DUMMYFUNCTION("""COMPUTED_VALUE"""),0.0)</f>
        <v>0</v>
      </c>
      <c r="AC78" s="16">
        <f>IFERROR(__xludf.DUMMYFUNCTION("""COMPUTED_VALUE"""),0.0)</f>
        <v>0</v>
      </c>
      <c r="AD78" s="16">
        <f>IFERROR(__xludf.DUMMYFUNCTION("""COMPUTED_VALUE"""),0.0)</f>
        <v>0</v>
      </c>
      <c r="AE78" s="16">
        <f>IFERROR(__xludf.DUMMYFUNCTION("""COMPUTED_VALUE"""),0.0)</f>
        <v>0</v>
      </c>
      <c r="AF78" s="16">
        <f>IFERROR(__xludf.DUMMYFUNCTION("""COMPUTED_VALUE"""),0.0)</f>
        <v>0</v>
      </c>
      <c r="AG78" s="16">
        <f>IFERROR(__xludf.DUMMYFUNCTION("""COMPUTED_VALUE"""),0.0)</f>
        <v>0</v>
      </c>
      <c r="AH78" s="16">
        <f>IFERROR(__xludf.DUMMYFUNCTION("""COMPUTED_VALUE"""),0.0)</f>
        <v>0</v>
      </c>
    </row>
    <row r="79">
      <c r="A79" s="16" t="str">
        <f>IFERROR(__xludf.DUMMYFUNCTION("""COMPUTED_VALUE"""),"41fe3152f98c34f655d93ac2fc85bf506eac3371")</f>
        <v>41fe3152f98c34f655d93ac2fc85bf506eac3371</v>
      </c>
      <c r="B79" s="16" t="str">
        <f>IFERROR(__xludf.DUMMYFUNCTION("""COMPUTED_VALUE"""),"Owen &amp; Liam")</f>
        <v>Owen &amp; Liam</v>
      </c>
      <c r="C79" s="16" t="str">
        <f>IFERROR(__xludf.DUMMYFUNCTION("""COMPUTED_VALUE"""),"Romance")</f>
        <v>Romance</v>
      </c>
      <c r="D79" s="16">
        <f>IFERROR(__xludf.DUMMYFUNCTION("""COMPUTED_VALUE"""),3070.0)</f>
        <v>3070</v>
      </c>
      <c r="E79" s="16">
        <f>IFERROR(__xludf.DUMMYFUNCTION("""COMPUTED_VALUE"""),0.905537459283387)</f>
        <v>0.9055374593</v>
      </c>
      <c r="F79" s="16">
        <f>IFERROR(__xludf.DUMMYFUNCTION("""COMPUTED_VALUE"""),0.440065146579804)</f>
        <v>0.4400651466</v>
      </c>
      <c r="G79" s="16">
        <f>IFERROR(__xludf.DUMMYFUNCTION("""COMPUTED_VALUE"""),0.355048859934853)</f>
        <v>0.3550488599</v>
      </c>
      <c r="H79" s="16">
        <f>IFERROR(__xludf.DUMMYFUNCTION("""COMPUTED_VALUE"""),0.313029315960912)</f>
        <v>0.313029316</v>
      </c>
      <c r="I79" s="16">
        <f>IFERROR(__xludf.DUMMYFUNCTION("""COMPUTED_VALUE"""),0.288787483702737)</f>
        <v>0.2887874837</v>
      </c>
      <c r="J79" s="16">
        <f>IFERROR(__xludf.DUMMYFUNCTION("""COMPUTED_VALUE"""),0.271838331160365)</f>
        <v>0.2718383312</v>
      </c>
      <c r="K79" s="16">
        <f>IFERROR(__xludf.DUMMYFUNCTION("""COMPUTED_VALUE"""),0.254563233376792)</f>
        <v>0.2545632334</v>
      </c>
      <c r="L79" s="16">
        <f>IFERROR(__xludf.DUMMYFUNCTION("""COMPUTED_VALUE"""),0.244292237442922)</f>
        <v>0.2442922374</v>
      </c>
      <c r="M79" s="16">
        <f>IFERROR(__xludf.DUMMYFUNCTION("""COMPUTED_VALUE"""),0.231245923026744)</f>
        <v>0.231245923</v>
      </c>
      <c r="N79" s="16">
        <f>IFERROR(__xludf.DUMMYFUNCTION("""COMPUTED_VALUE"""),0.223491027732463)</f>
        <v>0.2234910277</v>
      </c>
      <c r="O79" s="16">
        <f>IFERROR(__xludf.DUMMYFUNCTION("""COMPUTED_VALUE"""),0.198563030698889)</f>
        <v>0.1985630307</v>
      </c>
      <c r="P79" s="16">
        <f>IFERROR(__xludf.DUMMYFUNCTION("""COMPUTED_VALUE"""),0.158600392413342)</f>
        <v>0.1586003924</v>
      </c>
      <c r="Q79" s="16">
        <f>IFERROR(__xludf.DUMMYFUNCTION("""COMPUTED_VALUE"""),0.122222222222222)</f>
        <v>0.1222222222</v>
      </c>
      <c r="R79" s="16">
        <f>IFERROR(__xludf.DUMMYFUNCTION("""COMPUTED_VALUE"""),0.0952166064981949)</f>
        <v>0.0952166065</v>
      </c>
      <c r="S79" s="16">
        <f>IFERROR(__xludf.DUMMYFUNCTION("""COMPUTED_VALUE"""),0.102788844621513)</f>
        <v>0.1027888446</v>
      </c>
      <c r="T79" s="16">
        <f>IFERROR(__xludf.DUMMYFUNCTION("""COMPUTED_VALUE"""),0.105046343975283)</f>
        <v>0.105046344</v>
      </c>
      <c r="U79" s="16">
        <f>IFERROR(__xludf.DUMMYFUNCTION("""COMPUTED_VALUE"""),0.102473498233215)</f>
        <v>0.1024734982</v>
      </c>
      <c r="V79" s="16">
        <f>IFERROR(__xludf.DUMMYFUNCTION("""COMPUTED_VALUE"""),0.0960526315789473)</f>
        <v>0.09605263158</v>
      </c>
      <c r="W79" s="16">
        <f>IFERROR(__xludf.DUMMYFUNCTION("""COMPUTED_VALUE"""),0.0814479638009049)</f>
        <v>0.0814479638</v>
      </c>
      <c r="X79" s="16">
        <f>IFERROR(__xludf.DUMMYFUNCTION("""COMPUTED_VALUE"""),0.0891938250428816)</f>
        <v>0.08919382504</v>
      </c>
      <c r="Y79" s="16">
        <f>IFERROR(__xludf.DUMMYFUNCTION("""COMPUTED_VALUE"""),0.0714285714285714)</f>
        <v>0.07142857143</v>
      </c>
      <c r="Z79" s="16">
        <f>IFERROR(__xludf.DUMMYFUNCTION("""COMPUTED_VALUE"""),0.0621761658031088)</f>
        <v>0.0621761658</v>
      </c>
      <c r="AA79" s="16">
        <f>IFERROR(__xludf.DUMMYFUNCTION("""COMPUTED_VALUE"""),0.0423728813559322)</f>
        <v>0.04237288136</v>
      </c>
      <c r="AB79" s="16">
        <f>IFERROR(__xludf.DUMMYFUNCTION("""COMPUTED_VALUE"""),0.15)</f>
        <v>0.15</v>
      </c>
      <c r="AC79" s="16">
        <f>IFERROR(__xludf.DUMMYFUNCTION("""COMPUTED_VALUE"""),0.25)</f>
        <v>0.25</v>
      </c>
      <c r="AD79" s="16">
        <f>IFERROR(__xludf.DUMMYFUNCTION("""COMPUTED_VALUE"""),1.0)</f>
        <v>1</v>
      </c>
      <c r="AE79" s="16">
        <f>IFERROR(__xludf.DUMMYFUNCTION("""COMPUTED_VALUE"""),0.0)</f>
        <v>0</v>
      </c>
      <c r="AF79" s="16">
        <f>IFERROR(__xludf.DUMMYFUNCTION("""COMPUTED_VALUE"""),0.0)</f>
        <v>0</v>
      </c>
      <c r="AG79" s="16">
        <f>IFERROR(__xludf.DUMMYFUNCTION("""COMPUTED_VALUE"""),0.0)</f>
        <v>0</v>
      </c>
      <c r="AH79" s="16">
        <f>IFERROR(__xludf.DUMMYFUNCTION("""COMPUTED_VALUE"""),0.0)</f>
        <v>0</v>
      </c>
    </row>
    <row r="80">
      <c r="A80" s="16" t="str">
        <f>IFERROR(__xludf.DUMMYFUNCTION("""COMPUTED_VALUE"""),"424b450dc35cc4bf4fc088069830e978aa97884a")</f>
        <v>424b450dc35cc4bf4fc088069830e978aa97884a</v>
      </c>
      <c r="B80" s="16" t="str">
        <f>IFERROR(__xludf.DUMMYFUNCTION("""COMPUTED_VALUE"""),"The Alpha's Witch")</f>
        <v>The Alpha's Witch</v>
      </c>
      <c r="C80" s="16" t="str">
        <f>IFERROR(__xludf.DUMMYFUNCTION("""COMPUTED_VALUE"""),"Romantasy")</f>
        <v>Romantasy</v>
      </c>
      <c r="D80" s="16">
        <f>IFERROR(__xludf.DUMMYFUNCTION("""COMPUTED_VALUE"""),484.0)</f>
        <v>484</v>
      </c>
      <c r="E80" s="16">
        <f>IFERROR(__xludf.DUMMYFUNCTION("""COMPUTED_VALUE"""),0.983471074380165)</f>
        <v>0.9834710744</v>
      </c>
      <c r="F80" s="16">
        <f>IFERROR(__xludf.DUMMYFUNCTION("""COMPUTED_VALUE"""),0.547520661157024)</f>
        <v>0.5475206612</v>
      </c>
      <c r="G80" s="16">
        <f>IFERROR(__xludf.DUMMYFUNCTION("""COMPUTED_VALUE"""),0.456611570247933)</f>
        <v>0.4566115702</v>
      </c>
      <c r="H80" s="16">
        <f>IFERROR(__xludf.DUMMYFUNCTION("""COMPUTED_VALUE"""),0.392561983471074)</f>
        <v>0.3925619835</v>
      </c>
      <c r="I80" s="16">
        <f>IFERROR(__xludf.DUMMYFUNCTION("""COMPUTED_VALUE"""),0.357438016528925)</f>
        <v>0.3574380165</v>
      </c>
      <c r="J80" s="16">
        <f>IFERROR(__xludf.DUMMYFUNCTION("""COMPUTED_VALUE"""),0.343685300207039)</f>
        <v>0.3436853002</v>
      </c>
      <c r="K80" s="16">
        <f>IFERROR(__xludf.DUMMYFUNCTION("""COMPUTED_VALUE"""),0.325051759834368)</f>
        <v>0.3250517598</v>
      </c>
      <c r="L80" s="16">
        <f>IFERROR(__xludf.DUMMYFUNCTION("""COMPUTED_VALUE"""),0.325726141078838)</f>
        <v>0.3257261411</v>
      </c>
      <c r="M80" s="16">
        <f>IFERROR(__xludf.DUMMYFUNCTION("""COMPUTED_VALUE"""),0.31875)</f>
        <v>0.31875</v>
      </c>
      <c r="N80" s="16">
        <f>IFERROR(__xludf.DUMMYFUNCTION("""COMPUTED_VALUE"""),0.289583333333333)</f>
        <v>0.2895833333</v>
      </c>
      <c r="O80" s="16">
        <f>IFERROR(__xludf.DUMMYFUNCTION("""COMPUTED_VALUE"""),0.172043010752688)</f>
        <v>0.1720430108</v>
      </c>
      <c r="P80" s="16">
        <f>IFERROR(__xludf.DUMMYFUNCTION("""COMPUTED_VALUE"""),0.145496535796766)</f>
        <v>0.1454965358</v>
      </c>
      <c r="Q80" s="16">
        <f>IFERROR(__xludf.DUMMYFUNCTION("""COMPUTED_VALUE"""),0.118055555555555)</f>
        <v>0.1180555556</v>
      </c>
      <c r="R80" s="16">
        <f>IFERROR(__xludf.DUMMYFUNCTION("""COMPUTED_VALUE"""),0.119718309859154)</f>
        <v>0.1197183099</v>
      </c>
      <c r="S80" s="16">
        <f>IFERROR(__xludf.DUMMYFUNCTION("""COMPUTED_VALUE"""),0.0)</f>
        <v>0</v>
      </c>
      <c r="T80" s="16">
        <f>IFERROR(__xludf.DUMMYFUNCTION("""COMPUTED_VALUE"""),0.0)</f>
        <v>0</v>
      </c>
      <c r="U80" s="16">
        <f>IFERROR(__xludf.DUMMYFUNCTION("""COMPUTED_VALUE"""),0.0)</f>
        <v>0</v>
      </c>
      <c r="V80" s="16">
        <f>IFERROR(__xludf.DUMMYFUNCTION("""COMPUTED_VALUE"""),0.0)</f>
        <v>0</v>
      </c>
      <c r="W80" s="16">
        <f>IFERROR(__xludf.DUMMYFUNCTION("""COMPUTED_VALUE"""),0.0)</f>
        <v>0</v>
      </c>
      <c r="X80" s="16">
        <f>IFERROR(__xludf.DUMMYFUNCTION("""COMPUTED_VALUE"""),0.0)</f>
        <v>0</v>
      </c>
      <c r="Y80" s="16">
        <f>IFERROR(__xludf.DUMMYFUNCTION("""COMPUTED_VALUE"""),0.0)</f>
        <v>0</v>
      </c>
      <c r="Z80" s="16">
        <f>IFERROR(__xludf.DUMMYFUNCTION("""COMPUTED_VALUE"""),0.0)</f>
        <v>0</v>
      </c>
      <c r="AA80" s="16">
        <f>IFERROR(__xludf.DUMMYFUNCTION("""COMPUTED_VALUE"""),0.0)</f>
        <v>0</v>
      </c>
      <c r="AB80" s="16">
        <f>IFERROR(__xludf.DUMMYFUNCTION("""COMPUTED_VALUE"""),0.0)</f>
        <v>0</v>
      </c>
      <c r="AC80" s="16">
        <f>IFERROR(__xludf.DUMMYFUNCTION("""COMPUTED_VALUE"""),0.0)</f>
        <v>0</v>
      </c>
      <c r="AD80" s="16">
        <f>IFERROR(__xludf.DUMMYFUNCTION("""COMPUTED_VALUE"""),0.0)</f>
        <v>0</v>
      </c>
      <c r="AE80" s="16">
        <f>IFERROR(__xludf.DUMMYFUNCTION("""COMPUTED_VALUE"""),0.0)</f>
        <v>0</v>
      </c>
      <c r="AF80" s="16">
        <f>IFERROR(__xludf.DUMMYFUNCTION("""COMPUTED_VALUE"""),0.0)</f>
        <v>0</v>
      </c>
      <c r="AG80" s="16">
        <f>IFERROR(__xludf.DUMMYFUNCTION("""COMPUTED_VALUE"""),0.0)</f>
        <v>0</v>
      </c>
      <c r="AH80" s="16">
        <f>IFERROR(__xludf.DUMMYFUNCTION("""COMPUTED_VALUE"""),0.0)</f>
        <v>0</v>
      </c>
    </row>
    <row r="81">
      <c r="A81" s="16" t="str">
        <f>IFERROR(__xludf.DUMMYFUNCTION("""COMPUTED_VALUE"""),"42515091e7b47b7b2d2381d7512fdb9f9866aa1e")</f>
        <v>42515091e7b47b7b2d2381d7512fdb9f9866aa1e</v>
      </c>
      <c r="B81" s="16" t="str">
        <f>IFERROR(__xludf.DUMMYFUNCTION("""COMPUTED_VALUE"""),"The Tomboy Love Story")</f>
        <v>The Tomboy Love Story</v>
      </c>
      <c r="C81" s="16" t="str">
        <f>IFERROR(__xludf.DUMMYFUNCTION("""COMPUTED_VALUE"""),"Romance")</f>
        <v>Romance</v>
      </c>
      <c r="D81" s="16">
        <f>IFERROR(__xludf.DUMMYFUNCTION("""COMPUTED_VALUE"""),605.0)</f>
        <v>605</v>
      </c>
      <c r="E81" s="16">
        <f>IFERROR(__xludf.DUMMYFUNCTION("""COMPUTED_VALUE"""),0.960330578512396)</f>
        <v>0.9603305785</v>
      </c>
      <c r="F81" s="16">
        <f>IFERROR(__xludf.DUMMYFUNCTION("""COMPUTED_VALUE"""),0.514049586776859)</f>
        <v>0.5140495868</v>
      </c>
      <c r="G81" s="16">
        <f>IFERROR(__xludf.DUMMYFUNCTION("""COMPUTED_VALUE"""),0.434710743801652)</f>
        <v>0.4347107438</v>
      </c>
      <c r="H81" s="16">
        <f>IFERROR(__xludf.DUMMYFUNCTION("""COMPUTED_VALUE"""),0.402317880794702)</f>
        <v>0.4023178808</v>
      </c>
      <c r="I81" s="16">
        <f>IFERROR(__xludf.DUMMYFUNCTION("""COMPUTED_VALUE"""),0.37)</f>
        <v>0.37</v>
      </c>
      <c r="J81" s="16">
        <f>IFERROR(__xludf.DUMMYFUNCTION("""COMPUTED_VALUE"""),0.35798319327731)</f>
        <v>0.3579831933</v>
      </c>
      <c r="K81" s="16">
        <f>IFERROR(__xludf.DUMMYFUNCTION("""COMPUTED_VALUE"""),0.34453781512605)</f>
        <v>0.3445378151</v>
      </c>
      <c r="L81" s="16">
        <f>IFERROR(__xludf.DUMMYFUNCTION("""COMPUTED_VALUE"""),0.344594594594594)</f>
        <v>0.3445945946</v>
      </c>
      <c r="M81" s="16">
        <f>IFERROR(__xludf.DUMMYFUNCTION("""COMPUTED_VALUE"""),0.331081081081081)</f>
        <v>0.3310810811</v>
      </c>
      <c r="N81" s="16">
        <f>IFERROR(__xludf.DUMMYFUNCTION("""COMPUTED_VALUE"""),0.33277027027027)</f>
        <v>0.3327702703</v>
      </c>
      <c r="O81" s="16">
        <f>IFERROR(__xludf.DUMMYFUNCTION("""COMPUTED_VALUE"""),0.286201022146507)</f>
        <v>0.2862010221</v>
      </c>
      <c r="P81" s="16">
        <f>IFERROR(__xludf.DUMMYFUNCTION("""COMPUTED_VALUE"""),0.190388170055452)</f>
        <v>0.1903881701</v>
      </c>
      <c r="Q81" s="16">
        <f>IFERROR(__xludf.DUMMYFUNCTION("""COMPUTED_VALUE"""),0.155015197568389)</f>
        <v>0.1550151976</v>
      </c>
      <c r="R81" s="16">
        <f>IFERROR(__xludf.DUMMYFUNCTION("""COMPUTED_VALUE"""),0.105263157894736)</f>
        <v>0.1052631579</v>
      </c>
      <c r="S81" s="16">
        <f>IFERROR(__xludf.DUMMYFUNCTION("""COMPUTED_VALUE"""),0.106382978723404)</f>
        <v>0.1063829787</v>
      </c>
      <c r="T81" s="16">
        <f>IFERROR(__xludf.DUMMYFUNCTION("""COMPUTED_VALUE"""),0.0)</f>
        <v>0</v>
      </c>
      <c r="U81" s="16">
        <f>IFERROR(__xludf.DUMMYFUNCTION("""COMPUTED_VALUE"""),0.0)</f>
        <v>0</v>
      </c>
      <c r="V81" s="16">
        <f>IFERROR(__xludf.DUMMYFUNCTION("""COMPUTED_VALUE"""),0.0)</f>
        <v>0</v>
      </c>
      <c r="W81" s="16">
        <f>IFERROR(__xludf.DUMMYFUNCTION("""COMPUTED_VALUE"""),0.0)</f>
        <v>0</v>
      </c>
      <c r="X81" s="16">
        <f>IFERROR(__xludf.DUMMYFUNCTION("""COMPUTED_VALUE"""),0.0)</f>
        <v>0</v>
      </c>
      <c r="Y81" s="16">
        <f>IFERROR(__xludf.DUMMYFUNCTION("""COMPUTED_VALUE"""),0.0)</f>
        <v>0</v>
      </c>
      <c r="Z81" s="16">
        <f>IFERROR(__xludf.DUMMYFUNCTION("""COMPUTED_VALUE"""),0.0)</f>
        <v>0</v>
      </c>
      <c r="AA81" s="16">
        <f>IFERROR(__xludf.DUMMYFUNCTION("""COMPUTED_VALUE"""),0.0)</f>
        <v>0</v>
      </c>
      <c r="AB81" s="16">
        <f>IFERROR(__xludf.DUMMYFUNCTION("""COMPUTED_VALUE"""),0.0)</f>
        <v>0</v>
      </c>
      <c r="AC81" s="16">
        <f>IFERROR(__xludf.DUMMYFUNCTION("""COMPUTED_VALUE"""),0.0)</f>
        <v>0</v>
      </c>
      <c r="AD81" s="16">
        <f>IFERROR(__xludf.DUMMYFUNCTION("""COMPUTED_VALUE"""),0.0)</f>
        <v>0</v>
      </c>
      <c r="AE81" s="16">
        <f>IFERROR(__xludf.DUMMYFUNCTION("""COMPUTED_VALUE"""),0.0)</f>
        <v>0</v>
      </c>
      <c r="AF81" s="16">
        <f>IFERROR(__xludf.DUMMYFUNCTION("""COMPUTED_VALUE"""),0.0)</f>
        <v>0</v>
      </c>
      <c r="AG81" s="16">
        <f>IFERROR(__xludf.DUMMYFUNCTION("""COMPUTED_VALUE"""),0.0)</f>
        <v>0</v>
      </c>
      <c r="AH81" s="16">
        <f>IFERROR(__xludf.DUMMYFUNCTION("""COMPUTED_VALUE"""),0.0)</f>
        <v>0</v>
      </c>
    </row>
    <row r="82">
      <c r="A82" s="16" t="str">
        <f>IFERROR(__xludf.DUMMYFUNCTION("""COMPUTED_VALUE"""),"4335258b71733375cbccc0fbf7ce0bf0975b095d")</f>
        <v>4335258b71733375cbccc0fbf7ce0bf0975b095d</v>
      </c>
      <c r="B82" s="16" t="str">
        <f>IFERROR(__xludf.DUMMYFUNCTION("""COMPUTED_VALUE"""),"Alex &amp; the Prison System")</f>
        <v>Alex &amp; the Prison System</v>
      </c>
      <c r="C82" s="16" t="str">
        <f>IFERROR(__xludf.DUMMYFUNCTION("""COMPUTED_VALUE"""),"System and Superpower")</f>
        <v>System and Superpower</v>
      </c>
      <c r="D82" s="16">
        <f>IFERROR(__xludf.DUMMYFUNCTION("""COMPUTED_VALUE"""),1449.0)</f>
        <v>1449</v>
      </c>
      <c r="E82" s="16">
        <f>IFERROR(__xludf.DUMMYFUNCTION("""COMPUTED_VALUE"""),0.953761214630779)</f>
        <v>0.9537612146</v>
      </c>
      <c r="F82" s="16">
        <f>IFERROR(__xludf.DUMMYFUNCTION("""COMPUTED_VALUE"""),0.709454796411318)</f>
        <v>0.7094547964</v>
      </c>
      <c r="G82" s="16">
        <f>IFERROR(__xludf.DUMMYFUNCTION("""COMPUTED_VALUE"""),0.652864044168391)</f>
        <v>0.6528640442</v>
      </c>
      <c r="H82" s="16">
        <f>IFERROR(__xludf.DUMMYFUNCTION("""COMPUTED_VALUE"""),0.631906077348066)</f>
        <v>0.6319060773</v>
      </c>
      <c r="I82" s="16">
        <f>IFERROR(__xludf.DUMMYFUNCTION("""COMPUTED_VALUE"""),0.607340720221606)</f>
        <v>0.6073407202</v>
      </c>
      <c r="J82" s="16">
        <f>IFERROR(__xludf.DUMMYFUNCTION("""COMPUTED_VALUE"""),0.597780859916782)</f>
        <v>0.5977808599</v>
      </c>
      <c r="K82" s="16">
        <f>IFERROR(__xludf.DUMMYFUNCTION("""COMPUTED_VALUE"""),0.589012517385257)</f>
        <v>0.5890125174</v>
      </c>
      <c r="L82" s="16">
        <f>IFERROR(__xludf.DUMMYFUNCTION("""COMPUTED_VALUE"""),0.577731092436974)</f>
        <v>0.5777310924</v>
      </c>
      <c r="M82" s="16">
        <f>IFERROR(__xludf.DUMMYFUNCTION("""COMPUTED_VALUE"""),0.561711079943899)</f>
        <v>0.5617110799</v>
      </c>
      <c r="N82" s="16">
        <f>IFERROR(__xludf.DUMMYFUNCTION("""COMPUTED_VALUE"""),0.535915492957746)</f>
        <v>0.535915493</v>
      </c>
      <c r="O82" s="16">
        <f>IFERROR(__xludf.DUMMYFUNCTION("""COMPUTED_VALUE"""),0.437125748502994)</f>
        <v>0.4371257485</v>
      </c>
      <c r="P82" s="16">
        <f>IFERROR(__xludf.DUMMYFUNCTION("""COMPUTED_VALUE"""),0.319658119658119)</f>
        <v>0.3196581197</v>
      </c>
      <c r="Q82" s="16">
        <f>IFERROR(__xludf.DUMMYFUNCTION("""COMPUTED_VALUE"""),0.254411764705882)</f>
        <v>0.2544117647</v>
      </c>
      <c r="R82" s="16">
        <f>IFERROR(__xludf.DUMMYFUNCTION("""COMPUTED_VALUE"""),0.225)</f>
        <v>0.225</v>
      </c>
      <c r="S82" s="16">
        <f>IFERROR(__xludf.DUMMYFUNCTION("""COMPUTED_VALUE"""),0.2)</f>
        <v>0.2</v>
      </c>
      <c r="T82" s="16">
        <f>IFERROR(__xludf.DUMMYFUNCTION("""COMPUTED_VALUE"""),0.0)</f>
        <v>0</v>
      </c>
      <c r="U82" s="16">
        <f>IFERROR(__xludf.DUMMYFUNCTION("""COMPUTED_VALUE"""),0.0)</f>
        <v>0</v>
      </c>
      <c r="V82" s="16">
        <f>IFERROR(__xludf.DUMMYFUNCTION("""COMPUTED_VALUE"""),0.0)</f>
        <v>0</v>
      </c>
      <c r="W82" s="16">
        <f>IFERROR(__xludf.DUMMYFUNCTION("""COMPUTED_VALUE"""),0.0)</f>
        <v>0</v>
      </c>
      <c r="X82" s="16">
        <f>IFERROR(__xludf.DUMMYFUNCTION("""COMPUTED_VALUE"""),0.0)</f>
        <v>0</v>
      </c>
      <c r="Y82" s="16">
        <f>IFERROR(__xludf.DUMMYFUNCTION("""COMPUTED_VALUE"""),0.0)</f>
        <v>0</v>
      </c>
      <c r="Z82" s="16">
        <f>IFERROR(__xludf.DUMMYFUNCTION("""COMPUTED_VALUE"""),0.0)</f>
        <v>0</v>
      </c>
      <c r="AA82" s="16">
        <f>IFERROR(__xludf.DUMMYFUNCTION("""COMPUTED_VALUE"""),0.0)</f>
        <v>0</v>
      </c>
      <c r="AB82" s="16">
        <f>IFERROR(__xludf.DUMMYFUNCTION("""COMPUTED_VALUE"""),0.0)</f>
        <v>0</v>
      </c>
      <c r="AC82" s="16">
        <f>IFERROR(__xludf.DUMMYFUNCTION("""COMPUTED_VALUE"""),0.0)</f>
        <v>0</v>
      </c>
      <c r="AD82" s="16">
        <f>IFERROR(__xludf.DUMMYFUNCTION("""COMPUTED_VALUE"""),0.0)</f>
        <v>0</v>
      </c>
      <c r="AE82" s="16">
        <f>IFERROR(__xludf.DUMMYFUNCTION("""COMPUTED_VALUE"""),0.0)</f>
        <v>0</v>
      </c>
      <c r="AF82" s="16">
        <f>IFERROR(__xludf.DUMMYFUNCTION("""COMPUTED_VALUE"""),0.0)</f>
        <v>0</v>
      </c>
      <c r="AG82" s="16">
        <f>IFERROR(__xludf.DUMMYFUNCTION("""COMPUTED_VALUE"""),0.0)</f>
        <v>0</v>
      </c>
      <c r="AH82" s="16">
        <f>IFERROR(__xludf.DUMMYFUNCTION("""COMPUTED_VALUE"""),0.0)</f>
        <v>0</v>
      </c>
    </row>
    <row r="83">
      <c r="A83" s="16" t="str">
        <f>IFERROR(__xludf.DUMMYFUNCTION("""COMPUTED_VALUE"""),"43de49339ed40a2c4d8acef5644870ce292f541e")</f>
        <v>43de49339ed40a2c4d8acef5644870ce292f541e</v>
      </c>
      <c r="B83" s="16" t="str">
        <f>IFERROR(__xludf.DUMMYFUNCTION("""COMPUTED_VALUE"""),"Second Chances: Reborn to Be a CEO’s Wife")</f>
        <v>Second Chances: Reborn to Be a CEO’s Wife</v>
      </c>
      <c r="C83" s="16" t="str">
        <f>IFERROR(__xludf.DUMMYFUNCTION("""COMPUTED_VALUE"""),"Romance")</f>
        <v>Romance</v>
      </c>
      <c r="D83" s="16">
        <f>IFERROR(__xludf.DUMMYFUNCTION("""COMPUTED_VALUE"""),210.0)</f>
        <v>210</v>
      </c>
      <c r="E83" s="16">
        <f>IFERROR(__xludf.DUMMYFUNCTION("""COMPUTED_VALUE"""),0.947619047619047)</f>
        <v>0.9476190476</v>
      </c>
      <c r="F83" s="16">
        <f>IFERROR(__xludf.DUMMYFUNCTION("""COMPUTED_VALUE"""),0.538095238095238)</f>
        <v>0.5380952381</v>
      </c>
      <c r="G83" s="16">
        <f>IFERROR(__xludf.DUMMYFUNCTION("""COMPUTED_VALUE"""),0.466666666666666)</f>
        <v>0.4666666667</v>
      </c>
      <c r="H83" s="16">
        <f>IFERROR(__xludf.DUMMYFUNCTION("""COMPUTED_VALUE"""),0.419047619047619)</f>
        <v>0.419047619</v>
      </c>
      <c r="I83" s="16">
        <f>IFERROR(__xludf.DUMMYFUNCTION("""COMPUTED_VALUE"""),0.385714285714285)</f>
        <v>0.3857142857</v>
      </c>
      <c r="J83" s="16">
        <f>IFERROR(__xludf.DUMMYFUNCTION("""COMPUTED_VALUE"""),0.342857142857142)</f>
        <v>0.3428571429</v>
      </c>
      <c r="K83" s="16">
        <f>IFERROR(__xludf.DUMMYFUNCTION("""COMPUTED_VALUE"""),0.306220095693779)</f>
        <v>0.3062200957</v>
      </c>
      <c r="L83" s="16">
        <f>IFERROR(__xludf.DUMMYFUNCTION("""COMPUTED_VALUE"""),0.29951690821256)</f>
        <v>0.2995169082</v>
      </c>
      <c r="M83" s="16">
        <f>IFERROR(__xludf.DUMMYFUNCTION("""COMPUTED_VALUE"""),0.271844660194174)</f>
        <v>0.2718446602</v>
      </c>
      <c r="N83" s="16">
        <f>IFERROR(__xludf.DUMMYFUNCTION("""COMPUTED_VALUE"""),0.252427184466019)</f>
        <v>0.2524271845</v>
      </c>
      <c r="O83" s="16">
        <f>IFERROR(__xludf.DUMMYFUNCTION("""COMPUTED_VALUE"""),0.206896551724137)</f>
        <v>0.2068965517</v>
      </c>
      <c r="P83" s="16">
        <f>IFERROR(__xludf.DUMMYFUNCTION("""COMPUTED_VALUE"""),0.100502512562814)</f>
        <v>0.1005025126</v>
      </c>
      <c r="Q83" s="16">
        <f>IFERROR(__xludf.DUMMYFUNCTION("""COMPUTED_VALUE"""),0.03125)</f>
        <v>0.03125</v>
      </c>
      <c r="R83" s="16">
        <f>IFERROR(__xludf.DUMMYFUNCTION("""COMPUTED_VALUE"""),0.0)</f>
        <v>0</v>
      </c>
      <c r="S83" s="16">
        <f>IFERROR(__xludf.DUMMYFUNCTION("""COMPUTED_VALUE"""),0.0)</f>
        <v>0</v>
      </c>
      <c r="T83" s="16">
        <f>IFERROR(__xludf.DUMMYFUNCTION("""COMPUTED_VALUE"""),0.0)</f>
        <v>0</v>
      </c>
      <c r="U83" s="16">
        <f>IFERROR(__xludf.DUMMYFUNCTION("""COMPUTED_VALUE"""),0.0)</f>
        <v>0</v>
      </c>
      <c r="V83" s="16">
        <f>IFERROR(__xludf.DUMMYFUNCTION("""COMPUTED_VALUE"""),0.0)</f>
        <v>0</v>
      </c>
      <c r="W83" s="16">
        <f>IFERROR(__xludf.DUMMYFUNCTION("""COMPUTED_VALUE"""),0.0)</f>
        <v>0</v>
      </c>
      <c r="X83" s="16">
        <f>IFERROR(__xludf.DUMMYFUNCTION("""COMPUTED_VALUE"""),0.0)</f>
        <v>0</v>
      </c>
      <c r="Y83" s="16">
        <f>IFERROR(__xludf.DUMMYFUNCTION("""COMPUTED_VALUE"""),0.0)</f>
        <v>0</v>
      </c>
      <c r="Z83" s="16">
        <f>IFERROR(__xludf.DUMMYFUNCTION("""COMPUTED_VALUE"""),0.0)</f>
        <v>0</v>
      </c>
      <c r="AA83" s="16">
        <f>IFERROR(__xludf.DUMMYFUNCTION("""COMPUTED_VALUE"""),0.0)</f>
        <v>0</v>
      </c>
      <c r="AB83" s="16">
        <f>IFERROR(__xludf.DUMMYFUNCTION("""COMPUTED_VALUE"""),0.0)</f>
        <v>0</v>
      </c>
      <c r="AC83" s="16">
        <f>IFERROR(__xludf.DUMMYFUNCTION("""COMPUTED_VALUE"""),0.0)</f>
        <v>0</v>
      </c>
      <c r="AD83" s="16">
        <f>IFERROR(__xludf.DUMMYFUNCTION("""COMPUTED_VALUE"""),0.0)</f>
        <v>0</v>
      </c>
      <c r="AE83" s="16">
        <f>IFERROR(__xludf.DUMMYFUNCTION("""COMPUTED_VALUE"""),0.0)</f>
        <v>0</v>
      </c>
      <c r="AF83" s="16">
        <f>IFERROR(__xludf.DUMMYFUNCTION("""COMPUTED_VALUE"""),0.0)</f>
        <v>0</v>
      </c>
      <c r="AG83" s="16">
        <f>IFERROR(__xludf.DUMMYFUNCTION("""COMPUTED_VALUE"""),0.0)</f>
        <v>0</v>
      </c>
      <c r="AH83" s="16">
        <f>IFERROR(__xludf.DUMMYFUNCTION("""COMPUTED_VALUE"""),0.0)</f>
        <v>0</v>
      </c>
    </row>
    <row r="84">
      <c r="A84" s="16" t="str">
        <f>IFERROR(__xludf.DUMMYFUNCTION("""COMPUTED_VALUE"""),"442d4dce8ca376c2bb4438209980daa53b761b51")</f>
        <v>442d4dce8ca376c2bb4438209980daa53b761b51</v>
      </c>
      <c r="B84" s="16" t="str">
        <f>IFERROR(__xludf.DUMMYFUNCTION("""COMPUTED_VALUE"""),"Rejected and Craved")</f>
        <v>Rejected and Craved</v>
      </c>
      <c r="C84" s="16" t="str">
        <f>IFERROR(__xludf.DUMMYFUNCTION("""COMPUTED_VALUE"""),"Romantasy")</f>
        <v>Romantasy</v>
      </c>
      <c r="D84" s="16">
        <f>IFERROR(__xludf.DUMMYFUNCTION("""COMPUTED_VALUE"""),81.0)</f>
        <v>81</v>
      </c>
      <c r="E84" s="16">
        <f>IFERROR(__xludf.DUMMYFUNCTION("""COMPUTED_VALUE"""),0.975308641975308)</f>
        <v>0.975308642</v>
      </c>
      <c r="F84" s="16">
        <f>IFERROR(__xludf.DUMMYFUNCTION("""COMPUTED_VALUE"""),0.530864197530864)</f>
        <v>0.5308641975</v>
      </c>
      <c r="G84" s="16">
        <f>IFERROR(__xludf.DUMMYFUNCTION("""COMPUTED_VALUE"""),0.469135802469135)</f>
        <v>0.4691358025</v>
      </c>
      <c r="H84" s="16">
        <f>IFERROR(__xludf.DUMMYFUNCTION("""COMPUTED_VALUE"""),0.432098765432098)</f>
        <v>0.4320987654</v>
      </c>
      <c r="I84" s="16">
        <f>IFERROR(__xludf.DUMMYFUNCTION("""COMPUTED_VALUE"""),0.432098765432098)</f>
        <v>0.4320987654</v>
      </c>
      <c r="J84" s="16">
        <f>IFERROR(__xludf.DUMMYFUNCTION("""COMPUTED_VALUE"""),0.432098765432098)</f>
        <v>0.4320987654</v>
      </c>
      <c r="K84" s="16">
        <f>IFERROR(__xludf.DUMMYFUNCTION("""COMPUTED_VALUE"""),0.382716049382716)</f>
        <v>0.3827160494</v>
      </c>
      <c r="L84" s="16">
        <f>IFERROR(__xludf.DUMMYFUNCTION("""COMPUTED_VALUE"""),0.37037037037037)</f>
        <v>0.3703703704</v>
      </c>
      <c r="M84" s="16">
        <f>IFERROR(__xludf.DUMMYFUNCTION("""COMPUTED_VALUE"""),0.382716049382716)</f>
        <v>0.3827160494</v>
      </c>
      <c r="N84" s="16">
        <f>IFERROR(__xludf.DUMMYFUNCTION("""COMPUTED_VALUE"""),0.37037037037037)</f>
        <v>0.3703703704</v>
      </c>
      <c r="O84" s="16">
        <f>IFERROR(__xludf.DUMMYFUNCTION("""COMPUTED_VALUE"""),0.32)</f>
        <v>0.32</v>
      </c>
      <c r="P84" s="16">
        <f>IFERROR(__xludf.DUMMYFUNCTION("""COMPUTED_VALUE"""),0.205479452054794)</f>
        <v>0.2054794521</v>
      </c>
      <c r="Q84" s="16">
        <f>IFERROR(__xludf.DUMMYFUNCTION("""COMPUTED_VALUE"""),0.0)</f>
        <v>0</v>
      </c>
      <c r="R84" s="16">
        <f>IFERROR(__xludf.DUMMYFUNCTION("""COMPUTED_VALUE"""),0.0)</f>
        <v>0</v>
      </c>
      <c r="S84" s="16">
        <f>IFERROR(__xludf.DUMMYFUNCTION("""COMPUTED_VALUE"""),0.0)</f>
        <v>0</v>
      </c>
      <c r="T84" s="16">
        <f>IFERROR(__xludf.DUMMYFUNCTION("""COMPUTED_VALUE"""),0.0)</f>
        <v>0</v>
      </c>
      <c r="U84" s="16">
        <f>IFERROR(__xludf.DUMMYFUNCTION("""COMPUTED_VALUE"""),0.0)</f>
        <v>0</v>
      </c>
      <c r="V84" s="16">
        <f>IFERROR(__xludf.DUMMYFUNCTION("""COMPUTED_VALUE"""),0.0)</f>
        <v>0</v>
      </c>
      <c r="W84" s="16">
        <f>IFERROR(__xludf.DUMMYFUNCTION("""COMPUTED_VALUE"""),0.0)</f>
        <v>0</v>
      </c>
      <c r="X84" s="16">
        <f>IFERROR(__xludf.DUMMYFUNCTION("""COMPUTED_VALUE"""),0.0)</f>
        <v>0</v>
      </c>
      <c r="Y84" s="16">
        <f>IFERROR(__xludf.DUMMYFUNCTION("""COMPUTED_VALUE"""),0.0)</f>
        <v>0</v>
      </c>
      <c r="Z84" s="16">
        <f>IFERROR(__xludf.DUMMYFUNCTION("""COMPUTED_VALUE"""),0.0)</f>
        <v>0</v>
      </c>
      <c r="AA84" s="16">
        <f>IFERROR(__xludf.DUMMYFUNCTION("""COMPUTED_VALUE"""),0.0)</f>
        <v>0</v>
      </c>
      <c r="AB84" s="16">
        <f>IFERROR(__xludf.DUMMYFUNCTION("""COMPUTED_VALUE"""),0.0)</f>
        <v>0</v>
      </c>
      <c r="AC84" s="16">
        <f>IFERROR(__xludf.DUMMYFUNCTION("""COMPUTED_VALUE"""),0.0)</f>
        <v>0</v>
      </c>
      <c r="AD84" s="16">
        <f>IFERROR(__xludf.DUMMYFUNCTION("""COMPUTED_VALUE"""),0.0)</f>
        <v>0</v>
      </c>
      <c r="AE84" s="16">
        <f>IFERROR(__xludf.DUMMYFUNCTION("""COMPUTED_VALUE"""),0.0)</f>
        <v>0</v>
      </c>
      <c r="AF84" s="16">
        <f>IFERROR(__xludf.DUMMYFUNCTION("""COMPUTED_VALUE"""),0.0)</f>
        <v>0</v>
      </c>
      <c r="AG84" s="16">
        <f>IFERROR(__xludf.DUMMYFUNCTION("""COMPUTED_VALUE"""),0.0)</f>
        <v>0</v>
      </c>
      <c r="AH84" s="16">
        <f>IFERROR(__xludf.DUMMYFUNCTION("""COMPUTED_VALUE"""),0.0)</f>
        <v>0</v>
      </c>
    </row>
    <row r="85">
      <c r="A85" s="16" t="str">
        <f>IFERROR(__xludf.DUMMYFUNCTION("""COMPUTED_VALUE"""),"446d5769edafce0d5daf04c6cfc40515f289004f")</f>
        <v>446d5769edafce0d5daf04c6cfc40515f289004f</v>
      </c>
      <c r="B85" s="16" t="str">
        <f>IFERROR(__xludf.DUMMYFUNCTION("""COMPUTED_VALUE"""),"The Cloaked Mogul")</f>
        <v>The Cloaked Mogul</v>
      </c>
      <c r="C85" s="16" t="str">
        <f>IFERROR(__xludf.DUMMYFUNCTION("""COMPUTED_VALUE"""),"Drama")</f>
        <v>Drama</v>
      </c>
      <c r="D85" s="16">
        <f>IFERROR(__xludf.DUMMYFUNCTION("""COMPUTED_VALUE"""),5915.0)</f>
        <v>5915</v>
      </c>
      <c r="E85" s="16">
        <f>IFERROR(__xludf.DUMMYFUNCTION("""COMPUTED_VALUE"""),0.900929839391377)</f>
        <v>0.9009298394</v>
      </c>
      <c r="F85" s="16">
        <f>IFERROR(__xludf.DUMMYFUNCTION("""COMPUTED_VALUE"""),0.481149619611158)</f>
        <v>0.4811496196</v>
      </c>
      <c r="G85" s="16">
        <f>IFERROR(__xludf.DUMMYFUNCTION("""COMPUTED_VALUE"""),0.439391377852916)</f>
        <v>0.4393913779</v>
      </c>
      <c r="H85" s="16">
        <f>IFERROR(__xludf.DUMMYFUNCTION("""COMPUTED_VALUE"""),0.415595399188092)</f>
        <v>0.4155953992</v>
      </c>
      <c r="I85" s="16">
        <f>IFERROR(__xludf.DUMMYFUNCTION("""COMPUTED_VALUE"""),0.40057636887608)</f>
        <v>0.4005763689</v>
      </c>
      <c r="J85" s="16">
        <f>IFERROR(__xludf.DUMMYFUNCTION("""COMPUTED_VALUE"""),0.392080217539089)</f>
        <v>0.3920802175</v>
      </c>
      <c r="K85" s="16">
        <f>IFERROR(__xludf.DUMMYFUNCTION("""COMPUTED_VALUE"""),0.379993171730966)</f>
        <v>0.3799931717</v>
      </c>
      <c r="L85" s="16">
        <f>IFERROR(__xludf.DUMMYFUNCTION("""COMPUTED_VALUE"""),0.372128899554336)</f>
        <v>0.3721288996</v>
      </c>
      <c r="M85" s="16">
        <f>IFERROR(__xludf.DUMMYFUNCTION("""COMPUTED_VALUE"""),0.367027677496991)</f>
        <v>0.3670276775</v>
      </c>
      <c r="N85" s="16">
        <f>IFERROR(__xludf.DUMMYFUNCTION("""COMPUTED_VALUE"""),0.357093545046599)</f>
        <v>0.357093545</v>
      </c>
      <c r="O85" s="16">
        <f>IFERROR(__xludf.DUMMYFUNCTION("""COMPUTED_VALUE"""),0.333215983101566)</f>
        <v>0.3332159831</v>
      </c>
      <c r="P85" s="16">
        <f>IFERROR(__xludf.DUMMYFUNCTION("""COMPUTED_VALUE"""),0.300269541778975)</f>
        <v>0.3002695418</v>
      </c>
      <c r="Q85" s="16">
        <f>IFERROR(__xludf.DUMMYFUNCTION("""COMPUTED_VALUE"""),0.227590111341762)</f>
        <v>0.2275901113</v>
      </c>
      <c r="R85" s="16">
        <f>IFERROR(__xludf.DUMMYFUNCTION("""COMPUTED_VALUE"""),0.146422261484098)</f>
        <v>0.1464222615</v>
      </c>
      <c r="S85" s="16">
        <f>IFERROR(__xludf.DUMMYFUNCTION("""COMPUTED_VALUE"""),0.127628504672897)</f>
        <v>0.1276285047</v>
      </c>
      <c r="T85" s="16">
        <f>IFERROR(__xludf.DUMMYFUNCTION("""COMPUTED_VALUE"""),0.113688337144723)</f>
        <v>0.1136883371</v>
      </c>
      <c r="U85" s="16">
        <f>IFERROR(__xludf.DUMMYFUNCTION("""COMPUTED_VALUE"""),0.0957252466203872)</f>
        <v>0.09572524662</v>
      </c>
      <c r="V85" s="16">
        <f>IFERROR(__xludf.DUMMYFUNCTION("""COMPUTED_VALUE"""),0.0852645386969829)</f>
        <v>0.0852645387</v>
      </c>
      <c r="W85" s="16">
        <f>IFERROR(__xludf.DUMMYFUNCTION("""COMPUTED_VALUE"""),0.0465465465465465)</f>
        <v>0.04654654655</v>
      </c>
      <c r="X85" s="16">
        <f>IFERROR(__xludf.DUMMYFUNCTION("""COMPUTED_VALUE"""),0.0)</f>
        <v>0</v>
      </c>
      <c r="Y85" s="16">
        <f>IFERROR(__xludf.DUMMYFUNCTION("""COMPUTED_VALUE"""),0.0)</f>
        <v>0</v>
      </c>
      <c r="Z85" s="16">
        <f>IFERROR(__xludf.DUMMYFUNCTION("""COMPUTED_VALUE"""),0.0)</f>
        <v>0</v>
      </c>
      <c r="AA85" s="16">
        <f>IFERROR(__xludf.DUMMYFUNCTION("""COMPUTED_VALUE"""),0.0)</f>
        <v>0</v>
      </c>
      <c r="AB85" s="16">
        <f>IFERROR(__xludf.DUMMYFUNCTION("""COMPUTED_VALUE"""),0.0)</f>
        <v>0</v>
      </c>
      <c r="AC85" s="16">
        <f>IFERROR(__xludf.DUMMYFUNCTION("""COMPUTED_VALUE"""),0.0)</f>
        <v>0</v>
      </c>
      <c r="AD85" s="16">
        <f>IFERROR(__xludf.DUMMYFUNCTION("""COMPUTED_VALUE"""),0.0)</f>
        <v>0</v>
      </c>
      <c r="AE85" s="16">
        <f>IFERROR(__xludf.DUMMYFUNCTION("""COMPUTED_VALUE"""),0.0)</f>
        <v>0</v>
      </c>
      <c r="AF85" s="16">
        <f>IFERROR(__xludf.DUMMYFUNCTION("""COMPUTED_VALUE"""),0.0)</f>
        <v>0</v>
      </c>
      <c r="AG85" s="16">
        <f>IFERROR(__xludf.DUMMYFUNCTION("""COMPUTED_VALUE"""),0.0)</f>
        <v>0</v>
      </c>
      <c r="AH85" s="16">
        <f>IFERROR(__xludf.DUMMYFUNCTION("""COMPUTED_VALUE"""),0.0)</f>
        <v>0</v>
      </c>
    </row>
    <row r="86">
      <c r="A86" s="16" t="str">
        <f>IFERROR(__xludf.DUMMYFUNCTION("""COMPUTED_VALUE"""),"44c616c59b6b2cd7fcb80263ece968b250ad9dbe")</f>
        <v>44c616c59b6b2cd7fcb80263ece968b250ad9dbe</v>
      </c>
      <c r="B86" s="16" t="str">
        <f>IFERROR(__xludf.DUMMYFUNCTION("""COMPUTED_VALUE"""),"Supreme Miracle Doctor")</f>
        <v>Supreme Miracle Doctor</v>
      </c>
      <c r="C86" s="16" t="str">
        <f>IFERROR(__xludf.DUMMYFUNCTION("""COMPUTED_VALUE"""),"Drama")</f>
        <v>Drama</v>
      </c>
      <c r="D86" s="16">
        <f>IFERROR(__xludf.DUMMYFUNCTION("""COMPUTED_VALUE"""),416.0)</f>
        <v>416</v>
      </c>
      <c r="E86" s="16">
        <f>IFERROR(__xludf.DUMMYFUNCTION("""COMPUTED_VALUE"""),0.971153846153846)</f>
        <v>0.9711538462</v>
      </c>
      <c r="F86" s="16">
        <f>IFERROR(__xludf.DUMMYFUNCTION("""COMPUTED_VALUE"""),0.610576923076923)</f>
        <v>0.6105769231</v>
      </c>
      <c r="G86" s="16">
        <f>IFERROR(__xludf.DUMMYFUNCTION("""COMPUTED_VALUE"""),0.533653846153846)</f>
        <v>0.5336538462</v>
      </c>
      <c r="H86" s="16">
        <f>IFERROR(__xludf.DUMMYFUNCTION("""COMPUTED_VALUE"""),0.489156626506024)</f>
        <v>0.4891566265</v>
      </c>
      <c r="I86" s="16">
        <f>IFERROR(__xludf.DUMMYFUNCTION("""COMPUTED_VALUE"""),0.452088452088452)</f>
        <v>0.4520884521</v>
      </c>
      <c r="J86" s="16">
        <f>IFERROR(__xludf.DUMMYFUNCTION("""COMPUTED_VALUE"""),0.409090909090909)</f>
        <v>0.4090909091</v>
      </c>
      <c r="K86" s="16">
        <f>IFERROR(__xludf.DUMMYFUNCTION("""COMPUTED_VALUE"""),0.38563829787234)</f>
        <v>0.3856382979</v>
      </c>
      <c r="L86" s="16">
        <f>IFERROR(__xludf.DUMMYFUNCTION("""COMPUTED_VALUE"""),0.38095238095238)</f>
        <v>0.380952381</v>
      </c>
      <c r="M86" s="16">
        <f>IFERROR(__xludf.DUMMYFUNCTION("""COMPUTED_VALUE"""),0.365497076023391)</f>
        <v>0.365497076</v>
      </c>
      <c r="N86" s="16">
        <f>IFERROR(__xludf.DUMMYFUNCTION("""COMPUTED_VALUE"""),0.344720496894409)</f>
        <v>0.3447204969</v>
      </c>
      <c r="O86" s="16">
        <f>IFERROR(__xludf.DUMMYFUNCTION("""COMPUTED_VALUE"""),0.291666666666666)</f>
        <v>0.2916666667</v>
      </c>
      <c r="P86" s="16">
        <f>IFERROR(__xludf.DUMMYFUNCTION("""COMPUTED_VALUE"""),0.23076923076923)</f>
        <v>0.2307692308</v>
      </c>
      <c r="Q86" s="16">
        <f>IFERROR(__xludf.DUMMYFUNCTION("""COMPUTED_VALUE"""),0.0)</f>
        <v>0</v>
      </c>
      <c r="R86" s="16">
        <f>IFERROR(__xludf.DUMMYFUNCTION("""COMPUTED_VALUE"""),0.0)</f>
        <v>0</v>
      </c>
      <c r="S86" s="16">
        <f>IFERROR(__xludf.DUMMYFUNCTION("""COMPUTED_VALUE"""),0.0)</f>
        <v>0</v>
      </c>
      <c r="T86" s="16">
        <f>IFERROR(__xludf.DUMMYFUNCTION("""COMPUTED_VALUE"""),0.0)</f>
        <v>0</v>
      </c>
      <c r="U86" s="16">
        <f>IFERROR(__xludf.DUMMYFUNCTION("""COMPUTED_VALUE"""),0.0)</f>
        <v>0</v>
      </c>
      <c r="V86" s="16">
        <f>IFERROR(__xludf.DUMMYFUNCTION("""COMPUTED_VALUE"""),0.0)</f>
        <v>0</v>
      </c>
      <c r="W86" s="16">
        <f>IFERROR(__xludf.DUMMYFUNCTION("""COMPUTED_VALUE"""),0.0)</f>
        <v>0</v>
      </c>
      <c r="X86" s="16">
        <f>IFERROR(__xludf.DUMMYFUNCTION("""COMPUTED_VALUE"""),0.0)</f>
        <v>0</v>
      </c>
      <c r="Y86" s="16">
        <f>IFERROR(__xludf.DUMMYFUNCTION("""COMPUTED_VALUE"""),0.0)</f>
        <v>0</v>
      </c>
      <c r="Z86" s="16">
        <f>IFERROR(__xludf.DUMMYFUNCTION("""COMPUTED_VALUE"""),0.0)</f>
        <v>0</v>
      </c>
      <c r="AA86" s="16">
        <f>IFERROR(__xludf.DUMMYFUNCTION("""COMPUTED_VALUE"""),0.0)</f>
        <v>0</v>
      </c>
      <c r="AB86" s="16">
        <f>IFERROR(__xludf.DUMMYFUNCTION("""COMPUTED_VALUE"""),0.0)</f>
        <v>0</v>
      </c>
      <c r="AC86" s="16">
        <f>IFERROR(__xludf.DUMMYFUNCTION("""COMPUTED_VALUE"""),0.0)</f>
        <v>0</v>
      </c>
      <c r="AD86" s="16">
        <f>IFERROR(__xludf.DUMMYFUNCTION("""COMPUTED_VALUE"""),0.0)</f>
        <v>0</v>
      </c>
      <c r="AE86" s="16">
        <f>IFERROR(__xludf.DUMMYFUNCTION("""COMPUTED_VALUE"""),0.0)</f>
        <v>0</v>
      </c>
      <c r="AF86" s="16">
        <f>IFERROR(__xludf.DUMMYFUNCTION("""COMPUTED_VALUE"""),0.0)</f>
        <v>0</v>
      </c>
      <c r="AG86" s="16">
        <f>IFERROR(__xludf.DUMMYFUNCTION("""COMPUTED_VALUE"""),0.0)</f>
        <v>0</v>
      </c>
      <c r="AH86" s="16">
        <f>IFERROR(__xludf.DUMMYFUNCTION("""COMPUTED_VALUE"""),0.0)</f>
        <v>0</v>
      </c>
    </row>
    <row r="87">
      <c r="A87" s="16" t="str">
        <f>IFERROR(__xludf.DUMMYFUNCTION("""COMPUTED_VALUE"""),"44f5a6fb4876567a5eec3722df1d0a3d436d8bdf")</f>
        <v>44f5a6fb4876567a5eec3722df1d0a3d436d8bdf</v>
      </c>
      <c r="B87" s="16" t="str">
        <f>IFERROR(__xludf.DUMMYFUNCTION("""COMPUTED_VALUE"""),"Alpha Kyros")</f>
        <v>Alpha Kyros</v>
      </c>
      <c r="C87" s="16" t="str">
        <f>IFERROR(__xludf.DUMMYFUNCTION("""COMPUTED_VALUE"""),"Romantasy")</f>
        <v>Romantasy</v>
      </c>
      <c r="D87" s="16">
        <f>IFERROR(__xludf.DUMMYFUNCTION("""COMPUTED_VALUE"""),677.0)</f>
        <v>677</v>
      </c>
      <c r="E87" s="16">
        <f>IFERROR(__xludf.DUMMYFUNCTION("""COMPUTED_VALUE"""),0.976366322008862)</f>
        <v>0.976366322</v>
      </c>
      <c r="F87" s="16">
        <f>IFERROR(__xludf.DUMMYFUNCTION("""COMPUTED_VALUE"""),0.556868537666174)</f>
        <v>0.5568685377</v>
      </c>
      <c r="G87" s="16">
        <f>IFERROR(__xludf.DUMMYFUNCTION("""COMPUTED_VALUE"""),0.519940915805022)</f>
        <v>0.5199409158</v>
      </c>
      <c r="H87" s="16">
        <f>IFERROR(__xludf.DUMMYFUNCTION("""COMPUTED_VALUE"""),0.492603550295858)</f>
        <v>0.4926035503</v>
      </c>
      <c r="I87" s="16">
        <f>IFERROR(__xludf.DUMMYFUNCTION("""COMPUTED_VALUE"""),0.470326409495548)</f>
        <v>0.4703264095</v>
      </c>
      <c r="J87" s="16">
        <f>IFERROR(__xludf.DUMMYFUNCTION("""COMPUTED_VALUE"""),0.461424332344213)</f>
        <v>0.4614243323</v>
      </c>
      <c r="K87" s="16">
        <f>IFERROR(__xludf.DUMMYFUNCTION("""COMPUTED_VALUE"""),0.457652303120356)</f>
        <v>0.4576523031</v>
      </c>
      <c r="L87" s="16">
        <f>IFERROR(__xludf.DUMMYFUNCTION("""COMPUTED_VALUE"""),0.44345238095238)</f>
        <v>0.443452381</v>
      </c>
      <c r="M87" s="16">
        <f>IFERROR(__xludf.DUMMYFUNCTION("""COMPUTED_VALUE"""),0.432190760059612)</f>
        <v>0.4321907601</v>
      </c>
      <c r="N87" s="16">
        <f>IFERROR(__xludf.DUMMYFUNCTION("""COMPUTED_VALUE"""),0.410447761194029)</f>
        <v>0.4104477612</v>
      </c>
      <c r="O87" s="16">
        <f>IFERROR(__xludf.DUMMYFUNCTION("""COMPUTED_VALUE"""),0.358006042296072)</f>
        <v>0.3580060423</v>
      </c>
      <c r="P87" s="16">
        <f>IFERROR(__xludf.DUMMYFUNCTION("""COMPUTED_VALUE"""),0.287112561174551)</f>
        <v>0.2871125612</v>
      </c>
      <c r="Q87" s="16">
        <f>IFERROR(__xludf.DUMMYFUNCTION("""COMPUTED_VALUE"""),0.149390243902439)</f>
        <v>0.1493902439</v>
      </c>
      <c r="R87" s="16">
        <f>IFERROR(__xludf.DUMMYFUNCTION("""COMPUTED_VALUE"""),0.0217391304347826)</f>
        <v>0.02173913043</v>
      </c>
      <c r="S87" s="16">
        <f>IFERROR(__xludf.DUMMYFUNCTION("""COMPUTED_VALUE"""),0.0)</f>
        <v>0</v>
      </c>
      <c r="T87" s="16">
        <f>IFERROR(__xludf.DUMMYFUNCTION("""COMPUTED_VALUE"""),0.0)</f>
        <v>0</v>
      </c>
      <c r="U87" s="16">
        <f>IFERROR(__xludf.DUMMYFUNCTION("""COMPUTED_VALUE"""),0.0)</f>
        <v>0</v>
      </c>
      <c r="V87" s="16">
        <f>IFERROR(__xludf.DUMMYFUNCTION("""COMPUTED_VALUE"""),0.0)</f>
        <v>0</v>
      </c>
      <c r="W87" s="16">
        <f>IFERROR(__xludf.DUMMYFUNCTION("""COMPUTED_VALUE"""),0.0)</f>
        <v>0</v>
      </c>
      <c r="X87" s="16">
        <f>IFERROR(__xludf.DUMMYFUNCTION("""COMPUTED_VALUE"""),0.0)</f>
        <v>0</v>
      </c>
      <c r="Y87" s="16">
        <f>IFERROR(__xludf.DUMMYFUNCTION("""COMPUTED_VALUE"""),0.0)</f>
        <v>0</v>
      </c>
      <c r="Z87" s="16">
        <f>IFERROR(__xludf.DUMMYFUNCTION("""COMPUTED_VALUE"""),0.0)</f>
        <v>0</v>
      </c>
      <c r="AA87" s="16">
        <f>IFERROR(__xludf.DUMMYFUNCTION("""COMPUTED_VALUE"""),0.0)</f>
        <v>0</v>
      </c>
      <c r="AB87" s="16">
        <f>IFERROR(__xludf.DUMMYFUNCTION("""COMPUTED_VALUE"""),0.0)</f>
        <v>0</v>
      </c>
      <c r="AC87" s="16">
        <f>IFERROR(__xludf.DUMMYFUNCTION("""COMPUTED_VALUE"""),0.0)</f>
        <v>0</v>
      </c>
      <c r="AD87" s="16">
        <f>IFERROR(__xludf.DUMMYFUNCTION("""COMPUTED_VALUE"""),0.0)</f>
        <v>0</v>
      </c>
      <c r="AE87" s="16">
        <f>IFERROR(__xludf.DUMMYFUNCTION("""COMPUTED_VALUE"""),0.0)</f>
        <v>0</v>
      </c>
      <c r="AF87" s="16">
        <f>IFERROR(__xludf.DUMMYFUNCTION("""COMPUTED_VALUE"""),0.0)</f>
        <v>0</v>
      </c>
      <c r="AG87" s="16">
        <f>IFERROR(__xludf.DUMMYFUNCTION("""COMPUTED_VALUE"""),0.0)</f>
        <v>0</v>
      </c>
      <c r="AH87" s="16">
        <f>IFERROR(__xludf.DUMMYFUNCTION("""COMPUTED_VALUE"""),0.0)</f>
        <v>0</v>
      </c>
    </row>
    <row r="88">
      <c r="A88" s="16" t="str">
        <f>IFERROR(__xludf.DUMMYFUNCTION("""COMPUTED_VALUE"""),"462b561ac0c6d238fc5ed6d8ce632a9e6a2152d9")</f>
        <v>462b561ac0c6d238fc5ed6d8ce632a9e6a2152d9</v>
      </c>
      <c r="B88" s="16" t="str">
        <f>IFERROR(__xludf.DUMMYFUNCTION("""COMPUTED_VALUE"""),"My Billionaire System")</f>
        <v>My Billionaire System</v>
      </c>
      <c r="C88" s="16" t="str">
        <f>IFERROR(__xludf.DUMMYFUNCTION("""COMPUTED_VALUE"""),"System and Superpower")</f>
        <v>System and Superpower</v>
      </c>
      <c r="D88" s="16">
        <f>IFERROR(__xludf.DUMMYFUNCTION("""COMPUTED_VALUE"""),971.0)</f>
        <v>971</v>
      </c>
      <c r="E88" s="16">
        <f>IFERROR(__xludf.DUMMYFUNCTION("""COMPUTED_VALUE"""),0.98043254376931)</f>
        <v>0.9804325438</v>
      </c>
      <c r="F88" s="16">
        <f>IFERROR(__xludf.DUMMYFUNCTION("""COMPUTED_VALUE"""),0.625128733264675)</f>
        <v>0.6251287333</v>
      </c>
      <c r="G88" s="16">
        <f>IFERROR(__xludf.DUMMYFUNCTION("""COMPUTED_VALUE"""),0.541709577754891)</f>
        <v>0.5417095778</v>
      </c>
      <c r="H88" s="16">
        <f>IFERROR(__xludf.DUMMYFUNCTION("""COMPUTED_VALUE"""),0.472708547888774)</f>
        <v>0.4727085479</v>
      </c>
      <c r="I88" s="16">
        <f>IFERROR(__xludf.DUMMYFUNCTION("""COMPUTED_VALUE"""),0.412371134020618)</f>
        <v>0.412371134</v>
      </c>
      <c r="J88" s="16">
        <f>IFERROR(__xludf.DUMMYFUNCTION("""COMPUTED_VALUE"""),0.377846790890269)</f>
        <v>0.3778467909</v>
      </c>
      <c r="K88" s="16">
        <f>IFERROR(__xludf.DUMMYFUNCTION("""COMPUTED_VALUE"""),0.328838174273858)</f>
        <v>0.3288381743</v>
      </c>
      <c r="L88" s="16">
        <f>IFERROR(__xludf.DUMMYFUNCTION("""COMPUTED_VALUE"""),0.29822732012513)</f>
        <v>0.2982273201</v>
      </c>
      <c r="M88" s="16">
        <f>IFERROR(__xludf.DUMMYFUNCTION("""COMPUTED_VALUE"""),0.28)</f>
        <v>0.28</v>
      </c>
      <c r="N88" s="16">
        <f>IFERROR(__xludf.DUMMYFUNCTION("""COMPUTED_VALUE"""),0.259615384615384)</f>
        <v>0.2596153846</v>
      </c>
      <c r="O88" s="16">
        <f>IFERROR(__xludf.DUMMYFUNCTION("""COMPUTED_VALUE"""),0.224358974358974)</f>
        <v>0.2243589744</v>
      </c>
      <c r="P88" s="16">
        <f>IFERROR(__xludf.DUMMYFUNCTION("""COMPUTED_VALUE"""),0.23756906077348)</f>
        <v>0.2375690608</v>
      </c>
      <c r="Q88" s="16">
        <f>IFERROR(__xludf.DUMMYFUNCTION("""COMPUTED_VALUE"""),0.0)</f>
        <v>0</v>
      </c>
      <c r="R88" s="16">
        <f>IFERROR(__xludf.DUMMYFUNCTION("""COMPUTED_VALUE"""),0.0)</f>
        <v>0</v>
      </c>
      <c r="S88" s="16">
        <f>IFERROR(__xludf.DUMMYFUNCTION("""COMPUTED_VALUE"""),0.0)</f>
        <v>0</v>
      </c>
      <c r="T88" s="16">
        <f>IFERROR(__xludf.DUMMYFUNCTION("""COMPUTED_VALUE"""),0.0)</f>
        <v>0</v>
      </c>
      <c r="U88" s="16">
        <f>IFERROR(__xludf.DUMMYFUNCTION("""COMPUTED_VALUE"""),0.0)</f>
        <v>0</v>
      </c>
      <c r="V88" s="16">
        <f>IFERROR(__xludf.DUMMYFUNCTION("""COMPUTED_VALUE"""),0.0)</f>
        <v>0</v>
      </c>
      <c r="W88" s="16">
        <f>IFERROR(__xludf.DUMMYFUNCTION("""COMPUTED_VALUE"""),0.0)</f>
        <v>0</v>
      </c>
      <c r="X88" s="16">
        <f>IFERROR(__xludf.DUMMYFUNCTION("""COMPUTED_VALUE"""),0.0)</f>
        <v>0</v>
      </c>
      <c r="Y88" s="16">
        <f>IFERROR(__xludf.DUMMYFUNCTION("""COMPUTED_VALUE"""),0.0)</f>
        <v>0</v>
      </c>
      <c r="Z88" s="16">
        <f>IFERROR(__xludf.DUMMYFUNCTION("""COMPUTED_VALUE"""),0.0)</f>
        <v>0</v>
      </c>
      <c r="AA88" s="16">
        <f>IFERROR(__xludf.DUMMYFUNCTION("""COMPUTED_VALUE"""),0.0)</f>
        <v>0</v>
      </c>
      <c r="AB88" s="16">
        <f>IFERROR(__xludf.DUMMYFUNCTION("""COMPUTED_VALUE"""),0.0)</f>
        <v>0</v>
      </c>
      <c r="AC88" s="16">
        <f>IFERROR(__xludf.DUMMYFUNCTION("""COMPUTED_VALUE"""),0.0)</f>
        <v>0</v>
      </c>
      <c r="AD88" s="16">
        <f>IFERROR(__xludf.DUMMYFUNCTION("""COMPUTED_VALUE"""),0.0)</f>
        <v>0</v>
      </c>
      <c r="AE88" s="16">
        <f>IFERROR(__xludf.DUMMYFUNCTION("""COMPUTED_VALUE"""),0.0)</f>
        <v>0</v>
      </c>
      <c r="AF88" s="16">
        <f>IFERROR(__xludf.DUMMYFUNCTION("""COMPUTED_VALUE"""),0.0)</f>
        <v>0</v>
      </c>
      <c r="AG88" s="16">
        <f>IFERROR(__xludf.DUMMYFUNCTION("""COMPUTED_VALUE"""),0.0)</f>
        <v>0</v>
      </c>
      <c r="AH88" s="16">
        <f>IFERROR(__xludf.DUMMYFUNCTION("""COMPUTED_VALUE"""),0.0)</f>
        <v>0</v>
      </c>
    </row>
    <row r="89">
      <c r="A89" s="16" t="str">
        <f>IFERROR(__xludf.DUMMYFUNCTION("""COMPUTED_VALUE"""),"46b27558432dbda1475a912729ae1e1dee8ac6fa")</f>
        <v>46b27558432dbda1475a912729ae1e1dee8ac6fa</v>
      </c>
      <c r="B89" s="16" t="str">
        <f>IFERROR(__xludf.DUMMYFUNCTION("""COMPUTED_VALUE"""),"Secrets of Thunder Eyes ")</f>
        <v>Secrets of Thunder Eyes </v>
      </c>
      <c r="C89" s="16" t="str">
        <f>IFERROR(__xludf.DUMMYFUNCTION("""COMPUTED_VALUE"""),"Fantasy")</f>
        <v>Fantasy</v>
      </c>
      <c r="D89" s="16">
        <f>IFERROR(__xludf.DUMMYFUNCTION("""COMPUTED_VALUE"""),374.0)</f>
        <v>374</v>
      </c>
      <c r="E89" s="16">
        <f>IFERROR(__xludf.DUMMYFUNCTION("""COMPUTED_VALUE"""),0.973262032085561)</f>
        <v>0.9732620321</v>
      </c>
      <c r="F89" s="16">
        <f>IFERROR(__xludf.DUMMYFUNCTION("""COMPUTED_VALUE"""),0.328877005347593)</f>
        <v>0.3288770053</v>
      </c>
      <c r="G89" s="16">
        <f>IFERROR(__xludf.DUMMYFUNCTION("""COMPUTED_VALUE"""),0.248663101604278)</f>
        <v>0.2486631016</v>
      </c>
      <c r="H89" s="16">
        <f>IFERROR(__xludf.DUMMYFUNCTION("""COMPUTED_VALUE"""),0.218918918918918)</f>
        <v>0.2189189189</v>
      </c>
      <c r="I89" s="16">
        <f>IFERROR(__xludf.DUMMYFUNCTION("""COMPUTED_VALUE"""),0.188524590163934)</f>
        <v>0.1885245902</v>
      </c>
      <c r="J89" s="16">
        <f>IFERROR(__xludf.DUMMYFUNCTION("""COMPUTED_VALUE"""),0.164670658682634)</f>
        <v>0.1646706587</v>
      </c>
      <c r="K89" s="16">
        <f>IFERROR(__xludf.DUMMYFUNCTION("""COMPUTED_VALUE"""),0.130434782608695)</f>
        <v>0.1304347826</v>
      </c>
      <c r="L89" s="16">
        <f>IFERROR(__xludf.DUMMYFUNCTION("""COMPUTED_VALUE"""),0.11437908496732)</f>
        <v>0.114379085</v>
      </c>
      <c r="M89" s="16">
        <f>IFERROR(__xludf.DUMMYFUNCTION("""COMPUTED_VALUE"""),0.117647058823529)</f>
        <v>0.1176470588</v>
      </c>
      <c r="N89" s="16">
        <f>IFERROR(__xludf.DUMMYFUNCTION("""COMPUTED_VALUE"""),0.109848484848484)</f>
        <v>0.1098484848</v>
      </c>
      <c r="O89" s="16">
        <f>IFERROR(__xludf.DUMMYFUNCTION("""COMPUTED_VALUE"""),0.103092783505154)</f>
        <v>0.1030927835</v>
      </c>
      <c r="P89" s="16">
        <f>IFERROR(__xludf.DUMMYFUNCTION("""COMPUTED_VALUE"""),0.125)</f>
        <v>0.125</v>
      </c>
      <c r="Q89" s="16">
        <f>IFERROR(__xludf.DUMMYFUNCTION("""COMPUTED_VALUE"""),0.0606060606060606)</f>
        <v>0.06060606061</v>
      </c>
      <c r="R89" s="16">
        <f>IFERROR(__xludf.DUMMYFUNCTION("""COMPUTED_VALUE"""),0.0461538461538461)</f>
        <v>0.04615384615</v>
      </c>
      <c r="S89" s="16">
        <f>IFERROR(__xludf.DUMMYFUNCTION("""COMPUTED_VALUE"""),0.0307692307692307)</f>
        <v>0.03076923077</v>
      </c>
      <c r="T89" s="16">
        <f>IFERROR(__xludf.DUMMYFUNCTION("""COMPUTED_VALUE"""),0.032258064516129)</f>
        <v>0.03225806452</v>
      </c>
      <c r="U89" s="16">
        <f>IFERROR(__xludf.DUMMYFUNCTION("""COMPUTED_VALUE"""),0.0566037735849056)</f>
        <v>0.05660377358</v>
      </c>
      <c r="V89" s="16">
        <f>IFERROR(__xludf.DUMMYFUNCTION("""COMPUTED_VALUE"""),0.0408163265306122)</f>
        <v>0.04081632653</v>
      </c>
      <c r="W89" s="16">
        <f>IFERROR(__xludf.DUMMYFUNCTION("""COMPUTED_VALUE"""),0.0434782608695652)</f>
        <v>0.04347826087</v>
      </c>
      <c r="X89" s="16">
        <f>IFERROR(__xludf.DUMMYFUNCTION("""COMPUTED_VALUE"""),0.0)</f>
        <v>0</v>
      </c>
      <c r="Y89" s="16">
        <f>IFERROR(__xludf.DUMMYFUNCTION("""COMPUTED_VALUE"""),0.0)</f>
        <v>0</v>
      </c>
      <c r="Z89" s="16">
        <f>IFERROR(__xludf.DUMMYFUNCTION("""COMPUTED_VALUE"""),0.0)</f>
        <v>0</v>
      </c>
      <c r="AA89" s="16">
        <f>IFERROR(__xludf.DUMMYFUNCTION("""COMPUTED_VALUE"""),0.0)</f>
        <v>0</v>
      </c>
      <c r="AB89" s="16">
        <f>IFERROR(__xludf.DUMMYFUNCTION("""COMPUTED_VALUE"""),0.0)</f>
        <v>0</v>
      </c>
      <c r="AC89" s="16">
        <f>IFERROR(__xludf.DUMMYFUNCTION("""COMPUTED_VALUE"""),0.0)</f>
        <v>0</v>
      </c>
      <c r="AD89" s="16">
        <f>IFERROR(__xludf.DUMMYFUNCTION("""COMPUTED_VALUE"""),0.0)</f>
        <v>0</v>
      </c>
      <c r="AE89" s="16">
        <f>IFERROR(__xludf.DUMMYFUNCTION("""COMPUTED_VALUE"""),0.0)</f>
        <v>0</v>
      </c>
      <c r="AF89" s="16">
        <f>IFERROR(__xludf.DUMMYFUNCTION("""COMPUTED_VALUE"""),0.0)</f>
        <v>0</v>
      </c>
      <c r="AG89" s="16">
        <f>IFERROR(__xludf.DUMMYFUNCTION("""COMPUTED_VALUE"""),0.0)</f>
        <v>0</v>
      </c>
      <c r="AH89" s="16">
        <f>IFERROR(__xludf.DUMMYFUNCTION("""COMPUTED_VALUE"""),0.0)</f>
        <v>0</v>
      </c>
    </row>
    <row r="90">
      <c r="A90" s="16" t="str">
        <f>IFERROR(__xludf.DUMMYFUNCTION("""COMPUTED_VALUE"""),"48b422f2dbf0dc909fde9fadad832fde3d20f4a4")</f>
        <v>48b422f2dbf0dc909fde9fadad832fde3d20f4a4</v>
      </c>
      <c r="B90" s="16" t="str">
        <f>IFERROR(__xludf.DUMMYFUNCTION("""COMPUTED_VALUE"""),"Bride of the Ice Ceo")</f>
        <v>Bride of the Ice Ceo</v>
      </c>
      <c r="C90" s="16" t="str">
        <f>IFERROR(__xludf.DUMMYFUNCTION("""COMPUTED_VALUE"""),"Romance")</f>
        <v>Romance</v>
      </c>
      <c r="D90" s="16">
        <f>IFERROR(__xludf.DUMMYFUNCTION("""COMPUTED_VALUE"""),163.0)</f>
        <v>163</v>
      </c>
      <c r="E90" s="16">
        <f>IFERROR(__xludf.DUMMYFUNCTION("""COMPUTED_VALUE"""),0.957055214723926)</f>
        <v>0.9570552147</v>
      </c>
      <c r="F90" s="16">
        <f>IFERROR(__xludf.DUMMYFUNCTION("""COMPUTED_VALUE"""),0.668711656441717)</f>
        <v>0.6687116564</v>
      </c>
      <c r="G90" s="16">
        <f>IFERROR(__xludf.DUMMYFUNCTION("""COMPUTED_VALUE"""),0.63803680981595)</f>
        <v>0.6380368098</v>
      </c>
      <c r="H90" s="16">
        <f>IFERROR(__xludf.DUMMYFUNCTION("""COMPUTED_VALUE"""),0.588957055214724)</f>
        <v>0.5889570552</v>
      </c>
      <c r="I90" s="16">
        <f>IFERROR(__xludf.DUMMYFUNCTION("""COMPUTED_VALUE"""),0.56441717791411)</f>
        <v>0.5644171779</v>
      </c>
      <c r="J90" s="16">
        <f>IFERROR(__xludf.DUMMYFUNCTION("""COMPUTED_VALUE"""),0.50920245398773)</f>
        <v>0.509202454</v>
      </c>
      <c r="K90" s="16">
        <f>IFERROR(__xludf.DUMMYFUNCTION("""COMPUTED_VALUE"""),0.478527607361963)</f>
        <v>0.4785276074</v>
      </c>
      <c r="L90" s="16">
        <f>IFERROR(__xludf.DUMMYFUNCTION("""COMPUTED_VALUE"""),0.484662576687116)</f>
        <v>0.4846625767</v>
      </c>
      <c r="M90" s="16">
        <f>IFERROR(__xludf.DUMMYFUNCTION("""COMPUTED_VALUE"""),0.453987730061349)</f>
        <v>0.4539877301</v>
      </c>
      <c r="N90" s="16">
        <f>IFERROR(__xludf.DUMMYFUNCTION("""COMPUTED_VALUE"""),0.429447852760736)</f>
        <v>0.4294478528</v>
      </c>
      <c r="O90" s="16">
        <f>IFERROR(__xludf.DUMMYFUNCTION("""COMPUTED_VALUE"""),0.358974358974359)</f>
        <v>0.358974359</v>
      </c>
      <c r="P90" s="16">
        <f>IFERROR(__xludf.DUMMYFUNCTION("""COMPUTED_VALUE"""),0.285714285714285)</f>
        <v>0.2857142857</v>
      </c>
      <c r="Q90" s="16">
        <f>IFERROR(__xludf.DUMMYFUNCTION("""COMPUTED_VALUE"""),0.0985915492957746)</f>
        <v>0.0985915493</v>
      </c>
      <c r="R90" s="16">
        <f>IFERROR(__xludf.DUMMYFUNCTION("""COMPUTED_VALUE"""),0.0588235294117647)</f>
        <v>0.05882352941</v>
      </c>
      <c r="S90" s="16">
        <f>IFERROR(__xludf.DUMMYFUNCTION("""COMPUTED_VALUE"""),0.0)</f>
        <v>0</v>
      </c>
      <c r="T90" s="16">
        <f>IFERROR(__xludf.DUMMYFUNCTION("""COMPUTED_VALUE"""),0.0)</f>
        <v>0</v>
      </c>
      <c r="U90" s="16">
        <f>IFERROR(__xludf.DUMMYFUNCTION("""COMPUTED_VALUE"""),0.0)</f>
        <v>0</v>
      </c>
      <c r="V90" s="16">
        <f>IFERROR(__xludf.DUMMYFUNCTION("""COMPUTED_VALUE"""),0.0)</f>
        <v>0</v>
      </c>
      <c r="W90" s="16">
        <f>IFERROR(__xludf.DUMMYFUNCTION("""COMPUTED_VALUE"""),0.0)</f>
        <v>0</v>
      </c>
      <c r="X90" s="16">
        <f>IFERROR(__xludf.DUMMYFUNCTION("""COMPUTED_VALUE"""),0.0)</f>
        <v>0</v>
      </c>
      <c r="Y90" s="16">
        <f>IFERROR(__xludf.DUMMYFUNCTION("""COMPUTED_VALUE"""),0.0)</f>
        <v>0</v>
      </c>
      <c r="Z90" s="16">
        <f>IFERROR(__xludf.DUMMYFUNCTION("""COMPUTED_VALUE"""),0.0)</f>
        <v>0</v>
      </c>
      <c r="AA90" s="16">
        <f>IFERROR(__xludf.DUMMYFUNCTION("""COMPUTED_VALUE"""),0.0)</f>
        <v>0</v>
      </c>
      <c r="AB90" s="16">
        <f>IFERROR(__xludf.DUMMYFUNCTION("""COMPUTED_VALUE"""),0.0)</f>
        <v>0</v>
      </c>
      <c r="AC90" s="16">
        <f>IFERROR(__xludf.DUMMYFUNCTION("""COMPUTED_VALUE"""),0.0)</f>
        <v>0</v>
      </c>
      <c r="AD90" s="16">
        <f>IFERROR(__xludf.DUMMYFUNCTION("""COMPUTED_VALUE"""),0.0)</f>
        <v>0</v>
      </c>
      <c r="AE90" s="16">
        <f>IFERROR(__xludf.DUMMYFUNCTION("""COMPUTED_VALUE"""),0.0)</f>
        <v>0</v>
      </c>
      <c r="AF90" s="16">
        <f>IFERROR(__xludf.DUMMYFUNCTION("""COMPUTED_VALUE"""),0.0)</f>
        <v>0</v>
      </c>
      <c r="AG90" s="16">
        <f>IFERROR(__xludf.DUMMYFUNCTION("""COMPUTED_VALUE"""),0.0)</f>
        <v>0</v>
      </c>
      <c r="AH90" s="16">
        <f>IFERROR(__xludf.DUMMYFUNCTION("""COMPUTED_VALUE"""),0.0)</f>
        <v>0</v>
      </c>
    </row>
    <row r="91">
      <c r="A91" s="16" t="str">
        <f>IFERROR(__xludf.DUMMYFUNCTION("""COMPUTED_VALUE"""),"4a310051c4c56c2fab46c3a7f528a09901399ecd")</f>
        <v>4a310051c4c56c2fab46c3a7f528a09901399ecd</v>
      </c>
      <c r="B91" s="16" t="str">
        <f>IFERROR(__xludf.DUMMYFUNCTION("""COMPUTED_VALUE"""),"Strongest Warlock ")</f>
        <v>Strongest Warlock </v>
      </c>
      <c r="C91" s="16" t="str">
        <f>IFERROR(__xludf.DUMMYFUNCTION("""COMPUTED_VALUE"""),"Fantasy")</f>
        <v>Fantasy</v>
      </c>
      <c r="D91" s="16">
        <f>IFERROR(__xludf.DUMMYFUNCTION("""COMPUTED_VALUE"""),78584.0)</f>
        <v>78584</v>
      </c>
      <c r="E91" s="16">
        <f>IFERROR(__xludf.DUMMYFUNCTION("""COMPUTED_VALUE"""),0.919296548915809)</f>
        <v>0.9192965489</v>
      </c>
      <c r="F91" s="16">
        <f>IFERROR(__xludf.DUMMYFUNCTION("""COMPUTED_VALUE"""),0.503919372900336)</f>
        <v>0.5039193729</v>
      </c>
      <c r="G91" s="16">
        <f>IFERROR(__xludf.DUMMYFUNCTION("""COMPUTED_VALUE"""),0.457205029013539)</f>
        <v>0.457205029</v>
      </c>
      <c r="H91" s="16">
        <f>IFERROR(__xludf.DUMMYFUNCTION("""COMPUTED_VALUE"""),0.427077894790459)</f>
        <v>0.4270778948</v>
      </c>
      <c r="I91" s="16">
        <f>IFERROR(__xludf.DUMMYFUNCTION("""COMPUTED_VALUE"""),0.408316204726218)</f>
        <v>0.4083162047</v>
      </c>
      <c r="J91" s="16">
        <f>IFERROR(__xludf.DUMMYFUNCTION("""COMPUTED_VALUE"""),0.394597084831654)</f>
        <v>0.3945970848</v>
      </c>
      <c r="K91" s="16">
        <f>IFERROR(__xludf.DUMMYFUNCTION("""COMPUTED_VALUE"""),0.379791030215901)</f>
        <v>0.3797910302</v>
      </c>
      <c r="L91" s="16">
        <f>IFERROR(__xludf.DUMMYFUNCTION("""COMPUTED_VALUE"""),0.370722531436817)</f>
        <v>0.3707225314</v>
      </c>
      <c r="M91" s="16">
        <f>IFERROR(__xludf.DUMMYFUNCTION("""COMPUTED_VALUE"""),0.363200599498695)</f>
        <v>0.3632005995</v>
      </c>
      <c r="N91" s="16">
        <f>IFERROR(__xludf.DUMMYFUNCTION("""COMPUTED_VALUE"""),0.356527037714078)</f>
        <v>0.3565270377</v>
      </c>
      <c r="O91" s="16">
        <f>IFERROR(__xludf.DUMMYFUNCTION("""COMPUTED_VALUE"""),0.331819262154382)</f>
        <v>0.3318192622</v>
      </c>
      <c r="P91" s="16">
        <f>IFERROR(__xludf.DUMMYFUNCTION("""COMPUTED_VALUE"""),0.297029169137866)</f>
        <v>0.2970291691</v>
      </c>
      <c r="Q91" s="16">
        <f>IFERROR(__xludf.DUMMYFUNCTION("""COMPUTED_VALUE"""),0.242079826915241)</f>
        <v>0.2420798269</v>
      </c>
      <c r="R91" s="16">
        <f>IFERROR(__xludf.DUMMYFUNCTION("""COMPUTED_VALUE"""),0.207715133531157)</f>
        <v>0.2077151335</v>
      </c>
      <c r="S91" s="16">
        <f>IFERROR(__xludf.DUMMYFUNCTION("""COMPUTED_VALUE"""),0.178029362354831)</f>
        <v>0.1780293624</v>
      </c>
      <c r="T91" s="16">
        <f>IFERROR(__xludf.DUMMYFUNCTION("""COMPUTED_VALUE"""),0.158613211330788)</f>
        <v>0.1586132113</v>
      </c>
      <c r="U91" s="16">
        <f>IFERROR(__xludf.DUMMYFUNCTION("""COMPUTED_VALUE"""),0.145191522810412)</f>
        <v>0.1451915228</v>
      </c>
      <c r="V91" s="16">
        <f>IFERROR(__xludf.DUMMYFUNCTION("""COMPUTED_VALUE"""),0.134217857747541)</f>
        <v>0.1342178577</v>
      </c>
      <c r="W91" s="16">
        <f>IFERROR(__xludf.DUMMYFUNCTION("""COMPUTED_VALUE"""),0.12430272641805)</f>
        <v>0.1243027264</v>
      </c>
      <c r="X91" s="16">
        <f>IFERROR(__xludf.DUMMYFUNCTION("""COMPUTED_VALUE"""),0.106844688037728)</f>
        <v>0.106844688</v>
      </c>
      <c r="Y91" s="16">
        <f>IFERROR(__xludf.DUMMYFUNCTION("""COMPUTED_VALUE"""),0.0948970022313488)</f>
        <v>0.09489700223</v>
      </c>
      <c r="Z91" s="16">
        <f>IFERROR(__xludf.DUMMYFUNCTION("""COMPUTED_VALUE"""),0.0763870671563483)</f>
        <v>0.07638706716</v>
      </c>
      <c r="AA91" s="16">
        <f>IFERROR(__xludf.DUMMYFUNCTION("""COMPUTED_VALUE"""),0.0628127293348455)</f>
        <v>0.06281272933</v>
      </c>
      <c r="AB91" s="16">
        <f>IFERROR(__xludf.DUMMYFUNCTION("""COMPUTED_VALUE"""),0.0118839686290626)</f>
        <v>0.01188396863</v>
      </c>
      <c r="AC91" s="16">
        <f>IFERROR(__xludf.DUMMYFUNCTION("""COMPUTED_VALUE"""),0.00508111304090757)</f>
        <v>0.005081113041</v>
      </c>
      <c r="AD91" s="16">
        <f>IFERROR(__xludf.DUMMYFUNCTION("""COMPUTED_VALUE"""),0.0)</f>
        <v>0</v>
      </c>
      <c r="AE91" s="16">
        <f>IFERROR(__xludf.DUMMYFUNCTION("""COMPUTED_VALUE"""),0.0)</f>
        <v>0</v>
      </c>
      <c r="AF91" s="16">
        <f>IFERROR(__xludf.DUMMYFUNCTION("""COMPUTED_VALUE"""),0.0)</f>
        <v>0</v>
      </c>
      <c r="AG91" s="16">
        <f>IFERROR(__xludf.DUMMYFUNCTION("""COMPUTED_VALUE"""),0.0)</f>
        <v>0</v>
      </c>
      <c r="AH91" s="16">
        <f>IFERROR(__xludf.DUMMYFUNCTION("""COMPUTED_VALUE"""),0.0)</f>
        <v>0</v>
      </c>
    </row>
    <row r="92">
      <c r="A92" s="16" t="str">
        <f>IFERROR(__xludf.DUMMYFUNCTION("""COMPUTED_VALUE"""),"4b2d918a2f639175cf29754151e058356b36f273")</f>
        <v>4b2d918a2f639175cf29754151e058356b36f273</v>
      </c>
      <c r="B92" s="16" t="str">
        <f>IFERROR(__xludf.DUMMYFUNCTION("""COMPUTED_VALUE"""),"Surviving Zombies Rising")</f>
        <v>Surviving Zombies Rising</v>
      </c>
      <c r="C92" s="16" t="str">
        <f>IFERROR(__xludf.DUMMYFUNCTION("""COMPUTED_VALUE"""),"Sci-Fi")</f>
        <v>Sci-Fi</v>
      </c>
      <c r="D92" s="16">
        <f>IFERROR(__xludf.DUMMYFUNCTION("""COMPUTED_VALUE"""),437.0)</f>
        <v>437</v>
      </c>
      <c r="E92" s="16">
        <f>IFERROR(__xludf.DUMMYFUNCTION("""COMPUTED_VALUE"""),0.988558352402746)</f>
        <v>0.9885583524</v>
      </c>
      <c r="F92" s="16">
        <f>IFERROR(__xludf.DUMMYFUNCTION("""COMPUTED_VALUE"""),0.423340961098398)</f>
        <v>0.4233409611</v>
      </c>
      <c r="G92" s="16">
        <f>IFERROR(__xludf.DUMMYFUNCTION("""COMPUTED_VALUE"""),0.345622119815668)</f>
        <v>0.3456221198</v>
      </c>
      <c r="H92" s="16">
        <f>IFERROR(__xludf.DUMMYFUNCTION("""COMPUTED_VALUE"""),0.296983758700696)</f>
        <v>0.2969837587</v>
      </c>
      <c r="I92" s="16">
        <f>IFERROR(__xludf.DUMMYFUNCTION("""COMPUTED_VALUE"""),0.269320843091334)</f>
        <v>0.2693208431</v>
      </c>
      <c r="J92" s="16">
        <f>IFERROR(__xludf.DUMMYFUNCTION("""COMPUTED_VALUE"""),0.253588516746411)</f>
        <v>0.2535885167</v>
      </c>
      <c r="K92" s="16">
        <f>IFERROR(__xludf.DUMMYFUNCTION("""COMPUTED_VALUE"""),0.236585365853658)</f>
        <v>0.2365853659</v>
      </c>
      <c r="L92" s="16">
        <f>IFERROR(__xludf.DUMMYFUNCTION("""COMPUTED_VALUE"""),0.206549118387909)</f>
        <v>0.2065491184</v>
      </c>
      <c r="M92" s="16">
        <f>IFERROR(__xludf.DUMMYFUNCTION("""COMPUTED_VALUE"""),0.202046035805626)</f>
        <v>0.2020460358</v>
      </c>
      <c r="N92" s="16">
        <f>IFERROR(__xludf.DUMMYFUNCTION("""COMPUTED_VALUE"""),0.198391420911528)</f>
        <v>0.1983914209</v>
      </c>
      <c r="O92" s="16">
        <f>IFERROR(__xludf.DUMMYFUNCTION("""COMPUTED_VALUE"""),0.185714285714285)</f>
        <v>0.1857142857</v>
      </c>
      <c r="P92" s="16">
        <f>IFERROR(__xludf.DUMMYFUNCTION("""COMPUTED_VALUE"""),0.133561643835616)</f>
        <v>0.1335616438</v>
      </c>
      <c r="Q92" s="16">
        <f>IFERROR(__xludf.DUMMYFUNCTION("""COMPUTED_VALUE"""),0.0747663551401869)</f>
        <v>0.07476635514</v>
      </c>
      <c r="R92" s="16">
        <f>IFERROR(__xludf.DUMMYFUNCTION("""COMPUTED_VALUE"""),0.0)</f>
        <v>0</v>
      </c>
      <c r="S92" s="16">
        <f>IFERROR(__xludf.DUMMYFUNCTION("""COMPUTED_VALUE"""),0.0)</f>
        <v>0</v>
      </c>
      <c r="T92" s="16">
        <f>IFERROR(__xludf.DUMMYFUNCTION("""COMPUTED_VALUE"""),0.0)</f>
        <v>0</v>
      </c>
      <c r="U92" s="16">
        <f>IFERROR(__xludf.DUMMYFUNCTION("""COMPUTED_VALUE"""),0.0)</f>
        <v>0</v>
      </c>
      <c r="V92" s="16">
        <f>IFERROR(__xludf.DUMMYFUNCTION("""COMPUTED_VALUE"""),0.0)</f>
        <v>0</v>
      </c>
      <c r="W92" s="16">
        <f>IFERROR(__xludf.DUMMYFUNCTION("""COMPUTED_VALUE"""),0.0)</f>
        <v>0</v>
      </c>
      <c r="X92" s="16">
        <f>IFERROR(__xludf.DUMMYFUNCTION("""COMPUTED_VALUE"""),0.0)</f>
        <v>0</v>
      </c>
      <c r="Y92" s="16">
        <f>IFERROR(__xludf.DUMMYFUNCTION("""COMPUTED_VALUE"""),0.0)</f>
        <v>0</v>
      </c>
      <c r="Z92" s="16">
        <f>IFERROR(__xludf.DUMMYFUNCTION("""COMPUTED_VALUE"""),0.0)</f>
        <v>0</v>
      </c>
      <c r="AA92" s="16">
        <f>IFERROR(__xludf.DUMMYFUNCTION("""COMPUTED_VALUE"""),0.0)</f>
        <v>0</v>
      </c>
      <c r="AB92" s="16">
        <f>IFERROR(__xludf.DUMMYFUNCTION("""COMPUTED_VALUE"""),0.0)</f>
        <v>0</v>
      </c>
      <c r="AC92" s="16">
        <f>IFERROR(__xludf.DUMMYFUNCTION("""COMPUTED_VALUE"""),0.0)</f>
        <v>0</v>
      </c>
      <c r="AD92" s="16">
        <f>IFERROR(__xludf.DUMMYFUNCTION("""COMPUTED_VALUE"""),0.0)</f>
        <v>0</v>
      </c>
      <c r="AE92" s="16">
        <f>IFERROR(__xludf.DUMMYFUNCTION("""COMPUTED_VALUE"""),0.0)</f>
        <v>0</v>
      </c>
      <c r="AF92" s="16">
        <f>IFERROR(__xludf.DUMMYFUNCTION("""COMPUTED_VALUE"""),0.0)</f>
        <v>0</v>
      </c>
      <c r="AG92" s="16">
        <f>IFERROR(__xludf.DUMMYFUNCTION("""COMPUTED_VALUE"""),0.0)</f>
        <v>0</v>
      </c>
      <c r="AH92" s="16">
        <f>IFERROR(__xludf.DUMMYFUNCTION("""COMPUTED_VALUE"""),0.0)</f>
        <v>0</v>
      </c>
    </row>
    <row r="93">
      <c r="A93" s="16" t="str">
        <f>IFERROR(__xludf.DUMMYFUNCTION("""COMPUTED_VALUE"""),"4bb85319b3dd3ab4ec654bdd13098e3f37cb3e3b")</f>
        <v>4bb85319b3dd3ab4ec654bdd13098e3f37cb3e3b</v>
      </c>
      <c r="B93" s="16" t="str">
        <f>IFERROR(__xludf.DUMMYFUNCTION("""COMPUTED_VALUE"""),"Shadowed Wealth")</f>
        <v>Shadowed Wealth</v>
      </c>
      <c r="C93" s="16" t="str">
        <f>IFERROR(__xludf.DUMMYFUNCTION("""COMPUTED_VALUE"""),"System and Superpower")</f>
        <v>System and Superpower</v>
      </c>
      <c r="D93" s="16">
        <f>IFERROR(__xludf.DUMMYFUNCTION("""COMPUTED_VALUE"""),257.0)</f>
        <v>257</v>
      </c>
      <c r="E93" s="16">
        <f>IFERROR(__xludf.DUMMYFUNCTION("""COMPUTED_VALUE"""),0.891050583657587)</f>
        <v>0.8910505837</v>
      </c>
      <c r="F93" s="16">
        <f>IFERROR(__xludf.DUMMYFUNCTION("""COMPUTED_VALUE"""),0.607003891050583)</f>
        <v>0.6070038911</v>
      </c>
      <c r="G93" s="16">
        <f>IFERROR(__xludf.DUMMYFUNCTION("""COMPUTED_VALUE"""),0.544747081712062)</f>
        <v>0.5447470817</v>
      </c>
      <c r="H93" s="16">
        <f>IFERROR(__xludf.DUMMYFUNCTION("""COMPUTED_VALUE"""),0.486381322957198)</f>
        <v>0.486381323</v>
      </c>
      <c r="I93" s="16">
        <f>IFERROR(__xludf.DUMMYFUNCTION("""COMPUTED_VALUE"""),0.389105058365758)</f>
        <v>0.3891050584</v>
      </c>
      <c r="J93" s="16">
        <f>IFERROR(__xludf.DUMMYFUNCTION("""COMPUTED_VALUE"""),0.330739299610894)</f>
        <v>0.3307392996</v>
      </c>
      <c r="K93" s="16">
        <f>IFERROR(__xludf.DUMMYFUNCTION("""COMPUTED_VALUE"""),0.33852140077821)</f>
        <v>0.3385214008</v>
      </c>
      <c r="L93" s="16">
        <f>IFERROR(__xludf.DUMMYFUNCTION("""COMPUTED_VALUE"""),0.322957198443579)</f>
        <v>0.3229571984</v>
      </c>
      <c r="M93" s="16">
        <f>IFERROR(__xludf.DUMMYFUNCTION("""COMPUTED_VALUE"""),0.315175097276264)</f>
        <v>0.3151750973</v>
      </c>
      <c r="N93" s="16">
        <f>IFERROR(__xludf.DUMMYFUNCTION("""COMPUTED_VALUE"""),0.299610894941634)</f>
        <v>0.2996108949</v>
      </c>
      <c r="O93" s="16">
        <f>IFERROR(__xludf.DUMMYFUNCTION("""COMPUTED_VALUE"""),0.258823529411764)</f>
        <v>0.2588235294</v>
      </c>
      <c r="P93" s="16">
        <f>IFERROR(__xludf.DUMMYFUNCTION("""COMPUTED_VALUE"""),0.152610441767068)</f>
        <v>0.1526104418</v>
      </c>
      <c r="Q93" s="16">
        <f>IFERROR(__xludf.DUMMYFUNCTION("""COMPUTED_VALUE"""),0.0448979591836734)</f>
        <v>0.04489795918</v>
      </c>
      <c r="R93" s="16">
        <f>IFERROR(__xludf.DUMMYFUNCTION("""COMPUTED_VALUE"""),0.0)</f>
        <v>0</v>
      </c>
      <c r="S93" s="16">
        <f>IFERROR(__xludf.DUMMYFUNCTION("""COMPUTED_VALUE"""),0.0)</f>
        <v>0</v>
      </c>
      <c r="T93" s="16">
        <f>IFERROR(__xludf.DUMMYFUNCTION("""COMPUTED_VALUE"""),0.0)</f>
        <v>0</v>
      </c>
      <c r="U93" s="16">
        <f>IFERROR(__xludf.DUMMYFUNCTION("""COMPUTED_VALUE"""),0.0)</f>
        <v>0</v>
      </c>
      <c r="V93" s="16">
        <f>IFERROR(__xludf.DUMMYFUNCTION("""COMPUTED_VALUE"""),0.0)</f>
        <v>0</v>
      </c>
      <c r="W93" s="16">
        <f>IFERROR(__xludf.DUMMYFUNCTION("""COMPUTED_VALUE"""),0.0)</f>
        <v>0</v>
      </c>
      <c r="X93" s="16">
        <f>IFERROR(__xludf.DUMMYFUNCTION("""COMPUTED_VALUE"""),0.0)</f>
        <v>0</v>
      </c>
      <c r="Y93" s="16">
        <f>IFERROR(__xludf.DUMMYFUNCTION("""COMPUTED_VALUE"""),0.0)</f>
        <v>0</v>
      </c>
      <c r="Z93" s="16">
        <f>IFERROR(__xludf.DUMMYFUNCTION("""COMPUTED_VALUE"""),0.0)</f>
        <v>0</v>
      </c>
      <c r="AA93" s="16">
        <f>IFERROR(__xludf.DUMMYFUNCTION("""COMPUTED_VALUE"""),0.0)</f>
        <v>0</v>
      </c>
      <c r="AB93" s="16">
        <f>IFERROR(__xludf.DUMMYFUNCTION("""COMPUTED_VALUE"""),0.0)</f>
        <v>0</v>
      </c>
      <c r="AC93" s="16">
        <f>IFERROR(__xludf.DUMMYFUNCTION("""COMPUTED_VALUE"""),0.0)</f>
        <v>0</v>
      </c>
      <c r="AD93" s="16">
        <f>IFERROR(__xludf.DUMMYFUNCTION("""COMPUTED_VALUE"""),0.0)</f>
        <v>0</v>
      </c>
      <c r="AE93" s="16">
        <f>IFERROR(__xludf.DUMMYFUNCTION("""COMPUTED_VALUE"""),0.0)</f>
        <v>0</v>
      </c>
      <c r="AF93" s="16">
        <f>IFERROR(__xludf.DUMMYFUNCTION("""COMPUTED_VALUE"""),0.0)</f>
        <v>0</v>
      </c>
      <c r="AG93" s="16">
        <f>IFERROR(__xludf.DUMMYFUNCTION("""COMPUTED_VALUE"""),0.0)</f>
        <v>0</v>
      </c>
      <c r="AH93" s="16">
        <f>IFERROR(__xludf.DUMMYFUNCTION("""COMPUTED_VALUE"""),0.0)</f>
        <v>0</v>
      </c>
    </row>
    <row r="94">
      <c r="A94" s="16" t="str">
        <f>IFERROR(__xludf.DUMMYFUNCTION("""COMPUTED_VALUE"""),"4c43207d3f7885c90d8aaafbb8952de80561f21d")</f>
        <v>4c43207d3f7885c90d8aaafbb8952de80561f21d</v>
      </c>
      <c r="B94" s="16" t="str">
        <f>IFERROR(__xludf.DUMMYFUNCTION("""COMPUTED_VALUE"""),"The Boss &amp; His Fake Wife")</f>
        <v>The Boss &amp; His Fake Wife</v>
      </c>
      <c r="C94" s="16" t="str">
        <f>IFERROR(__xludf.DUMMYFUNCTION("""COMPUTED_VALUE"""),"Romance")</f>
        <v>Romance</v>
      </c>
      <c r="D94" s="16">
        <f>IFERROR(__xludf.DUMMYFUNCTION("""COMPUTED_VALUE"""),169.0)</f>
        <v>169</v>
      </c>
      <c r="E94" s="16">
        <f>IFERROR(__xludf.DUMMYFUNCTION("""COMPUTED_VALUE"""),0.946745562130177)</f>
        <v>0.9467455621</v>
      </c>
      <c r="F94" s="16">
        <f>IFERROR(__xludf.DUMMYFUNCTION("""COMPUTED_VALUE"""),0.485207100591715)</f>
        <v>0.4852071006</v>
      </c>
      <c r="G94" s="16">
        <f>IFERROR(__xludf.DUMMYFUNCTION("""COMPUTED_VALUE"""),0.455621301775147)</f>
        <v>0.4556213018</v>
      </c>
      <c r="H94" s="16">
        <f>IFERROR(__xludf.DUMMYFUNCTION("""COMPUTED_VALUE"""),0.449704142011834)</f>
        <v>0.449704142</v>
      </c>
      <c r="I94" s="16">
        <f>IFERROR(__xludf.DUMMYFUNCTION("""COMPUTED_VALUE"""),0.420118343195266)</f>
        <v>0.4201183432</v>
      </c>
      <c r="J94" s="16">
        <f>IFERROR(__xludf.DUMMYFUNCTION("""COMPUTED_VALUE"""),0.404761904761904)</f>
        <v>0.4047619048</v>
      </c>
      <c r="K94" s="16">
        <f>IFERROR(__xludf.DUMMYFUNCTION("""COMPUTED_VALUE"""),0.387878787878787)</f>
        <v>0.3878787879</v>
      </c>
      <c r="L94" s="16">
        <f>IFERROR(__xludf.DUMMYFUNCTION("""COMPUTED_VALUE"""),0.371069182389937)</f>
        <v>0.3710691824</v>
      </c>
      <c r="M94" s="16">
        <f>IFERROR(__xludf.DUMMYFUNCTION("""COMPUTED_VALUE"""),0.358490566037735)</f>
        <v>0.358490566</v>
      </c>
      <c r="N94" s="16">
        <f>IFERROR(__xludf.DUMMYFUNCTION("""COMPUTED_VALUE"""),0.358490566037735)</f>
        <v>0.358490566</v>
      </c>
      <c r="O94" s="16">
        <f>IFERROR(__xludf.DUMMYFUNCTION("""COMPUTED_VALUE"""),0.345070422535211)</f>
        <v>0.3450704225</v>
      </c>
      <c r="P94" s="16">
        <f>IFERROR(__xludf.DUMMYFUNCTION("""COMPUTED_VALUE"""),0.31578947368421)</f>
        <v>0.3157894737</v>
      </c>
      <c r="Q94" s="16">
        <f>IFERROR(__xludf.DUMMYFUNCTION("""COMPUTED_VALUE"""),0.0)</f>
        <v>0</v>
      </c>
      <c r="R94" s="16">
        <f>IFERROR(__xludf.DUMMYFUNCTION("""COMPUTED_VALUE"""),0.0)</f>
        <v>0</v>
      </c>
      <c r="S94" s="16">
        <f>IFERROR(__xludf.DUMMYFUNCTION("""COMPUTED_VALUE"""),0.0)</f>
        <v>0</v>
      </c>
      <c r="T94" s="16">
        <f>IFERROR(__xludf.DUMMYFUNCTION("""COMPUTED_VALUE"""),0.0)</f>
        <v>0</v>
      </c>
      <c r="U94" s="16">
        <f>IFERROR(__xludf.DUMMYFUNCTION("""COMPUTED_VALUE"""),0.0)</f>
        <v>0</v>
      </c>
      <c r="V94" s="16">
        <f>IFERROR(__xludf.DUMMYFUNCTION("""COMPUTED_VALUE"""),0.0)</f>
        <v>0</v>
      </c>
      <c r="W94" s="16">
        <f>IFERROR(__xludf.DUMMYFUNCTION("""COMPUTED_VALUE"""),0.0)</f>
        <v>0</v>
      </c>
      <c r="X94" s="16">
        <f>IFERROR(__xludf.DUMMYFUNCTION("""COMPUTED_VALUE"""),0.0)</f>
        <v>0</v>
      </c>
      <c r="Y94" s="16">
        <f>IFERROR(__xludf.DUMMYFUNCTION("""COMPUTED_VALUE"""),0.0)</f>
        <v>0</v>
      </c>
      <c r="Z94" s="16">
        <f>IFERROR(__xludf.DUMMYFUNCTION("""COMPUTED_VALUE"""),0.0)</f>
        <v>0</v>
      </c>
      <c r="AA94" s="16">
        <f>IFERROR(__xludf.DUMMYFUNCTION("""COMPUTED_VALUE"""),0.0)</f>
        <v>0</v>
      </c>
      <c r="AB94" s="16">
        <f>IFERROR(__xludf.DUMMYFUNCTION("""COMPUTED_VALUE"""),0.0)</f>
        <v>0</v>
      </c>
      <c r="AC94" s="16">
        <f>IFERROR(__xludf.DUMMYFUNCTION("""COMPUTED_VALUE"""),0.0)</f>
        <v>0</v>
      </c>
      <c r="AD94" s="16">
        <f>IFERROR(__xludf.DUMMYFUNCTION("""COMPUTED_VALUE"""),0.0)</f>
        <v>0</v>
      </c>
      <c r="AE94" s="16">
        <f>IFERROR(__xludf.DUMMYFUNCTION("""COMPUTED_VALUE"""),0.0)</f>
        <v>0</v>
      </c>
      <c r="AF94" s="16">
        <f>IFERROR(__xludf.DUMMYFUNCTION("""COMPUTED_VALUE"""),0.0)</f>
        <v>0</v>
      </c>
      <c r="AG94" s="16">
        <f>IFERROR(__xludf.DUMMYFUNCTION("""COMPUTED_VALUE"""),0.0)</f>
        <v>0</v>
      </c>
      <c r="AH94" s="16">
        <f>IFERROR(__xludf.DUMMYFUNCTION("""COMPUTED_VALUE"""),0.0)</f>
        <v>0</v>
      </c>
    </row>
    <row r="95">
      <c r="A95" s="16" t="str">
        <f>IFERROR(__xludf.DUMMYFUNCTION("""COMPUTED_VALUE"""),"4d01d84cdfff217f33b380cdb07a2a1c706749ea")</f>
        <v>4d01d84cdfff217f33b380cdb07a2a1c706749ea</v>
      </c>
      <c r="B95" s="16" t="str">
        <f>IFERROR(__xludf.DUMMYFUNCTION("""COMPUTED_VALUE"""),"The Fifth Bride")</f>
        <v>The Fifth Bride</v>
      </c>
      <c r="C95" s="16" t="str">
        <f>IFERROR(__xludf.DUMMYFUNCTION("""COMPUTED_VALUE"""),"Suspense or Thriller")</f>
        <v>Suspense or Thriller</v>
      </c>
      <c r="D95" s="16">
        <f>IFERROR(__xludf.DUMMYFUNCTION("""COMPUTED_VALUE"""),45.0)</f>
        <v>45</v>
      </c>
      <c r="E95" s="16">
        <f>IFERROR(__xludf.DUMMYFUNCTION("""COMPUTED_VALUE"""),0.911111111111111)</f>
        <v>0.9111111111</v>
      </c>
      <c r="F95" s="16">
        <f>IFERROR(__xludf.DUMMYFUNCTION("""COMPUTED_VALUE"""),0.444444444444444)</f>
        <v>0.4444444444</v>
      </c>
      <c r="G95" s="16">
        <f>IFERROR(__xludf.DUMMYFUNCTION("""COMPUTED_VALUE"""),0.377777777777777)</f>
        <v>0.3777777778</v>
      </c>
      <c r="H95" s="16">
        <f>IFERROR(__xludf.DUMMYFUNCTION("""COMPUTED_VALUE"""),0.333333333333333)</f>
        <v>0.3333333333</v>
      </c>
      <c r="I95" s="16">
        <f>IFERROR(__xludf.DUMMYFUNCTION("""COMPUTED_VALUE"""),0.311111111111111)</f>
        <v>0.3111111111</v>
      </c>
      <c r="J95" s="16">
        <f>IFERROR(__xludf.DUMMYFUNCTION("""COMPUTED_VALUE"""),0.311111111111111)</f>
        <v>0.3111111111</v>
      </c>
      <c r="K95" s="16">
        <f>IFERROR(__xludf.DUMMYFUNCTION("""COMPUTED_VALUE"""),0.311111111111111)</f>
        <v>0.3111111111</v>
      </c>
      <c r="L95" s="16">
        <f>IFERROR(__xludf.DUMMYFUNCTION("""COMPUTED_VALUE"""),0.266666666666666)</f>
        <v>0.2666666667</v>
      </c>
      <c r="M95" s="16">
        <f>IFERROR(__xludf.DUMMYFUNCTION("""COMPUTED_VALUE"""),0.311111111111111)</f>
        <v>0.3111111111</v>
      </c>
      <c r="N95" s="16">
        <f>IFERROR(__xludf.DUMMYFUNCTION("""COMPUTED_VALUE"""),0.266666666666666)</f>
        <v>0.2666666667</v>
      </c>
      <c r="O95" s="16">
        <f>IFERROR(__xludf.DUMMYFUNCTION("""COMPUTED_VALUE"""),0.222222222222222)</f>
        <v>0.2222222222</v>
      </c>
      <c r="P95" s="16">
        <f>IFERROR(__xludf.DUMMYFUNCTION("""COMPUTED_VALUE"""),0.155555555555555)</f>
        <v>0.1555555556</v>
      </c>
      <c r="Q95" s="16">
        <f>IFERROR(__xludf.DUMMYFUNCTION("""COMPUTED_VALUE"""),0.0)</f>
        <v>0</v>
      </c>
      <c r="R95" s="16">
        <f>IFERROR(__xludf.DUMMYFUNCTION("""COMPUTED_VALUE"""),0.0)</f>
        <v>0</v>
      </c>
      <c r="S95" s="16">
        <f>IFERROR(__xludf.DUMMYFUNCTION("""COMPUTED_VALUE"""),0.0)</f>
        <v>0</v>
      </c>
      <c r="T95" s="16">
        <f>IFERROR(__xludf.DUMMYFUNCTION("""COMPUTED_VALUE"""),0.0)</f>
        <v>0</v>
      </c>
      <c r="U95" s="16">
        <f>IFERROR(__xludf.DUMMYFUNCTION("""COMPUTED_VALUE"""),0.0)</f>
        <v>0</v>
      </c>
      <c r="V95" s="16">
        <f>IFERROR(__xludf.DUMMYFUNCTION("""COMPUTED_VALUE"""),0.0)</f>
        <v>0</v>
      </c>
      <c r="W95" s="16">
        <f>IFERROR(__xludf.DUMMYFUNCTION("""COMPUTED_VALUE"""),0.0)</f>
        <v>0</v>
      </c>
      <c r="X95" s="16">
        <f>IFERROR(__xludf.DUMMYFUNCTION("""COMPUTED_VALUE"""),0.0)</f>
        <v>0</v>
      </c>
      <c r="Y95" s="16">
        <f>IFERROR(__xludf.DUMMYFUNCTION("""COMPUTED_VALUE"""),0.0)</f>
        <v>0</v>
      </c>
      <c r="Z95" s="16">
        <f>IFERROR(__xludf.DUMMYFUNCTION("""COMPUTED_VALUE"""),0.0)</f>
        <v>0</v>
      </c>
      <c r="AA95" s="16">
        <f>IFERROR(__xludf.DUMMYFUNCTION("""COMPUTED_VALUE"""),0.0)</f>
        <v>0</v>
      </c>
      <c r="AB95" s="16">
        <f>IFERROR(__xludf.DUMMYFUNCTION("""COMPUTED_VALUE"""),0.0)</f>
        <v>0</v>
      </c>
      <c r="AC95" s="16">
        <f>IFERROR(__xludf.DUMMYFUNCTION("""COMPUTED_VALUE"""),0.0)</f>
        <v>0</v>
      </c>
      <c r="AD95" s="16">
        <f>IFERROR(__xludf.DUMMYFUNCTION("""COMPUTED_VALUE"""),0.0)</f>
        <v>0</v>
      </c>
      <c r="AE95" s="16">
        <f>IFERROR(__xludf.DUMMYFUNCTION("""COMPUTED_VALUE"""),0.0)</f>
        <v>0</v>
      </c>
      <c r="AF95" s="16">
        <f>IFERROR(__xludf.DUMMYFUNCTION("""COMPUTED_VALUE"""),0.0)</f>
        <v>0</v>
      </c>
      <c r="AG95" s="16">
        <f>IFERROR(__xludf.DUMMYFUNCTION("""COMPUTED_VALUE"""),0.0)</f>
        <v>0</v>
      </c>
      <c r="AH95" s="16">
        <f>IFERROR(__xludf.DUMMYFUNCTION("""COMPUTED_VALUE"""),0.0)</f>
        <v>0</v>
      </c>
    </row>
    <row r="96">
      <c r="A96" s="16" t="str">
        <f>IFERROR(__xludf.DUMMYFUNCTION("""COMPUTED_VALUE"""),"4d887dec2a071a00150fdcd6417f16bcaf5f02b0")</f>
        <v>4d887dec2a071a00150fdcd6417f16bcaf5f02b0</v>
      </c>
      <c r="B96" s="16" t="str">
        <f>IFERROR(__xludf.DUMMYFUNCTION("""COMPUTED_VALUE"""),"Loving Nathaniel Hawthorne: The Billionaire Playboy")</f>
        <v>Loving Nathaniel Hawthorne: The Billionaire Playboy</v>
      </c>
      <c r="C96" s="16" t="str">
        <f>IFERROR(__xludf.DUMMYFUNCTION("""COMPUTED_VALUE"""),"Romance")</f>
        <v>Romance</v>
      </c>
      <c r="D96" s="16">
        <f>IFERROR(__xludf.DUMMYFUNCTION("""COMPUTED_VALUE"""),2948.0)</f>
        <v>2948</v>
      </c>
      <c r="E96" s="16">
        <f>IFERROR(__xludf.DUMMYFUNCTION("""COMPUTED_VALUE"""),0.799864314789687)</f>
        <v>0.7998643148</v>
      </c>
      <c r="F96" s="16">
        <f>IFERROR(__xludf.DUMMYFUNCTION("""COMPUTED_VALUE"""),0.378561736770692)</f>
        <v>0.3785617368</v>
      </c>
      <c r="G96" s="16">
        <f>IFERROR(__xludf.DUMMYFUNCTION("""COMPUTED_VALUE"""),0.336838534599728)</f>
        <v>0.3368385346</v>
      </c>
      <c r="H96" s="16">
        <f>IFERROR(__xludf.DUMMYFUNCTION("""COMPUTED_VALUE"""),0.319199457259158)</f>
        <v>0.3191994573</v>
      </c>
      <c r="I96" s="16">
        <f>IFERROR(__xludf.DUMMYFUNCTION("""COMPUTED_VALUE"""),0.300542740841248)</f>
        <v>0.3005427408</v>
      </c>
      <c r="J96" s="16">
        <f>IFERROR(__xludf.DUMMYFUNCTION("""COMPUTED_VALUE"""),0.290705563093622)</f>
        <v>0.2907055631</v>
      </c>
      <c r="K96" s="16">
        <f>IFERROR(__xludf.DUMMYFUNCTION("""COMPUTED_VALUE"""),0.278154681139755)</f>
        <v>0.2781546811</v>
      </c>
      <c r="L96" s="16">
        <f>IFERROR(__xludf.DUMMYFUNCTION("""COMPUTED_VALUE"""),0.268747879199185)</f>
        <v>0.2687478792</v>
      </c>
      <c r="M96" s="16">
        <f>IFERROR(__xludf.DUMMYFUNCTION("""COMPUTED_VALUE"""),0.263747454175152)</f>
        <v>0.2637474542</v>
      </c>
      <c r="N96" s="16">
        <f>IFERROR(__xludf.DUMMYFUNCTION("""COMPUTED_VALUE"""),0.26044142614601)</f>
        <v>0.2604414261</v>
      </c>
      <c r="O96" s="16">
        <f>IFERROR(__xludf.DUMMYFUNCTION("""COMPUTED_VALUE"""),0.251444104655113)</f>
        <v>0.2514441047</v>
      </c>
      <c r="P96" s="16">
        <f>IFERROR(__xludf.DUMMYFUNCTION("""COMPUTED_VALUE"""),0.195171710302618)</f>
        <v>0.1951717103</v>
      </c>
      <c r="Q96" s="16">
        <f>IFERROR(__xludf.DUMMYFUNCTION("""COMPUTED_VALUE"""),0.142613442511088)</f>
        <v>0.1426134425</v>
      </c>
      <c r="R96" s="16">
        <f>IFERROR(__xludf.DUMMYFUNCTION("""COMPUTED_VALUE"""),0.1159767362299)</f>
        <v>0.1159767362</v>
      </c>
      <c r="S96" s="16">
        <f>IFERROR(__xludf.DUMMYFUNCTION("""COMPUTED_VALUE"""),0.102264927934111)</f>
        <v>0.1022649279</v>
      </c>
      <c r="T96" s="16">
        <f>IFERROR(__xludf.DUMMYFUNCTION("""COMPUTED_VALUE"""),0.0922229869236063)</f>
        <v>0.09222298692</v>
      </c>
      <c r="U96" s="16">
        <f>IFERROR(__xludf.DUMMYFUNCTION("""COMPUTED_VALUE"""),0.0840539605672777)</f>
        <v>0.08405396057</v>
      </c>
      <c r="V96" s="16">
        <f>IFERROR(__xludf.DUMMYFUNCTION("""COMPUTED_VALUE"""),0.0848573518653986)</f>
        <v>0.08485735187</v>
      </c>
      <c r="W96" s="16">
        <f>IFERROR(__xludf.DUMMYFUNCTION("""COMPUTED_VALUE"""),0.0809716599190283)</f>
        <v>0.08097165992</v>
      </c>
      <c r="X96" s="16">
        <f>IFERROR(__xludf.DUMMYFUNCTION("""COMPUTED_VALUE"""),0.0823019801980198)</f>
        <v>0.0823019802</v>
      </c>
      <c r="Y96" s="16">
        <f>IFERROR(__xludf.DUMMYFUNCTION("""COMPUTED_VALUE"""),0.0894833948339483)</f>
        <v>0.08948339483</v>
      </c>
      <c r="Z96" s="16">
        <f>IFERROR(__xludf.DUMMYFUNCTION("""COMPUTED_VALUE"""),0.087696335078534)</f>
        <v>0.08769633508</v>
      </c>
      <c r="AA96" s="16">
        <f>IFERROR(__xludf.DUMMYFUNCTION("""COMPUTED_VALUE"""),0.0890302066772655)</f>
        <v>0.08903020668</v>
      </c>
      <c r="AB96" s="16">
        <f>IFERROR(__xludf.DUMMYFUNCTION("""COMPUTED_VALUE"""),0.0830258302583025)</f>
        <v>0.08302583026</v>
      </c>
      <c r="AC96" s="16">
        <f>IFERROR(__xludf.DUMMYFUNCTION("""COMPUTED_VALUE"""),0.0)</f>
        <v>0</v>
      </c>
      <c r="AD96" s="16">
        <f>IFERROR(__xludf.DUMMYFUNCTION("""COMPUTED_VALUE"""),0.0)</f>
        <v>0</v>
      </c>
      <c r="AE96" s="16">
        <f>IFERROR(__xludf.DUMMYFUNCTION("""COMPUTED_VALUE"""),0.0)</f>
        <v>0</v>
      </c>
      <c r="AF96" s="16">
        <f>IFERROR(__xludf.DUMMYFUNCTION("""COMPUTED_VALUE"""),0.0)</f>
        <v>0</v>
      </c>
      <c r="AG96" s="16">
        <f>IFERROR(__xludf.DUMMYFUNCTION("""COMPUTED_VALUE"""),0.0)</f>
        <v>0</v>
      </c>
      <c r="AH96" s="16">
        <f>IFERROR(__xludf.DUMMYFUNCTION("""COMPUTED_VALUE"""),0.0)</f>
        <v>0</v>
      </c>
    </row>
    <row r="97">
      <c r="A97" s="16" t="str">
        <f>IFERROR(__xludf.DUMMYFUNCTION("""COMPUTED_VALUE"""),"4e3bbfc86993cf8c574bdebca34a49627f4a386a")</f>
        <v>4e3bbfc86993cf8c574bdebca34a49627f4a386a</v>
      </c>
      <c r="B97" s="16" t="str">
        <f>IFERROR(__xludf.DUMMYFUNCTION("""COMPUTED_VALUE"""),"Our Beloved Villains ")</f>
        <v>Our Beloved Villains </v>
      </c>
      <c r="C97" s="16" t="str">
        <f>IFERROR(__xludf.DUMMYFUNCTION("""COMPUTED_VALUE"""),"Fantasy")</f>
        <v>Fantasy</v>
      </c>
      <c r="D97" s="16">
        <f>IFERROR(__xludf.DUMMYFUNCTION("""COMPUTED_VALUE"""),272.0)</f>
        <v>272</v>
      </c>
      <c r="E97" s="16">
        <f>IFERROR(__xludf.DUMMYFUNCTION("""COMPUTED_VALUE"""),0.970588235294117)</f>
        <v>0.9705882353</v>
      </c>
      <c r="F97" s="16">
        <f>IFERROR(__xludf.DUMMYFUNCTION("""COMPUTED_VALUE"""),0.422794117647058)</f>
        <v>0.4227941176</v>
      </c>
      <c r="G97" s="16">
        <f>IFERROR(__xludf.DUMMYFUNCTION("""COMPUTED_VALUE"""),0.349264705882352)</f>
        <v>0.3492647059</v>
      </c>
      <c r="H97" s="16">
        <f>IFERROR(__xludf.DUMMYFUNCTION("""COMPUTED_VALUE"""),0.286764705882352)</f>
        <v>0.2867647059</v>
      </c>
      <c r="I97" s="16">
        <f>IFERROR(__xludf.DUMMYFUNCTION("""COMPUTED_VALUE"""),0.25735294117647)</f>
        <v>0.2573529412</v>
      </c>
      <c r="J97" s="16">
        <f>IFERROR(__xludf.DUMMYFUNCTION("""COMPUTED_VALUE"""),0.227941176470588)</f>
        <v>0.2279411765</v>
      </c>
      <c r="K97" s="16">
        <f>IFERROR(__xludf.DUMMYFUNCTION("""COMPUTED_VALUE"""),0.213235294117647)</f>
        <v>0.2132352941</v>
      </c>
      <c r="L97" s="16">
        <f>IFERROR(__xludf.DUMMYFUNCTION("""COMPUTED_VALUE"""),0.176470588235294)</f>
        <v>0.1764705882</v>
      </c>
      <c r="M97" s="16">
        <f>IFERROR(__xludf.DUMMYFUNCTION("""COMPUTED_VALUE"""),0.14760147601476)</f>
        <v>0.147601476</v>
      </c>
      <c r="N97" s="16">
        <f>IFERROR(__xludf.DUMMYFUNCTION("""COMPUTED_VALUE"""),0.127340823970037)</f>
        <v>0.127340824</v>
      </c>
      <c r="O97" s="16">
        <f>IFERROR(__xludf.DUMMYFUNCTION("""COMPUTED_VALUE"""),0.076595744680851)</f>
        <v>0.07659574468</v>
      </c>
      <c r="P97" s="16">
        <f>IFERROR(__xludf.DUMMYFUNCTION("""COMPUTED_VALUE"""),0.0568720379146919)</f>
        <v>0.05687203791</v>
      </c>
      <c r="Q97" s="16">
        <f>IFERROR(__xludf.DUMMYFUNCTION("""COMPUTED_VALUE"""),0.03125)</f>
        <v>0.03125</v>
      </c>
      <c r="R97" s="16">
        <f>IFERROR(__xludf.DUMMYFUNCTION("""COMPUTED_VALUE"""),0.0133333333333333)</f>
        <v>0.01333333333</v>
      </c>
      <c r="S97" s="16">
        <f>IFERROR(__xludf.DUMMYFUNCTION("""COMPUTED_VALUE"""),0.0)</f>
        <v>0</v>
      </c>
      <c r="T97" s="16">
        <f>IFERROR(__xludf.DUMMYFUNCTION("""COMPUTED_VALUE"""),0.0)</f>
        <v>0</v>
      </c>
      <c r="U97" s="16">
        <f>IFERROR(__xludf.DUMMYFUNCTION("""COMPUTED_VALUE"""),0.0)</f>
        <v>0</v>
      </c>
      <c r="V97" s="16">
        <f>IFERROR(__xludf.DUMMYFUNCTION("""COMPUTED_VALUE"""),0.0)</f>
        <v>0</v>
      </c>
      <c r="W97" s="16">
        <f>IFERROR(__xludf.DUMMYFUNCTION("""COMPUTED_VALUE"""),0.0)</f>
        <v>0</v>
      </c>
      <c r="X97" s="16">
        <f>IFERROR(__xludf.DUMMYFUNCTION("""COMPUTED_VALUE"""),0.0)</f>
        <v>0</v>
      </c>
      <c r="Y97" s="16">
        <f>IFERROR(__xludf.DUMMYFUNCTION("""COMPUTED_VALUE"""),0.0)</f>
        <v>0</v>
      </c>
      <c r="Z97" s="16">
        <f>IFERROR(__xludf.DUMMYFUNCTION("""COMPUTED_VALUE"""),0.0)</f>
        <v>0</v>
      </c>
      <c r="AA97" s="16">
        <f>IFERROR(__xludf.DUMMYFUNCTION("""COMPUTED_VALUE"""),0.0)</f>
        <v>0</v>
      </c>
      <c r="AB97" s="16">
        <f>IFERROR(__xludf.DUMMYFUNCTION("""COMPUTED_VALUE"""),0.0)</f>
        <v>0</v>
      </c>
      <c r="AC97" s="16">
        <f>IFERROR(__xludf.DUMMYFUNCTION("""COMPUTED_VALUE"""),0.0)</f>
        <v>0</v>
      </c>
      <c r="AD97" s="16">
        <f>IFERROR(__xludf.DUMMYFUNCTION("""COMPUTED_VALUE"""),0.0)</f>
        <v>0</v>
      </c>
      <c r="AE97" s="16">
        <f>IFERROR(__xludf.DUMMYFUNCTION("""COMPUTED_VALUE"""),0.0)</f>
        <v>0</v>
      </c>
      <c r="AF97" s="16">
        <f>IFERROR(__xludf.DUMMYFUNCTION("""COMPUTED_VALUE"""),0.0)</f>
        <v>0</v>
      </c>
      <c r="AG97" s="16">
        <f>IFERROR(__xludf.DUMMYFUNCTION("""COMPUTED_VALUE"""),0.0)</f>
        <v>0</v>
      </c>
      <c r="AH97" s="16">
        <f>IFERROR(__xludf.DUMMYFUNCTION("""COMPUTED_VALUE"""),0.0)</f>
        <v>0</v>
      </c>
    </row>
    <row r="98">
      <c r="A98" s="16" t="str">
        <f>IFERROR(__xludf.DUMMYFUNCTION("""COMPUTED_VALUE"""),"4e767fe3eae1eb30991fabcb73be16e9925ab124")</f>
        <v>4e767fe3eae1eb30991fabcb73be16e9925ab124</v>
      </c>
      <c r="B98" s="16" t="str">
        <f>IFERROR(__xludf.DUMMYFUNCTION("""COMPUTED_VALUE"""),"The Ill-Fated Aristocrat")</f>
        <v>The Ill-Fated Aristocrat</v>
      </c>
      <c r="C98" s="16" t="str">
        <f>IFERROR(__xludf.DUMMYFUNCTION("""COMPUTED_VALUE"""),"Romance")</f>
        <v>Romance</v>
      </c>
      <c r="D98" s="16">
        <f>IFERROR(__xludf.DUMMYFUNCTION("""COMPUTED_VALUE"""),136.0)</f>
        <v>136</v>
      </c>
      <c r="E98" s="16">
        <f>IFERROR(__xludf.DUMMYFUNCTION("""COMPUTED_VALUE"""),0.955882352941176)</f>
        <v>0.9558823529</v>
      </c>
      <c r="F98" s="16">
        <f>IFERROR(__xludf.DUMMYFUNCTION("""COMPUTED_VALUE"""),0.433823529411764)</f>
        <v>0.4338235294</v>
      </c>
      <c r="G98" s="16">
        <f>IFERROR(__xludf.DUMMYFUNCTION("""COMPUTED_VALUE"""),0.367647058823529)</f>
        <v>0.3676470588</v>
      </c>
      <c r="H98" s="16">
        <f>IFERROR(__xludf.DUMMYFUNCTION("""COMPUTED_VALUE"""),0.330882352941176)</f>
        <v>0.3308823529</v>
      </c>
      <c r="I98" s="16">
        <f>IFERROR(__xludf.DUMMYFUNCTION("""COMPUTED_VALUE"""),0.293233082706766)</f>
        <v>0.2932330827</v>
      </c>
      <c r="J98" s="16">
        <f>IFERROR(__xludf.DUMMYFUNCTION("""COMPUTED_VALUE"""),0.276923076923076)</f>
        <v>0.2769230769</v>
      </c>
      <c r="K98" s="16">
        <f>IFERROR(__xludf.DUMMYFUNCTION("""COMPUTED_VALUE"""),0.284615384615384)</f>
        <v>0.2846153846</v>
      </c>
      <c r="L98" s="16">
        <f>IFERROR(__xludf.DUMMYFUNCTION("""COMPUTED_VALUE"""),0.261538461538461)</f>
        <v>0.2615384615</v>
      </c>
      <c r="M98" s="16">
        <f>IFERROR(__xludf.DUMMYFUNCTION("""COMPUTED_VALUE"""),0.253846153846153)</f>
        <v>0.2538461538</v>
      </c>
      <c r="N98" s="16">
        <f>IFERROR(__xludf.DUMMYFUNCTION("""COMPUTED_VALUE"""),0.224806201550387)</f>
        <v>0.2248062016</v>
      </c>
      <c r="O98" s="16">
        <f>IFERROR(__xludf.DUMMYFUNCTION("""COMPUTED_VALUE"""),0.224806201550387)</f>
        <v>0.2248062016</v>
      </c>
      <c r="P98" s="16">
        <f>IFERROR(__xludf.DUMMYFUNCTION("""COMPUTED_VALUE"""),0.157480314960629)</f>
        <v>0.157480315</v>
      </c>
      <c r="Q98" s="16">
        <f>IFERROR(__xludf.DUMMYFUNCTION("""COMPUTED_VALUE"""),0.171052631578947)</f>
        <v>0.1710526316</v>
      </c>
      <c r="R98" s="16">
        <f>IFERROR(__xludf.DUMMYFUNCTION("""COMPUTED_VALUE"""),0.0508474576271186)</f>
        <v>0.05084745763</v>
      </c>
      <c r="S98" s="16">
        <f>IFERROR(__xludf.DUMMYFUNCTION("""COMPUTED_VALUE"""),0.0)</f>
        <v>0</v>
      </c>
      <c r="T98" s="16">
        <f>IFERROR(__xludf.DUMMYFUNCTION("""COMPUTED_VALUE"""),0.0)</f>
        <v>0</v>
      </c>
      <c r="U98" s="16">
        <f>IFERROR(__xludf.DUMMYFUNCTION("""COMPUTED_VALUE"""),0.0)</f>
        <v>0</v>
      </c>
      <c r="V98" s="16">
        <f>IFERROR(__xludf.DUMMYFUNCTION("""COMPUTED_VALUE"""),0.0)</f>
        <v>0</v>
      </c>
      <c r="W98" s="16">
        <f>IFERROR(__xludf.DUMMYFUNCTION("""COMPUTED_VALUE"""),0.0)</f>
        <v>0</v>
      </c>
      <c r="X98" s="16">
        <f>IFERROR(__xludf.DUMMYFUNCTION("""COMPUTED_VALUE"""),0.0)</f>
        <v>0</v>
      </c>
      <c r="Y98" s="16">
        <f>IFERROR(__xludf.DUMMYFUNCTION("""COMPUTED_VALUE"""),0.0)</f>
        <v>0</v>
      </c>
      <c r="Z98" s="16">
        <f>IFERROR(__xludf.DUMMYFUNCTION("""COMPUTED_VALUE"""),0.0)</f>
        <v>0</v>
      </c>
      <c r="AA98" s="16">
        <f>IFERROR(__xludf.DUMMYFUNCTION("""COMPUTED_VALUE"""),0.0)</f>
        <v>0</v>
      </c>
      <c r="AB98" s="16">
        <f>IFERROR(__xludf.DUMMYFUNCTION("""COMPUTED_VALUE"""),0.0)</f>
        <v>0</v>
      </c>
      <c r="AC98" s="16">
        <f>IFERROR(__xludf.DUMMYFUNCTION("""COMPUTED_VALUE"""),0.0)</f>
        <v>0</v>
      </c>
      <c r="AD98" s="16">
        <f>IFERROR(__xludf.DUMMYFUNCTION("""COMPUTED_VALUE"""),0.0)</f>
        <v>0</v>
      </c>
      <c r="AE98" s="16">
        <f>IFERROR(__xludf.DUMMYFUNCTION("""COMPUTED_VALUE"""),0.0)</f>
        <v>0</v>
      </c>
      <c r="AF98" s="16">
        <f>IFERROR(__xludf.DUMMYFUNCTION("""COMPUTED_VALUE"""),0.0)</f>
        <v>0</v>
      </c>
      <c r="AG98" s="16">
        <f>IFERROR(__xludf.DUMMYFUNCTION("""COMPUTED_VALUE"""),0.0)</f>
        <v>0</v>
      </c>
      <c r="AH98" s="16">
        <f>IFERROR(__xludf.DUMMYFUNCTION("""COMPUTED_VALUE"""),0.0)</f>
        <v>0</v>
      </c>
    </row>
    <row r="99">
      <c r="A99" s="16" t="str">
        <f>IFERROR(__xludf.DUMMYFUNCTION("""COMPUTED_VALUE"""),"4e82e5be987e78daa5bb2bb67006b68256170925")</f>
        <v>4e82e5be987e78daa5bb2bb67006b68256170925</v>
      </c>
      <c r="B99" s="16" t="str">
        <f>IFERROR(__xludf.DUMMYFUNCTION("""COMPUTED_VALUE"""),"Machine Invasion")</f>
        <v>Machine Invasion</v>
      </c>
      <c r="C99" s="16" t="str">
        <f>IFERROR(__xludf.DUMMYFUNCTION("""COMPUTED_VALUE"""),"System and Superpower")</f>
        <v>System and Superpower</v>
      </c>
      <c r="D99" s="16">
        <f>IFERROR(__xludf.DUMMYFUNCTION("""COMPUTED_VALUE"""),2059.0)</f>
        <v>2059</v>
      </c>
      <c r="E99" s="16">
        <f>IFERROR(__xludf.DUMMYFUNCTION("""COMPUTED_VALUE"""),0.962603205439533)</f>
        <v>0.9626032054</v>
      </c>
      <c r="F99" s="16">
        <f>IFERROR(__xludf.DUMMYFUNCTION("""COMPUTED_VALUE"""),0.609519184069936)</f>
        <v>0.6095191841</v>
      </c>
      <c r="G99" s="16">
        <f>IFERROR(__xludf.DUMMYFUNCTION("""COMPUTED_VALUE"""),0.559980573093734)</f>
        <v>0.5599805731</v>
      </c>
      <c r="H99" s="16">
        <f>IFERROR(__xludf.DUMMYFUNCTION("""COMPUTED_VALUE"""),0.525983487129674)</f>
        <v>0.5259834871</v>
      </c>
      <c r="I99" s="16">
        <f>IFERROR(__xludf.DUMMYFUNCTION("""COMPUTED_VALUE"""),0.509727626459143)</f>
        <v>0.5097276265</v>
      </c>
      <c r="J99" s="16">
        <f>IFERROR(__xludf.DUMMYFUNCTION("""COMPUTED_VALUE"""),0.48442064264849)</f>
        <v>0.4844206426</v>
      </c>
      <c r="K99" s="16">
        <f>IFERROR(__xludf.DUMMYFUNCTION("""COMPUTED_VALUE"""),0.471964895173086)</f>
        <v>0.4719648952</v>
      </c>
      <c r="L99" s="16">
        <f>IFERROR(__xludf.DUMMYFUNCTION("""COMPUTED_VALUE"""),0.441463414634146)</f>
        <v>0.4414634146</v>
      </c>
      <c r="M99" s="16">
        <f>IFERROR(__xludf.DUMMYFUNCTION("""COMPUTED_VALUE"""),0.435909980430528)</f>
        <v>0.4359099804</v>
      </c>
      <c r="N99" s="16">
        <f>IFERROR(__xludf.DUMMYFUNCTION("""COMPUTED_VALUE"""),0.424375917767988)</f>
        <v>0.4243759178</v>
      </c>
      <c r="O99" s="16">
        <f>IFERROR(__xludf.DUMMYFUNCTION("""COMPUTED_VALUE"""),0.384854771784232)</f>
        <v>0.3848547718</v>
      </c>
      <c r="P99" s="16">
        <f>IFERROR(__xludf.DUMMYFUNCTION("""COMPUTED_VALUE"""),0.305354558610709)</f>
        <v>0.3053545586</v>
      </c>
      <c r="Q99" s="16">
        <f>IFERROR(__xludf.DUMMYFUNCTION("""COMPUTED_VALUE"""),0.240506329113924)</f>
        <v>0.2405063291</v>
      </c>
      <c r="R99" s="16">
        <f>IFERROR(__xludf.DUMMYFUNCTION("""COMPUTED_VALUE"""),0.0)</f>
        <v>0</v>
      </c>
      <c r="S99" s="16">
        <f>IFERROR(__xludf.DUMMYFUNCTION("""COMPUTED_VALUE"""),0.0)</f>
        <v>0</v>
      </c>
      <c r="T99" s="16">
        <f>IFERROR(__xludf.DUMMYFUNCTION("""COMPUTED_VALUE"""),0.0)</f>
        <v>0</v>
      </c>
      <c r="U99" s="16">
        <f>IFERROR(__xludf.DUMMYFUNCTION("""COMPUTED_VALUE"""),0.0)</f>
        <v>0</v>
      </c>
      <c r="V99" s="16">
        <f>IFERROR(__xludf.DUMMYFUNCTION("""COMPUTED_VALUE"""),0.0)</f>
        <v>0</v>
      </c>
      <c r="W99" s="16">
        <f>IFERROR(__xludf.DUMMYFUNCTION("""COMPUTED_VALUE"""),0.0)</f>
        <v>0</v>
      </c>
      <c r="X99" s="16">
        <f>IFERROR(__xludf.DUMMYFUNCTION("""COMPUTED_VALUE"""),0.0)</f>
        <v>0</v>
      </c>
      <c r="Y99" s="16">
        <f>IFERROR(__xludf.DUMMYFUNCTION("""COMPUTED_VALUE"""),0.0)</f>
        <v>0</v>
      </c>
      <c r="Z99" s="16">
        <f>IFERROR(__xludf.DUMMYFUNCTION("""COMPUTED_VALUE"""),0.0)</f>
        <v>0</v>
      </c>
      <c r="AA99" s="16">
        <f>IFERROR(__xludf.DUMMYFUNCTION("""COMPUTED_VALUE"""),0.0)</f>
        <v>0</v>
      </c>
      <c r="AB99" s="16">
        <f>IFERROR(__xludf.DUMMYFUNCTION("""COMPUTED_VALUE"""),0.0)</f>
        <v>0</v>
      </c>
      <c r="AC99" s="16">
        <f>IFERROR(__xludf.DUMMYFUNCTION("""COMPUTED_VALUE"""),0.0)</f>
        <v>0</v>
      </c>
      <c r="AD99" s="16">
        <f>IFERROR(__xludf.DUMMYFUNCTION("""COMPUTED_VALUE"""),0.0)</f>
        <v>0</v>
      </c>
      <c r="AE99" s="16">
        <f>IFERROR(__xludf.DUMMYFUNCTION("""COMPUTED_VALUE"""),0.0)</f>
        <v>0</v>
      </c>
      <c r="AF99" s="16">
        <f>IFERROR(__xludf.DUMMYFUNCTION("""COMPUTED_VALUE"""),0.0)</f>
        <v>0</v>
      </c>
      <c r="AG99" s="16">
        <f>IFERROR(__xludf.DUMMYFUNCTION("""COMPUTED_VALUE"""),0.0)</f>
        <v>0</v>
      </c>
      <c r="AH99" s="16">
        <f>IFERROR(__xludf.DUMMYFUNCTION("""COMPUTED_VALUE"""),0.0)</f>
        <v>0</v>
      </c>
    </row>
    <row r="100">
      <c r="A100" s="16" t="str">
        <f>IFERROR(__xludf.DUMMYFUNCTION("""COMPUTED_VALUE"""),"4e8fc1ec90ca0e70f873bdd45aea984fc56b5c89")</f>
        <v>4e8fc1ec90ca0e70f873bdd45aea984fc56b5c89</v>
      </c>
      <c r="B100" s="16" t="str">
        <f>IFERROR(__xludf.DUMMYFUNCTION("""COMPUTED_VALUE"""),"When Strangers Say I Do")</f>
        <v>When Strangers Say I Do</v>
      </c>
      <c r="C100" s="16" t="str">
        <f>IFERROR(__xludf.DUMMYFUNCTION("""COMPUTED_VALUE"""),"Drama")</f>
        <v>Drama</v>
      </c>
      <c r="D100" s="16">
        <f>IFERROR(__xludf.DUMMYFUNCTION("""COMPUTED_VALUE"""),288.0)</f>
        <v>288</v>
      </c>
      <c r="E100" s="16">
        <f>IFERROR(__xludf.DUMMYFUNCTION("""COMPUTED_VALUE"""),0.979166666666666)</f>
        <v>0.9791666667</v>
      </c>
      <c r="F100" s="16">
        <f>IFERROR(__xludf.DUMMYFUNCTION("""COMPUTED_VALUE"""),0.479166666666666)</f>
        <v>0.4791666667</v>
      </c>
      <c r="G100" s="16">
        <f>IFERROR(__xludf.DUMMYFUNCTION("""COMPUTED_VALUE"""),0.381944444444444)</f>
        <v>0.3819444444</v>
      </c>
      <c r="H100" s="16">
        <f>IFERROR(__xludf.DUMMYFUNCTION("""COMPUTED_VALUE"""),0.288194444444444)</f>
        <v>0.2881944444</v>
      </c>
      <c r="I100" s="16">
        <f>IFERROR(__xludf.DUMMYFUNCTION("""COMPUTED_VALUE"""),0.24390243902439)</f>
        <v>0.243902439</v>
      </c>
      <c r="J100" s="16">
        <f>IFERROR(__xludf.DUMMYFUNCTION("""COMPUTED_VALUE"""),0.207746478873239)</f>
        <v>0.2077464789</v>
      </c>
      <c r="K100" s="16">
        <f>IFERROR(__xludf.DUMMYFUNCTION("""COMPUTED_VALUE"""),0.195035460992907)</f>
        <v>0.195035461</v>
      </c>
      <c r="L100" s="16">
        <f>IFERROR(__xludf.DUMMYFUNCTION("""COMPUTED_VALUE"""),0.188612099644128)</f>
        <v>0.1886120996</v>
      </c>
      <c r="M100" s="16">
        <f>IFERROR(__xludf.DUMMYFUNCTION("""COMPUTED_VALUE"""),0.174377224199288)</f>
        <v>0.1743772242</v>
      </c>
      <c r="N100" s="16">
        <f>IFERROR(__xludf.DUMMYFUNCTION("""COMPUTED_VALUE"""),0.130434782608695)</f>
        <v>0.1304347826</v>
      </c>
      <c r="O100" s="16">
        <f>IFERROR(__xludf.DUMMYFUNCTION("""COMPUTED_VALUE"""),0.0798319327731092)</f>
        <v>0.07983193277</v>
      </c>
      <c r="P100" s="16">
        <f>IFERROR(__xludf.DUMMYFUNCTION("""COMPUTED_VALUE"""),0.027027027027027)</f>
        <v>0.02702702703</v>
      </c>
      <c r="Q100" s="16">
        <f>IFERROR(__xludf.DUMMYFUNCTION("""COMPUTED_VALUE"""),0.0175438596491228)</f>
        <v>0.01754385965</v>
      </c>
      <c r="R100" s="16">
        <f>IFERROR(__xludf.DUMMYFUNCTION("""COMPUTED_VALUE"""),0.0)</f>
        <v>0</v>
      </c>
      <c r="S100" s="16">
        <f>IFERROR(__xludf.DUMMYFUNCTION("""COMPUTED_VALUE"""),0.0)</f>
        <v>0</v>
      </c>
      <c r="T100" s="16">
        <f>IFERROR(__xludf.DUMMYFUNCTION("""COMPUTED_VALUE"""),0.0)</f>
        <v>0</v>
      </c>
      <c r="U100" s="16">
        <f>IFERROR(__xludf.DUMMYFUNCTION("""COMPUTED_VALUE"""),0.0)</f>
        <v>0</v>
      </c>
      <c r="V100" s="16">
        <f>IFERROR(__xludf.DUMMYFUNCTION("""COMPUTED_VALUE"""),0.0)</f>
        <v>0</v>
      </c>
      <c r="W100" s="16">
        <f>IFERROR(__xludf.DUMMYFUNCTION("""COMPUTED_VALUE"""),0.0)</f>
        <v>0</v>
      </c>
      <c r="X100" s="16">
        <f>IFERROR(__xludf.DUMMYFUNCTION("""COMPUTED_VALUE"""),0.0)</f>
        <v>0</v>
      </c>
      <c r="Y100" s="16">
        <f>IFERROR(__xludf.DUMMYFUNCTION("""COMPUTED_VALUE"""),0.0)</f>
        <v>0</v>
      </c>
      <c r="Z100" s="16">
        <f>IFERROR(__xludf.DUMMYFUNCTION("""COMPUTED_VALUE"""),0.0)</f>
        <v>0</v>
      </c>
      <c r="AA100" s="16">
        <f>IFERROR(__xludf.DUMMYFUNCTION("""COMPUTED_VALUE"""),0.0)</f>
        <v>0</v>
      </c>
      <c r="AB100" s="16">
        <f>IFERROR(__xludf.DUMMYFUNCTION("""COMPUTED_VALUE"""),0.0)</f>
        <v>0</v>
      </c>
      <c r="AC100" s="16">
        <f>IFERROR(__xludf.DUMMYFUNCTION("""COMPUTED_VALUE"""),0.0)</f>
        <v>0</v>
      </c>
      <c r="AD100" s="16">
        <f>IFERROR(__xludf.DUMMYFUNCTION("""COMPUTED_VALUE"""),0.0)</f>
        <v>0</v>
      </c>
      <c r="AE100" s="16">
        <f>IFERROR(__xludf.DUMMYFUNCTION("""COMPUTED_VALUE"""),0.0)</f>
        <v>0</v>
      </c>
      <c r="AF100" s="16">
        <f>IFERROR(__xludf.DUMMYFUNCTION("""COMPUTED_VALUE"""),0.0)</f>
        <v>0</v>
      </c>
      <c r="AG100" s="16">
        <f>IFERROR(__xludf.DUMMYFUNCTION("""COMPUTED_VALUE"""),0.0)</f>
        <v>0</v>
      </c>
      <c r="AH100" s="16">
        <f>IFERROR(__xludf.DUMMYFUNCTION("""COMPUTED_VALUE"""),0.0)</f>
        <v>0</v>
      </c>
    </row>
    <row r="101">
      <c r="A101" s="16" t="str">
        <f>IFERROR(__xludf.DUMMYFUNCTION("""COMPUTED_VALUE"""),"4ef829b74ddfb2f550d1c5ceb22a6d68f5936dff")</f>
        <v>4ef829b74ddfb2f550d1c5ceb22a6d68f5936dff</v>
      </c>
      <c r="B101" s="16" t="str">
        <f>IFERROR(__xludf.DUMMYFUNCTION("""COMPUTED_VALUE"""),"The Mad Alpha’s True Luna")</f>
        <v>The Mad Alpha’s True Luna</v>
      </c>
      <c r="C101" s="16" t="str">
        <f>IFERROR(__xludf.DUMMYFUNCTION("""COMPUTED_VALUE"""),"Romantasy")</f>
        <v>Romantasy</v>
      </c>
      <c r="D101" s="16">
        <f>IFERROR(__xludf.DUMMYFUNCTION("""COMPUTED_VALUE"""),102.0)</f>
        <v>102</v>
      </c>
      <c r="E101" s="16">
        <f>IFERROR(__xludf.DUMMYFUNCTION("""COMPUTED_VALUE"""),0.980392156862745)</f>
        <v>0.9803921569</v>
      </c>
      <c r="F101" s="16">
        <f>IFERROR(__xludf.DUMMYFUNCTION("""COMPUTED_VALUE"""),0.666666666666666)</f>
        <v>0.6666666667</v>
      </c>
      <c r="G101" s="16">
        <f>IFERROR(__xludf.DUMMYFUNCTION("""COMPUTED_VALUE"""),0.539215686274509)</f>
        <v>0.5392156863</v>
      </c>
      <c r="H101" s="16">
        <f>IFERROR(__xludf.DUMMYFUNCTION("""COMPUTED_VALUE"""),0.509803921568627)</f>
        <v>0.5098039216</v>
      </c>
      <c r="I101" s="16">
        <f>IFERROR(__xludf.DUMMYFUNCTION("""COMPUTED_VALUE"""),0.49)</f>
        <v>0.49</v>
      </c>
      <c r="J101" s="16">
        <f>IFERROR(__xludf.DUMMYFUNCTION("""COMPUTED_VALUE"""),0.459183673469387)</f>
        <v>0.4591836735</v>
      </c>
      <c r="K101" s="16">
        <f>IFERROR(__xludf.DUMMYFUNCTION("""COMPUTED_VALUE"""),0.45054945054945)</f>
        <v>0.4505494505</v>
      </c>
      <c r="L101" s="16">
        <f>IFERROR(__xludf.DUMMYFUNCTION("""COMPUTED_VALUE"""),0.468354430379746)</f>
        <v>0.4683544304</v>
      </c>
      <c r="M101" s="16">
        <f>IFERROR(__xludf.DUMMYFUNCTION("""COMPUTED_VALUE"""),0.4)</f>
        <v>0.4</v>
      </c>
      <c r="N101" s="16">
        <f>IFERROR(__xludf.DUMMYFUNCTION("""COMPUTED_VALUE"""),0.388059701492537)</f>
        <v>0.3880597015</v>
      </c>
      <c r="O101" s="16">
        <f>IFERROR(__xludf.DUMMYFUNCTION("""COMPUTED_VALUE"""),0.242424242424242)</f>
        <v>0.2424242424</v>
      </c>
      <c r="P101" s="16">
        <f>IFERROR(__xludf.DUMMYFUNCTION("""COMPUTED_VALUE"""),0.193548387096774)</f>
        <v>0.1935483871</v>
      </c>
      <c r="Q101" s="16">
        <f>IFERROR(__xludf.DUMMYFUNCTION("""COMPUTED_VALUE"""),0.0)</f>
        <v>0</v>
      </c>
      <c r="R101" s="16">
        <f>IFERROR(__xludf.DUMMYFUNCTION("""COMPUTED_VALUE"""),0.0)</f>
        <v>0</v>
      </c>
      <c r="S101" s="16">
        <f>IFERROR(__xludf.DUMMYFUNCTION("""COMPUTED_VALUE"""),0.0)</f>
        <v>0</v>
      </c>
      <c r="T101" s="16">
        <f>IFERROR(__xludf.DUMMYFUNCTION("""COMPUTED_VALUE"""),0.0)</f>
        <v>0</v>
      </c>
      <c r="U101" s="16">
        <f>IFERROR(__xludf.DUMMYFUNCTION("""COMPUTED_VALUE"""),0.0)</f>
        <v>0</v>
      </c>
      <c r="V101" s="16">
        <f>IFERROR(__xludf.DUMMYFUNCTION("""COMPUTED_VALUE"""),0.0)</f>
        <v>0</v>
      </c>
      <c r="W101" s="16">
        <f>IFERROR(__xludf.DUMMYFUNCTION("""COMPUTED_VALUE"""),0.0)</f>
        <v>0</v>
      </c>
      <c r="X101" s="16">
        <f>IFERROR(__xludf.DUMMYFUNCTION("""COMPUTED_VALUE"""),0.0)</f>
        <v>0</v>
      </c>
      <c r="Y101" s="16">
        <f>IFERROR(__xludf.DUMMYFUNCTION("""COMPUTED_VALUE"""),0.0)</f>
        <v>0</v>
      </c>
      <c r="Z101" s="16">
        <f>IFERROR(__xludf.DUMMYFUNCTION("""COMPUTED_VALUE"""),0.0)</f>
        <v>0</v>
      </c>
      <c r="AA101" s="16">
        <f>IFERROR(__xludf.DUMMYFUNCTION("""COMPUTED_VALUE"""),0.0)</f>
        <v>0</v>
      </c>
      <c r="AB101" s="16">
        <f>IFERROR(__xludf.DUMMYFUNCTION("""COMPUTED_VALUE"""),0.0)</f>
        <v>0</v>
      </c>
      <c r="AC101" s="16">
        <f>IFERROR(__xludf.DUMMYFUNCTION("""COMPUTED_VALUE"""),0.0)</f>
        <v>0</v>
      </c>
      <c r="AD101" s="16">
        <f>IFERROR(__xludf.DUMMYFUNCTION("""COMPUTED_VALUE"""),0.0)</f>
        <v>0</v>
      </c>
      <c r="AE101" s="16">
        <f>IFERROR(__xludf.DUMMYFUNCTION("""COMPUTED_VALUE"""),0.0)</f>
        <v>0</v>
      </c>
      <c r="AF101" s="16">
        <f>IFERROR(__xludf.DUMMYFUNCTION("""COMPUTED_VALUE"""),0.0)</f>
        <v>0</v>
      </c>
      <c r="AG101" s="16">
        <f>IFERROR(__xludf.DUMMYFUNCTION("""COMPUTED_VALUE"""),0.0)</f>
        <v>0</v>
      </c>
      <c r="AH101" s="16">
        <f>IFERROR(__xludf.DUMMYFUNCTION("""COMPUTED_VALUE"""),0.0)</f>
        <v>0</v>
      </c>
    </row>
    <row r="102">
      <c r="A102" s="16" t="str">
        <f>IFERROR(__xludf.DUMMYFUNCTION("""COMPUTED_VALUE"""),"4fed71af64877bcaf79252f171bf022a3b80e926")</f>
        <v>4fed71af64877bcaf79252f171bf022a3b80e926</v>
      </c>
      <c r="B102" s="16" t="str">
        <f>IFERROR(__xludf.DUMMYFUNCTION("""COMPUTED_VALUE"""),"Doomsday Hoarder")</f>
        <v>Doomsday Hoarder</v>
      </c>
      <c r="C102" s="16" t="str">
        <f>IFERROR(__xludf.DUMMYFUNCTION("""COMPUTED_VALUE"""),"Fantasy")</f>
        <v>Fantasy</v>
      </c>
      <c r="D102" s="16">
        <f>IFERROR(__xludf.DUMMYFUNCTION("""COMPUTED_VALUE"""),66.0)</f>
        <v>66</v>
      </c>
      <c r="E102" s="16">
        <f>IFERROR(__xludf.DUMMYFUNCTION("""COMPUTED_VALUE"""),0.969696969696969)</f>
        <v>0.9696969697</v>
      </c>
      <c r="F102" s="16">
        <f>IFERROR(__xludf.DUMMYFUNCTION("""COMPUTED_VALUE"""),0.59090909090909)</f>
        <v>0.5909090909</v>
      </c>
      <c r="G102" s="16">
        <f>IFERROR(__xludf.DUMMYFUNCTION("""COMPUTED_VALUE"""),0.575757575757575)</f>
        <v>0.5757575758</v>
      </c>
      <c r="H102" s="16">
        <f>IFERROR(__xludf.DUMMYFUNCTION("""COMPUTED_VALUE"""),0.56060606060606)</f>
        <v>0.5606060606</v>
      </c>
      <c r="I102" s="16">
        <f>IFERROR(__xludf.DUMMYFUNCTION("""COMPUTED_VALUE"""),0.56060606060606)</f>
        <v>0.5606060606</v>
      </c>
      <c r="J102" s="16">
        <f>IFERROR(__xludf.DUMMYFUNCTION("""COMPUTED_VALUE"""),0.56060606060606)</f>
        <v>0.5606060606</v>
      </c>
      <c r="K102" s="16">
        <f>IFERROR(__xludf.DUMMYFUNCTION("""COMPUTED_VALUE"""),0.56060606060606)</f>
        <v>0.5606060606</v>
      </c>
      <c r="L102" s="16">
        <f>IFERROR(__xludf.DUMMYFUNCTION("""COMPUTED_VALUE"""),0.53030303030303)</f>
        <v>0.5303030303</v>
      </c>
      <c r="M102" s="16">
        <f>IFERROR(__xludf.DUMMYFUNCTION("""COMPUTED_VALUE"""),0.469696969696969)</f>
        <v>0.4696969697</v>
      </c>
      <c r="N102" s="16">
        <f>IFERROR(__xludf.DUMMYFUNCTION("""COMPUTED_VALUE"""),0.454545454545454)</f>
        <v>0.4545454545</v>
      </c>
      <c r="O102" s="16">
        <f>IFERROR(__xludf.DUMMYFUNCTION("""COMPUTED_VALUE"""),0.348484848484848)</f>
        <v>0.3484848485</v>
      </c>
      <c r="P102" s="16">
        <f>IFERROR(__xludf.DUMMYFUNCTION("""COMPUTED_VALUE"""),0.318181818181818)</f>
        <v>0.3181818182</v>
      </c>
      <c r="Q102" s="16">
        <f>IFERROR(__xludf.DUMMYFUNCTION("""COMPUTED_VALUE"""),0.23728813559322)</f>
        <v>0.2372881356</v>
      </c>
      <c r="R102" s="16">
        <f>IFERROR(__xludf.DUMMYFUNCTION("""COMPUTED_VALUE"""),0.0)</f>
        <v>0</v>
      </c>
      <c r="S102" s="16">
        <f>IFERROR(__xludf.DUMMYFUNCTION("""COMPUTED_VALUE"""),0.0)</f>
        <v>0</v>
      </c>
      <c r="T102" s="16">
        <f>IFERROR(__xludf.DUMMYFUNCTION("""COMPUTED_VALUE"""),0.0)</f>
        <v>0</v>
      </c>
      <c r="U102" s="16">
        <f>IFERROR(__xludf.DUMMYFUNCTION("""COMPUTED_VALUE"""),0.0)</f>
        <v>0</v>
      </c>
      <c r="V102" s="16">
        <f>IFERROR(__xludf.DUMMYFUNCTION("""COMPUTED_VALUE"""),0.0)</f>
        <v>0</v>
      </c>
      <c r="W102" s="16">
        <f>IFERROR(__xludf.DUMMYFUNCTION("""COMPUTED_VALUE"""),0.0)</f>
        <v>0</v>
      </c>
      <c r="X102" s="16">
        <f>IFERROR(__xludf.DUMMYFUNCTION("""COMPUTED_VALUE"""),0.0)</f>
        <v>0</v>
      </c>
      <c r="Y102" s="16">
        <f>IFERROR(__xludf.DUMMYFUNCTION("""COMPUTED_VALUE"""),0.0)</f>
        <v>0</v>
      </c>
      <c r="Z102" s="16">
        <f>IFERROR(__xludf.DUMMYFUNCTION("""COMPUTED_VALUE"""),0.0)</f>
        <v>0</v>
      </c>
      <c r="AA102" s="16">
        <f>IFERROR(__xludf.DUMMYFUNCTION("""COMPUTED_VALUE"""),0.0)</f>
        <v>0</v>
      </c>
      <c r="AB102" s="16">
        <f>IFERROR(__xludf.DUMMYFUNCTION("""COMPUTED_VALUE"""),0.0)</f>
        <v>0</v>
      </c>
      <c r="AC102" s="16">
        <f>IFERROR(__xludf.DUMMYFUNCTION("""COMPUTED_VALUE"""),0.0)</f>
        <v>0</v>
      </c>
      <c r="AD102" s="16">
        <f>IFERROR(__xludf.DUMMYFUNCTION("""COMPUTED_VALUE"""),0.0)</f>
        <v>0</v>
      </c>
      <c r="AE102" s="16">
        <f>IFERROR(__xludf.DUMMYFUNCTION("""COMPUTED_VALUE"""),0.0)</f>
        <v>0</v>
      </c>
      <c r="AF102" s="16">
        <f>IFERROR(__xludf.DUMMYFUNCTION("""COMPUTED_VALUE"""),0.0)</f>
        <v>0</v>
      </c>
      <c r="AG102" s="16">
        <f>IFERROR(__xludf.DUMMYFUNCTION("""COMPUTED_VALUE"""),0.0)</f>
        <v>0</v>
      </c>
      <c r="AH102" s="16">
        <f>IFERROR(__xludf.DUMMYFUNCTION("""COMPUTED_VALUE"""),0.0)</f>
        <v>0</v>
      </c>
    </row>
    <row r="103">
      <c r="A103" s="16" t="str">
        <f>IFERROR(__xludf.DUMMYFUNCTION("""COMPUTED_VALUE"""),"514efd834428337923e640a1254ea9d7477b18b3")</f>
        <v>514efd834428337923e640a1254ea9d7477b18b3</v>
      </c>
      <c r="B103" s="16" t="str">
        <f>IFERROR(__xludf.DUMMYFUNCTION("""COMPUTED_VALUE"""),"Bride of a Dragon")</f>
        <v>Bride of a Dragon</v>
      </c>
      <c r="C103" s="16" t="str">
        <f>IFERROR(__xludf.DUMMYFUNCTION("""COMPUTED_VALUE"""),"Romantasy")</f>
        <v>Romantasy</v>
      </c>
      <c r="D103" s="16">
        <f>IFERROR(__xludf.DUMMYFUNCTION("""COMPUTED_VALUE"""),674.0)</f>
        <v>674</v>
      </c>
      <c r="E103" s="16">
        <f>IFERROR(__xludf.DUMMYFUNCTION("""COMPUTED_VALUE"""),0.943620178041543)</f>
        <v>0.943620178</v>
      </c>
      <c r="F103" s="16">
        <f>IFERROR(__xludf.DUMMYFUNCTION("""COMPUTED_VALUE"""),0.519287833827893)</f>
        <v>0.5192878338</v>
      </c>
      <c r="G103" s="16">
        <f>IFERROR(__xludf.DUMMYFUNCTION("""COMPUTED_VALUE"""),0.482195845697329)</f>
        <v>0.4821958457</v>
      </c>
      <c r="H103" s="16">
        <f>IFERROR(__xludf.DUMMYFUNCTION("""COMPUTED_VALUE"""),0.437685459940652)</f>
        <v>0.4376854599</v>
      </c>
      <c r="I103" s="16">
        <f>IFERROR(__xludf.DUMMYFUNCTION("""COMPUTED_VALUE"""),0.409495548961424)</f>
        <v>0.409495549</v>
      </c>
      <c r="J103" s="16">
        <f>IFERROR(__xludf.DUMMYFUNCTION("""COMPUTED_VALUE"""),0.37890044576523)</f>
        <v>0.3789004458</v>
      </c>
      <c r="K103" s="16">
        <f>IFERROR(__xludf.DUMMYFUNCTION("""COMPUTED_VALUE"""),0.3725782414307)</f>
        <v>0.3725782414</v>
      </c>
      <c r="L103" s="16">
        <f>IFERROR(__xludf.DUMMYFUNCTION("""COMPUTED_VALUE"""),0.351270553064275)</f>
        <v>0.3512705531</v>
      </c>
      <c r="M103" s="16">
        <f>IFERROR(__xludf.DUMMYFUNCTION("""COMPUTED_VALUE"""),0.337331334332833)</f>
        <v>0.3373313343</v>
      </c>
      <c r="N103" s="16">
        <f>IFERROR(__xludf.DUMMYFUNCTION("""COMPUTED_VALUE"""),0.328828828828828)</f>
        <v>0.3288288288</v>
      </c>
      <c r="O103" s="16">
        <f>IFERROR(__xludf.DUMMYFUNCTION("""COMPUTED_VALUE"""),0.285060975609756)</f>
        <v>0.2850609756</v>
      </c>
      <c r="P103" s="16">
        <f>IFERROR(__xludf.DUMMYFUNCTION("""COMPUTED_VALUE"""),0.270606531881804)</f>
        <v>0.2706065319</v>
      </c>
      <c r="Q103" s="16">
        <f>IFERROR(__xludf.DUMMYFUNCTION("""COMPUTED_VALUE"""),0.237154150197628)</f>
        <v>0.2371541502</v>
      </c>
      <c r="R103" s="16">
        <f>IFERROR(__xludf.DUMMYFUNCTION("""COMPUTED_VALUE"""),0.223809523809523)</f>
        <v>0.2238095238</v>
      </c>
      <c r="S103" s="16">
        <f>IFERROR(__xludf.DUMMYFUNCTION("""COMPUTED_VALUE"""),0.193548387096774)</f>
        <v>0.1935483871</v>
      </c>
      <c r="T103" s="16">
        <f>IFERROR(__xludf.DUMMYFUNCTION("""COMPUTED_VALUE"""),0.206896551724137)</f>
        <v>0.2068965517</v>
      </c>
      <c r="U103" s="16">
        <f>IFERROR(__xludf.DUMMYFUNCTION("""COMPUTED_VALUE"""),0.0)</f>
        <v>0</v>
      </c>
      <c r="V103" s="16">
        <f>IFERROR(__xludf.DUMMYFUNCTION("""COMPUTED_VALUE"""),0.0)</f>
        <v>0</v>
      </c>
      <c r="W103" s="16">
        <f>IFERROR(__xludf.DUMMYFUNCTION("""COMPUTED_VALUE"""),0.0)</f>
        <v>0</v>
      </c>
      <c r="X103" s="16">
        <f>IFERROR(__xludf.DUMMYFUNCTION("""COMPUTED_VALUE"""),0.0)</f>
        <v>0</v>
      </c>
      <c r="Y103" s="16">
        <f>IFERROR(__xludf.DUMMYFUNCTION("""COMPUTED_VALUE"""),0.0)</f>
        <v>0</v>
      </c>
      <c r="Z103" s="16">
        <f>IFERROR(__xludf.DUMMYFUNCTION("""COMPUTED_VALUE"""),0.0)</f>
        <v>0</v>
      </c>
      <c r="AA103" s="16">
        <f>IFERROR(__xludf.DUMMYFUNCTION("""COMPUTED_VALUE"""),0.0)</f>
        <v>0</v>
      </c>
      <c r="AB103" s="16">
        <f>IFERROR(__xludf.DUMMYFUNCTION("""COMPUTED_VALUE"""),0.0)</f>
        <v>0</v>
      </c>
      <c r="AC103" s="16">
        <f>IFERROR(__xludf.DUMMYFUNCTION("""COMPUTED_VALUE"""),0.0)</f>
        <v>0</v>
      </c>
      <c r="AD103" s="16">
        <f>IFERROR(__xludf.DUMMYFUNCTION("""COMPUTED_VALUE"""),0.0)</f>
        <v>0</v>
      </c>
      <c r="AE103" s="16">
        <f>IFERROR(__xludf.DUMMYFUNCTION("""COMPUTED_VALUE"""),0.0)</f>
        <v>0</v>
      </c>
      <c r="AF103" s="16">
        <f>IFERROR(__xludf.DUMMYFUNCTION("""COMPUTED_VALUE"""),0.0)</f>
        <v>0</v>
      </c>
      <c r="AG103" s="16">
        <f>IFERROR(__xludf.DUMMYFUNCTION("""COMPUTED_VALUE"""),0.0)</f>
        <v>0</v>
      </c>
      <c r="AH103" s="16">
        <f>IFERROR(__xludf.DUMMYFUNCTION("""COMPUTED_VALUE"""),0.0)</f>
        <v>0</v>
      </c>
    </row>
    <row r="104">
      <c r="A104" s="16" t="str">
        <f>IFERROR(__xludf.DUMMYFUNCTION("""COMPUTED_VALUE"""),"5269f35d5665dd7c25aa81eac9fa9e452b693897")</f>
        <v>5269f35d5665dd7c25aa81eac9fa9e452b693897</v>
      </c>
      <c r="B104" s="16" t="str">
        <f>IFERROR(__xludf.DUMMYFUNCTION("""COMPUTED_VALUE"""),"Her Royal Vampire")</f>
        <v>Her Royal Vampire</v>
      </c>
      <c r="C104" s="16" t="str">
        <f>IFERROR(__xludf.DUMMYFUNCTION("""COMPUTED_VALUE"""),"Romantasy")</f>
        <v>Romantasy</v>
      </c>
      <c r="D104" s="16">
        <f>IFERROR(__xludf.DUMMYFUNCTION("""COMPUTED_VALUE"""),207.0)</f>
        <v>207</v>
      </c>
      <c r="E104" s="16">
        <f>IFERROR(__xludf.DUMMYFUNCTION("""COMPUTED_VALUE"""),0.946859903381642)</f>
        <v>0.9468599034</v>
      </c>
      <c r="F104" s="16">
        <f>IFERROR(__xludf.DUMMYFUNCTION("""COMPUTED_VALUE"""),0.555555555555555)</f>
        <v>0.5555555556</v>
      </c>
      <c r="G104" s="16">
        <f>IFERROR(__xludf.DUMMYFUNCTION("""COMPUTED_VALUE"""),0.497584541062801)</f>
        <v>0.4975845411</v>
      </c>
      <c r="H104" s="16">
        <f>IFERROR(__xludf.DUMMYFUNCTION("""COMPUTED_VALUE"""),0.434782608695652)</f>
        <v>0.4347826087</v>
      </c>
      <c r="I104" s="16">
        <f>IFERROR(__xludf.DUMMYFUNCTION("""COMPUTED_VALUE"""),0.420289855072463)</f>
        <v>0.4202898551</v>
      </c>
      <c r="J104" s="16">
        <f>IFERROR(__xludf.DUMMYFUNCTION("""COMPUTED_VALUE"""),0.376811594202898)</f>
        <v>0.3768115942</v>
      </c>
      <c r="K104" s="16">
        <f>IFERROR(__xludf.DUMMYFUNCTION("""COMPUTED_VALUE"""),0.364077669902912)</f>
        <v>0.3640776699</v>
      </c>
      <c r="L104" s="16">
        <f>IFERROR(__xludf.DUMMYFUNCTION("""COMPUTED_VALUE"""),0.338235294117647)</f>
        <v>0.3382352941</v>
      </c>
      <c r="M104" s="16">
        <f>IFERROR(__xludf.DUMMYFUNCTION("""COMPUTED_VALUE"""),0.338235294117647)</f>
        <v>0.3382352941</v>
      </c>
      <c r="N104" s="16">
        <f>IFERROR(__xludf.DUMMYFUNCTION("""COMPUTED_VALUE"""),0.318627450980392)</f>
        <v>0.318627451</v>
      </c>
      <c r="O104" s="16">
        <f>IFERROR(__xludf.DUMMYFUNCTION("""COMPUTED_VALUE"""),0.24022346368715)</f>
        <v>0.2402234637</v>
      </c>
      <c r="P104" s="16">
        <f>IFERROR(__xludf.DUMMYFUNCTION("""COMPUTED_VALUE"""),0.171974522292993)</f>
        <v>0.1719745223</v>
      </c>
      <c r="Q104" s="16">
        <f>IFERROR(__xludf.DUMMYFUNCTION("""COMPUTED_VALUE"""),0.155172413793103)</f>
        <v>0.1551724138</v>
      </c>
      <c r="R104" s="16">
        <f>IFERROR(__xludf.DUMMYFUNCTION("""COMPUTED_VALUE"""),0.135802469135802)</f>
        <v>0.1358024691</v>
      </c>
      <c r="S104" s="16">
        <f>IFERROR(__xludf.DUMMYFUNCTION("""COMPUTED_VALUE"""),0.0454545454545454)</f>
        <v>0.04545454545</v>
      </c>
      <c r="T104" s="16">
        <f>IFERROR(__xludf.DUMMYFUNCTION("""COMPUTED_VALUE"""),0.0588235294117647)</f>
        <v>0.05882352941</v>
      </c>
      <c r="U104" s="16">
        <f>IFERROR(__xludf.DUMMYFUNCTION("""COMPUTED_VALUE"""),0.0)</f>
        <v>0</v>
      </c>
      <c r="V104" s="16">
        <f>IFERROR(__xludf.DUMMYFUNCTION("""COMPUTED_VALUE"""),0.0)</f>
        <v>0</v>
      </c>
      <c r="W104" s="16">
        <f>IFERROR(__xludf.DUMMYFUNCTION("""COMPUTED_VALUE"""),0.0)</f>
        <v>0</v>
      </c>
      <c r="X104" s="16">
        <f>IFERROR(__xludf.DUMMYFUNCTION("""COMPUTED_VALUE"""),0.0)</f>
        <v>0</v>
      </c>
      <c r="Y104" s="16">
        <f>IFERROR(__xludf.DUMMYFUNCTION("""COMPUTED_VALUE"""),0.0)</f>
        <v>0</v>
      </c>
      <c r="Z104" s="16">
        <f>IFERROR(__xludf.DUMMYFUNCTION("""COMPUTED_VALUE"""),0.0)</f>
        <v>0</v>
      </c>
      <c r="AA104" s="16">
        <f>IFERROR(__xludf.DUMMYFUNCTION("""COMPUTED_VALUE"""),0.0)</f>
        <v>0</v>
      </c>
      <c r="AB104" s="16">
        <f>IFERROR(__xludf.DUMMYFUNCTION("""COMPUTED_VALUE"""),0.0)</f>
        <v>0</v>
      </c>
      <c r="AC104" s="16">
        <f>IFERROR(__xludf.DUMMYFUNCTION("""COMPUTED_VALUE"""),0.0)</f>
        <v>0</v>
      </c>
      <c r="AD104" s="16">
        <f>IFERROR(__xludf.DUMMYFUNCTION("""COMPUTED_VALUE"""),0.0)</f>
        <v>0</v>
      </c>
      <c r="AE104" s="16">
        <f>IFERROR(__xludf.DUMMYFUNCTION("""COMPUTED_VALUE"""),0.0)</f>
        <v>0</v>
      </c>
      <c r="AF104" s="16">
        <f>IFERROR(__xludf.DUMMYFUNCTION("""COMPUTED_VALUE"""),0.0)</f>
        <v>0</v>
      </c>
      <c r="AG104" s="16">
        <f>IFERROR(__xludf.DUMMYFUNCTION("""COMPUTED_VALUE"""),0.0)</f>
        <v>0</v>
      </c>
      <c r="AH104" s="16">
        <f>IFERROR(__xludf.DUMMYFUNCTION("""COMPUTED_VALUE"""),0.0)</f>
        <v>0</v>
      </c>
    </row>
    <row r="105">
      <c r="A105" s="16" t="str">
        <f>IFERROR(__xludf.DUMMYFUNCTION("""COMPUTED_VALUE"""),"5276da779c8fe48836102d34eea2143d4421865c")</f>
        <v>5276da779c8fe48836102d34eea2143d4421865c</v>
      </c>
      <c r="B105" s="16" t="str">
        <f>IFERROR(__xludf.DUMMYFUNCTION("""COMPUTED_VALUE"""),"The Single Father's Surrender")</f>
        <v>The Single Father's Surrender</v>
      </c>
      <c r="C105" s="16" t="str">
        <f>IFERROR(__xludf.DUMMYFUNCTION("""COMPUTED_VALUE"""),"Romance")</f>
        <v>Romance</v>
      </c>
      <c r="D105" s="16">
        <f>IFERROR(__xludf.DUMMYFUNCTION("""COMPUTED_VALUE"""),114.0)</f>
        <v>114</v>
      </c>
      <c r="E105" s="16">
        <f>IFERROR(__xludf.DUMMYFUNCTION("""COMPUTED_VALUE"""),0.93859649122807)</f>
        <v>0.9385964912</v>
      </c>
      <c r="F105" s="16">
        <f>IFERROR(__xludf.DUMMYFUNCTION("""COMPUTED_VALUE"""),0.605263157894736)</f>
        <v>0.6052631579</v>
      </c>
      <c r="G105" s="16">
        <f>IFERROR(__xludf.DUMMYFUNCTION("""COMPUTED_VALUE"""),0.5)</f>
        <v>0.5</v>
      </c>
      <c r="H105" s="16">
        <f>IFERROR(__xludf.DUMMYFUNCTION("""COMPUTED_VALUE"""),0.464912280701754)</f>
        <v>0.4649122807</v>
      </c>
      <c r="I105" s="16">
        <f>IFERROR(__xludf.DUMMYFUNCTION("""COMPUTED_VALUE"""),0.47787610619469)</f>
        <v>0.4778761062</v>
      </c>
      <c r="J105" s="16">
        <f>IFERROR(__xludf.DUMMYFUNCTION("""COMPUTED_VALUE"""),0.451327433628318)</f>
        <v>0.4513274336</v>
      </c>
      <c r="K105" s="16">
        <f>IFERROR(__xludf.DUMMYFUNCTION("""COMPUTED_VALUE"""),0.428571428571428)</f>
        <v>0.4285714286</v>
      </c>
      <c r="L105" s="16">
        <f>IFERROR(__xludf.DUMMYFUNCTION("""COMPUTED_VALUE"""),0.418181818181818)</f>
        <v>0.4181818182</v>
      </c>
      <c r="M105" s="16">
        <f>IFERROR(__xludf.DUMMYFUNCTION("""COMPUTED_VALUE"""),0.372727272727272)</f>
        <v>0.3727272727</v>
      </c>
      <c r="N105" s="16">
        <f>IFERROR(__xludf.DUMMYFUNCTION("""COMPUTED_VALUE"""),0.376146788990825)</f>
        <v>0.376146789</v>
      </c>
      <c r="O105" s="16">
        <f>IFERROR(__xludf.DUMMYFUNCTION("""COMPUTED_VALUE"""),0.257731958762886)</f>
        <v>0.2577319588</v>
      </c>
      <c r="P105" s="16">
        <f>IFERROR(__xludf.DUMMYFUNCTION("""COMPUTED_VALUE"""),0.2)</f>
        <v>0.2</v>
      </c>
      <c r="Q105" s="16">
        <f>IFERROR(__xludf.DUMMYFUNCTION("""COMPUTED_VALUE"""),0.15)</f>
        <v>0.15</v>
      </c>
      <c r="R105" s="16">
        <f>IFERROR(__xludf.DUMMYFUNCTION("""COMPUTED_VALUE"""),0.0714285714285714)</f>
        <v>0.07142857143</v>
      </c>
      <c r="S105" s="16">
        <f>IFERROR(__xludf.DUMMYFUNCTION("""COMPUTED_VALUE"""),0.0)</f>
        <v>0</v>
      </c>
      <c r="T105" s="16">
        <f>IFERROR(__xludf.DUMMYFUNCTION("""COMPUTED_VALUE"""),0.0)</f>
        <v>0</v>
      </c>
      <c r="U105" s="16">
        <f>IFERROR(__xludf.DUMMYFUNCTION("""COMPUTED_VALUE"""),0.0)</f>
        <v>0</v>
      </c>
      <c r="V105" s="16">
        <f>IFERROR(__xludf.DUMMYFUNCTION("""COMPUTED_VALUE"""),0.0)</f>
        <v>0</v>
      </c>
      <c r="W105" s="16">
        <f>IFERROR(__xludf.DUMMYFUNCTION("""COMPUTED_VALUE"""),0.0)</f>
        <v>0</v>
      </c>
      <c r="X105" s="16">
        <f>IFERROR(__xludf.DUMMYFUNCTION("""COMPUTED_VALUE"""),0.0)</f>
        <v>0</v>
      </c>
      <c r="Y105" s="16">
        <f>IFERROR(__xludf.DUMMYFUNCTION("""COMPUTED_VALUE"""),0.0)</f>
        <v>0</v>
      </c>
      <c r="Z105" s="16">
        <f>IFERROR(__xludf.DUMMYFUNCTION("""COMPUTED_VALUE"""),0.0)</f>
        <v>0</v>
      </c>
      <c r="AA105" s="16">
        <f>IFERROR(__xludf.DUMMYFUNCTION("""COMPUTED_VALUE"""),0.0)</f>
        <v>0</v>
      </c>
      <c r="AB105" s="16">
        <f>IFERROR(__xludf.DUMMYFUNCTION("""COMPUTED_VALUE"""),0.0)</f>
        <v>0</v>
      </c>
      <c r="AC105" s="16">
        <f>IFERROR(__xludf.DUMMYFUNCTION("""COMPUTED_VALUE"""),0.0)</f>
        <v>0</v>
      </c>
      <c r="AD105" s="16">
        <f>IFERROR(__xludf.DUMMYFUNCTION("""COMPUTED_VALUE"""),0.0)</f>
        <v>0</v>
      </c>
      <c r="AE105" s="16">
        <f>IFERROR(__xludf.DUMMYFUNCTION("""COMPUTED_VALUE"""),0.0)</f>
        <v>0</v>
      </c>
      <c r="AF105" s="16">
        <f>IFERROR(__xludf.DUMMYFUNCTION("""COMPUTED_VALUE"""),0.0)</f>
        <v>0</v>
      </c>
      <c r="AG105" s="16">
        <f>IFERROR(__xludf.DUMMYFUNCTION("""COMPUTED_VALUE"""),0.0)</f>
        <v>0</v>
      </c>
      <c r="AH105" s="16">
        <f>IFERROR(__xludf.DUMMYFUNCTION("""COMPUTED_VALUE"""),0.0)</f>
        <v>0</v>
      </c>
    </row>
    <row r="106">
      <c r="A106" s="16" t="str">
        <f>IFERROR(__xludf.DUMMYFUNCTION("""COMPUTED_VALUE"""),"53bd90147df4228136243c0a218345e3a338b8c1")</f>
        <v>53bd90147df4228136243c0a218345e3a338b8c1</v>
      </c>
      <c r="B106" s="16" t="str">
        <f>IFERROR(__xludf.DUMMYFUNCTION("""COMPUTED_VALUE"""),"His Abandoned Wife")</f>
        <v>His Abandoned Wife</v>
      </c>
      <c r="C106" s="16" t="str">
        <f>IFERROR(__xludf.DUMMYFUNCTION("""COMPUTED_VALUE"""),"Romance")</f>
        <v>Romance</v>
      </c>
      <c r="D106" s="16">
        <f>IFERROR(__xludf.DUMMYFUNCTION("""COMPUTED_VALUE"""),17.0)</f>
        <v>17</v>
      </c>
      <c r="E106" s="16">
        <f>IFERROR(__xludf.DUMMYFUNCTION("""COMPUTED_VALUE"""),0.941176470588235)</f>
        <v>0.9411764706</v>
      </c>
      <c r="F106" s="16">
        <f>IFERROR(__xludf.DUMMYFUNCTION("""COMPUTED_VALUE"""),0.470588235294117)</f>
        <v>0.4705882353</v>
      </c>
      <c r="G106" s="16">
        <f>IFERROR(__xludf.DUMMYFUNCTION("""COMPUTED_VALUE"""),0.470588235294117)</f>
        <v>0.4705882353</v>
      </c>
      <c r="H106" s="16">
        <f>IFERROR(__xludf.DUMMYFUNCTION("""COMPUTED_VALUE"""),0.470588235294117)</f>
        <v>0.4705882353</v>
      </c>
      <c r="I106" s="16">
        <f>IFERROR(__xludf.DUMMYFUNCTION("""COMPUTED_VALUE"""),0.411764705882352)</f>
        <v>0.4117647059</v>
      </c>
      <c r="J106" s="16">
        <f>IFERROR(__xludf.DUMMYFUNCTION("""COMPUTED_VALUE"""),0.3125)</f>
        <v>0.3125</v>
      </c>
      <c r="K106" s="16">
        <f>IFERROR(__xludf.DUMMYFUNCTION("""COMPUTED_VALUE"""),0.375)</f>
        <v>0.375</v>
      </c>
      <c r="L106" s="16">
        <f>IFERROR(__xludf.DUMMYFUNCTION("""COMPUTED_VALUE"""),0.333333333333333)</f>
        <v>0.3333333333</v>
      </c>
      <c r="M106" s="16">
        <f>IFERROR(__xludf.DUMMYFUNCTION("""COMPUTED_VALUE"""),0.333333333333333)</f>
        <v>0.3333333333</v>
      </c>
      <c r="N106" s="16">
        <f>IFERROR(__xludf.DUMMYFUNCTION("""COMPUTED_VALUE"""),0.266666666666666)</f>
        <v>0.2666666667</v>
      </c>
      <c r="O106" s="16">
        <f>IFERROR(__xludf.DUMMYFUNCTION("""COMPUTED_VALUE"""),0.23076923076923)</f>
        <v>0.2307692308</v>
      </c>
      <c r="P106" s="16">
        <f>IFERROR(__xludf.DUMMYFUNCTION("""COMPUTED_VALUE"""),0.285714285714285)</f>
        <v>0.2857142857</v>
      </c>
      <c r="Q106" s="16">
        <f>IFERROR(__xludf.DUMMYFUNCTION("""COMPUTED_VALUE"""),0.0)</f>
        <v>0</v>
      </c>
      <c r="R106" s="16">
        <f>IFERROR(__xludf.DUMMYFUNCTION("""COMPUTED_VALUE"""),0.0)</f>
        <v>0</v>
      </c>
      <c r="S106" s="16">
        <f>IFERROR(__xludf.DUMMYFUNCTION("""COMPUTED_VALUE"""),0.0)</f>
        <v>0</v>
      </c>
      <c r="T106" s="16">
        <f>IFERROR(__xludf.DUMMYFUNCTION("""COMPUTED_VALUE"""),0.0)</f>
        <v>0</v>
      </c>
      <c r="U106" s="16">
        <f>IFERROR(__xludf.DUMMYFUNCTION("""COMPUTED_VALUE"""),0.0)</f>
        <v>0</v>
      </c>
      <c r="V106" s="16">
        <f>IFERROR(__xludf.DUMMYFUNCTION("""COMPUTED_VALUE"""),0.0)</f>
        <v>0</v>
      </c>
      <c r="W106" s="16">
        <f>IFERROR(__xludf.DUMMYFUNCTION("""COMPUTED_VALUE"""),0.0)</f>
        <v>0</v>
      </c>
      <c r="X106" s="16">
        <f>IFERROR(__xludf.DUMMYFUNCTION("""COMPUTED_VALUE"""),0.0)</f>
        <v>0</v>
      </c>
      <c r="Y106" s="16">
        <f>IFERROR(__xludf.DUMMYFUNCTION("""COMPUTED_VALUE"""),0.0)</f>
        <v>0</v>
      </c>
      <c r="Z106" s="16">
        <f>IFERROR(__xludf.DUMMYFUNCTION("""COMPUTED_VALUE"""),0.0)</f>
        <v>0</v>
      </c>
      <c r="AA106" s="16">
        <f>IFERROR(__xludf.DUMMYFUNCTION("""COMPUTED_VALUE"""),0.0)</f>
        <v>0</v>
      </c>
      <c r="AB106" s="16">
        <f>IFERROR(__xludf.DUMMYFUNCTION("""COMPUTED_VALUE"""),0.0)</f>
        <v>0</v>
      </c>
      <c r="AC106" s="16">
        <f>IFERROR(__xludf.DUMMYFUNCTION("""COMPUTED_VALUE"""),0.0)</f>
        <v>0</v>
      </c>
      <c r="AD106" s="16">
        <f>IFERROR(__xludf.DUMMYFUNCTION("""COMPUTED_VALUE"""),0.0)</f>
        <v>0</v>
      </c>
      <c r="AE106" s="16">
        <f>IFERROR(__xludf.DUMMYFUNCTION("""COMPUTED_VALUE"""),0.0)</f>
        <v>0</v>
      </c>
      <c r="AF106" s="16">
        <f>IFERROR(__xludf.DUMMYFUNCTION("""COMPUTED_VALUE"""),0.0)</f>
        <v>0</v>
      </c>
      <c r="AG106" s="16">
        <f>IFERROR(__xludf.DUMMYFUNCTION("""COMPUTED_VALUE"""),0.0)</f>
        <v>0</v>
      </c>
      <c r="AH106" s="16">
        <f>IFERROR(__xludf.DUMMYFUNCTION("""COMPUTED_VALUE"""),0.0)</f>
        <v>0</v>
      </c>
    </row>
    <row r="107">
      <c r="A107" s="16" t="str">
        <f>IFERROR(__xludf.DUMMYFUNCTION("""COMPUTED_VALUE"""),"54a2cb963cd2e93491b9f03d9cf379ed72d3271f")</f>
        <v>54a2cb963cd2e93491b9f03d9cf379ed72d3271f</v>
      </c>
      <c r="B107" s="16" t="str">
        <f>IFERROR(__xludf.DUMMYFUNCTION("""COMPUTED_VALUE"""),"The One He Can't Break")</f>
        <v>The One He Can't Break</v>
      </c>
      <c r="C107" s="16" t="str">
        <f>IFERROR(__xludf.DUMMYFUNCTION("""COMPUTED_VALUE"""),"Romance")</f>
        <v>Romance</v>
      </c>
      <c r="D107" s="16">
        <f>IFERROR(__xludf.DUMMYFUNCTION("""COMPUTED_VALUE"""),186.0)</f>
        <v>186</v>
      </c>
      <c r="E107" s="16">
        <f>IFERROR(__xludf.DUMMYFUNCTION("""COMPUTED_VALUE"""),0.956989247311828)</f>
        <v>0.9569892473</v>
      </c>
      <c r="F107" s="16">
        <f>IFERROR(__xludf.DUMMYFUNCTION("""COMPUTED_VALUE"""),0.494623655913978)</f>
        <v>0.4946236559</v>
      </c>
      <c r="G107" s="16">
        <f>IFERROR(__xludf.DUMMYFUNCTION("""COMPUTED_VALUE"""),0.397849462365591)</f>
        <v>0.3978494624</v>
      </c>
      <c r="H107" s="16">
        <f>IFERROR(__xludf.DUMMYFUNCTION("""COMPUTED_VALUE"""),0.381720430107526)</f>
        <v>0.3817204301</v>
      </c>
      <c r="I107" s="16">
        <f>IFERROR(__xludf.DUMMYFUNCTION("""COMPUTED_VALUE"""),0.354838709677419)</f>
        <v>0.3548387097</v>
      </c>
      <c r="J107" s="16">
        <f>IFERROR(__xludf.DUMMYFUNCTION("""COMPUTED_VALUE"""),0.333333333333333)</f>
        <v>0.3333333333</v>
      </c>
      <c r="K107" s="16">
        <f>IFERROR(__xludf.DUMMYFUNCTION("""COMPUTED_VALUE"""),0.308108108108108)</f>
        <v>0.3081081081</v>
      </c>
      <c r="L107" s="16">
        <f>IFERROR(__xludf.DUMMYFUNCTION("""COMPUTED_VALUE"""),0.291891891891891)</f>
        <v>0.2918918919</v>
      </c>
      <c r="M107" s="16">
        <f>IFERROR(__xludf.DUMMYFUNCTION("""COMPUTED_VALUE"""),0.302702702702702)</f>
        <v>0.3027027027</v>
      </c>
      <c r="N107" s="16">
        <f>IFERROR(__xludf.DUMMYFUNCTION("""COMPUTED_VALUE"""),0.274725274725274)</f>
        <v>0.2747252747</v>
      </c>
      <c r="O107" s="16">
        <f>IFERROR(__xludf.DUMMYFUNCTION("""COMPUTED_VALUE"""),0.201183431952662)</f>
        <v>0.201183432</v>
      </c>
      <c r="P107" s="16">
        <f>IFERROR(__xludf.DUMMYFUNCTION("""COMPUTED_VALUE"""),0.143939393939393)</f>
        <v>0.1439393939</v>
      </c>
      <c r="Q107" s="16">
        <f>IFERROR(__xludf.DUMMYFUNCTION("""COMPUTED_VALUE"""),0.125)</f>
        <v>0.125</v>
      </c>
      <c r="R107" s="16">
        <f>IFERROR(__xludf.DUMMYFUNCTION("""COMPUTED_VALUE"""),0.173076923076923)</f>
        <v>0.1730769231</v>
      </c>
      <c r="S107" s="16">
        <f>IFERROR(__xludf.DUMMYFUNCTION("""COMPUTED_VALUE"""),0.0)</f>
        <v>0</v>
      </c>
      <c r="T107" s="16">
        <f>IFERROR(__xludf.DUMMYFUNCTION("""COMPUTED_VALUE"""),0.0)</f>
        <v>0</v>
      </c>
      <c r="U107" s="16">
        <f>IFERROR(__xludf.DUMMYFUNCTION("""COMPUTED_VALUE"""),0.0)</f>
        <v>0</v>
      </c>
      <c r="V107" s="16">
        <f>IFERROR(__xludf.DUMMYFUNCTION("""COMPUTED_VALUE"""),0.0)</f>
        <v>0</v>
      </c>
      <c r="W107" s="16">
        <f>IFERROR(__xludf.DUMMYFUNCTION("""COMPUTED_VALUE"""),0.0)</f>
        <v>0</v>
      </c>
      <c r="X107" s="16">
        <f>IFERROR(__xludf.DUMMYFUNCTION("""COMPUTED_VALUE"""),0.0)</f>
        <v>0</v>
      </c>
      <c r="Y107" s="16">
        <f>IFERROR(__xludf.DUMMYFUNCTION("""COMPUTED_VALUE"""),0.0)</f>
        <v>0</v>
      </c>
      <c r="Z107" s="16">
        <f>IFERROR(__xludf.DUMMYFUNCTION("""COMPUTED_VALUE"""),0.0)</f>
        <v>0</v>
      </c>
      <c r="AA107" s="16">
        <f>IFERROR(__xludf.DUMMYFUNCTION("""COMPUTED_VALUE"""),0.0)</f>
        <v>0</v>
      </c>
      <c r="AB107" s="16">
        <f>IFERROR(__xludf.DUMMYFUNCTION("""COMPUTED_VALUE"""),0.0)</f>
        <v>0</v>
      </c>
      <c r="AC107" s="16">
        <f>IFERROR(__xludf.DUMMYFUNCTION("""COMPUTED_VALUE"""),0.0)</f>
        <v>0</v>
      </c>
      <c r="AD107" s="16">
        <f>IFERROR(__xludf.DUMMYFUNCTION("""COMPUTED_VALUE"""),0.0)</f>
        <v>0</v>
      </c>
      <c r="AE107" s="16">
        <f>IFERROR(__xludf.DUMMYFUNCTION("""COMPUTED_VALUE"""),0.0)</f>
        <v>0</v>
      </c>
      <c r="AF107" s="16">
        <f>IFERROR(__xludf.DUMMYFUNCTION("""COMPUTED_VALUE"""),0.0)</f>
        <v>0</v>
      </c>
      <c r="AG107" s="16">
        <f>IFERROR(__xludf.DUMMYFUNCTION("""COMPUTED_VALUE"""),0.0)</f>
        <v>0</v>
      </c>
      <c r="AH107" s="16">
        <f>IFERROR(__xludf.DUMMYFUNCTION("""COMPUTED_VALUE"""),0.0)</f>
        <v>0</v>
      </c>
    </row>
    <row r="108">
      <c r="A108" s="16" t="str">
        <f>IFERROR(__xludf.DUMMYFUNCTION("""COMPUTED_VALUE"""),"55254a77c40862bb825ededf69a85438157d664f")</f>
        <v>55254a77c40862bb825ededf69a85438157d664f</v>
      </c>
      <c r="B108" s="16" t="str">
        <f>IFERROR(__xludf.DUMMYFUNCTION("""COMPUTED_VALUE"""),"The Billionaire With Mask")</f>
        <v>The Billionaire With Mask</v>
      </c>
      <c r="C108" s="16" t="str">
        <f>IFERROR(__xludf.DUMMYFUNCTION("""COMPUTED_VALUE"""),"Drama")</f>
        <v>Drama</v>
      </c>
      <c r="D108" s="16">
        <f>IFERROR(__xludf.DUMMYFUNCTION("""COMPUTED_VALUE"""),416.0)</f>
        <v>416</v>
      </c>
      <c r="E108" s="16">
        <f>IFERROR(__xludf.DUMMYFUNCTION("""COMPUTED_VALUE"""),0.951923076923076)</f>
        <v>0.9519230769</v>
      </c>
      <c r="F108" s="16">
        <f>IFERROR(__xludf.DUMMYFUNCTION("""COMPUTED_VALUE"""),0.632211538461538)</f>
        <v>0.6322115385</v>
      </c>
      <c r="G108" s="16">
        <f>IFERROR(__xludf.DUMMYFUNCTION("""COMPUTED_VALUE"""),0.564903846153846)</f>
        <v>0.5649038462</v>
      </c>
      <c r="H108" s="16">
        <f>IFERROR(__xludf.DUMMYFUNCTION("""COMPUTED_VALUE"""),0.519323671497584)</f>
        <v>0.5193236715</v>
      </c>
      <c r="I108" s="16">
        <f>IFERROR(__xludf.DUMMYFUNCTION("""COMPUTED_VALUE"""),0.485507246376811)</f>
        <v>0.4855072464</v>
      </c>
      <c r="J108" s="16">
        <f>IFERROR(__xludf.DUMMYFUNCTION("""COMPUTED_VALUE"""),0.470443349753694)</f>
        <v>0.4704433498</v>
      </c>
      <c r="K108" s="16">
        <f>IFERROR(__xludf.DUMMYFUNCTION("""COMPUTED_VALUE"""),0.449131513647642)</f>
        <v>0.4491315136</v>
      </c>
      <c r="L108" s="16">
        <f>IFERROR(__xludf.DUMMYFUNCTION("""COMPUTED_VALUE"""),0.444168734491315)</f>
        <v>0.4441687345</v>
      </c>
      <c r="M108" s="16">
        <f>IFERROR(__xludf.DUMMYFUNCTION("""COMPUTED_VALUE"""),0.436724565756823)</f>
        <v>0.4367245658</v>
      </c>
      <c r="N108" s="16">
        <f>IFERROR(__xludf.DUMMYFUNCTION("""COMPUTED_VALUE"""),0.421836228287841)</f>
        <v>0.4218362283</v>
      </c>
      <c r="O108" s="16">
        <f>IFERROR(__xludf.DUMMYFUNCTION("""COMPUTED_VALUE"""),0.390547263681592)</f>
        <v>0.3905472637</v>
      </c>
      <c r="P108" s="16">
        <f>IFERROR(__xludf.DUMMYFUNCTION("""COMPUTED_VALUE"""),0.372795969773299)</f>
        <v>0.3727959698</v>
      </c>
      <c r="Q108" s="16">
        <f>IFERROR(__xludf.DUMMYFUNCTION("""COMPUTED_VALUE"""),0.271356783919598)</f>
        <v>0.2713567839</v>
      </c>
      <c r="R108" s="16">
        <f>IFERROR(__xludf.DUMMYFUNCTION("""COMPUTED_VALUE"""),0.193277310924369)</f>
        <v>0.1932773109</v>
      </c>
      <c r="S108" s="16">
        <f>IFERROR(__xludf.DUMMYFUNCTION("""COMPUTED_VALUE"""),0.208791208791208)</f>
        <v>0.2087912088</v>
      </c>
      <c r="T108" s="16">
        <f>IFERROR(__xludf.DUMMYFUNCTION("""COMPUTED_VALUE"""),0.0)</f>
        <v>0</v>
      </c>
      <c r="U108" s="16">
        <f>IFERROR(__xludf.DUMMYFUNCTION("""COMPUTED_VALUE"""),0.0)</f>
        <v>0</v>
      </c>
      <c r="V108" s="16">
        <f>IFERROR(__xludf.DUMMYFUNCTION("""COMPUTED_VALUE"""),0.0)</f>
        <v>0</v>
      </c>
      <c r="W108" s="16">
        <f>IFERROR(__xludf.DUMMYFUNCTION("""COMPUTED_VALUE"""),0.0)</f>
        <v>0</v>
      </c>
      <c r="X108" s="16">
        <f>IFERROR(__xludf.DUMMYFUNCTION("""COMPUTED_VALUE"""),0.0)</f>
        <v>0</v>
      </c>
      <c r="Y108" s="16">
        <f>IFERROR(__xludf.DUMMYFUNCTION("""COMPUTED_VALUE"""),0.0)</f>
        <v>0</v>
      </c>
      <c r="Z108" s="16">
        <f>IFERROR(__xludf.DUMMYFUNCTION("""COMPUTED_VALUE"""),0.0)</f>
        <v>0</v>
      </c>
      <c r="AA108" s="16">
        <f>IFERROR(__xludf.DUMMYFUNCTION("""COMPUTED_VALUE"""),0.0)</f>
        <v>0</v>
      </c>
      <c r="AB108" s="16">
        <f>IFERROR(__xludf.DUMMYFUNCTION("""COMPUTED_VALUE"""),0.0)</f>
        <v>0</v>
      </c>
      <c r="AC108" s="16">
        <f>IFERROR(__xludf.DUMMYFUNCTION("""COMPUTED_VALUE"""),0.0)</f>
        <v>0</v>
      </c>
      <c r="AD108" s="16">
        <f>IFERROR(__xludf.DUMMYFUNCTION("""COMPUTED_VALUE"""),0.0)</f>
        <v>0</v>
      </c>
      <c r="AE108" s="16">
        <f>IFERROR(__xludf.DUMMYFUNCTION("""COMPUTED_VALUE"""),0.0)</f>
        <v>0</v>
      </c>
      <c r="AF108" s="16">
        <f>IFERROR(__xludf.DUMMYFUNCTION("""COMPUTED_VALUE"""),0.0)</f>
        <v>0</v>
      </c>
      <c r="AG108" s="16">
        <f>IFERROR(__xludf.DUMMYFUNCTION("""COMPUTED_VALUE"""),0.0)</f>
        <v>0</v>
      </c>
      <c r="AH108" s="16">
        <f>IFERROR(__xludf.DUMMYFUNCTION("""COMPUTED_VALUE"""),0.0)</f>
        <v>0</v>
      </c>
    </row>
    <row r="109">
      <c r="A109" s="16" t="str">
        <f>IFERROR(__xludf.DUMMYFUNCTION("""COMPUTED_VALUE"""),"559db21e99cf5bc0720a814784386a0617e020b9")</f>
        <v>559db21e99cf5bc0720a814784386a0617e020b9</v>
      </c>
      <c r="B109" s="16" t="str">
        <f>IFERROR(__xludf.DUMMYFUNCTION("""COMPUTED_VALUE"""),"The Reborn Sovereign")</f>
        <v>The Reborn Sovereign</v>
      </c>
      <c r="C109" s="16" t="str">
        <f>IFERROR(__xludf.DUMMYFUNCTION("""COMPUTED_VALUE"""),"Fantasy")</f>
        <v>Fantasy</v>
      </c>
      <c r="D109" s="16">
        <f>IFERROR(__xludf.DUMMYFUNCTION("""COMPUTED_VALUE"""),2582.0)</f>
        <v>2582</v>
      </c>
      <c r="E109" s="16">
        <f>IFERROR(__xludf.DUMMYFUNCTION("""COMPUTED_VALUE"""),0.956235476374903)</f>
        <v>0.9562354764</v>
      </c>
      <c r="F109" s="16">
        <f>IFERROR(__xludf.DUMMYFUNCTION("""COMPUTED_VALUE"""),0.687838884585592)</f>
        <v>0.6878388846</v>
      </c>
      <c r="G109" s="16">
        <f>IFERROR(__xludf.DUMMYFUNCTION("""COMPUTED_VALUE"""),0.649109217660728)</f>
        <v>0.6491092177</v>
      </c>
      <c r="H109" s="16">
        <f>IFERROR(__xludf.DUMMYFUNCTION("""COMPUTED_VALUE"""),0.628180039138943)</f>
        <v>0.6281800391</v>
      </c>
      <c r="I109" s="16">
        <f>IFERROR(__xludf.DUMMYFUNCTION("""COMPUTED_VALUE"""),0.617209489344591)</f>
        <v>0.6172094893</v>
      </c>
      <c r="J109" s="16">
        <f>IFERROR(__xludf.DUMMYFUNCTION("""COMPUTED_VALUE"""),0.603340292275574)</f>
        <v>0.6033402923</v>
      </c>
      <c r="K109" s="16">
        <f>IFERROR(__xludf.DUMMYFUNCTION("""COMPUTED_VALUE"""),0.593315972222222)</f>
        <v>0.5933159722</v>
      </c>
      <c r="L109" s="16">
        <f>IFERROR(__xludf.DUMMYFUNCTION("""COMPUTED_VALUE"""),0.591977869986168)</f>
        <v>0.59197787</v>
      </c>
      <c r="M109" s="16">
        <f>IFERROR(__xludf.DUMMYFUNCTION("""COMPUTED_VALUE"""),0.58743961352657)</f>
        <v>0.5874396135</v>
      </c>
      <c r="N109" s="16">
        <f>IFERROR(__xludf.DUMMYFUNCTION("""COMPUTED_VALUE"""),0.583547557840617)</f>
        <v>0.5835475578</v>
      </c>
      <c r="O109" s="16">
        <f>IFERROR(__xludf.DUMMYFUNCTION("""COMPUTED_VALUE"""),0.522414823670053)</f>
        <v>0.5224148237</v>
      </c>
      <c r="P109" s="16">
        <f>IFERROR(__xludf.DUMMYFUNCTION("""COMPUTED_VALUE"""),0.427800269905533)</f>
        <v>0.4278002699</v>
      </c>
      <c r="Q109" s="16">
        <f>IFERROR(__xludf.DUMMYFUNCTION("""COMPUTED_VALUE"""),0.337112622826908)</f>
        <v>0.3371126228</v>
      </c>
      <c r="R109" s="16">
        <f>IFERROR(__xludf.DUMMYFUNCTION("""COMPUTED_VALUE"""),0.262586377097729)</f>
        <v>0.2625863771</v>
      </c>
      <c r="S109" s="16">
        <f>IFERROR(__xludf.DUMMYFUNCTION("""COMPUTED_VALUE"""),0.180967238689547)</f>
        <v>0.1809672387</v>
      </c>
      <c r="T109" s="16">
        <f>IFERROR(__xludf.DUMMYFUNCTION("""COMPUTED_VALUE"""),0.0)</f>
        <v>0</v>
      </c>
      <c r="U109" s="16">
        <f>IFERROR(__xludf.DUMMYFUNCTION("""COMPUTED_VALUE"""),0.0)</f>
        <v>0</v>
      </c>
      <c r="V109" s="16">
        <f>IFERROR(__xludf.DUMMYFUNCTION("""COMPUTED_VALUE"""),0.0)</f>
        <v>0</v>
      </c>
      <c r="W109" s="16">
        <f>IFERROR(__xludf.DUMMYFUNCTION("""COMPUTED_VALUE"""),0.0)</f>
        <v>0</v>
      </c>
      <c r="X109" s="16">
        <f>IFERROR(__xludf.DUMMYFUNCTION("""COMPUTED_VALUE"""),0.0)</f>
        <v>0</v>
      </c>
      <c r="Y109" s="16">
        <f>IFERROR(__xludf.DUMMYFUNCTION("""COMPUTED_VALUE"""),0.0)</f>
        <v>0</v>
      </c>
      <c r="Z109" s="16">
        <f>IFERROR(__xludf.DUMMYFUNCTION("""COMPUTED_VALUE"""),0.0)</f>
        <v>0</v>
      </c>
      <c r="AA109" s="16">
        <f>IFERROR(__xludf.DUMMYFUNCTION("""COMPUTED_VALUE"""),0.0)</f>
        <v>0</v>
      </c>
      <c r="AB109" s="16">
        <f>IFERROR(__xludf.DUMMYFUNCTION("""COMPUTED_VALUE"""),0.0)</f>
        <v>0</v>
      </c>
      <c r="AC109" s="16">
        <f>IFERROR(__xludf.DUMMYFUNCTION("""COMPUTED_VALUE"""),0.0)</f>
        <v>0</v>
      </c>
      <c r="AD109" s="16">
        <f>IFERROR(__xludf.DUMMYFUNCTION("""COMPUTED_VALUE"""),0.0)</f>
        <v>0</v>
      </c>
      <c r="AE109" s="16">
        <f>IFERROR(__xludf.DUMMYFUNCTION("""COMPUTED_VALUE"""),0.0)</f>
        <v>0</v>
      </c>
      <c r="AF109" s="16">
        <f>IFERROR(__xludf.DUMMYFUNCTION("""COMPUTED_VALUE"""),0.0)</f>
        <v>0</v>
      </c>
      <c r="AG109" s="16">
        <f>IFERROR(__xludf.DUMMYFUNCTION("""COMPUTED_VALUE"""),0.0)</f>
        <v>0</v>
      </c>
      <c r="AH109" s="16">
        <f>IFERROR(__xludf.DUMMYFUNCTION("""COMPUTED_VALUE"""),0.0)</f>
        <v>0</v>
      </c>
    </row>
    <row r="110">
      <c r="A110" s="16" t="str">
        <f>IFERROR(__xludf.DUMMYFUNCTION("""COMPUTED_VALUE"""),"562f725dcc83392df0b3d429b6d1ff538f81e71b")</f>
        <v>562f725dcc83392df0b3d429b6d1ff538f81e71b</v>
      </c>
      <c r="B110" s="16" t="str">
        <f>IFERROR(__xludf.DUMMYFUNCTION("""COMPUTED_VALUE"""),"Their Contracted Hearts")</f>
        <v>Their Contracted Hearts</v>
      </c>
      <c r="C110" s="16" t="str">
        <f>IFERROR(__xludf.DUMMYFUNCTION("""COMPUTED_VALUE"""),"Romance")</f>
        <v>Romance</v>
      </c>
      <c r="D110" s="16">
        <f>IFERROR(__xludf.DUMMYFUNCTION("""COMPUTED_VALUE"""),118.0)</f>
        <v>118</v>
      </c>
      <c r="E110" s="16">
        <f>IFERROR(__xludf.DUMMYFUNCTION("""COMPUTED_VALUE"""),0.983050847457627)</f>
        <v>0.9830508475</v>
      </c>
      <c r="F110" s="16">
        <f>IFERROR(__xludf.DUMMYFUNCTION("""COMPUTED_VALUE"""),0.59322033898305)</f>
        <v>0.593220339</v>
      </c>
      <c r="G110" s="16">
        <f>IFERROR(__xludf.DUMMYFUNCTION("""COMPUTED_VALUE"""),0.559322033898305)</f>
        <v>0.5593220339</v>
      </c>
      <c r="H110" s="16">
        <f>IFERROR(__xludf.DUMMYFUNCTION("""COMPUTED_VALUE"""),0.533898305084745)</f>
        <v>0.5338983051</v>
      </c>
      <c r="I110" s="16">
        <f>IFERROR(__xludf.DUMMYFUNCTION("""COMPUTED_VALUE"""),0.516949152542372)</f>
        <v>0.5169491525</v>
      </c>
      <c r="J110" s="16">
        <f>IFERROR(__xludf.DUMMYFUNCTION("""COMPUTED_VALUE"""),0.466101694915254)</f>
        <v>0.4661016949</v>
      </c>
      <c r="K110" s="16">
        <f>IFERROR(__xludf.DUMMYFUNCTION("""COMPUTED_VALUE"""),0.415254237288135)</f>
        <v>0.4152542373</v>
      </c>
      <c r="L110" s="16">
        <f>IFERROR(__xludf.DUMMYFUNCTION("""COMPUTED_VALUE"""),0.432203389830508)</f>
        <v>0.4322033898</v>
      </c>
      <c r="M110" s="16">
        <f>IFERROR(__xludf.DUMMYFUNCTION("""COMPUTED_VALUE"""),0.406779661016949)</f>
        <v>0.406779661</v>
      </c>
      <c r="N110" s="16">
        <f>IFERROR(__xludf.DUMMYFUNCTION("""COMPUTED_VALUE"""),0.372881355932203)</f>
        <v>0.3728813559</v>
      </c>
      <c r="O110" s="16">
        <f>IFERROR(__xludf.DUMMYFUNCTION("""COMPUTED_VALUE"""),0.236363636363636)</f>
        <v>0.2363636364</v>
      </c>
      <c r="P110" s="16">
        <f>IFERROR(__xludf.DUMMYFUNCTION("""COMPUTED_VALUE"""),0.138888888888888)</f>
        <v>0.1388888889</v>
      </c>
      <c r="Q110" s="16">
        <f>IFERROR(__xludf.DUMMYFUNCTION("""COMPUTED_VALUE"""),0.0957446808510638)</f>
        <v>0.09574468085</v>
      </c>
      <c r="R110" s="16">
        <f>IFERROR(__xludf.DUMMYFUNCTION("""COMPUTED_VALUE"""),0.102564102564102)</f>
        <v>0.1025641026</v>
      </c>
      <c r="S110" s="16">
        <f>IFERROR(__xludf.DUMMYFUNCTION("""COMPUTED_VALUE"""),0.0333333333333333)</f>
        <v>0.03333333333</v>
      </c>
      <c r="T110" s="16">
        <f>IFERROR(__xludf.DUMMYFUNCTION("""COMPUTED_VALUE"""),0.0)</f>
        <v>0</v>
      </c>
      <c r="U110" s="16">
        <f>IFERROR(__xludf.DUMMYFUNCTION("""COMPUTED_VALUE"""),0.0)</f>
        <v>0</v>
      </c>
      <c r="V110" s="16">
        <f>IFERROR(__xludf.DUMMYFUNCTION("""COMPUTED_VALUE"""),0.0)</f>
        <v>0</v>
      </c>
      <c r="W110" s="16">
        <f>IFERROR(__xludf.DUMMYFUNCTION("""COMPUTED_VALUE"""),0.0)</f>
        <v>0</v>
      </c>
      <c r="X110" s="16">
        <f>IFERROR(__xludf.DUMMYFUNCTION("""COMPUTED_VALUE"""),0.0)</f>
        <v>0</v>
      </c>
      <c r="Y110" s="16">
        <f>IFERROR(__xludf.DUMMYFUNCTION("""COMPUTED_VALUE"""),0.0)</f>
        <v>0</v>
      </c>
      <c r="Z110" s="16">
        <f>IFERROR(__xludf.DUMMYFUNCTION("""COMPUTED_VALUE"""),0.0)</f>
        <v>0</v>
      </c>
      <c r="AA110" s="16">
        <f>IFERROR(__xludf.DUMMYFUNCTION("""COMPUTED_VALUE"""),0.0)</f>
        <v>0</v>
      </c>
      <c r="AB110" s="16">
        <f>IFERROR(__xludf.DUMMYFUNCTION("""COMPUTED_VALUE"""),0.0)</f>
        <v>0</v>
      </c>
      <c r="AC110" s="16">
        <f>IFERROR(__xludf.DUMMYFUNCTION("""COMPUTED_VALUE"""),0.0)</f>
        <v>0</v>
      </c>
      <c r="AD110" s="16">
        <f>IFERROR(__xludf.DUMMYFUNCTION("""COMPUTED_VALUE"""),0.0)</f>
        <v>0</v>
      </c>
      <c r="AE110" s="16">
        <f>IFERROR(__xludf.DUMMYFUNCTION("""COMPUTED_VALUE"""),0.0)</f>
        <v>0</v>
      </c>
      <c r="AF110" s="16">
        <f>IFERROR(__xludf.DUMMYFUNCTION("""COMPUTED_VALUE"""),0.0)</f>
        <v>0</v>
      </c>
      <c r="AG110" s="16">
        <f>IFERROR(__xludf.DUMMYFUNCTION("""COMPUTED_VALUE"""),0.0)</f>
        <v>0</v>
      </c>
      <c r="AH110" s="16">
        <f>IFERROR(__xludf.DUMMYFUNCTION("""COMPUTED_VALUE"""),0.0)</f>
        <v>0</v>
      </c>
    </row>
    <row r="111">
      <c r="A111" s="16" t="str">
        <f>IFERROR(__xludf.DUMMYFUNCTION("""COMPUTED_VALUE"""),"56fd2f13dbccca0c55f9b02f7334d302737ec3df")</f>
        <v>56fd2f13dbccca0c55f9b02f7334d302737ec3df</v>
      </c>
      <c r="B111" s="16" t="str">
        <f>IFERROR(__xludf.DUMMYFUNCTION("""COMPUTED_VALUE"""),"Heaven-Shaking Doctor")</f>
        <v>Heaven-Shaking Doctor</v>
      </c>
      <c r="C111" s="16" t="str">
        <f>IFERROR(__xludf.DUMMYFUNCTION("""COMPUTED_VALUE"""),"Drama")</f>
        <v>Drama</v>
      </c>
      <c r="D111" s="16">
        <f>IFERROR(__xludf.DUMMYFUNCTION("""COMPUTED_VALUE"""),488.0)</f>
        <v>488</v>
      </c>
      <c r="E111" s="16">
        <f>IFERROR(__xludf.DUMMYFUNCTION("""COMPUTED_VALUE"""),0.985655737704918)</f>
        <v>0.9856557377</v>
      </c>
      <c r="F111" s="16">
        <f>IFERROR(__xludf.DUMMYFUNCTION("""COMPUTED_VALUE"""),0.594262295081967)</f>
        <v>0.5942622951</v>
      </c>
      <c r="G111" s="16">
        <f>IFERROR(__xludf.DUMMYFUNCTION("""COMPUTED_VALUE"""),0.471311475409836)</f>
        <v>0.4713114754</v>
      </c>
      <c r="H111" s="16">
        <f>IFERROR(__xludf.DUMMYFUNCTION("""COMPUTED_VALUE"""),0.395491803278688)</f>
        <v>0.3954918033</v>
      </c>
      <c r="I111" s="16">
        <f>IFERROR(__xludf.DUMMYFUNCTION("""COMPUTED_VALUE"""),0.323770491803278)</f>
        <v>0.3237704918</v>
      </c>
      <c r="J111" s="16">
        <f>IFERROR(__xludf.DUMMYFUNCTION("""COMPUTED_VALUE"""),0.28483606557377)</f>
        <v>0.2848360656</v>
      </c>
      <c r="K111" s="16">
        <f>IFERROR(__xludf.DUMMYFUNCTION("""COMPUTED_VALUE"""),0.262295081967213)</f>
        <v>0.262295082</v>
      </c>
      <c r="L111" s="16">
        <f>IFERROR(__xludf.DUMMYFUNCTION("""COMPUTED_VALUE"""),0.223360655737704)</f>
        <v>0.2233606557</v>
      </c>
      <c r="M111" s="16">
        <f>IFERROR(__xludf.DUMMYFUNCTION("""COMPUTED_VALUE"""),0.197125256673511)</f>
        <v>0.1971252567</v>
      </c>
      <c r="N111" s="16">
        <f>IFERROR(__xludf.DUMMYFUNCTION("""COMPUTED_VALUE"""),0.185567010309278)</f>
        <v>0.1855670103</v>
      </c>
      <c r="O111" s="16">
        <f>IFERROR(__xludf.DUMMYFUNCTION("""COMPUTED_VALUE"""),0.125)</f>
        <v>0.125</v>
      </c>
      <c r="P111" s="16">
        <f>IFERROR(__xludf.DUMMYFUNCTION("""COMPUTED_VALUE"""),0.0754716981132075)</f>
        <v>0.07547169811</v>
      </c>
      <c r="Q111" s="16">
        <f>IFERROR(__xludf.DUMMYFUNCTION("""COMPUTED_VALUE"""),0.0299145299145299)</f>
        <v>0.02991452991</v>
      </c>
      <c r="R111" s="16">
        <f>IFERROR(__xludf.DUMMYFUNCTION("""COMPUTED_VALUE"""),0.0)</f>
        <v>0</v>
      </c>
      <c r="S111" s="16">
        <f>IFERROR(__xludf.DUMMYFUNCTION("""COMPUTED_VALUE"""),0.0)</f>
        <v>0</v>
      </c>
      <c r="T111" s="16">
        <f>IFERROR(__xludf.DUMMYFUNCTION("""COMPUTED_VALUE"""),0.0)</f>
        <v>0</v>
      </c>
      <c r="U111" s="16">
        <f>IFERROR(__xludf.DUMMYFUNCTION("""COMPUTED_VALUE"""),0.0)</f>
        <v>0</v>
      </c>
      <c r="V111" s="16">
        <f>IFERROR(__xludf.DUMMYFUNCTION("""COMPUTED_VALUE"""),0.0)</f>
        <v>0</v>
      </c>
      <c r="W111" s="16">
        <f>IFERROR(__xludf.DUMMYFUNCTION("""COMPUTED_VALUE"""),0.0)</f>
        <v>0</v>
      </c>
      <c r="X111" s="16">
        <f>IFERROR(__xludf.DUMMYFUNCTION("""COMPUTED_VALUE"""),0.0)</f>
        <v>0</v>
      </c>
      <c r="Y111" s="16">
        <f>IFERROR(__xludf.DUMMYFUNCTION("""COMPUTED_VALUE"""),0.0)</f>
        <v>0</v>
      </c>
      <c r="Z111" s="16">
        <f>IFERROR(__xludf.DUMMYFUNCTION("""COMPUTED_VALUE"""),0.0)</f>
        <v>0</v>
      </c>
      <c r="AA111" s="16">
        <f>IFERROR(__xludf.DUMMYFUNCTION("""COMPUTED_VALUE"""),0.0)</f>
        <v>0</v>
      </c>
      <c r="AB111" s="16">
        <f>IFERROR(__xludf.DUMMYFUNCTION("""COMPUTED_VALUE"""),0.0)</f>
        <v>0</v>
      </c>
      <c r="AC111" s="16">
        <f>IFERROR(__xludf.DUMMYFUNCTION("""COMPUTED_VALUE"""),0.0)</f>
        <v>0</v>
      </c>
      <c r="AD111" s="16">
        <f>IFERROR(__xludf.DUMMYFUNCTION("""COMPUTED_VALUE"""),0.0)</f>
        <v>0</v>
      </c>
      <c r="AE111" s="16">
        <f>IFERROR(__xludf.DUMMYFUNCTION("""COMPUTED_VALUE"""),0.0)</f>
        <v>0</v>
      </c>
      <c r="AF111" s="16">
        <f>IFERROR(__xludf.DUMMYFUNCTION("""COMPUTED_VALUE"""),0.0)</f>
        <v>0</v>
      </c>
      <c r="AG111" s="16">
        <f>IFERROR(__xludf.DUMMYFUNCTION("""COMPUTED_VALUE"""),0.0)</f>
        <v>0</v>
      </c>
      <c r="AH111" s="16">
        <f>IFERROR(__xludf.DUMMYFUNCTION("""COMPUTED_VALUE"""),0.0)</f>
        <v>0</v>
      </c>
    </row>
    <row r="112">
      <c r="A112" s="16" t="str">
        <f>IFERROR(__xludf.DUMMYFUNCTION("""COMPUTED_VALUE"""),"5710ee62e2cd01947d8f11e6bcaaa653fd1281b2")</f>
        <v>5710ee62e2cd01947d8f11e6bcaaa653fd1281b2</v>
      </c>
      <c r="B112" s="16" t="str">
        <f>IFERROR(__xludf.DUMMYFUNCTION("""COMPUTED_VALUE"""),"The Greatest Son-in-Law")</f>
        <v>The Greatest Son-in-Law</v>
      </c>
      <c r="C112" s="16" t="str">
        <f>IFERROR(__xludf.DUMMYFUNCTION("""COMPUTED_VALUE"""),"Drama")</f>
        <v>Drama</v>
      </c>
      <c r="D112" s="16">
        <f>IFERROR(__xludf.DUMMYFUNCTION("""COMPUTED_VALUE"""),730.0)</f>
        <v>730</v>
      </c>
      <c r="E112" s="16">
        <f>IFERROR(__xludf.DUMMYFUNCTION("""COMPUTED_VALUE"""),0.972602739726027)</f>
        <v>0.9726027397</v>
      </c>
      <c r="F112" s="16">
        <f>IFERROR(__xludf.DUMMYFUNCTION("""COMPUTED_VALUE"""),0.564383561643835)</f>
        <v>0.5643835616</v>
      </c>
      <c r="G112" s="16">
        <f>IFERROR(__xludf.DUMMYFUNCTION("""COMPUTED_VALUE"""),0.456164383561643)</f>
        <v>0.4561643836</v>
      </c>
      <c r="H112" s="16">
        <f>IFERROR(__xludf.DUMMYFUNCTION("""COMPUTED_VALUE"""),0.392318244170096)</f>
        <v>0.3923182442</v>
      </c>
      <c r="I112" s="16">
        <f>IFERROR(__xludf.DUMMYFUNCTION("""COMPUTED_VALUE"""),0.336538461538461)</f>
        <v>0.3365384615</v>
      </c>
      <c r="J112" s="16">
        <f>IFERROR(__xludf.DUMMYFUNCTION("""COMPUTED_VALUE"""),0.298486932599724)</f>
        <v>0.2984869326</v>
      </c>
      <c r="K112" s="16">
        <f>IFERROR(__xludf.DUMMYFUNCTION("""COMPUTED_VALUE"""),0.267313019390581)</f>
        <v>0.2673130194</v>
      </c>
      <c r="L112" s="16">
        <f>IFERROR(__xludf.DUMMYFUNCTION("""COMPUTED_VALUE"""),0.258202567760342)</f>
        <v>0.2582025678</v>
      </c>
      <c r="M112" s="16">
        <f>IFERROR(__xludf.DUMMYFUNCTION("""COMPUTED_VALUE"""),0.240875912408759)</f>
        <v>0.2408759124</v>
      </c>
      <c r="N112" s="16">
        <f>IFERROR(__xludf.DUMMYFUNCTION("""COMPUTED_VALUE"""),0.227409638554216)</f>
        <v>0.2274096386</v>
      </c>
      <c r="O112" s="16">
        <f>IFERROR(__xludf.DUMMYFUNCTION("""COMPUTED_VALUE"""),0.178879310344827)</f>
        <v>0.1788793103</v>
      </c>
      <c r="P112" s="16">
        <f>IFERROR(__xludf.DUMMYFUNCTION("""COMPUTED_VALUE"""),0.182978723404255)</f>
        <v>0.1829787234</v>
      </c>
      <c r="Q112" s="16">
        <f>IFERROR(__xludf.DUMMYFUNCTION("""COMPUTED_VALUE"""),0.142857142857142)</f>
        <v>0.1428571429</v>
      </c>
      <c r="R112" s="16">
        <f>IFERROR(__xludf.DUMMYFUNCTION("""COMPUTED_VALUE"""),0.0)</f>
        <v>0</v>
      </c>
      <c r="S112" s="16">
        <f>IFERROR(__xludf.DUMMYFUNCTION("""COMPUTED_VALUE"""),0.0)</f>
        <v>0</v>
      </c>
      <c r="T112" s="16">
        <f>IFERROR(__xludf.DUMMYFUNCTION("""COMPUTED_VALUE"""),0.0)</f>
        <v>0</v>
      </c>
      <c r="U112" s="16">
        <f>IFERROR(__xludf.DUMMYFUNCTION("""COMPUTED_VALUE"""),0.0)</f>
        <v>0</v>
      </c>
      <c r="V112" s="16">
        <f>IFERROR(__xludf.DUMMYFUNCTION("""COMPUTED_VALUE"""),0.0)</f>
        <v>0</v>
      </c>
      <c r="W112" s="16">
        <f>IFERROR(__xludf.DUMMYFUNCTION("""COMPUTED_VALUE"""),0.0)</f>
        <v>0</v>
      </c>
      <c r="X112" s="16">
        <f>IFERROR(__xludf.DUMMYFUNCTION("""COMPUTED_VALUE"""),0.0)</f>
        <v>0</v>
      </c>
      <c r="Y112" s="16">
        <f>IFERROR(__xludf.DUMMYFUNCTION("""COMPUTED_VALUE"""),0.0)</f>
        <v>0</v>
      </c>
      <c r="Z112" s="16">
        <f>IFERROR(__xludf.DUMMYFUNCTION("""COMPUTED_VALUE"""),0.0)</f>
        <v>0</v>
      </c>
      <c r="AA112" s="16">
        <f>IFERROR(__xludf.DUMMYFUNCTION("""COMPUTED_VALUE"""),0.0)</f>
        <v>0</v>
      </c>
      <c r="AB112" s="16">
        <f>IFERROR(__xludf.DUMMYFUNCTION("""COMPUTED_VALUE"""),0.0)</f>
        <v>0</v>
      </c>
      <c r="AC112" s="16">
        <f>IFERROR(__xludf.DUMMYFUNCTION("""COMPUTED_VALUE"""),0.0)</f>
        <v>0</v>
      </c>
      <c r="AD112" s="16">
        <f>IFERROR(__xludf.DUMMYFUNCTION("""COMPUTED_VALUE"""),0.0)</f>
        <v>0</v>
      </c>
      <c r="AE112" s="16">
        <f>IFERROR(__xludf.DUMMYFUNCTION("""COMPUTED_VALUE"""),0.0)</f>
        <v>0</v>
      </c>
      <c r="AF112" s="16">
        <f>IFERROR(__xludf.DUMMYFUNCTION("""COMPUTED_VALUE"""),0.0)</f>
        <v>0</v>
      </c>
      <c r="AG112" s="16">
        <f>IFERROR(__xludf.DUMMYFUNCTION("""COMPUTED_VALUE"""),0.0)</f>
        <v>0</v>
      </c>
      <c r="AH112" s="16">
        <f>IFERROR(__xludf.DUMMYFUNCTION("""COMPUTED_VALUE"""),0.0)</f>
        <v>0</v>
      </c>
    </row>
    <row r="113">
      <c r="A113" s="16" t="str">
        <f>IFERROR(__xludf.DUMMYFUNCTION("""COMPUTED_VALUE"""),"57c4ad36d88c94c3d6132c931c371b08f21ab0e1")</f>
        <v>57c4ad36d88c94c3d6132c931c371b08f21ab0e1</v>
      </c>
      <c r="B113" s="16" t="str">
        <f>IFERROR(__xludf.DUMMYFUNCTION("""COMPUTED_VALUE"""),"Warlord of the Frozen Daw")</f>
        <v>Warlord of the Frozen Daw</v>
      </c>
      <c r="C113" s="16" t="str">
        <f>IFERROR(__xludf.DUMMYFUNCTION("""COMPUTED_VALUE"""),"Drama")</f>
        <v>Drama</v>
      </c>
      <c r="D113" s="16">
        <f>IFERROR(__xludf.DUMMYFUNCTION("""COMPUTED_VALUE"""),62.0)</f>
        <v>62</v>
      </c>
      <c r="E113" s="16">
        <f>IFERROR(__xludf.DUMMYFUNCTION("""COMPUTED_VALUE"""),0.983870967741935)</f>
        <v>0.9838709677</v>
      </c>
      <c r="F113" s="16">
        <f>IFERROR(__xludf.DUMMYFUNCTION("""COMPUTED_VALUE"""),0.580645161290322)</f>
        <v>0.5806451613</v>
      </c>
      <c r="G113" s="16">
        <f>IFERROR(__xludf.DUMMYFUNCTION("""COMPUTED_VALUE"""),0.419354838709677)</f>
        <v>0.4193548387</v>
      </c>
      <c r="H113" s="16">
        <f>IFERROR(__xludf.DUMMYFUNCTION("""COMPUTED_VALUE"""),0.387096774193548)</f>
        <v>0.3870967742</v>
      </c>
      <c r="I113" s="16">
        <f>IFERROR(__xludf.DUMMYFUNCTION("""COMPUTED_VALUE"""),0.354838709677419)</f>
        <v>0.3548387097</v>
      </c>
      <c r="J113" s="16">
        <f>IFERROR(__xludf.DUMMYFUNCTION("""COMPUTED_VALUE"""),0.327868852459016)</f>
        <v>0.3278688525</v>
      </c>
      <c r="K113" s="16">
        <f>IFERROR(__xludf.DUMMYFUNCTION("""COMPUTED_VALUE"""),0.295081967213114)</f>
        <v>0.2950819672</v>
      </c>
      <c r="L113" s="16">
        <f>IFERROR(__xludf.DUMMYFUNCTION("""COMPUTED_VALUE"""),0.278688524590163)</f>
        <v>0.2786885246</v>
      </c>
      <c r="M113" s="16">
        <f>IFERROR(__xludf.DUMMYFUNCTION("""COMPUTED_VALUE"""),0.262295081967213)</f>
        <v>0.262295082</v>
      </c>
      <c r="N113" s="16">
        <f>IFERROR(__xludf.DUMMYFUNCTION("""COMPUTED_VALUE"""),0.229508196721311)</f>
        <v>0.2295081967</v>
      </c>
      <c r="O113" s="16">
        <f>IFERROR(__xludf.DUMMYFUNCTION("""COMPUTED_VALUE"""),0.203389830508474)</f>
        <v>0.2033898305</v>
      </c>
      <c r="P113" s="16">
        <f>IFERROR(__xludf.DUMMYFUNCTION("""COMPUTED_VALUE"""),0.173076923076923)</f>
        <v>0.1730769231</v>
      </c>
      <c r="Q113" s="16">
        <f>IFERROR(__xludf.DUMMYFUNCTION("""COMPUTED_VALUE"""),0.137254901960784)</f>
        <v>0.137254902</v>
      </c>
      <c r="R113" s="16">
        <f>IFERROR(__xludf.DUMMYFUNCTION("""COMPUTED_VALUE"""),0.1)</f>
        <v>0.1</v>
      </c>
      <c r="S113" s="16">
        <f>IFERROR(__xludf.DUMMYFUNCTION("""COMPUTED_VALUE"""),0.0)</f>
        <v>0</v>
      </c>
      <c r="T113" s="16">
        <f>IFERROR(__xludf.DUMMYFUNCTION("""COMPUTED_VALUE"""),0.0)</f>
        <v>0</v>
      </c>
      <c r="U113" s="16">
        <f>IFERROR(__xludf.DUMMYFUNCTION("""COMPUTED_VALUE"""),0.0)</f>
        <v>0</v>
      </c>
      <c r="V113" s="16">
        <f>IFERROR(__xludf.DUMMYFUNCTION("""COMPUTED_VALUE"""),0.0)</f>
        <v>0</v>
      </c>
      <c r="W113" s="16">
        <f>IFERROR(__xludf.DUMMYFUNCTION("""COMPUTED_VALUE"""),0.0)</f>
        <v>0</v>
      </c>
      <c r="X113" s="16">
        <f>IFERROR(__xludf.DUMMYFUNCTION("""COMPUTED_VALUE"""),0.0)</f>
        <v>0</v>
      </c>
      <c r="Y113" s="16">
        <f>IFERROR(__xludf.DUMMYFUNCTION("""COMPUTED_VALUE"""),0.0)</f>
        <v>0</v>
      </c>
      <c r="Z113" s="16">
        <f>IFERROR(__xludf.DUMMYFUNCTION("""COMPUTED_VALUE"""),0.0)</f>
        <v>0</v>
      </c>
      <c r="AA113" s="16">
        <f>IFERROR(__xludf.DUMMYFUNCTION("""COMPUTED_VALUE"""),0.0)</f>
        <v>0</v>
      </c>
      <c r="AB113" s="16">
        <f>IFERROR(__xludf.DUMMYFUNCTION("""COMPUTED_VALUE"""),0.0)</f>
        <v>0</v>
      </c>
      <c r="AC113" s="16">
        <f>IFERROR(__xludf.DUMMYFUNCTION("""COMPUTED_VALUE"""),0.0)</f>
        <v>0</v>
      </c>
      <c r="AD113" s="16">
        <f>IFERROR(__xludf.DUMMYFUNCTION("""COMPUTED_VALUE"""),0.0)</f>
        <v>0</v>
      </c>
      <c r="AE113" s="16">
        <f>IFERROR(__xludf.DUMMYFUNCTION("""COMPUTED_VALUE"""),0.0)</f>
        <v>0</v>
      </c>
      <c r="AF113" s="16">
        <f>IFERROR(__xludf.DUMMYFUNCTION("""COMPUTED_VALUE"""),0.0)</f>
        <v>0</v>
      </c>
      <c r="AG113" s="16">
        <f>IFERROR(__xludf.DUMMYFUNCTION("""COMPUTED_VALUE"""),0.0)</f>
        <v>0</v>
      </c>
      <c r="AH113" s="16">
        <f>IFERROR(__xludf.DUMMYFUNCTION("""COMPUTED_VALUE"""),0.0)</f>
        <v>0</v>
      </c>
    </row>
    <row r="114">
      <c r="A114" s="16" t="str">
        <f>IFERROR(__xludf.DUMMYFUNCTION("""COMPUTED_VALUE"""),"57e670da35fed12abf270953b1cf3cf942fc89e1")</f>
        <v>57e670da35fed12abf270953b1cf3cf942fc89e1</v>
      </c>
      <c r="B114" s="16" t="str">
        <f>IFERROR(__xludf.DUMMYFUNCTION("""COMPUTED_VALUE"""),"You Are Mine Alone, Love")</f>
        <v>You Are Mine Alone, Love</v>
      </c>
      <c r="C114" s="16" t="str">
        <f>IFERROR(__xludf.DUMMYFUNCTION("""COMPUTED_VALUE"""),"Romance")</f>
        <v>Romance</v>
      </c>
      <c r="D114" s="16">
        <f>IFERROR(__xludf.DUMMYFUNCTION("""COMPUTED_VALUE"""),52.0)</f>
        <v>52</v>
      </c>
      <c r="E114" s="16">
        <f>IFERROR(__xludf.DUMMYFUNCTION("""COMPUTED_VALUE"""),1.0)</f>
        <v>1</v>
      </c>
      <c r="F114" s="16">
        <f>IFERROR(__xludf.DUMMYFUNCTION("""COMPUTED_VALUE"""),0.5)</f>
        <v>0.5</v>
      </c>
      <c r="G114" s="16">
        <f>IFERROR(__xludf.DUMMYFUNCTION("""COMPUTED_VALUE"""),0.442307692307692)</f>
        <v>0.4423076923</v>
      </c>
      <c r="H114" s="16">
        <f>IFERROR(__xludf.DUMMYFUNCTION("""COMPUTED_VALUE"""),0.346153846153846)</f>
        <v>0.3461538462</v>
      </c>
      <c r="I114" s="16">
        <f>IFERROR(__xludf.DUMMYFUNCTION("""COMPUTED_VALUE"""),0.288461538461538)</f>
        <v>0.2884615385</v>
      </c>
      <c r="J114" s="16">
        <f>IFERROR(__xludf.DUMMYFUNCTION("""COMPUTED_VALUE"""),0.307692307692307)</f>
        <v>0.3076923077</v>
      </c>
      <c r="K114" s="16">
        <f>IFERROR(__xludf.DUMMYFUNCTION("""COMPUTED_VALUE"""),0.274509803921568)</f>
        <v>0.2745098039</v>
      </c>
      <c r="L114" s="16">
        <f>IFERROR(__xludf.DUMMYFUNCTION("""COMPUTED_VALUE"""),0.254901960784313)</f>
        <v>0.2549019608</v>
      </c>
      <c r="M114" s="16">
        <f>IFERROR(__xludf.DUMMYFUNCTION("""COMPUTED_VALUE"""),0.254901960784313)</f>
        <v>0.2549019608</v>
      </c>
      <c r="N114" s="16">
        <f>IFERROR(__xludf.DUMMYFUNCTION("""COMPUTED_VALUE"""),0.265306122448979)</f>
        <v>0.2653061224</v>
      </c>
      <c r="O114" s="16">
        <f>IFERROR(__xludf.DUMMYFUNCTION("""COMPUTED_VALUE"""),0.153846153846153)</f>
        <v>0.1538461538</v>
      </c>
      <c r="P114" s="16">
        <f>IFERROR(__xludf.DUMMYFUNCTION("""COMPUTED_VALUE"""),0.0)</f>
        <v>0</v>
      </c>
      <c r="Q114" s="16">
        <f>IFERROR(__xludf.DUMMYFUNCTION("""COMPUTED_VALUE"""),0.0)</f>
        <v>0</v>
      </c>
      <c r="R114" s="16">
        <f>IFERROR(__xludf.DUMMYFUNCTION("""COMPUTED_VALUE"""),0.0)</f>
        <v>0</v>
      </c>
      <c r="S114" s="16">
        <f>IFERROR(__xludf.DUMMYFUNCTION("""COMPUTED_VALUE"""),0.0)</f>
        <v>0</v>
      </c>
      <c r="T114" s="16">
        <f>IFERROR(__xludf.DUMMYFUNCTION("""COMPUTED_VALUE"""),0.0)</f>
        <v>0</v>
      </c>
      <c r="U114" s="16">
        <f>IFERROR(__xludf.DUMMYFUNCTION("""COMPUTED_VALUE"""),0.0)</f>
        <v>0</v>
      </c>
      <c r="V114" s="16">
        <f>IFERROR(__xludf.DUMMYFUNCTION("""COMPUTED_VALUE"""),0.0)</f>
        <v>0</v>
      </c>
      <c r="W114" s="16">
        <f>IFERROR(__xludf.DUMMYFUNCTION("""COMPUTED_VALUE"""),0.0)</f>
        <v>0</v>
      </c>
      <c r="X114" s="16">
        <f>IFERROR(__xludf.DUMMYFUNCTION("""COMPUTED_VALUE"""),0.0)</f>
        <v>0</v>
      </c>
      <c r="Y114" s="16">
        <f>IFERROR(__xludf.DUMMYFUNCTION("""COMPUTED_VALUE"""),0.0)</f>
        <v>0</v>
      </c>
      <c r="Z114" s="16">
        <f>IFERROR(__xludf.DUMMYFUNCTION("""COMPUTED_VALUE"""),0.0)</f>
        <v>0</v>
      </c>
      <c r="AA114" s="16">
        <f>IFERROR(__xludf.DUMMYFUNCTION("""COMPUTED_VALUE"""),0.0)</f>
        <v>0</v>
      </c>
      <c r="AB114" s="16">
        <f>IFERROR(__xludf.DUMMYFUNCTION("""COMPUTED_VALUE"""),0.0)</f>
        <v>0</v>
      </c>
      <c r="AC114" s="16">
        <f>IFERROR(__xludf.DUMMYFUNCTION("""COMPUTED_VALUE"""),0.0)</f>
        <v>0</v>
      </c>
      <c r="AD114" s="16">
        <f>IFERROR(__xludf.DUMMYFUNCTION("""COMPUTED_VALUE"""),0.0)</f>
        <v>0</v>
      </c>
      <c r="AE114" s="16">
        <f>IFERROR(__xludf.DUMMYFUNCTION("""COMPUTED_VALUE"""),0.0)</f>
        <v>0</v>
      </c>
      <c r="AF114" s="16">
        <f>IFERROR(__xludf.DUMMYFUNCTION("""COMPUTED_VALUE"""),0.0)</f>
        <v>0</v>
      </c>
      <c r="AG114" s="16">
        <f>IFERROR(__xludf.DUMMYFUNCTION("""COMPUTED_VALUE"""),0.0)</f>
        <v>0</v>
      </c>
      <c r="AH114" s="16">
        <f>IFERROR(__xludf.DUMMYFUNCTION("""COMPUTED_VALUE"""),0.0)</f>
        <v>0</v>
      </c>
    </row>
    <row r="115">
      <c r="A115" s="16" t="str">
        <f>IFERROR(__xludf.DUMMYFUNCTION("""COMPUTED_VALUE"""),"57ebfa5b58a3257a521a5b9c12c5af19771e4403")</f>
        <v>57ebfa5b58a3257a521a5b9c12c5af19771e4403</v>
      </c>
      <c r="B115" s="16" t="str">
        <f>IFERROR(__xludf.DUMMYFUNCTION("""COMPUTED_VALUE"""),"Unmasking the Bride")</f>
        <v>Unmasking the Bride</v>
      </c>
      <c r="C115" s="16" t="str">
        <f>IFERROR(__xludf.DUMMYFUNCTION("""COMPUTED_VALUE"""),"Romance")</f>
        <v>Romance</v>
      </c>
      <c r="D115" s="16">
        <f>IFERROR(__xludf.DUMMYFUNCTION("""COMPUTED_VALUE"""),114.0)</f>
        <v>114</v>
      </c>
      <c r="E115" s="16">
        <f>IFERROR(__xludf.DUMMYFUNCTION("""COMPUTED_VALUE"""),0.842105263157894)</f>
        <v>0.8421052632</v>
      </c>
      <c r="F115" s="16">
        <f>IFERROR(__xludf.DUMMYFUNCTION("""COMPUTED_VALUE"""),0.421052631578947)</f>
        <v>0.4210526316</v>
      </c>
      <c r="G115" s="16">
        <f>IFERROR(__xludf.DUMMYFUNCTION("""COMPUTED_VALUE"""),0.385964912280701)</f>
        <v>0.3859649123</v>
      </c>
      <c r="H115" s="16">
        <f>IFERROR(__xludf.DUMMYFUNCTION("""COMPUTED_VALUE"""),0.350877192982456)</f>
        <v>0.350877193</v>
      </c>
      <c r="I115" s="16">
        <f>IFERROR(__xludf.DUMMYFUNCTION("""COMPUTED_VALUE"""),0.368421052631578)</f>
        <v>0.3684210526</v>
      </c>
      <c r="J115" s="16">
        <f>IFERROR(__xludf.DUMMYFUNCTION("""COMPUTED_VALUE"""),0.31578947368421)</f>
        <v>0.3157894737</v>
      </c>
      <c r="K115" s="16">
        <f>IFERROR(__xludf.DUMMYFUNCTION("""COMPUTED_VALUE"""),0.307017543859649)</f>
        <v>0.3070175439</v>
      </c>
      <c r="L115" s="16">
        <f>IFERROR(__xludf.DUMMYFUNCTION("""COMPUTED_VALUE"""),0.289473684210526)</f>
        <v>0.2894736842</v>
      </c>
      <c r="M115" s="16">
        <f>IFERROR(__xludf.DUMMYFUNCTION("""COMPUTED_VALUE"""),0.25438596491228)</f>
        <v>0.2543859649</v>
      </c>
      <c r="N115" s="16">
        <f>IFERROR(__xludf.DUMMYFUNCTION("""COMPUTED_VALUE"""),0.236842105263157)</f>
        <v>0.2368421053</v>
      </c>
      <c r="O115" s="16">
        <f>IFERROR(__xludf.DUMMYFUNCTION("""COMPUTED_VALUE"""),0.221238938053097)</f>
        <v>0.2212389381</v>
      </c>
      <c r="P115" s="16">
        <f>IFERROR(__xludf.DUMMYFUNCTION("""COMPUTED_VALUE"""),0.111111111111111)</f>
        <v>0.1111111111</v>
      </c>
      <c r="Q115" s="16">
        <f>IFERROR(__xludf.DUMMYFUNCTION("""COMPUTED_VALUE"""),0.0581395348837209)</f>
        <v>0.05813953488</v>
      </c>
      <c r="R115" s="16">
        <f>IFERROR(__xludf.DUMMYFUNCTION("""COMPUTED_VALUE"""),0.0)</f>
        <v>0</v>
      </c>
      <c r="S115" s="16">
        <f>IFERROR(__xludf.DUMMYFUNCTION("""COMPUTED_VALUE"""),0.0)</f>
        <v>0</v>
      </c>
      <c r="T115" s="16">
        <f>IFERROR(__xludf.DUMMYFUNCTION("""COMPUTED_VALUE"""),0.0)</f>
        <v>0</v>
      </c>
      <c r="U115" s="16">
        <f>IFERROR(__xludf.DUMMYFUNCTION("""COMPUTED_VALUE"""),0.0)</f>
        <v>0</v>
      </c>
      <c r="V115" s="16">
        <f>IFERROR(__xludf.DUMMYFUNCTION("""COMPUTED_VALUE"""),0.0)</f>
        <v>0</v>
      </c>
      <c r="W115" s="16">
        <f>IFERROR(__xludf.DUMMYFUNCTION("""COMPUTED_VALUE"""),0.0)</f>
        <v>0</v>
      </c>
      <c r="X115" s="16">
        <f>IFERROR(__xludf.DUMMYFUNCTION("""COMPUTED_VALUE"""),0.0)</f>
        <v>0</v>
      </c>
      <c r="Y115" s="16">
        <f>IFERROR(__xludf.DUMMYFUNCTION("""COMPUTED_VALUE"""),0.0)</f>
        <v>0</v>
      </c>
      <c r="Z115" s="16">
        <f>IFERROR(__xludf.DUMMYFUNCTION("""COMPUTED_VALUE"""),0.0)</f>
        <v>0</v>
      </c>
      <c r="AA115" s="16">
        <f>IFERROR(__xludf.DUMMYFUNCTION("""COMPUTED_VALUE"""),0.0)</f>
        <v>0</v>
      </c>
      <c r="AB115" s="16">
        <f>IFERROR(__xludf.DUMMYFUNCTION("""COMPUTED_VALUE"""),0.0)</f>
        <v>0</v>
      </c>
      <c r="AC115" s="16">
        <f>IFERROR(__xludf.DUMMYFUNCTION("""COMPUTED_VALUE"""),0.0)</f>
        <v>0</v>
      </c>
      <c r="AD115" s="16">
        <f>IFERROR(__xludf.DUMMYFUNCTION("""COMPUTED_VALUE"""),0.0)</f>
        <v>0</v>
      </c>
      <c r="AE115" s="16">
        <f>IFERROR(__xludf.DUMMYFUNCTION("""COMPUTED_VALUE"""),0.0)</f>
        <v>0</v>
      </c>
      <c r="AF115" s="16">
        <f>IFERROR(__xludf.DUMMYFUNCTION("""COMPUTED_VALUE"""),0.0)</f>
        <v>0</v>
      </c>
      <c r="AG115" s="16">
        <f>IFERROR(__xludf.DUMMYFUNCTION("""COMPUTED_VALUE"""),0.0)</f>
        <v>0</v>
      </c>
      <c r="AH115" s="16">
        <f>IFERROR(__xludf.DUMMYFUNCTION("""COMPUTED_VALUE"""),0.0)</f>
        <v>0</v>
      </c>
    </row>
    <row r="116">
      <c r="A116" s="16" t="str">
        <f>IFERROR(__xludf.DUMMYFUNCTION("""COMPUTED_VALUE"""),"5843f25ac24c8ba34301e2cfe9e73ddc0bfd8fc7")</f>
        <v>5843f25ac24c8ba34301e2cfe9e73ddc0bfd8fc7</v>
      </c>
      <c r="B116" s="16" t="str">
        <f>IFERROR(__xludf.DUMMYFUNCTION("""COMPUTED_VALUE"""),"The Fire Reborn Xavier")</f>
        <v>The Fire Reborn Xavier</v>
      </c>
      <c r="C116" s="16" t="str">
        <f>IFERROR(__xludf.DUMMYFUNCTION("""COMPUTED_VALUE"""),"System and Superpower")</f>
        <v>System and Superpower</v>
      </c>
      <c r="D116" s="16">
        <f>IFERROR(__xludf.DUMMYFUNCTION("""COMPUTED_VALUE"""),828.0)</f>
        <v>828</v>
      </c>
      <c r="E116" s="16">
        <f>IFERROR(__xludf.DUMMYFUNCTION("""COMPUTED_VALUE"""),0.980676328502415)</f>
        <v>0.9806763285</v>
      </c>
      <c r="F116" s="16">
        <f>IFERROR(__xludf.DUMMYFUNCTION("""COMPUTED_VALUE"""),0.525362318840579)</f>
        <v>0.5253623188</v>
      </c>
      <c r="G116" s="16">
        <f>IFERROR(__xludf.DUMMYFUNCTION("""COMPUTED_VALUE"""),0.443236714975845)</f>
        <v>0.443236715</v>
      </c>
      <c r="H116" s="16">
        <f>IFERROR(__xludf.DUMMYFUNCTION("""COMPUTED_VALUE"""),0.390096618357487)</f>
        <v>0.3900966184</v>
      </c>
      <c r="I116" s="16">
        <f>IFERROR(__xludf.DUMMYFUNCTION("""COMPUTED_VALUE"""),0.365942028985507)</f>
        <v>0.365942029</v>
      </c>
      <c r="J116" s="16">
        <f>IFERROR(__xludf.DUMMYFUNCTION("""COMPUTED_VALUE"""),0.33695652173913)</f>
        <v>0.3369565217</v>
      </c>
      <c r="K116" s="16">
        <f>IFERROR(__xludf.DUMMYFUNCTION("""COMPUTED_VALUE"""),0.318016928657799)</f>
        <v>0.3180169287</v>
      </c>
      <c r="L116" s="16">
        <f>IFERROR(__xludf.DUMMYFUNCTION("""COMPUTED_VALUE"""),0.305825242718446)</f>
        <v>0.3058252427</v>
      </c>
      <c r="M116" s="16">
        <f>IFERROR(__xludf.DUMMYFUNCTION("""COMPUTED_VALUE"""),0.28361858190709)</f>
        <v>0.2836185819</v>
      </c>
      <c r="N116" s="16">
        <f>IFERROR(__xludf.DUMMYFUNCTION("""COMPUTED_VALUE"""),0.269900497512437)</f>
        <v>0.2699004975</v>
      </c>
      <c r="O116" s="16">
        <f>IFERROR(__xludf.DUMMYFUNCTION("""COMPUTED_VALUE"""),0.192700729927007)</f>
        <v>0.1927007299</v>
      </c>
      <c r="P116" s="16">
        <f>IFERROR(__xludf.DUMMYFUNCTION("""COMPUTED_VALUE"""),0.188755020080321)</f>
        <v>0.1887550201</v>
      </c>
      <c r="Q116" s="16">
        <f>IFERROR(__xludf.DUMMYFUNCTION("""COMPUTED_VALUE"""),0.10762331838565)</f>
        <v>0.1076233184</v>
      </c>
      <c r="R116" s="16">
        <f>IFERROR(__xludf.DUMMYFUNCTION("""COMPUTED_VALUE"""),0.10091743119266)</f>
        <v>0.1009174312</v>
      </c>
      <c r="S116" s="16">
        <f>IFERROR(__xludf.DUMMYFUNCTION("""COMPUTED_VALUE"""),0.0625)</f>
        <v>0.0625</v>
      </c>
      <c r="T116" s="16">
        <f>IFERROR(__xludf.DUMMYFUNCTION("""COMPUTED_VALUE"""),0.0)</f>
        <v>0</v>
      </c>
      <c r="U116" s="16">
        <f>IFERROR(__xludf.DUMMYFUNCTION("""COMPUTED_VALUE"""),0.0)</f>
        <v>0</v>
      </c>
      <c r="V116" s="16">
        <f>IFERROR(__xludf.DUMMYFUNCTION("""COMPUTED_VALUE"""),0.0)</f>
        <v>0</v>
      </c>
      <c r="W116" s="16">
        <f>IFERROR(__xludf.DUMMYFUNCTION("""COMPUTED_VALUE"""),0.0)</f>
        <v>0</v>
      </c>
      <c r="X116" s="16">
        <f>IFERROR(__xludf.DUMMYFUNCTION("""COMPUTED_VALUE"""),0.0)</f>
        <v>0</v>
      </c>
      <c r="Y116" s="16">
        <f>IFERROR(__xludf.DUMMYFUNCTION("""COMPUTED_VALUE"""),0.0)</f>
        <v>0</v>
      </c>
      <c r="Z116" s="16">
        <f>IFERROR(__xludf.DUMMYFUNCTION("""COMPUTED_VALUE"""),0.0)</f>
        <v>0</v>
      </c>
      <c r="AA116" s="16">
        <f>IFERROR(__xludf.DUMMYFUNCTION("""COMPUTED_VALUE"""),0.0)</f>
        <v>0</v>
      </c>
      <c r="AB116" s="16">
        <f>IFERROR(__xludf.DUMMYFUNCTION("""COMPUTED_VALUE"""),0.0)</f>
        <v>0</v>
      </c>
      <c r="AC116" s="16">
        <f>IFERROR(__xludf.DUMMYFUNCTION("""COMPUTED_VALUE"""),0.0)</f>
        <v>0</v>
      </c>
      <c r="AD116" s="16">
        <f>IFERROR(__xludf.DUMMYFUNCTION("""COMPUTED_VALUE"""),0.0)</f>
        <v>0</v>
      </c>
      <c r="AE116" s="16">
        <f>IFERROR(__xludf.DUMMYFUNCTION("""COMPUTED_VALUE"""),0.0)</f>
        <v>0</v>
      </c>
      <c r="AF116" s="16">
        <f>IFERROR(__xludf.DUMMYFUNCTION("""COMPUTED_VALUE"""),0.0)</f>
        <v>0</v>
      </c>
      <c r="AG116" s="16">
        <f>IFERROR(__xludf.DUMMYFUNCTION("""COMPUTED_VALUE"""),0.0)</f>
        <v>0</v>
      </c>
      <c r="AH116" s="16">
        <f>IFERROR(__xludf.DUMMYFUNCTION("""COMPUTED_VALUE"""),0.0)</f>
        <v>0</v>
      </c>
    </row>
    <row r="117">
      <c r="A117" s="16" t="str">
        <f>IFERROR(__xludf.DUMMYFUNCTION("""COMPUTED_VALUE"""),"596d213162507bbf543b3c2a618f8bb54acd4623")</f>
        <v>596d213162507bbf543b3c2a618f8bb54acd4623</v>
      </c>
      <c r="B117" s="16" t="str">
        <f>IFERROR(__xludf.DUMMYFUNCTION("""COMPUTED_VALUE"""),"Echoes of Regrets")</f>
        <v>Echoes of Regrets</v>
      </c>
      <c r="C117" s="16" t="str">
        <f>IFERROR(__xludf.DUMMYFUNCTION("""COMPUTED_VALUE"""),"Romance")</f>
        <v>Romance</v>
      </c>
      <c r="D117" s="16">
        <f>IFERROR(__xludf.DUMMYFUNCTION("""COMPUTED_VALUE"""),43.0)</f>
        <v>43</v>
      </c>
      <c r="E117" s="16">
        <f>IFERROR(__xludf.DUMMYFUNCTION("""COMPUTED_VALUE"""),0.953488372093023)</f>
        <v>0.9534883721</v>
      </c>
      <c r="F117" s="16">
        <f>IFERROR(__xludf.DUMMYFUNCTION("""COMPUTED_VALUE"""),0.55813953488372)</f>
        <v>0.5581395349</v>
      </c>
      <c r="G117" s="16">
        <f>IFERROR(__xludf.DUMMYFUNCTION("""COMPUTED_VALUE"""),0.348837209302325)</f>
        <v>0.3488372093</v>
      </c>
      <c r="H117" s="16">
        <f>IFERROR(__xludf.DUMMYFUNCTION("""COMPUTED_VALUE"""),0.325581395348837)</f>
        <v>0.3255813953</v>
      </c>
      <c r="I117" s="16">
        <f>IFERROR(__xludf.DUMMYFUNCTION("""COMPUTED_VALUE"""),0.302325581395348)</f>
        <v>0.3023255814</v>
      </c>
      <c r="J117" s="16">
        <f>IFERROR(__xludf.DUMMYFUNCTION("""COMPUTED_VALUE"""),0.261904761904761)</f>
        <v>0.2619047619</v>
      </c>
      <c r="K117" s="16">
        <f>IFERROR(__xludf.DUMMYFUNCTION("""COMPUTED_VALUE"""),0.238095238095238)</f>
        <v>0.2380952381</v>
      </c>
      <c r="L117" s="16">
        <f>IFERROR(__xludf.DUMMYFUNCTION("""COMPUTED_VALUE"""),0.170731707317073)</f>
        <v>0.1707317073</v>
      </c>
      <c r="M117" s="16">
        <f>IFERROR(__xludf.DUMMYFUNCTION("""COMPUTED_VALUE"""),0.157894736842105)</f>
        <v>0.1578947368</v>
      </c>
      <c r="N117" s="16">
        <f>IFERROR(__xludf.DUMMYFUNCTION("""COMPUTED_VALUE"""),0.111111111111111)</f>
        <v>0.1111111111</v>
      </c>
      <c r="O117" s="16">
        <f>IFERROR(__xludf.DUMMYFUNCTION("""COMPUTED_VALUE"""),0.0769230769230769)</f>
        <v>0.07692307692</v>
      </c>
      <c r="P117" s="16">
        <f>IFERROR(__xludf.DUMMYFUNCTION("""COMPUTED_VALUE"""),0.0416666666666666)</f>
        <v>0.04166666667</v>
      </c>
      <c r="Q117" s="16">
        <f>IFERROR(__xludf.DUMMYFUNCTION("""COMPUTED_VALUE"""),0.0)</f>
        <v>0</v>
      </c>
      <c r="R117" s="16">
        <f>IFERROR(__xludf.DUMMYFUNCTION("""COMPUTED_VALUE"""),0.0)</f>
        <v>0</v>
      </c>
      <c r="S117" s="16">
        <f>IFERROR(__xludf.DUMMYFUNCTION("""COMPUTED_VALUE"""),0.0)</f>
        <v>0</v>
      </c>
      <c r="T117" s="16">
        <f>IFERROR(__xludf.DUMMYFUNCTION("""COMPUTED_VALUE"""),0.0)</f>
        <v>0</v>
      </c>
      <c r="U117" s="16">
        <f>IFERROR(__xludf.DUMMYFUNCTION("""COMPUTED_VALUE"""),0.0)</f>
        <v>0</v>
      </c>
      <c r="V117" s="16">
        <f>IFERROR(__xludf.DUMMYFUNCTION("""COMPUTED_VALUE"""),0.0)</f>
        <v>0</v>
      </c>
      <c r="W117" s="16">
        <f>IFERROR(__xludf.DUMMYFUNCTION("""COMPUTED_VALUE"""),0.0)</f>
        <v>0</v>
      </c>
      <c r="X117" s="16">
        <f>IFERROR(__xludf.DUMMYFUNCTION("""COMPUTED_VALUE"""),0.0)</f>
        <v>0</v>
      </c>
      <c r="Y117" s="16">
        <f>IFERROR(__xludf.DUMMYFUNCTION("""COMPUTED_VALUE"""),0.0)</f>
        <v>0</v>
      </c>
      <c r="Z117" s="16">
        <f>IFERROR(__xludf.DUMMYFUNCTION("""COMPUTED_VALUE"""),0.0)</f>
        <v>0</v>
      </c>
      <c r="AA117" s="16">
        <f>IFERROR(__xludf.DUMMYFUNCTION("""COMPUTED_VALUE"""),0.0)</f>
        <v>0</v>
      </c>
      <c r="AB117" s="16">
        <f>IFERROR(__xludf.DUMMYFUNCTION("""COMPUTED_VALUE"""),0.0)</f>
        <v>0</v>
      </c>
      <c r="AC117" s="16">
        <f>IFERROR(__xludf.DUMMYFUNCTION("""COMPUTED_VALUE"""),0.0)</f>
        <v>0</v>
      </c>
      <c r="AD117" s="16">
        <f>IFERROR(__xludf.DUMMYFUNCTION("""COMPUTED_VALUE"""),0.0)</f>
        <v>0</v>
      </c>
      <c r="AE117" s="16">
        <f>IFERROR(__xludf.DUMMYFUNCTION("""COMPUTED_VALUE"""),0.0)</f>
        <v>0</v>
      </c>
      <c r="AF117" s="16">
        <f>IFERROR(__xludf.DUMMYFUNCTION("""COMPUTED_VALUE"""),0.0)</f>
        <v>0</v>
      </c>
      <c r="AG117" s="16">
        <f>IFERROR(__xludf.DUMMYFUNCTION("""COMPUTED_VALUE"""),0.0)</f>
        <v>0</v>
      </c>
      <c r="AH117" s="16">
        <f>IFERROR(__xludf.DUMMYFUNCTION("""COMPUTED_VALUE"""),0.0)</f>
        <v>0</v>
      </c>
    </row>
    <row r="118">
      <c r="A118" s="16" t="str">
        <f>IFERROR(__xludf.DUMMYFUNCTION("""COMPUTED_VALUE"""),"5c0a4a3bda3c16a4ed94c8945bade52e165a2848")</f>
        <v>5c0a4a3bda3c16a4ed94c8945bade52e165a2848</v>
      </c>
      <c r="B118" s="16" t="str">
        <f>IFERROR(__xludf.DUMMYFUNCTION("""COMPUTED_VALUE"""),"Bound to Reclusive Alpha")</f>
        <v>Bound to Reclusive Alpha</v>
      </c>
      <c r="C118" s="16" t="str">
        <f>IFERROR(__xludf.DUMMYFUNCTION("""COMPUTED_VALUE"""),"Fantasy")</f>
        <v>Fantasy</v>
      </c>
      <c r="D118" s="16">
        <f>IFERROR(__xludf.DUMMYFUNCTION("""COMPUTED_VALUE"""),163.0)</f>
        <v>163</v>
      </c>
      <c r="E118" s="16">
        <f>IFERROR(__xludf.DUMMYFUNCTION("""COMPUTED_VALUE"""),0.969325153374233)</f>
        <v>0.9693251534</v>
      </c>
      <c r="F118" s="16">
        <f>IFERROR(__xludf.DUMMYFUNCTION("""COMPUTED_VALUE"""),0.472392638036809)</f>
        <v>0.472392638</v>
      </c>
      <c r="G118" s="16">
        <f>IFERROR(__xludf.DUMMYFUNCTION("""COMPUTED_VALUE"""),0.386503067484662)</f>
        <v>0.3865030675</v>
      </c>
      <c r="H118" s="16">
        <f>IFERROR(__xludf.DUMMYFUNCTION("""COMPUTED_VALUE"""),0.380368098159509)</f>
        <v>0.3803680982</v>
      </c>
      <c r="I118" s="16">
        <f>IFERROR(__xludf.DUMMYFUNCTION("""COMPUTED_VALUE"""),0.349693251533742)</f>
        <v>0.3496932515</v>
      </c>
      <c r="J118" s="16">
        <f>IFERROR(__xludf.DUMMYFUNCTION("""COMPUTED_VALUE"""),0.325153374233128)</f>
        <v>0.3251533742</v>
      </c>
      <c r="K118" s="16">
        <f>IFERROR(__xludf.DUMMYFUNCTION("""COMPUTED_VALUE"""),0.306748466257668)</f>
        <v>0.3067484663</v>
      </c>
      <c r="L118" s="16">
        <f>IFERROR(__xludf.DUMMYFUNCTION("""COMPUTED_VALUE"""),0.276073619631901)</f>
        <v>0.2760736196</v>
      </c>
      <c r="M118" s="16">
        <f>IFERROR(__xludf.DUMMYFUNCTION("""COMPUTED_VALUE"""),0.253086419753086)</f>
        <v>0.2530864198</v>
      </c>
      <c r="N118" s="16">
        <f>IFERROR(__xludf.DUMMYFUNCTION("""COMPUTED_VALUE"""),0.246913580246913)</f>
        <v>0.2469135802</v>
      </c>
      <c r="O118" s="16">
        <f>IFERROR(__xludf.DUMMYFUNCTION("""COMPUTED_VALUE"""),0.180555555555555)</f>
        <v>0.1805555556</v>
      </c>
      <c r="P118" s="16">
        <f>IFERROR(__xludf.DUMMYFUNCTION("""COMPUTED_VALUE"""),0.164179104477611)</f>
        <v>0.1641791045</v>
      </c>
      <c r="Q118" s="16">
        <f>IFERROR(__xludf.DUMMYFUNCTION("""COMPUTED_VALUE"""),0.00862068965517241)</f>
        <v>0.008620689655</v>
      </c>
      <c r="R118" s="16">
        <f>IFERROR(__xludf.DUMMYFUNCTION("""COMPUTED_VALUE"""),0.0)</f>
        <v>0</v>
      </c>
      <c r="S118" s="16">
        <f>IFERROR(__xludf.DUMMYFUNCTION("""COMPUTED_VALUE"""),0.0)</f>
        <v>0</v>
      </c>
      <c r="T118" s="16">
        <f>IFERROR(__xludf.DUMMYFUNCTION("""COMPUTED_VALUE"""),0.0)</f>
        <v>0</v>
      </c>
      <c r="U118" s="16">
        <f>IFERROR(__xludf.DUMMYFUNCTION("""COMPUTED_VALUE"""),0.0)</f>
        <v>0</v>
      </c>
      <c r="V118" s="16">
        <f>IFERROR(__xludf.DUMMYFUNCTION("""COMPUTED_VALUE"""),0.0)</f>
        <v>0</v>
      </c>
      <c r="W118" s="16">
        <f>IFERROR(__xludf.DUMMYFUNCTION("""COMPUTED_VALUE"""),0.0)</f>
        <v>0</v>
      </c>
      <c r="X118" s="16">
        <f>IFERROR(__xludf.DUMMYFUNCTION("""COMPUTED_VALUE"""),0.0)</f>
        <v>0</v>
      </c>
      <c r="Y118" s="16">
        <f>IFERROR(__xludf.DUMMYFUNCTION("""COMPUTED_VALUE"""),0.0)</f>
        <v>0</v>
      </c>
      <c r="Z118" s="16">
        <f>IFERROR(__xludf.DUMMYFUNCTION("""COMPUTED_VALUE"""),0.0)</f>
        <v>0</v>
      </c>
      <c r="AA118" s="16">
        <f>IFERROR(__xludf.DUMMYFUNCTION("""COMPUTED_VALUE"""),0.0)</f>
        <v>0</v>
      </c>
      <c r="AB118" s="16">
        <f>IFERROR(__xludf.DUMMYFUNCTION("""COMPUTED_VALUE"""),0.0)</f>
        <v>0</v>
      </c>
      <c r="AC118" s="16">
        <f>IFERROR(__xludf.DUMMYFUNCTION("""COMPUTED_VALUE"""),0.0)</f>
        <v>0</v>
      </c>
      <c r="AD118" s="16">
        <f>IFERROR(__xludf.DUMMYFUNCTION("""COMPUTED_VALUE"""),0.0)</f>
        <v>0</v>
      </c>
      <c r="AE118" s="16">
        <f>IFERROR(__xludf.DUMMYFUNCTION("""COMPUTED_VALUE"""),0.0)</f>
        <v>0</v>
      </c>
      <c r="AF118" s="16">
        <f>IFERROR(__xludf.DUMMYFUNCTION("""COMPUTED_VALUE"""),0.0)</f>
        <v>0</v>
      </c>
      <c r="AG118" s="16">
        <f>IFERROR(__xludf.DUMMYFUNCTION("""COMPUTED_VALUE"""),0.0)</f>
        <v>0</v>
      </c>
      <c r="AH118" s="16">
        <f>IFERROR(__xludf.DUMMYFUNCTION("""COMPUTED_VALUE"""),0.0)</f>
        <v>0</v>
      </c>
    </row>
    <row r="119">
      <c r="A119" s="16" t="str">
        <f>IFERROR(__xludf.DUMMYFUNCTION("""COMPUTED_VALUE"""),"5cf4b46f18d6bb7294440595874ef70922a2b9a3")</f>
        <v>5cf4b46f18d6bb7294440595874ef70922a2b9a3</v>
      </c>
      <c r="B119" s="16" t="str">
        <f>IFERROR(__xludf.DUMMYFUNCTION("""COMPUTED_VALUE"""),"Alabama Royal")</f>
        <v>Alabama Royal</v>
      </c>
      <c r="C119" s="16" t="str">
        <f>IFERROR(__xludf.DUMMYFUNCTION("""COMPUTED_VALUE"""),"Romance")</f>
        <v>Romance</v>
      </c>
      <c r="D119" s="16">
        <f>IFERROR(__xludf.DUMMYFUNCTION("""COMPUTED_VALUE"""),183.0)</f>
        <v>183</v>
      </c>
      <c r="E119" s="16">
        <f>IFERROR(__xludf.DUMMYFUNCTION("""COMPUTED_VALUE"""),1.0)</f>
        <v>1</v>
      </c>
      <c r="F119" s="16">
        <f>IFERROR(__xludf.DUMMYFUNCTION("""COMPUTED_VALUE"""),0.459016393442622)</f>
        <v>0.4590163934</v>
      </c>
      <c r="G119" s="16">
        <f>IFERROR(__xludf.DUMMYFUNCTION("""COMPUTED_VALUE"""),0.393442622950819)</f>
        <v>0.393442623</v>
      </c>
      <c r="H119" s="16">
        <f>IFERROR(__xludf.DUMMYFUNCTION("""COMPUTED_VALUE"""),0.371584699453551)</f>
        <v>0.3715846995</v>
      </c>
      <c r="I119" s="16">
        <f>IFERROR(__xludf.DUMMYFUNCTION("""COMPUTED_VALUE"""),0.344262295081967)</f>
        <v>0.3442622951</v>
      </c>
      <c r="J119" s="16">
        <f>IFERROR(__xludf.DUMMYFUNCTION("""COMPUTED_VALUE"""),0.316939890710382)</f>
        <v>0.3169398907</v>
      </c>
      <c r="K119" s="16">
        <f>IFERROR(__xludf.DUMMYFUNCTION("""COMPUTED_VALUE"""),0.289617486338797)</f>
        <v>0.2896174863</v>
      </c>
      <c r="L119" s="16">
        <f>IFERROR(__xludf.DUMMYFUNCTION("""COMPUTED_VALUE"""),0.28415300546448)</f>
        <v>0.2841530055</v>
      </c>
      <c r="M119" s="16">
        <f>IFERROR(__xludf.DUMMYFUNCTION("""COMPUTED_VALUE"""),0.273224043715847)</f>
        <v>0.2732240437</v>
      </c>
      <c r="N119" s="16">
        <f>IFERROR(__xludf.DUMMYFUNCTION("""COMPUTED_VALUE"""),0.26775956284153)</f>
        <v>0.2677595628</v>
      </c>
      <c r="O119" s="16">
        <f>IFERROR(__xludf.DUMMYFUNCTION("""COMPUTED_VALUE"""),0.244047619047619)</f>
        <v>0.244047619</v>
      </c>
      <c r="P119" s="16">
        <f>IFERROR(__xludf.DUMMYFUNCTION("""COMPUTED_VALUE"""),0.195121951219512)</f>
        <v>0.1951219512</v>
      </c>
      <c r="Q119" s="16">
        <f>IFERROR(__xludf.DUMMYFUNCTION("""COMPUTED_VALUE"""),0.130434782608695)</f>
        <v>0.1304347826</v>
      </c>
      <c r="R119" s="16">
        <f>IFERROR(__xludf.DUMMYFUNCTION("""COMPUTED_VALUE"""),0.0)</f>
        <v>0</v>
      </c>
      <c r="S119" s="16">
        <f>IFERROR(__xludf.DUMMYFUNCTION("""COMPUTED_VALUE"""),0.0)</f>
        <v>0</v>
      </c>
      <c r="T119" s="16">
        <f>IFERROR(__xludf.DUMMYFUNCTION("""COMPUTED_VALUE"""),0.0)</f>
        <v>0</v>
      </c>
      <c r="U119" s="16">
        <f>IFERROR(__xludf.DUMMYFUNCTION("""COMPUTED_VALUE"""),0.0)</f>
        <v>0</v>
      </c>
      <c r="V119" s="16">
        <f>IFERROR(__xludf.DUMMYFUNCTION("""COMPUTED_VALUE"""),0.0)</f>
        <v>0</v>
      </c>
      <c r="W119" s="16">
        <f>IFERROR(__xludf.DUMMYFUNCTION("""COMPUTED_VALUE"""),0.0)</f>
        <v>0</v>
      </c>
      <c r="X119" s="16">
        <f>IFERROR(__xludf.DUMMYFUNCTION("""COMPUTED_VALUE"""),0.0)</f>
        <v>0</v>
      </c>
      <c r="Y119" s="16">
        <f>IFERROR(__xludf.DUMMYFUNCTION("""COMPUTED_VALUE"""),0.0)</f>
        <v>0</v>
      </c>
      <c r="Z119" s="16">
        <f>IFERROR(__xludf.DUMMYFUNCTION("""COMPUTED_VALUE"""),0.0)</f>
        <v>0</v>
      </c>
      <c r="AA119" s="16">
        <f>IFERROR(__xludf.DUMMYFUNCTION("""COMPUTED_VALUE"""),0.0)</f>
        <v>0</v>
      </c>
      <c r="AB119" s="16">
        <f>IFERROR(__xludf.DUMMYFUNCTION("""COMPUTED_VALUE"""),0.0)</f>
        <v>0</v>
      </c>
      <c r="AC119" s="16">
        <f>IFERROR(__xludf.DUMMYFUNCTION("""COMPUTED_VALUE"""),0.0)</f>
        <v>0</v>
      </c>
      <c r="AD119" s="16">
        <f>IFERROR(__xludf.DUMMYFUNCTION("""COMPUTED_VALUE"""),0.0)</f>
        <v>0</v>
      </c>
      <c r="AE119" s="16">
        <f>IFERROR(__xludf.DUMMYFUNCTION("""COMPUTED_VALUE"""),0.0)</f>
        <v>0</v>
      </c>
      <c r="AF119" s="16">
        <f>IFERROR(__xludf.DUMMYFUNCTION("""COMPUTED_VALUE"""),0.0)</f>
        <v>0</v>
      </c>
      <c r="AG119" s="16">
        <f>IFERROR(__xludf.DUMMYFUNCTION("""COMPUTED_VALUE"""),0.0)</f>
        <v>0</v>
      </c>
      <c r="AH119" s="16">
        <f>IFERROR(__xludf.DUMMYFUNCTION("""COMPUTED_VALUE"""),0.0)</f>
        <v>0</v>
      </c>
    </row>
    <row r="120">
      <c r="A120" s="16" t="str">
        <f>IFERROR(__xludf.DUMMYFUNCTION("""COMPUTED_VALUE"""),"5d4e7e8696e74e383e0ea0e4f4f535ba9758496a")</f>
        <v>5d4e7e8696e74e383e0ea0e4f4f535ba9758496a</v>
      </c>
      <c r="B120" s="16" t="str">
        <f>IFERROR(__xludf.DUMMYFUNCTION("""COMPUTED_VALUE"""),"Who Fathered My Twins")</f>
        <v>Who Fathered My Twins</v>
      </c>
      <c r="C120" s="16" t="str">
        <f>IFERROR(__xludf.DUMMYFUNCTION("""COMPUTED_VALUE"""),"Romance")</f>
        <v>Romance</v>
      </c>
      <c r="D120" s="16">
        <f>IFERROR(__xludf.DUMMYFUNCTION("""COMPUTED_VALUE"""),42.0)</f>
        <v>42</v>
      </c>
      <c r="E120" s="16">
        <f>IFERROR(__xludf.DUMMYFUNCTION("""COMPUTED_VALUE"""),1.0)</f>
        <v>1</v>
      </c>
      <c r="F120" s="16">
        <f>IFERROR(__xludf.DUMMYFUNCTION("""COMPUTED_VALUE"""),0.595238095238095)</f>
        <v>0.5952380952</v>
      </c>
      <c r="G120" s="16">
        <f>IFERROR(__xludf.DUMMYFUNCTION("""COMPUTED_VALUE"""),0.523809523809523)</f>
        <v>0.5238095238</v>
      </c>
      <c r="H120" s="16">
        <f>IFERROR(__xludf.DUMMYFUNCTION("""COMPUTED_VALUE"""),0.547619047619047)</f>
        <v>0.5476190476</v>
      </c>
      <c r="I120" s="16">
        <f>IFERROR(__xludf.DUMMYFUNCTION("""COMPUTED_VALUE"""),0.404761904761904)</f>
        <v>0.4047619048</v>
      </c>
      <c r="J120" s="16">
        <f>IFERROR(__xludf.DUMMYFUNCTION("""COMPUTED_VALUE"""),0.452380952380952)</f>
        <v>0.4523809524</v>
      </c>
      <c r="K120" s="16">
        <f>IFERROR(__xludf.DUMMYFUNCTION("""COMPUTED_VALUE"""),0.452380952380952)</f>
        <v>0.4523809524</v>
      </c>
      <c r="L120" s="16">
        <f>IFERROR(__xludf.DUMMYFUNCTION("""COMPUTED_VALUE"""),0.476190476190476)</f>
        <v>0.4761904762</v>
      </c>
      <c r="M120" s="16">
        <f>IFERROR(__xludf.DUMMYFUNCTION("""COMPUTED_VALUE"""),0.452380952380952)</f>
        <v>0.4523809524</v>
      </c>
      <c r="N120" s="16">
        <f>IFERROR(__xludf.DUMMYFUNCTION("""COMPUTED_VALUE"""),0.428571428571428)</f>
        <v>0.4285714286</v>
      </c>
      <c r="O120" s="16">
        <f>IFERROR(__xludf.DUMMYFUNCTION("""COMPUTED_VALUE"""),0.333333333333333)</f>
        <v>0.3333333333</v>
      </c>
      <c r="P120" s="16">
        <f>IFERROR(__xludf.DUMMYFUNCTION("""COMPUTED_VALUE"""),0.235294117647058)</f>
        <v>0.2352941176</v>
      </c>
      <c r="Q120" s="16">
        <f>IFERROR(__xludf.DUMMYFUNCTION("""COMPUTED_VALUE"""),0.0714285714285714)</f>
        <v>0.07142857143</v>
      </c>
      <c r="R120" s="16">
        <f>IFERROR(__xludf.DUMMYFUNCTION("""COMPUTED_VALUE"""),0.0714285714285714)</f>
        <v>0.07142857143</v>
      </c>
      <c r="S120" s="16">
        <f>IFERROR(__xludf.DUMMYFUNCTION("""COMPUTED_VALUE"""),0.0)</f>
        <v>0</v>
      </c>
      <c r="T120" s="16">
        <f>IFERROR(__xludf.DUMMYFUNCTION("""COMPUTED_VALUE"""),0.0)</f>
        <v>0</v>
      </c>
      <c r="U120" s="16">
        <f>IFERROR(__xludf.DUMMYFUNCTION("""COMPUTED_VALUE"""),0.0)</f>
        <v>0</v>
      </c>
      <c r="V120" s="16">
        <f>IFERROR(__xludf.DUMMYFUNCTION("""COMPUTED_VALUE"""),0.0)</f>
        <v>0</v>
      </c>
      <c r="W120" s="16">
        <f>IFERROR(__xludf.DUMMYFUNCTION("""COMPUTED_VALUE"""),0.0)</f>
        <v>0</v>
      </c>
      <c r="X120" s="16">
        <f>IFERROR(__xludf.DUMMYFUNCTION("""COMPUTED_VALUE"""),0.0)</f>
        <v>0</v>
      </c>
      <c r="Y120" s="16">
        <f>IFERROR(__xludf.DUMMYFUNCTION("""COMPUTED_VALUE"""),0.0)</f>
        <v>0</v>
      </c>
      <c r="Z120" s="16">
        <f>IFERROR(__xludf.DUMMYFUNCTION("""COMPUTED_VALUE"""),0.0)</f>
        <v>0</v>
      </c>
      <c r="AA120" s="16">
        <f>IFERROR(__xludf.DUMMYFUNCTION("""COMPUTED_VALUE"""),0.0)</f>
        <v>0</v>
      </c>
      <c r="AB120" s="16">
        <f>IFERROR(__xludf.DUMMYFUNCTION("""COMPUTED_VALUE"""),0.0)</f>
        <v>0</v>
      </c>
      <c r="AC120" s="16">
        <f>IFERROR(__xludf.DUMMYFUNCTION("""COMPUTED_VALUE"""),0.0)</f>
        <v>0</v>
      </c>
      <c r="AD120" s="16">
        <f>IFERROR(__xludf.DUMMYFUNCTION("""COMPUTED_VALUE"""),0.0)</f>
        <v>0</v>
      </c>
      <c r="AE120" s="16">
        <f>IFERROR(__xludf.DUMMYFUNCTION("""COMPUTED_VALUE"""),0.0)</f>
        <v>0</v>
      </c>
      <c r="AF120" s="16">
        <f>IFERROR(__xludf.DUMMYFUNCTION("""COMPUTED_VALUE"""),0.0)</f>
        <v>0</v>
      </c>
      <c r="AG120" s="16">
        <f>IFERROR(__xludf.DUMMYFUNCTION("""COMPUTED_VALUE"""),0.0)</f>
        <v>0</v>
      </c>
      <c r="AH120" s="16">
        <f>IFERROR(__xludf.DUMMYFUNCTION("""COMPUTED_VALUE"""),0.0)</f>
        <v>0</v>
      </c>
    </row>
    <row r="121">
      <c r="A121" s="16" t="str">
        <f>IFERROR(__xludf.DUMMYFUNCTION("""COMPUTED_VALUE"""),"5e570d3fccfb5029774b4d9f9669429f580d0791")</f>
        <v>5e570d3fccfb5029774b4d9f9669429f580d0791</v>
      </c>
      <c r="B121" s="16" t="str">
        <f>IFERROR(__xludf.DUMMYFUNCTION("""COMPUTED_VALUE"""),"Princess Ebony &amp; the Silver Dragon")</f>
        <v>Princess Ebony &amp; the Silver Dragon</v>
      </c>
      <c r="C121" s="16" t="str">
        <f>IFERROR(__xludf.DUMMYFUNCTION("""COMPUTED_VALUE"""),"Fantasy")</f>
        <v>Fantasy</v>
      </c>
      <c r="D121" s="16">
        <f>IFERROR(__xludf.DUMMYFUNCTION("""COMPUTED_VALUE"""),1300.0)</f>
        <v>1300</v>
      </c>
      <c r="E121" s="16">
        <f>IFERROR(__xludf.DUMMYFUNCTION("""COMPUTED_VALUE"""),0.836153846153846)</f>
        <v>0.8361538462</v>
      </c>
      <c r="F121" s="16">
        <f>IFERROR(__xludf.DUMMYFUNCTION("""COMPUTED_VALUE"""),0.438461538461538)</f>
        <v>0.4384615385</v>
      </c>
      <c r="G121" s="16">
        <f>IFERROR(__xludf.DUMMYFUNCTION("""COMPUTED_VALUE"""),0.399230769230769)</f>
        <v>0.3992307692</v>
      </c>
      <c r="H121" s="16">
        <f>IFERROR(__xludf.DUMMYFUNCTION("""COMPUTED_VALUE"""),0.375384615384615)</f>
        <v>0.3753846154</v>
      </c>
      <c r="I121" s="16">
        <f>IFERROR(__xludf.DUMMYFUNCTION("""COMPUTED_VALUE"""),0.356153846153846)</f>
        <v>0.3561538462</v>
      </c>
      <c r="J121" s="16">
        <f>IFERROR(__xludf.DUMMYFUNCTION("""COMPUTED_VALUE"""),0.342571208622016)</f>
        <v>0.3425712086</v>
      </c>
      <c r="K121" s="16">
        <f>IFERROR(__xludf.DUMMYFUNCTION("""COMPUTED_VALUE"""),0.327944572748267)</f>
        <v>0.3279445727</v>
      </c>
      <c r="L121" s="16">
        <f>IFERROR(__xludf.DUMMYFUNCTION("""COMPUTED_VALUE"""),0.327174749807544)</f>
        <v>0.3271747498</v>
      </c>
      <c r="M121" s="16">
        <f>IFERROR(__xludf.DUMMYFUNCTION("""COMPUTED_VALUE"""),0.324095458044649)</f>
        <v>0.324095458</v>
      </c>
      <c r="N121" s="16">
        <f>IFERROR(__xludf.DUMMYFUNCTION("""COMPUTED_VALUE"""),0.314087759815242)</f>
        <v>0.3140877598</v>
      </c>
      <c r="O121" s="16">
        <f>IFERROR(__xludf.DUMMYFUNCTION("""COMPUTED_VALUE"""),0.285053929121725)</f>
        <v>0.2850539291</v>
      </c>
      <c r="P121" s="16">
        <f>IFERROR(__xludf.DUMMYFUNCTION("""COMPUTED_VALUE"""),0.24884437596302)</f>
        <v>0.248844376</v>
      </c>
      <c r="Q121" s="16">
        <f>IFERROR(__xludf.DUMMYFUNCTION("""COMPUTED_VALUE"""),0.208782742681047)</f>
        <v>0.2087827427</v>
      </c>
      <c r="R121" s="16">
        <f>IFERROR(__xludf.DUMMYFUNCTION("""COMPUTED_VALUE"""),0.178874325366229)</f>
        <v>0.1788743254</v>
      </c>
      <c r="S121" s="16">
        <f>IFERROR(__xludf.DUMMYFUNCTION("""COMPUTED_VALUE"""),0.161912104857363)</f>
        <v>0.1619121049</v>
      </c>
      <c r="T121" s="16">
        <f>IFERROR(__xludf.DUMMYFUNCTION("""COMPUTED_VALUE"""),0.138781804163454)</f>
        <v>0.1387818042</v>
      </c>
      <c r="U121" s="16">
        <f>IFERROR(__xludf.DUMMYFUNCTION("""COMPUTED_VALUE"""),0.126865671641791)</f>
        <v>0.1268656716</v>
      </c>
      <c r="V121" s="16">
        <f>IFERROR(__xludf.DUMMYFUNCTION("""COMPUTED_VALUE"""),0.10455764075067)</f>
        <v>0.1045576408</v>
      </c>
      <c r="W121" s="16">
        <f>IFERROR(__xludf.DUMMYFUNCTION("""COMPUTED_VALUE"""),0.104972375690607)</f>
        <v>0.1049723757</v>
      </c>
      <c r="X121" s="16">
        <f>IFERROR(__xludf.DUMMYFUNCTION("""COMPUTED_VALUE"""),0.009009009009009)</f>
        <v>0.009009009009</v>
      </c>
      <c r="Y121" s="16">
        <f>IFERROR(__xludf.DUMMYFUNCTION("""COMPUTED_VALUE"""),0.116279069767441)</f>
        <v>0.1162790698</v>
      </c>
      <c r="Z121" s="16">
        <f>IFERROR(__xludf.DUMMYFUNCTION("""COMPUTED_VALUE"""),0.0666666666666666)</f>
        <v>0.06666666667</v>
      </c>
      <c r="AA121" s="16">
        <f>IFERROR(__xludf.DUMMYFUNCTION("""COMPUTED_VALUE"""),0.0)</f>
        <v>0</v>
      </c>
      <c r="AB121" s="16">
        <f>IFERROR(__xludf.DUMMYFUNCTION("""COMPUTED_VALUE"""),0.0)</f>
        <v>0</v>
      </c>
      <c r="AC121" s="16">
        <f>IFERROR(__xludf.DUMMYFUNCTION("""COMPUTED_VALUE"""),0.0)</f>
        <v>0</v>
      </c>
      <c r="AD121" s="16">
        <f>IFERROR(__xludf.DUMMYFUNCTION("""COMPUTED_VALUE"""),0.0)</f>
        <v>0</v>
      </c>
      <c r="AE121" s="16">
        <f>IFERROR(__xludf.DUMMYFUNCTION("""COMPUTED_VALUE"""),0.0)</f>
        <v>0</v>
      </c>
      <c r="AF121" s="16">
        <f>IFERROR(__xludf.DUMMYFUNCTION("""COMPUTED_VALUE"""),0.0)</f>
        <v>0</v>
      </c>
      <c r="AG121" s="16">
        <f>IFERROR(__xludf.DUMMYFUNCTION("""COMPUTED_VALUE"""),0.0)</f>
        <v>0</v>
      </c>
      <c r="AH121" s="16">
        <f>IFERROR(__xludf.DUMMYFUNCTION("""COMPUTED_VALUE"""),0.0)</f>
        <v>0</v>
      </c>
    </row>
    <row r="122">
      <c r="A122" s="16" t="str">
        <f>IFERROR(__xludf.DUMMYFUNCTION("""COMPUTED_VALUE"""),"600fd3dce36442cc62b42d3dc874d91d13e1d8e4")</f>
        <v>600fd3dce36442cc62b42d3dc874d91d13e1d8e4</v>
      </c>
      <c r="B122" s="16" t="str">
        <f>IFERROR(__xludf.DUMMYFUNCTION("""COMPUTED_VALUE"""),"Solo Leveling Respawn")</f>
        <v>Solo Leveling Respawn</v>
      </c>
      <c r="C122" s="16" t="str">
        <f>IFERROR(__xludf.DUMMYFUNCTION("""COMPUTED_VALUE"""),"System and Superpower")</f>
        <v>System and Superpower</v>
      </c>
      <c r="D122" s="16">
        <f>IFERROR(__xludf.DUMMYFUNCTION("""COMPUTED_VALUE"""),117.0)</f>
        <v>117</v>
      </c>
      <c r="E122" s="16">
        <f>IFERROR(__xludf.DUMMYFUNCTION("""COMPUTED_VALUE"""),0.982905982905982)</f>
        <v>0.9829059829</v>
      </c>
      <c r="F122" s="16">
        <f>IFERROR(__xludf.DUMMYFUNCTION("""COMPUTED_VALUE"""),0.444444444444444)</f>
        <v>0.4444444444</v>
      </c>
      <c r="G122" s="16">
        <f>IFERROR(__xludf.DUMMYFUNCTION("""COMPUTED_VALUE"""),0.29059829059829)</f>
        <v>0.2905982906</v>
      </c>
      <c r="H122" s="16">
        <f>IFERROR(__xludf.DUMMYFUNCTION("""COMPUTED_VALUE"""),0.247863247863247)</f>
        <v>0.2478632479</v>
      </c>
      <c r="I122" s="16">
        <f>IFERROR(__xludf.DUMMYFUNCTION("""COMPUTED_VALUE"""),0.224137931034482)</f>
        <v>0.224137931</v>
      </c>
      <c r="J122" s="16">
        <f>IFERROR(__xludf.DUMMYFUNCTION("""COMPUTED_VALUE"""),0.18103448275862)</f>
        <v>0.1810344828</v>
      </c>
      <c r="K122" s="16">
        <f>IFERROR(__xludf.DUMMYFUNCTION("""COMPUTED_VALUE"""),0.140350877192982)</f>
        <v>0.1403508772</v>
      </c>
      <c r="L122" s="16">
        <f>IFERROR(__xludf.DUMMYFUNCTION("""COMPUTED_VALUE"""),0.142857142857142)</f>
        <v>0.1428571429</v>
      </c>
      <c r="M122" s="16">
        <f>IFERROR(__xludf.DUMMYFUNCTION("""COMPUTED_VALUE"""),0.135135135135135)</f>
        <v>0.1351351351</v>
      </c>
      <c r="N122" s="16">
        <f>IFERROR(__xludf.DUMMYFUNCTION("""COMPUTED_VALUE"""),0.117117117117117)</f>
        <v>0.1171171171</v>
      </c>
      <c r="O122" s="16">
        <f>IFERROR(__xludf.DUMMYFUNCTION("""COMPUTED_VALUE"""),0.10377358490566)</f>
        <v>0.1037735849</v>
      </c>
      <c r="P122" s="16">
        <f>IFERROR(__xludf.DUMMYFUNCTION("""COMPUTED_VALUE"""),0.101010101010101)</f>
        <v>0.101010101</v>
      </c>
      <c r="Q122" s="16">
        <f>IFERROR(__xludf.DUMMYFUNCTION("""COMPUTED_VALUE"""),0.0549450549450549)</f>
        <v>0.05494505495</v>
      </c>
      <c r="R122" s="16">
        <f>IFERROR(__xludf.DUMMYFUNCTION("""COMPUTED_VALUE"""),0.0253164556962025)</f>
        <v>0.0253164557</v>
      </c>
      <c r="S122" s="16">
        <f>IFERROR(__xludf.DUMMYFUNCTION("""COMPUTED_VALUE"""),0.0416666666666666)</f>
        <v>0.04166666667</v>
      </c>
      <c r="T122" s="16">
        <f>IFERROR(__xludf.DUMMYFUNCTION("""COMPUTED_VALUE"""),0.0338983050847457)</f>
        <v>0.03389830508</v>
      </c>
      <c r="U122" s="16">
        <f>IFERROR(__xludf.DUMMYFUNCTION("""COMPUTED_VALUE"""),0.0377358490566037)</f>
        <v>0.03773584906</v>
      </c>
      <c r="V122" s="16">
        <f>IFERROR(__xludf.DUMMYFUNCTION("""COMPUTED_VALUE"""),0.0)</f>
        <v>0</v>
      </c>
      <c r="W122" s="16">
        <f>IFERROR(__xludf.DUMMYFUNCTION("""COMPUTED_VALUE"""),0.0)</f>
        <v>0</v>
      </c>
      <c r="X122" s="16">
        <f>IFERROR(__xludf.DUMMYFUNCTION("""COMPUTED_VALUE"""),0.0)</f>
        <v>0</v>
      </c>
      <c r="Y122" s="16">
        <f>IFERROR(__xludf.DUMMYFUNCTION("""COMPUTED_VALUE"""),0.0)</f>
        <v>0</v>
      </c>
      <c r="Z122" s="16">
        <f>IFERROR(__xludf.DUMMYFUNCTION("""COMPUTED_VALUE"""),0.0)</f>
        <v>0</v>
      </c>
      <c r="AA122" s="16">
        <f>IFERROR(__xludf.DUMMYFUNCTION("""COMPUTED_VALUE"""),0.0)</f>
        <v>0</v>
      </c>
      <c r="AB122" s="16">
        <f>IFERROR(__xludf.DUMMYFUNCTION("""COMPUTED_VALUE"""),0.0)</f>
        <v>0</v>
      </c>
      <c r="AC122" s="16">
        <f>IFERROR(__xludf.DUMMYFUNCTION("""COMPUTED_VALUE"""),0.0)</f>
        <v>0</v>
      </c>
      <c r="AD122" s="16">
        <f>IFERROR(__xludf.DUMMYFUNCTION("""COMPUTED_VALUE"""),0.0)</f>
        <v>0</v>
      </c>
      <c r="AE122" s="16">
        <f>IFERROR(__xludf.DUMMYFUNCTION("""COMPUTED_VALUE"""),0.0)</f>
        <v>0</v>
      </c>
      <c r="AF122" s="16">
        <f>IFERROR(__xludf.DUMMYFUNCTION("""COMPUTED_VALUE"""),0.0)</f>
        <v>0</v>
      </c>
      <c r="AG122" s="16">
        <f>IFERROR(__xludf.DUMMYFUNCTION("""COMPUTED_VALUE"""),0.0)</f>
        <v>0</v>
      </c>
      <c r="AH122" s="16">
        <f>IFERROR(__xludf.DUMMYFUNCTION("""COMPUTED_VALUE"""),0.0)</f>
        <v>0</v>
      </c>
    </row>
    <row r="123">
      <c r="A123" s="16" t="str">
        <f>IFERROR(__xludf.DUMMYFUNCTION("""COMPUTED_VALUE"""),"607c0f609185406d26ef53f75ec53702dfb292d7")</f>
        <v>607c0f609185406d26ef53f75ec53702dfb292d7</v>
      </c>
      <c r="B123" s="16" t="str">
        <f>IFERROR(__xludf.DUMMYFUNCTION("""COMPUTED_VALUE"""),"The Chaosborn Child")</f>
        <v>The Chaosborn Child</v>
      </c>
      <c r="C123" s="16" t="str">
        <f>IFERROR(__xludf.DUMMYFUNCTION("""COMPUTED_VALUE"""),"Fantasy")</f>
        <v>Fantasy</v>
      </c>
      <c r="D123" s="16">
        <f>IFERROR(__xludf.DUMMYFUNCTION("""COMPUTED_VALUE"""),240.0)</f>
        <v>240</v>
      </c>
      <c r="E123" s="16">
        <f>IFERROR(__xludf.DUMMYFUNCTION("""COMPUTED_VALUE"""),0.979166666666666)</f>
        <v>0.9791666667</v>
      </c>
      <c r="F123" s="16">
        <f>IFERROR(__xludf.DUMMYFUNCTION("""COMPUTED_VALUE"""),0.616666666666666)</f>
        <v>0.6166666667</v>
      </c>
      <c r="G123" s="16">
        <f>IFERROR(__xludf.DUMMYFUNCTION("""COMPUTED_VALUE"""),0.5375)</f>
        <v>0.5375</v>
      </c>
      <c r="H123" s="16">
        <f>IFERROR(__xludf.DUMMYFUNCTION("""COMPUTED_VALUE"""),0.495833333333333)</f>
        <v>0.4958333333</v>
      </c>
      <c r="I123" s="16">
        <f>IFERROR(__xludf.DUMMYFUNCTION("""COMPUTED_VALUE"""),0.475)</f>
        <v>0.475</v>
      </c>
      <c r="J123" s="16">
        <f>IFERROR(__xludf.DUMMYFUNCTION("""COMPUTED_VALUE"""),0.462184873949579)</f>
        <v>0.4621848739</v>
      </c>
      <c r="K123" s="16">
        <f>IFERROR(__xludf.DUMMYFUNCTION("""COMPUTED_VALUE"""),0.436974789915966)</f>
        <v>0.4369747899</v>
      </c>
      <c r="L123" s="16">
        <f>IFERROR(__xludf.DUMMYFUNCTION("""COMPUTED_VALUE"""),0.403361344537815)</f>
        <v>0.4033613445</v>
      </c>
      <c r="M123" s="16">
        <f>IFERROR(__xludf.DUMMYFUNCTION("""COMPUTED_VALUE"""),0.388888888888888)</f>
        <v>0.3888888889</v>
      </c>
      <c r="N123" s="16">
        <f>IFERROR(__xludf.DUMMYFUNCTION("""COMPUTED_VALUE"""),0.360515021459227)</f>
        <v>0.3605150215</v>
      </c>
      <c r="O123" s="16">
        <f>IFERROR(__xludf.DUMMYFUNCTION("""COMPUTED_VALUE"""),0.295566502463054)</f>
        <v>0.2955665025</v>
      </c>
      <c r="P123" s="16">
        <f>IFERROR(__xludf.DUMMYFUNCTION("""COMPUTED_VALUE"""),0.242718446601941)</f>
        <v>0.2427184466</v>
      </c>
      <c r="Q123" s="16">
        <f>IFERROR(__xludf.DUMMYFUNCTION("""COMPUTED_VALUE"""),0.140350877192982)</f>
        <v>0.1403508772</v>
      </c>
      <c r="R123" s="16">
        <f>IFERROR(__xludf.DUMMYFUNCTION("""COMPUTED_VALUE"""),0.111111111111111)</f>
        <v>0.1111111111</v>
      </c>
      <c r="S123" s="16">
        <f>IFERROR(__xludf.DUMMYFUNCTION("""COMPUTED_VALUE"""),0.0)</f>
        <v>0</v>
      </c>
      <c r="T123" s="16">
        <f>IFERROR(__xludf.DUMMYFUNCTION("""COMPUTED_VALUE"""),0.0)</f>
        <v>0</v>
      </c>
      <c r="U123" s="16">
        <f>IFERROR(__xludf.DUMMYFUNCTION("""COMPUTED_VALUE"""),0.0)</f>
        <v>0</v>
      </c>
      <c r="V123" s="16">
        <f>IFERROR(__xludf.DUMMYFUNCTION("""COMPUTED_VALUE"""),0.0)</f>
        <v>0</v>
      </c>
      <c r="W123" s="16">
        <f>IFERROR(__xludf.DUMMYFUNCTION("""COMPUTED_VALUE"""),0.0)</f>
        <v>0</v>
      </c>
      <c r="X123" s="16">
        <f>IFERROR(__xludf.DUMMYFUNCTION("""COMPUTED_VALUE"""),0.0)</f>
        <v>0</v>
      </c>
      <c r="Y123" s="16">
        <f>IFERROR(__xludf.DUMMYFUNCTION("""COMPUTED_VALUE"""),0.0)</f>
        <v>0</v>
      </c>
      <c r="Z123" s="16">
        <f>IFERROR(__xludf.DUMMYFUNCTION("""COMPUTED_VALUE"""),0.0)</f>
        <v>0</v>
      </c>
      <c r="AA123" s="16">
        <f>IFERROR(__xludf.DUMMYFUNCTION("""COMPUTED_VALUE"""),0.0)</f>
        <v>0</v>
      </c>
      <c r="AB123" s="16">
        <f>IFERROR(__xludf.DUMMYFUNCTION("""COMPUTED_VALUE"""),0.0)</f>
        <v>0</v>
      </c>
      <c r="AC123" s="16">
        <f>IFERROR(__xludf.DUMMYFUNCTION("""COMPUTED_VALUE"""),0.0)</f>
        <v>0</v>
      </c>
      <c r="AD123" s="16">
        <f>IFERROR(__xludf.DUMMYFUNCTION("""COMPUTED_VALUE"""),0.0)</f>
        <v>0</v>
      </c>
      <c r="AE123" s="16">
        <f>IFERROR(__xludf.DUMMYFUNCTION("""COMPUTED_VALUE"""),0.0)</f>
        <v>0</v>
      </c>
      <c r="AF123" s="16">
        <f>IFERROR(__xludf.DUMMYFUNCTION("""COMPUTED_VALUE"""),0.0)</f>
        <v>0</v>
      </c>
      <c r="AG123" s="16">
        <f>IFERROR(__xludf.DUMMYFUNCTION("""COMPUTED_VALUE"""),0.0)</f>
        <v>0</v>
      </c>
      <c r="AH123" s="16">
        <f>IFERROR(__xludf.DUMMYFUNCTION("""COMPUTED_VALUE"""),0.0)</f>
        <v>0</v>
      </c>
    </row>
    <row r="124">
      <c r="A124" s="16" t="str">
        <f>IFERROR(__xludf.DUMMYFUNCTION("""COMPUTED_VALUE"""),"616431aa030a50bfb34a59a1919f5a8db0c29017")</f>
        <v>616431aa030a50bfb34a59a1919f5a8db0c29017</v>
      </c>
      <c r="B124" s="16" t="str">
        <f>IFERROR(__xludf.DUMMYFUNCTION("""COMPUTED_VALUE"""),"She Came Back Fabulous")</f>
        <v>She Came Back Fabulous</v>
      </c>
      <c r="C124" s="16" t="str">
        <f>IFERROR(__xludf.DUMMYFUNCTION("""COMPUTED_VALUE"""),"Romance")</f>
        <v>Romance</v>
      </c>
      <c r="D124" s="16">
        <f>IFERROR(__xludf.DUMMYFUNCTION("""COMPUTED_VALUE"""),90.0)</f>
        <v>90</v>
      </c>
      <c r="E124" s="16">
        <f>IFERROR(__xludf.DUMMYFUNCTION("""COMPUTED_VALUE"""),0.955555555555555)</f>
        <v>0.9555555556</v>
      </c>
      <c r="F124" s="16">
        <f>IFERROR(__xludf.DUMMYFUNCTION("""COMPUTED_VALUE"""),0.588888888888888)</f>
        <v>0.5888888889</v>
      </c>
      <c r="G124" s="16">
        <f>IFERROR(__xludf.DUMMYFUNCTION("""COMPUTED_VALUE"""),0.533333333333333)</f>
        <v>0.5333333333</v>
      </c>
      <c r="H124" s="16">
        <f>IFERROR(__xludf.DUMMYFUNCTION("""COMPUTED_VALUE"""),0.48314606741573)</f>
        <v>0.4831460674</v>
      </c>
      <c r="I124" s="16">
        <f>IFERROR(__xludf.DUMMYFUNCTION("""COMPUTED_VALUE"""),0.477272727272727)</f>
        <v>0.4772727273</v>
      </c>
      <c r="J124" s="16">
        <f>IFERROR(__xludf.DUMMYFUNCTION("""COMPUTED_VALUE"""),0.425287356321839)</f>
        <v>0.4252873563</v>
      </c>
      <c r="K124" s="16">
        <f>IFERROR(__xludf.DUMMYFUNCTION("""COMPUTED_VALUE"""),0.372093023255813)</f>
        <v>0.3720930233</v>
      </c>
      <c r="L124" s="16">
        <f>IFERROR(__xludf.DUMMYFUNCTION("""COMPUTED_VALUE"""),0.329411764705882)</f>
        <v>0.3294117647</v>
      </c>
      <c r="M124" s="16">
        <f>IFERROR(__xludf.DUMMYFUNCTION("""COMPUTED_VALUE"""),0.297619047619047)</f>
        <v>0.2976190476</v>
      </c>
      <c r="N124" s="16">
        <f>IFERROR(__xludf.DUMMYFUNCTION("""COMPUTED_VALUE"""),0.306666666666666)</f>
        <v>0.3066666667</v>
      </c>
      <c r="O124" s="16">
        <f>IFERROR(__xludf.DUMMYFUNCTION("""COMPUTED_VALUE"""),0.316666666666666)</f>
        <v>0.3166666667</v>
      </c>
      <c r="P124" s="16">
        <f>IFERROR(__xludf.DUMMYFUNCTION("""COMPUTED_VALUE"""),0.342857142857142)</f>
        <v>0.3428571429</v>
      </c>
      <c r="Q124" s="16">
        <f>IFERROR(__xludf.DUMMYFUNCTION("""COMPUTED_VALUE"""),0.0)</f>
        <v>0</v>
      </c>
      <c r="R124" s="16">
        <f>IFERROR(__xludf.DUMMYFUNCTION("""COMPUTED_VALUE"""),0.0)</f>
        <v>0</v>
      </c>
      <c r="S124" s="16">
        <f>IFERROR(__xludf.DUMMYFUNCTION("""COMPUTED_VALUE"""),0.0)</f>
        <v>0</v>
      </c>
      <c r="T124" s="16">
        <f>IFERROR(__xludf.DUMMYFUNCTION("""COMPUTED_VALUE"""),0.0)</f>
        <v>0</v>
      </c>
      <c r="U124" s="16">
        <f>IFERROR(__xludf.DUMMYFUNCTION("""COMPUTED_VALUE"""),0.0)</f>
        <v>0</v>
      </c>
      <c r="V124" s="16">
        <f>IFERROR(__xludf.DUMMYFUNCTION("""COMPUTED_VALUE"""),0.0)</f>
        <v>0</v>
      </c>
      <c r="W124" s="16">
        <f>IFERROR(__xludf.DUMMYFUNCTION("""COMPUTED_VALUE"""),0.0)</f>
        <v>0</v>
      </c>
      <c r="X124" s="16">
        <f>IFERROR(__xludf.DUMMYFUNCTION("""COMPUTED_VALUE"""),0.0)</f>
        <v>0</v>
      </c>
      <c r="Y124" s="16">
        <f>IFERROR(__xludf.DUMMYFUNCTION("""COMPUTED_VALUE"""),0.0)</f>
        <v>0</v>
      </c>
      <c r="Z124" s="16">
        <f>IFERROR(__xludf.DUMMYFUNCTION("""COMPUTED_VALUE"""),0.0)</f>
        <v>0</v>
      </c>
      <c r="AA124" s="16">
        <f>IFERROR(__xludf.DUMMYFUNCTION("""COMPUTED_VALUE"""),0.0)</f>
        <v>0</v>
      </c>
      <c r="AB124" s="16">
        <f>IFERROR(__xludf.DUMMYFUNCTION("""COMPUTED_VALUE"""),0.0)</f>
        <v>0</v>
      </c>
      <c r="AC124" s="16">
        <f>IFERROR(__xludf.DUMMYFUNCTION("""COMPUTED_VALUE"""),0.0)</f>
        <v>0</v>
      </c>
      <c r="AD124" s="16">
        <f>IFERROR(__xludf.DUMMYFUNCTION("""COMPUTED_VALUE"""),0.0)</f>
        <v>0</v>
      </c>
      <c r="AE124" s="16">
        <f>IFERROR(__xludf.DUMMYFUNCTION("""COMPUTED_VALUE"""),0.0)</f>
        <v>0</v>
      </c>
      <c r="AF124" s="16">
        <f>IFERROR(__xludf.DUMMYFUNCTION("""COMPUTED_VALUE"""),0.0)</f>
        <v>0</v>
      </c>
      <c r="AG124" s="16">
        <f>IFERROR(__xludf.DUMMYFUNCTION("""COMPUTED_VALUE"""),0.0)</f>
        <v>0</v>
      </c>
      <c r="AH124" s="16">
        <f>IFERROR(__xludf.DUMMYFUNCTION("""COMPUTED_VALUE"""),0.0)</f>
        <v>0</v>
      </c>
    </row>
    <row r="125">
      <c r="A125" s="16" t="str">
        <f>IFERROR(__xludf.DUMMYFUNCTION("""COMPUTED_VALUE"""),"6214ecac2801afde28aa63c555faf06203321c85")</f>
        <v>6214ecac2801afde28aa63c555faf06203321c85</v>
      </c>
      <c r="B125" s="16" t="str">
        <f>IFERROR(__xludf.DUMMYFUNCTION("""COMPUTED_VALUE"""),"Love Behind the Screen")</f>
        <v>Love Behind the Screen</v>
      </c>
      <c r="C125" s="16" t="str">
        <f>IFERROR(__xludf.DUMMYFUNCTION("""COMPUTED_VALUE"""),"Romance")</f>
        <v>Romance</v>
      </c>
      <c r="D125" s="16">
        <f>IFERROR(__xludf.DUMMYFUNCTION("""COMPUTED_VALUE"""),96.0)</f>
        <v>96</v>
      </c>
      <c r="E125" s="16">
        <f>IFERROR(__xludf.DUMMYFUNCTION("""COMPUTED_VALUE"""),0.947916666666666)</f>
        <v>0.9479166667</v>
      </c>
      <c r="F125" s="16">
        <f>IFERROR(__xludf.DUMMYFUNCTION("""COMPUTED_VALUE"""),0.46875)</f>
        <v>0.46875</v>
      </c>
      <c r="G125" s="16">
        <f>IFERROR(__xludf.DUMMYFUNCTION("""COMPUTED_VALUE"""),0.395833333333333)</f>
        <v>0.3958333333</v>
      </c>
      <c r="H125" s="16">
        <f>IFERROR(__xludf.DUMMYFUNCTION("""COMPUTED_VALUE"""),0.364583333333333)</f>
        <v>0.3645833333</v>
      </c>
      <c r="I125" s="16">
        <f>IFERROR(__xludf.DUMMYFUNCTION("""COMPUTED_VALUE"""),0.336842105263157)</f>
        <v>0.3368421053</v>
      </c>
      <c r="J125" s="16">
        <f>IFERROR(__xludf.DUMMYFUNCTION("""COMPUTED_VALUE"""),0.336842105263157)</f>
        <v>0.3368421053</v>
      </c>
      <c r="K125" s="16">
        <f>IFERROR(__xludf.DUMMYFUNCTION("""COMPUTED_VALUE"""),0.31578947368421)</f>
        <v>0.3157894737</v>
      </c>
      <c r="L125" s="16">
        <f>IFERROR(__xludf.DUMMYFUNCTION("""COMPUTED_VALUE"""),0.284210526315789)</f>
        <v>0.2842105263</v>
      </c>
      <c r="M125" s="16">
        <f>IFERROR(__xludf.DUMMYFUNCTION("""COMPUTED_VALUE"""),0.276595744680851)</f>
        <v>0.2765957447</v>
      </c>
      <c r="N125" s="16">
        <f>IFERROR(__xludf.DUMMYFUNCTION("""COMPUTED_VALUE"""),0.25531914893617)</f>
        <v>0.2553191489</v>
      </c>
      <c r="O125" s="16">
        <f>IFERROR(__xludf.DUMMYFUNCTION("""COMPUTED_VALUE"""),0.224719101123595)</f>
        <v>0.2247191011</v>
      </c>
      <c r="P125" s="16">
        <f>IFERROR(__xludf.DUMMYFUNCTION("""COMPUTED_VALUE"""),0.103896103896103)</f>
        <v>0.1038961039</v>
      </c>
      <c r="Q125" s="16">
        <f>IFERROR(__xludf.DUMMYFUNCTION("""COMPUTED_VALUE"""),0.0701754385964912)</f>
        <v>0.0701754386</v>
      </c>
      <c r="R125" s="16">
        <f>IFERROR(__xludf.DUMMYFUNCTION("""COMPUTED_VALUE"""),0.0566037735849056)</f>
        <v>0.05660377358</v>
      </c>
      <c r="S125" s="16">
        <f>IFERROR(__xludf.DUMMYFUNCTION("""COMPUTED_VALUE"""),0.024390243902439)</f>
        <v>0.0243902439</v>
      </c>
      <c r="T125" s="16">
        <f>IFERROR(__xludf.DUMMYFUNCTION("""COMPUTED_VALUE"""),0.0)</f>
        <v>0</v>
      </c>
      <c r="U125" s="16">
        <f>IFERROR(__xludf.DUMMYFUNCTION("""COMPUTED_VALUE"""),0.0)</f>
        <v>0</v>
      </c>
      <c r="V125" s="16">
        <f>IFERROR(__xludf.DUMMYFUNCTION("""COMPUTED_VALUE"""),0.0)</f>
        <v>0</v>
      </c>
      <c r="W125" s="16">
        <f>IFERROR(__xludf.DUMMYFUNCTION("""COMPUTED_VALUE"""),0.0)</f>
        <v>0</v>
      </c>
      <c r="X125" s="16">
        <f>IFERROR(__xludf.DUMMYFUNCTION("""COMPUTED_VALUE"""),0.0)</f>
        <v>0</v>
      </c>
      <c r="Y125" s="16">
        <f>IFERROR(__xludf.DUMMYFUNCTION("""COMPUTED_VALUE"""),0.0)</f>
        <v>0</v>
      </c>
      <c r="Z125" s="16">
        <f>IFERROR(__xludf.DUMMYFUNCTION("""COMPUTED_VALUE"""),0.0)</f>
        <v>0</v>
      </c>
      <c r="AA125" s="16">
        <f>IFERROR(__xludf.DUMMYFUNCTION("""COMPUTED_VALUE"""),0.0)</f>
        <v>0</v>
      </c>
      <c r="AB125" s="16">
        <f>IFERROR(__xludf.DUMMYFUNCTION("""COMPUTED_VALUE"""),0.0)</f>
        <v>0</v>
      </c>
      <c r="AC125" s="16">
        <f>IFERROR(__xludf.DUMMYFUNCTION("""COMPUTED_VALUE"""),0.0)</f>
        <v>0</v>
      </c>
      <c r="AD125" s="16">
        <f>IFERROR(__xludf.DUMMYFUNCTION("""COMPUTED_VALUE"""),0.0)</f>
        <v>0</v>
      </c>
      <c r="AE125" s="16">
        <f>IFERROR(__xludf.DUMMYFUNCTION("""COMPUTED_VALUE"""),0.0)</f>
        <v>0</v>
      </c>
      <c r="AF125" s="16">
        <f>IFERROR(__xludf.DUMMYFUNCTION("""COMPUTED_VALUE"""),0.0)</f>
        <v>0</v>
      </c>
      <c r="AG125" s="16">
        <f>IFERROR(__xludf.DUMMYFUNCTION("""COMPUTED_VALUE"""),0.0)</f>
        <v>0</v>
      </c>
      <c r="AH125" s="16">
        <f>IFERROR(__xludf.DUMMYFUNCTION("""COMPUTED_VALUE"""),0.0)</f>
        <v>0</v>
      </c>
    </row>
    <row r="126">
      <c r="A126" s="16" t="str">
        <f>IFERROR(__xludf.DUMMYFUNCTION("""COMPUTED_VALUE"""),"622c96a576425047d6bff8447205921132d7f61c")</f>
        <v>622c96a576425047d6bff8447205921132d7f61c</v>
      </c>
      <c r="B126" s="16" t="str">
        <f>IFERROR(__xludf.DUMMYFUNCTION("""COMPUTED_VALUE"""),"The Exit Nobody Expected")</f>
        <v>The Exit Nobody Expected</v>
      </c>
      <c r="C126" s="16" t="str">
        <f>IFERROR(__xludf.DUMMYFUNCTION("""COMPUTED_VALUE"""),"Suspense or Thriller")</f>
        <v>Suspense or Thriller</v>
      </c>
      <c r="D126" s="16">
        <f>IFERROR(__xludf.DUMMYFUNCTION("""COMPUTED_VALUE"""),16.0)</f>
        <v>16</v>
      </c>
      <c r="E126" s="16">
        <f>IFERROR(__xludf.DUMMYFUNCTION("""COMPUTED_VALUE"""),1.0)</f>
        <v>1</v>
      </c>
      <c r="F126" s="16">
        <f>IFERROR(__xludf.DUMMYFUNCTION("""COMPUTED_VALUE"""),0.1875)</f>
        <v>0.1875</v>
      </c>
      <c r="G126" s="16">
        <f>IFERROR(__xludf.DUMMYFUNCTION("""COMPUTED_VALUE"""),0.1875)</f>
        <v>0.1875</v>
      </c>
      <c r="H126" s="16">
        <f>IFERROR(__xludf.DUMMYFUNCTION("""COMPUTED_VALUE"""),0.2)</f>
        <v>0.2</v>
      </c>
      <c r="I126" s="16">
        <f>IFERROR(__xludf.DUMMYFUNCTION("""COMPUTED_VALUE"""),0.2)</f>
        <v>0.2</v>
      </c>
      <c r="J126" s="16">
        <f>IFERROR(__xludf.DUMMYFUNCTION("""COMPUTED_VALUE"""),0.23076923076923)</f>
        <v>0.2307692308</v>
      </c>
      <c r="K126" s="16">
        <f>IFERROR(__xludf.DUMMYFUNCTION("""COMPUTED_VALUE"""),0.153846153846153)</f>
        <v>0.1538461538</v>
      </c>
      <c r="L126" s="16">
        <f>IFERROR(__xludf.DUMMYFUNCTION("""COMPUTED_VALUE"""),0.0833333333333333)</f>
        <v>0.08333333333</v>
      </c>
      <c r="M126" s="16">
        <f>IFERROR(__xludf.DUMMYFUNCTION("""COMPUTED_VALUE"""),0.0)</f>
        <v>0</v>
      </c>
      <c r="N126" s="16">
        <f>IFERROR(__xludf.DUMMYFUNCTION("""COMPUTED_VALUE"""),0.0)</f>
        <v>0</v>
      </c>
      <c r="O126" s="16">
        <f>IFERROR(__xludf.DUMMYFUNCTION("""COMPUTED_VALUE"""),0.0)</f>
        <v>0</v>
      </c>
      <c r="P126" s="16">
        <f>IFERROR(__xludf.DUMMYFUNCTION("""COMPUTED_VALUE"""),0.0)</f>
        <v>0</v>
      </c>
      <c r="Q126" s="16">
        <f>IFERROR(__xludf.DUMMYFUNCTION("""COMPUTED_VALUE"""),0.0)</f>
        <v>0</v>
      </c>
      <c r="R126" s="16">
        <f>IFERROR(__xludf.DUMMYFUNCTION("""COMPUTED_VALUE"""),0.0)</f>
        <v>0</v>
      </c>
      <c r="S126" s="16">
        <f>IFERROR(__xludf.DUMMYFUNCTION("""COMPUTED_VALUE"""),0.0)</f>
        <v>0</v>
      </c>
      <c r="T126" s="16">
        <f>IFERROR(__xludf.DUMMYFUNCTION("""COMPUTED_VALUE"""),0.0)</f>
        <v>0</v>
      </c>
      <c r="U126" s="16">
        <f>IFERROR(__xludf.DUMMYFUNCTION("""COMPUTED_VALUE"""),0.0)</f>
        <v>0</v>
      </c>
      <c r="V126" s="16">
        <f>IFERROR(__xludf.DUMMYFUNCTION("""COMPUTED_VALUE"""),0.0)</f>
        <v>0</v>
      </c>
      <c r="W126" s="16">
        <f>IFERROR(__xludf.DUMMYFUNCTION("""COMPUTED_VALUE"""),0.0)</f>
        <v>0</v>
      </c>
      <c r="X126" s="16">
        <f>IFERROR(__xludf.DUMMYFUNCTION("""COMPUTED_VALUE"""),0.0)</f>
        <v>0</v>
      </c>
      <c r="Y126" s="16">
        <f>IFERROR(__xludf.DUMMYFUNCTION("""COMPUTED_VALUE"""),0.0)</f>
        <v>0</v>
      </c>
      <c r="Z126" s="16">
        <f>IFERROR(__xludf.DUMMYFUNCTION("""COMPUTED_VALUE"""),0.0)</f>
        <v>0</v>
      </c>
      <c r="AA126" s="16">
        <f>IFERROR(__xludf.DUMMYFUNCTION("""COMPUTED_VALUE"""),0.0)</f>
        <v>0</v>
      </c>
      <c r="AB126" s="16">
        <f>IFERROR(__xludf.DUMMYFUNCTION("""COMPUTED_VALUE"""),0.0)</f>
        <v>0</v>
      </c>
      <c r="AC126" s="16">
        <f>IFERROR(__xludf.DUMMYFUNCTION("""COMPUTED_VALUE"""),0.0)</f>
        <v>0</v>
      </c>
      <c r="AD126" s="16">
        <f>IFERROR(__xludf.DUMMYFUNCTION("""COMPUTED_VALUE"""),0.0)</f>
        <v>0</v>
      </c>
      <c r="AE126" s="16">
        <f>IFERROR(__xludf.DUMMYFUNCTION("""COMPUTED_VALUE"""),0.0)</f>
        <v>0</v>
      </c>
      <c r="AF126" s="16">
        <f>IFERROR(__xludf.DUMMYFUNCTION("""COMPUTED_VALUE"""),0.0)</f>
        <v>0</v>
      </c>
      <c r="AG126" s="16">
        <f>IFERROR(__xludf.DUMMYFUNCTION("""COMPUTED_VALUE"""),0.0)</f>
        <v>0</v>
      </c>
      <c r="AH126" s="16">
        <f>IFERROR(__xludf.DUMMYFUNCTION("""COMPUTED_VALUE"""),0.0)</f>
        <v>0</v>
      </c>
    </row>
    <row r="127">
      <c r="A127" s="16" t="str">
        <f>IFERROR(__xludf.DUMMYFUNCTION("""COMPUTED_VALUE"""),"6346e154f10078de4f17cbc6268066519b02789f")</f>
        <v>6346e154f10078de4f17cbc6268066519b02789f</v>
      </c>
      <c r="B127" s="16" t="str">
        <f>IFERROR(__xludf.DUMMYFUNCTION("""COMPUTED_VALUE"""),"Doctor Young")</f>
        <v>Doctor Young</v>
      </c>
      <c r="C127" s="16" t="str">
        <f>IFERROR(__xludf.DUMMYFUNCTION("""COMPUTED_VALUE"""),"Suspense or Thriller")</f>
        <v>Suspense or Thriller</v>
      </c>
      <c r="D127" s="16">
        <f>IFERROR(__xludf.DUMMYFUNCTION("""COMPUTED_VALUE"""),233.0)</f>
        <v>233</v>
      </c>
      <c r="E127" s="16">
        <f>IFERROR(__xludf.DUMMYFUNCTION("""COMPUTED_VALUE"""),0.952789699570815)</f>
        <v>0.9527896996</v>
      </c>
      <c r="F127" s="16">
        <f>IFERROR(__xludf.DUMMYFUNCTION("""COMPUTED_VALUE"""),0.527896995708154)</f>
        <v>0.5278969957</v>
      </c>
      <c r="G127" s="16">
        <f>IFERROR(__xludf.DUMMYFUNCTION("""COMPUTED_VALUE"""),0.429184549356223)</f>
        <v>0.4291845494</v>
      </c>
      <c r="H127" s="16">
        <f>IFERROR(__xludf.DUMMYFUNCTION("""COMPUTED_VALUE"""),0.3862660944206)</f>
        <v>0.3862660944</v>
      </c>
      <c r="I127" s="16">
        <f>IFERROR(__xludf.DUMMYFUNCTION("""COMPUTED_VALUE"""),0.334763948497854)</f>
        <v>0.3347639485</v>
      </c>
      <c r="J127" s="16">
        <f>IFERROR(__xludf.DUMMYFUNCTION("""COMPUTED_VALUE"""),0.327586206896551)</f>
        <v>0.3275862069</v>
      </c>
      <c r="K127" s="16">
        <f>IFERROR(__xludf.DUMMYFUNCTION("""COMPUTED_VALUE"""),0.291304347826086)</f>
        <v>0.2913043478</v>
      </c>
      <c r="L127" s="16">
        <f>IFERROR(__xludf.DUMMYFUNCTION("""COMPUTED_VALUE"""),0.25438596491228)</f>
        <v>0.2543859649</v>
      </c>
      <c r="M127" s="16">
        <f>IFERROR(__xludf.DUMMYFUNCTION("""COMPUTED_VALUE"""),0.229074889867841)</f>
        <v>0.2290748899</v>
      </c>
      <c r="N127" s="16">
        <f>IFERROR(__xludf.DUMMYFUNCTION("""COMPUTED_VALUE"""),0.224215246636771)</f>
        <v>0.2242152466</v>
      </c>
      <c r="O127" s="16">
        <f>IFERROR(__xludf.DUMMYFUNCTION("""COMPUTED_VALUE"""),0.188405797101449)</f>
        <v>0.1884057971</v>
      </c>
      <c r="P127" s="16">
        <f>IFERROR(__xludf.DUMMYFUNCTION("""COMPUTED_VALUE"""),0.149732620320855)</f>
        <v>0.1497326203</v>
      </c>
      <c r="Q127" s="16">
        <f>IFERROR(__xludf.DUMMYFUNCTION("""COMPUTED_VALUE"""),0.114285714285714)</f>
        <v>0.1142857143</v>
      </c>
      <c r="R127" s="16">
        <f>IFERROR(__xludf.DUMMYFUNCTION("""COMPUTED_VALUE"""),0.0872093023255814)</f>
        <v>0.08720930233</v>
      </c>
      <c r="S127" s="16">
        <f>IFERROR(__xludf.DUMMYFUNCTION("""COMPUTED_VALUE"""),0.0)</f>
        <v>0</v>
      </c>
      <c r="T127" s="16">
        <f>IFERROR(__xludf.DUMMYFUNCTION("""COMPUTED_VALUE"""),0.0)</f>
        <v>0</v>
      </c>
      <c r="U127" s="16">
        <f>IFERROR(__xludf.DUMMYFUNCTION("""COMPUTED_VALUE"""),0.0)</f>
        <v>0</v>
      </c>
      <c r="V127" s="16">
        <f>IFERROR(__xludf.DUMMYFUNCTION("""COMPUTED_VALUE"""),0.0)</f>
        <v>0</v>
      </c>
      <c r="W127" s="16">
        <f>IFERROR(__xludf.DUMMYFUNCTION("""COMPUTED_VALUE"""),0.0)</f>
        <v>0</v>
      </c>
      <c r="X127" s="16">
        <f>IFERROR(__xludf.DUMMYFUNCTION("""COMPUTED_VALUE"""),0.0)</f>
        <v>0</v>
      </c>
      <c r="Y127" s="16">
        <f>IFERROR(__xludf.DUMMYFUNCTION("""COMPUTED_VALUE"""),0.0)</f>
        <v>0</v>
      </c>
      <c r="Z127" s="16">
        <f>IFERROR(__xludf.DUMMYFUNCTION("""COMPUTED_VALUE"""),0.0)</f>
        <v>0</v>
      </c>
      <c r="AA127" s="16">
        <f>IFERROR(__xludf.DUMMYFUNCTION("""COMPUTED_VALUE"""),0.0)</f>
        <v>0</v>
      </c>
      <c r="AB127" s="16">
        <f>IFERROR(__xludf.DUMMYFUNCTION("""COMPUTED_VALUE"""),0.0)</f>
        <v>0</v>
      </c>
      <c r="AC127" s="16">
        <f>IFERROR(__xludf.DUMMYFUNCTION("""COMPUTED_VALUE"""),0.0)</f>
        <v>0</v>
      </c>
      <c r="AD127" s="16">
        <f>IFERROR(__xludf.DUMMYFUNCTION("""COMPUTED_VALUE"""),0.0)</f>
        <v>0</v>
      </c>
      <c r="AE127" s="16">
        <f>IFERROR(__xludf.DUMMYFUNCTION("""COMPUTED_VALUE"""),0.0)</f>
        <v>0</v>
      </c>
      <c r="AF127" s="16">
        <f>IFERROR(__xludf.DUMMYFUNCTION("""COMPUTED_VALUE"""),0.0)</f>
        <v>0</v>
      </c>
      <c r="AG127" s="16">
        <f>IFERROR(__xludf.DUMMYFUNCTION("""COMPUTED_VALUE"""),0.0)</f>
        <v>0</v>
      </c>
      <c r="AH127" s="16">
        <f>IFERROR(__xludf.DUMMYFUNCTION("""COMPUTED_VALUE"""),0.0)</f>
        <v>0</v>
      </c>
    </row>
    <row r="128">
      <c r="A128" s="16" t="str">
        <f>IFERROR(__xludf.DUMMYFUNCTION("""COMPUTED_VALUE"""),"646112abf2d6a5c232155a853f029ad1737b504e")</f>
        <v>646112abf2d6a5c232155a853f029ad1737b504e</v>
      </c>
      <c r="B128" s="16" t="str">
        <f>IFERROR(__xludf.DUMMYFUNCTION("""COMPUTED_VALUE"""),"Gatebreak")</f>
        <v>Gatebreak</v>
      </c>
      <c r="C128" s="16" t="str">
        <f>IFERROR(__xludf.DUMMYFUNCTION("""COMPUTED_VALUE"""),"Fantasy")</f>
        <v>Fantasy</v>
      </c>
      <c r="D128" s="16">
        <f>IFERROR(__xludf.DUMMYFUNCTION("""COMPUTED_VALUE"""),867.0)</f>
        <v>867</v>
      </c>
      <c r="E128" s="16">
        <f>IFERROR(__xludf.DUMMYFUNCTION("""COMPUTED_VALUE"""),0.949250288350634)</f>
        <v>0.9492502884</v>
      </c>
      <c r="F128" s="16">
        <f>IFERROR(__xludf.DUMMYFUNCTION("""COMPUTED_VALUE"""),0.650519031141868)</f>
        <v>0.6505190311</v>
      </c>
      <c r="G128" s="16">
        <f>IFERROR(__xludf.DUMMYFUNCTION("""COMPUTED_VALUE"""),0.600922722029988)</f>
        <v>0.600922722</v>
      </c>
      <c r="H128" s="16">
        <f>IFERROR(__xludf.DUMMYFUNCTION("""COMPUTED_VALUE"""),0.565167243367935)</f>
        <v>0.5651672434</v>
      </c>
      <c r="I128" s="16">
        <f>IFERROR(__xludf.DUMMYFUNCTION("""COMPUTED_VALUE"""),0.55028901734104)</f>
        <v>0.5502890173</v>
      </c>
      <c r="J128" s="16">
        <f>IFERROR(__xludf.DUMMYFUNCTION("""COMPUTED_VALUE"""),0.531322505800464)</f>
        <v>0.5313225058</v>
      </c>
      <c r="K128" s="16">
        <f>IFERROR(__xludf.DUMMYFUNCTION("""COMPUTED_VALUE"""),0.527972027972028)</f>
        <v>0.527972028</v>
      </c>
      <c r="L128" s="16">
        <f>IFERROR(__xludf.DUMMYFUNCTION("""COMPUTED_VALUE"""),0.517523364485981)</f>
        <v>0.5175233645</v>
      </c>
      <c r="M128" s="16">
        <f>IFERROR(__xludf.DUMMYFUNCTION("""COMPUTED_VALUE"""),0.506462984723854)</f>
        <v>0.5064629847</v>
      </c>
      <c r="N128" s="16">
        <f>IFERROR(__xludf.DUMMYFUNCTION("""COMPUTED_VALUE"""),0.50530035335689)</f>
        <v>0.5053003534</v>
      </c>
      <c r="O128" s="16">
        <f>IFERROR(__xludf.DUMMYFUNCTION("""COMPUTED_VALUE"""),0.444444444444444)</f>
        <v>0.4444444444</v>
      </c>
      <c r="P128" s="16">
        <f>IFERROR(__xludf.DUMMYFUNCTION("""COMPUTED_VALUE"""),0.33210332103321)</f>
        <v>0.332103321</v>
      </c>
      <c r="Q128" s="16">
        <f>IFERROR(__xludf.DUMMYFUNCTION("""COMPUTED_VALUE"""),0.235218508997429)</f>
        <v>0.235218509</v>
      </c>
      <c r="R128" s="16">
        <f>IFERROR(__xludf.DUMMYFUNCTION("""COMPUTED_VALUE"""),0.158647594278283)</f>
        <v>0.1586475943</v>
      </c>
      <c r="S128" s="16">
        <f>IFERROR(__xludf.DUMMYFUNCTION("""COMPUTED_VALUE"""),0.132669983416252)</f>
        <v>0.1326699834</v>
      </c>
      <c r="T128" s="16">
        <f>IFERROR(__xludf.DUMMYFUNCTION("""COMPUTED_VALUE"""),0.126903553299492)</f>
        <v>0.1269035533</v>
      </c>
      <c r="U128" s="16">
        <f>IFERROR(__xludf.DUMMYFUNCTION("""COMPUTED_VALUE"""),0.191780821917808)</f>
        <v>0.1917808219</v>
      </c>
      <c r="V128" s="16">
        <f>IFERROR(__xludf.DUMMYFUNCTION("""COMPUTED_VALUE"""),0.0)</f>
        <v>0</v>
      </c>
      <c r="W128" s="16">
        <f>IFERROR(__xludf.DUMMYFUNCTION("""COMPUTED_VALUE"""),0.0)</f>
        <v>0</v>
      </c>
      <c r="X128" s="16">
        <f>IFERROR(__xludf.DUMMYFUNCTION("""COMPUTED_VALUE"""),0.0)</f>
        <v>0</v>
      </c>
      <c r="Y128" s="16">
        <f>IFERROR(__xludf.DUMMYFUNCTION("""COMPUTED_VALUE"""),0.0)</f>
        <v>0</v>
      </c>
      <c r="Z128" s="16">
        <f>IFERROR(__xludf.DUMMYFUNCTION("""COMPUTED_VALUE"""),0.0)</f>
        <v>0</v>
      </c>
      <c r="AA128" s="16">
        <f>IFERROR(__xludf.DUMMYFUNCTION("""COMPUTED_VALUE"""),0.0)</f>
        <v>0</v>
      </c>
      <c r="AB128" s="16">
        <f>IFERROR(__xludf.DUMMYFUNCTION("""COMPUTED_VALUE"""),0.0)</f>
        <v>0</v>
      </c>
      <c r="AC128" s="16">
        <f>IFERROR(__xludf.DUMMYFUNCTION("""COMPUTED_VALUE"""),0.0)</f>
        <v>0</v>
      </c>
      <c r="AD128" s="16">
        <f>IFERROR(__xludf.DUMMYFUNCTION("""COMPUTED_VALUE"""),0.0)</f>
        <v>0</v>
      </c>
      <c r="AE128" s="16">
        <f>IFERROR(__xludf.DUMMYFUNCTION("""COMPUTED_VALUE"""),0.0)</f>
        <v>0</v>
      </c>
      <c r="AF128" s="16">
        <f>IFERROR(__xludf.DUMMYFUNCTION("""COMPUTED_VALUE"""),0.0)</f>
        <v>0</v>
      </c>
      <c r="AG128" s="16">
        <f>IFERROR(__xludf.DUMMYFUNCTION("""COMPUTED_VALUE"""),0.0)</f>
        <v>0</v>
      </c>
      <c r="AH128" s="16">
        <f>IFERROR(__xludf.DUMMYFUNCTION("""COMPUTED_VALUE"""),0.0)</f>
        <v>0</v>
      </c>
    </row>
    <row r="129">
      <c r="A129" s="16" t="str">
        <f>IFERROR(__xludf.DUMMYFUNCTION("""COMPUTED_VALUE"""),"6537ebcf99ebb2572c378cc92edd07b6d165b13b")</f>
        <v>6537ebcf99ebb2572c378cc92edd07b6d165b13b</v>
      </c>
      <c r="B129" s="16" t="str">
        <f>IFERROR(__xludf.DUMMYFUNCTION("""COMPUTED_VALUE"""),"The Legendary Beast Archi")</f>
        <v>The Legendary Beast Archi</v>
      </c>
      <c r="C129" s="16" t="str">
        <f>IFERROR(__xludf.DUMMYFUNCTION("""COMPUTED_VALUE"""),"Fantasy")</f>
        <v>Fantasy</v>
      </c>
      <c r="D129" s="16">
        <f>IFERROR(__xludf.DUMMYFUNCTION("""COMPUTED_VALUE"""),592.0)</f>
        <v>592</v>
      </c>
      <c r="E129" s="16">
        <f>IFERROR(__xludf.DUMMYFUNCTION("""COMPUTED_VALUE"""),0.983108108108108)</f>
        <v>0.9831081081</v>
      </c>
      <c r="F129" s="16">
        <f>IFERROR(__xludf.DUMMYFUNCTION("""COMPUTED_VALUE"""),0.581081081081081)</f>
        <v>0.5810810811</v>
      </c>
      <c r="G129" s="16">
        <f>IFERROR(__xludf.DUMMYFUNCTION("""COMPUTED_VALUE"""),0.525337837837837)</f>
        <v>0.5253378378</v>
      </c>
      <c r="H129" s="16">
        <f>IFERROR(__xludf.DUMMYFUNCTION("""COMPUTED_VALUE"""),0.483108108108108)</f>
        <v>0.4831081081</v>
      </c>
      <c r="I129" s="16">
        <f>IFERROR(__xludf.DUMMYFUNCTION("""COMPUTED_VALUE"""),0.450084602368866)</f>
        <v>0.4500846024</v>
      </c>
      <c r="J129" s="16">
        <f>IFERROR(__xludf.DUMMYFUNCTION("""COMPUTED_VALUE"""),0.409475465313028)</f>
        <v>0.4094754653</v>
      </c>
      <c r="K129" s="16">
        <f>IFERROR(__xludf.DUMMYFUNCTION("""COMPUTED_VALUE"""),0.397631133671742)</f>
        <v>0.3976311337</v>
      </c>
      <c r="L129" s="16">
        <f>IFERROR(__xludf.DUMMYFUNCTION("""COMPUTED_VALUE"""),0.373287671232876)</f>
        <v>0.3732876712</v>
      </c>
      <c r="M129" s="16">
        <f>IFERROR(__xludf.DUMMYFUNCTION("""COMPUTED_VALUE"""),0.356261022927689)</f>
        <v>0.3562610229</v>
      </c>
      <c r="N129" s="16">
        <f>IFERROR(__xludf.DUMMYFUNCTION("""COMPUTED_VALUE"""),0.341726618705035)</f>
        <v>0.3417266187</v>
      </c>
      <c r="O129" s="16">
        <f>IFERROR(__xludf.DUMMYFUNCTION("""COMPUTED_VALUE"""),0.293367346938775)</f>
        <v>0.2933673469</v>
      </c>
      <c r="P129" s="16">
        <f>IFERROR(__xludf.DUMMYFUNCTION("""COMPUTED_VALUE"""),0.186046511627906)</f>
        <v>0.1860465116</v>
      </c>
      <c r="Q129" s="16">
        <f>IFERROR(__xludf.DUMMYFUNCTION("""COMPUTED_VALUE"""),0.0)</f>
        <v>0</v>
      </c>
      <c r="R129" s="16">
        <f>IFERROR(__xludf.DUMMYFUNCTION("""COMPUTED_VALUE"""),0.0)</f>
        <v>0</v>
      </c>
      <c r="S129" s="16">
        <f>IFERROR(__xludf.DUMMYFUNCTION("""COMPUTED_VALUE"""),0.0)</f>
        <v>0</v>
      </c>
      <c r="T129" s="16">
        <f>IFERROR(__xludf.DUMMYFUNCTION("""COMPUTED_VALUE"""),0.0)</f>
        <v>0</v>
      </c>
      <c r="U129" s="16">
        <f>IFERROR(__xludf.DUMMYFUNCTION("""COMPUTED_VALUE"""),0.0)</f>
        <v>0</v>
      </c>
      <c r="V129" s="16">
        <f>IFERROR(__xludf.DUMMYFUNCTION("""COMPUTED_VALUE"""),0.0)</f>
        <v>0</v>
      </c>
      <c r="W129" s="16">
        <f>IFERROR(__xludf.DUMMYFUNCTION("""COMPUTED_VALUE"""),0.0)</f>
        <v>0</v>
      </c>
      <c r="X129" s="16">
        <f>IFERROR(__xludf.DUMMYFUNCTION("""COMPUTED_VALUE"""),0.0)</f>
        <v>0</v>
      </c>
      <c r="Y129" s="16">
        <f>IFERROR(__xludf.DUMMYFUNCTION("""COMPUTED_VALUE"""),0.0)</f>
        <v>0</v>
      </c>
      <c r="Z129" s="16">
        <f>IFERROR(__xludf.DUMMYFUNCTION("""COMPUTED_VALUE"""),0.0)</f>
        <v>0</v>
      </c>
      <c r="AA129" s="16">
        <f>IFERROR(__xludf.DUMMYFUNCTION("""COMPUTED_VALUE"""),0.0)</f>
        <v>0</v>
      </c>
      <c r="AB129" s="16">
        <f>IFERROR(__xludf.DUMMYFUNCTION("""COMPUTED_VALUE"""),0.0)</f>
        <v>0</v>
      </c>
      <c r="AC129" s="16">
        <f>IFERROR(__xludf.DUMMYFUNCTION("""COMPUTED_VALUE"""),0.0)</f>
        <v>0</v>
      </c>
      <c r="AD129" s="16">
        <f>IFERROR(__xludf.DUMMYFUNCTION("""COMPUTED_VALUE"""),0.0)</f>
        <v>0</v>
      </c>
      <c r="AE129" s="16">
        <f>IFERROR(__xludf.DUMMYFUNCTION("""COMPUTED_VALUE"""),0.0)</f>
        <v>0</v>
      </c>
      <c r="AF129" s="16">
        <f>IFERROR(__xludf.DUMMYFUNCTION("""COMPUTED_VALUE"""),0.0)</f>
        <v>0</v>
      </c>
      <c r="AG129" s="16">
        <f>IFERROR(__xludf.DUMMYFUNCTION("""COMPUTED_VALUE"""),0.0)</f>
        <v>0</v>
      </c>
      <c r="AH129" s="16">
        <f>IFERROR(__xludf.DUMMYFUNCTION("""COMPUTED_VALUE"""),0.0)</f>
        <v>0</v>
      </c>
    </row>
    <row r="130">
      <c r="A130" s="16" t="str">
        <f>IFERROR(__xludf.DUMMYFUNCTION("""COMPUTED_VALUE"""),"66d071d24615af48b285815d02992a008381015d")</f>
        <v>66d071d24615af48b285815d02992a008381015d</v>
      </c>
      <c r="B130" s="16" t="str">
        <f>IFERROR(__xludf.DUMMYFUNCTION("""COMPUTED_VALUE"""),"Exile Star")</f>
        <v>Exile Star</v>
      </c>
      <c r="C130" s="16" t="str">
        <f>IFERROR(__xludf.DUMMYFUNCTION("""COMPUTED_VALUE"""),"Fantasy")</f>
        <v>Fantasy</v>
      </c>
      <c r="D130" s="16">
        <f>IFERROR(__xludf.DUMMYFUNCTION("""COMPUTED_VALUE"""),13.0)</f>
        <v>13</v>
      </c>
      <c r="E130" s="16">
        <f>IFERROR(__xludf.DUMMYFUNCTION("""COMPUTED_VALUE"""),1.0)</f>
        <v>1</v>
      </c>
      <c r="F130" s="16">
        <f>IFERROR(__xludf.DUMMYFUNCTION("""COMPUTED_VALUE"""),0.23076923076923)</f>
        <v>0.2307692308</v>
      </c>
      <c r="G130" s="16">
        <f>IFERROR(__xludf.DUMMYFUNCTION("""COMPUTED_VALUE"""),0.153846153846153)</f>
        <v>0.1538461538</v>
      </c>
      <c r="H130" s="16">
        <f>IFERROR(__xludf.DUMMYFUNCTION("""COMPUTED_VALUE"""),0.153846153846153)</f>
        <v>0.1538461538</v>
      </c>
      <c r="I130" s="16">
        <f>IFERROR(__xludf.DUMMYFUNCTION("""COMPUTED_VALUE"""),0.153846153846153)</f>
        <v>0.1538461538</v>
      </c>
      <c r="J130" s="16">
        <f>IFERROR(__xludf.DUMMYFUNCTION("""COMPUTED_VALUE"""),0.153846153846153)</f>
        <v>0.1538461538</v>
      </c>
      <c r="K130" s="16">
        <f>IFERROR(__xludf.DUMMYFUNCTION("""COMPUTED_VALUE"""),0.153846153846153)</f>
        <v>0.1538461538</v>
      </c>
      <c r="L130" s="16">
        <f>IFERROR(__xludf.DUMMYFUNCTION("""COMPUTED_VALUE"""),0.153846153846153)</f>
        <v>0.1538461538</v>
      </c>
      <c r="M130" s="16">
        <f>IFERROR(__xludf.DUMMYFUNCTION("""COMPUTED_VALUE"""),0.153846153846153)</f>
        <v>0.1538461538</v>
      </c>
      <c r="N130" s="16">
        <f>IFERROR(__xludf.DUMMYFUNCTION("""COMPUTED_VALUE"""),0.153846153846153)</f>
        <v>0.1538461538</v>
      </c>
      <c r="O130" s="16">
        <f>IFERROR(__xludf.DUMMYFUNCTION("""COMPUTED_VALUE"""),0.0)</f>
        <v>0</v>
      </c>
      <c r="P130" s="16">
        <f>IFERROR(__xludf.DUMMYFUNCTION("""COMPUTED_VALUE"""),0.0)</f>
        <v>0</v>
      </c>
      <c r="Q130" s="16">
        <f>IFERROR(__xludf.DUMMYFUNCTION("""COMPUTED_VALUE"""),0.0)</f>
        <v>0</v>
      </c>
      <c r="R130" s="16">
        <f>IFERROR(__xludf.DUMMYFUNCTION("""COMPUTED_VALUE"""),0.0)</f>
        <v>0</v>
      </c>
      <c r="S130" s="16">
        <f>IFERROR(__xludf.DUMMYFUNCTION("""COMPUTED_VALUE"""),0.0)</f>
        <v>0</v>
      </c>
      <c r="T130" s="16">
        <f>IFERROR(__xludf.DUMMYFUNCTION("""COMPUTED_VALUE"""),0.0)</f>
        <v>0</v>
      </c>
      <c r="U130" s="16">
        <f>IFERROR(__xludf.DUMMYFUNCTION("""COMPUTED_VALUE"""),0.0)</f>
        <v>0</v>
      </c>
      <c r="V130" s="16">
        <f>IFERROR(__xludf.DUMMYFUNCTION("""COMPUTED_VALUE"""),0.0)</f>
        <v>0</v>
      </c>
      <c r="W130" s="16">
        <f>IFERROR(__xludf.DUMMYFUNCTION("""COMPUTED_VALUE"""),0.0)</f>
        <v>0</v>
      </c>
      <c r="X130" s="16">
        <f>IFERROR(__xludf.DUMMYFUNCTION("""COMPUTED_VALUE"""),0.0)</f>
        <v>0</v>
      </c>
      <c r="Y130" s="16">
        <f>IFERROR(__xludf.DUMMYFUNCTION("""COMPUTED_VALUE"""),0.0)</f>
        <v>0</v>
      </c>
      <c r="Z130" s="16">
        <f>IFERROR(__xludf.DUMMYFUNCTION("""COMPUTED_VALUE"""),0.0)</f>
        <v>0</v>
      </c>
      <c r="AA130" s="16">
        <f>IFERROR(__xludf.DUMMYFUNCTION("""COMPUTED_VALUE"""),0.0)</f>
        <v>0</v>
      </c>
      <c r="AB130" s="16">
        <f>IFERROR(__xludf.DUMMYFUNCTION("""COMPUTED_VALUE"""),0.0)</f>
        <v>0</v>
      </c>
      <c r="AC130" s="16">
        <f>IFERROR(__xludf.DUMMYFUNCTION("""COMPUTED_VALUE"""),0.0)</f>
        <v>0</v>
      </c>
      <c r="AD130" s="16">
        <f>IFERROR(__xludf.DUMMYFUNCTION("""COMPUTED_VALUE"""),0.0)</f>
        <v>0</v>
      </c>
      <c r="AE130" s="16">
        <f>IFERROR(__xludf.DUMMYFUNCTION("""COMPUTED_VALUE"""),0.0)</f>
        <v>0</v>
      </c>
      <c r="AF130" s="16">
        <f>IFERROR(__xludf.DUMMYFUNCTION("""COMPUTED_VALUE"""),0.0)</f>
        <v>0</v>
      </c>
      <c r="AG130" s="16">
        <f>IFERROR(__xludf.DUMMYFUNCTION("""COMPUTED_VALUE"""),0.0)</f>
        <v>0</v>
      </c>
      <c r="AH130" s="16">
        <f>IFERROR(__xludf.DUMMYFUNCTION("""COMPUTED_VALUE"""),0.0)</f>
        <v>0</v>
      </c>
    </row>
    <row r="131">
      <c r="A131" s="16" t="str">
        <f>IFERROR(__xludf.DUMMYFUNCTION("""COMPUTED_VALUE"""),"66e5597d741c6d87c2bc8e35ec83065242c0e34d")</f>
        <v>66e5597d741c6d87c2bc8e35ec83065242c0e34d</v>
      </c>
      <c r="B131" s="16" t="str">
        <f>IFERROR(__xludf.DUMMYFUNCTION("""COMPUTED_VALUE"""),"Sky Lord")</f>
        <v>Sky Lord</v>
      </c>
      <c r="C131" s="16" t="str">
        <f>IFERROR(__xludf.DUMMYFUNCTION("""COMPUTED_VALUE"""),"Fantasy")</f>
        <v>Fantasy</v>
      </c>
      <c r="D131" s="16">
        <f>IFERROR(__xludf.DUMMYFUNCTION("""COMPUTED_VALUE"""),849.0)</f>
        <v>849</v>
      </c>
      <c r="E131" s="16">
        <f>IFERROR(__xludf.DUMMYFUNCTION("""COMPUTED_VALUE"""),0.968197879858657)</f>
        <v>0.9681978799</v>
      </c>
      <c r="F131" s="16">
        <f>IFERROR(__xludf.DUMMYFUNCTION("""COMPUTED_VALUE"""),0.665488810365135)</f>
        <v>0.6654888104</v>
      </c>
      <c r="G131" s="16">
        <f>IFERROR(__xludf.DUMMYFUNCTION("""COMPUTED_VALUE"""),0.61248527679623)</f>
        <v>0.6124852768</v>
      </c>
      <c r="H131" s="16">
        <f>IFERROR(__xludf.DUMMYFUNCTION("""COMPUTED_VALUE"""),0.594339622641509)</f>
        <v>0.5943396226</v>
      </c>
      <c r="I131" s="16">
        <f>IFERROR(__xludf.DUMMYFUNCTION("""COMPUTED_VALUE"""),0.550947867298578)</f>
        <v>0.5509478673</v>
      </c>
      <c r="J131" s="16">
        <f>IFERROR(__xludf.DUMMYFUNCTION("""COMPUTED_VALUE"""),0.525504151838671)</f>
        <v>0.5255041518</v>
      </c>
      <c r="K131" s="16">
        <f>IFERROR(__xludf.DUMMYFUNCTION("""COMPUTED_VALUE"""),0.491082045184304)</f>
        <v>0.4910820452</v>
      </c>
      <c r="L131" s="16">
        <f>IFERROR(__xludf.DUMMYFUNCTION("""COMPUTED_VALUE"""),0.460984393757503)</f>
        <v>0.4609843938</v>
      </c>
      <c r="M131" s="16">
        <f>IFERROR(__xludf.DUMMYFUNCTION("""COMPUTED_VALUE"""),0.448192771084337)</f>
        <v>0.4481927711</v>
      </c>
      <c r="N131" s="16">
        <f>IFERROR(__xludf.DUMMYFUNCTION("""COMPUTED_VALUE"""),0.423687423687423)</f>
        <v>0.4236874237</v>
      </c>
      <c r="O131" s="16">
        <f>IFERROR(__xludf.DUMMYFUNCTION("""COMPUTED_VALUE"""),0.378340365682137)</f>
        <v>0.3783403657</v>
      </c>
      <c r="P131" s="16">
        <f>IFERROR(__xludf.DUMMYFUNCTION("""COMPUTED_VALUE"""),0.292134831460674)</f>
        <v>0.2921348315</v>
      </c>
      <c r="Q131" s="16">
        <f>IFERROR(__xludf.DUMMYFUNCTION("""COMPUTED_VALUE"""),0.0)</f>
        <v>0</v>
      </c>
      <c r="R131" s="16">
        <f>IFERROR(__xludf.DUMMYFUNCTION("""COMPUTED_VALUE"""),0.0)</f>
        <v>0</v>
      </c>
      <c r="S131" s="16">
        <f>IFERROR(__xludf.DUMMYFUNCTION("""COMPUTED_VALUE"""),0.0)</f>
        <v>0</v>
      </c>
      <c r="T131" s="16">
        <f>IFERROR(__xludf.DUMMYFUNCTION("""COMPUTED_VALUE"""),0.0)</f>
        <v>0</v>
      </c>
      <c r="U131" s="16">
        <f>IFERROR(__xludf.DUMMYFUNCTION("""COMPUTED_VALUE"""),0.0)</f>
        <v>0</v>
      </c>
      <c r="V131" s="16">
        <f>IFERROR(__xludf.DUMMYFUNCTION("""COMPUTED_VALUE"""),0.0)</f>
        <v>0</v>
      </c>
      <c r="W131" s="16">
        <f>IFERROR(__xludf.DUMMYFUNCTION("""COMPUTED_VALUE"""),0.0)</f>
        <v>0</v>
      </c>
      <c r="X131" s="16">
        <f>IFERROR(__xludf.DUMMYFUNCTION("""COMPUTED_VALUE"""),0.0)</f>
        <v>0</v>
      </c>
      <c r="Y131" s="16">
        <f>IFERROR(__xludf.DUMMYFUNCTION("""COMPUTED_VALUE"""),0.0)</f>
        <v>0</v>
      </c>
      <c r="Z131" s="16">
        <f>IFERROR(__xludf.DUMMYFUNCTION("""COMPUTED_VALUE"""),0.0)</f>
        <v>0</v>
      </c>
      <c r="AA131" s="16">
        <f>IFERROR(__xludf.DUMMYFUNCTION("""COMPUTED_VALUE"""),0.0)</f>
        <v>0</v>
      </c>
      <c r="AB131" s="16">
        <f>IFERROR(__xludf.DUMMYFUNCTION("""COMPUTED_VALUE"""),0.0)</f>
        <v>0</v>
      </c>
      <c r="AC131" s="16">
        <f>IFERROR(__xludf.DUMMYFUNCTION("""COMPUTED_VALUE"""),0.0)</f>
        <v>0</v>
      </c>
      <c r="AD131" s="16">
        <f>IFERROR(__xludf.DUMMYFUNCTION("""COMPUTED_VALUE"""),0.0)</f>
        <v>0</v>
      </c>
      <c r="AE131" s="16">
        <f>IFERROR(__xludf.DUMMYFUNCTION("""COMPUTED_VALUE"""),0.0)</f>
        <v>0</v>
      </c>
      <c r="AF131" s="16">
        <f>IFERROR(__xludf.DUMMYFUNCTION("""COMPUTED_VALUE"""),0.0)</f>
        <v>0</v>
      </c>
      <c r="AG131" s="16">
        <f>IFERROR(__xludf.DUMMYFUNCTION("""COMPUTED_VALUE"""),0.0)</f>
        <v>0</v>
      </c>
      <c r="AH131" s="16">
        <f>IFERROR(__xludf.DUMMYFUNCTION("""COMPUTED_VALUE"""),0.0)</f>
        <v>0</v>
      </c>
    </row>
    <row r="132">
      <c r="A132" s="16" t="str">
        <f>IFERROR(__xludf.DUMMYFUNCTION("""COMPUTED_VALUE"""),"69e29d606b65c300fffe9a9af149d4b81b170a78")</f>
        <v>69e29d606b65c300fffe9a9af149d4b81b170a78</v>
      </c>
      <c r="B132" s="16" t="str">
        <f>IFERROR(__xludf.DUMMYFUNCTION("""COMPUTED_VALUE"""),"Unexpectedly Entwined")</f>
        <v>Unexpectedly Entwined</v>
      </c>
      <c r="C132" s="16" t="str">
        <f>IFERROR(__xludf.DUMMYFUNCTION("""COMPUTED_VALUE"""),"Romance")</f>
        <v>Romance</v>
      </c>
      <c r="D132" s="16">
        <f>IFERROR(__xludf.DUMMYFUNCTION("""COMPUTED_VALUE"""),67.0)</f>
        <v>67</v>
      </c>
      <c r="E132" s="16">
        <f>IFERROR(__xludf.DUMMYFUNCTION("""COMPUTED_VALUE"""),0.955223880597014)</f>
        <v>0.9552238806</v>
      </c>
      <c r="F132" s="16">
        <f>IFERROR(__xludf.DUMMYFUNCTION("""COMPUTED_VALUE"""),0.477611940298507)</f>
        <v>0.4776119403</v>
      </c>
      <c r="G132" s="16">
        <f>IFERROR(__xludf.DUMMYFUNCTION("""COMPUTED_VALUE"""),0.44776119402985)</f>
        <v>0.447761194</v>
      </c>
      <c r="H132" s="16">
        <f>IFERROR(__xludf.DUMMYFUNCTION("""COMPUTED_VALUE"""),0.363636363636363)</f>
        <v>0.3636363636</v>
      </c>
      <c r="I132" s="16">
        <f>IFERROR(__xludf.DUMMYFUNCTION("""COMPUTED_VALUE"""),0.333333333333333)</f>
        <v>0.3333333333</v>
      </c>
      <c r="J132" s="16">
        <f>IFERROR(__xludf.DUMMYFUNCTION("""COMPUTED_VALUE"""),0.242424242424242)</f>
        <v>0.2424242424</v>
      </c>
      <c r="K132" s="16">
        <f>IFERROR(__xludf.DUMMYFUNCTION("""COMPUTED_VALUE"""),0.257575757575757)</f>
        <v>0.2575757576</v>
      </c>
      <c r="L132" s="16">
        <f>IFERROR(__xludf.DUMMYFUNCTION("""COMPUTED_VALUE"""),0.272727272727272)</f>
        <v>0.2727272727</v>
      </c>
      <c r="M132" s="16">
        <f>IFERROR(__xludf.DUMMYFUNCTION("""COMPUTED_VALUE"""),0.242424242424242)</f>
        <v>0.2424242424</v>
      </c>
      <c r="N132" s="16">
        <f>IFERROR(__xludf.DUMMYFUNCTION("""COMPUTED_VALUE"""),0.276923076923076)</f>
        <v>0.2769230769</v>
      </c>
      <c r="O132" s="16">
        <f>IFERROR(__xludf.DUMMYFUNCTION("""COMPUTED_VALUE"""),0.174603174603174)</f>
        <v>0.1746031746</v>
      </c>
      <c r="P132" s="16">
        <f>IFERROR(__xludf.DUMMYFUNCTION("""COMPUTED_VALUE"""),0.0967741935483871)</f>
        <v>0.09677419355</v>
      </c>
      <c r="Q132" s="16">
        <f>IFERROR(__xludf.DUMMYFUNCTION("""COMPUTED_VALUE"""),0.075)</f>
        <v>0.075</v>
      </c>
      <c r="R132" s="16">
        <f>IFERROR(__xludf.DUMMYFUNCTION("""COMPUTED_VALUE"""),0.111111111111111)</f>
        <v>0.1111111111</v>
      </c>
      <c r="S132" s="16">
        <f>IFERROR(__xludf.DUMMYFUNCTION("""COMPUTED_VALUE"""),0.0909090909090909)</f>
        <v>0.09090909091</v>
      </c>
      <c r="T132" s="16">
        <f>IFERROR(__xludf.DUMMYFUNCTION("""COMPUTED_VALUE"""),0.0)</f>
        <v>0</v>
      </c>
      <c r="U132" s="16">
        <f>IFERROR(__xludf.DUMMYFUNCTION("""COMPUTED_VALUE"""),0.0)</f>
        <v>0</v>
      </c>
      <c r="V132" s="16">
        <f>IFERROR(__xludf.DUMMYFUNCTION("""COMPUTED_VALUE"""),0.0)</f>
        <v>0</v>
      </c>
      <c r="W132" s="16">
        <f>IFERROR(__xludf.DUMMYFUNCTION("""COMPUTED_VALUE"""),0.0)</f>
        <v>0</v>
      </c>
      <c r="X132" s="16">
        <f>IFERROR(__xludf.DUMMYFUNCTION("""COMPUTED_VALUE"""),0.0)</f>
        <v>0</v>
      </c>
      <c r="Y132" s="16">
        <f>IFERROR(__xludf.DUMMYFUNCTION("""COMPUTED_VALUE"""),0.0)</f>
        <v>0</v>
      </c>
      <c r="Z132" s="16">
        <f>IFERROR(__xludf.DUMMYFUNCTION("""COMPUTED_VALUE"""),0.0)</f>
        <v>0</v>
      </c>
      <c r="AA132" s="16">
        <f>IFERROR(__xludf.DUMMYFUNCTION("""COMPUTED_VALUE"""),0.0)</f>
        <v>0</v>
      </c>
      <c r="AB132" s="16">
        <f>IFERROR(__xludf.DUMMYFUNCTION("""COMPUTED_VALUE"""),0.0)</f>
        <v>0</v>
      </c>
      <c r="AC132" s="16">
        <f>IFERROR(__xludf.DUMMYFUNCTION("""COMPUTED_VALUE"""),0.0)</f>
        <v>0</v>
      </c>
      <c r="AD132" s="16">
        <f>IFERROR(__xludf.DUMMYFUNCTION("""COMPUTED_VALUE"""),0.0)</f>
        <v>0</v>
      </c>
      <c r="AE132" s="16">
        <f>IFERROR(__xludf.DUMMYFUNCTION("""COMPUTED_VALUE"""),0.0)</f>
        <v>0</v>
      </c>
      <c r="AF132" s="16">
        <f>IFERROR(__xludf.DUMMYFUNCTION("""COMPUTED_VALUE"""),0.0)</f>
        <v>0</v>
      </c>
      <c r="AG132" s="16">
        <f>IFERROR(__xludf.DUMMYFUNCTION("""COMPUTED_VALUE"""),0.0)</f>
        <v>0</v>
      </c>
      <c r="AH132" s="16">
        <f>IFERROR(__xludf.DUMMYFUNCTION("""COMPUTED_VALUE"""),0.0)</f>
        <v>0</v>
      </c>
    </row>
    <row r="133">
      <c r="A133" s="16" t="str">
        <f>IFERROR(__xludf.DUMMYFUNCTION("""COMPUTED_VALUE"""),"69e2eb3772b49e749fed57ae96a86147dde154cb")</f>
        <v>69e2eb3772b49e749fed57ae96a86147dde154cb</v>
      </c>
      <c r="B133" s="16" t="str">
        <f>IFERROR(__xludf.DUMMYFUNCTION("""COMPUTED_VALUE"""),"The Alpha She Chose")</f>
        <v>The Alpha She Chose</v>
      </c>
      <c r="C133" s="16" t="str">
        <f>IFERROR(__xludf.DUMMYFUNCTION("""COMPUTED_VALUE"""),"Romantasy")</f>
        <v>Romantasy</v>
      </c>
      <c r="D133" s="16">
        <f>IFERROR(__xludf.DUMMYFUNCTION("""COMPUTED_VALUE"""),109.0)</f>
        <v>109</v>
      </c>
      <c r="E133" s="16">
        <f>IFERROR(__xludf.DUMMYFUNCTION("""COMPUTED_VALUE"""),0.954128440366972)</f>
        <v>0.9541284404</v>
      </c>
      <c r="F133" s="16">
        <f>IFERROR(__xludf.DUMMYFUNCTION("""COMPUTED_VALUE"""),0.55045871559633)</f>
        <v>0.5504587156</v>
      </c>
      <c r="G133" s="16">
        <f>IFERROR(__xludf.DUMMYFUNCTION("""COMPUTED_VALUE"""),0.486238532110091)</f>
        <v>0.4862385321</v>
      </c>
      <c r="H133" s="16">
        <f>IFERROR(__xludf.DUMMYFUNCTION("""COMPUTED_VALUE"""),0.394495412844036)</f>
        <v>0.3944954128</v>
      </c>
      <c r="I133" s="16">
        <f>IFERROR(__xludf.DUMMYFUNCTION("""COMPUTED_VALUE"""),0.403669724770642)</f>
        <v>0.4036697248</v>
      </c>
      <c r="J133" s="16">
        <f>IFERROR(__xludf.DUMMYFUNCTION("""COMPUTED_VALUE"""),0.357798165137614)</f>
        <v>0.3577981651</v>
      </c>
      <c r="K133" s="16">
        <f>IFERROR(__xludf.DUMMYFUNCTION("""COMPUTED_VALUE"""),0.376146788990825)</f>
        <v>0.376146789</v>
      </c>
      <c r="L133" s="16">
        <f>IFERROR(__xludf.DUMMYFUNCTION("""COMPUTED_VALUE"""),0.351851851851851)</f>
        <v>0.3518518519</v>
      </c>
      <c r="M133" s="16">
        <f>IFERROR(__xludf.DUMMYFUNCTION("""COMPUTED_VALUE"""),0.351851851851851)</f>
        <v>0.3518518519</v>
      </c>
      <c r="N133" s="16">
        <f>IFERROR(__xludf.DUMMYFUNCTION("""COMPUTED_VALUE"""),0.333333333333333)</f>
        <v>0.3333333333</v>
      </c>
      <c r="O133" s="16">
        <f>IFERROR(__xludf.DUMMYFUNCTION("""COMPUTED_VALUE"""),0.281553398058252)</f>
        <v>0.2815533981</v>
      </c>
      <c r="P133" s="16">
        <f>IFERROR(__xludf.DUMMYFUNCTION("""COMPUTED_VALUE"""),0.237113402061855)</f>
        <v>0.2371134021</v>
      </c>
      <c r="Q133" s="16">
        <f>IFERROR(__xludf.DUMMYFUNCTION("""COMPUTED_VALUE"""),0.174418604651162)</f>
        <v>0.1744186047</v>
      </c>
      <c r="R133" s="16">
        <f>IFERROR(__xludf.DUMMYFUNCTION("""COMPUTED_VALUE"""),0.0847457627118644)</f>
        <v>0.08474576271</v>
      </c>
      <c r="S133" s="16">
        <f>IFERROR(__xludf.DUMMYFUNCTION("""COMPUTED_VALUE"""),0.0)</f>
        <v>0</v>
      </c>
      <c r="T133" s="16">
        <f>IFERROR(__xludf.DUMMYFUNCTION("""COMPUTED_VALUE"""),0.0)</f>
        <v>0</v>
      </c>
      <c r="U133" s="16">
        <f>IFERROR(__xludf.DUMMYFUNCTION("""COMPUTED_VALUE"""),0.0)</f>
        <v>0</v>
      </c>
      <c r="V133" s="16">
        <f>IFERROR(__xludf.DUMMYFUNCTION("""COMPUTED_VALUE"""),0.0)</f>
        <v>0</v>
      </c>
      <c r="W133" s="16">
        <f>IFERROR(__xludf.DUMMYFUNCTION("""COMPUTED_VALUE"""),0.0)</f>
        <v>0</v>
      </c>
      <c r="X133" s="16">
        <f>IFERROR(__xludf.DUMMYFUNCTION("""COMPUTED_VALUE"""),0.0)</f>
        <v>0</v>
      </c>
      <c r="Y133" s="16">
        <f>IFERROR(__xludf.DUMMYFUNCTION("""COMPUTED_VALUE"""),0.0)</f>
        <v>0</v>
      </c>
      <c r="Z133" s="16">
        <f>IFERROR(__xludf.DUMMYFUNCTION("""COMPUTED_VALUE"""),0.0)</f>
        <v>0</v>
      </c>
      <c r="AA133" s="16">
        <f>IFERROR(__xludf.DUMMYFUNCTION("""COMPUTED_VALUE"""),0.0)</f>
        <v>0</v>
      </c>
      <c r="AB133" s="16">
        <f>IFERROR(__xludf.DUMMYFUNCTION("""COMPUTED_VALUE"""),0.0)</f>
        <v>0</v>
      </c>
      <c r="AC133" s="16">
        <f>IFERROR(__xludf.DUMMYFUNCTION("""COMPUTED_VALUE"""),0.0)</f>
        <v>0</v>
      </c>
      <c r="AD133" s="16">
        <f>IFERROR(__xludf.DUMMYFUNCTION("""COMPUTED_VALUE"""),0.0)</f>
        <v>0</v>
      </c>
      <c r="AE133" s="16">
        <f>IFERROR(__xludf.DUMMYFUNCTION("""COMPUTED_VALUE"""),0.0)</f>
        <v>0</v>
      </c>
      <c r="AF133" s="16">
        <f>IFERROR(__xludf.DUMMYFUNCTION("""COMPUTED_VALUE"""),0.0)</f>
        <v>0</v>
      </c>
      <c r="AG133" s="16">
        <f>IFERROR(__xludf.DUMMYFUNCTION("""COMPUTED_VALUE"""),0.0)</f>
        <v>0</v>
      </c>
      <c r="AH133" s="16">
        <f>IFERROR(__xludf.DUMMYFUNCTION("""COMPUTED_VALUE"""),0.0)</f>
        <v>0</v>
      </c>
    </row>
    <row r="134">
      <c r="A134" s="16" t="str">
        <f>IFERROR(__xludf.DUMMYFUNCTION("""COMPUTED_VALUE"""),"6c13ac0e01a86e60a2d75bbcee5bb8f9be472700")</f>
        <v>6c13ac0e01a86e60a2d75bbcee5bb8f9be472700</v>
      </c>
      <c r="B134" s="16" t="str">
        <f>IFERROR(__xludf.DUMMYFUNCTION("""COMPUTED_VALUE"""),"Fated to You")</f>
        <v>Fated to You</v>
      </c>
      <c r="C134" s="16" t="str">
        <f>IFERROR(__xludf.DUMMYFUNCTION("""COMPUTED_VALUE"""),"Romance")</f>
        <v>Romance</v>
      </c>
      <c r="D134" s="16">
        <f>IFERROR(__xludf.DUMMYFUNCTION("""COMPUTED_VALUE"""),52.0)</f>
        <v>52</v>
      </c>
      <c r="E134" s="16">
        <f>IFERROR(__xludf.DUMMYFUNCTION("""COMPUTED_VALUE"""),0.384615384615384)</f>
        <v>0.3846153846</v>
      </c>
      <c r="F134" s="16">
        <f>IFERROR(__xludf.DUMMYFUNCTION("""COMPUTED_VALUE"""),0.25)</f>
        <v>0.25</v>
      </c>
      <c r="G134" s="16">
        <f>IFERROR(__xludf.DUMMYFUNCTION("""COMPUTED_VALUE"""),0.269230769230769)</f>
        <v>0.2692307692</v>
      </c>
      <c r="H134" s="16">
        <f>IFERROR(__xludf.DUMMYFUNCTION("""COMPUTED_VALUE"""),0.25)</f>
        <v>0.25</v>
      </c>
      <c r="I134" s="16">
        <f>IFERROR(__xludf.DUMMYFUNCTION("""COMPUTED_VALUE"""),0.153846153846153)</f>
        <v>0.1538461538</v>
      </c>
      <c r="J134" s="16">
        <f>IFERROR(__xludf.DUMMYFUNCTION("""COMPUTED_VALUE"""),0.134615384615384)</f>
        <v>0.1346153846</v>
      </c>
      <c r="K134" s="16">
        <f>IFERROR(__xludf.DUMMYFUNCTION("""COMPUTED_VALUE"""),0.192307692307692)</f>
        <v>0.1923076923</v>
      </c>
      <c r="L134" s="16">
        <f>IFERROR(__xludf.DUMMYFUNCTION("""COMPUTED_VALUE"""),0.173076923076923)</f>
        <v>0.1730769231</v>
      </c>
      <c r="M134" s="16">
        <f>IFERROR(__xludf.DUMMYFUNCTION("""COMPUTED_VALUE"""),0.134615384615384)</f>
        <v>0.1346153846</v>
      </c>
      <c r="N134" s="16">
        <f>IFERROR(__xludf.DUMMYFUNCTION("""COMPUTED_VALUE"""),0.215686274509803)</f>
        <v>0.2156862745</v>
      </c>
      <c r="O134" s="16">
        <f>IFERROR(__xludf.DUMMYFUNCTION("""COMPUTED_VALUE"""),0.0980392156862745)</f>
        <v>0.09803921569</v>
      </c>
      <c r="P134" s="16">
        <f>IFERROR(__xludf.DUMMYFUNCTION("""COMPUTED_VALUE"""),0.16)</f>
        <v>0.16</v>
      </c>
      <c r="Q134" s="16">
        <f>IFERROR(__xludf.DUMMYFUNCTION("""COMPUTED_VALUE"""),0.12)</f>
        <v>0.12</v>
      </c>
      <c r="R134" s="16">
        <f>IFERROR(__xludf.DUMMYFUNCTION("""COMPUTED_VALUE"""),0.02)</f>
        <v>0.02</v>
      </c>
      <c r="S134" s="16">
        <f>IFERROR(__xludf.DUMMYFUNCTION("""COMPUTED_VALUE"""),0.0294117647058823)</f>
        <v>0.02941176471</v>
      </c>
      <c r="T134" s="16">
        <f>IFERROR(__xludf.DUMMYFUNCTION("""COMPUTED_VALUE"""),0.0384615384615384)</f>
        <v>0.03846153846</v>
      </c>
      <c r="U134" s="16">
        <f>IFERROR(__xludf.DUMMYFUNCTION("""COMPUTED_VALUE"""),0.0384615384615384)</f>
        <v>0.03846153846</v>
      </c>
      <c r="V134" s="16">
        <f>IFERROR(__xludf.DUMMYFUNCTION("""COMPUTED_VALUE"""),0.04)</f>
        <v>0.04</v>
      </c>
      <c r="W134" s="16">
        <f>IFERROR(__xludf.DUMMYFUNCTION("""COMPUTED_VALUE"""),0.0416666666666666)</f>
        <v>0.04166666667</v>
      </c>
      <c r="X134" s="16">
        <f>IFERROR(__xludf.DUMMYFUNCTION("""COMPUTED_VALUE"""),0.0)</f>
        <v>0</v>
      </c>
      <c r="Y134" s="16">
        <f>IFERROR(__xludf.DUMMYFUNCTION("""COMPUTED_VALUE"""),0.0)</f>
        <v>0</v>
      </c>
      <c r="Z134" s="16">
        <f>IFERROR(__xludf.DUMMYFUNCTION("""COMPUTED_VALUE"""),0.0)</f>
        <v>0</v>
      </c>
      <c r="AA134" s="16">
        <f>IFERROR(__xludf.DUMMYFUNCTION("""COMPUTED_VALUE"""),0.0)</f>
        <v>0</v>
      </c>
      <c r="AB134" s="16">
        <f>IFERROR(__xludf.DUMMYFUNCTION("""COMPUTED_VALUE"""),0.0)</f>
        <v>0</v>
      </c>
      <c r="AC134" s="16">
        <f>IFERROR(__xludf.DUMMYFUNCTION("""COMPUTED_VALUE"""),0.0)</f>
        <v>0</v>
      </c>
      <c r="AD134" s="16">
        <f>IFERROR(__xludf.DUMMYFUNCTION("""COMPUTED_VALUE"""),0.0)</f>
        <v>0</v>
      </c>
      <c r="AE134" s="16">
        <f>IFERROR(__xludf.DUMMYFUNCTION("""COMPUTED_VALUE"""),0.0)</f>
        <v>0</v>
      </c>
      <c r="AF134" s="16">
        <f>IFERROR(__xludf.DUMMYFUNCTION("""COMPUTED_VALUE"""),0.0)</f>
        <v>0</v>
      </c>
      <c r="AG134" s="16">
        <f>IFERROR(__xludf.DUMMYFUNCTION("""COMPUTED_VALUE"""),0.0)</f>
        <v>0</v>
      </c>
      <c r="AH134" s="16">
        <f>IFERROR(__xludf.DUMMYFUNCTION("""COMPUTED_VALUE"""),0.0)</f>
        <v>0</v>
      </c>
    </row>
    <row r="135">
      <c r="A135" s="16" t="str">
        <f>IFERROR(__xludf.DUMMYFUNCTION("""COMPUTED_VALUE"""),"6e9cd8b5ce597e73f12a6a180c18888a89f8aac3")</f>
        <v>6e9cd8b5ce597e73f12a6a180c18888a89f8aac3</v>
      </c>
      <c r="B135" s="16" t="str">
        <f>IFERROR(__xludf.DUMMYFUNCTION("""COMPUTED_VALUE"""),"Sovereign Retribution")</f>
        <v>Sovereign Retribution</v>
      </c>
      <c r="C135" s="16" t="str">
        <f>IFERROR(__xludf.DUMMYFUNCTION("""COMPUTED_VALUE"""),"Drama")</f>
        <v>Drama</v>
      </c>
      <c r="D135" s="16">
        <f>IFERROR(__xludf.DUMMYFUNCTION("""COMPUTED_VALUE"""),1102.0)</f>
        <v>1102</v>
      </c>
      <c r="E135" s="16">
        <f>IFERROR(__xludf.DUMMYFUNCTION("""COMPUTED_VALUE"""),0.932849364791288)</f>
        <v>0.9328493648</v>
      </c>
      <c r="F135" s="16">
        <f>IFERROR(__xludf.DUMMYFUNCTION("""COMPUTED_VALUE"""),0.737749546279491)</f>
        <v>0.7377495463</v>
      </c>
      <c r="G135" s="16">
        <f>IFERROR(__xludf.DUMMYFUNCTION("""COMPUTED_VALUE"""),0.7005444646098)</f>
        <v>0.7005444646</v>
      </c>
      <c r="H135" s="16">
        <f>IFERROR(__xludf.DUMMYFUNCTION("""COMPUTED_VALUE"""),0.676043557168784)</f>
        <v>0.6760435572</v>
      </c>
      <c r="I135" s="16">
        <f>IFERROR(__xludf.DUMMYFUNCTION("""COMPUTED_VALUE"""),0.646098003629764)</f>
        <v>0.6460980036</v>
      </c>
      <c r="J135" s="16">
        <f>IFERROR(__xludf.DUMMYFUNCTION("""COMPUTED_VALUE"""),0.637023593466424)</f>
        <v>0.6370235935</v>
      </c>
      <c r="K135" s="16">
        <f>IFERROR(__xludf.DUMMYFUNCTION("""COMPUTED_VALUE"""),0.624886466848319)</f>
        <v>0.6248864668</v>
      </c>
      <c r="L135" s="16">
        <f>IFERROR(__xludf.DUMMYFUNCTION("""COMPUTED_VALUE"""),0.603636363636363)</f>
        <v>0.6036363636</v>
      </c>
      <c r="M135" s="16">
        <f>IFERROR(__xludf.DUMMYFUNCTION("""COMPUTED_VALUE"""),0.586520947176684)</f>
        <v>0.5865209472</v>
      </c>
      <c r="N135" s="16">
        <f>IFERROR(__xludf.DUMMYFUNCTION("""COMPUTED_VALUE"""),0.583788706739526)</f>
        <v>0.5837887067</v>
      </c>
      <c r="O135" s="16">
        <f>IFERROR(__xludf.DUMMYFUNCTION("""COMPUTED_VALUE"""),0.523765144454799)</f>
        <v>0.5237651445</v>
      </c>
      <c r="P135" s="16">
        <f>IFERROR(__xludf.DUMMYFUNCTION("""COMPUTED_VALUE"""),0.412882787750791)</f>
        <v>0.4128827878</v>
      </c>
      <c r="Q135" s="16">
        <f>IFERROR(__xludf.DUMMYFUNCTION("""COMPUTED_VALUE"""),0.276119402985074)</f>
        <v>0.276119403</v>
      </c>
      <c r="R135" s="16">
        <f>IFERROR(__xludf.DUMMYFUNCTION("""COMPUTED_VALUE"""),0.277777777777777)</f>
        <v>0.2777777778</v>
      </c>
      <c r="S135" s="16">
        <f>IFERROR(__xludf.DUMMYFUNCTION("""COMPUTED_VALUE"""),0.333333333333333)</f>
        <v>0.3333333333</v>
      </c>
      <c r="T135" s="16">
        <f>IFERROR(__xludf.DUMMYFUNCTION("""COMPUTED_VALUE"""),0.0)</f>
        <v>0</v>
      </c>
      <c r="U135" s="16">
        <f>IFERROR(__xludf.DUMMYFUNCTION("""COMPUTED_VALUE"""),0.0)</f>
        <v>0</v>
      </c>
      <c r="V135" s="16">
        <f>IFERROR(__xludf.DUMMYFUNCTION("""COMPUTED_VALUE"""),0.0)</f>
        <v>0</v>
      </c>
      <c r="W135" s="16">
        <f>IFERROR(__xludf.DUMMYFUNCTION("""COMPUTED_VALUE"""),0.0)</f>
        <v>0</v>
      </c>
      <c r="X135" s="16">
        <f>IFERROR(__xludf.DUMMYFUNCTION("""COMPUTED_VALUE"""),0.0)</f>
        <v>0</v>
      </c>
      <c r="Y135" s="16">
        <f>IFERROR(__xludf.DUMMYFUNCTION("""COMPUTED_VALUE"""),0.0)</f>
        <v>0</v>
      </c>
      <c r="Z135" s="16">
        <f>IFERROR(__xludf.DUMMYFUNCTION("""COMPUTED_VALUE"""),0.0)</f>
        <v>0</v>
      </c>
      <c r="AA135" s="16">
        <f>IFERROR(__xludf.DUMMYFUNCTION("""COMPUTED_VALUE"""),0.0)</f>
        <v>0</v>
      </c>
      <c r="AB135" s="16">
        <f>IFERROR(__xludf.DUMMYFUNCTION("""COMPUTED_VALUE"""),0.0)</f>
        <v>0</v>
      </c>
      <c r="AC135" s="16">
        <f>IFERROR(__xludf.DUMMYFUNCTION("""COMPUTED_VALUE"""),0.0)</f>
        <v>0</v>
      </c>
      <c r="AD135" s="16">
        <f>IFERROR(__xludf.DUMMYFUNCTION("""COMPUTED_VALUE"""),0.0)</f>
        <v>0</v>
      </c>
      <c r="AE135" s="16">
        <f>IFERROR(__xludf.DUMMYFUNCTION("""COMPUTED_VALUE"""),0.0)</f>
        <v>0</v>
      </c>
      <c r="AF135" s="16">
        <f>IFERROR(__xludf.DUMMYFUNCTION("""COMPUTED_VALUE"""),0.0)</f>
        <v>0</v>
      </c>
      <c r="AG135" s="16">
        <f>IFERROR(__xludf.DUMMYFUNCTION("""COMPUTED_VALUE"""),0.0)</f>
        <v>0</v>
      </c>
      <c r="AH135" s="16">
        <f>IFERROR(__xludf.DUMMYFUNCTION("""COMPUTED_VALUE"""),0.0)</f>
        <v>0</v>
      </c>
    </row>
    <row r="136">
      <c r="A136" s="16" t="str">
        <f>IFERROR(__xludf.DUMMYFUNCTION("""COMPUTED_VALUE"""),"6f82cdfa2792a89aec9172918610c124246ad8bd")</f>
        <v>6f82cdfa2792a89aec9172918610c124246ad8bd</v>
      </c>
      <c r="B136" s="16" t="str">
        <f>IFERROR(__xludf.DUMMYFUNCTION("""COMPUTED_VALUE"""),"Hector's Rise to Power")</f>
        <v>Hector's Rise to Power</v>
      </c>
      <c r="C136" s="16" t="str">
        <f>IFERROR(__xludf.DUMMYFUNCTION("""COMPUTED_VALUE"""),"Drama")</f>
        <v>Drama</v>
      </c>
      <c r="D136" s="16">
        <f>IFERROR(__xludf.DUMMYFUNCTION("""COMPUTED_VALUE"""),253.0)</f>
        <v>253</v>
      </c>
      <c r="E136" s="16">
        <f>IFERROR(__xludf.DUMMYFUNCTION("""COMPUTED_VALUE"""),0.968379446640316)</f>
        <v>0.9683794466</v>
      </c>
      <c r="F136" s="16">
        <f>IFERROR(__xludf.DUMMYFUNCTION("""COMPUTED_VALUE"""),0.731225296442687)</f>
        <v>0.7312252964</v>
      </c>
      <c r="G136" s="16">
        <f>IFERROR(__xludf.DUMMYFUNCTION("""COMPUTED_VALUE"""),0.58893280632411)</f>
        <v>0.5889328063</v>
      </c>
      <c r="H136" s="16">
        <f>IFERROR(__xludf.DUMMYFUNCTION("""COMPUTED_VALUE"""),0.537549407114624)</f>
        <v>0.5375494071</v>
      </c>
      <c r="I136" s="16">
        <f>IFERROR(__xludf.DUMMYFUNCTION("""COMPUTED_VALUE"""),0.46031746031746)</f>
        <v>0.4603174603</v>
      </c>
      <c r="J136" s="16">
        <f>IFERROR(__xludf.DUMMYFUNCTION("""COMPUTED_VALUE"""),0.448)</f>
        <v>0.448</v>
      </c>
      <c r="K136" s="16">
        <f>IFERROR(__xludf.DUMMYFUNCTION("""COMPUTED_VALUE"""),0.403225806451612)</f>
        <v>0.4032258065</v>
      </c>
      <c r="L136" s="16">
        <f>IFERROR(__xludf.DUMMYFUNCTION("""COMPUTED_VALUE"""),0.375)</f>
        <v>0.375</v>
      </c>
      <c r="M136" s="16">
        <f>IFERROR(__xludf.DUMMYFUNCTION("""COMPUTED_VALUE"""),0.34274193548387)</f>
        <v>0.3427419355</v>
      </c>
      <c r="N136" s="16">
        <f>IFERROR(__xludf.DUMMYFUNCTION("""COMPUTED_VALUE"""),0.306451612903225)</f>
        <v>0.3064516129</v>
      </c>
      <c r="O136" s="16">
        <f>IFERROR(__xludf.DUMMYFUNCTION("""COMPUTED_VALUE"""),0.251082251082251)</f>
        <v>0.2510822511</v>
      </c>
      <c r="P136" s="16">
        <f>IFERROR(__xludf.DUMMYFUNCTION("""COMPUTED_VALUE"""),0.127272727272727)</f>
        <v>0.1272727273</v>
      </c>
      <c r="Q136" s="16">
        <f>IFERROR(__xludf.DUMMYFUNCTION("""COMPUTED_VALUE"""),0.0652173913043478)</f>
        <v>0.0652173913</v>
      </c>
      <c r="R136" s="16">
        <f>IFERROR(__xludf.DUMMYFUNCTION("""COMPUTED_VALUE"""),0.0)</f>
        <v>0</v>
      </c>
      <c r="S136" s="16">
        <f>IFERROR(__xludf.DUMMYFUNCTION("""COMPUTED_VALUE"""),0.0)</f>
        <v>0</v>
      </c>
      <c r="T136" s="16">
        <f>IFERROR(__xludf.DUMMYFUNCTION("""COMPUTED_VALUE"""),0.0)</f>
        <v>0</v>
      </c>
      <c r="U136" s="16">
        <f>IFERROR(__xludf.DUMMYFUNCTION("""COMPUTED_VALUE"""),0.0)</f>
        <v>0</v>
      </c>
      <c r="V136" s="16">
        <f>IFERROR(__xludf.DUMMYFUNCTION("""COMPUTED_VALUE"""),0.0)</f>
        <v>0</v>
      </c>
      <c r="W136" s="16">
        <f>IFERROR(__xludf.DUMMYFUNCTION("""COMPUTED_VALUE"""),0.0)</f>
        <v>0</v>
      </c>
      <c r="X136" s="16">
        <f>IFERROR(__xludf.DUMMYFUNCTION("""COMPUTED_VALUE"""),0.0)</f>
        <v>0</v>
      </c>
      <c r="Y136" s="16">
        <f>IFERROR(__xludf.DUMMYFUNCTION("""COMPUTED_VALUE"""),0.0)</f>
        <v>0</v>
      </c>
      <c r="Z136" s="16">
        <f>IFERROR(__xludf.DUMMYFUNCTION("""COMPUTED_VALUE"""),0.0)</f>
        <v>0</v>
      </c>
      <c r="AA136" s="16">
        <f>IFERROR(__xludf.DUMMYFUNCTION("""COMPUTED_VALUE"""),0.0)</f>
        <v>0</v>
      </c>
      <c r="AB136" s="16">
        <f>IFERROR(__xludf.DUMMYFUNCTION("""COMPUTED_VALUE"""),0.0)</f>
        <v>0</v>
      </c>
      <c r="AC136" s="16">
        <f>IFERROR(__xludf.DUMMYFUNCTION("""COMPUTED_VALUE"""),0.0)</f>
        <v>0</v>
      </c>
      <c r="AD136" s="16">
        <f>IFERROR(__xludf.DUMMYFUNCTION("""COMPUTED_VALUE"""),0.0)</f>
        <v>0</v>
      </c>
      <c r="AE136" s="16">
        <f>IFERROR(__xludf.DUMMYFUNCTION("""COMPUTED_VALUE"""),0.0)</f>
        <v>0</v>
      </c>
      <c r="AF136" s="16">
        <f>IFERROR(__xludf.DUMMYFUNCTION("""COMPUTED_VALUE"""),0.0)</f>
        <v>0</v>
      </c>
      <c r="AG136" s="16">
        <f>IFERROR(__xludf.DUMMYFUNCTION("""COMPUTED_VALUE"""),0.0)</f>
        <v>0</v>
      </c>
      <c r="AH136" s="16">
        <f>IFERROR(__xludf.DUMMYFUNCTION("""COMPUTED_VALUE"""),0.0)</f>
        <v>0</v>
      </c>
    </row>
    <row r="137">
      <c r="A137" s="16" t="str">
        <f>IFERROR(__xludf.DUMMYFUNCTION("""COMPUTED_VALUE"""),"6f907f1e2ab28d03dcc8246bf380f11b97d00c06")</f>
        <v>6f907f1e2ab28d03dcc8246bf380f11b97d00c06</v>
      </c>
      <c r="B137" s="16" t="str">
        <f>IFERROR(__xludf.DUMMYFUNCTION("""COMPUTED_VALUE"""),"CEO Inherited Bride ")</f>
        <v>CEO Inherited Bride </v>
      </c>
      <c r="C137" s="16" t="str">
        <f>IFERROR(__xludf.DUMMYFUNCTION("""COMPUTED_VALUE"""),"Romance")</f>
        <v>Romance</v>
      </c>
      <c r="D137" s="16">
        <f>IFERROR(__xludf.DUMMYFUNCTION("""COMPUTED_VALUE"""),60.0)</f>
        <v>60</v>
      </c>
      <c r="E137" s="16">
        <f>IFERROR(__xludf.DUMMYFUNCTION("""COMPUTED_VALUE"""),0.966666666666666)</f>
        <v>0.9666666667</v>
      </c>
      <c r="F137" s="16">
        <f>IFERROR(__xludf.DUMMYFUNCTION("""COMPUTED_VALUE"""),0.616666666666666)</f>
        <v>0.6166666667</v>
      </c>
      <c r="G137" s="16">
        <f>IFERROR(__xludf.DUMMYFUNCTION("""COMPUTED_VALUE"""),0.566666666666666)</f>
        <v>0.5666666667</v>
      </c>
      <c r="H137" s="16">
        <f>IFERROR(__xludf.DUMMYFUNCTION("""COMPUTED_VALUE"""),0.533333333333333)</f>
        <v>0.5333333333</v>
      </c>
      <c r="I137" s="16">
        <f>IFERROR(__xludf.DUMMYFUNCTION("""COMPUTED_VALUE"""),0.5)</f>
        <v>0.5</v>
      </c>
      <c r="J137" s="16">
        <f>IFERROR(__xludf.DUMMYFUNCTION("""COMPUTED_VALUE"""),0.45)</f>
        <v>0.45</v>
      </c>
      <c r="K137" s="16">
        <f>IFERROR(__xludf.DUMMYFUNCTION("""COMPUTED_VALUE"""),0.433333333333333)</f>
        <v>0.4333333333</v>
      </c>
      <c r="L137" s="16">
        <f>IFERROR(__xludf.DUMMYFUNCTION("""COMPUTED_VALUE"""),0.366666666666666)</f>
        <v>0.3666666667</v>
      </c>
      <c r="M137" s="16">
        <f>IFERROR(__xludf.DUMMYFUNCTION("""COMPUTED_VALUE"""),0.333333333333333)</f>
        <v>0.3333333333</v>
      </c>
      <c r="N137" s="16">
        <f>IFERROR(__xludf.DUMMYFUNCTION("""COMPUTED_VALUE"""),0.333333333333333)</f>
        <v>0.3333333333</v>
      </c>
      <c r="O137" s="16">
        <f>IFERROR(__xludf.DUMMYFUNCTION("""COMPUTED_VALUE"""),0.266666666666666)</f>
        <v>0.2666666667</v>
      </c>
      <c r="P137" s="16">
        <f>IFERROR(__xludf.DUMMYFUNCTION("""COMPUTED_VALUE"""),0.271186440677966)</f>
        <v>0.2711864407</v>
      </c>
      <c r="Q137" s="16">
        <f>IFERROR(__xludf.DUMMYFUNCTION("""COMPUTED_VALUE"""),0.209302325581395)</f>
        <v>0.2093023256</v>
      </c>
      <c r="R137" s="16">
        <f>IFERROR(__xludf.DUMMYFUNCTION("""COMPUTED_VALUE"""),0.119047619047619)</f>
        <v>0.119047619</v>
      </c>
      <c r="S137" s="16">
        <f>IFERROR(__xludf.DUMMYFUNCTION("""COMPUTED_VALUE"""),0.0476190476190476)</f>
        <v>0.04761904762</v>
      </c>
      <c r="T137" s="16">
        <f>IFERROR(__xludf.DUMMYFUNCTION("""COMPUTED_VALUE"""),0.0714285714285714)</f>
        <v>0.07142857143</v>
      </c>
      <c r="U137" s="16">
        <f>IFERROR(__xludf.DUMMYFUNCTION("""COMPUTED_VALUE"""),0.0)</f>
        <v>0</v>
      </c>
      <c r="V137" s="16">
        <f>IFERROR(__xludf.DUMMYFUNCTION("""COMPUTED_VALUE"""),0.0)</f>
        <v>0</v>
      </c>
      <c r="W137" s="16">
        <f>IFERROR(__xludf.DUMMYFUNCTION("""COMPUTED_VALUE"""),0.0)</f>
        <v>0</v>
      </c>
      <c r="X137" s="16">
        <f>IFERROR(__xludf.DUMMYFUNCTION("""COMPUTED_VALUE"""),0.0)</f>
        <v>0</v>
      </c>
      <c r="Y137" s="16">
        <f>IFERROR(__xludf.DUMMYFUNCTION("""COMPUTED_VALUE"""),0.0)</f>
        <v>0</v>
      </c>
      <c r="Z137" s="16">
        <f>IFERROR(__xludf.DUMMYFUNCTION("""COMPUTED_VALUE"""),0.0)</f>
        <v>0</v>
      </c>
      <c r="AA137" s="16">
        <f>IFERROR(__xludf.DUMMYFUNCTION("""COMPUTED_VALUE"""),0.0)</f>
        <v>0</v>
      </c>
      <c r="AB137" s="16">
        <f>IFERROR(__xludf.DUMMYFUNCTION("""COMPUTED_VALUE"""),0.0)</f>
        <v>0</v>
      </c>
      <c r="AC137" s="16">
        <f>IFERROR(__xludf.DUMMYFUNCTION("""COMPUTED_VALUE"""),0.0)</f>
        <v>0</v>
      </c>
      <c r="AD137" s="16">
        <f>IFERROR(__xludf.DUMMYFUNCTION("""COMPUTED_VALUE"""),0.0)</f>
        <v>0</v>
      </c>
      <c r="AE137" s="16">
        <f>IFERROR(__xludf.DUMMYFUNCTION("""COMPUTED_VALUE"""),0.0)</f>
        <v>0</v>
      </c>
      <c r="AF137" s="16">
        <f>IFERROR(__xludf.DUMMYFUNCTION("""COMPUTED_VALUE"""),0.0)</f>
        <v>0</v>
      </c>
      <c r="AG137" s="16">
        <f>IFERROR(__xludf.DUMMYFUNCTION("""COMPUTED_VALUE"""),0.0)</f>
        <v>0</v>
      </c>
      <c r="AH137" s="16">
        <f>IFERROR(__xludf.DUMMYFUNCTION("""COMPUTED_VALUE"""),0.0)</f>
        <v>0</v>
      </c>
    </row>
    <row r="138">
      <c r="A138" s="16" t="str">
        <f>IFERROR(__xludf.DUMMYFUNCTION("""COMPUTED_VALUE"""),"71bfacd374965f4c980894477e36ea695b41c609")</f>
        <v>71bfacd374965f4c980894477e36ea695b41c609</v>
      </c>
      <c r="B138" s="16" t="str">
        <f>IFERROR(__xludf.DUMMYFUNCTION("""COMPUTED_VALUE"""),"Bride Who Didn't Want Him")</f>
        <v>Bride Who Didn't Want Him</v>
      </c>
      <c r="C138" s="16" t="str">
        <f>IFERROR(__xludf.DUMMYFUNCTION("""COMPUTED_VALUE"""),"Romance")</f>
        <v>Romance</v>
      </c>
      <c r="D138" s="16">
        <f>IFERROR(__xludf.DUMMYFUNCTION("""COMPUTED_VALUE"""),102.0)</f>
        <v>102</v>
      </c>
      <c r="E138" s="16">
        <f>IFERROR(__xludf.DUMMYFUNCTION("""COMPUTED_VALUE"""),0.970588235294117)</f>
        <v>0.9705882353</v>
      </c>
      <c r="F138" s="16">
        <f>IFERROR(__xludf.DUMMYFUNCTION("""COMPUTED_VALUE"""),0.578431372549019)</f>
        <v>0.5784313725</v>
      </c>
      <c r="G138" s="16">
        <f>IFERROR(__xludf.DUMMYFUNCTION("""COMPUTED_VALUE"""),0.519607843137254)</f>
        <v>0.5196078431</v>
      </c>
      <c r="H138" s="16">
        <f>IFERROR(__xludf.DUMMYFUNCTION("""COMPUTED_VALUE"""),0.5)</f>
        <v>0.5</v>
      </c>
      <c r="I138" s="16">
        <f>IFERROR(__xludf.DUMMYFUNCTION("""COMPUTED_VALUE"""),0.455445544554455)</f>
        <v>0.4554455446</v>
      </c>
      <c r="J138" s="16">
        <f>IFERROR(__xludf.DUMMYFUNCTION("""COMPUTED_VALUE"""),0.465346534653465)</f>
        <v>0.4653465347</v>
      </c>
      <c r="K138" s="16">
        <f>IFERROR(__xludf.DUMMYFUNCTION("""COMPUTED_VALUE"""),0.445544554455445)</f>
        <v>0.4455445545</v>
      </c>
      <c r="L138" s="16">
        <f>IFERROR(__xludf.DUMMYFUNCTION("""COMPUTED_VALUE"""),0.425742574257425)</f>
        <v>0.4257425743</v>
      </c>
      <c r="M138" s="16">
        <f>IFERROR(__xludf.DUMMYFUNCTION("""COMPUTED_VALUE"""),0.396039603960396)</f>
        <v>0.396039604</v>
      </c>
      <c r="N138" s="16">
        <f>IFERROR(__xludf.DUMMYFUNCTION("""COMPUTED_VALUE"""),0.396039603960396)</f>
        <v>0.396039604</v>
      </c>
      <c r="O138" s="16">
        <f>IFERROR(__xludf.DUMMYFUNCTION("""COMPUTED_VALUE"""),0.366336633663366)</f>
        <v>0.3663366337</v>
      </c>
      <c r="P138" s="16">
        <f>IFERROR(__xludf.DUMMYFUNCTION("""COMPUTED_VALUE"""),0.255102040816326)</f>
        <v>0.2551020408</v>
      </c>
      <c r="Q138" s="16">
        <f>IFERROR(__xludf.DUMMYFUNCTION("""COMPUTED_VALUE"""),0.112903225806451)</f>
        <v>0.1129032258</v>
      </c>
      <c r="R138" s="16">
        <f>IFERROR(__xludf.DUMMYFUNCTION("""COMPUTED_VALUE"""),0.0)</f>
        <v>0</v>
      </c>
      <c r="S138" s="16">
        <f>IFERROR(__xludf.DUMMYFUNCTION("""COMPUTED_VALUE"""),0.0)</f>
        <v>0</v>
      </c>
      <c r="T138" s="16">
        <f>IFERROR(__xludf.DUMMYFUNCTION("""COMPUTED_VALUE"""),0.0)</f>
        <v>0</v>
      </c>
      <c r="U138" s="16">
        <f>IFERROR(__xludf.DUMMYFUNCTION("""COMPUTED_VALUE"""),0.0)</f>
        <v>0</v>
      </c>
      <c r="V138" s="16">
        <f>IFERROR(__xludf.DUMMYFUNCTION("""COMPUTED_VALUE"""),0.0)</f>
        <v>0</v>
      </c>
      <c r="W138" s="16">
        <f>IFERROR(__xludf.DUMMYFUNCTION("""COMPUTED_VALUE"""),0.0)</f>
        <v>0</v>
      </c>
      <c r="X138" s="16">
        <f>IFERROR(__xludf.DUMMYFUNCTION("""COMPUTED_VALUE"""),0.0)</f>
        <v>0</v>
      </c>
      <c r="Y138" s="16">
        <f>IFERROR(__xludf.DUMMYFUNCTION("""COMPUTED_VALUE"""),0.0)</f>
        <v>0</v>
      </c>
      <c r="Z138" s="16">
        <f>IFERROR(__xludf.DUMMYFUNCTION("""COMPUTED_VALUE"""),0.0)</f>
        <v>0</v>
      </c>
      <c r="AA138" s="16">
        <f>IFERROR(__xludf.DUMMYFUNCTION("""COMPUTED_VALUE"""),0.0)</f>
        <v>0</v>
      </c>
      <c r="AB138" s="16">
        <f>IFERROR(__xludf.DUMMYFUNCTION("""COMPUTED_VALUE"""),0.0)</f>
        <v>0</v>
      </c>
      <c r="AC138" s="16">
        <f>IFERROR(__xludf.DUMMYFUNCTION("""COMPUTED_VALUE"""),0.0)</f>
        <v>0</v>
      </c>
      <c r="AD138" s="16">
        <f>IFERROR(__xludf.DUMMYFUNCTION("""COMPUTED_VALUE"""),0.0)</f>
        <v>0</v>
      </c>
      <c r="AE138" s="16">
        <f>IFERROR(__xludf.DUMMYFUNCTION("""COMPUTED_VALUE"""),0.0)</f>
        <v>0</v>
      </c>
      <c r="AF138" s="16">
        <f>IFERROR(__xludf.DUMMYFUNCTION("""COMPUTED_VALUE"""),0.0)</f>
        <v>0</v>
      </c>
      <c r="AG138" s="16">
        <f>IFERROR(__xludf.DUMMYFUNCTION("""COMPUTED_VALUE"""),0.0)</f>
        <v>0</v>
      </c>
      <c r="AH138" s="16">
        <f>IFERROR(__xludf.DUMMYFUNCTION("""COMPUTED_VALUE"""),0.0)</f>
        <v>0</v>
      </c>
    </row>
    <row r="139">
      <c r="A139" s="16" t="str">
        <f>IFERROR(__xludf.DUMMYFUNCTION("""COMPUTED_VALUE"""),"730a3d0d6b094f151aed0a3dff6794a1d2fedee3")</f>
        <v>730a3d0d6b094f151aed0a3dff6794a1d2fedee3</v>
      </c>
      <c r="B139" s="16" t="str">
        <f>IFERROR(__xludf.DUMMYFUNCTION("""COMPUTED_VALUE"""),"Her Beauty Is Reborn")</f>
        <v>Her Beauty Is Reborn</v>
      </c>
      <c r="C139" s="16" t="str">
        <f>IFERROR(__xludf.DUMMYFUNCTION("""COMPUTED_VALUE"""),"Romance")</f>
        <v>Romance</v>
      </c>
      <c r="D139" s="16">
        <f>IFERROR(__xludf.DUMMYFUNCTION("""COMPUTED_VALUE"""),1234.0)</f>
        <v>1234</v>
      </c>
      <c r="E139" s="16">
        <f>IFERROR(__xludf.DUMMYFUNCTION("""COMPUTED_VALUE"""),0.910858995137763)</f>
        <v>0.9108589951</v>
      </c>
      <c r="F139" s="16">
        <f>IFERROR(__xludf.DUMMYFUNCTION("""COMPUTED_VALUE"""),0.46677471636953)</f>
        <v>0.4667747164</v>
      </c>
      <c r="G139" s="16">
        <f>IFERROR(__xludf.DUMMYFUNCTION("""COMPUTED_VALUE"""),0.417341977309562)</f>
        <v>0.4173419773</v>
      </c>
      <c r="H139" s="16">
        <f>IFERROR(__xludf.DUMMYFUNCTION("""COMPUTED_VALUE"""),0.385239253852392)</f>
        <v>0.3852392539</v>
      </c>
      <c r="I139" s="16">
        <f>IFERROR(__xludf.DUMMYFUNCTION("""COMPUTED_VALUE"""),0.369829683698296)</f>
        <v>0.3698296837</v>
      </c>
      <c r="J139" s="16">
        <f>IFERROR(__xludf.DUMMYFUNCTION("""COMPUTED_VALUE"""),0.358766233766233)</f>
        <v>0.3587662338</v>
      </c>
      <c r="K139" s="16">
        <f>IFERROR(__xludf.DUMMYFUNCTION("""COMPUTED_VALUE"""),0.34090909090909)</f>
        <v>0.3409090909</v>
      </c>
      <c r="L139" s="16">
        <f>IFERROR(__xludf.DUMMYFUNCTION("""COMPUTED_VALUE"""),0.330625507717303)</f>
        <v>0.3306255077</v>
      </c>
      <c r="M139" s="16">
        <f>IFERROR(__xludf.DUMMYFUNCTION("""COMPUTED_VALUE"""),0.321689683184402)</f>
        <v>0.3216896832</v>
      </c>
      <c r="N139" s="16">
        <f>IFERROR(__xludf.DUMMYFUNCTION("""COMPUTED_VALUE"""),0.31519090170593)</f>
        <v>0.3151909017</v>
      </c>
      <c r="O139" s="16">
        <f>IFERROR(__xludf.DUMMYFUNCTION("""COMPUTED_VALUE"""),0.276872964169381)</f>
        <v>0.2768729642</v>
      </c>
      <c r="P139" s="16">
        <f>IFERROR(__xludf.DUMMYFUNCTION("""COMPUTED_VALUE"""),0.225938009787928)</f>
        <v>0.2259380098</v>
      </c>
      <c r="Q139" s="16">
        <f>IFERROR(__xludf.DUMMYFUNCTION("""COMPUTED_VALUE"""),0.185094185094185)</f>
        <v>0.1850941851</v>
      </c>
      <c r="R139" s="16">
        <f>IFERROR(__xludf.DUMMYFUNCTION("""COMPUTED_VALUE"""),0.153846153846153)</f>
        <v>0.1538461538</v>
      </c>
      <c r="S139" s="16">
        <f>IFERROR(__xludf.DUMMYFUNCTION("""COMPUTED_VALUE"""),0.129655172413793)</f>
        <v>0.1296551724</v>
      </c>
      <c r="T139" s="16">
        <f>IFERROR(__xludf.DUMMYFUNCTION("""COMPUTED_VALUE"""),0.118506493506493)</f>
        <v>0.1185064935</v>
      </c>
      <c r="U139" s="16">
        <f>IFERROR(__xludf.DUMMYFUNCTION("""COMPUTED_VALUE"""),0.106145251396648)</f>
        <v>0.1061452514</v>
      </c>
      <c r="V139" s="16">
        <f>IFERROR(__xludf.DUMMYFUNCTION("""COMPUTED_VALUE"""),0.0750853242320819)</f>
        <v>0.07508532423</v>
      </c>
      <c r="W139" s="16">
        <f>IFERROR(__xludf.DUMMYFUNCTION("""COMPUTED_VALUE"""),0.0769230769230769)</f>
        <v>0.07692307692</v>
      </c>
      <c r="X139" s="16">
        <f>IFERROR(__xludf.DUMMYFUNCTION("""COMPUTED_VALUE"""),0.0686274509803921)</f>
        <v>0.06862745098</v>
      </c>
      <c r="Y139" s="16">
        <f>IFERROR(__xludf.DUMMYFUNCTION("""COMPUTED_VALUE"""),0.0763888888888889)</f>
        <v>0.07638888889</v>
      </c>
      <c r="Z139" s="16">
        <f>IFERROR(__xludf.DUMMYFUNCTION("""COMPUTED_VALUE"""),0.029126213592233)</f>
        <v>0.02912621359</v>
      </c>
      <c r="AA139" s="16">
        <f>IFERROR(__xludf.DUMMYFUNCTION("""COMPUTED_VALUE"""),0.0)</f>
        <v>0</v>
      </c>
      <c r="AB139" s="16">
        <f>IFERROR(__xludf.DUMMYFUNCTION("""COMPUTED_VALUE"""),0.0)</f>
        <v>0</v>
      </c>
      <c r="AC139" s="16">
        <f>IFERROR(__xludf.DUMMYFUNCTION("""COMPUTED_VALUE"""),0.0)</f>
        <v>0</v>
      </c>
      <c r="AD139" s="16">
        <f>IFERROR(__xludf.DUMMYFUNCTION("""COMPUTED_VALUE"""),0.0)</f>
        <v>0</v>
      </c>
      <c r="AE139" s="16">
        <f>IFERROR(__xludf.DUMMYFUNCTION("""COMPUTED_VALUE"""),0.0)</f>
        <v>0</v>
      </c>
      <c r="AF139" s="16">
        <f>IFERROR(__xludf.DUMMYFUNCTION("""COMPUTED_VALUE"""),0.0)</f>
        <v>0</v>
      </c>
      <c r="AG139" s="16">
        <f>IFERROR(__xludf.DUMMYFUNCTION("""COMPUTED_VALUE"""),0.0)</f>
        <v>0</v>
      </c>
      <c r="AH139" s="16">
        <f>IFERROR(__xludf.DUMMYFUNCTION("""COMPUTED_VALUE"""),0.0)</f>
        <v>0</v>
      </c>
    </row>
    <row r="140">
      <c r="A140" s="16" t="str">
        <f>IFERROR(__xludf.DUMMYFUNCTION("""COMPUTED_VALUE"""),"7315dca13e406894d8407cd6d050c5d3b69eec10")</f>
        <v>7315dca13e406894d8407cd6d050c5d3b69eec10</v>
      </c>
      <c r="B140" s="16" t="str">
        <f>IFERROR(__xludf.DUMMYFUNCTION("""COMPUTED_VALUE"""),"The Uncle Who Chose Me")</f>
        <v>The Uncle Who Chose Me</v>
      </c>
      <c r="C140" s="16" t="str">
        <f>IFERROR(__xludf.DUMMYFUNCTION("""COMPUTED_VALUE"""),"Romance")</f>
        <v>Romance</v>
      </c>
      <c r="D140" s="16">
        <f>IFERROR(__xludf.DUMMYFUNCTION("""COMPUTED_VALUE"""),67.0)</f>
        <v>67</v>
      </c>
      <c r="E140" s="16">
        <f>IFERROR(__xludf.DUMMYFUNCTION("""COMPUTED_VALUE"""),0.970149253731343)</f>
        <v>0.9701492537</v>
      </c>
      <c r="F140" s="16">
        <f>IFERROR(__xludf.DUMMYFUNCTION("""COMPUTED_VALUE"""),0.552238805970149)</f>
        <v>0.552238806</v>
      </c>
      <c r="G140" s="16">
        <f>IFERROR(__xludf.DUMMYFUNCTION("""COMPUTED_VALUE"""),0.417910447761194)</f>
        <v>0.4179104478</v>
      </c>
      <c r="H140" s="16">
        <f>IFERROR(__xludf.DUMMYFUNCTION("""COMPUTED_VALUE"""),0.373134328358209)</f>
        <v>0.3731343284</v>
      </c>
      <c r="I140" s="16">
        <f>IFERROR(__xludf.DUMMYFUNCTION("""COMPUTED_VALUE"""),0.35820895522388)</f>
        <v>0.3582089552</v>
      </c>
      <c r="J140" s="16">
        <f>IFERROR(__xludf.DUMMYFUNCTION("""COMPUTED_VALUE"""),0.328358208955223)</f>
        <v>0.328358209</v>
      </c>
      <c r="K140" s="16">
        <f>IFERROR(__xludf.DUMMYFUNCTION("""COMPUTED_VALUE"""),0.343283582089552)</f>
        <v>0.3432835821</v>
      </c>
      <c r="L140" s="16">
        <f>IFERROR(__xludf.DUMMYFUNCTION("""COMPUTED_VALUE"""),0.298507462686567)</f>
        <v>0.2985074627</v>
      </c>
      <c r="M140" s="16">
        <f>IFERROR(__xludf.DUMMYFUNCTION("""COMPUTED_VALUE"""),0.313432835820895)</f>
        <v>0.3134328358</v>
      </c>
      <c r="N140" s="16">
        <f>IFERROR(__xludf.DUMMYFUNCTION("""COMPUTED_VALUE"""),0.298507462686567)</f>
        <v>0.2985074627</v>
      </c>
      <c r="O140" s="16">
        <f>IFERROR(__xludf.DUMMYFUNCTION("""COMPUTED_VALUE"""),0.17910447761194)</f>
        <v>0.1791044776</v>
      </c>
      <c r="P140" s="16">
        <f>IFERROR(__xludf.DUMMYFUNCTION("""COMPUTED_VALUE"""),0.111111111111111)</f>
        <v>0.1111111111</v>
      </c>
      <c r="Q140" s="16">
        <f>IFERROR(__xludf.DUMMYFUNCTION("""COMPUTED_VALUE"""),0.0172413793103448)</f>
        <v>0.01724137931</v>
      </c>
      <c r="R140" s="16">
        <f>IFERROR(__xludf.DUMMYFUNCTION("""COMPUTED_VALUE"""),0.0)</f>
        <v>0</v>
      </c>
      <c r="S140" s="16">
        <f>IFERROR(__xludf.DUMMYFUNCTION("""COMPUTED_VALUE"""),0.0)</f>
        <v>0</v>
      </c>
      <c r="T140" s="16">
        <f>IFERROR(__xludf.DUMMYFUNCTION("""COMPUTED_VALUE"""),0.0)</f>
        <v>0</v>
      </c>
      <c r="U140" s="16">
        <f>IFERROR(__xludf.DUMMYFUNCTION("""COMPUTED_VALUE"""),0.0)</f>
        <v>0</v>
      </c>
      <c r="V140" s="16">
        <f>IFERROR(__xludf.DUMMYFUNCTION("""COMPUTED_VALUE"""),0.0)</f>
        <v>0</v>
      </c>
      <c r="W140" s="16">
        <f>IFERROR(__xludf.DUMMYFUNCTION("""COMPUTED_VALUE"""),0.0)</f>
        <v>0</v>
      </c>
      <c r="X140" s="16">
        <f>IFERROR(__xludf.DUMMYFUNCTION("""COMPUTED_VALUE"""),0.0)</f>
        <v>0</v>
      </c>
      <c r="Y140" s="16">
        <f>IFERROR(__xludf.DUMMYFUNCTION("""COMPUTED_VALUE"""),0.0)</f>
        <v>0</v>
      </c>
      <c r="Z140" s="16">
        <f>IFERROR(__xludf.DUMMYFUNCTION("""COMPUTED_VALUE"""),0.0)</f>
        <v>0</v>
      </c>
      <c r="AA140" s="16">
        <f>IFERROR(__xludf.DUMMYFUNCTION("""COMPUTED_VALUE"""),0.0)</f>
        <v>0</v>
      </c>
      <c r="AB140" s="16">
        <f>IFERROR(__xludf.DUMMYFUNCTION("""COMPUTED_VALUE"""),0.0)</f>
        <v>0</v>
      </c>
      <c r="AC140" s="16">
        <f>IFERROR(__xludf.DUMMYFUNCTION("""COMPUTED_VALUE"""),0.0)</f>
        <v>0</v>
      </c>
      <c r="AD140" s="16">
        <f>IFERROR(__xludf.DUMMYFUNCTION("""COMPUTED_VALUE"""),0.0)</f>
        <v>0</v>
      </c>
      <c r="AE140" s="16">
        <f>IFERROR(__xludf.DUMMYFUNCTION("""COMPUTED_VALUE"""),0.0)</f>
        <v>0</v>
      </c>
      <c r="AF140" s="16">
        <f>IFERROR(__xludf.DUMMYFUNCTION("""COMPUTED_VALUE"""),0.0)</f>
        <v>0</v>
      </c>
      <c r="AG140" s="16">
        <f>IFERROR(__xludf.DUMMYFUNCTION("""COMPUTED_VALUE"""),0.0)</f>
        <v>0</v>
      </c>
      <c r="AH140" s="16">
        <f>IFERROR(__xludf.DUMMYFUNCTION("""COMPUTED_VALUE"""),0.0)</f>
        <v>0</v>
      </c>
    </row>
    <row r="141">
      <c r="A141" s="16" t="str">
        <f>IFERROR(__xludf.DUMMYFUNCTION("""COMPUTED_VALUE"""),"749524eadbd429949b1a44242bd8fb3559f3626c")</f>
        <v>749524eadbd429949b1a44242bd8fb3559f3626c</v>
      </c>
      <c r="B141" s="16" t="str">
        <f>IFERROR(__xludf.DUMMYFUNCTION("""COMPUTED_VALUE"""),"Monarch of His Shadows")</f>
        <v>Monarch of His Shadows</v>
      </c>
      <c r="C141" s="16" t="str">
        <f>IFERROR(__xludf.DUMMYFUNCTION("""COMPUTED_VALUE"""),"Fantasy")</f>
        <v>Fantasy</v>
      </c>
      <c r="D141" s="16">
        <f>IFERROR(__xludf.DUMMYFUNCTION("""COMPUTED_VALUE"""),472.0)</f>
        <v>472</v>
      </c>
      <c r="E141" s="16">
        <f>IFERROR(__xludf.DUMMYFUNCTION("""COMPUTED_VALUE"""),0.972457627118644)</f>
        <v>0.9724576271</v>
      </c>
      <c r="F141" s="16">
        <f>IFERROR(__xludf.DUMMYFUNCTION("""COMPUTED_VALUE"""),0.663135593220339)</f>
        <v>0.6631355932</v>
      </c>
      <c r="G141" s="16">
        <f>IFERROR(__xludf.DUMMYFUNCTION("""COMPUTED_VALUE"""),0.614406779661017)</f>
        <v>0.6144067797</v>
      </c>
      <c r="H141" s="16">
        <f>IFERROR(__xludf.DUMMYFUNCTION("""COMPUTED_VALUE"""),0.558386411889596)</f>
        <v>0.5583864119</v>
      </c>
      <c r="I141" s="16">
        <f>IFERROR(__xludf.DUMMYFUNCTION("""COMPUTED_VALUE"""),0.51380042462845)</f>
        <v>0.5138004246</v>
      </c>
      <c r="J141" s="16">
        <f>IFERROR(__xludf.DUMMYFUNCTION("""COMPUTED_VALUE"""),0.492569002123142)</f>
        <v>0.4925690021</v>
      </c>
      <c r="K141" s="16">
        <f>IFERROR(__xludf.DUMMYFUNCTION("""COMPUTED_VALUE"""),0.469083155650319)</f>
        <v>0.4690831557</v>
      </c>
      <c r="L141" s="16">
        <f>IFERROR(__xludf.DUMMYFUNCTION("""COMPUTED_VALUE"""),0.434968017057569)</f>
        <v>0.4349680171</v>
      </c>
      <c r="M141" s="16">
        <f>IFERROR(__xludf.DUMMYFUNCTION("""COMPUTED_VALUE"""),0.415778251599147)</f>
        <v>0.4157782516</v>
      </c>
      <c r="N141" s="16">
        <f>IFERROR(__xludf.DUMMYFUNCTION("""COMPUTED_VALUE"""),0.405982905982906)</f>
        <v>0.405982906</v>
      </c>
      <c r="O141" s="16">
        <f>IFERROR(__xludf.DUMMYFUNCTION("""COMPUTED_VALUE"""),0.292207792207792)</f>
        <v>0.2922077922</v>
      </c>
      <c r="P141" s="16">
        <f>IFERROR(__xludf.DUMMYFUNCTION("""COMPUTED_VALUE"""),0.164044943820224)</f>
        <v>0.1640449438</v>
      </c>
      <c r="Q141" s="16">
        <f>IFERROR(__xludf.DUMMYFUNCTION("""COMPUTED_VALUE"""),0.0158730158730158)</f>
        <v>0.01587301587</v>
      </c>
      <c r="R141" s="16">
        <f>IFERROR(__xludf.DUMMYFUNCTION("""COMPUTED_VALUE"""),0.0)</f>
        <v>0</v>
      </c>
      <c r="S141" s="16">
        <f>IFERROR(__xludf.DUMMYFUNCTION("""COMPUTED_VALUE"""),0.0)</f>
        <v>0</v>
      </c>
      <c r="T141" s="16">
        <f>IFERROR(__xludf.DUMMYFUNCTION("""COMPUTED_VALUE"""),0.0)</f>
        <v>0</v>
      </c>
      <c r="U141" s="16">
        <f>IFERROR(__xludf.DUMMYFUNCTION("""COMPUTED_VALUE"""),0.0)</f>
        <v>0</v>
      </c>
      <c r="V141" s="16">
        <f>IFERROR(__xludf.DUMMYFUNCTION("""COMPUTED_VALUE"""),0.0)</f>
        <v>0</v>
      </c>
      <c r="W141" s="16">
        <f>IFERROR(__xludf.DUMMYFUNCTION("""COMPUTED_VALUE"""),0.0)</f>
        <v>0</v>
      </c>
      <c r="X141" s="16">
        <f>IFERROR(__xludf.DUMMYFUNCTION("""COMPUTED_VALUE"""),0.0)</f>
        <v>0</v>
      </c>
      <c r="Y141" s="16">
        <f>IFERROR(__xludf.DUMMYFUNCTION("""COMPUTED_VALUE"""),0.0)</f>
        <v>0</v>
      </c>
      <c r="Z141" s="16">
        <f>IFERROR(__xludf.DUMMYFUNCTION("""COMPUTED_VALUE"""),0.0)</f>
        <v>0</v>
      </c>
      <c r="AA141" s="16">
        <f>IFERROR(__xludf.DUMMYFUNCTION("""COMPUTED_VALUE"""),0.0)</f>
        <v>0</v>
      </c>
      <c r="AB141" s="16">
        <f>IFERROR(__xludf.DUMMYFUNCTION("""COMPUTED_VALUE"""),0.0)</f>
        <v>0</v>
      </c>
      <c r="AC141" s="16">
        <f>IFERROR(__xludf.DUMMYFUNCTION("""COMPUTED_VALUE"""),0.0)</f>
        <v>0</v>
      </c>
      <c r="AD141" s="16">
        <f>IFERROR(__xludf.DUMMYFUNCTION("""COMPUTED_VALUE"""),0.0)</f>
        <v>0</v>
      </c>
      <c r="AE141" s="16">
        <f>IFERROR(__xludf.DUMMYFUNCTION("""COMPUTED_VALUE"""),0.0)</f>
        <v>0</v>
      </c>
      <c r="AF141" s="16">
        <f>IFERROR(__xludf.DUMMYFUNCTION("""COMPUTED_VALUE"""),0.0)</f>
        <v>0</v>
      </c>
      <c r="AG141" s="16">
        <f>IFERROR(__xludf.DUMMYFUNCTION("""COMPUTED_VALUE"""),0.0)</f>
        <v>0</v>
      </c>
      <c r="AH141" s="16">
        <f>IFERROR(__xludf.DUMMYFUNCTION("""COMPUTED_VALUE"""),0.0)</f>
        <v>0</v>
      </c>
    </row>
    <row r="142">
      <c r="A142" s="16" t="str">
        <f>IFERROR(__xludf.DUMMYFUNCTION("""COMPUTED_VALUE"""),"75537e31c1c79bdbb6ca1cd286c8e6bcb2697a51")</f>
        <v>75537e31c1c79bdbb6ca1cd286c8e6bcb2697a51</v>
      </c>
      <c r="B142" s="16" t="str">
        <f>IFERROR(__xludf.DUMMYFUNCTION("""COMPUTED_VALUE"""),"The Story of the CEO and the Heiress")</f>
        <v>The Story of the CEO and the Heiress</v>
      </c>
      <c r="C142" s="16" t="str">
        <f>IFERROR(__xludf.DUMMYFUNCTION("""COMPUTED_VALUE"""),"Romance")</f>
        <v>Romance</v>
      </c>
      <c r="D142" s="16">
        <f>IFERROR(__xludf.DUMMYFUNCTION("""COMPUTED_VALUE"""),3109.0)</f>
        <v>3109</v>
      </c>
      <c r="E142" s="16">
        <f>IFERROR(__xludf.DUMMYFUNCTION("""COMPUTED_VALUE"""),0.892569958185911)</f>
        <v>0.8925699582</v>
      </c>
      <c r="F142" s="16">
        <f>IFERROR(__xludf.DUMMYFUNCTION("""COMPUTED_VALUE"""),0.39530395625603)</f>
        <v>0.3953039563</v>
      </c>
      <c r="G142" s="16">
        <f>IFERROR(__xludf.DUMMYFUNCTION("""COMPUTED_VALUE"""),0.328401415246059)</f>
        <v>0.3284014152</v>
      </c>
      <c r="H142" s="16">
        <f>IFERROR(__xludf.DUMMYFUNCTION("""COMPUTED_VALUE"""),0.297166773985833)</f>
        <v>0.297166774</v>
      </c>
      <c r="I142" s="16">
        <f>IFERROR(__xludf.DUMMYFUNCTION("""COMPUTED_VALUE"""),0.272639381243957)</f>
        <v>0.2726393812</v>
      </c>
      <c r="J142" s="16">
        <f>IFERROR(__xludf.DUMMYFUNCTION("""COMPUTED_VALUE"""),0.257512116316639)</f>
        <v>0.2575121163</v>
      </c>
      <c r="K142" s="16">
        <f>IFERROR(__xludf.DUMMYFUNCTION("""COMPUTED_VALUE"""),0.249838187702265)</f>
        <v>0.2498381877</v>
      </c>
      <c r="L142" s="16">
        <f>IFERROR(__xludf.DUMMYFUNCTION("""COMPUTED_VALUE"""),0.243672939649578)</f>
        <v>0.2436729396</v>
      </c>
      <c r="M142" s="16">
        <f>IFERROR(__xludf.DUMMYFUNCTION("""COMPUTED_VALUE"""),0.234319142021449)</f>
        <v>0.234319142</v>
      </c>
      <c r="N142" s="16">
        <f>IFERROR(__xludf.DUMMYFUNCTION("""COMPUTED_VALUE"""),0.224137931034482)</f>
        <v>0.224137931</v>
      </c>
      <c r="O142" s="16">
        <f>IFERROR(__xludf.DUMMYFUNCTION("""COMPUTED_VALUE"""),0.213933618139993)</f>
        <v>0.2139336181</v>
      </c>
      <c r="P142" s="16">
        <f>IFERROR(__xludf.DUMMYFUNCTION("""COMPUTED_VALUE"""),0.182971619365609)</f>
        <v>0.1829716194</v>
      </c>
      <c r="Q142" s="16">
        <f>IFERROR(__xludf.DUMMYFUNCTION("""COMPUTED_VALUE"""),0.139781271360218)</f>
        <v>0.1397812714</v>
      </c>
      <c r="R142" s="16">
        <f>IFERROR(__xludf.DUMMYFUNCTION("""COMPUTED_VALUE"""),0.114059269469331)</f>
        <v>0.1140592695</v>
      </c>
      <c r="S142" s="16">
        <f>IFERROR(__xludf.DUMMYFUNCTION("""COMPUTED_VALUE"""),0.102813476901701)</f>
        <v>0.1028134769</v>
      </c>
      <c r="T142" s="16">
        <f>IFERROR(__xludf.DUMMYFUNCTION("""COMPUTED_VALUE"""),0.0701314965560425)</f>
        <v>0.07013149656</v>
      </c>
      <c r="U142" s="16">
        <f>IFERROR(__xludf.DUMMYFUNCTION("""COMPUTED_VALUE"""),0.0622641509433962)</f>
        <v>0.06226415094</v>
      </c>
      <c r="V142" s="16">
        <f>IFERROR(__xludf.DUMMYFUNCTION("""COMPUTED_VALUE"""),0.0426065162907268)</f>
        <v>0.04260651629</v>
      </c>
      <c r="W142" s="16">
        <f>IFERROR(__xludf.DUMMYFUNCTION("""COMPUTED_VALUE"""),0.0356612184249628)</f>
        <v>0.03566121842</v>
      </c>
      <c r="X142" s="16">
        <f>IFERROR(__xludf.DUMMYFUNCTION("""COMPUTED_VALUE"""),0.0)</f>
        <v>0</v>
      </c>
      <c r="Y142" s="16">
        <f>IFERROR(__xludf.DUMMYFUNCTION("""COMPUTED_VALUE"""),0.0)</f>
        <v>0</v>
      </c>
      <c r="Z142" s="16">
        <f>IFERROR(__xludf.DUMMYFUNCTION("""COMPUTED_VALUE"""),0.0)</f>
        <v>0</v>
      </c>
      <c r="AA142" s="16">
        <f>IFERROR(__xludf.DUMMYFUNCTION("""COMPUTED_VALUE"""),0.0)</f>
        <v>0</v>
      </c>
      <c r="AB142" s="16">
        <f>IFERROR(__xludf.DUMMYFUNCTION("""COMPUTED_VALUE"""),0.0)</f>
        <v>0</v>
      </c>
      <c r="AC142" s="16">
        <f>IFERROR(__xludf.DUMMYFUNCTION("""COMPUTED_VALUE"""),0.0)</f>
        <v>0</v>
      </c>
      <c r="AD142" s="16">
        <f>IFERROR(__xludf.DUMMYFUNCTION("""COMPUTED_VALUE"""),0.0)</f>
        <v>0</v>
      </c>
      <c r="AE142" s="16">
        <f>IFERROR(__xludf.DUMMYFUNCTION("""COMPUTED_VALUE"""),0.0)</f>
        <v>0</v>
      </c>
      <c r="AF142" s="16">
        <f>IFERROR(__xludf.DUMMYFUNCTION("""COMPUTED_VALUE"""),0.0)</f>
        <v>0</v>
      </c>
      <c r="AG142" s="16">
        <f>IFERROR(__xludf.DUMMYFUNCTION("""COMPUTED_VALUE"""),0.0)</f>
        <v>0</v>
      </c>
      <c r="AH142" s="16">
        <f>IFERROR(__xludf.DUMMYFUNCTION("""COMPUTED_VALUE"""),0.0)</f>
        <v>0</v>
      </c>
    </row>
    <row r="143">
      <c r="A143" s="16" t="str">
        <f>IFERROR(__xludf.DUMMYFUNCTION("""COMPUTED_VALUE"""),"767e135d338072c6a947db01691ead3f3174c6e1")</f>
        <v>767e135d338072c6a947db01691ead3f3174c6e1</v>
      </c>
      <c r="B143" s="16" t="str">
        <f>IFERROR(__xludf.DUMMYFUNCTION("""COMPUTED_VALUE"""),"The Hidden Heir Returns")</f>
        <v>The Hidden Heir Returns</v>
      </c>
      <c r="C143" s="16" t="str">
        <f>IFERROR(__xludf.DUMMYFUNCTION("""COMPUTED_VALUE"""),"Drama")</f>
        <v>Drama</v>
      </c>
      <c r="D143" s="16">
        <f>IFERROR(__xludf.DUMMYFUNCTION("""COMPUTED_VALUE"""),8253.0)</f>
        <v>8253</v>
      </c>
      <c r="E143" s="16">
        <f>IFERROR(__xludf.DUMMYFUNCTION("""COMPUTED_VALUE"""),0.803465406518841)</f>
        <v>0.8034654065</v>
      </c>
      <c r="F143" s="16">
        <f>IFERROR(__xludf.DUMMYFUNCTION("""COMPUTED_VALUE"""),0.40361080819096)</f>
        <v>0.4036108082</v>
      </c>
      <c r="G143" s="16">
        <f>IFERROR(__xludf.DUMMYFUNCTION("""COMPUTED_VALUE"""),0.370047255543438)</f>
        <v>0.3700472555</v>
      </c>
      <c r="H143" s="16">
        <f>IFERROR(__xludf.DUMMYFUNCTION("""COMPUTED_VALUE"""),0.337013223341016)</f>
        <v>0.3370132233</v>
      </c>
      <c r="I143" s="16">
        <f>IFERROR(__xludf.DUMMYFUNCTION("""COMPUTED_VALUE"""),0.313238338813786)</f>
        <v>0.3132383388</v>
      </c>
      <c r="J143" s="16">
        <f>IFERROR(__xludf.DUMMYFUNCTION("""COMPUTED_VALUE"""),0.291040215132624)</f>
        <v>0.2910402151</v>
      </c>
      <c r="K143" s="16">
        <f>IFERROR(__xludf.DUMMYFUNCTION("""COMPUTED_VALUE"""),0.281138790035587)</f>
        <v>0.28113879</v>
      </c>
      <c r="L143" s="16">
        <f>IFERROR(__xludf.DUMMYFUNCTION("""COMPUTED_VALUE"""),0.264720435428005)</f>
        <v>0.2647204354</v>
      </c>
      <c r="M143" s="16">
        <f>IFERROR(__xludf.DUMMYFUNCTION("""COMPUTED_VALUE"""),0.253851888667992)</f>
        <v>0.2538518887</v>
      </c>
      <c r="N143" s="16">
        <f>IFERROR(__xludf.DUMMYFUNCTION("""COMPUTED_VALUE"""),0.2423370449143)</f>
        <v>0.2423370449</v>
      </c>
      <c r="O143" s="16">
        <f>IFERROR(__xludf.DUMMYFUNCTION("""COMPUTED_VALUE"""),0.217223153280907)</f>
        <v>0.2172231533</v>
      </c>
      <c r="P143" s="16">
        <f>IFERROR(__xludf.DUMMYFUNCTION("""COMPUTED_VALUE"""),0.193111766282498)</f>
        <v>0.1931117663</v>
      </c>
      <c r="Q143" s="16">
        <f>IFERROR(__xludf.DUMMYFUNCTION("""COMPUTED_VALUE"""),0.151137827393731)</f>
        <v>0.1511378274</v>
      </c>
      <c r="R143" s="16">
        <f>IFERROR(__xludf.DUMMYFUNCTION("""COMPUTED_VALUE"""),0.11437908496732)</f>
        <v>0.114379085</v>
      </c>
      <c r="S143" s="16">
        <f>IFERROR(__xludf.DUMMYFUNCTION("""COMPUTED_VALUE"""),0.092002499218994)</f>
        <v>0.09200249922</v>
      </c>
      <c r="T143" s="16">
        <f>IFERROR(__xludf.DUMMYFUNCTION("""COMPUTED_VALUE"""),0.0758587009604427)</f>
        <v>0.07585870096</v>
      </c>
      <c r="U143" s="16">
        <f>IFERROR(__xludf.DUMMYFUNCTION("""COMPUTED_VALUE"""),0.0676830289830792)</f>
        <v>0.06768302898</v>
      </c>
      <c r="V143" s="16">
        <f>IFERROR(__xludf.DUMMYFUNCTION("""COMPUTED_VALUE"""),0.0591407201252391)</f>
        <v>0.05914072013</v>
      </c>
      <c r="W143" s="16">
        <f>IFERROR(__xludf.DUMMYFUNCTION("""COMPUTED_VALUE"""),0.0529090909090909)</f>
        <v>0.05290909091</v>
      </c>
      <c r="X143" s="16">
        <f>IFERROR(__xludf.DUMMYFUNCTION("""COMPUTED_VALUE"""),0.0541974606784157)</f>
        <v>0.05419746068</v>
      </c>
      <c r="Y143" s="16">
        <f>IFERROR(__xludf.DUMMYFUNCTION("""COMPUTED_VALUE"""),0.0498545101842871)</f>
        <v>0.04985451018</v>
      </c>
      <c r="Z143" s="16">
        <f>IFERROR(__xludf.DUMMYFUNCTION("""COMPUTED_VALUE"""),0.0452201507338357)</f>
        <v>0.04522015073</v>
      </c>
      <c r="AA143" s="16">
        <f>IFERROR(__xludf.DUMMYFUNCTION("""COMPUTED_VALUE"""),0.0406039583758416)</f>
        <v>0.04060395838</v>
      </c>
      <c r="AB143" s="16">
        <f>IFERROR(__xludf.DUMMYFUNCTION("""COMPUTED_VALUE"""),0.0417017691659646)</f>
        <v>0.04170176917</v>
      </c>
      <c r="AC143" s="16">
        <f>IFERROR(__xludf.DUMMYFUNCTION("""COMPUTED_VALUE"""),0.0364900086880973)</f>
        <v>0.03649000869</v>
      </c>
      <c r="AD143" s="16">
        <f>IFERROR(__xludf.DUMMYFUNCTION("""COMPUTED_VALUE"""),0.0304083405734144)</f>
        <v>0.03040834057</v>
      </c>
      <c r="AE143" s="16">
        <f>IFERROR(__xludf.DUMMYFUNCTION("""COMPUTED_VALUE"""),0.0223718505647263)</f>
        <v>0.02237185056</v>
      </c>
      <c r="AF143" s="16">
        <f>IFERROR(__xludf.DUMMYFUNCTION("""COMPUTED_VALUE"""),0.0191138140747176)</f>
        <v>0.01911381407</v>
      </c>
      <c r="AG143" s="16">
        <f>IFERROR(__xludf.DUMMYFUNCTION("""COMPUTED_VALUE"""),0.0178954903364352)</f>
        <v>0.01789549034</v>
      </c>
      <c r="AH143" s="16">
        <f>IFERROR(__xludf.DUMMYFUNCTION("""COMPUTED_VALUE"""),2.81214848143982E-4)</f>
        <v>0.0002812148481</v>
      </c>
    </row>
    <row r="144">
      <c r="A144" s="16" t="str">
        <f>IFERROR(__xludf.DUMMYFUNCTION("""COMPUTED_VALUE"""),"778663539ccabc8ee781b66d2bf6ff6a7f527163")</f>
        <v>778663539ccabc8ee781b66d2bf6ff6a7f527163</v>
      </c>
      <c r="B144" s="16" t="str">
        <f>IFERROR(__xludf.DUMMYFUNCTION("""COMPUTED_VALUE"""),"The Lazuras Engine System")</f>
        <v>The Lazuras Engine System</v>
      </c>
      <c r="C144" s="16" t="str">
        <f>IFERROR(__xludf.DUMMYFUNCTION("""COMPUTED_VALUE"""),"System and Superpower")</f>
        <v>System and Superpower</v>
      </c>
      <c r="D144" s="16">
        <f>IFERROR(__xludf.DUMMYFUNCTION("""COMPUTED_VALUE"""),267.0)</f>
        <v>267</v>
      </c>
      <c r="E144" s="16">
        <f>IFERROR(__xludf.DUMMYFUNCTION("""COMPUTED_VALUE"""),0.936329588014981)</f>
        <v>0.936329588</v>
      </c>
      <c r="F144" s="16">
        <f>IFERROR(__xludf.DUMMYFUNCTION("""COMPUTED_VALUE"""),0.565543071161048)</f>
        <v>0.5655430712</v>
      </c>
      <c r="G144" s="16">
        <f>IFERROR(__xludf.DUMMYFUNCTION("""COMPUTED_VALUE"""),0.46816479400749)</f>
        <v>0.468164794</v>
      </c>
      <c r="H144" s="16">
        <f>IFERROR(__xludf.DUMMYFUNCTION("""COMPUTED_VALUE"""),0.419475655430711)</f>
        <v>0.4194756554</v>
      </c>
      <c r="I144" s="16">
        <f>IFERROR(__xludf.DUMMYFUNCTION("""COMPUTED_VALUE"""),0.385767790262172)</f>
        <v>0.3857677903</v>
      </c>
      <c r="J144" s="16">
        <f>IFERROR(__xludf.DUMMYFUNCTION("""COMPUTED_VALUE"""),0.363295880149812)</f>
        <v>0.3632958801</v>
      </c>
      <c r="K144" s="16">
        <f>IFERROR(__xludf.DUMMYFUNCTION("""COMPUTED_VALUE"""),0.352059925093633)</f>
        <v>0.3520599251</v>
      </c>
      <c r="L144" s="16">
        <f>IFERROR(__xludf.DUMMYFUNCTION("""COMPUTED_VALUE"""),0.340823970037453)</f>
        <v>0.34082397</v>
      </c>
      <c r="M144" s="16">
        <f>IFERROR(__xludf.DUMMYFUNCTION("""COMPUTED_VALUE"""),0.322097378277153)</f>
        <v>0.3220973783</v>
      </c>
      <c r="N144" s="16">
        <f>IFERROR(__xludf.DUMMYFUNCTION("""COMPUTED_VALUE"""),0.299625468164794)</f>
        <v>0.2996254682</v>
      </c>
      <c r="O144" s="16">
        <f>IFERROR(__xludf.DUMMYFUNCTION("""COMPUTED_VALUE"""),0.23394495412844)</f>
        <v>0.2339449541</v>
      </c>
      <c r="P144" s="16">
        <f>IFERROR(__xludf.DUMMYFUNCTION("""COMPUTED_VALUE"""),0.208737864077669)</f>
        <v>0.2087378641</v>
      </c>
      <c r="Q144" s="16">
        <f>IFERROR(__xludf.DUMMYFUNCTION("""COMPUTED_VALUE"""),0.167883211678832)</f>
        <v>0.1678832117</v>
      </c>
      <c r="R144" s="16">
        <f>IFERROR(__xludf.DUMMYFUNCTION("""COMPUTED_VALUE"""),0.0434782608695652)</f>
        <v>0.04347826087</v>
      </c>
      <c r="S144" s="16">
        <f>IFERROR(__xludf.DUMMYFUNCTION("""COMPUTED_VALUE"""),0.0)</f>
        <v>0</v>
      </c>
      <c r="T144" s="16">
        <f>IFERROR(__xludf.DUMMYFUNCTION("""COMPUTED_VALUE"""),0.0)</f>
        <v>0</v>
      </c>
      <c r="U144" s="16">
        <f>IFERROR(__xludf.DUMMYFUNCTION("""COMPUTED_VALUE"""),0.0)</f>
        <v>0</v>
      </c>
      <c r="V144" s="16">
        <f>IFERROR(__xludf.DUMMYFUNCTION("""COMPUTED_VALUE"""),0.0)</f>
        <v>0</v>
      </c>
      <c r="W144" s="16">
        <f>IFERROR(__xludf.DUMMYFUNCTION("""COMPUTED_VALUE"""),0.0)</f>
        <v>0</v>
      </c>
      <c r="X144" s="16">
        <f>IFERROR(__xludf.DUMMYFUNCTION("""COMPUTED_VALUE"""),0.0)</f>
        <v>0</v>
      </c>
      <c r="Y144" s="16">
        <f>IFERROR(__xludf.DUMMYFUNCTION("""COMPUTED_VALUE"""),0.0)</f>
        <v>0</v>
      </c>
      <c r="Z144" s="16">
        <f>IFERROR(__xludf.DUMMYFUNCTION("""COMPUTED_VALUE"""),0.0)</f>
        <v>0</v>
      </c>
      <c r="AA144" s="16">
        <f>IFERROR(__xludf.DUMMYFUNCTION("""COMPUTED_VALUE"""),0.0)</f>
        <v>0</v>
      </c>
      <c r="AB144" s="16">
        <f>IFERROR(__xludf.DUMMYFUNCTION("""COMPUTED_VALUE"""),0.0)</f>
        <v>0</v>
      </c>
      <c r="AC144" s="16">
        <f>IFERROR(__xludf.DUMMYFUNCTION("""COMPUTED_VALUE"""),0.0)</f>
        <v>0</v>
      </c>
      <c r="AD144" s="16">
        <f>IFERROR(__xludf.DUMMYFUNCTION("""COMPUTED_VALUE"""),0.0)</f>
        <v>0</v>
      </c>
      <c r="AE144" s="16">
        <f>IFERROR(__xludf.DUMMYFUNCTION("""COMPUTED_VALUE"""),0.0)</f>
        <v>0</v>
      </c>
      <c r="AF144" s="16">
        <f>IFERROR(__xludf.DUMMYFUNCTION("""COMPUTED_VALUE"""),0.0)</f>
        <v>0</v>
      </c>
      <c r="AG144" s="16">
        <f>IFERROR(__xludf.DUMMYFUNCTION("""COMPUTED_VALUE"""),0.0)</f>
        <v>0</v>
      </c>
      <c r="AH144" s="16">
        <f>IFERROR(__xludf.DUMMYFUNCTION("""COMPUTED_VALUE"""),0.0)</f>
        <v>0</v>
      </c>
    </row>
    <row r="145">
      <c r="A145" s="16" t="str">
        <f>IFERROR(__xludf.DUMMYFUNCTION("""COMPUTED_VALUE"""),"77c25fc29116ebc88dff5390f311fed0e9b28cf4")</f>
        <v>77c25fc29116ebc88dff5390f311fed0e9b28cf4</v>
      </c>
      <c r="B145" s="16" t="str">
        <f>IFERROR(__xludf.DUMMYFUNCTION("""COMPUTED_VALUE"""),"Zaaynn: Birth of a Kingg")</f>
        <v>Zaaynn: Birth of a Kingg</v>
      </c>
      <c r="C145" s="16" t="str">
        <f>IFERROR(__xludf.DUMMYFUNCTION("""COMPUTED_VALUE"""),"Fantasy")</f>
        <v>Fantasy</v>
      </c>
      <c r="D145" s="16">
        <f>IFERROR(__xludf.DUMMYFUNCTION("""COMPUTED_VALUE"""),95.0)</f>
        <v>95</v>
      </c>
      <c r="E145" s="16">
        <f>IFERROR(__xludf.DUMMYFUNCTION("""COMPUTED_VALUE"""),0.947368421052631)</f>
        <v>0.9473684211</v>
      </c>
      <c r="F145" s="16">
        <f>IFERROR(__xludf.DUMMYFUNCTION("""COMPUTED_VALUE"""),0.51578947368421)</f>
        <v>0.5157894737</v>
      </c>
      <c r="G145" s="16">
        <f>IFERROR(__xludf.DUMMYFUNCTION("""COMPUTED_VALUE"""),0.431578947368421)</f>
        <v>0.4315789474</v>
      </c>
      <c r="H145" s="16">
        <f>IFERROR(__xludf.DUMMYFUNCTION("""COMPUTED_VALUE"""),0.370786516853932)</f>
        <v>0.3707865169</v>
      </c>
      <c r="I145" s="16">
        <f>IFERROR(__xludf.DUMMYFUNCTION("""COMPUTED_VALUE"""),0.329268292682926)</f>
        <v>0.3292682927</v>
      </c>
      <c r="J145" s="16">
        <f>IFERROR(__xludf.DUMMYFUNCTION("""COMPUTED_VALUE"""),0.308641975308641)</f>
        <v>0.3086419753</v>
      </c>
      <c r="K145" s="16">
        <f>IFERROR(__xludf.DUMMYFUNCTION("""COMPUTED_VALUE"""),0.32051282051282)</f>
        <v>0.3205128205</v>
      </c>
      <c r="L145" s="16">
        <f>IFERROR(__xludf.DUMMYFUNCTION("""COMPUTED_VALUE"""),0.269230769230769)</f>
        <v>0.2692307692</v>
      </c>
      <c r="M145" s="16">
        <f>IFERROR(__xludf.DUMMYFUNCTION("""COMPUTED_VALUE"""),0.259740259740259)</f>
        <v>0.2597402597</v>
      </c>
      <c r="N145" s="16">
        <f>IFERROR(__xludf.DUMMYFUNCTION("""COMPUTED_VALUE"""),0.289473684210526)</f>
        <v>0.2894736842</v>
      </c>
      <c r="O145" s="16">
        <f>IFERROR(__xludf.DUMMYFUNCTION("""COMPUTED_VALUE"""),0.208955223880597)</f>
        <v>0.2089552239</v>
      </c>
      <c r="P145" s="16">
        <f>IFERROR(__xludf.DUMMYFUNCTION("""COMPUTED_VALUE"""),0.130434782608695)</f>
        <v>0.1304347826</v>
      </c>
      <c r="Q145" s="16">
        <f>IFERROR(__xludf.DUMMYFUNCTION("""COMPUTED_VALUE"""),0.0)</f>
        <v>0</v>
      </c>
      <c r="R145" s="16">
        <f>IFERROR(__xludf.DUMMYFUNCTION("""COMPUTED_VALUE"""),0.0)</f>
        <v>0</v>
      </c>
      <c r="S145" s="16">
        <f>IFERROR(__xludf.DUMMYFUNCTION("""COMPUTED_VALUE"""),0.0)</f>
        <v>0</v>
      </c>
      <c r="T145" s="16">
        <f>IFERROR(__xludf.DUMMYFUNCTION("""COMPUTED_VALUE"""),0.0)</f>
        <v>0</v>
      </c>
      <c r="U145" s="16">
        <f>IFERROR(__xludf.DUMMYFUNCTION("""COMPUTED_VALUE"""),0.0)</f>
        <v>0</v>
      </c>
      <c r="V145" s="16">
        <f>IFERROR(__xludf.DUMMYFUNCTION("""COMPUTED_VALUE"""),0.0)</f>
        <v>0</v>
      </c>
      <c r="W145" s="16">
        <f>IFERROR(__xludf.DUMMYFUNCTION("""COMPUTED_VALUE"""),0.0)</f>
        <v>0</v>
      </c>
      <c r="X145" s="16">
        <f>IFERROR(__xludf.DUMMYFUNCTION("""COMPUTED_VALUE"""),0.0)</f>
        <v>0</v>
      </c>
      <c r="Y145" s="16">
        <f>IFERROR(__xludf.DUMMYFUNCTION("""COMPUTED_VALUE"""),0.0)</f>
        <v>0</v>
      </c>
      <c r="Z145" s="16">
        <f>IFERROR(__xludf.DUMMYFUNCTION("""COMPUTED_VALUE"""),0.0)</f>
        <v>0</v>
      </c>
      <c r="AA145" s="16">
        <f>IFERROR(__xludf.DUMMYFUNCTION("""COMPUTED_VALUE"""),0.0)</f>
        <v>0</v>
      </c>
      <c r="AB145" s="16">
        <f>IFERROR(__xludf.DUMMYFUNCTION("""COMPUTED_VALUE"""),0.0)</f>
        <v>0</v>
      </c>
      <c r="AC145" s="16">
        <f>IFERROR(__xludf.DUMMYFUNCTION("""COMPUTED_VALUE"""),0.0)</f>
        <v>0</v>
      </c>
      <c r="AD145" s="16">
        <f>IFERROR(__xludf.DUMMYFUNCTION("""COMPUTED_VALUE"""),0.0)</f>
        <v>0</v>
      </c>
      <c r="AE145" s="16">
        <f>IFERROR(__xludf.DUMMYFUNCTION("""COMPUTED_VALUE"""),0.0)</f>
        <v>0</v>
      </c>
      <c r="AF145" s="16">
        <f>IFERROR(__xludf.DUMMYFUNCTION("""COMPUTED_VALUE"""),0.0)</f>
        <v>0</v>
      </c>
      <c r="AG145" s="16">
        <f>IFERROR(__xludf.DUMMYFUNCTION("""COMPUTED_VALUE"""),0.0)</f>
        <v>0</v>
      </c>
      <c r="AH145" s="16">
        <f>IFERROR(__xludf.DUMMYFUNCTION("""COMPUTED_VALUE"""),0.0)</f>
        <v>0</v>
      </c>
    </row>
    <row r="146">
      <c r="A146" s="16" t="str">
        <f>IFERROR(__xludf.DUMMYFUNCTION("""COMPUTED_VALUE"""),"7b3a625b0f5bbaa9080a6795b2d70e994716f8a5")</f>
        <v>7b3a625b0f5bbaa9080a6795b2d70e994716f8a5</v>
      </c>
      <c r="B146" s="16" t="str">
        <f>IFERROR(__xludf.DUMMYFUNCTION("""COMPUTED_VALUE"""),"Unexpectedly Yours")</f>
        <v>Unexpectedly Yours</v>
      </c>
      <c r="C146" s="16" t="str">
        <f>IFERROR(__xludf.DUMMYFUNCTION("""COMPUTED_VALUE"""),"Romance")</f>
        <v>Romance</v>
      </c>
      <c r="D146" s="16">
        <f>IFERROR(__xludf.DUMMYFUNCTION("""COMPUTED_VALUE"""),41.0)</f>
        <v>41</v>
      </c>
      <c r="E146" s="16">
        <f>IFERROR(__xludf.DUMMYFUNCTION("""COMPUTED_VALUE"""),0.926829268292683)</f>
        <v>0.9268292683</v>
      </c>
      <c r="F146" s="16">
        <f>IFERROR(__xludf.DUMMYFUNCTION("""COMPUTED_VALUE"""),0.463414634146341)</f>
        <v>0.4634146341</v>
      </c>
      <c r="G146" s="16">
        <f>IFERROR(__xludf.DUMMYFUNCTION("""COMPUTED_VALUE"""),0.414634146341463)</f>
        <v>0.4146341463</v>
      </c>
      <c r="H146" s="16">
        <f>IFERROR(__xludf.DUMMYFUNCTION("""COMPUTED_VALUE"""),0.390243902439024)</f>
        <v>0.3902439024</v>
      </c>
      <c r="I146" s="16">
        <f>IFERROR(__xludf.DUMMYFUNCTION("""COMPUTED_VALUE"""),0.292682926829268)</f>
        <v>0.2926829268</v>
      </c>
      <c r="J146" s="16">
        <f>IFERROR(__xludf.DUMMYFUNCTION("""COMPUTED_VALUE"""),0.243243243243243)</f>
        <v>0.2432432432</v>
      </c>
      <c r="K146" s="16">
        <f>IFERROR(__xludf.DUMMYFUNCTION("""COMPUTED_VALUE"""),0.277777777777777)</f>
        <v>0.2777777778</v>
      </c>
      <c r="L146" s="16">
        <f>IFERROR(__xludf.DUMMYFUNCTION("""COMPUTED_VALUE"""),0.303030303030303)</f>
        <v>0.303030303</v>
      </c>
      <c r="M146" s="16">
        <f>IFERROR(__xludf.DUMMYFUNCTION("""COMPUTED_VALUE"""),0.290322580645161)</f>
        <v>0.2903225806</v>
      </c>
      <c r="N146" s="16">
        <f>IFERROR(__xludf.DUMMYFUNCTION("""COMPUTED_VALUE"""),0.307692307692307)</f>
        <v>0.3076923077</v>
      </c>
      <c r="O146" s="16">
        <f>IFERROR(__xludf.DUMMYFUNCTION("""COMPUTED_VALUE"""),0.0909090909090909)</f>
        <v>0.09090909091</v>
      </c>
      <c r="P146" s="16">
        <f>IFERROR(__xludf.DUMMYFUNCTION("""COMPUTED_VALUE"""),0.0)</f>
        <v>0</v>
      </c>
      <c r="Q146" s="16">
        <f>IFERROR(__xludf.DUMMYFUNCTION("""COMPUTED_VALUE"""),0.0)</f>
        <v>0</v>
      </c>
      <c r="R146" s="16">
        <f>IFERROR(__xludf.DUMMYFUNCTION("""COMPUTED_VALUE"""),0.0)</f>
        <v>0</v>
      </c>
      <c r="S146" s="16">
        <f>IFERROR(__xludf.DUMMYFUNCTION("""COMPUTED_VALUE"""),0.0)</f>
        <v>0</v>
      </c>
      <c r="T146" s="16">
        <f>IFERROR(__xludf.DUMMYFUNCTION("""COMPUTED_VALUE"""),0.0)</f>
        <v>0</v>
      </c>
      <c r="U146" s="16">
        <f>IFERROR(__xludf.DUMMYFUNCTION("""COMPUTED_VALUE"""),0.0)</f>
        <v>0</v>
      </c>
      <c r="V146" s="16">
        <f>IFERROR(__xludf.DUMMYFUNCTION("""COMPUTED_VALUE"""),0.0)</f>
        <v>0</v>
      </c>
      <c r="W146" s="16">
        <f>IFERROR(__xludf.DUMMYFUNCTION("""COMPUTED_VALUE"""),0.0)</f>
        <v>0</v>
      </c>
      <c r="X146" s="16">
        <f>IFERROR(__xludf.DUMMYFUNCTION("""COMPUTED_VALUE"""),0.0)</f>
        <v>0</v>
      </c>
      <c r="Y146" s="16">
        <f>IFERROR(__xludf.DUMMYFUNCTION("""COMPUTED_VALUE"""),0.0)</f>
        <v>0</v>
      </c>
      <c r="Z146" s="16">
        <f>IFERROR(__xludf.DUMMYFUNCTION("""COMPUTED_VALUE"""),0.0)</f>
        <v>0</v>
      </c>
      <c r="AA146" s="16">
        <f>IFERROR(__xludf.DUMMYFUNCTION("""COMPUTED_VALUE"""),0.0)</f>
        <v>0</v>
      </c>
      <c r="AB146" s="16">
        <f>IFERROR(__xludf.DUMMYFUNCTION("""COMPUTED_VALUE"""),0.0)</f>
        <v>0</v>
      </c>
      <c r="AC146" s="16">
        <f>IFERROR(__xludf.DUMMYFUNCTION("""COMPUTED_VALUE"""),0.0)</f>
        <v>0</v>
      </c>
      <c r="AD146" s="16">
        <f>IFERROR(__xludf.DUMMYFUNCTION("""COMPUTED_VALUE"""),0.0)</f>
        <v>0</v>
      </c>
      <c r="AE146" s="16">
        <f>IFERROR(__xludf.DUMMYFUNCTION("""COMPUTED_VALUE"""),0.0)</f>
        <v>0</v>
      </c>
      <c r="AF146" s="16">
        <f>IFERROR(__xludf.DUMMYFUNCTION("""COMPUTED_VALUE"""),0.0)</f>
        <v>0</v>
      </c>
      <c r="AG146" s="16">
        <f>IFERROR(__xludf.DUMMYFUNCTION("""COMPUTED_VALUE"""),0.0)</f>
        <v>0</v>
      </c>
      <c r="AH146" s="16">
        <f>IFERROR(__xludf.DUMMYFUNCTION("""COMPUTED_VALUE"""),0.0)</f>
        <v>0</v>
      </c>
    </row>
    <row r="147">
      <c r="A147" s="16" t="str">
        <f>IFERROR(__xludf.DUMMYFUNCTION("""COMPUTED_VALUE"""),"7c9e3c835e58a5ec8e21381910eaaf785ea5ddfc")</f>
        <v>7c9e3c835e58a5ec8e21381910eaaf785ea5ddfc</v>
      </c>
      <c r="B147" s="16" t="str">
        <f>IFERROR(__xludf.DUMMYFUNCTION("""COMPUTED_VALUE"""),"I Do ... Or Do I? ")</f>
        <v>I Do ... Or Do I? </v>
      </c>
      <c r="C147" s="16" t="str">
        <f>IFERROR(__xludf.DUMMYFUNCTION("""COMPUTED_VALUE"""),"Romance")</f>
        <v>Romance</v>
      </c>
      <c r="D147" s="16">
        <f>IFERROR(__xludf.DUMMYFUNCTION("""COMPUTED_VALUE"""),81.0)</f>
        <v>81</v>
      </c>
      <c r="E147" s="16">
        <f>IFERROR(__xludf.DUMMYFUNCTION("""COMPUTED_VALUE"""),0.938271604938271)</f>
        <v>0.9382716049</v>
      </c>
      <c r="F147" s="16">
        <f>IFERROR(__xludf.DUMMYFUNCTION("""COMPUTED_VALUE"""),0.580246913580246)</f>
        <v>0.5802469136</v>
      </c>
      <c r="G147" s="16">
        <f>IFERROR(__xludf.DUMMYFUNCTION("""COMPUTED_VALUE"""),0.530864197530864)</f>
        <v>0.5308641975</v>
      </c>
      <c r="H147" s="16">
        <f>IFERROR(__xludf.DUMMYFUNCTION("""COMPUTED_VALUE"""),0.481481481481481)</f>
        <v>0.4814814815</v>
      </c>
      <c r="I147" s="16">
        <f>IFERROR(__xludf.DUMMYFUNCTION("""COMPUTED_VALUE"""),0.481481481481481)</f>
        <v>0.4814814815</v>
      </c>
      <c r="J147" s="16">
        <f>IFERROR(__xludf.DUMMYFUNCTION("""COMPUTED_VALUE"""),0.45679012345679)</f>
        <v>0.4567901235</v>
      </c>
      <c r="K147" s="16">
        <f>IFERROR(__xludf.DUMMYFUNCTION("""COMPUTED_VALUE"""),0.407407407407407)</f>
        <v>0.4074074074</v>
      </c>
      <c r="L147" s="16">
        <f>IFERROR(__xludf.DUMMYFUNCTION("""COMPUTED_VALUE"""),0.382716049382716)</f>
        <v>0.3827160494</v>
      </c>
      <c r="M147" s="16">
        <f>IFERROR(__xludf.DUMMYFUNCTION("""COMPUTED_VALUE"""),0.35)</f>
        <v>0.35</v>
      </c>
      <c r="N147" s="16">
        <f>IFERROR(__xludf.DUMMYFUNCTION("""COMPUTED_VALUE"""),0.311688311688311)</f>
        <v>0.3116883117</v>
      </c>
      <c r="O147" s="16">
        <f>IFERROR(__xludf.DUMMYFUNCTION("""COMPUTED_VALUE"""),0.28169014084507)</f>
        <v>0.2816901408</v>
      </c>
      <c r="P147" s="16">
        <f>IFERROR(__xludf.DUMMYFUNCTION("""COMPUTED_VALUE"""),0.192307692307692)</f>
        <v>0.1923076923</v>
      </c>
      <c r="Q147" s="16">
        <f>IFERROR(__xludf.DUMMYFUNCTION("""COMPUTED_VALUE"""),0.25)</f>
        <v>0.25</v>
      </c>
      <c r="R147" s="16">
        <f>IFERROR(__xludf.DUMMYFUNCTION("""COMPUTED_VALUE"""),0.0)</f>
        <v>0</v>
      </c>
      <c r="S147" s="16">
        <f>IFERROR(__xludf.DUMMYFUNCTION("""COMPUTED_VALUE"""),0.0)</f>
        <v>0</v>
      </c>
      <c r="T147" s="16">
        <f>IFERROR(__xludf.DUMMYFUNCTION("""COMPUTED_VALUE"""),0.0)</f>
        <v>0</v>
      </c>
      <c r="U147" s="16">
        <f>IFERROR(__xludf.DUMMYFUNCTION("""COMPUTED_VALUE"""),0.0)</f>
        <v>0</v>
      </c>
      <c r="V147" s="16">
        <f>IFERROR(__xludf.DUMMYFUNCTION("""COMPUTED_VALUE"""),0.0)</f>
        <v>0</v>
      </c>
      <c r="W147" s="16">
        <f>IFERROR(__xludf.DUMMYFUNCTION("""COMPUTED_VALUE"""),0.0)</f>
        <v>0</v>
      </c>
      <c r="X147" s="16">
        <f>IFERROR(__xludf.DUMMYFUNCTION("""COMPUTED_VALUE"""),0.0)</f>
        <v>0</v>
      </c>
      <c r="Y147" s="16">
        <f>IFERROR(__xludf.DUMMYFUNCTION("""COMPUTED_VALUE"""),0.0)</f>
        <v>0</v>
      </c>
      <c r="Z147" s="16">
        <f>IFERROR(__xludf.DUMMYFUNCTION("""COMPUTED_VALUE"""),0.0)</f>
        <v>0</v>
      </c>
      <c r="AA147" s="16">
        <f>IFERROR(__xludf.DUMMYFUNCTION("""COMPUTED_VALUE"""),0.0)</f>
        <v>0</v>
      </c>
      <c r="AB147" s="16">
        <f>IFERROR(__xludf.DUMMYFUNCTION("""COMPUTED_VALUE"""),0.0)</f>
        <v>0</v>
      </c>
      <c r="AC147" s="16">
        <f>IFERROR(__xludf.DUMMYFUNCTION("""COMPUTED_VALUE"""),0.0)</f>
        <v>0</v>
      </c>
      <c r="AD147" s="16">
        <f>IFERROR(__xludf.DUMMYFUNCTION("""COMPUTED_VALUE"""),0.0)</f>
        <v>0</v>
      </c>
      <c r="AE147" s="16">
        <f>IFERROR(__xludf.DUMMYFUNCTION("""COMPUTED_VALUE"""),0.0)</f>
        <v>0</v>
      </c>
      <c r="AF147" s="16">
        <f>IFERROR(__xludf.DUMMYFUNCTION("""COMPUTED_VALUE"""),0.0)</f>
        <v>0</v>
      </c>
      <c r="AG147" s="16">
        <f>IFERROR(__xludf.DUMMYFUNCTION("""COMPUTED_VALUE"""),0.0)</f>
        <v>0</v>
      </c>
      <c r="AH147" s="16">
        <f>IFERROR(__xludf.DUMMYFUNCTION("""COMPUTED_VALUE"""),0.0)</f>
        <v>0</v>
      </c>
    </row>
    <row r="148">
      <c r="A148" s="16" t="str">
        <f>IFERROR(__xludf.DUMMYFUNCTION("""COMPUTED_VALUE"""),"7d18c26c9a61af0d543d74280e7328e01a907988")</f>
        <v>7d18c26c9a61af0d543d74280e7328e01a907988</v>
      </c>
      <c r="B148" s="16" t="str">
        <f>IFERROR(__xludf.DUMMYFUNCTION("""COMPUTED_VALUE"""),"Empire of Love and War")</f>
        <v>Empire of Love and War</v>
      </c>
      <c r="C148" s="16" t="str">
        <f>IFERROR(__xludf.DUMMYFUNCTION("""COMPUTED_VALUE"""),"Romance")</f>
        <v>Romance</v>
      </c>
      <c r="D148" s="16">
        <f>IFERROR(__xludf.DUMMYFUNCTION("""COMPUTED_VALUE"""),990.0)</f>
        <v>990</v>
      </c>
      <c r="E148" s="16">
        <f>IFERROR(__xludf.DUMMYFUNCTION("""COMPUTED_VALUE"""),0.972727272727272)</f>
        <v>0.9727272727</v>
      </c>
      <c r="F148" s="16">
        <f>IFERROR(__xludf.DUMMYFUNCTION("""COMPUTED_VALUE"""),0.508080808080808)</f>
        <v>0.5080808081</v>
      </c>
      <c r="G148" s="16">
        <f>IFERROR(__xludf.DUMMYFUNCTION("""COMPUTED_VALUE"""),0.438383838383838)</f>
        <v>0.4383838384</v>
      </c>
      <c r="H148" s="16">
        <f>IFERROR(__xludf.DUMMYFUNCTION("""COMPUTED_VALUE"""),0.388270980788675)</f>
        <v>0.3882709808</v>
      </c>
      <c r="I148" s="16">
        <f>IFERROR(__xludf.DUMMYFUNCTION("""COMPUTED_VALUE"""),0.356275303643724)</f>
        <v>0.3562753036</v>
      </c>
      <c r="J148" s="16">
        <f>IFERROR(__xludf.DUMMYFUNCTION("""COMPUTED_VALUE"""),0.335025380710659)</f>
        <v>0.3350253807</v>
      </c>
      <c r="K148" s="16">
        <f>IFERROR(__xludf.DUMMYFUNCTION("""COMPUTED_VALUE"""),0.315040650406504)</f>
        <v>0.3150406504</v>
      </c>
      <c r="L148" s="16">
        <f>IFERROR(__xludf.DUMMYFUNCTION("""COMPUTED_VALUE"""),0.293156281920326)</f>
        <v>0.2931562819</v>
      </c>
      <c r="M148" s="16">
        <f>IFERROR(__xludf.DUMMYFUNCTION("""COMPUTED_VALUE"""),0.273565573770491)</f>
        <v>0.2735655738</v>
      </c>
      <c r="N148" s="16">
        <f>IFERROR(__xludf.DUMMYFUNCTION("""COMPUTED_VALUE"""),0.253869969040247)</f>
        <v>0.253869969</v>
      </c>
      <c r="O148" s="16">
        <f>IFERROR(__xludf.DUMMYFUNCTION("""COMPUTED_VALUE"""),0.171584699453551)</f>
        <v>0.1715846995</v>
      </c>
      <c r="P148" s="16">
        <f>IFERROR(__xludf.DUMMYFUNCTION("""COMPUTED_VALUE"""),0.123287671232876)</f>
        <v>0.1232876712</v>
      </c>
      <c r="Q148" s="16">
        <f>IFERROR(__xludf.DUMMYFUNCTION("""COMPUTED_VALUE"""),0.075187969924812)</f>
        <v>0.07518796992</v>
      </c>
      <c r="R148" s="16">
        <f>IFERROR(__xludf.DUMMYFUNCTION("""COMPUTED_VALUE"""),0.0)</f>
        <v>0</v>
      </c>
      <c r="S148" s="16">
        <f>IFERROR(__xludf.DUMMYFUNCTION("""COMPUTED_VALUE"""),0.0)</f>
        <v>0</v>
      </c>
      <c r="T148" s="16">
        <f>IFERROR(__xludf.DUMMYFUNCTION("""COMPUTED_VALUE"""),0.0)</f>
        <v>0</v>
      </c>
      <c r="U148" s="16">
        <f>IFERROR(__xludf.DUMMYFUNCTION("""COMPUTED_VALUE"""),0.0)</f>
        <v>0</v>
      </c>
      <c r="V148" s="16">
        <f>IFERROR(__xludf.DUMMYFUNCTION("""COMPUTED_VALUE"""),0.0)</f>
        <v>0</v>
      </c>
      <c r="W148" s="16">
        <f>IFERROR(__xludf.DUMMYFUNCTION("""COMPUTED_VALUE"""),0.0)</f>
        <v>0</v>
      </c>
      <c r="X148" s="16">
        <f>IFERROR(__xludf.DUMMYFUNCTION("""COMPUTED_VALUE"""),0.0)</f>
        <v>0</v>
      </c>
      <c r="Y148" s="16">
        <f>IFERROR(__xludf.DUMMYFUNCTION("""COMPUTED_VALUE"""),0.0)</f>
        <v>0</v>
      </c>
      <c r="Z148" s="16">
        <f>IFERROR(__xludf.DUMMYFUNCTION("""COMPUTED_VALUE"""),0.0)</f>
        <v>0</v>
      </c>
      <c r="AA148" s="16">
        <f>IFERROR(__xludf.DUMMYFUNCTION("""COMPUTED_VALUE"""),0.0)</f>
        <v>0</v>
      </c>
      <c r="AB148" s="16">
        <f>IFERROR(__xludf.DUMMYFUNCTION("""COMPUTED_VALUE"""),0.0)</f>
        <v>0</v>
      </c>
      <c r="AC148" s="16">
        <f>IFERROR(__xludf.DUMMYFUNCTION("""COMPUTED_VALUE"""),0.0)</f>
        <v>0</v>
      </c>
      <c r="AD148" s="16">
        <f>IFERROR(__xludf.DUMMYFUNCTION("""COMPUTED_VALUE"""),0.0)</f>
        <v>0</v>
      </c>
      <c r="AE148" s="16">
        <f>IFERROR(__xludf.DUMMYFUNCTION("""COMPUTED_VALUE"""),0.0)</f>
        <v>0</v>
      </c>
      <c r="AF148" s="16">
        <f>IFERROR(__xludf.DUMMYFUNCTION("""COMPUTED_VALUE"""),0.0)</f>
        <v>0</v>
      </c>
      <c r="AG148" s="16">
        <f>IFERROR(__xludf.DUMMYFUNCTION("""COMPUTED_VALUE"""),0.0)</f>
        <v>0</v>
      </c>
      <c r="AH148" s="16">
        <f>IFERROR(__xludf.DUMMYFUNCTION("""COMPUTED_VALUE"""),0.0)</f>
        <v>0</v>
      </c>
    </row>
    <row r="149">
      <c r="A149" s="16" t="str">
        <f>IFERROR(__xludf.DUMMYFUNCTION("""COMPUTED_VALUE"""),"7dcd0d4c632448440b17285c811990532a31efec")</f>
        <v>7dcd0d4c632448440b17285c811990532a31efec</v>
      </c>
      <c r="B149" s="16" t="str">
        <f>IFERROR(__xludf.DUMMYFUNCTION("""COMPUTED_VALUE"""),"The Scentless Luna")</f>
        <v>The Scentless Luna</v>
      </c>
      <c r="C149" s="16" t="str">
        <f>IFERROR(__xludf.DUMMYFUNCTION("""COMPUTED_VALUE"""),"Romantasy")</f>
        <v>Romantasy</v>
      </c>
      <c r="D149" s="16">
        <f>IFERROR(__xludf.DUMMYFUNCTION("""COMPUTED_VALUE"""),108.0)</f>
        <v>108</v>
      </c>
      <c r="E149" s="16">
        <f>IFERROR(__xludf.DUMMYFUNCTION("""COMPUTED_VALUE"""),0.99074074074074)</f>
        <v>0.9907407407</v>
      </c>
      <c r="F149" s="16">
        <f>IFERROR(__xludf.DUMMYFUNCTION("""COMPUTED_VALUE"""),0.527777777777777)</f>
        <v>0.5277777778</v>
      </c>
      <c r="G149" s="16">
        <f>IFERROR(__xludf.DUMMYFUNCTION("""COMPUTED_VALUE"""),0.453703703703703)</f>
        <v>0.4537037037</v>
      </c>
      <c r="H149" s="16">
        <f>IFERROR(__xludf.DUMMYFUNCTION("""COMPUTED_VALUE"""),0.392523364485981)</f>
        <v>0.3925233645</v>
      </c>
      <c r="I149" s="16">
        <f>IFERROR(__xludf.DUMMYFUNCTION("""COMPUTED_VALUE"""),0.333333333333333)</f>
        <v>0.3333333333</v>
      </c>
      <c r="J149" s="16">
        <f>IFERROR(__xludf.DUMMYFUNCTION("""COMPUTED_VALUE"""),0.34375)</f>
        <v>0.34375</v>
      </c>
      <c r="K149" s="16">
        <f>IFERROR(__xludf.DUMMYFUNCTION("""COMPUTED_VALUE"""),0.357894736842105)</f>
        <v>0.3578947368</v>
      </c>
      <c r="L149" s="16">
        <f>IFERROR(__xludf.DUMMYFUNCTION("""COMPUTED_VALUE"""),0.333333333333333)</f>
        <v>0.3333333333</v>
      </c>
      <c r="M149" s="16">
        <f>IFERROR(__xludf.DUMMYFUNCTION("""COMPUTED_VALUE"""),0.3)</f>
        <v>0.3</v>
      </c>
      <c r="N149" s="16">
        <f>IFERROR(__xludf.DUMMYFUNCTION("""COMPUTED_VALUE"""),0.259740259740259)</f>
        <v>0.2597402597</v>
      </c>
      <c r="O149" s="16">
        <f>IFERROR(__xludf.DUMMYFUNCTION("""COMPUTED_VALUE"""),0.216216216216216)</f>
        <v>0.2162162162</v>
      </c>
      <c r="P149" s="16">
        <f>IFERROR(__xludf.DUMMYFUNCTION("""COMPUTED_VALUE"""),0.125)</f>
        <v>0.125</v>
      </c>
      <c r="Q149" s="16">
        <f>IFERROR(__xludf.DUMMYFUNCTION("""COMPUTED_VALUE"""),0.108695652173913)</f>
        <v>0.1086956522</v>
      </c>
      <c r="R149" s="16">
        <f>IFERROR(__xludf.DUMMYFUNCTION("""COMPUTED_VALUE"""),0.0)</f>
        <v>0</v>
      </c>
      <c r="S149" s="16">
        <f>IFERROR(__xludf.DUMMYFUNCTION("""COMPUTED_VALUE"""),0.0)</f>
        <v>0</v>
      </c>
      <c r="T149" s="16">
        <f>IFERROR(__xludf.DUMMYFUNCTION("""COMPUTED_VALUE"""),0.0)</f>
        <v>0</v>
      </c>
      <c r="U149" s="16">
        <f>IFERROR(__xludf.DUMMYFUNCTION("""COMPUTED_VALUE"""),0.0)</f>
        <v>0</v>
      </c>
      <c r="V149" s="16">
        <f>IFERROR(__xludf.DUMMYFUNCTION("""COMPUTED_VALUE"""),0.0)</f>
        <v>0</v>
      </c>
      <c r="W149" s="16">
        <f>IFERROR(__xludf.DUMMYFUNCTION("""COMPUTED_VALUE"""),0.0)</f>
        <v>0</v>
      </c>
      <c r="X149" s="16">
        <f>IFERROR(__xludf.DUMMYFUNCTION("""COMPUTED_VALUE"""),0.0)</f>
        <v>0</v>
      </c>
      <c r="Y149" s="16">
        <f>IFERROR(__xludf.DUMMYFUNCTION("""COMPUTED_VALUE"""),0.0)</f>
        <v>0</v>
      </c>
      <c r="Z149" s="16">
        <f>IFERROR(__xludf.DUMMYFUNCTION("""COMPUTED_VALUE"""),0.0)</f>
        <v>0</v>
      </c>
      <c r="AA149" s="16">
        <f>IFERROR(__xludf.DUMMYFUNCTION("""COMPUTED_VALUE"""),0.0)</f>
        <v>0</v>
      </c>
      <c r="AB149" s="16">
        <f>IFERROR(__xludf.DUMMYFUNCTION("""COMPUTED_VALUE"""),0.0)</f>
        <v>0</v>
      </c>
      <c r="AC149" s="16">
        <f>IFERROR(__xludf.DUMMYFUNCTION("""COMPUTED_VALUE"""),0.0)</f>
        <v>0</v>
      </c>
      <c r="AD149" s="16">
        <f>IFERROR(__xludf.DUMMYFUNCTION("""COMPUTED_VALUE"""),0.0)</f>
        <v>0</v>
      </c>
      <c r="AE149" s="16">
        <f>IFERROR(__xludf.DUMMYFUNCTION("""COMPUTED_VALUE"""),0.0)</f>
        <v>0</v>
      </c>
      <c r="AF149" s="16">
        <f>IFERROR(__xludf.DUMMYFUNCTION("""COMPUTED_VALUE"""),0.0)</f>
        <v>0</v>
      </c>
      <c r="AG149" s="16">
        <f>IFERROR(__xludf.DUMMYFUNCTION("""COMPUTED_VALUE"""),0.0)</f>
        <v>0</v>
      </c>
      <c r="AH149" s="16">
        <f>IFERROR(__xludf.DUMMYFUNCTION("""COMPUTED_VALUE"""),0.0)</f>
        <v>0</v>
      </c>
    </row>
    <row r="150">
      <c r="A150" s="16" t="str">
        <f>IFERROR(__xludf.DUMMYFUNCTION("""COMPUTED_VALUE"""),"7fb3b080b1ad8976195f7a18e1df497bc23037fa")</f>
        <v>7fb3b080b1ad8976195f7a18e1df497bc23037fa</v>
      </c>
      <c r="B150" s="16" t="str">
        <f>IFERROR(__xludf.DUMMYFUNCTION("""COMPUTED_VALUE"""),"The Ghostwalker")</f>
        <v>The Ghostwalker</v>
      </c>
      <c r="C150" s="16" t="str">
        <f>IFERROR(__xludf.DUMMYFUNCTION("""COMPUTED_VALUE"""),"Suspense or Thriller")</f>
        <v>Suspense or Thriller</v>
      </c>
      <c r="D150" s="16">
        <f>IFERROR(__xludf.DUMMYFUNCTION("""COMPUTED_VALUE"""),754.0)</f>
        <v>754</v>
      </c>
      <c r="E150" s="16">
        <f>IFERROR(__xludf.DUMMYFUNCTION("""COMPUTED_VALUE"""),0.985411140583554)</f>
        <v>0.9854111406</v>
      </c>
      <c r="F150" s="16">
        <f>IFERROR(__xludf.DUMMYFUNCTION("""COMPUTED_VALUE"""),0.469496021220159)</f>
        <v>0.4694960212</v>
      </c>
      <c r="G150" s="16">
        <f>IFERROR(__xludf.DUMMYFUNCTION("""COMPUTED_VALUE"""),0.368700265251989)</f>
        <v>0.3687002653</v>
      </c>
      <c r="H150" s="16">
        <f>IFERROR(__xludf.DUMMYFUNCTION("""COMPUTED_VALUE"""),0.32313829787234)</f>
        <v>0.3231382979</v>
      </c>
      <c r="I150" s="16">
        <f>IFERROR(__xludf.DUMMYFUNCTION("""COMPUTED_VALUE"""),0.293333333333333)</f>
        <v>0.2933333333</v>
      </c>
      <c r="J150" s="16">
        <f>IFERROR(__xludf.DUMMYFUNCTION("""COMPUTED_VALUE"""),0.258713136729222)</f>
        <v>0.2587131367</v>
      </c>
      <c r="K150" s="16">
        <f>IFERROR(__xludf.DUMMYFUNCTION("""COMPUTED_VALUE"""),0.231493943472409)</f>
        <v>0.2314939435</v>
      </c>
      <c r="L150" s="16">
        <f>IFERROR(__xludf.DUMMYFUNCTION("""COMPUTED_VALUE"""),0.216508795669824)</f>
        <v>0.2165087957</v>
      </c>
      <c r="M150" s="16">
        <f>IFERROR(__xludf.DUMMYFUNCTION("""COMPUTED_VALUE"""),0.195652173913043)</f>
        <v>0.1956521739</v>
      </c>
      <c r="N150" s="16">
        <f>IFERROR(__xludf.DUMMYFUNCTION("""COMPUTED_VALUE"""),0.185694635488308)</f>
        <v>0.1856946355</v>
      </c>
      <c r="O150" s="16">
        <f>IFERROR(__xludf.DUMMYFUNCTION("""COMPUTED_VALUE"""),0.13747954173486)</f>
        <v>0.1374795417</v>
      </c>
      <c r="P150" s="16">
        <f>IFERROR(__xludf.DUMMYFUNCTION("""COMPUTED_VALUE"""),0.132295719844357)</f>
        <v>0.1322957198</v>
      </c>
      <c r="Q150" s="16">
        <f>IFERROR(__xludf.DUMMYFUNCTION("""COMPUTED_VALUE"""),0.0)</f>
        <v>0</v>
      </c>
      <c r="R150" s="16">
        <f>IFERROR(__xludf.DUMMYFUNCTION("""COMPUTED_VALUE"""),0.0)</f>
        <v>0</v>
      </c>
      <c r="S150" s="16">
        <f>IFERROR(__xludf.DUMMYFUNCTION("""COMPUTED_VALUE"""),0.0)</f>
        <v>0</v>
      </c>
      <c r="T150" s="16">
        <f>IFERROR(__xludf.DUMMYFUNCTION("""COMPUTED_VALUE"""),0.0)</f>
        <v>0</v>
      </c>
      <c r="U150" s="16">
        <f>IFERROR(__xludf.DUMMYFUNCTION("""COMPUTED_VALUE"""),0.0)</f>
        <v>0</v>
      </c>
      <c r="V150" s="16">
        <f>IFERROR(__xludf.DUMMYFUNCTION("""COMPUTED_VALUE"""),0.0)</f>
        <v>0</v>
      </c>
      <c r="W150" s="16">
        <f>IFERROR(__xludf.DUMMYFUNCTION("""COMPUTED_VALUE"""),0.0)</f>
        <v>0</v>
      </c>
      <c r="X150" s="16">
        <f>IFERROR(__xludf.DUMMYFUNCTION("""COMPUTED_VALUE"""),0.0)</f>
        <v>0</v>
      </c>
      <c r="Y150" s="16">
        <f>IFERROR(__xludf.DUMMYFUNCTION("""COMPUTED_VALUE"""),0.0)</f>
        <v>0</v>
      </c>
      <c r="Z150" s="16">
        <f>IFERROR(__xludf.DUMMYFUNCTION("""COMPUTED_VALUE"""),0.0)</f>
        <v>0</v>
      </c>
      <c r="AA150" s="16">
        <f>IFERROR(__xludf.DUMMYFUNCTION("""COMPUTED_VALUE"""),0.0)</f>
        <v>0</v>
      </c>
      <c r="AB150" s="16">
        <f>IFERROR(__xludf.DUMMYFUNCTION("""COMPUTED_VALUE"""),0.0)</f>
        <v>0</v>
      </c>
      <c r="AC150" s="16">
        <f>IFERROR(__xludf.DUMMYFUNCTION("""COMPUTED_VALUE"""),0.0)</f>
        <v>0</v>
      </c>
      <c r="AD150" s="16">
        <f>IFERROR(__xludf.DUMMYFUNCTION("""COMPUTED_VALUE"""),0.0)</f>
        <v>0</v>
      </c>
      <c r="AE150" s="16">
        <f>IFERROR(__xludf.DUMMYFUNCTION("""COMPUTED_VALUE"""),0.0)</f>
        <v>0</v>
      </c>
      <c r="AF150" s="16">
        <f>IFERROR(__xludf.DUMMYFUNCTION("""COMPUTED_VALUE"""),0.0)</f>
        <v>0</v>
      </c>
      <c r="AG150" s="16">
        <f>IFERROR(__xludf.DUMMYFUNCTION("""COMPUTED_VALUE"""),0.0)</f>
        <v>0</v>
      </c>
      <c r="AH150" s="16">
        <f>IFERROR(__xludf.DUMMYFUNCTION("""COMPUTED_VALUE"""),0.0)</f>
        <v>0</v>
      </c>
    </row>
    <row r="151">
      <c r="A151" s="16" t="str">
        <f>IFERROR(__xludf.DUMMYFUNCTION("""COMPUTED_VALUE"""),"7fd747e6520471a8653824ad1a2ba2ad33b91835")</f>
        <v>7fd747e6520471a8653824ad1a2ba2ad33b91835</v>
      </c>
      <c r="B151" s="16" t="str">
        <f>IFERROR(__xludf.DUMMYFUNCTION("""COMPUTED_VALUE"""),"Evolution Online")</f>
        <v>Evolution Online</v>
      </c>
      <c r="C151" s="16" t="str">
        <f>IFERROR(__xludf.DUMMYFUNCTION("""COMPUTED_VALUE"""),"Fantasy")</f>
        <v>Fantasy</v>
      </c>
      <c r="D151" s="16">
        <f>IFERROR(__xludf.DUMMYFUNCTION("""COMPUTED_VALUE"""),280.0)</f>
        <v>280</v>
      </c>
      <c r="E151" s="16">
        <f>IFERROR(__xludf.DUMMYFUNCTION("""COMPUTED_VALUE"""),0.967857142857142)</f>
        <v>0.9678571429</v>
      </c>
      <c r="F151" s="16">
        <f>IFERROR(__xludf.DUMMYFUNCTION("""COMPUTED_VALUE"""),0.653571428571428)</f>
        <v>0.6535714286</v>
      </c>
      <c r="G151" s="16">
        <f>IFERROR(__xludf.DUMMYFUNCTION("""COMPUTED_VALUE"""),0.496428571428571)</f>
        <v>0.4964285714</v>
      </c>
      <c r="H151" s="16">
        <f>IFERROR(__xludf.DUMMYFUNCTION("""COMPUTED_VALUE"""),0.480286738351254)</f>
        <v>0.4802867384</v>
      </c>
      <c r="I151" s="16">
        <f>IFERROR(__xludf.DUMMYFUNCTION("""COMPUTED_VALUE"""),0.451612903225806)</f>
        <v>0.4516129032</v>
      </c>
      <c r="J151" s="16">
        <f>IFERROR(__xludf.DUMMYFUNCTION("""COMPUTED_VALUE"""),0.422939068100358)</f>
        <v>0.4229390681</v>
      </c>
      <c r="K151" s="16">
        <f>IFERROR(__xludf.DUMMYFUNCTION("""COMPUTED_VALUE"""),0.390681003584229)</f>
        <v>0.3906810036</v>
      </c>
      <c r="L151" s="16">
        <f>IFERROR(__xludf.DUMMYFUNCTION("""COMPUTED_VALUE"""),0.369565217391304)</f>
        <v>0.3695652174</v>
      </c>
      <c r="M151" s="16">
        <f>IFERROR(__xludf.DUMMYFUNCTION("""COMPUTED_VALUE"""),0.344202898550724)</f>
        <v>0.3442028986</v>
      </c>
      <c r="N151" s="16">
        <f>IFERROR(__xludf.DUMMYFUNCTION("""COMPUTED_VALUE"""),0.318840579710144)</f>
        <v>0.3188405797</v>
      </c>
      <c r="O151" s="16">
        <f>IFERROR(__xludf.DUMMYFUNCTION("""COMPUTED_VALUE"""),0.244)</f>
        <v>0.244</v>
      </c>
      <c r="P151" s="16">
        <f>IFERROR(__xludf.DUMMYFUNCTION("""COMPUTED_VALUE"""),0.21774193548387)</f>
        <v>0.2177419355</v>
      </c>
      <c r="Q151" s="16">
        <f>IFERROR(__xludf.DUMMYFUNCTION("""COMPUTED_VALUE"""),0.176470588235294)</f>
        <v>0.1764705882</v>
      </c>
      <c r="R151" s="16">
        <f>IFERROR(__xludf.DUMMYFUNCTION("""COMPUTED_VALUE"""),0.0)</f>
        <v>0</v>
      </c>
      <c r="S151" s="16">
        <f>IFERROR(__xludf.DUMMYFUNCTION("""COMPUTED_VALUE"""),0.0)</f>
        <v>0</v>
      </c>
      <c r="T151" s="16">
        <f>IFERROR(__xludf.DUMMYFUNCTION("""COMPUTED_VALUE"""),0.0)</f>
        <v>0</v>
      </c>
      <c r="U151" s="16">
        <f>IFERROR(__xludf.DUMMYFUNCTION("""COMPUTED_VALUE"""),0.0)</f>
        <v>0</v>
      </c>
      <c r="V151" s="16">
        <f>IFERROR(__xludf.DUMMYFUNCTION("""COMPUTED_VALUE"""),0.0)</f>
        <v>0</v>
      </c>
      <c r="W151" s="16">
        <f>IFERROR(__xludf.DUMMYFUNCTION("""COMPUTED_VALUE"""),0.0)</f>
        <v>0</v>
      </c>
      <c r="X151" s="16">
        <f>IFERROR(__xludf.DUMMYFUNCTION("""COMPUTED_VALUE"""),0.0)</f>
        <v>0</v>
      </c>
      <c r="Y151" s="16">
        <f>IFERROR(__xludf.DUMMYFUNCTION("""COMPUTED_VALUE"""),0.0)</f>
        <v>0</v>
      </c>
      <c r="Z151" s="16">
        <f>IFERROR(__xludf.DUMMYFUNCTION("""COMPUTED_VALUE"""),0.0)</f>
        <v>0</v>
      </c>
      <c r="AA151" s="16">
        <f>IFERROR(__xludf.DUMMYFUNCTION("""COMPUTED_VALUE"""),0.0)</f>
        <v>0</v>
      </c>
      <c r="AB151" s="16">
        <f>IFERROR(__xludf.DUMMYFUNCTION("""COMPUTED_VALUE"""),0.0)</f>
        <v>0</v>
      </c>
      <c r="AC151" s="16">
        <f>IFERROR(__xludf.DUMMYFUNCTION("""COMPUTED_VALUE"""),0.0)</f>
        <v>0</v>
      </c>
      <c r="AD151" s="16">
        <f>IFERROR(__xludf.DUMMYFUNCTION("""COMPUTED_VALUE"""),0.0)</f>
        <v>0</v>
      </c>
      <c r="AE151" s="16">
        <f>IFERROR(__xludf.DUMMYFUNCTION("""COMPUTED_VALUE"""),0.0)</f>
        <v>0</v>
      </c>
      <c r="AF151" s="16">
        <f>IFERROR(__xludf.DUMMYFUNCTION("""COMPUTED_VALUE"""),0.0)</f>
        <v>0</v>
      </c>
      <c r="AG151" s="16">
        <f>IFERROR(__xludf.DUMMYFUNCTION("""COMPUTED_VALUE"""),0.0)</f>
        <v>0</v>
      </c>
      <c r="AH151" s="16">
        <f>IFERROR(__xludf.DUMMYFUNCTION("""COMPUTED_VALUE"""),0.0)</f>
        <v>0</v>
      </c>
    </row>
    <row r="152">
      <c r="A152" s="16" t="str">
        <f>IFERROR(__xludf.DUMMYFUNCTION("""COMPUTED_VALUE"""),"80e6be6f7d165552c60a2fc7cbf39746d2ab2466")</f>
        <v>80e6be6f7d165552c60a2fc7cbf39746d2ab2466</v>
      </c>
      <c r="B152" s="16" t="str">
        <f>IFERROR(__xludf.DUMMYFUNCTION("""COMPUTED_VALUE"""),"Marked by Him: True Mate")</f>
        <v>Marked by Him: True Mate</v>
      </c>
      <c r="C152" s="16" t="str">
        <f>IFERROR(__xludf.DUMMYFUNCTION("""COMPUTED_VALUE"""),"Romantasy")</f>
        <v>Romantasy</v>
      </c>
      <c r="D152" s="16">
        <f>IFERROR(__xludf.DUMMYFUNCTION("""COMPUTED_VALUE"""),120.0)</f>
        <v>120</v>
      </c>
      <c r="E152" s="16">
        <f>IFERROR(__xludf.DUMMYFUNCTION("""COMPUTED_VALUE"""),0.941666666666666)</f>
        <v>0.9416666667</v>
      </c>
      <c r="F152" s="16">
        <f>IFERROR(__xludf.DUMMYFUNCTION("""COMPUTED_VALUE"""),0.6)</f>
        <v>0.6</v>
      </c>
      <c r="G152" s="16">
        <f>IFERROR(__xludf.DUMMYFUNCTION("""COMPUTED_VALUE"""),0.566666666666666)</f>
        <v>0.5666666667</v>
      </c>
      <c r="H152" s="16">
        <f>IFERROR(__xludf.DUMMYFUNCTION("""COMPUTED_VALUE"""),0.533333333333333)</f>
        <v>0.5333333333</v>
      </c>
      <c r="I152" s="16">
        <f>IFERROR(__xludf.DUMMYFUNCTION("""COMPUTED_VALUE"""),0.525)</f>
        <v>0.525</v>
      </c>
      <c r="J152" s="16">
        <f>IFERROR(__xludf.DUMMYFUNCTION("""COMPUTED_VALUE"""),0.483333333333333)</f>
        <v>0.4833333333</v>
      </c>
      <c r="K152" s="16">
        <f>IFERROR(__xludf.DUMMYFUNCTION("""COMPUTED_VALUE"""),0.495798319327731)</f>
        <v>0.4957983193</v>
      </c>
      <c r="L152" s="16">
        <f>IFERROR(__xludf.DUMMYFUNCTION("""COMPUTED_VALUE"""),0.47457627118644)</f>
        <v>0.4745762712</v>
      </c>
      <c r="M152" s="16">
        <f>IFERROR(__xludf.DUMMYFUNCTION("""COMPUTED_VALUE"""),0.483050847457627)</f>
        <v>0.4830508475</v>
      </c>
      <c r="N152" s="16">
        <f>IFERROR(__xludf.DUMMYFUNCTION("""COMPUTED_VALUE"""),0.47008547008547)</f>
        <v>0.4700854701</v>
      </c>
      <c r="O152" s="16">
        <f>IFERROR(__xludf.DUMMYFUNCTION("""COMPUTED_VALUE"""),0.463636363636363)</f>
        <v>0.4636363636</v>
      </c>
      <c r="P152" s="16">
        <f>IFERROR(__xludf.DUMMYFUNCTION("""COMPUTED_VALUE"""),0.428571428571428)</f>
        <v>0.4285714286</v>
      </c>
      <c r="Q152" s="16">
        <f>IFERROR(__xludf.DUMMYFUNCTION("""COMPUTED_VALUE"""),0.320754716981132)</f>
        <v>0.320754717</v>
      </c>
      <c r="R152" s="16">
        <f>IFERROR(__xludf.DUMMYFUNCTION("""COMPUTED_VALUE"""),0.0)</f>
        <v>0</v>
      </c>
      <c r="S152" s="16">
        <f>IFERROR(__xludf.DUMMYFUNCTION("""COMPUTED_VALUE"""),0.0)</f>
        <v>0</v>
      </c>
      <c r="T152" s="16">
        <f>IFERROR(__xludf.DUMMYFUNCTION("""COMPUTED_VALUE"""),0.0)</f>
        <v>0</v>
      </c>
      <c r="U152" s="16">
        <f>IFERROR(__xludf.DUMMYFUNCTION("""COMPUTED_VALUE"""),0.0)</f>
        <v>0</v>
      </c>
      <c r="V152" s="16">
        <f>IFERROR(__xludf.DUMMYFUNCTION("""COMPUTED_VALUE"""),0.0)</f>
        <v>0</v>
      </c>
      <c r="W152" s="16">
        <f>IFERROR(__xludf.DUMMYFUNCTION("""COMPUTED_VALUE"""),0.0)</f>
        <v>0</v>
      </c>
      <c r="X152" s="16">
        <f>IFERROR(__xludf.DUMMYFUNCTION("""COMPUTED_VALUE"""),0.0)</f>
        <v>0</v>
      </c>
      <c r="Y152" s="16">
        <f>IFERROR(__xludf.DUMMYFUNCTION("""COMPUTED_VALUE"""),0.0)</f>
        <v>0</v>
      </c>
      <c r="Z152" s="16">
        <f>IFERROR(__xludf.DUMMYFUNCTION("""COMPUTED_VALUE"""),0.0)</f>
        <v>0</v>
      </c>
      <c r="AA152" s="16">
        <f>IFERROR(__xludf.DUMMYFUNCTION("""COMPUTED_VALUE"""),0.0)</f>
        <v>0</v>
      </c>
      <c r="AB152" s="16">
        <f>IFERROR(__xludf.DUMMYFUNCTION("""COMPUTED_VALUE"""),0.0)</f>
        <v>0</v>
      </c>
      <c r="AC152" s="16">
        <f>IFERROR(__xludf.DUMMYFUNCTION("""COMPUTED_VALUE"""),0.0)</f>
        <v>0</v>
      </c>
      <c r="AD152" s="16">
        <f>IFERROR(__xludf.DUMMYFUNCTION("""COMPUTED_VALUE"""),0.0)</f>
        <v>0</v>
      </c>
      <c r="AE152" s="16">
        <f>IFERROR(__xludf.DUMMYFUNCTION("""COMPUTED_VALUE"""),0.0)</f>
        <v>0</v>
      </c>
      <c r="AF152" s="16">
        <f>IFERROR(__xludf.DUMMYFUNCTION("""COMPUTED_VALUE"""),0.0)</f>
        <v>0</v>
      </c>
      <c r="AG152" s="16">
        <f>IFERROR(__xludf.DUMMYFUNCTION("""COMPUTED_VALUE"""),0.0)</f>
        <v>0</v>
      </c>
      <c r="AH152" s="16">
        <f>IFERROR(__xludf.DUMMYFUNCTION("""COMPUTED_VALUE"""),0.0)</f>
        <v>0</v>
      </c>
    </row>
    <row r="153">
      <c r="A153" s="16" t="str">
        <f>IFERROR(__xludf.DUMMYFUNCTION("""COMPUTED_VALUE"""),"81f38c054e274dae5e400ec6c2c582118338c065")</f>
        <v>81f38c054e274dae5e400ec6c2c582118338c065</v>
      </c>
      <c r="B153" s="16" t="str">
        <f>IFERROR(__xludf.DUMMYFUNCTION("""COMPUTED_VALUE"""),"Authority System")</f>
        <v>Authority System</v>
      </c>
      <c r="C153" s="16" t="str">
        <f>IFERROR(__xludf.DUMMYFUNCTION("""COMPUTED_VALUE"""),"Fantasy")</f>
        <v>Fantasy</v>
      </c>
      <c r="D153" s="16">
        <f>IFERROR(__xludf.DUMMYFUNCTION("""COMPUTED_VALUE"""),84.0)</f>
        <v>84</v>
      </c>
      <c r="E153" s="16">
        <f>IFERROR(__xludf.DUMMYFUNCTION("""COMPUTED_VALUE"""),0.964285714285714)</f>
        <v>0.9642857143</v>
      </c>
      <c r="F153" s="16">
        <f>IFERROR(__xludf.DUMMYFUNCTION("""COMPUTED_VALUE"""),0.488095238095238)</f>
        <v>0.4880952381</v>
      </c>
      <c r="G153" s="16">
        <f>IFERROR(__xludf.DUMMYFUNCTION("""COMPUTED_VALUE"""),0.44047619047619)</f>
        <v>0.4404761905</v>
      </c>
      <c r="H153" s="16">
        <f>IFERROR(__xludf.DUMMYFUNCTION("""COMPUTED_VALUE"""),0.373493975903614)</f>
        <v>0.3734939759</v>
      </c>
      <c r="I153" s="16">
        <f>IFERROR(__xludf.DUMMYFUNCTION("""COMPUTED_VALUE"""),0.358974358974359)</f>
        <v>0.358974359</v>
      </c>
      <c r="J153" s="16">
        <f>IFERROR(__xludf.DUMMYFUNCTION("""COMPUTED_VALUE"""),0.333333333333333)</f>
        <v>0.3333333333</v>
      </c>
      <c r="K153" s="16">
        <f>IFERROR(__xludf.DUMMYFUNCTION("""COMPUTED_VALUE"""),0.3)</f>
        <v>0.3</v>
      </c>
      <c r="L153" s="16">
        <f>IFERROR(__xludf.DUMMYFUNCTION("""COMPUTED_VALUE"""),0.279411764705882)</f>
        <v>0.2794117647</v>
      </c>
      <c r="M153" s="16">
        <f>IFERROR(__xludf.DUMMYFUNCTION("""COMPUTED_VALUE"""),0.212121212121212)</f>
        <v>0.2121212121</v>
      </c>
      <c r="N153" s="16">
        <f>IFERROR(__xludf.DUMMYFUNCTION("""COMPUTED_VALUE"""),0.212121212121212)</f>
        <v>0.2121212121</v>
      </c>
      <c r="O153" s="16">
        <f>IFERROR(__xludf.DUMMYFUNCTION("""COMPUTED_VALUE"""),0.2)</f>
        <v>0.2</v>
      </c>
      <c r="P153" s="16">
        <f>IFERROR(__xludf.DUMMYFUNCTION("""COMPUTED_VALUE"""),0.333333333333333)</f>
        <v>0.3333333333</v>
      </c>
      <c r="Q153" s="16">
        <f>IFERROR(__xludf.DUMMYFUNCTION("""COMPUTED_VALUE"""),0.0)</f>
        <v>0</v>
      </c>
      <c r="R153" s="16">
        <f>IFERROR(__xludf.DUMMYFUNCTION("""COMPUTED_VALUE"""),0.0)</f>
        <v>0</v>
      </c>
      <c r="S153" s="16">
        <f>IFERROR(__xludf.DUMMYFUNCTION("""COMPUTED_VALUE"""),0.0)</f>
        <v>0</v>
      </c>
      <c r="T153" s="16">
        <f>IFERROR(__xludf.DUMMYFUNCTION("""COMPUTED_VALUE"""),0.0)</f>
        <v>0</v>
      </c>
      <c r="U153" s="16">
        <f>IFERROR(__xludf.DUMMYFUNCTION("""COMPUTED_VALUE"""),0.0)</f>
        <v>0</v>
      </c>
      <c r="V153" s="16">
        <f>IFERROR(__xludf.DUMMYFUNCTION("""COMPUTED_VALUE"""),0.0)</f>
        <v>0</v>
      </c>
      <c r="W153" s="16">
        <f>IFERROR(__xludf.DUMMYFUNCTION("""COMPUTED_VALUE"""),0.0)</f>
        <v>0</v>
      </c>
      <c r="X153" s="16">
        <f>IFERROR(__xludf.DUMMYFUNCTION("""COMPUTED_VALUE"""),0.0)</f>
        <v>0</v>
      </c>
      <c r="Y153" s="16">
        <f>IFERROR(__xludf.DUMMYFUNCTION("""COMPUTED_VALUE"""),0.0)</f>
        <v>0</v>
      </c>
      <c r="Z153" s="16">
        <f>IFERROR(__xludf.DUMMYFUNCTION("""COMPUTED_VALUE"""),0.0)</f>
        <v>0</v>
      </c>
      <c r="AA153" s="16">
        <f>IFERROR(__xludf.DUMMYFUNCTION("""COMPUTED_VALUE"""),0.0)</f>
        <v>0</v>
      </c>
      <c r="AB153" s="16">
        <f>IFERROR(__xludf.DUMMYFUNCTION("""COMPUTED_VALUE"""),0.0)</f>
        <v>0</v>
      </c>
      <c r="AC153" s="16">
        <f>IFERROR(__xludf.DUMMYFUNCTION("""COMPUTED_VALUE"""),0.0)</f>
        <v>0</v>
      </c>
      <c r="AD153" s="16">
        <f>IFERROR(__xludf.DUMMYFUNCTION("""COMPUTED_VALUE"""),0.0)</f>
        <v>0</v>
      </c>
      <c r="AE153" s="16">
        <f>IFERROR(__xludf.DUMMYFUNCTION("""COMPUTED_VALUE"""),0.0)</f>
        <v>0</v>
      </c>
      <c r="AF153" s="16">
        <f>IFERROR(__xludf.DUMMYFUNCTION("""COMPUTED_VALUE"""),0.0)</f>
        <v>0</v>
      </c>
      <c r="AG153" s="16">
        <f>IFERROR(__xludf.DUMMYFUNCTION("""COMPUTED_VALUE"""),0.0)</f>
        <v>0</v>
      </c>
      <c r="AH153" s="16">
        <f>IFERROR(__xludf.DUMMYFUNCTION("""COMPUTED_VALUE"""),0.0)</f>
        <v>0</v>
      </c>
    </row>
    <row r="154">
      <c r="A154" s="16" t="str">
        <f>IFERROR(__xludf.DUMMYFUNCTION("""COMPUTED_VALUE"""),"820e3a2951adfcd3997c3ea5696cb62bc975f0a0")</f>
        <v>820e3a2951adfcd3997c3ea5696cb62bc975f0a0</v>
      </c>
      <c r="B154" s="16" t="str">
        <f>IFERROR(__xludf.DUMMYFUNCTION("""COMPUTED_VALUE"""),"The Return of Master ")</f>
        <v>The Return of Master </v>
      </c>
      <c r="C154" s="16" t="str">
        <f>IFERROR(__xludf.DUMMYFUNCTION("""COMPUTED_VALUE"""),"Fantasy")</f>
        <v>Fantasy</v>
      </c>
      <c r="D154" s="16">
        <f>IFERROR(__xludf.DUMMYFUNCTION("""COMPUTED_VALUE"""),150.0)</f>
        <v>150</v>
      </c>
      <c r="E154" s="16">
        <f>IFERROR(__xludf.DUMMYFUNCTION("""COMPUTED_VALUE"""),0.98)</f>
        <v>0.98</v>
      </c>
      <c r="F154" s="16">
        <f>IFERROR(__xludf.DUMMYFUNCTION("""COMPUTED_VALUE"""),0.693333333333333)</f>
        <v>0.6933333333</v>
      </c>
      <c r="G154" s="16">
        <f>IFERROR(__xludf.DUMMYFUNCTION("""COMPUTED_VALUE"""),0.633333333333333)</f>
        <v>0.6333333333</v>
      </c>
      <c r="H154" s="16">
        <f>IFERROR(__xludf.DUMMYFUNCTION("""COMPUTED_VALUE"""),0.54)</f>
        <v>0.54</v>
      </c>
      <c r="I154" s="16">
        <f>IFERROR(__xludf.DUMMYFUNCTION("""COMPUTED_VALUE"""),0.493333333333333)</f>
        <v>0.4933333333</v>
      </c>
      <c r="J154" s="16">
        <f>IFERROR(__xludf.DUMMYFUNCTION("""COMPUTED_VALUE"""),0.44)</f>
        <v>0.44</v>
      </c>
      <c r="K154" s="16">
        <f>IFERROR(__xludf.DUMMYFUNCTION("""COMPUTED_VALUE"""),0.38)</f>
        <v>0.38</v>
      </c>
      <c r="L154" s="16">
        <f>IFERROR(__xludf.DUMMYFUNCTION("""COMPUTED_VALUE"""),0.353333333333333)</f>
        <v>0.3533333333</v>
      </c>
      <c r="M154" s="16">
        <f>IFERROR(__xludf.DUMMYFUNCTION("""COMPUTED_VALUE"""),0.333333333333333)</f>
        <v>0.3333333333</v>
      </c>
      <c r="N154" s="16">
        <f>IFERROR(__xludf.DUMMYFUNCTION("""COMPUTED_VALUE"""),0.333333333333333)</f>
        <v>0.3333333333</v>
      </c>
      <c r="O154" s="16">
        <f>IFERROR(__xludf.DUMMYFUNCTION("""COMPUTED_VALUE"""),0.23489932885906)</f>
        <v>0.2348993289</v>
      </c>
      <c r="P154" s="16">
        <f>IFERROR(__xludf.DUMMYFUNCTION("""COMPUTED_VALUE"""),0.179310344827586)</f>
        <v>0.1793103448</v>
      </c>
      <c r="Q154" s="16">
        <f>IFERROR(__xludf.DUMMYFUNCTION("""COMPUTED_VALUE"""),0.0769230769230769)</f>
        <v>0.07692307692</v>
      </c>
      <c r="R154" s="16">
        <f>IFERROR(__xludf.DUMMYFUNCTION("""COMPUTED_VALUE"""),0.0)</f>
        <v>0</v>
      </c>
      <c r="S154" s="16">
        <f>IFERROR(__xludf.DUMMYFUNCTION("""COMPUTED_VALUE"""),0.0)</f>
        <v>0</v>
      </c>
      <c r="T154" s="16">
        <f>IFERROR(__xludf.DUMMYFUNCTION("""COMPUTED_VALUE"""),0.0)</f>
        <v>0</v>
      </c>
      <c r="U154" s="16">
        <f>IFERROR(__xludf.DUMMYFUNCTION("""COMPUTED_VALUE"""),0.0)</f>
        <v>0</v>
      </c>
      <c r="V154" s="16">
        <f>IFERROR(__xludf.DUMMYFUNCTION("""COMPUTED_VALUE"""),0.0)</f>
        <v>0</v>
      </c>
      <c r="W154" s="16">
        <f>IFERROR(__xludf.DUMMYFUNCTION("""COMPUTED_VALUE"""),0.0)</f>
        <v>0</v>
      </c>
      <c r="X154" s="16">
        <f>IFERROR(__xludf.DUMMYFUNCTION("""COMPUTED_VALUE"""),0.0)</f>
        <v>0</v>
      </c>
      <c r="Y154" s="16">
        <f>IFERROR(__xludf.DUMMYFUNCTION("""COMPUTED_VALUE"""),0.0)</f>
        <v>0</v>
      </c>
      <c r="Z154" s="16">
        <f>IFERROR(__xludf.DUMMYFUNCTION("""COMPUTED_VALUE"""),0.0)</f>
        <v>0</v>
      </c>
      <c r="AA154" s="16">
        <f>IFERROR(__xludf.DUMMYFUNCTION("""COMPUTED_VALUE"""),0.0)</f>
        <v>0</v>
      </c>
      <c r="AB154" s="16">
        <f>IFERROR(__xludf.DUMMYFUNCTION("""COMPUTED_VALUE"""),0.0)</f>
        <v>0</v>
      </c>
      <c r="AC154" s="16">
        <f>IFERROR(__xludf.DUMMYFUNCTION("""COMPUTED_VALUE"""),0.0)</f>
        <v>0</v>
      </c>
      <c r="AD154" s="16">
        <f>IFERROR(__xludf.DUMMYFUNCTION("""COMPUTED_VALUE"""),0.0)</f>
        <v>0</v>
      </c>
      <c r="AE154" s="16">
        <f>IFERROR(__xludf.DUMMYFUNCTION("""COMPUTED_VALUE"""),0.0)</f>
        <v>0</v>
      </c>
      <c r="AF154" s="16">
        <f>IFERROR(__xludf.DUMMYFUNCTION("""COMPUTED_VALUE"""),0.0)</f>
        <v>0</v>
      </c>
      <c r="AG154" s="16">
        <f>IFERROR(__xludf.DUMMYFUNCTION("""COMPUTED_VALUE"""),0.0)</f>
        <v>0</v>
      </c>
      <c r="AH154" s="16">
        <f>IFERROR(__xludf.DUMMYFUNCTION("""COMPUTED_VALUE"""),0.0)</f>
        <v>0</v>
      </c>
    </row>
    <row r="155">
      <c r="A155" s="16" t="str">
        <f>IFERROR(__xludf.DUMMYFUNCTION("""COMPUTED_VALUE"""),"82ff8ba01d1e1fbcea7c734b687b1a9ff858733d")</f>
        <v>82ff8ba01d1e1fbcea7c734b687b1a9ff858733d</v>
      </c>
      <c r="B155" s="16" t="str">
        <f>IFERROR(__xludf.DUMMYFUNCTION("""COMPUTED_VALUE"""),"Twin Realms Traveler")</f>
        <v>Twin Realms Traveler</v>
      </c>
      <c r="C155" s="16" t="str">
        <f>IFERROR(__xludf.DUMMYFUNCTION("""COMPUTED_VALUE"""),"System and Superpower")</f>
        <v>System and Superpower</v>
      </c>
      <c r="D155" s="16">
        <f>IFERROR(__xludf.DUMMYFUNCTION("""COMPUTED_VALUE"""),45.0)</f>
        <v>45</v>
      </c>
      <c r="E155" s="16">
        <f>IFERROR(__xludf.DUMMYFUNCTION("""COMPUTED_VALUE"""),1.0)</f>
        <v>1</v>
      </c>
      <c r="F155" s="16">
        <f>IFERROR(__xludf.DUMMYFUNCTION("""COMPUTED_VALUE"""),0.288888888888888)</f>
        <v>0.2888888889</v>
      </c>
      <c r="G155" s="16">
        <f>IFERROR(__xludf.DUMMYFUNCTION("""COMPUTED_VALUE"""),0.244444444444444)</f>
        <v>0.2444444444</v>
      </c>
      <c r="H155" s="16">
        <f>IFERROR(__xludf.DUMMYFUNCTION("""COMPUTED_VALUE"""),0.244444444444444)</f>
        <v>0.2444444444</v>
      </c>
      <c r="I155" s="16">
        <f>IFERROR(__xludf.DUMMYFUNCTION("""COMPUTED_VALUE"""),0.2)</f>
        <v>0.2</v>
      </c>
      <c r="J155" s="16">
        <f>IFERROR(__xludf.DUMMYFUNCTION("""COMPUTED_VALUE"""),0.177777777777777)</f>
        <v>0.1777777778</v>
      </c>
      <c r="K155" s="16">
        <f>IFERROR(__xludf.DUMMYFUNCTION("""COMPUTED_VALUE"""),0.177777777777777)</f>
        <v>0.1777777778</v>
      </c>
      <c r="L155" s="16">
        <f>IFERROR(__xludf.DUMMYFUNCTION("""COMPUTED_VALUE"""),0.177777777777777)</f>
        <v>0.1777777778</v>
      </c>
      <c r="M155" s="16">
        <f>IFERROR(__xludf.DUMMYFUNCTION("""COMPUTED_VALUE"""),0.177777777777777)</f>
        <v>0.1777777778</v>
      </c>
      <c r="N155" s="16">
        <f>IFERROR(__xludf.DUMMYFUNCTION("""COMPUTED_VALUE"""),0.159090909090909)</f>
        <v>0.1590909091</v>
      </c>
      <c r="O155" s="16">
        <f>IFERROR(__xludf.DUMMYFUNCTION("""COMPUTED_VALUE"""),0.13953488372093)</f>
        <v>0.1395348837</v>
      </c>
      <c r="P155" s="16">
        <f>IFERROR(__xludf.DUMMYFUNCTION("""COMPUTED_VALUE"""),0.116279069767441)</f>
        <v>0.1162790698</v>
      </c>
      <c r="Q155" s="16">
        <f>IFERROR(__xludf.DUMMYFUNCTION("""COMPUTED_VALUE"""),0.0975609756097561)</f>
        <v>0.09756097561</v>
      </c>
      <c r="R155" s="16">
        <f>IFERROR(__xludf.DUMMYFUNCTION("""COMPUTED_VALUE"""),0.108108108108108)</f>
        <v>0.1081081081</v>
      </c>
      <c r="S155" s="16">
        <f>IFERROR(__xludf.DUMMYFUNCTION("""COMPUTED_VALUE"""),0.117647058823529)</f>
        <v>0.1176470588</v>
      </c>
      <c r="T155" s="16">
        <f>IFERROR(__xludf.DUMMYFUNCTION("""COMPUTED_VALUE"""),0.166666666666666)</f>
        <v>0.1666666667</v>
      </c>
      <c r="U155" s="16">
        <f>IFERROR(__xludf.DUMMYFUNCTION("""COMPUTED_VALUE"""),0.222222222222222)</f>
        <v>0.2222222222</v>
      </c>
      <c r="V155" s="16">
        <f>IFERROR(__xludf.DUMMYFUNCTION("""COMPUTED_VALUE"""),0.0)</f>
        <v>0</v>
      </c>
      <c r="W155" s="16">
        <f>IFERROR(__xludf.DUMMYFUNCTION("""COMPUTED_VALUE"""),0.0)</f>
        <v>0</v>
      </c>
      <c r="X155" s="16">
        <f>IFERROR(__xludf.DUMMYFUNCTION("""COMPUTED_VALUE"""),0.0)</f>
        <v>0</v>
      </c>
      <c r="Y155" s="16">
        <f>IFERROR(__xludf.DUMMYFUNCTION("""COMPUTED_VALUE"""),0.0)</f>
        <v>0</v>
      </c>
      <c r="Z155" s="16">
        <f>IFERROR(__xludf.DUMMYFUNCTION("""COMPUTED_VALUE"""),0.0)</f>
        <v>0</v>
      </c>
      <c r="AA155" s="16">
        <f>IFERROR(__xludf.DUMMYFUNCTION("""COMPUTED_VALUE"""),0.0)</f>
        <v>0</v>
      </c>
      <c r="AB155" s="16">
        <f>IFERROR(__xludf.DUMMYFUNCTION("""COMPUTED_VALUE"""),0.0)</f>
        <v>0</v>
      </c>
      <c r="AC155" s="16">
        <f>IFERROR(__xludf.DUMMYFUNCTION("""COMPUTED_VALUE"""),0.0)</f>
        <v>0</v>
      </c>
      <c r="AD155" s="16">
        <f>IFERROR(__xludf.DUMMYFUNCTION("""COMPUTED_VALUE"""),0.0)</f>
        <v>0</v>
      </c>
      <c r="AE155" s="16">
        <f>IFERROR(__xludf.DUMMYFUNCTION("""COMPUTED_VALUE"""),0.0)</f>
        <v>0</v>
      </c>
      <c r="AF155" s="16">
        <f>IFERROR(__xludf.DUMMYFUNCTION("""COMPUTED_VALUE"""),0.0)</f>
        <v>0</v>
      </c>
      <c r="AG155" s="16">
        <f>IFERROR(__xludf.DUMMYFUNCTION("""COMPUTED_VALUE"""),0.0)</f>
        <v>0</v>
      </c>
      <c r="AH155" s="16">
        <f>IFERROR(__xludf.DUMMYFUNCTION("""COMPUTED_VALUE"""),0.0)</f>
        <v>0</v>
      </c>
    </row>
    <row r="156">
      <c r="A156" s="16" t="str">
        <f>IFERROR(__xludf.DUMMYFUNCTION("""COMPUTED_VALUE"""),"84289ce4a2b527c3aa47651760eaff877da6adad")</f>
        <v>84289ce4a2b527c3aa47651760eaff877da6adad</v>
      </c>
      <c r="B156" s="16" t="str">
        <f>IFERROR(__xludf.DUMMYFUNCTION("""COMPUTED_VALUE"""),"Contracted by Love")</f>
        <v>Contracted by Love</v>
      </c>
      <c r="C156" s="16" t="str">
        <f>IFERROR(__xludf.DUMMYFUNCTION("""COMPUTED_VALUE"""),"Romance")</f>
        <v>Romance</v>
      </c>
      <c r="D156" s="16">
        <f>IFERROR(__xludf.DUMMYFUNCTION("""COMPUTED_VALUE"""),69.0)</f>
        <v>69</v>
      </c>
      <c r="E156" s="16">
        <f>IFERROR(__xludf.DUMMYFUNCTION("""COMPUTED_VALUE"""),1.0)</f>
        <v>1</v>
      </c>
      <c r="F156" s="16">
        <f>IFERROR(__xludf.DUMMYFUNCTION("""COMPUTED_VALUE"""),0.565217391304347)</f>
        <v>0.5652173913</v>
      </c>
      <c r="G156" s="16">
        <f>IFERROR(__xludf.DUMMYFUNCTION("""COMPUTED_VALUE"""),0.478260869565217)</f>
        <v>0.4782608696</v>
      </c>
      <c r="H156" s="16">
        <f>IFERROR(__xludf.DUMMYFUNCTION("""COMPUTED_VALUE"""),0.44927536231884)</f>
        <v>0.4492753623</v>
      </c>
      <c r="I156" s="16">
        <f>IFERROR(__xludf.DUMMYFUNCTION("""COMPUTED_VALUE"""),0.420289855072463)</f>
        <v>0.4202898551</v>
      </c>
      <c r="J156" s="16">
        <f>IFERROR(__xludf.DUMMYFUNCTION("""COMPUTED_VALUE"""),0.391304347826087)</f>
        <v>0.3913043478</v>
      </c>
      <c r="K156" s="16">
        <f>IFERROR(__xludf.DUMMYFUNCTION("""COMPUTED_VALUE"""),0.333333333333333)</f>
        <v>0.3333333333</v>
      </c>
      <c r="L156" s="16">
        <f>IFERROR(__xludf.DUMMYFUNCTION("""COMPUTED_VALUE"""),0.275362318840579)</f>
        <v>0.2753623188</v>
      </c>
      <c r="M156" s="16">
        <f>IFERROR(__xludf.DUMMYFUNCTION("""COMPUTED_VALUE"""),0.217391304347826)</f>
        <v>0.2173913043</v>
      </c>
      <c r="N156" s="16">
        <f>IFERROR(__xludf.DUMMYFUNCTION("""COMPUTED_VALUE"""),0.188405797101449)</f>
        <v>0.1884057971</v>
      </c>
      <c r="O156" s="16">
        <f>IFERROR(__xludf.DUMMYFUNCTION("""COMPUTED_VALUE"""),0.175438596491228)</f>
        <v>0.1754385965</v>
      </c>
      <c r="P156" s="16">
        <f>IFERROR(__xludf.DUMMYFUNCTION("""COMPUTED_VALUE"""),0.258064516129032)</f>
        <v>0.2580645161</v>
      </c>
      <c r="Q156" s="16">
        <f>IFERROR(__xludf.DUMMYFUNCTION("""COMPUTED_VALUE"""),0.0)</f>
        <v>0</v>
      </c>
      <c r="R156" s="16">
        <f>IFERROR(__xludf.DUMMYFUNCTION("""COMPUTED_VALUE"""),0.0)</f>
        <v>0</v>
      </c>
      <c r="S156" s="16">
        <f>IFERROR(__xludf.DUMMYFUNCTION("""COMPUTED_VALUE"""),0.0)</f>
        <v>0</v>
      </c>
      <c r="T156" s="16">
        <f>IFERROR(__xludf.DUMMYFUNCTION("""COMPUTED_VALUE"""),0.0)</f>
        <v>0</v>
      </c>
      <c r="U156" s="16">
        <f>IFERROR(__xludf.DUMMYFUNCTION("""COMPUTED_VALUE"""),0.0)</f>
        <v>0</v>
      </c>
      <c r="V156" s="16">
        <f>IFERROR(__xludf.DUMMYFUNCTION("""COMPUTED_VALUE"""),0.0)</f>
        <v>0</v>
      </c>
      <c r="W156" s="16">
        <f>IFERROR(__xludf.DUMMYFUNCTION("""COMPUTED_VALUE"""),0.0)</f>
        <v>0</v>
      </c>
      <c r="X156" s="16">
        <f>IFERROR(__xludf.DUMMYFUNCTION("""COMPUTED_VALUE"""),0.0)</f>
        <v>0</v>
      </c>
      <c r="Y156" s="16">
        <f>IFERROR(__xludf.DUMMYFUNCTION("""COMPUTED_VALUE"""),0.0)</f>
        <v>0</v>
      </c>
      <c r="Z156" s="16">
        <f>IFERROR(__xludf.DUMMYFUNCTION("""COMPUTED_VALUE"""),0.0)</f>
        <v>0</v>
      </c>
      <c r="AA156" s="16">
        <f>IFERROR(__xludf.DUMMYFUNCTION("""COMPUTED_VALUE"""),0.0)</f>
        <v>0</v>
      </c>
      <c r="AB156" s="16">
        <f>IFERROR(__xludf.DUMMYFUNCTION("""COMPUTED_VALUE"""),0.0)</f>
        <v>0</v>
      </c>
      <c r="AC156" s="16">
        <f>IFERROR(__xludf.DUMMYFUNCTION("""COMPUTED_VALUE"""),0.0)</f>
        <v>0</v>
      </c>
      <c r="AD156" s="16">
        <f>IFERROR(__xludf.DUMMYFUNCTION("""COMPUTED_VALUE"""),0.0)</f>
        <v>0</v>
      </c>
      <c r="AE156" s="16">
        <f>IFERROR(__xludf.DUMMYFUNCTION("""COMPUTED_VALUE"""),0.0)</f>
        <v>0</v>
      </c>
      <c r="AF156" s="16">
        <f>IFERROR(__xludf.DUMMYFUNCTION("""COMPUTED_VALUE"""),0.0)</f>
        <v>0</v>
      </c>
      <c r="AG156" s="16">
        <f>IFERROR(__xludf.DUMMYFUNCTION("""COMPUTED_VALUE"""),0.0)</f>
        <v>0</v>
      </c>
      <c r="AH156" s="16">
        <f>IFERROR(__xludf.DUMMYFUNCTION("""COMPUTED_VALUE"""),0.0)</f>
        <v>0</v>
      </c>
    </row>
    <row r="157">
      <c r="A157" s="16" t="str">
        <f>IFERROR(__xludf.DUMMYFUNCTION("""COMPUTED_VALUE"""),"87b65acb9b6fcd4bc45f30d46f017fa847a0ce3c")</f>
        <v>87b65acb9b6fcd4bc45f30d46f017fa847a0ce3c</v>
      </c>
      <c r="B157" s="16" t="str">
        <f>IFERROR(__xludf.DUMMYFUNCTION("""COMPUTED_VALUE"""),"The Wife's Sweet Revenge")</f>
        <v>The Wife's Sweet Revenge</v>
      </c>
      <c r="C157" s="16" t="str">
        <f>IFERROR(__xludf.DUMMYFUNCTION("""COMPUTED_VALUE"""),"Romance")</f>
        <v>Romance</v>
      </c>
      <c r="D157" s="16">
        <f>IFERROR(__xludf.DUMMYFUNCTION("""COMPUTED_VALUE"""),19.0)</f>
        <v>19</v>
      </c>
      <c r="E157" s="16">
        <f>IFERROR(__xludf.DUMMYFUNCTION("""COMPUTED_VALUE"""),0.894736842105263)</f>
        <v>0.8947368421</v>
      </c>
      <c r="F157" s="16">
        <f>IFERROR(__xludf.DUMMYFUNCTION("""COMPUTED_VALUE"""),0.947368421052631)</f>
        <v>0.9473684211</v>
      </c>
      <c r="G157" s="16">
        <f>IFERROR(__xludf.DUMMYFUNCTION("""COMPUTED_VALUE"""),0.684210526315789)</f>
        <v>0.6842105263</v>
      </c>
      <c r="H157" s="16">
        <f>IFERROR(__xludf.DUMMYFUNCTION("""COMPUTED_VALUE"""),0.473684210526315)</f>
        <v>0.4736842105</v>
      </c>
      <c r="I157" s="16">
        <f>IFERROR(__xludf.DUMMYFUNCTION("""COMPUTED_VALUE"""),0.4375)</f>
        <v>0.4375</v>
      </c>
      <c r="J157" s="16">
        <f>IFERROR(__xludf.DUMMYFUNCTION("""COMPUTED_VALUE"""),0.444444444444444)</f>
        <v>0.4444444444</v>
      </c>
      <c r="K157" s="16">
        <f>IFERROR(__xludf.DUMMYFUNCTION("""COMPUTED_VALUE"""),0.333333333333333)</f>
        <v>0.3333333333</v>
      </c>
      <c r="L157" s="16">
        <f>IFERROR(__xludf.DUMMYFUNCTION("""COMPUTED_VALUE"""),0.4)</f>
        <v>0.4</v>
      </c>
      <c r="M157" s="16">
        <f>IFERROR(__xludf.DUMMYFUNCTION("""COMPUTED_VALUE"""),0.4)</f>
        <v>0.4</v>
      </c>
      <c r="N157" s="16">
        <f>IFERROR(__xludf.DUMMYFUNCTION("""COMPUTED_VALUE"""),0.4)</f>
        <v>0.4</v>
      </c>
      <c r="O157" s="16">
        <f>IFERROR(__xludf.DUMMYFUNCTION("""COMPUTED_VALUE"""),0.0)</f>
        <v>0</v>
      </c>
      <c r="P157" s="16">
        <f>IFERROR(__xludf.DUMMYFUNCTION("""COMPUTED_VALUE"""),0.0)</f>
        <v>0</v>
      </c>
      <c r="Q157" s="16">
        <f>IFERROR(__xludf.DUMMYFUNCTION("""COMPUTED_VALUE"""),0.0)</f>
        <v>0</v>
      </c>
      <c r="R157" s="16">
        <f>IFERROR(__xludf.DUMMYFUNCTION("""COMPUTED_VALUE"""),0.0)</f>
        <v>0</v>
      </c>
      <c r="S157" s="16">
        <f>IFERROR(__xludf.DUMMYFUNCTION("""COMPUTED_VALUE"""),0.0)</f>
        <v>0</v>
      </c>
      <c r="T157" s="16">
        <f>IFERROR(__xludf.DUMMYFUNCTION("""COMPUTED_VALUE"""),0.0)</f>
        <v>0</v>
      </c>
      <c r="U157" s="16">
        <f>IFERROR(__xludf.DUMMYFUNCTION("""COMPUTED_VALUE"""),0.0)</f>
        <v>0</v>
      </c>
      <c r="V157" s="16">
        <f>IFERROR(__xludf.DUMMYFUNCTION("""COMPUTED_VALUE"""),0.0)</f>
        <v>0</v>
      </c>
      <c r="W157" s="16">
        <f>IFERROR(__xludf.DUMMYFUNCTION("""COMPUTED_VALUE"""),0.0)</f>
        <v>0</v>
      </c>
      <c r="X157" s="16">
        <f>IFERROR(__xludf.DUMMYFUNCTION("""COMPUTED_VALUE"""),0.0)</f>
        <v>0</v>
      </c>
      <c r="Y157" s="16">
        <f>IFERROR(__xludf.DUMMYFUNCTION("""COMPUTED_VALUE"""),0.0)</f>
        <v>0</v>
      </c>
      <c r="Z157" s="16">
        <f>IFERROR(__xludf.DUMMYFUNCTION("""COMPUTED_VALUE"""),0.0)</f>
        <v>0</v>
      </c>
      <c r="AA157" s="16">
        <f>IFERROR(__xludf.DUMMYFUNCTION("""COMPUTED_VALUE"""),0.0)</f>
        <v>0</v>
      </c>
      <c r="AB157" s="16">
        <f>IFERROR(__xludf.DUMMYFUNCTION("""COMPUTED_VALUE"""),0.0)</f>
        <v>0</v>
      </c>
      <c r="AC157" s="16">
        <f>IFERROR(__xludf.DUMMYFUNCTION("""COMPUTED_VALUE"""),0.0)</f>
        <v>0</v>
      </c>
      <c r="AD157" s="16">
        <f>IFERROR(__xludf.DUMMYFUNCTION("""COMPUTED_VALUE"""),0.0)</f>
        <v>0</v>
      </c>
      <c r="AE157" s="16">
        <f>IFERROR(__xludf.DUMMYFUNCTION("""COMPUTED_VALUE"""),0.0)</f>
        <v>0</v>
      </c>
      <c r="AF157" s="16">
        <f>IFERROR(__xludf.DUMMYFUNCTION("""COMPUTED_VALUE"""),0.0)</f>
        <v>0</v>
      </c>
      <c r="AG157" s="16">
        <f>IFERROR(__xludf.DUMMYFUNCTION("""COMPUTED_VALUE"""),0.0)</f>
        <v>0</v>
      </c>
      <c r="AH157" s="16">
        <f>IFERROR(__xludf.DUMMYFUNCTION("""COMPUTED_VALUE"""),0.0)</f>
        <v>0</v>
      </c>
    </row>
    <row r="158">
      <c r="A158" s="16" t="str">
        <f>IFERROR(__xludf.DUMMYFUNCTION("""COMPUTED_VALUE"""),"8824fc43e4267c5a0e2b7acff644eae4b8b2222d")</f>
        <v>8824fc43e4267c5a0e2b7acff644eae4b8b2222d</v>
      </c>
      <c r="B158" s="16" t="str">
        <f>IFERROR(__xludf.DUMMYFUNCTION("""COMPUTED_VALUE"""),"Was It Only Lust?")</f>
        <v>Was It Only Lust?</v>
      </c>
      <c r="C158" s="16" t="str">
        <f>IFERROR(__xludf.DUMMYFUNCTION("""COMPUTED_VALUE"""),"Romance")</f>
        <v>Romance</v>
      </c>
      <c r="D158" s="16">
        <f>IFERROR(__xludf.DUMMYFUNCTION("""COMPUTED_VALUE"""),127.0)</f>
        <v>127</v>
      </c>
      <c r="E158" s="16">
        <f>IFERROR(__xludf.DUMMYFUNCTION("""COMPUTED_VALUE"""),0.960629921259842)</f>
        <v>0.9606299213</v>
      </c>
      <c r="F158" s="16">
        <f>IFERROR(__xludf.DUMMYFUNCTION("""COMPUTED_VALUE"""),0.519685039370078)</f>
        <v>0.5196850394</v>
      </c>
      <c r="G158" s="16">
        <f>IFERROR(__xludf.DUMMYFUNCTION("""COMPUTED_VALUE"""),0.456692913385826)</f>
        <v>0.4566929134</v>
      </c>
      <c r="H158" s="16">
        <f>IFERROR(__xludf.DUMMYFUNCTION("""COMPUTED_VALUE"""),0.409448818897637)</f>
        <v>0.4094488189</v>
      </c>
      <c r="I158" s="16">
        <f>IFERROR(__xludf.DUMMYFUNCTION("""COMPUTED_VALUE"""),0.385826771653543)</f>
        <v>0.3858267717</v>
      </c>
      <c r="J158" s="16">
        <f>IFERROR(__xludf.DUMMYFUNCTION("""COMPUTED_VALUE"""),0.385826771653543)</f>
        <v>0.3858267717</v>
      </c>
      <c r="K158" s="16">
        <f>IFERROR(__xludf.DUMMYFUNCTION("""COMPUTED_VALUE"""),0.362204724409448)</f>
        <v>0.3622047244</v>
      </c>
      <c r="L158" s="16">
        <f>IFERROR(__xludf.DUMMYFUNCTION("""COMPUTED_VALUE"""),0.336134453781512)</f>
        <v>0.3361344538</v>
      </c>
      <c r="M158" s="16">
        <f>IFERROR(__xludf.DUMMYFUNCTION("""COMPUTED_VALUE"""),0.284482758620689)</f>
        <v>0.2844827586</v>
      </c>
      <c r="N158" s="16">
        <f>IFERROR(__xludf.DUMMYFUNCTION("""COMPUTED_VALUE"""),0.258620689655172)</f>
        <v>0.2586206897</v>
      </c>
      <c r="O158" s="16">
        <f>IFERROR(__xludf.DUMMYFUNCTION("""COMPUTED_VALUE"""),0.139130434782608)</f>
        <v>0.1391304348</v>
      </c>
      <c r="P158" s="16">
        <f>IFERROR(__xludf.DUMMYFUNCTION("""COMPUTED_VALUE"""),0.0769230769230769)</f>
        <v>0.07692307692</v>
      </c>
      <c r="Q158" s="16">
        <f>IFERROR(__xludf.DUMMYFUNCTION("""COMPUTED_VALUE"""),0.0405405405405405)</f>
        <v>0.04054054054</v>
      </c>
      <c r="R158" s="16">
        <f>IFERROR(__xludf.DUMMYFUNCTION("""COMPUTED_VALUE"""),0.0)</f>
        <v>0</v>
      </c>
      <c r="S158" s="16">
        <f>IFERROR(__xludf.DUMMYFUNCTION("""COMPUTED_VALUE"""),0.0)</f>
        <v>0</v>
      </c>
      <c r="T158" s="16">
        <f>IFERROR(__xludf.DUMMYFUNCTION("""COMPUTED_VALUE"""),0.0)</f>
        <v>0</v>
      </c>
      <c r="U158" s="16">
        <f>IFERROR(__xludf.DUMMYFUNCTION("""COMPUTED_VALUE"""),0.0)</f>
        <v>0</v>
      </c>
      <c r="V158" s="16">
        <f>IFERROR(__xludf.DUMMYFUNCTION("""COMPUTED_VALUE"""),0.0)</f>
        <v>0</v>
      </c>
      <c r="W158" s="16">
        <f>IFERROR(__xludf.DUMMYFUNCTION("""COMPUTED_VALUE"""),0.0)</f>
        <v>0</v>
      </c>
      <c r="X158" s="16">
        <f>IFERROR(__xludf.DUMMYFUNCTION("""COMPUTED_VALUE"""),0.0)</f>
        <v>0</v>
      </c>
      <c r="Y158" s="16">
        <f>IFERROR(__xludf.DUMMYFUNCTION("""COMPUTED_VALUE"""),0.0)</f>
        <v>0</v>
      </c>
      <c r="Z158" s="16">
        <f>IFERROR(__xludf.DUMMYFUNCTION("""COMPUTED_VALUE"""),0.0)</f>
        <v>0</v>
      </c>
      <c r="AA158" s="16">
        <f>IFERROR(__xludf.DUMMYFUNCTION("""COMPUTED_VALUE"""),0.0)</f>
        <v>0</v>
      </c>
      <c r="AB158" s="16">
        <f>IFERROR(__xludf.DUMMYFUNCTION("""COMPUTED_VALUE"""),0.0)</f>
        <v>0</v>
      </c>
      <c r="AC158" s="16">
        <f>IFERROR(__xludf.DUMMYFUNCTION("""COMPUTED_VALUE"""),0.0)</f>
        <v>0</v>
      </c>
      <c r="AD158" s="16">
        <f>IFERROR(__xludf.DUMMYFUNCTION("""COMPUTED_VALUE"""),0.0)</f>
        <v>0</v>
      </c>
      <c r="AE158" s="16">
        <f>IFERROR(__xludf.DUMMYFUNCTION("""COMPUTED_VALUE"""),0.0)</f>
        <v>0</v>
      </c>
      <c r="AF158" s="16">
        <f>IFERROR(__xludf.DUMMYFUNCTION("""COMPUTED_VALUE"""),0.0)</f>
        <v>0</v>
      </c>
      <c r="AG158" s="16">
        <f>IFERROR(__xludf.DUMMYFUNCTION("""COMPUTED_VALUE"""),0.0)</f>
        <v>0</v>
      </c>
      <c r="AH158" s="16">
        <f>IFERROR(__xludf.DUMMYFUNCTION("""COMPUTED_VALUE"""),0.0)</f>
        <v>0</v>
      </c>
    </row>
    <row r="159">
      <c r="A159" s="16" t="str">
        <f>IFERROR(__xludf.DUMMYFUNCTION("""COMPUTED_VALUE"""),"8aab13cef66595bf85428c05007cefe16b733ba5")</f>
        <v>8aab13cef66595bf85428c05007cefe16b733ba5</v>
      </c>
      <c r="B159" s="16" t="str">
        <f>IFERROR(__xludf.DUMMYFUNCTION("""COMPUTED_VALUE"""),"Reborn Heartbeat")</f>
        <v>Reborn Heartbeat</v>
      </c>
      <c r="C159" s="16" t="str">
        <f>IFERROR(__xludf.DUMMYFUNCTION("""COMPUTED_VALUE"""),"Romance")</f>
        <v>Romance</v>
      </c>
      <c r="D159" s="16">
        <f>IFERROR(__xludf.DUMMYFUNCTION("""COMPUTED_VALUE"""),578.0)</f>
        <v>578</v>
      </c>
      <c r="E159" s="16">
        <f>IFERROR(__xludf.DUMMYFUNCTION("""COMPUTED_VALUE"""),0.934256055363321)</f>
        <v>0.9342560554</v>
      </c>
      <c r="F159" s="16">
        <f>IFERROR(__xludf.DUMMYFUNCTION("""COMPUTED_VALUE"""),0.45674740484429)</f>
        <v>0.4567474048</v>
      </c>
      <c r="G159" s="16">
        <f>IFERROR(__xludf.DUMMYFUNCTION("""COMPUTED_VALUE"""),0.416955017301038)</f>
        <v>0.4169550173</v>
      </c>
      <c r="H159" s="16">
        <f>IFERROR(__xludf.DUMMYFUNCTION("""COMPUTED_VALUE"""),0.388214904679376)</f>
        <v>0.3882149047</v>
      </c>
      <c r="I159" s="16">
        <f>IFERROR(__xludf.DUMMYFUNCTION("""COMPUTED_VALUE"""),0.376083188908145)</f>
        <v>0.3760831889</v>
      </c>
      <c r="J159" s="16">
        <f>IFERROR(__xludf.DUMMYFUNCTION("""COMPUTED_VALUE"""),0.350086655112651)</f>
        <v>0.3500866551</v>
      </c>
      <c r="K159" s="16">
        <f>IFERROR(__xludf.DUMMYFUNCTION("""COMPUTED_VALUE"""),0.363478260869565)</f>
        <v>0.3634782609</v>
      </c>
      <c r="L159" s="16">
        <f>IFERROR(__xludf.DUMMYFUNCTION("""COMPUTED_VALUE"""),0.351304347826086)</f>
        <v>0.3513043478</v>
      </c>
      <c r="M159" s="16">
        <f>IFERROR(__xludf.DUMMYFUNCTION("""COMPUTED_VALUE"""),0.342608695652173)</f>
        <v>0.3426086957</v>
      </c>
      <c r="N159" s="16">
        <f>IFERROR(__xludf.DUMMYFUNCTION("""COMPUTED_VALUE"""),0.343205574912892)</f>
        <v>0.3432055749</v>
      </c>
      <c r="O159" s="16">
        <f>IFERROR(__xludf.DUMMYFUNCTION("""COMPUTED_VALUE"""),0.336842105263157)</f>
        <v>0.3368421053</v>
      </c>
      <c r="P159" s="16">
        <f>IFERROR(__xludf.DUMMYFUNCTION("""COMPUTED_VALUE"""),0.192239858906525)</f>
        <v>0.1922398589</v>
      </c>
      <c r="Q159" s="16">
        <f>IFERROR(__xludf.DUMMYFUNCTION("""COMPUTED_VALUE"""),0.15221238938053)</f>
        <v>0.1522123894</v>
      </c>
      <c r="R159" s="16">
        <f>IFERROR(__xludf.DUMMYFUNCTION("""COMPUTED_VALUE"""),0.0)</f>
        <v>0</v>
      </c>
      <c r="S159" s="16">
        <f>IFERROR(__xludf.DUMMYFUNCTION("""COMPUTED_VALUE"""),0.0)</f>
        <v>0</v>
      </c>
      <c r="T159" s="16">
        <f>IFERROR(__xludf.DUMMYFUNCTION("""COMPUTED_VALUE"""),0.0)</f>
        <v>0</v>
      </c>
      <c r="U159" s="16">
        <f>IFERROR(__xludf.DUMMYFUNCTION("""COMPUTED_VALUE"""),0.0)</f>
        <v>0</v>
      </c>
      <c r="V159" s="16">
        <f>IFERROR(__xludf.DUMMYFUNCTION("""COMPUTED_VALUE"""),0.0)</f>
        <v>0</v>
      </c>
      <c r="W159" s="16">
        <f>IFERROR(__xludf.DUMMYFUNCTION("""COMPUTED_VALUE"""),0.0)</f>
        <v>0</v>
      </c>
      <c r="X159" s="16">
        <f>IFERROR(__xludf.DUMMYFUNCTION("""COMPUTED_VALUE"""),0.0)</f>
        <v>0</v>
      </c>
      <c r="Y159" s="16">
        <f>IFERROR(__xludf.DUMMYFUNCTION("""COMPUTED_VALUE"""),0.0)</f>
        <v>0</v>
      </c>
      <c r="Z159" s="16">
        <f>IFERROR(__xludf.DUMMYFUNCTION("""COMPUTED_VALUE"""),0.0)</f>
        <v>0</v>
      </c>
      <c r="AA159" s="16">
        <f>IFERROR(__xludf.DUMMYFUNCTION("""COMPUTED_VALUE"""),0.0)</f>
        <v>0</v>
      </c>
      <c r="AB159" s="16">
        <f>IFERROR(__xludf.DUMMYFUNCTION("""COMPUTED_VALUE"""),0.0)</f>
        <v>0</v>
      </c>
      <c r="AC159" s="16">
        <f>IFERROR(__xludf.DUMMYFUNCTION("""COMPUTED_VALUE"""),0.0)</f>
        <v>0</v>
      </c>
      <c r="AD159" s="16">
        <f>IFERROR(__xludf.DUMMYFUNCTION("""COMPUTED_VALUE"""),0.0)</f>
        <v>0</v>
      </c>
      <c r="AE159" s="16">
        <f>IFERROR(__xludf.DUMMYFUNCTION("""COMPUTED_VALUE"""),0.0)</f>
        <v>0</v>
      </c>
      <c r="AF159" s="16">
        <f>IFERROR(__xludf.DUMMYFUNCTION("""COMPUTED_VALUE"""),0.0)</f>
        <v>0</v>
      </c>
      <c r="AG159" s="16">
        <f>IFERROR(__xludf.DUMMYFUNCTION("""COMPUTED_VALUE"""),0.0)</f>
        <v>0</v>
      </c>
      <c r="AH159" s="16">
        <f>IFERROR(__xludf.DUMMYFUNCTION("""COMPUTED_VALUE"""),0.0)</f>
        <v>0</v>
      </c>
    </row>
    <row r="160">
      <c r="A160" s="16" t="str">
        <f>IFERROR(__xludf.DUMMYFUNCTION("""COMPUTED_VALUE"""),"8b0fd7aa03d26e2de1586a0fe7c91505431575cc")</f>
        <v>8b0fd7aa03d26e2de1586a0fe7c91505431575cc</v>
      </c>
      <c r="B160" s="16" t="str">
        <f>IFERROR(__xludf.DUMMYFUNCTION("""COMPUTED_VALUE"""),"The Midnight Luna")</f>
        <v>The Midnight Luna</v>
      </c>
      <c r="C160" s="16" t="str">
        <f>IFERROR(__xludf.DUMMYFUNCTION("""COMPUTED_VALUE"""),"Romantasy")</f>
        <v>Romantasy</v>
      </c>
      <c r="D160" s="16">
        <f>IFERROR(__xludf.DUMMYFUNCTION("""COMPUTED_VALUE"""),148.0)</f>
        <v>148</v>
      </c>
      <c r="E160" s="16">
        <f>IFERROR(__xludf.DUMMYFUNCTION("""COMPUTED_VALUE"""),0.959459459459459)</f>
        <v>0.9594594595</v>
      </c>
      <c r="F160" s="16">
        <f>IFERROR(__xludf.DUMMYFUNCTION("""COMPUTED_VALUE"""),0.506756756756756)</f>
        <v>0.5067567568</v>
      </c>
      <c r="G160" s="16">
        <f>IFERROR(__xludf.DUMMYFUNCTION("""COMPUTED_VALUE"""),0.445945945945945)</f>
        <v>0.4459459459</v>
      </c>
      <c r="H160" s="16">
        <f>IFERROR(__xludf.DUMMYFUNCTION("""COMPUTED_VALUE"""),0.432432432432432)</f>
        <v>0.4324324324</v>
      </c>
      <c r="I160" s="16">
        <f>IFERROR(__xludf.DUMMYFUNCTION("""COMPUTED_VALUE"""),0.394557823129251)</f>
        <v>0.3945578231</v>
      </c>
      <c r="J160" s="16">
        <f>IFERROR(__xludf.DUMMYFUNCTION("""COMPUTED_VALUE"""),0.376712328767123)</f>
        <v>0.3767123288</v>
      </c>
      <c r="K160" s="16">
        <f>IFERROR(__xludf.DUMMYFUNCTION("""COMPUTED_VALUE"""),0.361111111111111)</f>
        <v>0.3611111111</v>
      </c>
      <c r="L160" s="16">
        <f>IFERROR(__xludf.DUMMYFUNCTION("""COMPUTED_VALUE"""),0.340277777777777)</f>
        <v>0.3402777778</v>
      </c>
      <c r="M160" s="16">
        <f>IFERROR(__xludf.DUMMYFUNCTION("""COMPUTED_VALUE"""),0.328671328671328)</f>
        <v>0.3286713287</v>
      </c>
      <c r="N160" s="16">
        <f>IFERROR(__xludf.DUMMYFUNCTION("""COMPUTED_VALUE"""),0.307692307692307)</f>
        <v>0.3076923077</v>
      </c>
      <c r="O160" s="16">
        <f>IFERROR(__xludf.DUMMYFUNCTION("""COMPUTED_VALUE"""),0.271739130434782)</f>
        <v>0.2717391304</v>
      </c>
      <c r="P160" s="16">
        <f>IFERROR(__xludf.DUMMYFUNCTION("""COMPUTED_VALUE"""),0.0)</f>
        <v>0</v>
      </c>
      <c r="Q160" s="16">
        <f>IFERROR(__xludf.DUMMYFUNCTION("""COMPUTED_VALUE"""),0.0)</f>
        <v>0</v>
      </c>
      <c r="R160" s="16">
        <f>IFERROR(__xludf.DUMMYFUNCTION("""COMPUTED_VALUE"""),0.0)</f>
        <v>0</v>
      </c>
      <c r="S160" s="16">
        <f>IFERROR(__xludf.DUMMYFUNCTION("""COMPUTED_VALUE"""),0.0)</f>
        <v>0</v>
      </c>
      <c r="T160" s="16">
        <f>IFERROR(__xludf.DUMMYFUNCTION("""COMPUTED_VALUE"""),0.0)</f>
        <v>0</v>
      </c>
      <c r="U160" s="16">
        <f>IFERROR(__xludf.DUMMYFUNCTION("""COMPUTED_VALUE"""),0.0)</f>
        <v>0</v>
      </c>
      <c r="V160" s="16">
        <f>IFERROR(__xludf.DUMMYFUNCTION("""COMPUTED_VALUE"""),0.0)</f>
        <v>0</v>
      </c>
      <c r="W160" s="16">
        <f>IFERROR(__xludf.DUMMYFUNCTION("""COMPUTED_VALUE"""),0.0)</f>
        <v>0</v>
      </c>
      <c r="X160" s="16">
        <f>IFERROR(__xludf.DUMMYFUNCTION("""COMPUTED_VALUE"""),0.0)</f>
        <v>0</v>
      </c>
      <c r="Y160" s="16">
        <f>IFERROR(__xludf.DUMMYFUNCTION("""COMPUTED_VALUE"""),0.0)</f>
        <v>0</v>
      </c>
      <c r="Z160" s="16">
        <f>IFERROR(__xludf.DUMMYFUNCTION("""COMPUTED_VALUE"""),0.0)</f>
        <v>0</v>
      </c>
      <c r="AA160" s="16">
        <f>IFERROR(__xludf.DUMMYFUNCTION("""COMPUTED_VALUE"""),0.0)</f>
        <v>0</v>
      </c>
      <c r="AB160" s="16">
        <f>IFERROR(__xludf.DUMMYFUNCTION("""COMPUTED_VALUE"""),0.0)</f>
        <v>0</v>
      </c>
      <c r="AC160" s="16">
        <f>IFERROR(__xludf.DUMMYFUNCTION("""COMPUTED_VALUE"""),0.0)</f>
        <v>0</v>
      </c>
      <c r="AD160" s="16">
        <f>IFERROR(__xludf.DUMMYFUNCTION("""COMPUTED_VALUE"""),0.0)</f>
        <v>0</v>
      </c>
      <c r="AE160" s="16">
        <f>IFERROR(__xludf.DUMMYFUNCTION("""COMPUTED_VALUE"""),0.0)</f>
        <v>0</v>
      </c>
      <c r="AF160" s="16">
        <f>IFERROR(__xludf.DUMMYFUNCTION("""COMPUTED_VALUE"""),0.0)</f>
        <v>0</v>
      </c>
      <c r="AG160" s="16">
        <f>IFERROR(__xludf.DUMMYFUNCTION("""COMPUTED_VALUE"""),0.0)</f>
        <v>0</v>
      </c>
      <c r="AH160" s="16">
        <f>IFERROR(__xludf.DUMMYFUNCTION("""COMPUTED_VALUE"""),0.0)</f>
        <v>0</v>
      </c>
    </row>
    <row r="161">
      <c r="A161" s="16" t="str">
        <f>IFERROR(__xludf.DUMMYFUNCTION("""COMPUTED_VALUE"""),"8bba1c491698de2d4d33abe2f115e5d666e141b2")</f>
        <v>8bba1c491698de2d4d33abe2f115e5d666e141b2</v>
      </c>
      <c r="B161" s="16" t="str">
        <f>IFERROR(__xludf.DUMMYFUNCTION("""COMPUTED_VALUE"""),"Until He Remembers Me")</f>
        <v>Until He Remembers Me</v>
      </c>
      <c r="C161" s="16" t="str">
        <f>IFERROR(__xludf.DUMMYFUNCTION("""COMPUTED_VALUE"""),"Romance")</f>
        <v>Romance</v>
      </c>
      <c r="D161" s="16">
        <f>IFERROR(__xludf.DUMMYFUNCTION("""COMPUTED_VALUE"""),94.0)</f>
        <v>94</v>
      </c>
      <c r="E161" s="16">
        <f>IFERROR(__xludf.DUMMYFUNCTION("""COMPUTED_VALUE"""),0.989361702127659)</f>
        <v>0.9893617021</v>
      </c>
      <c r="F161" s="16">
        <f>IFERROR(__xludf.DUMMYFUNCTION("""COMPUTED_VALUE"""),0.425531914893617)</f>
        <v>0.4255319149</v>
      </c>
      <c r="G161" s="16">
        <f>IFERROR(__xludf.DUMMYFUNCTION("""COMPUTED_VALUE"""),0.382978723404255)</f>
        <v>0.3829787234</v>
      </c>
      <c r="H161" s="16">
        <f>IFERROR(__xludf.DUMMYFUNCTION("""COMPUTED_VALUE"""),0.372340425531914)</f>
        <v>0.3723404255</v>
      </c>
      <c r="I161" s="16">
        <f>IFERROR(__xludf.DUMMYFUNCTION("""COMPUTED_VALUE"""),0.32258064516129)</f>
        <v>0.3225806452</v>
      </c>
      <c r="J161" s="16">
        <f>IFERROR(__xludf.DUMMYFUNCTION("""COMPUTED_VALUE"""),0.293478260869565)</f>
        <v>0.2934782609</v>
      </c>
      <c r="K161" s="16">
        <f>IFERROR(__xludf.DUMMYFUNCTION("""COMPUTED_VALUE"""),0.304347826086956)</f>
        <v>0.3043478261</v>
      </c>
      <c r="L161" s="16">
        <f>IFERROR(__xludf.DUMMYFUNCTION("""COMPUTED_VALUE"""),0.277777777777777)</f>
        <v>0.2777777778</v>
      </c>
      <c r="M161" s="16">
        <f>IFERROR(__xludf.DUMMYFUNCTION("""COMPUTED_VALUE"""),0.266666666666666)</f>
        <v>0.2666666667</v>
      </c>
      <c r="N161" s="16">
        <f>IFERROR(__xludf.DUMMYFUNCTION("""COMPUTED_VALUE"""),0.255555555555555)</f>
        <v>0.2555555556</v>
      </c>
      <c r="O161" s="16">
        <f>IFERROR(__xludf.DUMMYFUNCTION("""COMPUTED_VALUE"""),0.193181818181818)</f>
        <v>0.1931818182</v>
      </c>
      <c r="P161" s="16">
        <f>IFERROR(__xludf.DUMMYFUNCTION("""COMPUTED_VALUE"""),0.137931034482758)</f>
        <v>0.1379310345</v>
      </c>
      <c r="Q161" s="16">
        <f>IFERROR(__xludf.DUMMYFUNCTION("""COMPUTED_VALUE"""),0.0)</f>
        <v>0</v>
      </c>
      <c r="R161" s="16">
        <f>IFERROR(__xludf.DUMMYFUNCTION("""COMPUTED_VALUE"""),0.0)</f>
        <v>0</v>
      </c>
      <c r="S161" s="16">
        <f>IFERROR(__xludf.DUMMYFUNCTION("""COMPUTED_VALUE"""),0.0)</f>
        <v>0</v>
      </c>
      <c r="T161" s="16">
        <f>IFERROR(__xludf.DUMMYFUNCTION("""COMPUTED_VALUE"""),0.0)</f>
        <v>0</v>
      </c>
      <c r="U161" s="16">
        <f>IFERROR(__xludf.DUMMYFUNCTION("""COMPUTED_VALUE"""),0.0)</f>
        <v>0</v>
      </c>
      <c r="V161" s="16">
        <f>IFERROR(__xludf.DUMMYFUNCTION("""COMPUTED_VALUE"""),0.0)</f>
        <v>0</v>
      </c>
      <c r="W161" s="16">
        <f>IFERROR(__xludf.DUMMYFUNCTION("""COMPUTED_VALUE"""),0.0)</f>
        <v>0</v>
      </c>
      <c r="X161" s="16">
        <f>IFERROR(__xludf.DUMMYFUNCTION("""COMPUTED_VALUE"""),0.0)</f>
        <v>0</v>
      </c>
      <c r="Y161" s="16">
        <f>IFERROR(__xludf.DUMMYFUNCTION("""COMPUTED_VALUE"""),0.0)</f>
        <v>0</v>
      </c>
      <c r="Z161" s="16">
        <f>IFERROR(__xludf.DUMMYFUNCTION("""COMPUTED_VALUE"""),0.0)</f>
        <v>0</v>
      </c>
      <c r="AA161" s="16">
        <f>IFERROR(__xludf.DUMMYFUNCTION("""COMPUTED_VALUE"""),0.0)</f>
        <v>0</v>
      </c>
      <c r="AB161" s="16">
        <f>IFERROR(__xludf.DUMMYFUNCTION("""COMPUTED_VALUE"""),0.0)</f>
        <v>0</v>
      </c>
      <c r="AC161" s="16">
        <f>IFERROR(__xludf.DUMMYFUNCTION("""COMPUTED_VALUE"""),0.0)</f>
        <v>0</v>
      </c>
      <c r="AD161" s="16">
        <f>IFERROR(__xludf.DUMMYFUNCTION("""COMPUTED_VALUE"""),0.0)</f>
        <v>0</v>
      </c>
      <c r="AE161" s="16">
        <f>IFERROR(__xludf.DUMMYFUNCTION("""COMPUTED_VALUE"""),0.0)</f>
        <v>0</v>
      </c>
      <c r="AF161" s="16">
        <f>IFERROR(__xludf.DUMMYFUNCTION("""COMPUTED_VALUE"""),0.0)</f>
        <v>0</v>
      </c>
      <c r="AG161" s="16">
        <f>IFERROR(__xludf.DUMMYFUNCTION("""COMPUTED_VALUE"""),0.0)</f>
        <v>0</v>
      </c>
      <c r="AH161" s="16">
        <f>IFERROR(__xludf.DUMMYFUNCTION("""COMPUTED_VALUE"""),0.0)</f>
        <v>0</v>
      </c>
    </row>
    <row r="162">
      <c r="A162" s="16" t="str">
        <f>IFERROR(__xludf.DUMMYFUNCTION("""COMPUTED_VALUE"""),"8bcd1b852cfa9d73ac3583317066946ad2b0abf7")</f>
        <v>8bcd1b852cfa9d73ac3583317066946ad2b0abf7</v>
      </c>
      <c r="B162" s="16" t="str">
        <f>IFERROR(__xludf.DUMMYFUNCTION("""COMPUTED_VALUE"""),"Heir to Draconic Dominion")</f>
        <v>Heir to Draconic Dominion</v>
      </c>
      <c r="C162" s="16" t="str">
        <f>IFERROR(__xludf.DUMMYFUNCTION("""COMPUTED_VALUE"""),"Fantasy")</f>
        <v>Fantasy</v>
      </c>
      <c r="D162" s="16">
        <f>IFERROR(__xludf.DUMMYFUNCTION("""COMPUTED_VALUE"""),1392.0)</f>
        <v>1392</v>
      </c>
      <c r="E162" s="16">
        <f>IFERROR(__xludf.DUMMYFUNCTION("""COMPUTED_VALUE"""),0.966235632183908)</f>
        <v>0.9662356322</v>
      </c>
      <c r="F162" s="16">
        <f>IFERROR(__xludf.DUMMYFUNCTION("""COMPUTED_VALUE"""),0.620863309352518)</f>
        <v>0.6208633094</v>
      </c>
      <c r="G162" s="16">
        <f>IFERROR(__xludf.DUMMYFUNCTION("""COMPUTED_VALUE"""),0.567625899280575)</f>
        <v>0.5676258993</v>
      </c>
      <c r="H162" s="16">
        <f>IFERROR(__xludf.DUMMYFUNCTION("""COMPUTED_VALUE"""),0.546109510086455)</f>
        <v>0.5461095101</v>
      </c>
      <c r="I162" s="16">
        <f>IFERROR(__xludf.DUMMYFUNCTION("""COMPUTED_VALUE"""),0.526353790613718)</f>
        <v>0.5263537906</v>
      </c>
      <c r="J162" s="16">
        <f>IFERROR(__xludf.DUMMYFUNCTION("""COMPUTED_VALUE"""),0.519941986947063)</f>
        <v>0.5199419869</v>
      </c>
      <c r="K162" s="16">
        <f>IFERROR(__xludf.DUMMYFUNCTION("""COMPUTED_VALUE"""),0.512390670553935)</f>
        <v>0.5123906706</v>
      </c>
      <c r="L162" s="16">
        <f>IFERROR(__xludf.DUMMYFUNCTION("""COMPUTED_VALUE"""),0.497435897435897)</f>
        <v>0.4974358974</v>
      </c>
      <c r="M162" s="16">
        <f>IFERROR(__xludf.DUMMYFUNCTION("""COMPUTED_VALUE"""),0.480413895048041)</f>
        <v>0.480413895</v>
      </c>
      <c r="N162" s="16">
        <f>IFERROR(__xludf.DUMMYFUNCTION("""COMPUTED_VALUE"""),0.469933184855233)</f>
        <v>0.4699331849</v>
      </c>
      <c r="O162" s="16">
        <f>IFERROR(__xludf.DUMMYFUNCTION("""COMPUTED_VALUE"""),0.443381180223285)</f>
        <v>0.4433811802</v>
      </c>
      <c r="P162" s="16">
        <f>IFERROR(__xludf.DUMMYFUNCTION("""COMPUTED_VALUE"""),0.365665236051502)</f>
        <v>0.3656652361</v>
      </c>
      <c r="Q162" s="16">
        <f>IFERROR(__xludf.DUMMYFUNCTION("""COMPUTED_VALUE"""),0.224867724867724)</f>
        <v>0.2248677249</v>
      </c>
      <c r="R162" s="16">
        <f>IFERROR(__xludf.DUMMYFUNCTION("""COMPUTED_VALUE"""),0.225)</f>
        <v>0.225</v>
      </c>
      <c r="S162" s="16">
        <f>IFERROR(__xludf.DUMMYFUNCTION("""COMPUTED_VALUE"""),0.0)</f>
        <v>0</v>
      </c>
      <c r="T162" s="16">
        <f>IFERROR(__xludf.DUMMYFUNCTION("""COMPUTED_VALUE"""),0.0)</f>
        <v>0</v>
      </c>
      <c r="U162" s="16">
        <f>IFERROR(__xludf.DUMMYFUNCTION("""COMPUTED_VALUE"""),0.0)</f>
        <v>0</v>
      </c>
      <c r="V162" s="16">
        <f>IFERROR(__xludf.DUMMYFUNCTION("""COMPUTED_VALUE"""),0.0)</f>
        <v>0</v>
      </c>
      <c r="W162" s="16">
        <f>IFERROR(__xludf.DUMMYFUNCTION("""COMPUTED_VALUE"""),0.0)</f>
        <v>0</v>
      </c>
      <c r="X162" s="16">
        <f>IFERROR(__xludf.DUMMYFUNCTION("""COMPUTED_VALUE"""),0.0)</f>
        <v>0</v>
      </c>
      <c r="Y162" s="16">
        <f>IFERROR(__xludf.DUMMYFUNCTION("""COMPUTED_VALUE"""),0.0)</f>
        <v>0</v>
      </c>
      <c r="Z162" s="16">
        <f>IFERROR(__xludf.DUMMYFUNCTION("""COMPUTED_VALUE"""),0.0)</f>
        <v>0</v>
      </c>
      <c r="AA162" s="16">
        <f>IFERROR(__xludf.DUMMYFUNCTION("""COMPUTED_VALUE"""),0.0)</f>
        <v>0</v>
      </c>
      <c r="AB162" s="16">
        <f>IFERROR(__xludf.DUMMYFUNCTION("""COMPUTED_VALUE"""),0.0)</f>
        <v>0</v>
      </c>
      <c r="AC162" s="16">
        <f>IFERROR(__xludf.DUMMYFUNCTION("""COMPUTED_VALUE"""),0.0)</f>
        <v>0</v>
      </c>
      <c r="AD162" s="16">
        <f>IFERROR(__xludf.DUMMYFUNCTION("""COMPUTED_VALUE"""),0.0)</f>
        <v>0</v>
      </c>
      <c r="AE162" s="16">
        <f>IFERROR(__xludf.DUMMYFUNCTION("""COMPUTED_VALUE"""),0.0)</f>
        <v>0</v>
      </c>
      <c r="AF162" s="16">
        <f>IFERROR(__xludf.DUMMYFUNCTION("""COMPUTED_VALUE"""),0.0)</f>
        <v>0</v>
      </c>
      <c r="AG162" s="16">
        <f>IFERROR(__xludf.DUMMYFUNCTION("""COMPUTED_VALUE"""),0.0)</f>
        <v>0</v>
      </c>
      <c r="AH162" s="16">
        <f>IFERROR(__xludf.DUMMYFUNCTION("""COMPUTED_VALUE"""),0.0)</f>
        <v>0</v>
      </c>
    </row>
    <row r="163">
      <c r="A163" s="16" t="str">
        <f>IFERROR(__xludf.DUMMYFUNCTION("""COMPUTED_VALUE"""),"8e36a60de34dcee5a96156507eb902741b36cc77")</f>
        <v>8e36a60de34dcee5a96156507eb902741b36cc77</v>
      </c>
      <c r="B163" s="16" t="str">
        <f>IFERROR(__xludf.DUMMYFUNCTION("""COMPUTED_VALUE"""),"It's Crystal")</f>
        <v>It's Crystal</v>
      </c>
      <c r="C163" s="16" t="str">
        <f>IFERROR(__xludf.DUMMYFUNCTION("""COMPUTED_VALUE"""),"Romance")</f>
        <v>Romance</v>
      </c>
      <c r="D163" s="16">
        <f>IFERROR(__xludf.DUMMYFUNCTION("""COMPUTED_VALUE"""),107.0)</f>
        <v>107</v>
      </c>
      <c r="E163" s="16">
        <f>IFERROR(__xludf.DUMMYFUNCTION("""COMPUTED_VALUE"""),0.953271028037383)</f>
        <v>0.953271028</v>
      </c>
      <c r="F163" s="16">
        <f>IFERROR(__xludf.DUMMYFUNCTION("""COMPUTED_VALUE"""),0.542056074766355)</f>
        <v>0.5420560748</v>
      </c>
      <c r="G163" s="16">
        <f>IFERROR(__xludf.DUMMYFUNCTION("""COMPUTED_VALUE"""),0.467289719626168)</f>
        <v>0.4672897196</v>
      </c>
      <c r="H163" s="16">
        <f>IFERROR(__xludf.DUMMYFUNCTION("""COMPUTED_VALUE"""),0.457943925233644)</f>
        <v>0.4579439252</v>
      </c>
      <c r="I163" s="16">
        <f>IFERROR(__xludf.DUMMYFUNCTION("""COMPUTED_VALUE"""),0.467289719626168)</f>
        <v>0.4672897196</v>
      </c>
      <c r="J163" s="16">
        <f>IFERROR(__xludf.DUMMYFUNCTION("""COMPUTED_VALUE"""),0.457943925233644)</f>
        <v>0.4579439252</v>
      </c>
      <c r="K163" s="16">
        <f>IFERROR(__xludf.DUMMYFUNCTION("""COMPUTED_VALUE"""),0.429906542056074)</f>
        <v>0.4299065421</v>
      </c>
      <c r="L163" s="16">
        <f>IFERROR(__xludf.DUMMYFUNCTION("""COMPUTED_VALUE"""),0.392523364485981)</f>
        <v>0.3925233645</v>
      </c>
      <c r="M163" s="16">
        <f>IFERROR(__xludf.DUMMYFUNCTION("""COMPUTED_VALUE"""),0.364485981308411)</f>
        <v>0.3644859813</v>
      </c>
      <c r="N163" s="16">
        <f>IFERROR(__xludf.DUMMYFUNCTION("""COMPUTED_VALUE"""),0.358490566037735)</f>
        <v>0.358490566</v>
      </c>
      <c r="O163" s="16">
        <f>IFERROR(__xludf.DUMMYFUNCTION("""COMPUTED_VALUE"""),0.333333333333333)</f>
        <v>0.3333333333</v>
      </c>
      <c r="P163" s="16">
        <f>IFERROR(__xludf.DUMMYFUNCTION("""COMPUTED_VALUE"""),0.287128712871287)</f>
        <v>0.2871287129</v>
      </c>
      <c r="Q163" s="16">
        <f>IFERROR(__xludf.DUMMYFUNCTION("""COMPUTED_VALUE"""),0.111111111111111)</f>
        <v>0.1111111111</v>
      </c>
      <c r="R163" s="16">
        <f>IFERROR(__xludf.DUMMYFUNCTION("""COMPUTED_VALUE"""),0.0555555555555555)</f>
        <v>0.05555555556</v>
      </c>
      <c r="S163" s="16">
        <f>IFERROR(__xludf.DUMMYFUNCTION("""COMPUTED_VALUE"""),0.0)</f>
        <v>0</v>
      </c>
      <c r="T163" s="16">
        <f>IFERROR(__xludf.DUMMYFUNCTION("""COMPUTED_VALUE"""),0.0)</f>
        <v>0</v>
      </c>
      <c r="U163" s="16">
        <f>IFERROR(__xludf.DUMMYFUNCTION("""COMPUTED_VALUE"""),0.0)</f>
        <v>0</v>
      </c>
      <c r="V163" s="16">
        <f>IFERROR(__xludf.DUMMYFUNCTION("""COMPUTED_VALUE"""),0.0)</f>
        <v>0</v>
      </c>
      <c r="W163" s="16">
        <f>IFERROR(__xludf.DUMMYFUNCTION("""COMPUTED_VALUE"""),0.0)</f>
        <v>0</v>
      </c>
      <c r="X163" s="16">
        <f>IFERROR(__xludf.DUMMYFUNCTION("""COMPUTED_VALUE"""),0.0)</f>
        <v>0</v>
      </c>
      <c r="Y163" s="16">
        <f>IFERROR(__xludf.DUMMYFUNCTION("""COMPUTED_VALUE"""),0.0)</f>
        <v>0</v>
      </c>
      <c r="Z163" s="16">
        <f>IFERROR(__xludf.DUMMYFUNCTION("""COMPUTED_VALUE"""),0.0)</f>
        <v>0</v>
      </c>
      <c r="AA163" s="16">
        <f>IFERROR(__xludf.DUMMYFUNCTION("""COMPUTED_VALUE"""),0.0)</f>
        <v>0</v>
      </c>
      <c r="AB163" s="16">
        <f>IFERROR(__xludf.DUMMYFUNCTION("""COMPUTED_VALUE"""),0.0)</f>
        <v>0</v>
      </c>
      <c r="AC163" s="16">
        <f>IFERROR(__xludf.DUMMYFUNCTION("""COMPUTED_VALUE"""),0.0)</f>
        <v>0</v>
      </c>
      <c r="AD163" s="16">
        <f>IFERROR(__xludf.DUMMYFUNCTION("""COMPUTED_VALUE"""),0.0)</f>
        <v>0</v>
      </c>
      <c r="AE163" s="16">
        <f>IFERROR(__xludf.DUMMYFUNCTION("""COMPUTED_VALUE"""),0.0)</f>
        <v>0</v>
      </c>
      <c r="AF163" s="16">
        <f>IFERROR(__xludf.DUMMYFUNCTION("""COMPUTED_VALUE"""),0.0)</f>
        <v>0</v>
      </c>
      <c r="AG163" s="16">
        <f>IFERROR(__xludf.DUMMYFUNCTION("""COMPUTED_VALUE"""),0.0)</f>
        <v>0</v>
      </c>
      <c r="AH163" s="16">
        <f>IFERROR(__xludf.DUMMYFUNCTION("""COMPUTED_VALUE"""),0.0)</f>
        <v>0</v>
      </c>
    </row>
    <row r="164">
      <c r="A164" s="16" t="str">
        <f>IFERROR(__xludf.DUMMYFUNCTION("""COMPUTED_VALUE"""),"8e3c4698dede52f8548d10d283645c3e3f83c04a")</f>
        <v>8e3c4698dede52f8548d10d283645c3e3f83c04a</v>
      </c>
      <c r="B164" s="16" t="str">
        <f>IFERROR(__xludf.DUMMYFUNCTION("""COMPUTED_VALUE"""),"The Celestial God’s Heir")</f>
        <v>The Celestial God’s Heir</v>
      </c>
      <c r="C164" s="16" t="str">
        <f>IFERROR(__xludf.DUMMYFUNCTION("""COMPUTED_VALUE"""),"Fantasy")</f>
        <v>Fantasy</v>
      </c>
      <c r="D164" s="16">
        <f>IFERROR(__xludf.DUMMYFUNCTION("""COMPUTED_VALUE"""),580.0)</f>
        <v>580</v>
      </c>
      <c r="E164" s="16">
        <f>IFERROR(__xludf.DUMMYFUNCTION("""COMPUTED_VALUE"""),0.98103448275862)</f>
        <v>0.9810344828</v>
      </c>
      <c r="F164" s="16">
        <f>IFERROR(__xludf.DUMMYFUNCTION("""COMPUTED_VALUE"""),0.58103448275862)</f>
        <v>0.5810344828</v>
      </c>
      <c r="G164" s="16">
        <f>IFERROR(__xludf.DUMMYFUNCTION("""COMPUTED_VALUE"""),0.501724137931034)</f>
        <v>0.5017241379</v>
      </c>
      <c r="H164" s="16">
        <f>IFERROR(__xludf.DUMMYFUNCTION("""COMPUTED_VALUE"""),0.445595854922279)</f>
        <v>0.4455958549</v>
      </c>
      <c r="I164" s="16">
        <f>IFERROR(__xludf.DUMMYFUNCTION("""COMPUTED_VALUE"""),0.415944540727902)</f>
        <v>0.4159445407</v>
      </c>
      <c r="J164" s="16">
        <f>IFERROR(__xludf.DUMMYFUNCTION("""COMPUTED_VALUE"""),0.376083188908145)</f>
        <v>0.3760831889</v>
      </c>
      <c r="K164" s="16">
        <f>IFERROR(__xludf.DUMMYFUNCTION("""COMPUTED_VALUE"""),0.36741767764298)</f>
        <v>0.3674176776</v>
      </c>
      <c r="L164" s="16">
        <f>IFERROR(__xludf.DUMMYFUNCTION("""COMPUTED_VALUE"""),0.332755632582322)</f>
        <v>0.3327556326</v>
      </c>
      <c r="M164" s="16">
        <f>IFERROR(__xludf.DUMMYFUNCTION("""COMPUTED_VALUE"""),0.329268292682926)</f>
        <v>0.3292682927</v>
      </c>
      <c r="N164" s="16">
        <f>IFERROR(__xludf.DUMMYFUNCTION("""COMPUTED_VALUE"""),0.307420494699646)</f>
        <v>0.3074204947</v>
      </c>
      <c r="O164" s="16">
        <f>IFERROR(__xludf.DUMMYFUNCTION("""COMPUTED_VALUE"""),0.276729559748427)</f>
        <v>0.2767295597</v>
      </c>
      <c r="P164" s="16">
        <f>IFERROR(__xludf.DUMMYFUNCTION("""COMPUTED_VALUE"""),0.0)</f>
        <v>0</v>
      </c>
      <c r="Q164" s="16">
        <f>IFERROR(__xludf.DUMMYFUNCTION("""COMPUTED_VALUE"""),0.0)</f>
        <v>0</v>
      </c>
      <c r="R164" s="16">
        <f>IFERROR(__xludf.DUMMYFUNCTION("""COMPUTED_VALUE"""),0.0)</f>
        <v>0</v>
      </c>
      <c r="S164" s="16">
        <f>IFERROR(__xludf.DUMMYFUNCTION("""COMPUTED_VALUE"""),0.0)</f>
        <v>0</v>
      </c>
      <c r="T164" s="16">
        <f>IFERROR(__xludf.DUMMYFUNCTION("""COMPUTED_VALUE"""),0.0)</f>
        <v>0</v>
      </c>
      <c r="U164" s="16">
        <f>IFERROR(__xludf.DUMMYFUNCTION("""COMPUTED_VALUE"""),0.0)</f>
        <v>0</v>
      </c>
      <c r="V164" s="16">
        <f>IFERROR(__xludf.DUMMYFUNCTION("""COMPUTED_VALUE"""),0.0)</f>
        <v>0</v>
      </c>
      <c r="W164" s="16">
        <f>IFERROR(__xludf.DUMMYFUNCTION("""COMPUTED_VALUE"""),0.0)</f>
        <v>0</v>
      </c>
      <c r="X164" s="16">
        <f>IFERROR(__xludf.DUMMYFUNCTION("""COMPUTED_VALUE"""),0.0)</f>
        <v>0</v>
      </c>
      <c r="Y164" s="16">
        <f>IFERROR(__xludf.DUMMYFUNCTION("""COMPUTED_VALUE"""),0.0)</f>
        <v>0</v>
      </c>
      <c r="Z164" s="16">
        <f>IFERROR(__xludf.DUMMYFUNCTION("""COMPUTED_VALUE"""),0.0)</f>
        <v>0</v>
      </c>
      <c r="AA164" s="16">
        <f>IFERROR(__xludf.DUMMYFUNCTION("""COMPUTED_VALUE"""),0.0)</f>
        <v>0</v>
      </c>
      <c r="AB164" s="16">
        <f>IFERROR(__xludf.DUMMYFUNCTION("""COMPUTED_VALUE"""),0.0)</f>
        <v>0</v>
      </c>
      <c r="AC164" s="16">
        <f>IFERROR(__xludf.DUMMYFUNCTION("""COMPUTED_VALUE"""),0.0)</f>
        <v>0</v>
      </c>
      <c r="AD164" s="16">
        <f>IFERROR(__xludf.DUMMYFUNCTION("""COMPUTED_VALUE"""),0.0)</f>
        <v>0</v>
      </c>
      <c r="AE164" s="16">
        <f>IFERROR(__xludf.DUMMYFUNCTION("""COMPUTED_VALUE"""),0.0)</f>
        <v>0</v>
      </c>
      <c r="AF164" s="16">
        <f>IFERROR(__xludf.DUMMYFUNCTION("""COMPUTED_VALUE"""),0.0)</f>
        <v>0</v>
      </c>
      <c r="AG164" s="16">
        <f>IFERROR(__xludf.DUMMYFUNCTION("""COMPUTED_VALUE"""),0.0)</f>
        <v>0</v>
      </c>
      <c r="AH164" s="16">
        <f>IFERROR(__xludf.DUMMYFUNCTION("""COMPUTED_VALUE"""),0.0)</f>
        <v>0</v>
      </c>
    </row>
    <row r="165">
      <c r="A165" s="16" t="str">
        <f>IFERROR(__xludf.DUMMYFUNCTION("""COMPUTED_VALUE"""),"8f0fa62650413483426bef0ac7d66ca7627ab11f")</f>
        <v>8f0fa62650413483426bef0ac7d66ca7627ab11f</v>
      </c>
      <c r="B165" s="16" t="str">
        <f>IFERROR(__xludf.DUMMYFUNCTION("""COMPUTED_VALUE"""),"The Mind Reader: A Son-in-Law’s Revenge")</f>
        <v>The Mind Reader: A Son-in-Law’s Revenge</v>
      </c>
      <c r="C165" s="16" t="str">
        <f>IFERROR(__xludf.DUMMYFUNCTION("""COMPUTED_VALUE"""),"Drama")</f>
        <v>Drama</v>
      </c>
      <c r="D165" s="16">
        <f>IFERROR(__xludf.DUMMYFUNCTION("""COMPUTED_VALUE"""),651.0)</f>
        <v>651</v>
      </c>
      <c r="E165" s="16">
        <f>IFERROR(__xludf.DUMMYFUNCTION("""COMPUTED_VALUE"""),0.935483870967741)</f>
        <v>0.935483871</v>
      </c>
      <c r="F165" s="16">
        <f>IFERROR(__xludf.DUMMYFUNCTION("""COMPUTED_VALUE"""),0.678955453149001)</f>
        <v>0.6789554531</v>
      </c>
      <c r="G165" s="16">
        <f>IFERROR(__xludf.DUMMYFUNCTION("""COMPUTED_VALUE"""),0.56221198156682)</f>
        <v>0.5622119816</v>
      </c>
      <c r="H165" s="16">
        <f>IFERROR(__xludf.DUMMYFUNCTION("""COMPUTED_VALUE"""),0.500782472613458)</f>
        <v>0.5007824726</v>
      </c>
      <c r="I165" s="16">
        <f>IFERROR(__xludf.DUMMYFUNCTION("""COMPUTED_VALUE"""),0.418679549114331)</f>
        <v>0.4186795491</v>
      </c>
      <c r="J165" s="16">
        <f>IFERROR(__xludf.DUMMYFUNCTION("""COMPUTED_VALUE"""),0.396768402154398)</f>
        <v>0.3967684022</v>
      </c>
      <c r="K165" s="16">
        <f>IFERROR(__xludf.DUMMYFUNCTION("""COMPUTED_VALUE"""),0.378378378378378)</f>
        <v>0.3783783784</v>
      </c>
      <c r="L165" s="16">
        <f>IFERROR(__xludf.DUMMYFUNCTION("""COMPUTED_VALUE"""),0.372146118721461)</f>
        <v>0.3721461187</v>
      </c>
      <c r="M165" s="16">
        <f>IFERROR(__xludf.DUMMYFUNCTION("""COMPUTED_VALUE"""),0.3743961352657)</f>
        <v>0.3743961353</v>
      </c>
      <c r="N165" s="16">
        <f>IFERROR(__xludf.DUMMYFUNCTION("""COMPUTED_VALUE"""),0.365979381443298)</f>
        <v>0.3659793814</v>
      </c>
      <c r="O165" s="16">
        <f>IFERROR(__xludf.DUMMYFUNCTION("""COMPUTED_VALUE"""),0.309278350515463)</f>
        <v>0.3092783505</v>
      </c>
      <c r="P165" s="16">
        <f>IFERROR(__xludf.DUMMYFUNCTION("""COMPUTED_VALUE"""),0.209302325581395)</f>
        <v>0.2093023256</v>
      </c>
      <c r="Q165" s="16">
        <f>IFERROR(__xludf.DUMMYFUNCTION("""COMPUTED_VALUE"""),0.0961038961038961)</f>
        <v>0.0961038961</v>
      </c>
      <c r="R165" s="16">
        <f>IFERROR(__xludf.DUMMYFUNCTION("""COMPUTED_VALUE"""),0.0519480519480519)</f>
        <v>0.05194805195</v>
      </c>
      <c r="S165" s="16">
        <f>IFERROR(__xludf.DUMMYFUNCTION("""COMPUTED_VALUE"""),0.0)</f>
        <v>0</v>
      </c>
      <c r="T165" s="16">
        <f>IFERROR(__xludf.DUMMYFUNCTION("""COMPUTED_VALUE"""),0.0)</f>
        <v>0</v>
      </c>
      <c r="U165" s="16">
        <f>IFERROR(__xludf.DUMMYFUNCTION("""COMPUTED_VALUE"""),0.0)</f>
        <v>0</v>
      </c>
      <c r="V165" s="16">
        <f>IFERROR(__xludf.DUMMYFUNCTION("""COMPUTED_VALUE"""),0.0)</f>
        <v>0</v>
      </c>
      <c r="W165" s="16">
        <f>IFERROR(__xludf.DUMMYFUNCTION("""COMPUTED_VALUE"""),0.0)</f>
        <v>0</v>
      </c>
      <c r="X165" s="16">
        <f>IFERROR(__xludf.DUMMYFUNCTION("""COMPUTED_VALUE"""),0.0)</f>
        <v>0</v>
      </c>
      <c r="Y165" s="16">
        <f>IFERROR(__xludf.DUMMYFUNCTION("""COMPUTED_VALUE"""),0.0)</f>
        <v>0</v>
      </c>
      <c r="Z165" s="16">
        <f>IFERROR(__xludf.DUMMYFUNCTION("""COMPUTED_VALUE"""),0.0)</f>
        <v>0</v>
      </c>
      <c r="AA165" s="16">
        <f>IFERROR(__xludf.DUMMYFUNCTION("""COMPUTED_VALUE"""),0.0)</f>
        <v>0</v>
      </c>
      <c r="AB165" s="16">
        <f>IFERROR(__xludf.DUMMYFUNCTION("""COMPUTED_VALUE"""),0.0)</f>
        <v>0</v>
      </c>
      <c r="AC165" s="16">
        <f>IFERROR(__xludf.DUMMYFUNCTION("""COMPUTED_VALUE"""),0.0)</f>
        <v>0</v>
      </c>
      <c r="AD165" s="16">
        <f>IFERROR(__xludf.DUMMYFUNCTION("""COMPUTED_VALUE"""),0.0)</f>
        <v>0</v>
      </c>
      <c r="AE165" s="16">
        <f>IFERROR(__xludf.DUMMYFUNCTION("""COMPUTED_VALUE"""),0.0)</f>
        <v>0</v>
      </c>
      <c r="AF165" s="16">
        <f>IFERROR(__xludf.DUMMYFUNCTION("""COMPUTED_VALUE"""),0.0)</f>
        <v>0</v>
      </c>
      <c r="AG165" s="16">
        <f>IFERROR(__xludf.DUMMYFUNCTION("""COMPUTED_VALUE"""),0.0)</f>
        <v>0</v>
      </c>
      <c r="AH165" s="16">
        <f>IFERROR(__xludf.DUMMYFUNCTION("""COMPUTED_VALUE"""),0.0)</f>
        <v>0</v>
      </c>
    </row>
    <row r="166">
      <c r="A166" s="16" t="str">
        <f>IFERROR(__xludf.DUMMYFUNCTION("""COMPUTED_VALUE"""),"8f9097f70a41e0a3a637a3eb2b6551e036eb16b7")</f>
        <v>8f9097f70a41e0a3a637a3eb2b6551e036eb16b7</v>
      </c>
      <c r="B166" s="16" t="str">
        <f>IFERROR(__xludf.DUMMYFUNCTION("""COMPUTED_VALUE"""),"The Devine Root")</f>
        <v>The Devine Root</v>
      </c>
      <c r="C166" s="16" t="str">
        <f>IFERROR(__xludf.DUMMYFUNCTION("""COMPUTED_VALUE"""),"Fantasy")</f>
        <v>Fantasy</v>
      </c>
      <c r="D166" s="16">
        <f>IFERROR(__xludf.DUMMYFUNCTION("""COMPUTED_VALUE"""),283.0)</f>
        <v>283</v>
      </c>
      <c r="E166" s="16">
        <f>IFERROR(__xludf.DUMMYFUNCTION("""COMPUTED_VALUE"""),0.97173144876325)</f>
        <v>0.9717314488</v>
      </c>
      <c r="F166" s="16">
        <f>IFERROR(__xludf.DUMMYFUNCTION("""COMPUTED_VALUE"""),0.385159010600706)</f>
        <v>0.3851590106</v>
      </c>
      <c r="G166" s="16">
        <f>IFERROR(__xludf.DUMMYFUNCTION("""COMPUTED_VALUE"""),0.34982332155477)</f>
        <v>0.3498233216</v>
      </c>
      <c r="H166" s="16">
        <f>IFERROR(__xludf.DUMMYFUNCTION("""COMPUTED_VALUE"""),0.344696969696969)</f>
        <v>0.3446969697</v>
      </c>
      <c r="I166" s="16">
        <f>IFERROR(__xludf.DUMMYFUNCTION("""COMPUTED_VALUE"""),0.29718875502008)</f>
        <v>0.297188755</v>
      </c>
      <c r="J166" s="16">
        <f>IFERROR(__xludf.DUMMYFUNCTION("""COMPUTED_VALUE"""),0.279761904761904)</f>
        <v>0.2797619048</v>
      </c>
      <c r="K166" s="16">
        <f>IFERROR(__xludf.DUMMYFUNCTION("""COMPUTED_VALUE"""),0.323232323232323)</f>
        <v>0.3232323232</v>
      </c>
      <c r="L166" s="16">
        <f>IFERROR(__xludf.DUMMYFUNCTION("""COMPUTED_VALUE"""),0.388888888888888)</f>
        <v>0.3888888889</v>
      </c>
      <c r="M166" s="16">
        <f>IFERROR(__xludf.DUMMYFUNCTION("""COMPUTED_VALUE"""),0.384615384615384)</f>
        <v>0.3846153846</v>
      </c>
      <c r="N166" s="16">
        <f>IFERROR(__xludf.DUMMYFUNCTION("""COMPUTED_VALUE"""),0.372549019607843)</f>
        <v>0.3725490196</v>
      </c>
      <c r="O166" s="16">
        <f>IFERROR(__xludf.DUMMYFUNCTION("""COMPUTED_VALUE"""),0.392857142857142)</f>
        <v>0.3928571429</v>
      </c>
      <c r="P166" s="16">
        <f>IFERROR(__xludf.DUMMYFUNCTION("""COMPUTED_VALUE"""),0.555555555555555)</f>
        <v>0.5555555556</v>
      </c>
      <c r="Q166" s="16">
        <f>IFERROR(__xludf.DUMMYFUNCTION("""COMPUTED_VALUE"""),0.0)</f>
        <v>0</v>
      </c>
      <c r="R166" s="16">
        <f>IFERROR(__xludf.DUMMYFUNCTION("""COMPUTED_VALUE"""),0.0)</f>
        <v>0</v>
      </c>
      <c r="S166" s="16">
        <f>IFERROR(__xludf.DUMMYFUNCTION("""COMPUTED_VALUE"""),0.0)</f>
        <v>0</v>
      </c>
      <c r="T166" s="16">
        <f>IFERROR(__xludf.DUMMYFUNCTION("""COMPUTED_VALUE"""),0.0)</f>
        <v>0</v>
      </c>
      <c r="U166" s="16">
        <f>IFERROR(__xludf.DUMMYFUNCTION("""COMPUTED_VALUE"""),0.0)</f>
        <v>0</v>
      </c>
      <c r="V166" s="16">
        <f>IFERROR(__xludf.DUMMYFUNCTION("""COMPUTED_VALUE"""),0.0)</f>
        <v>0</v>
      </c>
      <c r="W166" s="16">
        <f>IFERROR(__xludf.DUMMYFUNCTION("""COMPUTED_VALUE"""),0.0)</f>
        <v>0</v>
      </c>
      <c r="X166" s="16">
        <f>IFERROR(__xludf.DUMMYFUNCTION("""COMPUTED_VALUE"""),0.0)</f>
        <v>0</v>
      </c>
      <c r="Y166" s="16">
        <f>IFERROR(__xludf.DUMMYFUNCTION("""COMPUTED_VALUE"""),0.0)</f>
        <v>0</v>
      </c>
      <c r="Z166" s="16">
        <f>IFERROR(__xludf.DUMMYFUNCTION("""COMPUTED_VALUE"""),0.0)</f>
        <v>0</v>
      </c>
      <c r="AA166" s="16">
        <f>IFERROR(__xludf.DUMMYFUNCTION("""COMPUTED_VALUE"""),0.0)</f>
        <v>0</v>
      </c>
      <c r="AB166" s="16">
        <f>IFERROR(__xludf.DUMMYFUNCTION("""COMPUTED_VALUE"""),0.0)</f>
        <v>0</v>
      </c>
      <c r="AC166" s="16">
        <f>IFERROR(__xludf.DUMMYFUNCTION("""COMPUTED_VALUE"""),0.0)</f>
        <v>0</v>
      </c>
      <c r="AD166" s="16">
        <f>IFERROR(__xludf.DUMMYFUNCTION("""COMPUTED_VALUE"""),0.0)</f>
        <v>0</v>
      </c>
      <c r="AE166" s="16">
        <f>IFERROR(__xludf.DUMMYFUNCTION("""COMPUTED_VALUE"""),0.0)</f>
        <v>0</v>
      </c>
      <c r="AF166" s="16">
        <f>IFERROR(__xludf.DUMMYFUNCTION("""COMPUTED_VALUE"""),0.0)</f>
        <v>0</v>
      </c>
      <c r="AG166" s="16">
        <f>IFERROR(__xludf.DUMMYFUNCTION("""COMPUTED_VALUE"""),0.0)</f>
        <v>0</v>
      </c>
      <c r="AH166" s="16">
        <f>IFERROR(__xludf.DUMMYFUNCTION("""COMPUTED_VALUE"""),0.0)</f>
        <v>0</v>
      </c>
    </row>
    <row r="167">
      <c r="A167" s="16" t="str">
        <f>IFERROR(__xludf.DUMMYFUNCTION("""COMPUTED_VALUE"""),"8fc0fc1659f3b419e6fa13d9cb59b0e57bfec096")</f>
        <v>8fc0fc1659f3b419e6fa13d9cb59b0e57bfec096</v>
      </c>
      <c r="B167" s="16" t="str">
        <f>IFERROR(__xludf.DUMMYFUNCTION("""COMPUTED_VALUE"""),"The Exiled Heir")</f>
        <v>The Exiled Heir</v>
      </c>
      <c r="C167" s="16" t="str">
        <f>IFERROR(__xludf.DUMMYFUNCTION("""COMPUTED_VALUE"""),"Drama")</f>
        <v>Drama</v>
      </c>
      <c r="D167" s="16">
        <f>IFERROR(__xludf.DUMMYFUNCTION("""COMPUTED_VALUE"""),7839.0)</f>
        <v>7839</v>
      </c>
      <c r="E167" s="16">
        <f>IFERROR(__xludf.DUMMYFUNCTION("""COMPUTED_VALUE"""),0.928689883913764)</f>
        <v>0.9286898839</v>
      </c>
      <c r="F167" s="16">
        <f>IFERROR(__xludf.DUMMYFUNCTION("""COMPUTED_VALUE"""),0.620359739762724)</f>
        <v>0.6203597398</v>
      </c>
      <c r="G167" s="16">
        <f>IFERROR(__xludf.DUMMYFUNCTION("""COMPUTED_VALUE"""),0.558872305140961)</f>
        <v>0.5588723051</v>
      </c>
      <c r="H167" s="16">
        <f>IFERROR(__xludf.DUMMYFUNCTION("""COMPUTED_VALUE"""),0.527135742561614)</f>
        <v>0.5271357426</v>
      </c>
      <c r="I167" s="16">
        <f>IFERROR(__xludf.DUMMYFUNCTION("""COMPUTED_VALUE"""),0.492128503775758)</f>
        <v>0.4921285038</v>
      </c>
      <c r="J167" s="16">
        <f>IFERROR(__xludf.DUMMYFUNCTION("""COMPUTED_VALUE"""),0.468645592392701)</f>
        <v>0.4686455924</v>
      </c>
      <c r="K167" s="16">
        <f>IFERROR(__xludf.DUMMYFUNCTION("""COMPUTED_VALUE"""),0.443684685846987)</f>
        <v>0.4436846858</v>
      </c>
      <c r="L167" s="16">
        <f>IFERROR(__xludf.DUMMYFUNCTION("""COMPUTED_VALUE"""),0.427794327159694)</f>
        <v>0.4277943272</v>
      </c>
      <c r="M167" s="16">
        <f>IFERROR(__xludf.DUMMYFUNCTION("""COMPUTED_VALUE"""),0.412055079241361)</f>
        <v>0.4120550792</v>
      </c>
      <c r="N167" s="16">
        <f>IFERROR(__xludf.DUMMYFUNCTION("""COMPUTED_VALUE"""),0.397028154327424)</f>
        <v>0.3970281543</v>
      </c>
      <c r="O167" s="16">
        <f>IFERROR(__xludf.DUMMYFUNCTION("""COMPUTED_VALUE"""),0.365775827682489)</f>
        <v>0.3657758277</v>
      </c>
      <c r="P167" s="16">
        <f>IFERROR(__xludf.DUMMYFUNCTION("""COMPUTED_VALUE"""),0.294726802016623)</f>
        <v>0.294726802</v>
      </c>
      <c r="Q167" s="16">
        <f>IFERROR(__xludf.DUMMYFUNCTION("""COMPUTED_VALUE"""),0.206861313868613)</f>
        <v>0.2068613139</v>
      </c>
      <c r="R167" s="16">
        <f>IFERROR(__xludf.DUMMYFUNCTION("""COMPUTED_VALUE"""),0.146672842365292)</f>
        <v>0.1466728424</v>
      </c>
      <c r="S167" s="16">
        <f>IFERROR(__xludf.DUMMYFUNCTION("""COMPUTED_VALUE"""),0.119789050728277)</f>
        <v>0.1197890507</v>
      </c>
      <c r="T167" s="16">
        <f>IFERROR(__xludf.DUMMYFUNCTION("""COMPUTED_VALUE"""),0.0741433021806853)</f>
        <v>0.07414330218</v>
      </c>
      <c r="U167" s="16">
        <f>IFERROR(__xludf.DUMMYFUNCTION("""COMPUTED_VALUE"""),0.181818181818181)</f>
        <v>0.1818181818</v>
      </c>
      <c r="V167" s="16">
        <f>IFERROR(__xludf.DUMMYFUNCTION("""COMPUTED_VALUE"""),0.0)</f>
        <v>0</v>
      </c>
      <c r="W167" s="16">
        <f>IFERROR(__xludf.DUMMYFUNCTION("""COMPUTED_VALUE"""),0.0)</f>
        <v>0</v>
      </c>
      <c r="X167" s="16">
        <f>IFERROR(__xludf.DUMMYFUNCTION("""COMPUTED_VALUE"""),0.0)</f>
        <v>0</v>
      </c>
      <c r="Y167" s="16">
        <f>IFERROR(__xludf.DUMMYFUNCTION("""COMPUTED_VALUE"""),0.0)</f>
        <v>0</v>
      </c>
      <c r="Z167" s="16">
        <f>IFERROR(__xludf.DUMMYFUNCTION("""COMPUTED_VALUE"""),0.0)</f>
        <v>0</v>
      </c>
      <c r="AA167" s="16">
        <f>IFERROR(__xludf.DUMMYFUNCTION("""COMPUTED_VALUE"""),0.0)</f>
        <v>0</v>
      </c>
      <c r="AB167" s="16">
        <f>IFERROR(__xludf.DUMMYFUNCTION("""COMPUTED_VALUE"""),0.0)</f>
        <v>0</v>
      </c>
      <c r="AC167" s="16">
        <f>IFERROR(__xludf.DUMMYFUNCTION("""COMPUTED_VALUE"""),0.0)</f>
        <v>0</v>
      </c>
      <c r="AD167" s="16">
        <f>IFERROR(__xludf.DUMMYFUNCTION("""COMPUTED_VALUE"""),0.0)</f>
        <v>0</v>
      </c>
      <c r="AE167" s="16">
        <f>IFERROR(__xludf.DUMMYFUNCTION("""COMPUTED_VALUE"""),0.0)</f>
        <v>0</v>
      </c>
      <c r="AF167" s="16">
        <f>IFERROR(__xludf.DUMMYFUNCTION("""COMPUTED_VALUE"""),0.0)</f>
        <v>0</v>
      </c>
      <c r="AG167" s="16">
        <f>IFERROR(__xludf.DUMMYFUNCTION("""COMPUTED_VALUE"""),0.0)</f>
        <v>0</v>
      </c>
      <c r="AH167" s="16">
        <f>IFERROR(__xludf.DUMMYFUNCTION("""COMPUTED_VALUE"""),0.0)</f>
        <v>0</v>
      </c>
    </row>
    <row r="168">
      <c r="A168" s="16" t="str">
        <f>IFERROR(__xludf.DUMMYFUNCTION("""COMPUTED_VALUE"""),"9187815245dbab381e06e99b89e34db3f811e066")</f>
        <v>9187815245dbab381e06e99b89e34db3f811e066</v>
      </c>
      <c r="B168" s="16" t="str">
        <f>IFERROR(__xludf.DUMMYFUNCTION("""COMPUTED_VALUE"""),"Billionaire's Pursuit")</f>
        <v>Billionaire's Pursuit</v>
      </c>
      <c r="C168" s="16" t="str">
        <f>IFERROR(__xludf.DUMMYFUNCTION("""COMPUTED_VALUE"""),"Romance")</f>
        <v>Romance</v>
      </c>
      <c r="D168" s="16">
        <f>IFERROR(__xludf.DUMMYFUNCTION("""COMPUTED_VALUE"""),106.0)</f>
        <v>106</v>
      </c>
      <c r="E168" s="16">
        <f>IFERROR(__xludf.DUMMYFUNCTION("""COMPUTED_VALUE"""),0.933962264150943)</f>
        <v>0.9339622642</v>
      </c>
      <c r="F168" s="16">
        <f>IFERROR(__xludf.DUMMYFUNCTION("""COMPUTED_VALUE"""),0.415094339622641)</f>
        <v>0.4150943396</v>
      </c>
      <c r="G168" s="16">
        <f>IFERROR(__xludf.DUMMYFUNCTION("""COMPUTED_VALUE"""),0.339622641509433)</f>
        <v>0.3396226415</v>
      </c>
      <c r="H168" s="16">
        <f>IFERROR(__xludf.DUMMYFUNCTION("""COMPUTED_VALUE"""),0.245283018867924)</f>
        <v>0.2452830189</v>
      </c>
      <c r="I168" s="16">
        <f>IFERROR(__xludf.DUMMYFUNCTION("""COMPUTED_VALUE"""),0.133333333333333)</f>
        <v>0.1333333333</v>
      </c>
      <c r="J168" s="16">
        <f>IFERROR(__xludf.DUMMYFUNCTION("""COMPUTED_VALUE"""),0.134615384615384)</f>
        <v>0.1346153846</v>
      </c>
      <c r="K168" s="16">
        <f>IFERROR(__xludf.DUMMYFUNCTION("""COMPUTED_VALUE"""),0.10204081632653)</f>
        <v>0.1020408163</v>
      </c>
      <c r="L168" s="16">
        <f>IFERROR(__xludf.DUMMYFUNCTION("""COMPUTED_VALUE"""),0.103092783505154)</f>
        <v>0.1030927835</v>
      </c>
      <c r="M168" s="16">
        <f>IFERROR(__xludf.DUMMYFUNCTION("""COMPUTED_VALUE"""),0.0824742268041237)</f>
        <v>0.0824742268</v>
      </c>
      <c r="N168" s="16">
        <f>IFERROR(__xludf.DUMMYFUNCTION("""COMPUTED_VALUE"""),0.0851063829787234)</f>
        <v>0.08510638298</v>
      </c>
      <c r="O168" s="16">
        <f>IFERROR(__xludf.DUMMYFUNCTION("""COMPUTED_VALUE"""),0.134831460674157)</f>
        <v>0.1348314607</v>
      </c>
      <c r="P168" s="16">
        <f>IFERROR(__xludf.DUMMYFUNCTION("""COMPUTED_VALUE"""),0.0804597701149425)</f>
        <v>0.08045977011</v>
      </c>
      <c r="Q168" s="16">
        <f>IFERROR(__xludf.DUMMYFUNCTION("""COMPUTED_VALUE"""),0.04)</f>
        <v>0.04</v>
      </c>
      <c r="R168" s="16">
        <f>IFERROR(__xludf.DUMMYFUNCTION("""COMPUTED_VALUE"""),0.0)</f>
        <v>0</v>
      </c>
      <c r="S168" s="16">
        <f>IFERROR(__xludf.DUMMYFUNCTION("""COMPUTED_VALUE"""),0.0)</f>
        <v>0</v>
      </c>
      <c r="T168" s="16">
        <f>IFERROR(__xludf.DUMMYFUNCTION("""COMPUTED_VALUE"""),0.0)</f>
        <v>0</v>
      </c>
      <c r="U168" s="16">
        <f>IFERROR(__xludf.DUMMYFUNCTION("""COMPUTED_VALUE"""),0.0)</f>
        <v>0</v>
      </c>
      <c r="V168" s="16">
        <f>IFERROR(__xludf.DUMMYFUNCTION("""COMPUTED_VALUE"""),0.0)</f>
        <v>0</v>
      </c>
      <c r="W168" s="16">
        <f>IFERROR(__xludf.DUMMYFUNCTION("""COMPUTED_VALUE"""),0.0)</f>
        <v>0</v>
      </c>
      <c r="X168" s="16">
        <f>IFERROR(__xludf.DUMMYFUNCTION("""COMPUTED_VALUE"""),0.0)</f>
        <v>0</v>
      </c>
      <c r="Y168" s="16">
        <f>IFERROR(__xludf.DUMMYFUNCTION("""COMPUTED_VALUE"""),0.0)</f>
        <v>0</v>
      </c>
      <c r="Z168" s="16">
        <f>IFERROR(__xludf.DUMMYFUNCTION("""COMPUTED_VALUE"""),0.0)</f>
        <v>0</v>
      </c>
      <c r="AA168" s="16">
        <f>IFERROR(__xludf.DUMMYFUNCTION("""COMPUTED_VALUE"""),0.0)</f>
        <v>0</v>
      </c>
      <c r="AB168" s="16">
        <f>IFERROR(__xludf.DUMMYFUNCTION("""COMPUTED_VALUE"""),0.0)</f>
        <v>0</v>
      </c>
      <c r="AC168" s="16">
        <f>IFERROR(__xludf.DUMMYFUNCTION("""COMPUTED_VALUE"""),0.0)</f>
        <v>0</v>
      </c>
      <c r="AD168" s="16">
        <f>IFERROR(__xludf.DUMMYFUNCTION("""COMPUTED_VALUE"""),0.0)</f>
        <v>0</v>
      </c>
      <c r="AE168" s="16">
        <f>IFERROR(__xludf.DUMMYFUNCTION("""COMPUTED_VALUE"""),0.0)</f>
        <v>0</v>
      </c>
      <c r="AF168" s="16">
        <f>IFERROR(__xludf.DUMMYFUNCTION("""COMPUTED_VALUE"""),0.0)</f>
        <v>0</v>
      </c>
      <c r="AG168" s="16">
        <f>IFERROR(__xludf.DUMMYFUNCTION("""COMPUTED_VALUE"""),0.0)</f>
        <v>0</v>
      </c>
      <c r="AH168" s="16">
        <f>IFERROR(__xludf.DUMMYFUNCTION("""COMPUTED_VALUE"""),0.0)</f>
        <v>0</v>
      </c>
    </row>
    <row r="169">
      <c r="A169" s="16" t="str">
        <f>IFERROR(__xludf.DUMMYFUNCTION("""COMPUTED_VALUE"""),"91df72ab8ef7c2a2797ba2a98264b6e4037cebc4")</f>
        <v>91df72ab8ef7c2a2797ba2a98264b6e4037cebc4</v>
      </c>
      <c r="B169" s="16" t="str">
        <f>IFERROR(__xludf.DUMMYFUNCTION("""COMPUTED_VALUE"""),"The Upgrade Gamer")</f>
        <v>The Upgrade Gamer</v>
      </c>
      <c r="C169" s="16" t="str">
        <f>IFERROR(__xludf.DUMMYFUNCTION("""COMPUTED_VALUE"""),"System and Superpower")</f>
        <v>System and Superpower</v>
      </c>
      <c r="D169" s="16">
        <f>IFERROR(__xludf.DUMMYFUNCTION("""COMPUTED_VALUE"""),265.0)</f>
        <v>265</v>
      </c>
      <c r="E169" s="16">
        <f>IFERROR(__xludf.DUMMYFUNCTION("""COMPUTED_VALUE"""),0.984905660377358)</f>
        <v>0.9849056604</v>
      </c>
      <c r="F169" s="16">
        <f>IFERROR(__xludf.DUMMYFUNCTION("""COMPUTED_VALUE"""),0.739622641509433)</f>
        <v>0.7396226415</v>
      </c>
      <c r="G169" s="16">
        <f>IFERROR(__xludf.DUMMYFUNCTION("""COMPUTED_VALUE"""),0.652830188679245)</f>
        <v>0.6528301887</v>
      </c>
      <c r="H169" s="16">
        <f>IFERROR(__xludf.DUMMYFUNCTION("""COMPUTED_VALUE"""),0.617424242424242)</f>
        <v>0.6174242424</v>
      </c>
      <c r="I169" s="16">
        <f>IFERROR(__xludf.DUMMYFUNCTION("""COMPUTED_VALUE"""),0.583969465648855)</f>
        <v>0.5839694656</v>
      </c>
      <c r="J169" s="16">
        <f>IFERROR(__xludf.DUMMYFUNCTION("""COMPUTED_VALUE"""),0.542635658914728)</f>
        <v>0.5426356589</v>
      </c>
      <c r="K169" s="16">
        <f>IFERROR(__xludf.DUMMYFUNCTION("""COMPUTED_VALUE"""),0.517647058823529)</f>
        <v>0.5176470588</v>
      </c>
      <c r="L169" s="16">
        <f>IFERROR(__xludf.DUMMYFUNCTION("""COMPUTED_VALUE"""),0.496062992125984)</f>
        <v>0.4960629921</v>
      </c>
      <c r="M169" s="16">
        <f>IFERROR(__xludf.DUMMYFUNCTION("""COMPUTED_VALUE"""),0.452380952380952)</f>
        <v>0.4523809524</v>
      </c>
      <c r="N169" s="16">
        <f>IFERROR(__xludf.DUMMYFUNCTION("""COMPUTED_VALUE"""),0.418326693227091)</f>
        <v>0.4183266932</v>
      </c>
      <c r="O169" s="16">
        <f>IFERROR(__xludf.DUMMYFUNCTION("""COMPUTED_VALUE"""),0.305555555555555)</f>
        <v>0.3055555556</v>
      </c>
      <c r="P169" s="16">
        <f>IFERROR(__xludf.DUMMYFUNCTION("""COMPUTED_VALUE"""),0.0)</f>
        <v>0</v>
      </c>
      <c r="Q169" s="16">
        <f>IFERROR(__xludf.DUMMYFUNCTION("""COMPUTED_VALUE"""),0.0)</f>
        <v>0</v>
      </c>
      <c r="R169" s="16">
        <f>IFERROR(__xludf.DUMMYFUNCTION("""COMPUTED_VALUE"""),0.0)</f>
        <v>0</v>
      </c>
      <c r="S169" s="16">
        <f>IFERROR(__xludf.DUMMYFUNCTION("""COMPUTED_VALUE"""),0.0)</f>
        <v>0</v>
      </c>
      <c r="T169" s="16">
        <f>IFERROR(__xludf.DUMMYFUNCTION("""COMPUTED_VALUE"""),0.0)</f>
        <v>0</v>
      </c>
      <c r="U169" s="16">
        <f>IFERROR(__xludf.DUMMYFUNCTION("""COMPUTED_VALUE"""),0.0)</f>
        <v>0</v>
      </c>
      <c r="V169" s="16">
        <f>IFERROR(__xludf.DUMMYFUNCTION("""COMPUTED_VALUE"""),0.0)</f>
        <v>0</v>
      </c>
      <c r="W169" s="16">
        <f>IFERROR(__xludf.DUMMYFUNCTION("""COMPUTED_VALUE"""),0.0)</f>
        <v>0</v>
      </c>
      <c r="X169" s="16">
        <f>IFERROR(__xludf.DUMMYFUNCTION("""COMPUTED_VALUE"""),0.0)</f>
        <v>0</v>
      </c>
      <c r="Y169" s="16">
        <f>IFERROR(__xludf.DUMMYFUNCTION("""COMPUTED_VALUE"""),0.0)</f>
        <v>0</v>
      </c>
      <c r="Z169" s="16">
        <f>IFERROR(__xludf.DUMMYFUNCTION("""COMPUTED_VALUE"""),0.0)</f>
        <v>0</v>
      </c>
      <c r="AA169" s="16">
        <f>IFERROR(__xludf.DUMMYFUNCTION("""COMPUTED_VALUE"""),0.0)</f>
        <v>0</v>
      </c>
      <c r="AB169" s="16">
        <f>IFERROR(__xludf.DUMMYFUNCTION("""COMPUTED_VALUE"""),0.0)</f>
        <v>0</v>
      </c>
      <c r="AC169" s="16">
        <f>IFERROR(__xludf.DUMMYFUNCTION("""COMPUTED_VALUE"""),0.0)</f>
        <v>0</v>
      </c>
      <c r="AD169" s="16">
        <f>IFERROR(__xludf.DUMMYFUNCTION("""COMPUTED_VALUE"""),0.0)</f>
        <v>0</v>
      </c>
      <c r="AE169" s="16">
        <f>IFERROR(__xludf.DUMMYFUNCTION("""COMPUTED_VALUE"""),0.0)</f>
        <v>0</v>
      </c>
      <c r="AF169" s="16">
        <f>IFERROR(__xludf.DUMMYFUNCTION("""COMPUTED_VALUE"""),0.0)</f>
        <v>0</v>
      </c>
      <c r="AG169" s="16">
        <f>IFERROR(__xludf.DUMMYFUNCTION("""COMPUTED_VALUE"""),0.0)</f>
        <v>0</v>
      </c>
      <c r="AH169" s="16">
        <f>IFERROR(__xludf.DUMMYFUNCTION("""COMPUTED_VALUE"""),0.0)</f>
        <v>0</v>
      </c>
    </row>
    <row r="170">
      <c r="A170" s="16" t="str">
        <f>IFERROR(__xludf.DUMMYFUNCTION("""COMPUTED_VALUE"""),"9236a79ea4f06488372a41ebcc7a4f0fbfc7b1c3")</f>
        <v>9236a79ea4f06488372a41ebcc7a4f0fbfc7b1c3</v>
      </c>
      <c r="B170" s="16" t="str">
        <f>IFERROR(__xludf.DUMMYFUNCTION("""COMPUTED_VALUE"""),"King of Mercenaries")</f>
        <v>King of Mercenaries</v>
      </c>
      <c r="C170" s="16" t="str">
        <f>IFERROR(__xludf.DUMMYFUNCTION("""COMPUTED_VALUE"""),"Suspense or Thriller")</f>
        <v>Suspense or Thriller</v>
      </c>
      <c r="D170" s="16">
        <f>IFERROR(__xludf.DUMMYFUNCTION("""COMPUTED_VALUE"""),109.0)</f>
        <v>109</v>
      </c>
      <c r="E170" s="16">
        <f>IFERROR(__xludf.DUMMYFUNCTION("""COMPUTED_VALUE"""),0.981651376146789)</f>
        <v>0.9816513761</v>
      </c>
      <c r="F170" s="16">
        <f>IFERROR(__xludf.DUMMYFUNCTION("""COMPUTED_VALUE"""),0.385321100917431)</f>
        <v>0.3853211009</v>
      </c>
      <c r="G170" s="16">
        <f>IFERROR(__xludf.DUMMYFUNCTION("""COMPUTED_VALUE"""),0.376146788990825)</f>
        <v>0.376146789</v>
      </c>
      <c r="H170" s="16">
        <f>IFERROR(__xludf.DUMMYFUNCTION("""COMPUTED_VALUE"""),0.324074074074074)</f>
        <v>0.3240740741</v>
      </c>
      <c r="I170" s="16">
        <f>IFERROR(__xludf.DUMMYFUNCTION("""COMPUTED_VALUE"""),0.305555555555555)</f>
        <v>0.3055555556</v>
      </c>
      <c r="J170" s="16">
        <f>IFERROR(__xludf.DUMMYFUNCTION("""COMPUTED_VALUE"""),0.25)</f>
        <v>0.25</v>
      </c>
      <c r="K170" s="16">
        <f>IFERROR(__xludf.DUMMYFUNCTION("""COMPUTED_VALUE"""),0.237113402061855)</f>
        <v>0.2371134021</v>
      </c>
      <c r="L170" s="16">
        <f>IFERROR(__xludf.DUMMYFUNCTION("""COMPUTED_VALUE"""),0.234042553191489)</f>
        <v>0.2340425532</v>
      </c>
      <c r="M170" s="16">
        <f>IFERROR(__xludf.DUMMYFUNCTION("""COMPUTED_VALUE"""),0.235955056179775)</f>
        <v>0.2359550562</v>
      </c>
      <c r="N170" s="16">
        <f>IFERROR(__xludf.DUMMYFUNCTION("""COMPUTED_VALUE"""),0.2125)</f>
        <v>0.2125</v>
      </c>
      <c r="O170" s="16">
        <f>IFERROR(__xludf.DUMMYFUNCTION("""COMPUTED_VALUE"""),0.210526315789473)</f>
        <v>0.2105263158</v>
      </c>
      <c r="P170" s="16">
        <f>IFERROR(__xludf.DUMMYFUNCTION("""COMPUTED_VALUE"""),0.261904761904761)</f>
        <v>0.2619047619</v>
      </c>
      <c r="Q170" s="16">
        <f>IFERROR(__xludf.DUMMYFUNCTION("""COMPUTED_VALUE"""),0.19047619047619)</f>
        <v>0.1904761905</v>
      </c>
      <c r="R170" s="16">
        <f>IFERROR(__xludf.DUMMYFUNCTION("""COMPUTED_VALUE"""),0.111111111111111)</f>
        <v>0.1111111111</v>
      </c>
      <c r="S170" s="16">
        <f>IFERROR(__xludf.DUMMYFUNCTION("""COMPUTED_VALUE"""),0.0)</f>
        <v>0</v>
      </c>
      <c r="T170" s="16">
        <f>IFERROR(__xludf.DUMMYFUNCTION("""COMPUTED_VALUE"""),0.0)</f>
        <v>0</v>
      </c>
      <c r="U170" s="16">
        <f>IFERROR(__xludf.DUMMYFUNCTION("""COMPUTED_VALUE"""),0.0)</f>
        <v>0</v>
      </c>
      <c r="V170" s="16">
        <f>IFERROR(__xludf.DUMMYFUNCTION("""COMPUTED_VALUE"""),0.0)</f>
        <v>0</v>
      </c>
      <c r="W170" s="16">
        <f>IFERROR(__xludf.DUMMYFUNCTION("""COMPUTED_VALUE"""),0.0)</f>
        <v>0</v>
      </c>
      <c r="X170" s="16">
        <f>IFERROR(__xludf.DUMMYFUNCTION("""COMPUTED_VALUE"""),0.0)</f>
        <v>0</v>
      </c>
      <c r="Y170" s="16">
        <f>IFERROR(__xludf.DUMMYFUNCTION("""COMPUTED_VALUE"""),0.0)</f>
        <v>0</v>
      </c>
      <c r="Z170" s="16">
        <f>IFERROR(__xludf.DUMMYFUNCTION("""COMPUTED_VALUE"""),0.0)</f>
        <v>0</v>
      </c>
      <c r="AA170" s="16">
        <f>IFERROR(__xludf.DUMMYFUNCTION("""COMPUTED_VALUE"""),0.0)</f>
        <v>0</v>
      </c>
      <c r="AB170" s="16">
        <f>IFERROR(__xludf.DUMMYFUNCTION("""COMPUTED_VALUE"""),0.0)</f>
        <v>0</v>
      </c>
      <c r="AC170" s="16">
        <f>IFERROR(__xludf.DUMMYFUNCTION("""COMPUTED_VALUE"""),0.0)</f>
        <v>0</v>
      </c>
      <c r="AD170" s="16">
        <f>IFERROR(__xludf.DUMMYFUNCTION("""COMPUTED_VALUE"""),0.0)</f>
        <v>0</v>
      </c>
      <c r="AE170" s="16">
        <f>IFERROR(__xludf.DUMMYFUNCTION("""COMPUTED_VALUE"""),0.0)</f>
        <v>0</v>
      </c>
      <c r="AF170" s="16">
        <f>IFERROR(__xludf.DUMMYFUNCTION("""COMPUTED_VALUE"""),0.0)</f>
        <v>0</v>
      </c>
      <c r="AG170" s="16">
        <f>IFERROR(__xludf.DUMMYFUNCTION("""COMPUTED_VALUE"""),0.0)</f>
        <v>0</v>
      </c>
      <c r="AH170" s="16">
        <f>IFERROR(__xludf.DUMMYFUNCTION("""COMPUTED_VALUE"""),0.0)</f>
        <v>0</v>
      </c>
    </row>
    <row r="171">
      <c r="A171" s="16" t="str">
        <f>IFERROR(__xludf.DUMMYFUNCTION("""COMPUTED_VALUE"""),"94d808231f41a64988f80a2739e6a748f1278c28")</f>
        <v>94d808231f41a64988f80a2739e6a748f1278c28</v>
      </c>
      <c r="B171" s="16" t="str">
        <f>IFERROR(__xludf.DUMMYFUNCTION("""COMPUTED_VALUE"""),"My Amazing Husband's Life")</f>
        <v>My Amazing Husband's Life</v>
      </c>
      <c r="C171" s="16" t="str">
        <f>IFERROR(__xludf.DUMMYFUNCTION("""COMPUTED_VALUE"""),"Drama")</f>
        <v>Drama</v>
      </c>
      <c r="D171" s="16">
        <f>IFERROR(__xludf.DUMMYFUNCTION("""COMPUTED_VALUE"""),598.0)</f>
        <v>598</v>
      </c>
      <c r="E171" s="16">
        <f>IFERROR(__xludf.DUMMYFUNCTION("""COMPUTED_VALUE"""),0.97324414715719)</f>
        <v>0.9732441472</v>
      </c>
      <c r="F171" s="16">
        <f>IFERROR(__xludf.DUMMYFUNCTION("""COMPUTED_VALUE"""),0.563545150501672)</f>
        <v>0.5635451505</v>
      </c>
      <c r="G171" s="16">
        <f>IFERROR(__xludf.DUMMYFUNCTION("""COMPUTED_VALUE"""),0.498327759197324)</f>
        <v>0.4983277592</v>
      </c>
      <c r="H171" s="16">
        <f>IFERROR(__xludf.DUMMYFUNCTION("""COMPUTED_VALUE"""),0.452261306532663)</f>
        <v>0.4522613065</v>
      </c>
      <c r="I171" s="16">
        <f>IFERROR(__xludf.DUMMYFUNCTION("""COMPUTED_VALUE"""),0.413559322033898)</f>
        <v>0.413559322</v>
      </c>
      <c r="J171" s="16">
        <f>IFERROR(__xludf.DUMMYFUNCTION("""COMPUTED_VALUE"""),0.394366197183098)</f>
        <v>0.3943661972</v>
      </c>
      <c r="K171" s="16">
        <f>IFERROR(__xludf.DUMMYFUNCTION("""COMPUTED_VALUE"""),0.369318181818181)</f>
        <v>0.3693181818</v>
      </c>
      <c r="L171" s="16">
        <f>IFERROR(__xludf.DUMMYFUNCTION("""COMPUTED_VALUE"""),0.37029702970297)</f>
        <v>0.3702970297</v>
      </c>
      <c r="M171" s="16">
        <f>IFERROR(__xludf.DUMMYFUNCTION("""COMPUTED_VALUE"""),0.343621399176954)</f>
        <v>0.3436213992</v>
      </c>
      <c r="N171" s="16">
        <f>IFERROR(__xludf.DUMMYFUNCTION("""COMPUTED_VALUE"""),0.326436781609195)</f>
        <v>0.3264367816</v>
      </c>
      <c r="O171" s="16">
        <f>IFERROR(__xludf.DUMMYFUNCTION("""COMPUTED_VALUE"""),0.278106508875739)</f>
        <v>0.2781065089</v>
      </c>
      <c r="P171" s="16">
        <f>IFERROR(__xludf.DUMMYFUNCTION("""COMPUTED_VALUE"""),0.251937984496124)</f>
        <v>0.2519379845</v>
      </c>
      <c r="Q171" s="16">
        <f>IFERROR(__xludf.DUMMYFUNCTION("""COMPUTED_VALUE"""),0.0606060606060606)</f>
        <v>0.06060606061</v>
      </c>
      <c r="R171" s="16">
        <f>IFERROR(__xludf.DUMMYFUNCTION("""COMPUTED_VALUE"""),0.0)</f>
        <v>0</v>
      </c>
      <c r="S171" s="16">
        <f>IFERROR(__xludf.DUMMYFUNCTION("""COMPUTED_VALUE"""),0.0)</f>
        <v>0</v>
      </c>
      <c r="T171" s="16">
        <f>IFERROR(__xludf.DUMMYFUNCTION("""COMPUTED_VALUE"""),0.0)</f>
        <v>0</v>
      </c>
      <c r="U171" s="16">
        <f>IFERROR(__xludf.DUMMYFUNCTION("""COMPUTED_VALUE"""),0.0)</f>
        <v>0</v>
      </c>
      <c r="V171" s="16">
        <f>IFERROR(__xludf.DUMMYFUNCTION("""COMPUTED_VALUE"""),0.0)</f>
        <v>0</v>
      </c>
      <c r="W171" s="16">
        <f>IFERROR(__xludf.DUMMYFUNCTION("""COMPUTED_VALUE"""),0.0)</f>
        <v>0</v>
      </c>
      <c r="X171" s="16">
        <f>IFERROR(__xludf.DUMMYFUNCTION("""COMPUTED_VALUE"""),0.0)</f>
        <v>0</v>
      </c>
      <c r="Y171" s="16">
        <f>IFERROR(__xludf.DUMMYFUNCTION("""COMPUTED_VALUE"""),0.0)</f>
        <v>0</v>
      </c>
      <c r="Z171" s="16">
        <f>IFERROR(__xludf.DUMMYFUNCTION("""COMPUTED_VALUE"""),0.0)</f>
        <v>0</v>
      </c>
      <c r="AA171" s="16">
        <f>IFERROR(__xludf.DUMMYFUNCTION("""COMPUTED_VALUE"""),0.0)</f>
        <v>0</v>
      </c>
      <c r="AB171" s="16">
        <f>IFERROR(__xludf.DUMMYFUNCTION("""COMPUTED_VALUE"""),0.0)</f>
        <v>0</v>
      </c>
      <c r="AC171" s="16">
        <f>IFERROR(__xludf.DUMMYFUNCTION("""COMPUTED_VALUE"""),0.0)</f>
        <v>0</v>
      </c>
      <c r="AD171" s="16">
        <f>IFERROR(__xludf.DUMMYFUNCTION("""COMPUTED_VALUE"""),0.0)</f>
        <v>0</v>
      </c>
      <c r="AE171" s="16">
        <f>IFERROR(__xludf.DUMMYFUNCTION("""COMPUTED_VALUE"""),0.0)</f>
        <v>0</v>
      </c>
      <c r="AF171" s="16">
        <f>IFERROR(__xludf.DUMMYFUNCTION("""COMPUTED_VALUE"""),0.0)</f>
        <v>0</v>
      </c>
      <c r="AG171" s="16">
        <f>IFERROR(__xludf.DUMMYFUNCTION("""COMPUTED_VALUE"""),0.0)</f>
        <v>0</v>
      </c>
      <c r="AH171" s="16">
        <f>IFERROR(__xludf.DUMMYFUNCTION("""COMPUTED_VALUE"""),0.0)</f>
        <v>0</v>
      </c>
    </row>
    <row r="172">
      <c r="A172" s="16" t="str">
        <f>IFERROR(__xludf.DUMMYFUNCTION("""COMPUTED_VALUE"""),"95cfee76565a1eb0481e08f4f0da75fa4a0cdb74")</f>
        <v>95cfee76565a1eb0481e08f4f0da75fa4a0cdb74</v>
      </c>
      <c r="B172" s="16" t="str">
        <f>IFERROR(__xludf.DUMMYFUNCTION("""COMPUTED_VALUE"""),"Revenge Called Athena")</f>
        <v>Revenge Called Athena</v>
      </c>
      <c r="C172" s="16" t="str">
        <f>IFERROR(__xludf.DUMMYFUNCTION("""COMPUTED_VALUE"""),"Drama")</f>
        <v>Drama</v>
      </c>
      <c r="D172" s="16">
        <f>IFERROR(__xludf.DUMMYFUNCTION("""COMPUTED_VALUE"""),175.0)</f>
        <v>175</v>
      </c>
      <c r="E172" s="16">
        <f>IFERROR(__xludf.DUMMYFUNCTION("""COMPUTED_VALUE"""),0.942857142857142)</f>
        <v>0.9428571429</v>
      </c>
      <c r="F172" s="16">
        <f>IFERROR(__xludf.DUMMYFUNCTION("""COMPUTED_VALUE"""),0.622857142857142)</f>
        <v>0.6228571429</v>
      </c>
      <c r="G172" s="16">
        <f>IFERROR(__xludf.DUMMYFUNCTION("""COMPUTED_VALUE"""),0.588571428571428)</f>
        <v>0.5885714286</v>
      </c>
      <c r="H172" s="16">
        <f>IFERROR(__xludf.DUMMYFUNCTION("""COMPUTED_VALUE"""),0.565714285714285)</f>
        <v>0.5657142857</v>
      </c>
      <c r="I172" s="16">
        <f>IFERROR(__xludf.DUMMYFUNCTION("""COMPUTED_VALUE"""),0.56)</f>
        <v>0.56</v>
      </c>
      <c r="J172" s="16">
        <f>IFERROR(__xludf.DUMMYFUNCTION("""COMPUTED_VALUE"""),0.548571428571428)</f>
        <v>0.5485714286</v>
      </c>
      <c r="K172" s="16">
        <f>IFERROR(__xludf.DUMMYFUNCTION("""COMPUTED_VALUE"""),0.514285714285714)</f>
        <v>0.5142857143</v>
      </c>
      <c r="L172" s="16">
        <f>IFERROR(__xludf.DUMMYFUNCTION("""COMPUTED_VALUE"""),0.491428571428571)</f>
        <v>0.4914285714</v>
      </c>
      <c r="M172" s="16">
        <f>IFERROR(__xludf.DUMMYFUNCTION("""COMPUTED_VALUE"""),0.491428571428571)</f>
        <v>0.4914285714</v>
      </c>
      <c r="N172" s="16">
        <f>IFERROR(__xludf.DUMMYFUNCTION("""COMPUTED_VALUE"""),0.462857142857142)</f>
        <v>0.4628571429</v>
      </c>
      <c r="O172" s="16">
        <f>IFERROR(__xludf.DUMMYFUNCTION("""COMPUTED_VALUE"""),0.398773006134969)</f>
        <v>0.3987730061</v>
      </c>
      <c r="P172" s="16">
        <f>IFERROR(__xludf.DUMMYFUNCTION("""COMPUTED_VALUE"""),0.266666666666666)</f>
        <v>0.2666666667</v>
      </c>
      <c r="Q172" s="16">
        <f>IFERROR(__xludf.DUMMYFUNCTION("""COMPUTED_VALUE"""),0.223300970873786)</f>
        <v>0.2233009709</v>
      </c>
      <c r="R172" s="16">
        <f>IFERROR(__xludf.DUMMYFUNCTION("""COMPUTED_VALUE"""),0.0)</f>
        <v>0</v>
      </c>
      <c r="S172" s="16">
        <f>IFERROR(__xludf.DUMMYFUNCTION("""COMPUTED_VALUE"""),0.0)</f>
        <v>0</v>
      </c>
      <c r="T172" s="16">
        <f>IFERROR(__xludf.DUMMYFUNCTION("""COMPUTED_VALUE"""),0.0)</f>
        <v>0</v>
      </c>
      <c r="U172" s="16">
        <f>IFERROR(__xludf.DUMMYFUNCTION("""COMPUTED_VALUE"""),0.0)</f>
        <v>0</v>
      </c>
      <c r="V172" s="16">
        <f>IFERROR(__xludf.DUMMYFUNCTION("""COMPUTED_VALUE"""),0.0)</f>
        <v>0</v>
      </c>
      <c r="W172" s="16">
        <f>IFERROR(__xludf.DUMMYFUNCTION("""COMPUTED_VALUE"""),0.0)</f>
        <v>0</v>
      </c>
      <c r="X172" s="16">
        <f>IFERROR(__xludf.DUMMYFUNCTION("""COMPUTED_VALUE"""),0.0)</f>
        <v>0</v>
      </c>
      <c r="Y172" s="16">
        <f>IFERROR(__xludf.DUMMYFUNCTION("""COMPUTED_VALUE"""),0.0)</f>
        <v>0</v>
      </c>
      <c r="Z172" s="16">
        <f>IFERROR(__xludf.DUMMYFUNCTION("""COMPUTED_VALUE"""),0.0)</f>
        <v>0</v>
      </c>
      <c r="AA172" s="16">
        <f>IFERROR(__xludf.DUMMYFUNCTION("""COMPUTED_VALUE"""),0.0)</f>
        <v>0</v>
      </c>
      <c r="AB172" s="16">
        <f>IFERROR(__xludf.DUMMYFUNCTION("""COMPUTED_VALUE"""),0.0)</f>
        <v>0</v>
      </c>
      <c r="AC172" s="16">
        <f>IFERROR(__xludf.DUMMYFUNCTION("""COMPUTED_VALUE"""),0.0)</f>
        <v>0</v>
      </c>
      <c r="AD172" s="16">
        <f>IFERROR(__xludf.DUMMYFUNCTION("""COMPUTED_VALUE"""),0.0)</f>
        <v>0</v>
      </c>
      <c r="AE172" s="16">
        <f>IFERROR(__xludf.DUMMYFUNCTION("""COMPUTED_VALUE"""),0.0)</f>
        <v>0</v>
      </c>
      <c r="AF172" s="16">
        <f>IFERROR(__xludf.DUMMYFUNCTION("""COMPUTED_VALUE"""),0.0)</f>
        <v>0</v>
      </c>
      <c r="AG172" s="16">
        <f>IFERROR(__xludf.DUMMYFUNCTION("""COMPUTED_VALUE"""),0.0)</f>
        <v>0</v>
      </c>
      <c r="AH172" s="16">
        <f>IFERROR(__xludf.DUMMYFUNCTION("""COMPUTED_VALUE"""),0.0)</f>
        <v>0</v>
      </c>
    </row>
    <row r="173">
      <c r="A173" s="16" t="str">
        <f>IFERROR(__xludf.DUMMYFUNCTION("""COMPUTED_VALUE"""),"964c4dbd3e851f0d215e0fc68b9c364303676665")</f>
        <v>964c4dbd3e851f0d215e0fc68b9c364303676665</v>
      </c>
      <c r="B173" s="16" t="str">
        <f>IFERROR(__xludf.DUMMYFUNCTION("""COMPUTED_VALUE"""),"The Governor's Wife")</f>
        <v>The Governor's Wife</v>
      </c>
      <c r="C173" s="16" t="str">
        <f>IFERROR(__xludf.DUMMYFUNCTION("""COMPUTED_VALUE"""),"Romance")</f>
        <v>Romance</v>
      </c>
      <c r="D173" s="16">
        <f>IFERROR(__xludf.DUMMYFUNCTION("""COMPUTED_VALUE"""),164.0)</f>
        <v>164</v>
      </c>
      <c r="E173" s="16">
        <f>IFERROR(__xludf.DUMMYFUNCTION("""COMPUTED_VALUE"""),0.98170731707317)</f>
        <v>0.9817073171</v>
      </c>
      <c r="F173" s="16">
        <f>IFERROR(__xludf.DUMMYFUNCTION("""COMPUTED_VALUE"""),0.628048780487804)</f>
        <v>0.6280487805</v>
      </c>
      <c r="G173" s="16">
        <f>IFERROR(__xludf.DUMMYFUNCTION("""COMPUTED_VALUE"""),0.597560975609756)</f>
        <v>0.5975609756</v>
      </c>
      <c r="H173" s="16">
        <f>IFERROR(__xludf.DUMMYFUNCTION("""COMPUTED_VALUE"""),0.585365853658536)</f>
        <v>0.5853658537</v>
      </c>
      <c r="I173" s="16">
        <f>IFERROR(__xludf.DUMMYFUNCTION("""COMPUTED_VALUE"""),0.548780487804878)</f>
        <v>0.5487804878</v>
      </c>
      <c r="J173" s="16">
        <f>IFERROR(__xludf.DUMMYFUNCTION("""COMPUTED_VALUE"""),0.524691358024691)</f>
        <v>0.524691358</v>
      </c>
      <c r="K173" s="16">
        <f>IFERROR(__xludf.DUMMYFUNCTION("""COMPUTED_VALUE"""),0.44375)</f>
        <v>0.44375</v>
      </c>
      <c r="L173" s="16">
        <f>IFERROR(__xludf.DUMMYFUNCTION("""COMPUTED_VALUE"""),0.398692810457516)</f>
        <v>0.3986928105</v>
      </c>
      <c r="M173" s="16">
        <f>IFERROR(__xludf.DUMMYFUNCTION("""COMPUTED_VALUE"""),0.366666666666666)</f>
        <v>0.3666666667</v>
      </c>
      <c r="N173" s="16">
        <f>IFERROR(__xludf.DUMMYFUNCTION("""COMPUTED_VALUE"""),0.293706293706293)</f>
        <v>0.2937062937</v>
      </c>
      <c r="O173" s="16">
        <f>IFERROR(__xludf.DUMMYFUNCTION("""COMPUTED_VALUE"""),0.168141592920354)</f>
        <v>0.1681415929</v>
      </c>
      <c r="P173" s="16">
        <f>IFERROR(__xludf.DUMMYFUNCTION("""COMPUTED_VALUE"""),0.111111111111111)</f>
        <v>0.1111111111</v>
      </c>
      <c r="Q173" s="16">
        <f>IFERROR(__xludf.DUMMYFUNCTION("""COMPUTED_VALUE"""),0.0)</f>
        <v>0</v>
      </c>
      <c r="R173" s="16">
        <f>IFERROR(__xludf.DUMMYFUNCTION("""COMPUTED_VALUE"""),0.0)</f>
        <v>0</v>
      </c>
      <c r="S173" s="16">
        <f>IFERROR(__xludf.DUMMYFUNCTION("""COMPUTED_VALUE"""),0.0)</f>
        <v>0</v>
      </c>
      <c r="T173" s="16">
        <f>IFERROR(__xludf.DUMMYFUNCTION("""COMPUTED_VALUE"""),0.0)</f>
        <v>0</v>
      </c>
      <c r="U173" s="16">
        <f>IFERROR(__xludf.DUMMYFUNCTION("""COMPUTED_VALUE"""),0.0)</f>
        <v>0</v>
      </c>
      <c r="V173" s="16">
        <f>IFERROR(__xludf.DUMMYFUNCTION("""COMPUTED_VALUE"""),0.0)</f>
        <v>0</v>
      </c>
      <c r="W173" s="16">
        <f>IFERROR(__xludf.DUMMYFUNCTION("""COMPUTED_VALUE"""),0.0)</f>
        <v>0</v>
      </c>
      <c r="X173" s="16">
        <f>IFERROR(__xludf.DUMMYFUNCTION("""COMPUTED_VALUE"""),0.0)</f>
        <v>0</v>
      </c>
      <c r="Y173" s="16">
        <f>IFERROR(__xludf.DUMMYFUNCTION("""COMPUTED_VALUE"""),0.0)</f>
        <v>0</v>
      </c>
      <c r="Z173" s="16">
        <f>IFERROR(__xludf.DUMMYFUNCTION("""COMPUTED_VALUE"""),0.0)</f>
        <v>0</v>
      </c>
      <c r="AA173" s="16">
        <f>IFERROR(__xludf.DUMMYFUNCTION("""COMPUTED_VALUE"""),0.0)</f>
        <v>0</v>
      </c>
      <c r="AB173" s="16">
        <f>IFERROR(__xludf.DUMMYFUNCTION("""COMPUTED_VALUE"""),0.0)</f>
        <v>0</v>
      </c>
      <c r="AC173" s="16">
        <f>IFERROR(__xludf.DUMMYFUNCTION("""COMPUTED_VALUE"""),0.0)</f>
        <v>0</v>
      </c>
      <c r="AD173" s="16">
        <f>IFERROR(__xludf.DUMMYFUNCTION("""COMPUTED_VALUE"""),0.0)</f>
        <v>0</v>
      </c>
      <c r="AE173" s="16">
        <f>IFERROR(__xludf.DUMMYFUNCTION("""COMPUTED_VALUE"""),0.0)</f>
        <v>0</v>
      </c>
      <c r="AF173" s="16">
        <f>IFERROR(__xludf.DUMMYFUNCTION("""COMPUTED_VALUE"""),0.0)</f>
        <v>0</v>
      </c>
      <c r="AG173" s="16">
        <f>IFERROR(__xludf.DUMMYFUNCTION("""COMPUTED_VALUE"""),0.0)</f>
        <v>0</v>
      </c>
      <c r="AH173" s="16">
        <f>IFERROR(__xludf.DUMMYFUNCTION("""COMPUTED_VALUE"""),0.0)</f>
        <v>0</v>
      </c>
    </row>
    <row r="174">
      <c r="A174" s="16" t="str">
        <f>IFERROR(__xludf.DUMMYFUNCTION("""COMPUTED_VALUE"""),"96f6721dc499b730f42b02d86e640d682f4f665d")</f>
        <v>96f6721dc499b730f42b02d86e640d682f4f665d</v>
      </c>
      <c r="B174" s="16" t="str">
        <f>IFERROR(__xludf.DUMMYFUNCTION("""COMPUTED_VALUE"""),"Last Witch of Swendel")</f>
        <v>Last Witch of Swendel</v>
      </c>
      <c r="C174" s="16" t="str">
        <f>IFERROR(__xludf.DUMMYFUNCTION("""COMPUTED_VALUE"""),"Romantasy")</f>
        <v>Romantasy</v>
      </c>
      <c r="D174" s="16">
        <f>IFERROR(__xludf.DUMMYFUNCTION("""COMPUTED_VALUE"""),1069.0)</f>
        <v>1069</v>
      </c>
      <c r="E174" s="16">
        <f>IFERROR(__xludf.DUMMYFUNCTION("""COMPUTED_VALUE"""),0.933582787652011)</f>
        <v>0.9335827877</v>
      </c>
      <c r="F174" s="16">
        <f>IFERROR(__xludf.DUMMYFUNCTION("""COMPUTED_VALUE"""),0.562207670720299)</f>
        <v>0.5622076707</v>
      </c>
      <c r="G174" s="16">
        <f>IFERROR(__xludf.DUMMYFUNCTION("""COMPUTED_VALUE"""),0.512628624883068)</f>
        <v>0.5126286249</v>
      </c>
      <c r="H174" s="16">
        <f>IFERROR(__xludf.DUMMYFUNCTION("""COMPUTED_VALUE"""),0.476145930776426)</f>
        <v>0.4761459308</v>
      </c>
      <c r="I174" s="16">
        <f>IFERROR(__xludf.DUMMYFUNCTION("""COMPUTED_VALUE"""),0.454630495790458)</f>
        <v>0.4546304958</v>
      </c>
      <c r="J174" s="16">
        <f>IFERROR(__xludf.DUMMYFUNCTION("""COMPUTED_VALUE"""),0.437265917602996)</f>
        <v>0.4372659176</v>
      </c>
      <c r="K174" s="16">
        <f>IFERROR(__xludf.DUMMYFUNCTION("""COMPUTED_VALUE"""),0.425093632958801)</f>
        <v>0.425093633</v>
      </c>
      <c r="L174" s="16">
        <f>IFERROR(__xludf.DUMMYFUNCTION("""COMPUTED_VALUE"""),0.406747891283973)</f>
        <v>0.4067478913</v>
      </c>
      <c r="M174" s="16">
        <f>IFERROR(__xludf.DUMMYFUNCTION("""COMPUTED_VALUE"""),0.402999062792877)</f>
        <v>0.4029990628</v>
      </c>
      <c r="N174" s="16">
        <f>IFERROR(__xludf.DUMMYFUNCTION("""COMPUTED_VALUE"""),0.397375820056232)</f>
        <v>0.3973758201</v>
      </c>
      <c r="O174" s="16">
        <f>IFERROR(__xludf.DUMMYFUNCTION("""COMPUTED_VALUE"""),0.355201499531396)</f>
        <v>0.3552014995</v>
      </c>
      <c r="P174" s="16">
        <f>IFERROR(__xludf.DUMMYFUNCTION("""COMPUTED_VALUE"""),0.266981132075471)</f>
        <v>0.2669811321</v>
      </c>
      <c r="Q174" s="16">
        <f>IFERROR(__xludf.DUMMYFUNCTION("""COMPUTED_VALUE"""),0.236893203883495)</f>
        <v>0.2368932039</v>
      </c>
      <c r="R174" s="16">
        <f>IFERROR(__xludf.DUMMYFUNCTION("""COMPUTED_VALUE"""),0.229674796747967)</f>
        <v>0.2296747967</v>
      </c>
      <c r="S174" s="16">
        <f>IFERROR(__xludf.DUMMYFUNCTION("""COMPUTED_VALUE"""),0.171779141104294)</f>
        <v>0.1717791411</v>
      </c>
      <c r="T174" s="16">
        <f>IFERROR(__xludf.DUMMYFUNCTION("""COMPUTED_VALUE"""),0.149466192170818)</f>
        <v>0.1494661922</v>
      </c>
      <c r="U174" s="16">
        <f>IFERROR(__xludf.DUMMYFUNCTION("""COMPUTED_VALUE"""),0.128888888888888)</f>
        <v>0.1288888889</v>
      </c>
      <c r="V174" s="16">
        <f>IFERROR(__xludf.DUMMYFUNCTION("""COMPUTED_VALUE"""),0.0945945945945946)</f>
        <v>0.09459459459</v>
      </c>
      <c r="W174" s="16">
        <f>IFERROR(__xludf.DUMMYFUNCTION("""COMPUTED_VALUE"""),0.0714285714285714)</f>
        <v>0.07142857143</v>
      </c>
      <c r="X174" s="16">
        <f>IFERROR(__xludf.DUMMYFUNCTION("""COMPUTED_VALUE"""),0.0)</f>
        <v>0</v>
      </c>
      <c r="Y174" s="16">
        <f>IFERROR(__xludf.DUMMYFUNCTION("""COMPUTED_VALUE"""),0.0)</f>
        <v>0</v>
      </c>
      <c r="Z174" s="16">
        <f>IFERROR(__xludf.DUMMYFUNCTION("""COMPUTED_VALUE"""),0.0)</f>
        <v>0</v>
      </c>
      <c r="AA174" s="16">
        <f>IFERROR(__xludf.DUMMYFUNCTION("""COMPUTED_VALUE"""),0.0)</f>
        <v>0</v>
      </c>
      <c r="AB174" s="16">
        <f>IFERROR(__xludf.DUMMYFUNCTION("""COMPUTED_VALUE"""),0.0)</f>
        <v>0</v>
      </c>
      <c r="AC174" s="16">
        <f>IFERROR(__xludf.DUMMYFUNCTION("""COMPUTED_VALUE"""),0.0)</f>
        <v>0</v>
      </c>
      <c r="AD174" s="16">
        <f>IFERROR(__xludf.DUMMYFUNCTION("""COMPUTED_VALUE"""),0.0)</f>
        <v>0</v>
      </c>
      <c r="AE174" s="16">
        <f>IFERROR(__xludf.DUMMYFUNCTION("""COMPUTED_VALUE"""),0.0)</f>
        <v>0</v>
      </c>
      <c r="AF174" s="16">
        <f>IFERROR(__xludf.DUMMYFUNCTION("""COMPUTED_VALUE"""),0.0)</f>
        <v>0</v>
      </c>
      <c r="AG174" s="16">
        <f>IFERROR(__xludf.DUMMYFUNCTION("""COMPUTED_VALUE"""),0.0)</f>
        <v>0</v>
      </c>
      <c r="AH174" s="16">
        <f>IFERROR(__xludf.DUMMYFUNCTION("""COMPUTED_VALUE"""),0.0)</f>
        <v>0</v>
      </c>
    </row>
    <row r="175">
      <c r="A175" s="16" t="str">
        <f>IFERROR(__xludf.DUMMYFUNCTION("""COMPUTED_VALUE"""),"97bf3d3427830d8b1bc0c5929b0c0832cbf02a25")</f>
        <v>97bf3d3427830d8b1bc0c5929b0c0832cbf02a25</v>
      </c>
      <c r="B175" s="16" t="str">
        <f>IFERROR(__xludf.DUMMYFUNCTION("""COMPUTED_VALUE"""),"The Miraculous Physician")</f>
        <v>The Miraculous Physician</v>
      </c>
      <c r="C175" s="16" t="str">
        <f>IFERROR(__xludf.DUMMYFUNCTION("""COMPUTED_VALUE"""),"System and Superpower")</f>
        <v>System and Superpower</v>
      </c>
      <c r="D175" s="16">
        <f>IFERROR(__xludf.DUMMYFUNCTION("""COMPUTED_VALUE"""),193.0)</f>
        <v>193</v>
      </c>
      <c r="E175" s="16">
        <f>IFERROR(__xludf.DUMMYFUNCTION("""COMPUTED_VALUE"""),0.963730569948186)</f>
        <v>0.9637305699</v>
      </c>
      <c r="F175" s="16">
        <f>IFERROR(__xludf.DUMMYFUNCTION("""COMPUTED_VALUE"""),0.518134715025906)</f>
        <v>0.518134715</v>
      </c>
      <c r="G175" s="16">
        <f>IFERROR(__xludf.DUMMYFUNCTION("""COMPUTED_VALUE"""),0.466321243523316)</f>
        <v>0.4663212435</v>
      </c>
      <c r="H175" s="16">
        <f>IFERROR(__xludf.DUMMYFUNCTION("""COMPUTED_VALUE"""),0.380208333333333)</f>
        <v>0.3802083333</v>
      </c>
      <c r="I175" s="16">
        <f>IFERROR(__xludf.DUMMYFUNCTION("""COMPUTED_VALUE"""),0.350785340314136)</f>
        <v>0.3507853403</v>
      </c>
      <c r="J175" s="16">
        <f>IFERROR(__xludf.DUMMYFUNCTION("""COMPUTED_VALUE"""),0.331578947368421)</f>
        <v>0.3315789474</v>
      </c>
      <c r="K175" s="16">
        <f>IFERROR(__xludf.DUMMYFUNCTION("""COMPUTED_VALUE"""),0.304347826086956)</f>
        <v>0.3043478261</v>
      </c>
      <c r="L175" s="16">
        <f>IFERROR(__xludf.DUMMYFUNCTION("""COMPUTED_VALUE"""),0.290697674418604)</f>
        <v>0.2906976744</v>
      </c>
      <c r="M175" s="16">
        <f>IFERROR(__xludf.DUMMYFUNCTION("""COMPUTED_VALUE"""),0.259036144578313)</f>
        <v>0.2590361446</v>
      </c>
      <c r="N175" s="16">
        <f>IFERROR(__xludf.DUMMYFUNCTION("""COMPUTED_VALUE"""),0.22875816993464)</f>
        <v>0.2287581699</v>
      </c>
      <c r="O175" s="16">
        <f>IFERROR(__xludf.DUMMYFUNCTION("""COMPUTED_VALUE"""),0.212121212121212)</f>
        <v>0.2121212121</v>
      </c>
      <c r="P175" s="16">
        <f>IFERROR(__xludf.DUMMYFUNCTION("""COMPUTED_VALUE"""),1.0)</f>
        <v>1</v>
      </c>
      <c r="Q175" s="16">
        <f>IFERROR(__xludf.DUMMYFUNCTION("""COMPUTED_VALUE"""),0.0)</f>
        <v>0</v>
      </c>
      <c r="R175" s="16">
        <f>IFERROR(__xludf.DUMMYFUNCTION("""COMPUTED_VALUE"""),0.0)</f>
        <v>0</v>
      </c>
      <c r="S175" s="16">
        <f>IFERROR(__xludf.DUMMYFUNCTION("""COMPUTED_VALUE"""),0.0)</f>
        <v>0</v>
      </c>
      <c r="T175" s="16">
        <f>IFERROR(__xludf.DUMMYFUNCTION("""COMPUTED_VALUE"""),0.0)</f>
        <v>0</v>
      </c>
      <c r="U175" s="16">
        <f>IFERROR(__xludf.DUMMYFUNCTION("""COMPUTED_VALUE"""),0.0)</f>
        <v>0</v>
      </c>
      <c r="V175" s="16">
        <f>IFERROR(__xludf.DUMMYFUNCTION("""COMPUTED_VALUE"""),0.0)</f>
        <v>0</v>
      </c>
      <c r="W175" s="16">
        <f>IFERROR(__xludf.DUMMYFUNCTION("""COMPUTED_VALUE"""),0.0)</f>
        <v>0</v>
      </c>
      <c r="X175" s="16">
        <f>IFERROR(__xludf.DUMMYFUNCTION("""COMPUTED_VALUE"""),0.0)</f>
        <v>0</v>
      </c>
      <c r="Y175" s="16">
        <f>IFERROR(__xludf.DUMMYFUNCTION("""COMPUTED_VALUE"""),0.0)</f>
        <v>0</v>
      </c>
      <c r="Z175" s="16">
        <f>IFERROR(__xludf.DUMMYFUNCTION("""COMPUTED_VALUE"""),0.0)</f>
        <v>0</v>
      </c>
      <c r="AA175" s="16">
        <f>IFERROR(__xludf.DUMMYFUNCTION("""COMPUTED_VALUE"""),0.0)</f>
        <v>0</v>
      </c>
      <c r="AB175" s="16">
        <f>IFERROR(__xludf.DUMMYFUNCTION("""COMPUTED_VALUE"""),0.0)</f>
        <v>0</v>
      </c>
      <c r="AC175" s="16">
        <f>IFERROR(__xludf.DUMMYFUNCTION("""COMPUTED_VALUE"""),0.0)</f>
        <v>0</v>
      </c>
      <c r="AD175" s="16">
        <f>IFERROR(__xludf.DUMMYFUNCTION("""COMPUTED_VALUE"""),0.0)</f>
        <v>0</v>
      </c>
      <c r="AE175" s="16">
        <f>IFERROR(__xludf.DUMMYFUNCTION("""COMPUTED_VALUE"""),0.0)</f>
        <v>0</v>
      </c>
      <c r="AF175" s="16">
        <f>IFERROR(__xludf.DUMMYFUNCTION("""COMPUTED_VALUE"""),0.0)</f>
        <v>0</v>
      </c>
      <c r="AG175" s="16">
        <f>IFERROR(__xludf.DUMMYFUNCTION("""COMPUTED_VALUE"""),0.0)</f>
        <v>0</v>
      </c>
      <c r="AH175" s="16">
        <f>IFERROR(__xludf.DUMMYFUNCTION("""COMPUTED_VALUE"""),0.0)</f>
        <v>0</v>
      </c>
    </row>
    <row r="176">
      <c r="A176" s="16" t="str">
        <f>IFERROR(__xludf.DUMMYFUNCTION("""COMPUTED_VALUE"""),"97d2593a35303e42da5da630e9d8848fa086fc93")</f>
        <v>97d2593a35303e42da5da630e9d8848fa086fc93</v>
      </c>
      <c r="B176" s="16" t="str">
        <f>IFERROR(__xludf.DUMMYFUNCTION("""COMPUTED_VALUE"""),"Spying on My Rebel Alpha")</f>
        <v>Spying on My Rebel Alpha</v>
      </c>
      <c r="C176" s="16" t="str">
        <f>IFERROR(__xludf.DUMMYFUNCTION("""COMPUTED_VALUE"""),"Romantasy")</f>
        <v>Romantasy</v>
      </c>
      <c r="D176" s="16">
        <f>IFERROR(__xludf.DUMMYFUNCTION("""COMPUTED_VALUE"""),318.0)</f>
        <v>318</v>
      </c>
      <c r="E176" s="16">
        <f>IFERROR(__xludf.DUMMYFUNCTION("""COMPUTED_VALUE"""),0.946540880503144)</f>
        <v>0.9465408805</v>
      </c>
      <c r="F176" s="16">
        <f>IFERROR(__xludf.DUMMYFUNCTION("""COMPUTED_VALUE"""),0.493710691823899)</f>
        <v>0.4937106918</v>
      </c>
      <c r="G176" s="16">
        <f>IFERROR(__xludf.DUMMYFUNCTION("""COMPUTED_VALUE"""),0.427672955974842)</f>
        <v>0.427672956</v>
      </c>
      <c r="H176" s="16">
        <f>IFERROR(__xludf.DUMMYFUNCTION("""COMPUTED_VALUE"""),0.383647798742138)</f>
        <v>0.3836477987</v>
      </c>
      <c r="I176" s="16">
        <f>IFERROR(__xludf.DUMMYFUNCTION("""COMPUTED_VALUE"""),0.342767295597484)</f>
        <v>0.3427672956</v>
      </c>
      <c r="J176" s="16">
        <f>IFERROR(__xludf.DUMMYFUNCTION("""COMPUTED_VALUE"""),0.317610062893081)</f>
        <v>0.3176100629</v>
      </c>
      <c r="K176" s="16">
        <f>IFERROR(__xludf.DUMMYFUNCTION("""COMPUTED_VALUE"""),0.311320754716981)</f>
        <v>0.3113207547</v>
      </c>
      <c r="L176" s="16">
        <f>IFERROR(__xludf.DUMMYFUNCTION("""COMPUTED_VALUE"""),0.292452830188679)</f>
        <v>0.2924528302</v>
      </c>
      <c r="M176" s="16">
        <f>IFERROR(__xludf.DUMMYFUNCTION("""COMPUTED_VALUE"""),0.284810126582278)</f>
        <v>0.2848101266</v>
      </c>
      <c r="N176" s="16">
        <f>IFERROR(__xludf.DUMMYFUNCTION("""COMPUTED_VALUE"""),0.274760383386581)</f>
        <v>0.2747603834</v>
      </c>
      <c r="O176" s="16">
        <f>IFERROR(__xludf.DUMMYFUNCTION("""COMPUTED_VALUE"""),0.2442996742671)</f>
        <v>0.2442996743</v>
      </c>
      <c r="P176" s="16">
        <f>IFERROR(__xludf.DUMMYFUNCTION("""COMPUTED_VALUE"""),0.161290322580645)</f>
        <v>0.1612903226</v>
      </c>
      <c r="Q176" s="16">
        <f>IFERROR(__xludf.DUMMYFUNCTION("""COMPUTED_VALUE"""),0.162162162162162)</f>
        <v>0.1621621622</v>
      </c>
      <c r="R176" s="16">
        <f>IFERROR(__xludf.DUMMYFUNCTION("""COMPUTED_VALUE"""),0.0)</f>
        <v>0</v>
      </c>
      <c r="S176" s="16">
        <f>IFERROR(__xludf.DUMMYFUNCTION("""COMPUTED_VALUE"""),0.0)</f>
        <v>0</v>
      </c>
      <c r="T176" s="16">
        <f>IFERROR(__xludf.DUMMYFUNCTION("""COMPUTED_VALUE"""),0.0)</f>
        <v>0</v>
      </c>
      <c r="U176" s="16">
        <f>IFERROR(__xludf.DUMMYFUNCTION("""COMPUTED_VALUE"""),0.0)</f>
        <v>0</v>
      </c>
      <c r="V176" s="16">
        <f>IFERROR(__xludf.DUMMYFUNCTION("""COMPUTED_VALUE"""),0.0)</f>
        <v>0</v>
      </c>
      <c r="W176" s="16">
        <f>IFERROR(__xludf.DUMMYFUNCTION("""COMPUTED_VALUE"""),0.0)</f>
        <v>0</v>
      </c>
      <c r="X176" s="16">
        <f>IFERROR(__xludf.DUMMYFUNCTION("""COMPUTED_VALUE"""),0.0)</f>
        <v>0</v>
      </c>
      <c r="Y176" s="16">
        <f>IFERROR(__xludf.DUMMYFUNCTION("""COMPUTED_VALUE"""),0.0)</f>
        <v>0</v>
      </c>
      <c r="Z176" s="16">
        <f>IFERROR(__xludf.DUMMYFUNCTION("""COMPUTED_VALUE"""),0.0)</f>
        <v>0</v>
      </c>
      <c r="AA176" s="16">
        <f>IFERROR(__xludf.DUMMYFUNCTION("""COMPUTED_VALUE"""),0.0)</f>
        <v>0</v>
      </c>
      <c r="AB176" s="16">
        <f>IFERROR(__xludf.DUMMYFUNCTION("""COMPUTED_VALUE"""),0.0)</f>
        <v>0</v>
      </c>
      <c r="AC176" s="16">
        <f>IFERROR(__xludf.DUMMYFUNCTION("""COMPUTED_VALUE"""),0.0)</f>
        <v>0</v>
      </c>
      <c r="AD176" s="16">
        <f>IFERROR(__xludf.DUMMYFUNCTION("""COMPUTED_VALUE"""),0.0)</f>
        <v>0</v>
      </c>
      <c r="AE176" s="16">
        <f>IFERROR(__xludf.DUMMYFUNCTION("""COMPUTED_VALUE"""),0.0)</f>
        <v>0</v>
      </c>
      <c r="AF176" s="16">
        <f>IFERROR(__xludf.DUMMYFUNCTION("""COMPUTED_VALUE"""),0.0)</f>
        <v>0</v>
      </c>
      <c r="AG176" s="16">
        <f>IFERROR(__xludf.DUMMYFUNCTION("""COMPUTED_VALUE"""),0.0)</f>
        <v>0</v>
      </c>
      <c r="AH176" s="16">
        <f>IFERROR(__xludf.DUMMYFUNCTION("""COMPUTED_VALUE"""),0.0)</f>
        <v>0</v>
      </c>
    </row>
    <row r="177">
      <c r="A177" s="16" t="str">
        <f>IFERROR(__xludf.DUMMYFUNCTION("""COMPUTED_VALUE"""),"9897c34ca7143cb319fd56943504e8f8be1550c2")</f>
        <v>9897c34ca7143cb319fd56943504e8f8be1550c2</v>
      </c>
      <c r="B177" s="16" t="str">
        <f>IFERROR(__xludf.DUMMYFUNCTION("""COMPUTED_VALUE"""),"Priced Royal Kiss")</f>
        <v>Priced Royal Kiss</v>
      </c>
      <c r="C177" s="16" t="str">
        <f>IFERROR(__xludf.DUMMYFUNCTION("""COMPUTED_VALUE"""),"Drama")</f>
        <v>Drama</v>
      </c>
      <c r="D177" s="16">
        <f>IFERROR(__xludf.DUMMYFUNCTION("""COMPUTED_VALUE"""),43.0)</f>
        <v>43</v>
      </c>
      <c r="E177" s="16">
        <f>IFERROR(__xludf.DUMMYFUNCTION("""COMPUTED_VALUE"""),0.953488372093023)</f>
        <v>0.9534883721</v>
      </c>
      <c r="F177" s="16">
        <f>IFERROR(__xludf.DUMMYFUNCTION("""COMPUTED_VALUE"""),0.604651162790697)</f>
        <v>0.6046511628</v>
      </c>
      <c r="G177" s="16">
        <f>IFERROR(__xludf.DUMMYFUNCTION("""COMPUTED_VALUE"""),0.604651162790697)</f>
        <v>0.6046511628</v>
      </c>
      <c r="H177" s="16">
        <f>IFERROR(__xludf.DUMMYFUNCTION("""COMPUTED_VALUE"""),0.534883720930232)</f>
        <v>0.5348837209</v>
      </c>
      <c r="I177" s="16">
        <f>IFERROR(__xludf.DUMMYFUNCTION("""COMPUTED_VALUE"""),0.488372093023255)</f>
        <v>0.488372093</v>
      </c>
      <c r="J177" s="16">
        <f>IFERROR(__xludf.DUMMYFUNCTION("""COMPUTED_VALUE"""),0.465116279069767)</f>
        <v>0.4651162791</v>
      </c>
      <c r="K177" s="16">
        <f>IFERROR(__xludf.DUMMYFUNCTION("""COMPUTED_VALUE"""),0.441860465116279)</f>
        <v>0.4418604651</v>
      </c>
      <c r="L177" s="16">
        <f>IFERROR(__xludf.DUMMYFUNCTION("""COMPUTED_VALUE"""),0.41860465116279)</f>
        <v>0.4186046512</v>
      </c>
      <c r="M177" s="16">
        <f>IFERROR(__xludf.DUMMYFUNCTION("""COMPUTED_VALUE"""),0.441860465116279)</f>
        <v>0.4418604651</v>
      </c>
      <c r="N177" s="16">
        <f>IFERROR(__xludf.DUMMYFUNCTION("""COMPUTED_VALUE"""),0.441860465116279)</f>
        <v>0.4418604651</v>
      </c>
      <c r="O177" s="16">
        <f>IFERROR(__xludf.DUMMYFUNCTION("""COMPUTED_VALUE"""),0.344827586206896)</f>
        <v>0.3448275862</v>
      </c>
      <c r="P177" s="16">
        <f>IFERROR(__xludf.DUMMYFUNCTION("""COMPUTED_VALUE"""),0.19047619047619)</f>
        <v>0.1904761905</v>
      </c>
      <c r="Q177" s="16">
        <f>IFERROR(__xludf.DUMMYFUNCTION("""COMPUTED_VALUE"""),0.166666666666666)</f>
        <v>0.1666666667</v>
      </c>
      <c r="R177" s="16">
        <f>IFERROR(__xludf.DUMMYFUNCTION("""COMPUTED_VALUE"""),0.133333333333333)</f>
        <v>0.1333333333</v>
      </c>
      <c r="S177" s="16">
        <f>IFERROR(__xludf.DUMMYFUNCTION("""COMPUTED_VALUE"""),0.0833333333333333)</f>
        <v>0.08333333333</v>
      </c>
      <c r="T177" s="16">
        <f>IFERROR(__xludf.DUMMYFUNCTION("""COMPUTED_VALUE"""),0.166666666666666)</f>
        <v>0.1666666667</v>
      </c>
      <c r="U177" s="16">
        <f>IFERROR(__xludf.DUMMYFUNCTION("""COMPUTED_VALUE"""),0.0)</f>
        <v>0</v>
      </c>
      <c r="V177" s="16">
        <f>IFERROR(__xludf.DUMMYFUNCTION("""COMPUTED_VALUE"""),0.0)</f>
        <v>0</v>
      </c>
      <c r="W177" s="16">
        <f>IFERROR(__xludf.DUMMYFUNCTION("""COMPUTED_VALUE"""),0.0)</f>
        <v>0</v>
      </c>
      <c r="X177" s="16">
        <f>IFERROR(__xludf.DUMMYFUNCTION("""COMPUTED_VALUE"""),0.0)</f>
        <v>0</v>
      </c>
      <c r="Y177" s="16">
        <f>IFERROR(__xludf.DUMMYFUNCTION("""COMPUTED_VALUE"""),0.0)</f>
        <v>0</v>
      </c>
      <c r="Z177" s="16">
        <f>IFERROR(__xludf.DUMMYFUNCTION("""COMPUTED_VALUE"""),0.0)</f>
        <v>0</v>
      </c>
      <c r="AA177" s="16">
        <f>IFERROR(__xludf.DUMMYFUNCTION("""COMPUTED_VALUE"""),0.0)</f>
        <v>0</v>
      </c>
      <c r="AB177" s="16">
        <f>IFERROR(__xludf.DUMMYFUNCTION("""COMPUTED_VALUE"""),0.0)</f>
        <v>0</v>
      </c>
      <c r="AC177" s="16">
        <f>IFERROR(__xludf.DUMMYFUNCTION("""COMPUTED_VALUE"""),0.0)</f>
        <v>0</v>
      </c>
      <c r="AD177" s="16">
        <f>IFERROR(__xludf.DUMMYFUNCTION("""COMPUTED_VALUE"""),0.0)</f>
        <v>0</v>
      </c>
      <c r="AE177" s="16">
        <f>IFERROR(__xludf.DUMMYFUNCTION("""COMPUTED_VALUE"""),0.0)</f>
        <v>0</v>
      </c>
      <c r="AF177" s="16">
        <f>IFERROR(__xludf.DUMMYFUNCTION("""COMPUTED_VALUE"""),0.0)</f>
        <v>0</v>
      </c>
      <c r="AG177" s="16">
        <f>IFERROR(__xludf.DUMMYFUNCTION("""COMPUTED_VALUE"""),0.0)</f>
        <v>0</v>
      </c>
      <c r="AH177" s="16">
        <f>IFERROR(__xludf.DUMMYFUNCTION("""COMPUTED_VALUE"""),0.0)</f>
        <v>0</v>
      </c>
    </row>
    <row r="178">
      <c r="A178" s="16" t="str">
        <f>IFERROR(__xludf.DUMMYFUNCTION("""COMPUTED_VALUE"""),"9b25cb8fec3919f6398cf69f6cec44382a44749e")</f>
        <v>9b25cb8fec3919f6398cf69f6cec44382a44749e</v>
      </c>
      <c r="B178" s="16" t="str">
        <f>IFERROR(__xludf.DUMMYFUNCTION("""COMPUTED_VALUE"""),"The Immortal's Mark")</f>
        <v>The Immortal's Mark</v>
      </c>
      <c r="C178" s="16" t="str">
        <f>IFERROR(__xludf.DUMMYFUNCTION("""COMPUTED_VALUE"""),"Romantasy")</f>
        <v>Romantasy</v>
      </c>
      <c r="D178" s="16">
        <f>IFERROR(__xludf.DUMMYFUNCTION("""COMPUTED_VALUE"""),205.0)</f>
        <v>205</v>
      </c>
      <c r="E178" s="16">
        <f>IFERROR(__xludf.DUMMYFUNCTION("""COMPUTED_VALUE"""),0.985365853658536)</f>
        <v>0.9853658537</v>
      </c>
      <c r="F178" s="16">
        <f>IFERROR(__xludf.DUMMYFUNCTION("""COMPUTED_VALUE"""),0.419512195121951)</f>
        <v>0.4195121951</v>
      </c>
      <c r="G178" s="16">
        <f>IFERROR(__xludf.DUMMYFUNCTION("""COMPUTED_VALUE"""),0.33170731707317)</f>
        <v>0.3317073171</v>
      </c>
      <c r="H178" s="16">
        <f>IFERROR(__xludf.DUMMYFUNCTION("""COMPUTED_VALUE"""),0.253658536585365)</f>
        <v>0.2536585366</v>
      </c>
      <c r="I178" s="16">
        <f>IFERROR(__xludf.DUMMYFUNCTION("""COMPUTED_VALUE"""),0.211822660098522)</f>
        <v>0.2118226601</v>
      </c>
      <c r="J178" s="16">
        <f>IFERROR(__xludf.DUMMYFUNCTION("""COMPUTED_VALUE"""),0.194029850746268)</f>
        <v>0.1940298507</v>
      </c>
      <c r="K178" s="16">
        <f>IFERROR(__xludf.DUMMYFUNCTION("""COMPUTED_VALUE"""),0.168367346938775)</f>
        <v>0.1683673469</v>
      </c>
      <c r="L178" s="16">
        <f>IFERROR(__xludf.DUMMYFUNCTION("""COMPUTED_VALUE"""),0.169230769230769)</f>
        <v>0.1692307692</v>
      </c>
      <c r="M178" s="16">
        <f>IFERROR(__xludf.DUMMYFUNCTION("""COMPUTED_VALUE"""),0.150259067357512)</f>
        <v>0.1502590674</v>
      </c>
      <c r="N178" s="16">
        <f>IFERROR(__xludf.DUMMYFUNCTION("""COMPUTED_VALUE"""),0.136842105263157)</f>
        <v>0.1368421053</v>
      </c>
      <c r="O178" s="16">
        <f>IFERROR(__xludf.DUMMYFUNCTION("""COMPUTED_VALUE"""),0.122994652406417)</f>
        <v>0.1229946524</v>
      </c>
      <c r="P178" s="16">
        <f>IFERROR(__xludf.DUMMYFUNCTION("""COMPUTED_VALUE"""),0.0949367088607595)</f>
        <v>0.09493670886</v>
      </c>
      <c r="Q178" s="16">
        <f>IFERROR(__xludf.DUMMYFUNCTION("""COMPUTED_VALUE"""),0.0416666666666666)</f>
        <v>0.04166666667</v>
      </c>
      <c r="R178" s="16">
        <f>IFERROR(__xludf.DUMMYFUNCTION("""COMPUTED_VALUE"""),0.034090909090909)</f>
        <v>0.03409090909</v>
      </c>
      <c r="S178" s="16">
        <f>IFERROR(__xludf.DUMMYFUNCTION("""COMPUTED_VALUE"""),0.0303030303030303)</f>
        <v>0.0303030303</v>
      </c>
      <c r="T178" s="16">
        <f>IFERROR(__xludf.DUMMYFUNCTION("""COMPUTED_VALUE"""),0.0588235294117647)</f>
        <v>0.05882352941</v>
      </c>
      <c r="U178" s="16">
        <f>IFERROR(__xludf.DUMMYFUNCTION("""COMPUTED_VALUE"""),0.0714285714285714)</f>
        <v>0.07142857143</v>
      </c>
      <c r="V178" s="16">
        <f>IFERROR(__xludf.DUMMYFUNCTION("""COMPUTED_VALUE"""),0.166666666666666)</f>
        <v>0.1666666667</v>
      </c>
      <c r="W178" s="16">
        <f>IFERROR(__xludf.DUMMYFUNCTION("""COMPUTED_VALUE"""),0.0)</f>
        <v>0</v>
      </c>
      <c r="X178" s="16">
        <f>IFERROR(__xludf.DUMMYFUNCTION("""COMPUTED_VALUE"""),0.0)</f>
        <v>0</v>
      </c>
      <c r="Y178" s="16">
        <f>IFERROR(__xludf.DUMMYFUNCTION("""COMPUTED_VALUE"""),0.0)</f>
        <v>0</v>
      </c>
      <c r="Z178" s="16">
        <f>IFERROR(__xludf.DUMMYFUNCTION("""COMPUTED_VALUE"""),0.0)</f>
        <v>0</v>
      </c>
      <c r="AA178" s="16">
        <f>IFERROR(__xludf.DUMMYFUNCTION("""COMPUTED_VALUE"""),0.0)</f>
        <v>0</v>
      </c>
      <c r="AB178" s="16">
        <f>IFERROR(__xludf.DUMMYFUNCTION("""COMPUTED_VALUE"""),0.0)</f>
        <v>0</v>
      </c>
      <c r="AC178" s="16">
        <f>IFERROR(__xludf.DUMMYFUNCTION("""COMPUTED_VALUE"""),0.0)</f>
        <v>0</v>
      </c>
      <c r="AD178" s="16">
        <f>IFERROR(__xludf.DUMMYFUNCTION("""COMPUTED_VALUE"""),0.0)</f>
        <v>0</v>
      </c>
      <c r="AE178" s="16">
        <f>IFERROR(__xludf.DUMMYFUNCTION("""COMPUTED_VALUE"""),0.0)</f>
        <v>0</v>
      </c>
      <c r="AF178" s="16">
        <f>IFERROR(__xludf.DUMMYFUNCTION("""COMPUTED_VALUE"""),0.0)</f>
        <v>0</v>
      </c>
      <c r="AG178" s="16">
        <f>IFERROR(__xludf.DUMMYFUNCTION("""COMPUTED_VALUE"""),0.0)</f>
        <v>0</v>
      </c>
      <c r="AH178" s="16">
        <f>IFERROR(__xludf.DUMMYFUNCTION("""COMPUTED_VALUE"""),0.0)</f>
        <v>0</v>
      </c>
    </row>
    <row r="179">
      <c r="A179" s="16" t="str">
        <f>IFERROR(__xludf.DUMMYFUNCTION("""COMPUTED_VALUE"""),"9c5a320e8591b0aad996347bc17f53479097ac00")</f>
        <v>9c5a320e8591b0aad996347bc17f53479097ac00</v>
      </c>
      <c r="B179" s="16" t="str">
        <f>IFERROR(__xludf.DUMMYFUNCTION("""COMPUTED_VALUE"""),"Dad's a Billionaire")</f>
        <v>Dad's a Billionaire</v>
      </c>
      <c r="C179" s="16" t="str">
        <f>IFERROR(__xludf.DUMMYFUNCTION("""COMPUTED_VALUE"""),"Romance")</f>
        <v>Romance</v>
      </c>
      <c r="D179" s="16">
        <f>IFERROR(__xludf.DUMMYFUNCTION("""COMPUTED_VALUE"""),59.0)</f>
        <v>59</v>
      </c>
      <c r="E179" s="16">
        <f>IFERROR(__xludf.DUMMYFUNCTION("""COMPUTED_VALUE"""),0.966101694915254)</f>
        <v>0.9661016949</v>
      </c>
      <c r="F179" s="16">
        <f>IFERROR(__xludf.DUMMYFUNCTION("""COMPUTED_VALUE"""),0.322033898305084)</f>
        <v>0.3220338983</v>
      </c>
      <c r="G179" s="16">
        <f>IFERROR(__xludf.DUMMYFUNCTION("""COMPUTED_VALUE"""),0.220338983050847)</f>
        <v>0.2203389831</v>
      </c>
      <c r="H179" s="16">
        <f>IFERROR(__xludf.DUMMYFUNCTION("""COMPUTED_VALUE"""),0.220338983050847)</f>
        <v>0.2203389831</v>
      </c>
      <c r="I179" s="16">
        <f>IFERROR(__xludf.DUMMYFUNCTION("""COMPUTED_VALUE"""),0.163636363636363)</f>
        <v>0.1636363636</v>
      </c>
      <c r="J179" s="16">
        <f>IFERROR(__xludf.DUMMYFUNCTION("""COMPUTED_VALUE"""),0.111111111111111)</f>
        <v>0.1111111111</v>
      </c>
      <c r="K179" s="16">
        <f>IFERROR(__xludf.DUMMYFUNCTION("""COMPUTED_VALUE"""),0.153846153846153)</f>
        <v>0.1538461538</v>
      </c>
      <c r="L179" s="16">
        <f>IFERROR(__xludf.DUMMYFUNCTION("""COMPUTED_VALUE"""),0.156862745098039)</f>
        <v>0.1568627451</v>
      </c>
      <c r="M179" s="16">
        <f>IFERROR(__xludf.DUMMYFUNCTION("""COMPUTED_VALUE"""),0.142857142857142)</f>
        <v>0.1428571429</v>
      </c>
      <c r="N179" s="16">
        <f>IFERROR(__xludf.DUMMYFUNCTION("""COMPUTED_VALUE"""),0.111111111111111)</f>
        <v>0.1111111111</v>
      </c>
      <c r="O179" s="16">
        <f>IFERROR(__xludf.DUMMYFUNCTION("""COMPUTED_VALUE"""),0.184210526315789)</f>
        <v>0.1842105263</v>
      </c>
      <c r="P179" s="16">
        <f>IFERROR(__xludf.DUMMYFUNCTION("""COMPUTED_VALUE"""),0.147058823529411)</f>
        <v>0.1470588235</v>
      </c>
      <c r="Q179" s="16">
        <f>IFERROR(__xludf.DUMMYFUNCTION("""COMPUTED_VALUE"""),0.0)</f>
        <v>0</v>
      </c>
      <c r="R179" s="16">
        <f>IFERROR(__xludf.DUMMYFUNCTION("""COMPUTED_VALUE"""),0.0)</f>
        <v>0</v>
      </c>
      <c r="S179" s="16">
        <f>IFERROR(__xludf.DUMMYFUNCTION("""COMPUTED_VALUE"""),0.0)</f>
        <v>0</v>
      </c>
      <c r="T179" s="16">
        <f>IFERROR(__xludf.DUMMYFUNCTION("""COMPUTED_VALUE"""),0.0)</f>
        <v>0</v>
      </c>
      <c r="U179" s="16">
        <f>IFERROR(__xludf.DUMMYFUNCTION("""COMPUTED_VALUE"""),0.0)</f>
        <v>0</v>
      </c>
      <c r="V179" s="16">
        <f>IFERROR(__xludf.DUMMYFUNCTION("""COMPUTED_VALUE"""),0.0)</f>
        <v>0</v>
      </c>
      <c r="W179" s="16">
        <f>IFERROR(__xludf.DUMMYFUNCTION("""COMPUTED_VALUE"""),0.0)</f>
        <v>0</v>
      </c>
      <c r="X179" s="16">
        <f>IFERROR(__xludf.DUMMYFUNCTION("""COMPUTED_VALUE"""),0.0)</f>
        <v>0</v>
      </c>
      <c r="Y179" s="16">
        <f>IFERROR(__xludf.DUMMYFUNCTION("""COMPUTED_VALUE"""),0.0)</f>
        <v>0</v>
      </c>
      <c r="Z179" s="16">
        <f>IFERROR(__xludf.DUMMYFUNCTION("""COMPUTED_VALUE"""),0.0)</f>
        <v>0</v>
      </c>
      <c r="AA179" s="16">
        <f>IFERROR(__xludf.DUMMYFUNCTION("""COMPUTED_VALUE"""),0.0)</f>
        <v>0</v>
      </c>
      <c r="AB179" s="16">
        <f>IFERROR(__xludf.DUMMYFUNCTION("""COMPUTED_VALUE"""),0.0)</f>
        <v>0</v>
      </c>
      <c r="AC179" s="16">
        <f>IFERROR(__xludf.DUMMYFUNCTION("""COMPUTED_VALUE"""),0.0)</f>
        <v>0</v>
      </c>
      <c r="AD179" s="16">
        <f>IFERROR(__xludf.DUMMYFUNCTION("""COMPUTED_VALUE"""),0.0)</f>
        <v>0</v>
      </c>
      <c r="AE179" s="16">
        <f>IFERROR(__xludf.DUMMYFUNCTION("""COMPUTED_VALUE"""),0.0)</f>
        <v>0</v>
      </c>
      <c r="AF179" s="16">
        <f>IFERROR(__xludf.DUMMYFUNCTION("""COMPUTED_VALUE"""),0.0)</f>
        <v>0</v>
      </c>
      <c r="AG179" s="16">
        <f>IFERROR(__xludf.DUMMYFUNCTION("""COMPUTED_VALUE"""),0.0)</f>
        <v>0</v>
      </c>
      <c r="AH179" s="16">
        <f>IFERROR(__xludf.DUMMYFUNCTION("""COMPUTED_VALUE"""),0.0)</f>
        <v>0</v>
      </c>
    </row>
    <row r="180">
      <c r="A180" s="16" t="str">
        <f>IFERROR(__xludf.DUMMYFUNCTION("""COMPUTED_VALUE"""),"9d3f3024e967ac2c104ada98aa10c481cd0f9e38")</f>
        <v>9d3f3024e967ac2c104ada98aa10c481cd0f9e38</v>
      </c>
      <c r="B180" s="16" t="str">
        <f>IFERROR(__xludf.DUMMYFUNCTION("""COMPUTED_VALUE"""),"The Wrong Mrs. Carter")</f>
        <v>The Wrong Mrs. Carter</v>
      </c>
      <c r="C180" s="16" t="str">
        <f>IFERROR(__xludf.DUMMYFUNCTION("""COMPUTED_VALUE"""),"Romance")</f>
        <v>Romance</v>
      </c>
      <c r="D180" s="16">
        <f>IFERROR(__xludf.DUMMYFUNCTION("""COMPUTED_VALUE"""),61.0)</f>
        <v>61</v>
      </c>
      <c r="E180" s="16">
        <f>IFERROR(__xludf.DUMMYFUNCTION("""COMPUTED_VALUE"""),0.967213114754098)</f>
        <v>0.9672131148</v>
      </c>
      <c r="F180" s="16">
        <f>IFERROR(__xludf.DUMMYFUNCTION("""COMPUTED_VALUE"""),0.688524590163934)</f>
        <v>0.6885245902</v>
      </c>
      <c r="G180" s="16">
        <f>IFERROR(__xludf.DUMMYFUNCTION("""COMPUTED_VALUE"""),0.639344262295082)</f>
        <v>0.6393442623</v>
      </c>
      <c r="H180" s="16">
        <f>IFERROR(__xludf.DUMMYFUNCTION("""COMPUTED_VALUE"""),0.576271186440678)</f>
        <v>0.5762711864</v>
      </c>
      <c r="I180" s="16">
        <f>IFERROR(__xludf.DUMMYFUNCTION("""COMPUTED_VALUE"""),0.559322033898305)</f>
        <v>0.5593220339</v>
      </c>
      <c r="J180" s="16">
        <f>IFERROR(__xludf.DUMMYFUNCTION("""COMPUTED_VALUE"""),0.592592592592592)</f>
        <v>0.5925925926</v>
      </c>
      <c r="K180" s="16">
        <f>IFERROR(__xludf.DUMMYFUNCTION("""COMPUTED_VALUE"""),0.576923076923076)</f>
        <v>0.5769230769</v>
      </c>
      <c r="L180" s="16">
        <f>IFERROR(__xludf.DUMMYFUNCTION("""COMPUTED_VALUE"""),0.5)</f>
        <v>0.5</v>
      </c>
      <c r="M180" s="16">
        <f>IFERROR(__xludf.DUMMYFUNCTION("""COMPUTED_VALUE"""),0.425531914893617)</f>
        <v>0.4255319149</v>
      </c>
      <c r="N180" s="16">
        <f>IFERROR(__xludf.DUMMYFUNCTION("""COMPUTED_VALUE"""),0.444444444444444)</f>
        <v>0.4444444444</v>
      </c>
      <c r="O180" s="16">
        <f>IFERROR(__xludf.DUMMYFUNCTION("""COMPUTED_VALUE"""),0.363636363636363)</f>
        <v>0.3636363636</v>
      </c>
      <c r="P180" s="16">
        <f>IFERROR(__xludf.DUMMYFUNCTION("""COMPUTED_VALUE"""),0.186046511627906)</f>
        <v>0.1860465116</v>
      </c>
      <c r="Q180" s="16">
        <f>IFERROR(__xludf.DUMMYFUNCTION("""COMPUTED_VALUE"""),0.088235294117647)</f>
        <v>0.08823529412</v>
      </c>
      <c r="R180" s="16">
        <f>IFERROR(__xludf.DUMMYFUNCTION("""COMPUTED_VALUE"""),0.0)</f>
        <v>0</v>
      </c>
      <c r="S180" s="16">
        <f>IFERROR(__xludf.DUMMYFUNCTION("""COMPUTED_VALUE"""),0.0)</f>
        <v>0</v>
      </c>
      <c r="T180" s="16">
        <f>IFERROR(__xludf.DUMMYFUNCTION("""COMPUTED_VALUE"""),0.0)</f>
        <v>0</v>
      </c>
      <c r="U180" s="16">
        <f>IFERROR(__xludf.DUMMYFUNCTION("""COMPUTED_VALUE"""),0.0)</f>
        <v>0</v>
      </c>
      <c r="V180" s="16">
        <f>IFERROR(__xludf.DUMMYFUNCTION("""COMPUTED_VALUE"""),0.0)</f>
        <v>0</v>
      </c>
      <c r="W180" s="16">
        <f>IFERROR(__xludf.DUMMYFUNCTION("""COMPUTED_VALUE"""),0.0)</f>
        <v>0</v>
      </c>
      <c r="X180" s="16">
        <f>IFERROR(__xludf.DUMMYFUNCTION("""COMPUTED_VALUE"""),0.0)</f>
        <v>0</v>
      </c>
      <c r="Y180" s="16">
        <f>IFERROR(__xludf.DUMMYFUNCTION("""COMPUTED_VALUE"""),0.0)</f>
        <v>0</v>
      </c>
      <c r="Z180" s="16">
        <f>IFERROR(__xludf.DUMMYFUNCTION("""COMPUTED_VALUE"""),0.0)</f>
        <v>0</v>
      </c>
      <c r="AA180" s="16">
        <f>IFERROR(__xludf.DUMMYFUNCTION("""COMPUTED_VALUE"""),0.0)</f>
        <v>0</v>
      </c>
      <c r="AB180" s="16">
        <f>IFERROR(__xludf.DUMMYFUNCTION("""COMPUTED_VALUE"""),0.0)</f>
        <v>0</v>
      </c>
      <c r="AC180" s="16">
        <f>IFERROR(__xludf.DUMMYFUNCTION("""COMPUTED_VALUE"""),0.0)</f>
        <v>0</v>
      </c>
      <c r="AD180" s="16">
        <f>IFERROR(__xludf.DUMMYFUNCTION("""COMPUTED_VALUE"""),0.0)</f>
        <v>0</v>
      </c>
      <c r="AE180" s="16">
        <f>IFERROR(__xludf.DUMMYFUNCTION("""COMPUTED_VALUE"""),0.0)</f>
        <v>0</v>
      </c>
      <c r="AF180" s="16">
        <f>IFERROR(__xludf.DUMMYFUNCTION("""COMPUTED_VALUE"""),0.0)</f>
        <v>0</v>
      </c>
      <c r="AG180" s="16">
        <f>IFERROR(__xludf.DUMMYFUNCTION("""COMPUTED_VALUE"""),0.0)</f>
        <v>0</v>
      </c>
      <c r="AH180" s="16">
        <f>IFERROR(__xludf.DUMMYFUNCTION("""COMPUTED_VALUE"""),0.0)</f>
        <v>0</v>
      </c>
    </row>
    <row r="181">
      <c r="A181" s="16" t="str">
        <f>IFERROR(__xludf.DUMMYFUNCTION("""COMPUTED_VALUE"""),"9eb4932b6e7663416bee5ea2d2dd1b2ced5727be")</f>
        <v>9eb4932b6e7663416bee5ea2d2dd1b2ced5727be</v>
      </c>
      <c r="B181" s="16" t="str">
        <f>IFERROR(__xludf.DUMMYFUNCTION("""COMPUTED_VALUE"""),"Rise of the God Mage")</f>
        <v>Rise of the God Mage</v>
      </c>
      <c r="C181" s="16" t="str">
        <f>IFERROR(__xludf.DUMMYFUNCTION("""COMPUTED_VALUE"""),"Fantasy")</f>
        <v>Fantasy</v>
      </c>
      <c r="D181" s="16">
        <f>IFERROR(__xludf.DUMMYFUNCTION("""COMPUTED_VALUE"""),885.0)</f>
        <v>885</v>
      </c>
      <c r="E181" s="16">
        <f>IFERROR(__xludf.DUMMYFUNCTION("""COMPUTED_VALUE"""),0.983050847457627)</f>
        <v>0.9830508475</v>
      </c>
      <c r="F181" s="16">
        <f>IFERROR(__xludf.DUMMYFUNCTION("""COMPUTED_VALUE"""),0.690395480225988)</f>
        <v>0.6903954802</v>
      </c>
      <c r="G181" s="16">
        <f>IFERROR(__xludf.DUMMYFUNCTION("""COMPUTED_VALUE"""),0.620338983050847)</f>
        <v>0.6203389831</v>
      </c>
      <c r="H181" s="16">
        <f>IFERROR(__xludf.DUMMYFUNCTION("""COMPUTED_VALUE"""),0.595022624434389)</f>
        <v>0.5950226244</v>
      </c>
      <c r="I181" s="16">
        <f>IFERROR(__xludf.DUMMYFUNCTION("""COMPUTED_VALUE"""),0.55328798185941)</f>
        <v>0.5532879819</v>
      </c>
      <c r="J181" s="16">
        <f>IFERROR(__xludf.DUMMYFUNCTION("""COMPUTED_VALUE"""),0.531285551763367)</f>
        <v>0.5312855518</v>
      </c>
      <c r="K181" s="16">
        <f>IFERROR(__xludf.DUMMYFUNCTION("""COMPUTED_VALUE"""),0.519406392694064)</f>
        <v>0.5194063927</v>
      </c>
      <c r="L181" s="16">
        <f>IFERROR(__xludf.DUMMYFUNCTION("""COMPUTED_VALUE"""),0.504629629629629)</f>
        <v>0.5046296296</v>
      </c>
      <c r="M181" s="16">
        <f>IFERROR(__xludf.DUMMYFUNCTION("""COMPUTED_VALUE"""),0.488179669030732)</f>
        <v>0.488179669</v>
      </c>
      <c r="N181" s="16">
        <f>IFERROR(__xludf.DUMMYFUNCTION("""COMPUTED_VALUE"""),0.480582524271844)</f>
        <v>0.4805825243</v>
      </c>
      <c r="O181" s="16">
        <f>IFERROR(__xludf.DUMMYFUNCTION("""COMPUTED_VALUE"""),0.416666666666666)</f>
        <v>0.4166666667</v>
      </c>
      <c r="P181" s="16">
        <f>IFERROR(__xludf.DUMMYFUNCTION("""COMPUTED_VALUE"""),0.34090909090909)</f>
        <v>0.3409090909</v>
      </c>
      <c r="Q181" s="16">
        <f>IFERROR(__xludf.DUMMYFUNCTION("""COMPUTED_VALUE"""),0.0)</f>
        <v>0</v>
      </c>
      <c r="R181" s="16">
        <f>IFERROR(__xludf.DUMMYFUNCTION("""COMPUTED_VALUE"""),0.0)</f>
        <v>0</v>
      </c>
      <c r="S181" s="16">
        <f>IFERROR(__xludf.DUMMYFUNCTION("""COMPUTED_VALUE"""),0.0)</f>
        <v>0</v>
      </c>
      <c r="T181" s="16">
        <f>IFERROR(__xludf.DUMMYFUNCTION("""COMPUTED_VALUE"""),0.0)</f>
        <v>0</v>
      </c>
      <c r="U181" s="16">
        <f>IFERROR(__xludf.DUMMYFUNCTION("""COMPUTED_VALUE"""),0.0)</f>
        <v>0</v>
      </c>
      <c r="V181" s="16">
        <f>IFERROR(__xludf.DUMMYFUNCTION("""COMPUTED_VALUE"""),0.0)</f>
        <v>0</v>
      </c>
      <c r="W181" s="16">
        <f>IFERROR(__xludf.DUMMYFUNCTION("""COMPUTED_VALUE"""),0.0)</f>
        <v>0</v>
      </c>
      <c r="X181" s="16">
        <f>IFERROR(__xludf.DUMMYFUNCTION("""COMPUTED_VALUE"""),0.0)</f>
        <v>0</v>
      </c>
      <c r="Y181" s="16">
        <f>IFERROR(__xludf.DUMMYFUNCTION("""COMPUTED_VALUE"""),0.0)</f>
        <v>0</v>
      </c>
      <c r="Z181" s="16">
        <f>IFERROR(__xludf.DUMMYFUNCTION("""COMPUTED_VALUE"""),0.0)</f>
        <v>0</v>
      </c>
      <c r="AA181" s="16">
        <f>IFERROR(__xludf.DUMMYFUNCTION("""COMPUTED_VALUE"""),0.0)</f>
        <v>0</v>
      </c>
      <c r="AB181" s="16">
        <f>IFERROR(__xludf.DUMMYFUNCTION("""COMPUTED_VALUE"""),0.0)</f>
        <v>0</v>
      </c>
      <c r="AC181" s="16">
        <f>IFERROR(__xludf.DUMMYFUNCTION("""COMPUTED_VALUE"""),0.0)</f>
        <v>0</v>
      </c>
      <c r="AD181" s="16">
        <f>IFERROR(__xludf.DUMMYFUNCTION("""COMPUTED_VALUE"""),0.0)</f>
        <v>0</v>
      </c>
      <c r="AE181" s="16">
        <f>IFERROR(__xludf.DUMMYFUNCTION("""COMPUTED_VALUE"""),0.0)</f>
        <v>0</v>
      </c>
      <c r="AF181" s="16">
        <f>IFERROR(__xludf.DUMMYFUNCTION("""COMPUTED_VALUE"""),0.0)</f>
        <v>0</v>
      </c>
      <c r="AG181" s="16">
        <f>IFERROR(__xludf.DUMMYFUNCTION("""COMPUTED_VALUE"""),0.0)</f>
        <v>0</v>
      </c>
      <c r="AH181" s="16">
        <f>IFERROR(__xludf.DUMMYFUNCTION("""COMPUTED_VALUE"""),0.0)</f>
        <v>0</v>
      </c>
    </row>
    <row r="182">
      <c r="A182" s="16" t="str">
        <f>IFERROR(__xludf.DUMMYFUNCTION("""COMPUTED_VALUE"""),"9f288c1b7bcd6e6181338579ca44a178a5b21573")</f>
        <v>9f288c1b7bcd6e6181338579ca44a178a5b21573</v>
      </c>
      <c r="B182" s="16" t="str">
        <f>IFERROR(__xludf.DUMMYFUNCTION("""COMPUTED_VALUE"""),"Vows of Blood &amp; Diamonds")</f>
        <v>Vows of Blood &amp; Diamonds</v>
      </c>
      <c r="C182" s="16" t="str">
        <f>IFERROR(__xludf.DUMMYFUNCTION("""COMPUTED_VALUE"""),"Romance")</f>
        <v>Romance</v>
      </c>
      <c r="D182" s="16">
        <f>IFERROR(__xludf.DUMMYFUNCTION("""COMPUTED_VALUE"""),47.0)</f>
        <v>47</v>
      </c>
      <c r="E182" s="16">
        <f>IFERROR(__xludf.DUMMYFUNCTION("""COMPUTED_VALUE"""),1.0)</f>
        <v>1</v>
      </c>
      <c r="F182" s="16">
        <f>IFERROR(__xludf.DUMMYFUNCTION("""COMPUTED_VALUE"""),0.404255319148936)</f>
        <v>0.4042553191</v>
      </c>
      <c r="G182" s="16">
        <f>IFERROR(__xludf.DUMMYFUNCTION("""COMPUTED_VALUE"""),0.319148936170212)</f>
        <v>0.3191489362</v>
      </c>
      <c r="H182" s="16">
        <f>IFERROR(__xludf.DUMMYFUNCTION("""COMPUTED_VALUE"""),0.260869565217391)</f>
        <v>0.2608695652</v>
      </c>
      <c r="I182" s="16">
        <f>IFERROR(__xludf.DUMMYFUNCTION("""COMPUTED_VALUE"""),0.239130434782608)</f>
        <v>0.2391304348</v>
      </c>
      <c r="J182" s="16">
        <f>IFERROR(__xludf.DUMMYFUNCTION("""COMPUTED_VALUE"""),0.239130434782608)</f>
        <v>0.2391304348</v>
      </c>
      <c r="K182" s="16">
        <f>IFERROR(__xludf.DUMMYFUNCTION("""COMPUTED_VALUE"""),0.239130434782608)</f>
        <v>0.2391304348</v>
      </c>
      <c r="L182" s="16">
        <f>IFERROR(__xludf.DUMMYFUNCTION("""COMPUTED_VALUE"""),0.217391304347826)</f>
        <v>0.2173913043</v>
      </c>
      <c r="M182" s="16">
        <f>IFERROR(__xludf.DUMMYFUNCTION("""COMPUTED_VALUE"""),0.2)</f>
        <v>0.2</v>
      </c>
      <c r="N182" s="16">
        <f>IFERROR(__xludf.DUMMYFUNCTION("""COMPUTED_VALUE"""),0.19047619047619)</f>
        <v>0.1904761905</v>
      </c>
      <c r="O182" s="16">
        <f>IFERROR(__xludf.DUMMYFUNCTION("""COMPUTED_VALUE"""),0.0625)</f>
        <v>0.0625</v>
      </c>
      <c r="P182" s="16">
        <f>IFERROR(__xludf.DUMMYFUNCTION("""COMPUTED_VALUE"""),0.0588235294117647)</f>
        <v>0.05882352941</v>
      </c>
      <c r="Q182" s="16">
        <f>IFERROR(__xludf.DUMMYFUNCTION("""COMPUTED_VALUE"""),0.0)</f>
        <v>0</v>
      </c>
      <c r="R182" s="16">
        <f>IFERROR(__xludf.DUMMYFUNCTION("""COMPUTED_VALUE"""),0.0)</f>
        <v>0</v>
      </c>
      <c r="S182" s="16">
        <f>IFERROR(__xludf.DUMMYFUNCTION("""COMPUTED_VALUE"""),0.0)</f>
        <v>0</v>
      </c>
      <c r="T182" s="16">
        <f>IFERROR(__xludf.DUMMYFUNCTION("""COMPUTED_VALUE"""),0.0)</f>
        <v>0</v>
      </c>
      <c r="U182" s="16">
        <f>IFERROR(__xludf.DUMMYFUNCTION("""COMPUTED_VALUE"""),0.0)</f>
        <v>0</v>
      </c>
      <c r="V182" s="16">
        <f>IFERROR(__xludf.DUMMYFUNCTION("""COMPUTED_VALUE"""),0.0)</f>
        <v>0</v>
      </c>
      <c r="W182" s="16">
        <f>IFERROR(__xludf.DUMMYFUNCTION("""COMPUTED_VALUE"""),0.0)</f>
        <v>0</v>
      </c>
      <c r="X182" s="16">
        <f>IFERROR(__xludf.DUMMYFUNCTION("""COMPUTED_VALUE"""),0.0)</f>
        <v>0</v>
      </c>
      <c r="Y182" s="16">
        <f>IFERROR(__xludf.DUMMYFUNCTION("""COMPUTED_VALUE"""),0.0)</f>
        <v>0</v>
      </c>
      <c r="Z182" s="16">
        <f>IFERROR(__xludf.DUMMYFUNCTION("""COMPUTED_VALUE"""),0.0)</f>
        <v>0</v>
      </c>
      <c r="AA182" s="16">
        <f>IFERROR(__xludf.DUMMYFUNCTION("""COMPUTED_VALUE"""),0.0)</f>
        <v>0</v>
      </c>
      <c r="AB182" s="16">
        <f>IFERROR(__xludf.DUMMYFUNCTION("""COMPUTED_VALUE"""),0.0)</f>
        <v>0</v>
      </c>
      <c r="AC182" s="16">
        <f>IFERROR(__xludf.DUMMYFUNCTION("""COMPUTED_VALUE"""),0.0)</f>
        <v>0</v>
      </c>
      <c r="AD182" s="16">
        <f>IFERROR(__xludf.DUMMYFUNCTION("""COMPUTED_VALUE"""),0.0)</f>
        <v>0</v>
      </c>
      <c r="AE182" s="16">
        <f>IFERROR(__xludf.DUMMYFUNCTION("""COMPUTED_VALUE"""),0.0)</f>
        <v>0</v>
      </c>
      <c r="AF182" s="16">
        <f>IFERROR(__xludf.DUMMYFUNCTION("""COMPUTED_VALUE"""),0.0)</f>
        <v>0</v>
      </c>
      <c r="AG182" s="16">
        <f>IFERROR(__xludf.DUMMYFUNCTION("""COMPUTED_VALUE"""),0.0)</f>
        <v>0</v>
      </c>
      <c r="AH182" s="16">
        <f>IFERROR(__xludf.DUMMYFUNCTION("""COMPUTED_VALUE"""),0.0)</f>
        <v>0</v>
      </c>
    </row>
    <row r="183">
      <c r="A183" s="16" t="str">
        <f>IFERROR(__xludf.DUMMYFUNCTION("""COMPUTED_VALUE"""),"a028c06a528d6bc1425340cbedd71880abd4ad2b")</f>
        <v>a028c06a528d6bc1425340cbedd71880abd4ad2b</v>
      </c>
      <c r="B183" s="16" t="str">
        <f>IFERROR(__xludf.DUMMYFUNCTION("""COMPUTED_VALUE"""),"Rejected Luna's Secret")</f>
        <v>Rejected Luna's Secret</v>
      </c>
      <c r="C183" s="16" t="str">
        <f>IFERROR(__xludf.DUMMYFUNCTION("""COMPUTED_VALUE"""),"Romantasy")</f>
        <v>Romantasy</v>
      </c>
      <c r="D183" s="16">
        <f>IFERROR(__xludf.DUMMYFUNCTION("""COMPUTED_VALUE"""),43.0)</f>
        <v>43</v>
      </c>
      <c r="E183" s="16">
        <f>IFERROR(__xludf.DUMMYFUNCTION("""COMPUTED_VALUE"""),0.976744186046511)</f>
        <v>0.976744186</v>
      </c>
      <c r="F183" s="16">
        <f>IFERROR(__xludf.DUMMYFUNCTION("""COMPUTED_VALUE"""),0.55813953488372)</f>
        <v>0.5581395349</v>
      </c>
      <c r="G183" s="16">
        <f>IFERROR(__xludf.DUMMYFUNCTION("""COMPUTED_VALUE"""),0.534883720930232)</f>
        <v>0.5348837209</v>
      </c>
      <c r="H183" s="16">
        <f>IFERROR(__xludf.DUMMYFUNCTION("""COMPUTED_VALUE"""),0.452380952380952)</f>
        <v>0.4523809524</v>
      </c>
      <c r="I183" s="16">
        <f>IFERROR(__xludf.DUMMYFUNCTION("""COMPUTED_VALUE"""),0.447368421052631)</f>
        <v>0.4473684211</v>
      </c>
      <c r="J183" s="16">
        <f>IFERROR(__xludf.DUMMYFUNCTION("""COMPUTED_VALUE"""),0.351351351351351)</f>
        <v>0.3513513514</v>
      </c>
      <c r="K183" s="16">
        <f>IFERROR(__xludf.DUMMYFUNCTION("""COMPUTED_VALUE"""),0.290322580645161)</f>
        <v>0.2903225806</v>
      </c>
      <c r="L183" s="16">
        <f>IFERROR(__xludf.DUMMYFUNCTION("""COMPUTED_VALUE"""),0.304347826086956)</f>
        <v>0.3043478261</v>
      </c>
      <c r="M183" s="16">
        <f>IFERROR(__xludf.DUMMYFUNCTION("""COMPUTED_VALUE"""),0.263157894736842)</f>
        <v>0.2631578947</v>
      </c>
      <c r="N183" s="16">
        <f>IFERROR(__xludf.DUMMYFUNCTION("""COMPUTED_VALUE"""),0.176470588235294)</f>
        <v>0.1764705882</v>
      </c>
      <c r="O183" s="16">
        <f>IFERROR(__xludf.DUMMYFUNCTION("""COMPUTED_VALUE"""),0.1875)</f>
        <v>0.1875</v>
      </c>
      <c r="P183" s="16">
        <f>IFERROR(__xludf.DUMMYFUNCTION("""COMPUTED_VALUE"""),0.0)</f>
        <v>0</v>
      </c>
      <c r="Q183" s="16">
        <f>IFERROR(__xludf.DUMMYFUNCTION("""COMPUTED_VALUE"""),0.0)</f>
        <v>0</v>
      </c>
      <c r="R183" s="16">
        <f>IFERROR(__xludf.DUMMYFUNCTION("""COMPUTED_VALUE"""),0.0)</f>
        <v>0</v>
      </c>
      <c r="S183" s="16">
        <f>IFERROR(__xludf.DUMMYFUNCTION("""COMPUTED_VALUE"""),0.0)</f>
        <v>0</v>
      </c>
      <c r="T183" s="16">
        <f>IFERROR(__xludf.DUMMYFUNCTION("""COMPUTED_VALUE"""),0.0)</f>
        <v>0</v>
      </c>
      <c r="U183" s="16">
        <f>IFERROR(__xludf.DUMMYFUNCTION("""COMPUTED_VALUE"""),0.0)</f>
        <v>0</v>
      </c>
      <c r="V183" s="16">
        <f>IFERROR(__xludf.DUMMYFUNCTION("""COMPUTED_VALUE"""),0.0)</f>
        <v>0</v>
      </c>
      <c r="W183" s="16">
        <f>IFERROR(__xludf.DUMMYFUNCTION("""COMPUTED_VALUE"""),0.0)</f>
        <v>0</v>
      </c>
      <c r="X183" s="16">
        <f>IFERROR(__xludf.DUMMYFUNCTION("""COMPUTED_VALUE"""),0.0)</f>
        <v>0</v>
      </c>
      <c r="Y183" s="16">
        <f>IFERROR(__xludf.DUMMYFUNCTION("""COMPUTED_VALUE"""),0.0)</f>
        <v>0</v>
      </c>
      <c r="Z183" s="16">
        <f>IFERROR(__xludf.DUMMYFUNCTION("""COMPUTED_VALUE"""),0.0)</f>
        <v>0</v>
      </c>
      <c r="AA183" s="16">
        <f>IFERROR(__xludf.DUMMYFUNCTION("""COMPUTED_VALUE"""),0.0)</f>
        <v>0</v>
      </c>
      <c r="AB183" s="16">
        <f>IFERROR(__xludf.DUMMYFUNCTION("""COMPUTED_VALUE"""),0.0)</f>
        <v>0</v>
      </c>
      <c r="AC183" s="16">
        <f>IFERROR(__xludf.DUMMYFUNCTION("""COMPUTED_VALUE"""),0.0)</f>
        <v>0</v>
      </c>
      <c r="AD183" s="16">
        <f>IFERROR(__xludf.DUMMYFUNCTION("""COMPUTED_VALUE"""),0.0)</f>
        <v>0</v>
      </c>
      <c r="AE183" s="16">
        <f>IFERROR(__xludf.DUMMYFUNCTION("""COMPUTED_VALUE"""),0.0)</f>
        <v>0</v>
      </c>
      <c r="AF183" s="16">
        <f>IFERROR(__xludf.DUMMYFUNCTION("""COMPUTED_VALUE"""),0.0)</f>
        <v>0</v>
      </c>
      <c r="AG183" s="16">
        <f>IFERROR(__xludf.DUMMYFUNCTION("""COMPUTED_VALUE"""),0.0)</f>
        <v>0</v>
      </c>
      <c r="AH183" s="16">
        <f>IFERROR(__xludf.DUMMYFUNCTION("""COMPUTED_VALUE"""),0.0)</f>
        <v>0</v>
      </c>
    </row>
    <row r="184">
      <c r="A184" s="16" t="str">
        <f>IFERROR(__xludf.DUMMYFUNCTION("""COMPUTED_VALUE"""),"a0f8c5bd5bdb02bdaa499febc39e36611127769b")</f>
        <v>a0f8c5bd5bdb02bdaa499febc39e36611127769b</v>
      </c>
      <c r="B184" s="16" t="str">
        <f>IFERROR(__xludf.DUMMYFUNCTION("""COMPUTED_VALUE"""),"The Wedding He Stole")</f>
        <v>The Wedding He Stole</v>
      </c>
      <c r="C184" s="16" t="str">
        <f>IFERROR(__xludf.DUMMYFUNCTION("""COMPUTED_VALUE"""),"Romance")</f>
        <v>Romance</v>
      </c>
      <c r="D184" s="16">
        <f>IFERROR(__xludf.DUMMYFUNCTION("""COMPUTED_VALUE"""),40.0)</f>
        <v>40</v>
      </c>
      <c r="E184" s="16">
        <f>IFERROR(__xludf.DUMMYFUNCTION("""COMPUTED_VALUE"""),1.0)</f>
        <v>1</v>
      </c>
      <c r="F184" s="16">
        <f>IFERROR(__xludf.DUMMYFUNCTION("""COMPUTED_VALUE"""),0.75)</f>
        <v>0.75</v>
      </c>
      <c r="G184" s="16">
        <f>IFERROR(__xludf.DUMMYFUNCTION("""COMPUTED_VALUE"""),0.75)</f>
        <v>0.75</v>
      </c>
      <c r="H184" s="16">
        <f>IFERROR(__xludf.DUMMYFUNCTION("""COMPUTED_VALUE"""),0.65)</f>
        <v>0.65</v>
      </c>
      <c r="I184" s="16">
        <f>IFERROR(__xludf.DUMMYFUNCTION("""COMPUTED_VALUE"""),0.625)</f>
        <v>0.625</v>
      </c>
      <c r="J184" s="16">
        <f>IFERROR(__xludf.DUMMYFUNCTION("""COMPUTED_VALUE"""),0.625)</f>
        <v>0.625</v>
      </c>
      <c r="K184" s="16">
        <f>IFERROR(__xludf.DUMMYFUNCTION("""COMPUTED_VALUE"""),0.475)</f>
        <v>0.475</v>
      </c>
      <c r="L184" s="16">
        <f>IFERROR(__xludf.DUMMYFUNCTION("""COMPUTED_VALUE"""),0.475)</f>
        <v>0.475</v>
      </c>
      <c r="M184" s="16">
        <f>IFERROR(__xludf.DUMMYFUNCTION("""COMPUTED_VALUE"""),0.45)</f>
        <v>0.45</v>
      </c>
      <c r="N184" s="16">
        <f>IFERROR(__xludf.DUMMYFUNCTION("""COMPUTED_VALUE"""),0.375)</f>
        <v>0.375</v>
      </c>
      <c r="O184" s="16">
        <f>IFERROR(__xludf.DUMMYFUNCTION("""COMPUTED_VALUE"""),0.205128205128205)</f>
        <v>0.2051282051</v>
      </c>
      <c r="P184" s="16">
        <f>IFERROR(__xludf.DUMMYFUNCTION("""COMPUTED_VALUE"""),0.129032258064516)</f>
        <v>0.1290322581</v>
      </c>
      <c r="Q184" s="16">
        <f>IFERROR(__xludf.DUMMYFUNCTION("""COMPUTED_VALUE"""),0.0)</f>
        <v>0</v>
      </c>
      <c r="R184" s="16">
        <f>IFERROR(__xludf.DUMMYFUNCTION("""COMPUTED_VALUE"""),0.0)</f>
        <v>0</v>
      </c>
      <c r="S184" s="16">
        <f>IFERROR(__xludf.DUMMYFUNCTION("""COMPUTED_VALUE"""),0.0)</f>
        <v>0</v>
      </c>
      <c r="T184" s="16">
        <f>IFERROR(__xludf.DUMMYFUNCTION("""COMPUTED_VALUE"""),0.0)</f>
        <v>0</v>
      </c>
      <c r="U184" s="16">
        <f>IFERROR(__xludf.DUMMYFUNCTION("""COMPUTED_VALUE"""),0.0)</f>
        <v>0</v>
      </c>
      <c r="V184" s="16">
        <f>IFERROR(__xludf.DUMMYFUNCTION("""COMPUTED_VALUE"""),0.0)</f>
        <v>0</v>
      </c>
      <c r="W184" s="16">
        <f>IFERROR(__xludf.DUMMYFUNCTION("""COMPUTED_VALUE"""),0.0)</f>
        <v>0</v>
      </c>
      <c r="X184" s="16">
        <f>IFERROR(__xludf.DUMMYFUNCTION("""COMPUTED_VALUE"""),0.0)</f>
        <v>0</v>
      </c>
      <c r="Y184" s="16">
        <f>IFERROR(__xludf.DUMMYFUNCTION("""COMPUTED_VALUE"""),0.0)</f>
        <v>0</v>
      </c>
      <c r="Z184" s="16">
        <f>IFERROR(__xludf.DUMMYFUNCTION("""COMPUTED_VALUE"""),0.0)</f>
        <v>0</v>
      </c>
      <c r="AA184" s="16">
        <f>IFERROR(__xludf.DUMMYFUNCTION("""COMPUTED_VALUE"""),0.0)</f>
        <v>0</v>
      </c>
      <c r="AB184" s="16">
        <f>IFERROR(__xludf.DUMMYFUNCTION("""COMPUTED_VALUE"""),0.0)</f>
        <v>0</v>
      </c>
      <c r="AC184" s="16">
        <f>IFERROR(__xludf.DUMMYFUNCTION("""COMPUTED_VALUE"""),0.0)</f>
        <v>0</v>
      </c>
      <c r="AD184" s="16">
        <f>IFERROR(__xludf.DUMMYFUNCTION("""COMPUTED_VALUE"""),0.0)</f>
        <v>0</v>
      </c>
      <c r="AE184" s="16">
        <f>IFERROR(__xludf.DUMMYFUNCTION("""COMPUTED_VALUE"""),0.0)</f>
        <v>0</v>
      </c>
      <c r="AF184" s="16">
        <f>IFERROR(__xludf.DUMMYFUNCTION("""COMPUTED_VALUE"""),0.0)</f>
        <v>0</v>
      </c>
      <c r="AG184" s="16">
        <f>IFERROR(__xludf.DUMMYFUNCTION("""COMPUTED_VALUE"""),0.0)</f>
        <v>0</v>
      </c>
      <c r="AH184" s="16">
        <f>IFERROR(__xludf.DUMMYFUNCTION("""COMPUTED_VALUE"""),0.0)</f>
        <v>0</v>
      </c>
    </row>
    <row r="185">
      <c r="A185" s="16" t="str">
        <f>IFERROR(__xludf.DUMMYFUNCTION("""COMPUTED_VALUE"""),"a177a4f320c3acde252f084dc28be041cb221596")</f>
        <v>a177a4f320c3acde252f084dc28be041cb221596</v>
      </c>
      <c r="B185" s="16" t="str">
        <f>IFERROR(__xludf.DUMMYFUNCTION("""COMPUTED_VALUE"""),"The Boy With No Magic")</f>
        <v>The Boy With No Magic</v>
      </c>
      <c r="C185" s="16" t="str">
        <f>IFERROR(__xludf.DUMMYFUNCTION("""COMPUTED_VALUE"""),"Fantasy")</f>
        <v>Fantasy</v>
      </c>
      <c r="D185" s="16">
        <f>IFERROR(__xludf.DUMMYFUNCTION("""COMPUTED_VALUE"""),307.0)</f>
        <v>307</v>
      </c>
      <c r="E185" s="16">
        <f>IFERROR(__xludf.DUMMYFUNCTION("""COMPUTED_VALUE"""),0.977198697068403)</f>
        <v>0.9771986971</v>
      </c>
      <c r="F185" s="16">
        <f>IFERROR(__xludf.DUMMYFUNCTION("""COMPUTED_VALUE"""),0.602605863192182)</f>
        <v>0.6026058632</v>
      </c>
      <c r="G185" s="16">
        <f>IFERROR(__xludf.DUMMYFUNCTION("""COMPUTED_VALUE"""),0.534201954397394)</f>
        <v>0.5342019544</v>
      </c>
      <c r="H185" s="16">
        <f>IFERROR(__xludf.DUMMYFUNCTION("""COMPUTED_VALUE"""),0.50328947368421)</f>
        <v>0.5032894737</v>
      </c>
      <c r="I185" s="16">
        <f>IFERROR(__xludf.DUMMYFUNCTION("""COMPUTED_VALUE"""),0.440397350993377)</f>
        <v>0.440397351</v>
      </c>
      <c r="J185" s="16">
        <f>IFERROR(__xludf.DUMMYFUNCTION("""COMPUTED_VALUE"""),0.40531561461794)</f>
        <v>0.4053156146</v>
      </c>
      <c r="K185" s="16">
        <f>IFERROR(__xludf.DUMMYFUNCTION("""COMPUTED_VALUE"""),0.35438596491228)</f>
        <v>0.3543859649</v>
      </c>
      <c r="L185" s="16">
        <f>IFERROR(__xludf.DUMMYFUNCTION("""COMPUTED_VALUE"""),0.322695035460992)</f>
        <v>0.3226950355</v>
      </c>
      <c r="M185" s="16">
        <f>IFERROR(__xludf.DUMMYFUNCTION("""COMPUTED_VALUE"""),0.306569343065693)</f>
        <v>0.3065693431</v>
      </c>
      <c r="N185" s="16">
        <f>IFERROR(__xludf.DUMMYFUNCTION("""COMPUTED_VALUE"""),0.303703703703703)</f>
        <v>0.3037037037</v>
      </c>
      <c r="O185" s="16">
        <f>IFERROR(__xludf.DUMMYFUNCTION("""COMPUTED_VALUE"""),0.275193798449612)</f>
        <v>0.2751937984</v>
      </c>
      <c r="P185" s="16">
        <f>IFERROR(__xludf.DUMMYFUNCTION("""COMPUTED_VALUE"""),0.194805194805194)</f>
        <v>0.1948051948</v>
      </c>
      <c r="Q185" s="16">
        <f>IFERROR(__xludf.DUMMYFUNCTION("""COMPUTED_VALUE"""),0.0)</f>
        <v>0</v>
      </c>
      <c r="R185" s="16">
        <f>IFERROR(__xludf.DUMMYFUNCTION("""COMPUTED_VALUE"""),0.0)</f>
        <v>0</v>
      </c>
      <c r="S185" s="16">
        <f>IFERROR(__xludf.DUMMYFUNCTION("""COMPUTED_VALUE"""),0.0)</f>
        <v>0</v>
      </c>
      <c r="T185" s="16">
        <f>IFERROR(__xludf.DUMMYFUNCTION("""COMPUTED_VALUE"""),0.0)</f>
        <v>0</v>
      </c>
      <c r="U185" s="16">
        <f>IFERROR(__xludf.DUMMYFUNCTION("""COMPUTED_VALUE"""),0.0)</f>
        <v>0</v>
      </c>
      <c r="V185" s="16">
        <f>IFERROR(__xludf.DUMMYFUNCTION("""COMPUTED_VALUE"""),0.0)</f>
        <v>0</v>
      </c>
      <c r="W185" s="16">
        <f>IFERROR(__xludf.DUMMYFUNCTION("""COMPUTED_VALUE"""),0.0)</f>
        <v>0</v>
      </c>
      <c r="X185" s="16">
        <f>IFERROR(__xludf.DUMMYFUNCTION("""COMPUTED_VALUE"""),0.0)</f>
        <v>0</v>
      </c>
      <c r="Y185" s="16">
        <f>IFERROR(__xludf.DUMMYFUNCTION("""COMPUTED_VALUE"""),0.0)</f>
        <v>0</v>
      </c>
      <c r="Z185" s="16">
        <f>IFERROR(__xludf.DUMMYFUNCTION("""COMPUTED_VALUE"""),0.0)</f>
        <v>0</v>
      </c>
      <c r="AA185" s="16">
        <f>IFERROR(__xludf.DUMMYFUNCTION("""COMPUTED_VALUE"""),0.0)</f>
        <v>0</v>
      </c>
      <c r="AB185" s="16">
        <f>IFERROR(__xludf.DUMMYFUNCTION("""COMPUTED_VALUE"""),0.0)</f>
        <v>0</v>
      </c>
      <c r="AC185" s="16">
        <f>IFERROR(__xludf.DUMMYFUNCTION("""COMPUTED_VALUE"""),0.0)</f>
        <v>0</v>
      </c>
      <c r="AD185" s="16">
        <f>IFERROR(__xludf.DUMMYFUNCTION("""COMPUTED_VALUE"""),0.0)</f>
        <v>0</v>
      </c>
      <c r="AE185" s="16">
        <f>IFERROR(__xludf.DUMMYFUNCTION("""COMPUTED_VALUE"""),0.0)</f>
        <v>0</v>
      </c>
      <c r="AF185" s="16">
        <f>IFERROR(__xludf.DUMMYFUNCTION("""COMPUTED_VALUE"""),0.0)</f>
        <v>0</v>
      </c>
      <c r="AG185" s="16">
        <f>IFERROR(__xludf.DUMMYFUNCTION("""COMPUTED_VALUE"""),0.0)</f>
        <v>0</v>
      </c>
      <c r="AH185" s="16">
        <f>IFERROR(__xludf.DUMMYFUNCTION("""COMPUTED_VALUE"""),0.0)</f>
        <v>0</v>
      </c>
    </row>
    <row r="186">
      <c r="A186" s="16" t="str">
        <f>IFERROR(__xludf.DUMMYFUNCTION("""COMPUTED_VALUE"""),"a20d15b2c087672afecf4c46baa7e9368a4cbb9f")</f>
        <v>a20d15b2c087672afecf4c46baa7e9368a4cbb9f</v>
      </c>
      <c r="B186" s="16" t="str">
        <f>IFERROR(__xludf.DUMMYFUNCTION("""COMPUTED_VALUE"""),"Secrets and Bloodline")</f>
        <v>Secrets and Bloodline</v>
      </c>
      <c r="C186" s="16" t="str">
        <f>IFERROR(__xludf.DUMMYFUNCTION("""COMPUTED_VALUE"""),"Romance")</f>
        <v>Romance</v>
      </c>
      <c r="D186" s="16">
        <f>IFERROR(__xludf.DUMMYFUNCTION("""COMPUTED_VALUE"""),23.0)</f>
        <v>23</v>
      </c>
      <c r="E186" s="16">
        <f>IFERROR(__xludf.DUMMYFUNCTION("""COMPUTED_VALUE"""),0.956521739130434)</f>
        <v>0.9565217391</v>
      </c>
      <c r="F186" s="16">
        <f>IFERROR(__xludf.DUMMYFUNCTION("""COMPUTED_VALUE"""),0.478260869565217)</f>
        <v>0.4782608696</v>
      </c>
      <c r="G186" s="16">
        <f>IFERROR(__xludf.DUMMYFUNCTION("""COMPUTED_VALUE"""),0.391304347826087)</f>
        <v>0.3913043478</v>
      </c>
      <c r="H186" s="16">
        <f>IFERROR(__xludf.DUMMYFUNCTION("""COMPUTED_VALUE"""),0.347826086956521)</f>
        <v>0.347826087</v>
      </c>
      <c r="I186" s="16">
        <f>IFERROR(__xludf.DUMMYFUNCTION("""COMPUTED_VALUE"""),0.260869565217391)</f>
        <v>0.2608695652</v>
      </c>
      <c r="J186" s="16">
        <f>IFERROR(__xludf.DUMMYFUNCTION("""COMPUTED_VALUE"""),0.260869565217391)</f>
        <v>0.2608695652</v>
      </c>
      <c r="K186" s="16">
        <f>IFERROR(__xludf.DUMMYFUNCTION("""COMPUTED_VALUE"""),0.260869565217391)</f>
        <v>0.2608695652</v>
      </c>
      <c r="L186" s="16">
        <f>IFERROR(__xludf.DUMMYFUNCTION("""COMPUTED_VALUE"""),0.285714285714285)</f>
        <v>0.2857142857</v>
      </c>
      <c r="M186" s="16">
        <f>IFERROR(__xludf.DUMMYFUNCTION("""COMPUTED_VALUE"""),0.3)</f>
        <v>0.3</v>
      </c>
      <c r="N186" s="16">
        <f>IFERROR(__xludf.DUMMYFUNCTION("""COMPUTED_VALUE"""),0.277777777777777)</f>
        <v>0.2777777778</v>
      </c>
      <c r="O186" s="16">
        <f>IFERROR(__xludf.DUMMYFUNCTION("""COMPUTED_VALUE"""),0.272727272727272)</f>
        <v>0.2727272727</v>
      </c>
      <c r="P186" s="16">
        <f>IFERROR(__xludf.DUMMYFUNCTION("""COMPUTED_VALUE"""),0.2)</f>
        <v>0.2</v>
      </c>
      <c r="Q186" s="16">
        <f>IFERROR(__xludf.DUMMYFUNCTION("""COMPUTED_VALUE"""),0.0)</f>
        <v>0</v>
      </c>
      <c r="R186" s="16">
        <f>IFERROR(__xludf.DUMMYFUNCTION("""COMPUTED_VALUE"""),0.0)</f>
        <v>0</v>
      </c>
      <c r="S186" s="16">
        <f>IFERROR(__xludf.DUMMYFUNCTION("""COMPUTED_VALUE"""),0.0)</f>
        <v>0</v>
      </c>
      <c r="T186" s="16">
        <f>IFERROR(__xludf.DUMMYFUNCTION("""COMPUTED_VALUE"""),0.0)</f>
        <v>0</v>
      </c>
      <c r="U186" s="16">
        <f>IFERROR(__xludf.DUMMYFUNCTION("""COMPUTED_VALUE"""),0.0)</f>
        <v>0</v>
      </c>
      <c r="V186" s="16">
        <f>IFERROR(__xludf.DUMMYFUNCTION("""COMPUTED_VALUE"""),0.0)</f>
        <v>0</v>
      </c>
      <c r="W186" s="16">
        <f>IFERROR(__xludf.DUMMYFUNCTION("""COMPUTED_VALUE"""),0.0)</f>
        <v>0</v>
      </c>
      <c r="X186" s="16">
        <f>IFERROR(__xludf.DUMMYFUNCTION("""COMPUTED_VALUE"""),0.0)</f>
        <v>0</v>
      </c>
      <c r="Y186" s="16">
        <f>IFERROR(__xludf.DUMMYFUNCTION("""COMPUTED_VALUE"""),0.0)</f>
        <v>0</v>
      </c>
      <c r="Z186" s="16">
        <f>IFERROR(__xludf.DUMMYFUNCTION("""COMPUTED_VALUE"""),0.0)</f>
        <v>0</v>
      </c>
      <c r="AA186" s="16">
        <f>IFERROR(__xludf.DUMMYFUNCTION("""COMPUTED_VALUE"""),0.0)</f>
        <v>0</v>
      </c>
      <c r="AB186" s="16">
        <f>IFERROR(__xludf.DUMMYFUNCTION("""COMPUTED_VALUE"""),0.0)</f>
        <v>0</v>
      </c>
      <c r="AC186" s="16">
        <f>IFERROR(__xludf.DUMMYFUNCTION("""COMPUTED_VALUE"""),0.0)</f>
        <v>0</v>
      </c>
      <c r="AD186" s="16">
        <f>IFERROR(__xludf.DUMMYFUNCTION("""COMPUTED_VALUE"""),0.0)</f>
        <v>0</v>
      </c>
      <c r="AE186" s="16">
        <f>IFERROR(__xludf.DUMMYFUNCTION("""COMPUTED_VALUE"""),0.0)</f>
        <v>0</v>
      </c>
      <c r="AF186" s="16">
        <f>IFERROR(__xludf.DUMMYFUNCTION("""COMPUTED_VALUE"""),0.0)</f>
        <v>0</v>
      </c>
      <c r="AG186" s="16">
        <f>IFERROR(__xludf.DUMMYFUNCTION("""COMPUTED_VALUE"""),0.0)</f>
        <v>0</v>
      </c>
      <c r="AH186" s="16">
        <f>IFERROR(__xludf.DUMMYFUNCTION("""COMPUTED_VALUE"""),0.0)</f>
        <v>0</v>
      </c>
    </row>
    <row r="187">
      <c r="A187" s="16" t="str">
        <f>IFERROR(__xludf.DUMMYFUNCTION("""COMPUTED_VALUE"""),"a3d40a3745a853e245e802a317e3934318836a28")</f>
        <v>a3d40a3745a853e245e802a317e3934318836a28</v>
      </c>
      <c r="B187" s="16" t="str">
        <f>IFERROR(__xludf.DUMMYFUNCTION("""COMPUTED_VALUE"""),"The Amazing Idiot Man")</f>
        <v>The Amazing Idiot Man</v>
      </c>
      <c r="C187" s="16" t="str">
        <f>IFERROR(__xludf.DUMMYFUNCTION("""COMPUTED_VALUE"""),"Drama")</f>
        <v>Drama</v>
      </c>
      <c r="D187" s="16">
        <f>IFERROR(__xludf.DUMMYFUNCTION("""COMPUTED_VALUE"""),551.0)</f>
        <v>551</v>
      </c>
      <c r="E187" s="16">
        <f>IFERROR(__xludf.DUMMYFUNCTION("""COMPUTED_VALUE"""),0.961887477313974)</f>
        <v>0.9618874773</v>
      </c>
      <c r="F187" s="16">
        <f>IFERROR(__xludf.DUMMYFUNCTION("""COMPUTED_VALUE"""),0.562613430127041)</f>
        <v>0.5626134301</v>
      </c>
      <c r="G187" s="16">
        <f>IFERROR(__xludf.DUMMYFUNCTION("""COMPUTED_VALUE"""),0.497277676950998)</f>
        <v>0.497277677</v>
      </c>
      <c r="H187" s="16">
        <f>IFERROR(__xludf.DUMMYFUNCTION("""COMPUTED_VALUE"""),0.452727272727272)</f>
        <v>0.4527272727</v>
      </c>
      <c r="I187" s="16">
        <f>IFERROR(__xludf.DUMMYFUNCTION("""COMPUTED_VALUE"""),0.429090909090909)</f>
        <v>0.4290909091</v>
      </c>
      <c r="J187" s="16">
        <f>IFERROR(__xludf.DUMMYFUNCTION("""COMPUTED_VALUE"""),0.405454545454545)</f>
        <v>0.4054545455</v>
      </c>
      <c r="K187" s="16">
        <f>IFERROR(__xludf.DUMMYFUNCTION("""COMPUTED_VALUE"""),0.381818181818181)</f>
        <v>0.3818181818</v>
      </c>
      <c r="L187" s="16">
        <f>IFERROR(__xludf.DUMMYFUNCTION("""COMPUTED_VALUE"""),0.356363636363636)</f>
        <v>0.3563636364</v>
      </c>
      <c r="M187" s="16">
        <f>IFERROR(__xludf.DUMMYFUNCTION("""COMPUTED_VALUE"""),0.347272727272727)</f>
        <v>0.3472727273</v>
      </c>
      <c r="N187" s="16">
        <f>IFERROR(__xludf.DUMMYFUNCTION("""COMPUTED_VALUE"""),0.332727272727272)</f>
        <v>0.3327272727</v>
      </c>
      <c r="O187" s="16">
        <f>IFERROR(__xludf.DUMMYFUNCTION("""COMPUTED_VALUE"""),0.276556776556776)</f>
        <v>0.2765567766</v>
      </c>
      <c r="P187" s="16">
        <f>IFERROR(__xludf.DUMMYFUNCTION("""COMPUTED_VALUE"""),0.210116731517509)</f>
        <v>0.2101167315</v>
      </c>
      <c r="Q187" s="16">
        <f>IFERROR(__xludf.DUMMYFUNCTION("""COMPUTED_VALUE"""),0.0)</f>
        <v>0</v>
      </c>
      <c r="R187" s="16">
        <f>IFERROR(__xludf.DUMMYFUNCTION("""COMPUTED_VALUE"""),0.0)</f>
        <v>0</v>
      </c>
      <c r="S187" s="16">
        <f>IFERROR(__xludf.DUMMYFUNCTION("""COMPUTED_VALUE"""),0.0)</f>
        <v>0</v>
      </c>
      <c r="T187" s="16">
        <f>IFERROR(__xludf.DUMMYFUNCTION("""COMPUTED_VALUE"""),0.0)</f>
        <v>0</v>
      </c>
      <c r="U187" s="16">
        <f>IFERROR(__xludf.DUMMYFUNCTION("""COMPUTED_VALUE"""),0.0)</f>
        <v>0</v>
      </c>
      <c r="V187" s="16">
        <f>IFERROR(__xludf.DUMMYFUNCTION("""COMPUTED_VALUE"""),0.0)</f>
        <v>0</v>
      </c>
      <c r="W187" s="16">
        <f>IFERROR(__xludf.DUMMYFUNCTION("""COMPUTED_VALUE"""),0.0)</f>
        <v>0</v>
      </c>
      <c r="X187" s="16">
        <f>IFERROR(__xludf.DUMMYFUNCTION("""COMPUTED_VALUE"""),0.0)</f>
        <v>0</v>
      </c>
      <c r="Y187" s="16">
        <f>IFERROR(__xludf.DUMMYFUNCTION("""COMPUTED_VALUE"""),0.0)</f>
        <v>0</v>
      </c>
      <c r="Z187" s="16">
        <f>IFERROR(__xludf.DUMMYFUNCTION("""COMPUTED_VALUE"""),0.0)</f>
        <v>0</v>
      </c>
      <c r="AA187" s="16">
        <f>IFERROR(__xludf.DUMMYFUNCTION("""COMPUTED_VALUE"""),0.0)</f>
        <v>0</v>
      </c>
      <c r="AB187" s="16">
        <f>IFERROR(__xludf.DUMMYFUNCTION("""COMPUTED_VALUE"""),0.0)</f>
        <v>0</v>
      </c>
      <c r="AC187" s="16">
        <f>IFERROR(__xludf.DUMMYFUNCTION("""COMPUTED_VALUE"""),0.0)</f>
        <v>0</v>
      </c>
      <c r="AD187" s="16">
        <f>IFERROR(__xludf.DUMMYFUNCTION("""COMPUTED_VALUE"""),0.0)</f>
        <v>0</v>
      </c>
      <c r="AE187" s="16">
        <f>IFERROR(__xludf.DUMMYFUNCTION("""COMPUTED_VALUE"""),0.0)</f>
        <v>0</v>
      </c>
      <c r="AF187" s="16">
        <f>IFERROR(__xludf.DUMMYFUNCTION("""COMPUTED_VALUE"""),0.0)</f>
        <v>0</v>
      </c>
      <c r="AG187" s="16">
        <f>IFERROR(__xludf.DUMMYFUNCTION("""COMPUTED_VALUE"""),0.0)</f>
        <v>0</v>
      </c>
      <c r="AH187" s="16">
        <f>IFERROR(__xludf.DUMMYFUNCTION("""COMPUTED_VALUE"""),0.0)</f>
        <v>0</v>
      </c>
    </row>
    <row r="188">
      <c r="A188" s="16" t="str">
        <f>IFERROR(__xludf.DUMMYFUNCTION("""COMPUTED_VALUE"""),"a48f5e77f994307c8a39968302f28c62b0c654af")</f>
        <v>a48f5e77f994307c8a39968302f28c62b0c654af</v>
      </c>
      <c r="B188" s="16" t="str">
        <f>IFERROR(__xludf.DUMMYFUNCTION("""COMPUTED_VALUE"""),"Battle Master")</f>
        <v>Battle Master</v>
      </c>
      <c r="C188" s="16" t="str">
        <f>IFERROR(__xludf.DUMMYFUNCTION("""COMPUTED_VALUE"""),"Fantasy")</f>
        <v>Fantasy</v>
      </c>
      <c r="D188" s="16">
        <f>IFERROR(__xludf.DUMMYFUNCTION("""COMPUTED_VALUE"""),597.0)</f>
        <v>597</v>
      </c>
      <c r="E188" s="16">
        <f>IFERROR(__xludf.DUMMYFUNCTION("""COMPUTED_VALUE"""),0.988274706867671)</f>
        <v>0.9882747069</v>
      </c>
      <c r="F188" s="16">
        <f>IFERROR(__xludf.DUMMYFUNCTION("""COMPUTED_VALUE"""),0.644891122278057)</f>
        <v>0.6448911223</v>
      </c>
      <c r="G188" s="16">
        <f>IFERROR(__xludf.DUMMYFUNCTION("""COMPUTED_VALUE"""),0.608040201005025)</f>
        <v>0.608040201</v>
      </c>
      <c r="H188" s="16">
        <f>IFERROR(__xludf.DUMMYFUNCTION("""COMPUTED_VALUE"""),0.55160744500846)</f>
        <v>0.551607445</v>
      </c>
      <c r="I188" s="16">
        <f>IFERROR(__xludf.DUMMYFUNCTION("""COMPUTED_VALUE"""),0.532871972318339)</f>
        <v>0.5328719723</v>
      </c>
      <c r="J188" s="16">
        <f>IFERROR(__xludf.DUMMYFUNCTION("""COMPUTED_VALUE"""),0.491362763915547)</f>
        <v>0.4913627639</v>
      </c>
      <c r="K188" s="16">
        <f>IFERROR(__xludf.DUMMYFUNCTION("""COMPUTED_VALUE"""),0.441048034934497)</f>
        <v>0.4410480349</v>
      </c>
      <c r="L188" s="16">
        <f>IFERROR(__xludf.DUMMYFUNCTION("""COMPUTED_VALUE"""),0.403465346534653)</f>
        <v>0.4034653465</v>
      </c>
      <c r="M188" s="16">
        <f>IFERROR(__xludf.DUMMYFUNCTION("""COMPUTED_VALUE"""),0.398773006134969)</f>
        <v>0.3987730061</v>
      </c>
      <c r="N188" s="16">
        <f>IFERROR(__xludf.DUMMYFUNCTION("""COMPUTED_VALUE"""),0.3515625)</f>
        <v>0.3515625</v>
      </c>
      <c r="O188" s="16">
        <f>IFERROR(__xludf.DUMMYFUNCTION("""COMPUTED_VALUE"""),0.347826086956521)</f>
        <v>0.347826087</v>
      </c>
      <c r="P188" s="16">
        <f>IFERROR(__xludf.DUMMYFUNCTION("""COMPUTED_VALUE"""),0.0)</f>
        <v>0</v>
      </c>
      <c r="Q188" s="16">
        <f>IFERROR(__xludf.DUMMYFUNCTION("""COMPUTED_VALUE"""),0.0)</f>
        <v>0</v>
      </c>
      <c r="R188" s="16">
        <f>IFERROR(__xludf.DUMMYFUNCTION("""COMPUTED_VALUE"""),0.0)</f>
        <v>0</v>
      </c>
      <c r="S188" s="16">
        <f>IFERROR(__xludf.DUMMYFUNCTION("""COMPUTED_VALUE"""),0.0)</f>
        <v>0</v>
      </c>
      <c r="T188" s="16">
        <f>IFERROR(__xludf.DUMMYFUNCTION("""COMPUTED_VALUE"""),0.0)</f>
        <v>0</v>
      </c>
      <c r="U188" s="16">
        <f>IFERROR(__xludf.DUMMYFUNCTION("""COMPUTED_VALUE"""),0.0)</f>
        <v>0</v>
      </c>
      <c r="V188" s="16">
        <f>IFERROR(__xludf.DUMMYFUNCTION("""COMPUTED_VALUE"""),0.0)</f>
        <v>0</v>
      </c>
      <c r="W188" s="16">
        <f>IFERROR(__xludf.DUMMYFUNCTION("""COMPUTED_VALUE"""),0.0)</f>
        <v>0</v>
      </c>
      <c r="X188" s="16">
        <f>IFERROR(__xludf.DUMMYFUNCTION("""COMPUTED_VALUE"""),0.0)</f>
        <v>0</v>
      </c>
      <c r="Y188" s="16">
        <f>IFERROR(__xludf.DUMMYFUNCTION("""COMPUTED_VALUE"""),0.0)</f>
        <v>0</v>
      </c>
      <c r="Z188" s="16">
        <f>IFERROR(__xludf.DUMMYFUNCTION("""COMPUTED_VALUE"""),0.0)</f>
        <v>0</v>
      </c>
      <c r="AA188" s="16">
        <f>IFERROR(__xludf.DUMMYFUNCTION("""COMPUTED_VALUE"""),0.0)</f>
        <v>0</v>
      </c>
      <c r="AB188" s="16">
        <f>IFERROR(__xludf.DUMMYFUNCTION("""COMPUTED_VALUE"""),0.0)</f>
        <v>0</v>
      </c>
      <c r="AC188" s="16">
        <f>IFERROR(__xludf.DUMMYFUNCTION("""COMPUTED_VALUE"""),0.0)</f>
        <v>0</v>
      </c>
      <c r="AD188" s="16">
        <f>IFERROR(__xludf.DUMMYFUNCTION("""COMPUTED_VALUE"""),0.0)</f>
        <v>0</v>
      </c>
      <c r="AE188" s="16">
        <f>IFERROR(__xludf.DUMMYFUNCTION("""COMPUTED_VALUE"""),0.0)</f>
        <v>0</v>
      </c>
      <c r="AF188" s="16">
        <f>IFERROR(__xludf.DUMMYFUNCTION("""COMPUTED_VALUE"""),0.0)</f>
        <v>0</v>
      </c>
      <c r="AG188" s="16">
        <f>IFERROR(__xludf.DUMMYFUNCTION("""COMPUTED_VALUE"""),0.0)</f>
        <v>0</v>
      </c>
      <c r="AH188" s="16">
        <f>IFERROR(__xludf.DUMMYFUNCTION("""COMPUTED_VALUE"""),0.0)</f>
        <v>0</v>
      </c>
    </row>
    <row r="189">
      <c r="A189" s="16" t="str">
        <f>IFERROR(__xludf.DUMMYFUNCTION("""COMPUTED_VALUE"""),"a4dd4053a025d38e2c0410dbcf348862c41c4c5b")</f>
        <v>a4dd4053a025d38e2c0410dbcf348862c41c4c5b</v>
      </c>
      <c r="B189" s="16" t="str">
        <f>IFERROR(__xludf.DUMMYFUNCTION("""COMPUTED_VALUE"""),"Twin Betrayal, Enemy Love")</f>
        <v>Twin Betrayal, Enemy Love</v>
      </c>
      <c r="C189" s="16" t="str">
        <f>IFERROR(__xludf.DUMMYFUNCTION("""COMPUTED_VALUE"""),"Romance")</f>
        <v>Romance</v>
      </c>
      <c r="D189" s="16">
        <f>IFERROR(__xludf.DUMMYFUNCTION("""COMPUTED_VALUE"""),155.0)</f>
        <v>155</v>
      </c>
      <c r="E189" s="16">
        <f>IFERROR(__xludf.DUMMYFUNCTION("""COMPUTED_VALUE"""),0.954838709677419)</f>
        <v>0.9548387097</v>
      </c>
      <c r="F189" s="16">
        <f>IFERROR(__xludf.DUMMYFUNCTION("""COMPUTED_VALUE"""),0.541935483870967)</f>
        <v>0.5419354839</v>
      </c>
      <c r="G189" s="16">
        <f>IFERROR(__xludf.DUMMYFUNCTION("""COMPUTED_VALUE"""),0.44516129032258)</f>
        <v>0.4451612903</v>
      </c>
      <c r="H189" s="16">
        <f>IFERROR(__xludf.DUMMYFUNCTION("""COMPUTED_VALUE"""),0.406451612903225)</f>
        <v>0.4064516129</v>
      </c>
      <c r="I189" s="16">
        <f>IFERROR(__xludf.DUMMYFUNCTION("""COMPUTED_VALUE"""),0.406451612903225)</f>
        <v>0.4064516129</v>
      </c>
      <c r="J189" s="16">
        <f>IFERROR(__xludf.DUMMYFUNCTION("""COMPUTED_VALUE"""),0.374193548387096)</f>
        <v>0.3741935484</v>
      </c>
      <c r="K189" s="16">
        <f>IFERROR(__xludf.DUMMYFUNCTION("""COMPUTED_VALUE"""),0.354838709677419)</f>
        <v>0.3548387097</v>
      </c>
      <c r="L189" s="16">
        <f>IFERROR(__xludf.DUMMYFUNCTION("""COMPUTED_VALUE"""),0.329032258064516)</f>
        <v>0.3290322581</v>
      </c>
      <c r="M189" s="16">
        <f>IFERROR(__xludf.DUMMYFUNCTION("""COMPUTED_VALUE"""),0.290322580645161)</f>
        <v>0.2903225806</v>
      </c>
      <c r="N189" s="16">
        <f>IFERROR(__xludf.DUMMYFUNCTION("""COMPUTED_VALUE"""),0.251612903225806)</f>
        <v>0.2516129032</v>
      </c>
      <c r="O189" s="16">
        <f>IFERROR(__xludf.DUMMYFUNCTION("""COMPUTED_VALUE"""),0.2)</f>
        <v>0.2</v>
      </c>
      <c r="P189" s="16">
        <f>IFERROR(__xludf.DUMMYFUNCTION("""COMPUTED_VALUE"""),0.13103448275862)</f>
        <v>0.1310344828</v>
      </c>
      <c r="Q189" s="16">
        <f>IFERROR(__xludf.DUMMYFUNCTION("""COMPUTED_VALUE"""),0.119718309859154)</f>
        <v>0.1197183099</v>
      </c>
      <c r="R189" s="16">
        <f>IFERROR(__xludf.DUMMYFUNCTION("""COMPUTED_VALUE"""),0.0747663551401869)</f>
        <v>0.07476635514</v>
      </c>
      <c r="S189" s="16">
        <f>IFERROR(__xludf.DUMMYFUNCTION("""COMPUTED_VALUE"""),0.0465116279069767)</f>
        <v>0.04651162791</v>
      </c>
      <c r="T189" s="16">
        <f>IFERROR(__xludf.DUMMYFUNCTION("""COMPUTED_VALUE"""),0.0)</f>
        <v>0</v>
      </c>
      <c r="U189" s="16">
        <f>IFERROR(__xludf.DUMMYFUNCTION("""COMPUTED_VALUE"""),0.0)</f>
        <v>0</v>
      </c>
      <c r="V189" s="16">
        <f>IFERROR(__xludf.DUMMYFUNCTION("""COMPUTED_VALUE"""),0.0)</f>
        <v>0</v>
      </c>
      <c r="W189" s="16">
        <f>IFERROR(__xludf.DUMMYFUNCTION("""COMPUTED_VALUE"""),0.0)</f>
        <v>0</v>
      </c>
      <c r="X189" s="16">
        <f>IFERROR(__xludf.DUMMYFUNCTION("""COMPUTED_VALUE"""),0.0)</f>
        <v>0</v>
      </c>
      <c r="Y189" s="16">
        <f>IFERROR(__xludf.DUMMYFUNCTION("""COMPUTED_VALUE"""),0.0)</f>
        <v>0</v>
      </c>
      <c r="Z189" s="16">
        <f>IFERROR(__xludf.DUMMYFUNCTION("""COMPUTED_VALUE"""),0.0)</f>
        <v>0</v>
      </c>
      <c r="AA189" s="16">
        <f>IFERROR(__xludf.DUMMYFUNCTION("""COMPUTED_VALUE"""),0.0)</f>
        <v>0</v>
      </c>
      <c r="AB189" s="16">
        <f>IFERROR(__xludf.DUMMYFUNCTION("""COMPUTED_VALUE"""),0.0)</f>
        <v>0</v>
      </c>
      <c r="AC189" s="16">
        <f>IFERROR(__xludf.DUMMYFUNCTION("""COMPUTED_VALUE"""),0.0)</f>
        <v>0</v>
      </c>
      <c r="AD189" s="16">
        <f>IFERROR(__xludf.DUMMYFUNCTION("""COMPUTED_VALUE"""),0.0)</f>
        <v>0</v>
      </c>
      <c r="AE189" s="16">
        <f>IFERROR(__xludf.DUMMYFUNCTION("""COMPUTED_VALUE"""),0.0)</f>
        <v>0</v>
      </c>
      <c r="AF189" s="16">
        <f>IFERROR(__xludf.DUMMYFUNCTION("""COMPUTED_VALUE"""),0.0)</f>
        <v>0</v>
      </c>
      <c r="AG189" s="16">
        <f>IFERROR(__xludf.DUMMYFUNCTION("""COMPUTED_VALUE"""),0.0)</f>
        <v>0</v>
      </c>
      <c r="AH189" s="16">
        <f>IFERROR(__xludf.DUMMYFUNCTION("""COMPUTED_VALUE"""),0.0)</f>
        <v>0</v>
      </c>
    </row>
    <row r="190">
      <c r="A190" s="16" t="str">
        <f>IFERROR(__xludf.DUMMYFUNCTION("""COMPUTED_VALUE"""),"a6268ee1800866a09bab6b47c61f885556992b45")</f>
        <v>a6268ee1800866a09bab6b47c61f885556992b45</v>
      </c>
      <c r="B190" s="16" t="str">
        <f>IFERROR(__xludf.DUMMYFUNCTION("""COMPUTED_VALUE"""),"The System Creation: Intergalactic Entry")</f>
        <v>The System Creation: Intergalactic Entry</v>
      </c>
      <c r="C190" s="16" t="str">
        <f>IFERROR(__xludf.DUMMYFUNCTION("""COMPUTED_VALUE"""),"System and Superpower")</f>
        <v>System and Superpower</v>
      </c>
      <c r="D190" s="16">
        <f>IFERROR(__xludf.DUMMYFUNCTION("""COMPUTED_VALUE"""),19491.0)</f>
        <v>19491</v>
      </c>
      <c r="E190" s="16">
        <f>IFERROR(__xludf.DUMMYFUNCTION("""COMPUTED_VALUE"""),0.893848442871068)</f>
        <v>0.8938484429</v>
      </c>
      <c r="F190" s="16">
        <f>IFERROR(__xludf.DUMMYFUNCTION("""COMPUTED_VALUE"""),0.455492278487507)</f>
        <v>0.4554922785</v>
      </c>
      <c r="G190" s="16">
        <f>IFERROR(__xludf.DUMMYFUNCTION("""COMPUTED_VALUE"""),0.394643681699245)</f>
        <v>0.3946436817</v>
      </c>
      <c r="H190" s="16">
        <f>IFERROR(__xludf.DUMMYFUNCTION("""COMPUTED_VALUE"""),0.356380248434452)</f>
        <v>0.3563802484</v>
      </c>
      <c r="I190" s="16">
        <f>IFERROR(__xludf.DUMMYFUNCTION("""COMPUTED_VALUE"""),0.339790360702908)</f>
        <v>0.3397903607</v>
      </c>
      <c r="J190" s="16">
        <f>IFERROR(__xludf.DUMMYFUNCTION("""COMPUTED_VALUE"""),0.320675105485232)</f>
        <v>0.3206751055</v>
      </c>
      <c r="K190" s="16">
        <f>IFERROR(__xludf.DUMMYFUNCTION("""COMPUTED_VALUE"""),0.309142415657996)</f>
        <v>0.3091424157</v>
      </c>
      <c r="L190" s="16">
        <f>IFERROR(__xludf.DUMMYFUNCTION("""COMPUTED_VALUE"""),0.299767861748774)</f>
        <v>0.2997678617</v>
      </c>
      <c r="M190" s="16">
        <f>IFERROR(__xludf.DUMMYFUNCTION("""COMPUTED_VALUE"""),0.286348616274266)</f>
        <v>0.2863486163</v>
      </c>
      <c r="N190" s="16">
        <f>IFERROR(__xludf.DUMMYFUNCTION("""COMPUTED_VALUE"""),0.27536456717344)</f>
        <v>0.2753645672</v>
      </c>
      <c r="O190" s="16">
        <f>IFERROR(__xludf.DUMMYFUNCTION("""COMPUTED_VALUE"""),0.252843577167901)</f>
        <v>0.2528435772</v>
      </c>
      <c r="P190" s="16">
        <f>IFERROR(__xludf.DUMMYFUNCTION("""COMPUTED_VALUE"""),0.211232761343299)</f>
        <v>0.2112327613</v>
      </c>
      <c r="Q190" s="16">
        <f>IFERROR(__xludf.DUMMYFUNCTION("""COMPUTED_VALUE"""),0.163628611022279)</f>
        <v>0.163628611</v>
      </c>
      <c r="R190" s="16">
        <f>IFERROR(__xludf.DUMMYFUNCTION("""COMPUTED_VALUE"""),0.142558326629123)</f>
        <v>0.1425583266</v>
      </c>
      <c r="S190" s="16">
        <f>IFERROR(__xludf.DUMMYFUNCTION("""COMPUTED_VALUE"""),0.128279883381924)</f>
        <v>0.1282798834</v>
      </c>
      <c r="T190" s="16">
        <f>IFERROR(__xludf.DUMMYFUNCTION("""COMPUTED_VALUE"""),0.117103403283679)</f>
        <v>0.1171034033</v>
      </c>
      <c r="U190" s="16">
        <f>IFERROR(__xludf.DUMMYFUNCTION("""COMPUTED_VALUE"""),0.109699326359603)</f>
        <v>0.1096993264</v>
      </c>
      <c r="V190" s="16">
        <f>IFERROR(__xludf.DUMMYFUNCTION("""COMPUTED_VALUE"""),0.101639706288301)</f>
        <v>0.1016397063</v>
      </c>
      <c r="W190" s="16">
        <f>IFERROR(__xludf.DUMMYFUNCTION("""COMPUTED_VALUE"""),0.0935744089012517)</f>
        <v>0.0935744089</v>
      </c>
      <c r="X190" s="16">
        <f>IFERROR(__xludf.DUMMYFUNCTION("""COMPUTED_VALUE"""),0.0853200201940876)</f>
        <v>0.08532002019</v>
      </c>
      <c r="Y190" s="16">
        <f>IFERROR(__xludf.DUMMYFUNCTION("""COMPUTED_VALUE"""),0.0763336452971455)</f>
        <v>0.0763336453</v>
      </c>
      <c r="Z190" s="16">
        <f>IFERROR(__xludf.DUMMYFUNCTION("""COMPUTED_VALUE"""),0.0711102972593542)</f>
        <v>0.07111029726</v>
      </c>
      <c r="AA190" s="16">
        <f>IFERROR(__xludf.DUMMYFUNCTION("""COMPUTED_VALUE"""),0.0659645582392634)</f>
        <v>0.06596455824</v>
      </c>
      <c r="AB190" s="16">
        <f>IFERROR(__xludf.DUMMYFUNCTION("""COMPUTED_VALUE"""),0.0630249322134779)</f>
        <v>0.06302493221</v>
      </c>
      <c r="AC190" s="16">
        <f>IFERROR(__xludf.DUMMYFUNCTION("""COMPUTED_VALUE"""),0.0625713470319634)</f>
        <v>0.06257134703</v>
      </c>
      <c r="AD190" s="16">
        <f>IFERROR(__xludf.DUMMYFUNCTION("""COMPUTED_VALUE"""),0.0588815539874042)</f>
        <v>0.05888155399</v>
      </c>
      <c r="AE190" s="16">
        <f>IFERROR(__xludf.DUMMYFUNCTION("""COMPUTED_VALUE"""),0.0523734308753844)</f>
        <v>0.05237343088</v>
      </c>
      <c r="AF190" s="16">
        <f>IFERROR(__xludf.DUMMYFUNCTION("""COMPUTED_VALUE"""),0.046796256299496)</f>
        <v>0.0467962563</v>
      </c>
      <c r="AG190" s="16">
        <f>IFERROR(__xludf.DUMMYFUNCTION("""COMPUTED_VALUE"""),0.0432268182709272)</f>
        <v>0.04322681827</v>
      </c>
      <c r="AH190" s="16">
        <f>IFERROR(__xludf.DUMMYFUNCTION("""COMPUTED_VALUE"""),0.0407536784164285)</f>
        <v>0.04075367842</v>
      </c>
    </row>
    <row r="191">
      <c r="A191" s="16" t="str">
        <f>IFERROR(__xludf.DUMMYFUNCTION("""COMPUTED_VALUE"""),"a6f94887cb30090252bc97e34a7a53c7a6555b8d")</f>
        <v>a6f94887cb30090252bc97e34a7a53c7a6555b8d</v>
      </c>
      <c r="B191" s="16" t="str">
        <f>IFERROR(__xludf.DUMMYFUNCTION("""COMPUTED_VALUE"""),"A Surrogate Bride for a Paralyzed Ceo")</f>
        <v>A Surrogate Bride for a Paralyzed Ceo</v>
      </c>
      <c r="C191" s="16" t="str">
        <f>IFERROR(__xludf.DUMMYFUNCTION("""COMPUTED_VALUE"""),"Drama")</f>
        <v>Drama</v>
      </c>
      <c r="D191" s="16">
        <f>IFERROR(__xludf.DUMMYFUNCTION("""COMPUTED_VALUE"""),2663.0)</f>
        <v>2663</v>
      </c>
      <c r="E191" s="16">
        <f>IFERROR(__xludf.DUMMYFUNCTION("""COMPUTED_VALUE"""),0.796845662786331)</f>
        <v>0.7968456628</v>
      </c>
      <c r="F191" s="16">
        <f>IFERROR(__xludf.DUMMYFUNCTION("""COMPUTED_VALUE"""),0.403680060082613)</f>
        <v>0.4036800601</v>
      </c>
      <c r="G191" s="16">
        <f>IFERROR(__xludf.DUMMYFUNCTION("""COMPUTED_VALUE"""),0.353360871197897)</f>
        <v>0.3533608712</v>
      </c>
      <c r="H191" s="16">
        <f>IFERROR(__xludf.DUMMYFUNCTION("""COMPUTED_VALUE"""),0.320811419984973)</f>
        <v>0.32081142</v>
      </c>
      <c r="I191" s="16">
        <f>IFERROR(__xludf.DUMMYFUNCTION("""COMPUTED_VALUE"""),0.308039068369646)</f>
        <v>0.3080390684</v>
      </c>
      <c r="J191" s="16">
        <f>IFERROR(__xludf.DUMMYFUNCTION("""COMPUTED_VALUE"""),0.293388429752066)</f>
        <v>0.2933884298</v>
      </c>
      <c r="K191" s="16">
        <f>IFERROR(__xludf.DUMMYFUNCTION("""COMPUTED_VALUE"""),0.27781954887218)</f>
        <v>0.2778195489</v>
      </c>
      <c r="L191" s="16">
        <f>IFERROR(__xludf.DUMMYFUNCTION("""COMPUTED_VALUE"""),0.260902255639097)</f>
        <v>0.2609022556</v>
      </c>
      <c r="M191" s="16">
        <f>IFERROR(__xludf.DUMMYFUNCTION("""COMPUTED_VALUE"""),0.248306997742663)</f>
        <v>0.2483069977</v>
      </c>
      <c r="N191" s="16">
        <f>IFERROR(__xludf.DUMMYFUNCTION("""COMPUTED_VALUE"""),0.237772761474793)</f>
        <v>0.2377727615</v>
      </c>
      <c r="O191" s="16">
        <f>IFERROR(__xludf.DUMMYFUNCTION("""COMPUTED_VALUE"""),0.209197135318507)</f>
        <v>0.2091971353</v>
      </c>
      <c r="P191" s="16">
        <f>IFERROR(__xludf.DUMMYFUNCTION("""COMPUTED_VALUE"""),0.176292940732351)</f>
        <v>0.1762929407</v>
      </c>
      <c r="Q191" s="16">
        <f>IFERROR(__xludf.DUMMYFUNCTION("""COMPUTED_VALUE"""),0.136690647482014)</f>
        <v>0.1366906475</v>
      </c>
      <c r="R191" s="16">
        <f>IFERROR(__xludf.DUMMYFUNCTION("""COMPUTED_VALUE"""),0.115793470007593)</f>
        <v>0.11579347</v>
      </c>
      <c r="S191" s="16">
        <f>IFERROR(__xludf.DUMMYFUNCTION("""COMPUTED_VALUE"""),0.104903078677309)</f>
        <v>0.1049030787</v>
      </c>
      <c r="T191" s="16">
        <f>IFERROR(__xludf.DUMMYFUNCTION("""COMPUTED_VALUE"""),0.0914634146341463)</f>
        <v>0.09146341463</v>
      </c>
      <c r="U191" s="16">
        <f>IFERROR(__xludf.DUMMYFUNCTION("""COMPUTED_VALUE"""),0.088743757203227)</f>
        <v>0.0887437572</v>
      </c>
      <c r="V191" s="16">
        <f>IFERROR(__xludf.DUMMYFUNCTION("""COMPUTED_VALUE"""),0.0744204961366409)</f>
        <v>0.07442049614</v>
      </c>
      <c r="W191" s="16">
        <f>IFERROR(__xludf.DUMMYFUNCTION("""COMPUTED_VALUE"""),0.0707269155206286)</f>
        <v>0.07072691552</v>
      </c>
      <c r="X191" s="16">
        <f>IFERROR(__xludf.DUMMYFUNCTION("""COMPUTED_VALUE"""),0.0730367929708951)</f>
        <v>0.07303679297</v>
      </c>
      <c r="Y191" s="16">
        <f>IFERROR(__xludf.DUMMYFUNCTION("""COMPUTED_VALUE"""),0.0641848523748395)</f>
        <v>0.06418485237</v>
      </c>
      <c r="Z191" s="16">
        <f>IFERROR(__xludf.DUMMYFUNCTION("""COMPUTED_VALUE"""),0.0576923076923076)</f>
        <v>0.05769230769</v>
      </c>
      <c r="AA191" s="16">
        <f>IFERROR(__xludf.DUMMYFUNCTION("""COMPUTED_VALUE"""),0.0551537070524412)</f>
        <v>0.05515370705</v>
      </c>
      <c r="AB191" s="16">
        <f>IFERROR(__xludf.DUMMYFUNCTION("""COMPUTED_VALUE"""),0.0534090909090909)</f>
        <v>0.05340909091</v>
      </c>
      <c r="AC191" s="16">
        <f>IFERROR(__xludf.DUMMYFUNCTION("""COMPUTED_VALUE"""),0.0485312899106002)</f>
        <v>0.04853128991</v>
      </c>
      <c r="AD191" s="16">
        <f>IFERROR(__xludf.DUMMYFUNCTION("""COMPUTED_VALUE"""),0.0457796852646638)</f>
        <v>0.04577968526</v>
      </c>
      <c r="AE191" s="16">
        <f>IFERROR(__xludf.DUMMYFUNCTION("""COMPUTED_VALUE"""),0.0398773006134969)</f>
        <v>0.03987730061</v>
      </c>
      <c r="AF191" s="16">
        <f>IFERROR(__xludf.DUMMYFUNCTION("""COMPUTED_VALUE"""),0.0228384991843393)</f>
        <v>0.02283849918</v>
      </c>
      <c r="AG191" s="16">
        <f>IFERROR(__xludf.DUMMYFUNCTION("""COMPUTED_VALUE"""),0.0201834862385321)</f>
        <v>0.02018348624</v>
      </c>
      <c r="AH191" s="16">
        <f>IFERROR(__xludf.DUMMYFUNCTION("""COMPUTED_VALUE"""),0.0174672489082969)</f>
        <v>0.01746724891</v>
      </c>
    </row>
    <row r="192">
      <c r="A192" s="16" t="str">
        <f>IFERROR(__xludf.DUMMYFUNCTION("""COMPUTED_VALUE"""),"a830c3a71510f0594792edb43a5e99b9da02d7e7")</f>
        <v>a830c3a71510f0594792edb43a5e99b9da02d7e7</v>
      </c>
      <c r="B192" s="16" t="str">
        <f>IFERROR(__xludf.DUMMYFUNCTION("""COMPUTED_VALUE"""),"Married to a Dying Prince")</f>
        <v>Married to a Dying Prince</v>
      </c>
      <c r="C192" s="16" t="str">
        <f>IFERROR(__xludf.DUMMYFUNCTION("""COMPUTED_VALUE"""),"Romantasy")</f>
        <v>Romantasy</v>
      </c>
      <c r="D192" s="16">
        <f>IFERROR(__xludf.DUMMYFUNCTION("""COMPUTED_VALUE"""),92.0)</f>
        <v>92</v>
      </c>
      <c r="E192" s="16">
        <f>IFERROR(__xludf.DUMMYFUNCTION("""COMPUTED_VALUE"""),0.967391304347826)</f>
        <v>0.9673913043</v>
      </c>
      <c r="F192" s="16">
        <f>IFERROR(__xludf.DUMMYFUNCTION("""COMPUTED_VALUE"""),0.478260869565217)</f>
        <v>0.4782608696</v>
      </c>
      <c r="G192" s="16">
        <f>IFERROR(__xludf.DUMMYFUNCTION("""COMPUTED_VALUE"""),0.445652173913043)</f>
        <v>0.4456521739</v>
      </c>
      <c r="H192" s="16">
        <f>IFERROR(__xludf.DUMMYFUNCTION("""COMPUTED_VALUE"""),0.413043478260869)</f>
        <v>0.4130434783</v>
      </c>
      <c r="I192" s="16">
        <f>IFERROR(__xludf.DUMMYFUNCTION("""COMPUTED_VALUE"""),0.380434782608695)</f>
        <v>0.3804347826</v>
      </c>
      <c r="J192" s="16">
        <f>IFERROR(__xludf.DUMMYFUNCTION("""COMPUTED_VALUE"""),0.369565217391304)</f>
        <v>0.3695652174</v>
      </c>
      <c r="K192" s="16">
        <f>IFERROR(__xludf.DUMMYFUNCTION("""COMPUTED_VALUE"""),0.347826086956521)</f>
        <v>0.347826087</v>
      </c>
      <c r="L192" s="16">
        <f>IFERROR(__xludf.DUMMYFUNCTION("""COMPUTED_VALUE"""),0.347826086956521)</f>
        <v>0.347826087</v>
      </c>
      <c r="M192" s="16">
        <f>IFERROR(__xludf.DUMMYFUNCTION("""COMPUTED_VALUE"""),0.347826086956521)</f>
        <v>0.347826087</v>
      </c>
      <c r="N192" s="16">
        <f>IFERROR(__xludf.DUMMYFUNCTION("""COMPUTED_VALUE"""),0.351648351648351)</f>
        <v>0.3516483516</v>
      </c>
      <c r="O192" s="16">
        <f>IFERROR(__xludf.DUMMYFUNCTION("""COMPUTED_VALUE"""),0.34065934065934)</f>
        <v>0.3406593407</v>
      </c>
      <c r="P192" s="16">
        <f>IFERROR(__xludf.DUMMYFUNCTION("""COMPUTED_VALUE"""),0.23076923076923)</f>
        <v>0.2307692308</v>
      </c>
      <c r="Q192" s="16">
        <f>IFERROR(__xludf.DUMMYFUNCTION("""COMPUTED_VALUE"""),0.216666666666666)</f>
        <v>0.2166666667</v>
      </c>
      <c r="R192" s="16">
        <f>IFERROR(__xludf.DUMMYFUNCTION("""COMPUTED_VALUE"""),0.1)</f>
        <v>0.1</v>
      </c>
      <c r="S192" s="16">
        <f>IFERROR(__xludf.DUMMYFUNCTION("""COMPUTED_VALUE"""),0.333333333333333)</f>
        <v>0.3333333333</v>
      </c>
      <c r="T192" s="16">
        <f>IFERROR(__xludf.DUMMYFUNCTION("""COMPUTED_VALUE"""),0.0)</f>
        <v>0</v>
      </c>
      <c r="U192" s="16">
        <f>IFERROR(__xludf.DUMMYFUNCTION("""COMPUTED_VALUE"""),0.0)</f>
        <v>0</v>
      </c>
      <c r="V192" s="16">
        <f>IFERROR(__xludf.DUMMYFUNCTION("""COMPUTED_VALUE"""),0.0)</f>
        <v>0</v>
      </c>
      <c r="W192" s="16">
        <f>IFERROR(__xludf.DUMMYFUNCTION("""COMPUTED_VALUE"""),0.0)</f>
        <v>0</v>
      </c>
      <c r="X192" s="16">
        <f>IFERROR(__xludf.DUMMYFUNCTION("""COMPUTED_VALUE"""),0.0)</f>
        <v>0</v>
      </c>
      <c r="Y192" s="16">
        <f>IFERROR(__xludf.DUMMYFUNCTION("""COMPUTED_VALUE"""),0.0)</f>
        <v>0</v>
      </c>
      <c r="Z192" s="16">
        <f>IFERROR(__xludf.DUMMYFUNCTION("""COMPUTED_VALUE"""),0.0)</f>
        <v>0</v>
      </c>
      <c r="AA192" s="16">
        <f>IFERROR(__xludf.DUMMYFUNCTION("""COMPUTED_VALUE"""),0.0)</f>
        <v>0</v>
      </c>
      <c r="AB192" s="16">
        <f>IFERROR(__xludf.DUMMYFUNCTION("""COMPUTED_VALUE"""),0.0)</f>
        <v>0</v>
      </c>
      <c r="AC192" s="16">
        <f>IFERROR(__xludf.DUMMYFUNCTION("""COMPUTED_VALUE"""),0.0)</f>
        <v>0</v>
      </c>
      <c r="AD192" s="16">
        <f>IFERROR(__xludf.DUMMYFUNCTION("""COMPUTED_VALUE"""),0.0)</f>
        <v>0</v>
      </c>
      <c r="AE192" s="16">
        <f>IFERROR(__xludf.DUMMYFUNCTION("""COMPUTED_VALUE"""),0.0)</f>
        <v>0</v>
      </c>
      <c r="AF192" s="16">
        <f>IFERROR(__xludf.DUMMYFUNCTION("""COMPUTED_VALUE"""),0.0)</f>
        <v>0</v>
      </c>
      <c r="AG192" s="16">
        <f>IFERROR(__xludf.DUMMYFUNCTION("""COMPUTED_VALUE"""),0.0)</f>
        <v>0</v>
      </c>
      <c r="AH192" s="16">
        <f>IFERROR(__xludf.DUMMYFUNCTION("""COMPUTED_VALUE"""),0.0)</f>
        <v>0</v>
      </c>
    </row>
    <row r="193">
      <c r="A193" s="16" t="str">
        <f>IFERROR(__xludf.DUMMYFUNCTION("""COMPUTED_VALUE"""),"a877c7bd8a3facfb24f79b876674d1437dd52fb5")</f>
        <v>a877c7bd8a3facfb24f79b876674d1437dd52fb5</v>
      </c>
      <c r="B193" s="16" t="str">
        <f>IFERROR(__xludf.DUMMYFUNCTION("""COMPUTED_VALUE"""),"Dragon System Awakening")</f>
        <v>Dragon System Awakening</v>
      </c>
      <c r="C193" s="16" t="str">
        <f>IFERROR(__xludf.DUMMYFUNCTION("""COMPUTED_VALUE"""),"System and Superpower")</f>
        <v>System and Superpower</v>
      </c>
      <c r="D193" s="16">
        <f>IFERROR(__xludf.DUMMYFUNCTION("""COMPUTED_VALUE"""),35394.0)</f>
        <v>35394</v>
      </c>
      <c r="E193" s="16">
        <f>IFERROR(__xludf.DUMMYFUNCTION("""COMPUTED_VALUE"""),0.91272532067582)</f>
        <v>0.9127253207</v>
      </c>
      <c r="F193" s="16">
        <f>IFERROR(__xludf.DUMMYFUNCTION("""COMPUTED_VALUE"""),0.617014663916593)</f>
        <v>0.6170146639</v>
      </c>
      <c r="G193" s="16">
        <f>IFERROR(__xludf.DUMMYFUNCTION("""COMPUTED_VALUE"""),0.563601943942133)</f>
        <v>0.5636019439</v>
      </c>
      <c r="H193" s="16">
        <f>IFERROR(__xludf.DUMMYFUNCTION("""COMPUTED_VALUE"""),0.531288863764838)</f>
        <v>0.5312888638</v>
      </c>
      <c r="I193" s="16">
        <f>IFERROR(__xludf.DUMMYFUNCTION("""COMPUTED_VALUE"""),0.501429501514422)</f>
        <v>0.5014295015</v>
      </c>
      <c r="J193" s="16">
        <f>IFERROR(__xludf.DUMMYFUNCTION("""COMPUTED_VALUE"""),0.484577001587661)</f>
        <v>0.4845770016</v>
      </c>
      <c r="K193" s="16">
        <f>IFERROR(__xludf.DUMMYFUNCTION("""COMPUTED_VALUE"""),0.467817495244314)</f>
        <v>0.4678174952</v>
      </c>
      <c r="L193" s="16">
        <f>IFERROR(__xludf.DUMMYFUNCTION("""COMPUTED_VALUE"""),0.453050775138671)</f>
        <v>0.4530507751</v>
      </c>
      <c r="M193" s="16">
        <f>IFERROR(__xludf.DUMMYFUNCTION("""COMPUTED_VALUE"""),0.438452553912771)</f>
        <v>0.4384525539</v>
      </c>
      <c r="N193" s="16">
        <f>IFERROR(__xludf.DUMMYFUNCTION("""COMPUTED_VALUE"""),0.426687598116169)</f>
        <v>0.4266875981</v>
      </c>
      <c r="O193" s="16">
        <f>IFERROR(__xludf.DUMMYFUNCTION("""COMPUTED_VALUE"""),0.386859630409087)</f>
        <v>0.3868596304</v>
      </c>
      <c r="P193" s="16">
        <f>IFERROR(__xludf.DUMMYFUNCTION("""COMPUTED_VALUE"""),0.322978648932446)</f>
        <v>0.3229786489</v>
      </c>
      <c r="Q193" s="16">
        <f>IFERROR(__xludf.DUMMYFUNCTION("""COMPUTED_VALUE"""),0.246153384721514)</f>
        <v>0.2461533847</v>
      </c>
      <c r="R193" s="16">
        <f>IFERROR(__xludf.DUMMYFUNCTION("""COMPUTED_VALUE"""),0.214118220300271)</f>
        <v>0.2141182203</v>
      </c>
      <c r="S193" s="16">
        <f>IFERROR(__xludf.DUMMYFUNCTION("""COMPUTED_VALUE"""),0.191340736103331)</f>
        <v>0.1913407361</v>
      </c>
      <c r="T193" s="16">
        <f>IFERROR(__xludf.DUMMYFUNCTION("""COMPUTED_VALUE"""),0.177165187104447)</f>
        <v>0.1771651871</v>
      </c>
      <c r="U193" s="16">
        <f>IFERROR(__xludf.DUMMYFUNCTION("""COMPUTED_VALUE"""),0.161704100556356)</f>
        <v>0.1617041006</v>
      </c>
      <c r="V193" s="16">
        <f>IFERROR(__xludf.DUMMYFUNCTION("""COMPUTED_VALUE"""),0.143795015616036)</f>
        <v>0.1437950156</v>
      </c>
      <c r="W193" s="16">
        <f>IFERROR(__xludf.DUMMYFUNCTION("""COMPUTED_VALUE"""),0.126002903644838)</f>
        <v>0.1260029036</v>
      </c>
      <c r="X193" s="16">
        <f>IFERROR(__xludf.DUMMYFUNCTION("""COMPUTED_VALUE"""),0.114469391671464)</f>
        <v>0.1144693917</v>
      </c>
      <c r="Y193" s="16">
        <f>IFERROR(__xludf.DUMMYFUNCTION("""COMPUTED_VALUE"""),0.0946260084780527)</f>
        <v>0.09462600848</v>
      </c>
      <c r="Z193" s="16">
        <f>IFERROR(__xludf.DUMMYFUNCTION("""COMPUTED_VALUE"""),0.0747953711543889)</f>
        <v>0.07479537115</v>
      </c>
      <c r="AA193" s="16">
        <f>IFERROR(__xludf.DUMMYFUNCTION("""COMPUTED_VALUE"""),0.0861244019138756)</f>
        <v>0.08612440191</v>
      </c>
      <c r="AB193" s="16">
        <f>IFERROR(__xludf.DUMMYFUNCTION("""COMPUTED_VALUE"""),0.0)</f>
        <v>0</v>
      </c>
      <c r="AC193" s="16">
        <f>IFERROR(__xludf.DUMMYFUNCTION("""COMPUTED_VALUE"""),0.0)</f>
        <v>0</v>
      </c>
      <c r="AD193" s="16">
        <f>IFERROR(__xludf.DUMMYFUNCTION("""COMPUTED_VALUE"""),0.0)</f>
        <v>0</v>
      </c>
      <c r="AE193" s="16">
        <f>IFERROR(__xludf.DUMMYFUNCTION("""COMPUTED_VALUE"""),0.0)</f>
        <v>0</v>
      </c>
      <c r="AF193" s="16">
        <f>IFERROR(__xludf.DUMMYFUNCTION("""COMPUTED_VALUE"""),0.0)</f>
        <v>0</v>
      </c>
      <c r="AG193" s="16">
        <f>IFERROR(__xludf.DUMMYFUNCTION("""COMPUTED_VALUE"""),0.0)</f>
        <v>0</v>
      </c>
      <c r="AH193" s="16">
        <f>IFERROR(__xludf.DUMMYFUNCTION("""COMPUTED_VALUE"""),0.0)</f>
        <v>0</v>
      </c>
    </row>
    <row r="194">
      <c r="A194" s="16" t="str">
        <f>IFERROR(__xludf.DUMMYFUNCTION("""COMPUTED_VALUE"""),"a901618b218023453e7ca53e9fa1d9940b094e69")</f>
        <v>a901618b218023453e7ca53e9fa1d9940b094e69</v>
      </c>
      <c r="B194" s="16" t="str">
        <f>IFERROR(__xludf.DUMMYFUNCTION("""COMPUTED_VALUE"""),"The Devil's New Assistant")</f>
        <v>The Devil's New Assistant</v>
      </c>
      <c r="C194" s="16" t="str">
        <f>IFERROR(__xludf.DUMMYFUNCTION("""COMPUTED_VALUE"""),"Romance")</f>
        <v>Romance</v>
      </c>
      <c r="D194" s="16">
        <f>IFERROR(__xludf.DUMMYFUNCTION("""COMPUTED_VALUE"""),70.0)</f>
        <v>70</v>
      </c>
      <c r="E194" s="16">
        <f>IFERROR(__xludf.DUMMYFUNCTION("""COMPUTED_VALUE"""),0.971428571428571)</f>
        <v>0.9714285714</v>
      </c>
      <c r="F194" s="16">
        <f>IFERROR(__xludf.DUMMYFUNCTION("""COMPUTED_VALUE"""),0.428571428571428)</f>
        <v>0.4285714286</v>
      </c>
      <c r="G194" s="16">
        <f>IFERROR(__xludf.DUMMYFUNCTION("""COMPUTED_VALUE"""),0.342857142857142)</f>
        <v>0.3428571429</v>
      </c>
      <c r="H194" s="16">
        <f>IFERROR(__xludf.DUMMYFUNCTION("""COMPUTED_VALUE"""),0.323529411764705)</f>
        <v>0.3235294118</v>
      </c>
      <c r="I194" s="16">
        <f>IFERROR(__xludf.DUMMYFUNCTION("""COMPUTED_VALUE"""),0.313432835820895)</f>
        <v>0.3134328358</v>
      </c>
      <c r="J194" s="16">
        <f>IFERROR(__xludf.DUMMYFUNCTION("""COMPUTED_VALUE"""),0.290322580645161)</f>
        <v>0.2903225806</v>
      </c>
      <c r="K194" s="16">
        <f>IFERROR(__xludf.DUMMYFUNCTION("""COMPUTED_VALUE"""),0.293103448275862)</f>
        <v>0.2931034483</v>
      </c>
      <c r="L194" s="16">
        <f>IFERROR(__xludf.DUMMYFUNCTION("""COMPUTED_VALUE"""),0.28)</f>
        <v>0.28</v>
      </c>
      <c r="M194" s="16">
        <f>IFERROR(__xludf.DUMMYFUNCTION("""COMPUTED_VALUE"""),0.22)</f>
        <v>0.22</v>
      </c>
      <c r="N194" s="16">
        <f>IFERROR(__xludf.DUMMYFUNCTION("""COMPUTED_VALUE"""),0.265306122448979)</f>
        <v>0.2653061224</v>
      </c>
      <c r="O194" s="16">
        <f>IFERROR(__xludf.DUMMYFUNCTION("""COMPUTED_VALUE"""),0.193548387096774)</f>
        <v>0.1935483871</v>
      </c>
      <c r="P194" s="16">
        <f>IFERROR(__xludf.DUMMYFUNCTION("""COMPUTED_VALUE"""),0.217391304347826)</f>
        <v>0.2173913043</v>
      </c>
      <c r="Q194" s="16">
        <f>IFERROR(__xludf.DUMMYFUNCTION("""COMPUTED_VALUE"""),0.0)</f>
        <v>0</v>
      </c>
      <c r="R194" s="16">
        <f>IFERROR(__xludf.DUMMYFUNCTION("""COMPUTED_VALUE"""),0.0)</f>
        <v>0</v>
      </c>
      <c r="S194" s="16">
        <f>IFERROR(__xludf.DUMMYFUNCTION("""COMPUTED_VALUE"""),0.0)</f>
        <v>0</v>
      </c>
      <c r="T194" s="16">
        <f>IFERROR(__xludf.DUMMYFUNCTION("""COMPUTED_VALUE"""),0.0)</f>
        <v>0</v>
      </c>
      <c r="U194" s="16">
        <f>IFERROR(__xludf.DUMMYFUNCTION("""COMPUTED_VALUE"""),0.0)</f>
        <v>0</v>
      </c>
      <c r="V194" s="16">
        <f>IFERROR(__xludf.DUMMYFUNCTION("""COMPUTED_VALUE"""),0.0)</f>
        <v>0</v>
      </c>
      <c r="W194" s="16">
        <f>IFERROR(__xludf.DUMMYFUNCTION("""COMPUTED_VALUE"""),0.0)</f>
        <v>0</v>
      </c>
      <c r="X194" s="16">
        <f>IFERROR(__xludf.DUMMYFUNCTION("""COMPUTED_VALUE"""),0.0)</f>
        <v>0</v>
      </c>
      <c r="Y194" s="16">
        <f>IFERROR(__xludf.DUMMYFUNCTION("""COMPUTED_VALUE"""),0.0)</f>
        <v>0</v>
      </c>
      <c r="Z194" s="16">
        <f>IFERROR(__xludf.DUMMYFUNCTION("""COMPUTED_VALUE"""),0.0)</f>
        <v>0</v>
      </c>
      <c r="AA194" s="16">
        <f>IFERROR(__xludf.DUMMYFUNCTION("""COMPUTED_VALUE"""),0.0)</f>
        <v>0</v>
      </c>
      <c r="AB194" s="16">
        <f>IFERROR(__xludf.DUMMYFUNCTION("""COMPUTED_VALUE"""),0.0)</f>
        <v>0</v>
      </c>
      <c r="AC194" s="16">
        <f>IFERROR(__xludf.DUMMYFUNCTION("""COMPUTED_VALUE"""),0.0)</f>
        <v>0</v>
      </c>
      <c r="AD194" s="16">
        <f>IFERROR(__xludf.DUMMYFUNCTION("""COMPUTED_VALUE"""),0.0)</f>
        <v>0</v>
      </c>
      <c r="AE194" s="16">
        <f>IFERROR(__xludf.DUMMYFUNCTION("""COMPUTED_VALUE"""),0.0)</f>
        <v>0</v>
      </c>
      <c r="AF194" s="16">
        <f>IFERROR(__xludf.DUMMYFUNCTION("""COMPUTED_VALUE"""),0.0)</f>
        <v>0</v>
      </c>
      <c r="AG194" s="16">
        <f>IFERROR(__xludf.DUMMYFUNCTION("""COMPUTED_VALUE"""),0.0)</f>
        <v>0</v>
      </c>
      <c r="AH194" s="16">
        <f>IFERROR(__xludf.DUMMYFUNCTION("""COMPUTED_VALUE"""),0.0)</f>
        <v>0</v>
      </c>
    </row>
    <row r="195">
      <c r="A195" s="16" t="str">
        <f>IFERROR(__xludf.DUMMYFUNCTION("""COMPUTED_VALUE"""),"a92aaf29dca1833b578f42a2abbcdab8db2ff12e")</f>
        <v>a92aaf29dca1833b578f42a2abbcdab8db2ff12e</v>
      </c>
      <c r="B195" s="16" t="str">
        <f>IFERROR(__xludf.DUMMYFUNCTION("""COMPUTED_VALUE"""),"Bought for the Ice Ceo")</f>
        <v>Bought for the Ice Ceo</v>
      </c>
      <c r="C195" s="16" t="str">
        <f>IFERROR(__xludf.DUMMYFUNCTION("""COMPUTED_VALUE"""),"Romance")</f>
        <v>Romance</v>
      </c>
      <c r="D195" s="16">
        <f>IFERROR(__xludf.DUMMYFUNCTION("""COMPUTED_VALUE"""),103.0)</f>
        <v>103</v>
      </c>
      <c r="E195" s="16">
        <f>IFERROR(__xludf.DUMMYFUNCTION("""COMPUTED_VALUE"""),0.941747572815534)</f>
        <v>0.9417475728</v>
      </c>
      <c r="F195" s="16">
        <f>IFERROR(__xludf.DUMMYFUNCTION("""COMPUTED_VALUE"""),0.650485436893203)</f>
        <v>0.6504854369</v>
      </c>
      <c r="G195" s="16">
        <f>IFERROR(__xludf.DUMMYFUNCTION("""COMPUTED_VALUE"""),0.601941747572815)</f>
        <v>0.6019417476</v>
      </c>
      <c r="H195" s="16">
        <f>IFERROR(__xludf.DUMMYFUNCTION("""COMPUTED_VALUE"""),0.543689320388349)</f>
        <v>0.5436893204</v>
      </c>
      <c r="I195" s="16">
        <f>IFERROR(__xludf.DUMMYFUNCTION("""COMPUTED_VALUE"""),0.504854368932038)</f>
        <v>0.5048543689</v>
      </c>
      <c r="J195" s="16">
        <f>IFERROR(__xludf.DUMMYFUNCTION("""COMPUTED_VALUE"""),0.475728155339805)</f>
        <v>0.4757281553</v>
      </c>
      <c r="K195" s="16">
        <f>IFERROR(__xludf.DUMMYFUNCTION("""COMPUTED_VALUE"""),0.436893203883495)</f>
        <v>0.4368932039</v>
      </c>
      <c r="L195" s="16">
        <f>IFERROR(__xludf.DUMMYFUNCTION("""COMPUTED_VALUE"""),0.427184466019417)</f>
        <v>0.427184466</v>
      </c>
      <c r="M195" s="16">
        <f>IFERROR(__xludf.DUMMYFUNCTION("""COMPUTED_VALUE"""),0.398058252427184)</f>
        <v>0.3980582524</v>
      </c>
      <c r="N195" s="16">
        <f>IFERROR(__xludf.DUMMYFUNCTION("""COMPUTED_VALUE"""),0.398058252427184)</f>
        <v>0.3980582524</v>
      </c>
      <c r="O195" s="16">
        <f>IFERROR(__xludf.DUMMYFUNCTION("""COMPUTED_VALUE"""),0.326732673267326)</f>
        <v>0.3267326733</v>
      </c>
      <c r="P195" s="16">
        <f>IFERROR(__xludf.DUMMYFUNCTION("""COMPUTED_VALUE"""),0.144329896907216)</f>
        <v>0.1443298969</v>
      </c>
      <c r="Q195" s="16">
        <f>IFERROR(__xludf.DUMMYFUNCTION("""COMPUTED_VALUE"""),0.0833333333333333)</f>
        <v>0.08333333333</v>
      </c>
      <c r="R195" s="16">
        <f>IFERROR(__xludf.DUMMYFUNCTION("""COMPUTED_VALUE"""),0.0)</f>
        <v>0</v>
      </c>
      <c r="S195" s="16">
        <f>IFERROR(__xludf.DUMMYFUNCTION("""COMPUTED_VALUE"""),0.0)</f>
        <v>0</v>
      </c>
      <c r="T195" s="16">
        <f>IFERROR(__xludf.DUMMYFUNCTION("""COMPUTED_VALUE"""),0.0)</f>
        <v>0</v>
      </c>
      <c r="U195" s="16">
        <f>IFERROR(__xludf.DUMMYFUNCTION("""COMPUTED_VALUE"""),0.0)</f>
        <v>0</v>
      </c>
      <c r="V195" s="16">
        <f>IFERROR(__xludf.DUMMYFUNCTION("""COMPUTED_VALUE"""),0.0)</f>
        <v>0</v>
      </c>
      <c r="W195" s="16">
        <f>IFERROR(__xludf.DUMMYFUNCTION("""COMPUTED_VALUE"""),0.0)</f>
        <v>0</v>
      </c>
      <c r="X195" s="16">
        <f>IFERROR(__xludf.DUMMYFUNCTION("""COMPUTED_VALUE"""),0.0)</f>
        <v>0</v>
      </c>
      <c r="Y195" s="16">
        <f>IFERROR(__xludf.DUMMYFUNCTION("""COMPUTED_VALUE"""),0.0)</f>
        <v>0</v>
      </c>
      <c r="Z195" s="16">
        <f>IFERROR(__xludf.DUMMYFUNCTION("""COMPUTED_VALUE"""),0.0)</f>
        <v>0</v>
      </c>
      <c r="AA195" s="16">
        <f>IFERROR(__xludf.DUMMYFUNCTION("""COMPUTED_VALUE"""),0.0)</f>
        <v>0</v>
      </c>
      <c r="AB195" s="16">
        <f>IFERROR(__xludf.DUMMYFUNCTION("""COMPUTED_VALUE"""),0.0)</f>
        <v>0</v>
      </c>
      <c r="AC195" s="16">
        <f>IFERROR(__xludf.DUMMYFUNCTION("""COMPUTED_VALUE"""),0.0)</f>
        <v>0</v>
      </c>
      <c r="AD195" s="16">
        <f>IFERROR(__xludf.DUMMYFUNCTION("""COMPUTED_VALUE"""),0.0)</f>
        <v>0</v>
      </c>
      <c r="AE195" s="16">
        <f>IFERROR(__xludf.DUMMYFUNCTION("""COMPUTED_VALUE"""),0.0)</f>
        <v>0</v>
      </c>
      <c r="AF195" s="16">
        <f>IFERROR(__xludf.DUMMYFUNCTION("""COMPUTED_VALUE"""),0.0)</f>
        <v>0</v>
      </c>
      <c r="AG195" s="16">
        <f>IFERROR(__xludf.DUMMYFUNCTION("""COMPUTED_VALUE"""),0.0)</f>
        <v>0</v>
      </c>
      <c r="AH195" s="16">
        <f>IFERROR(__xludf.DUMMYFUNCTION("""COMPUTED_VALUE"""),0.0)</f>
        <v>0</v>
      </c>
    </row>
    <row r="196">
      <c r="A196" s="16" t="str">
        <f>IFERROR(__xludf.DUMMYFUNCTION("""COMPUTED_VALUE"""),"a978831eb87b7d63024465fa4df9a779feeaaf5a")</f>
        <v>a978831eb87b7d63024465fa4df9a779feeaaf5a</v>
      </c>
      <c r="B196" s="16" t="str">
        <f>IFERROR(__xludf.DUMMYFUNCTION("""COMPUTED_VALUE"""),"Extreme Medical Sage")</f>
        <v>Extreme Medical Sage</v>
      </c>
      <c r="C196" s="16" t="str">
        <f>IFERROR(__xludf.DUMMYFUNCTION("""COMPUTED_VALUE"""),"Fantasy")</f>
        <v>Fantasy</v>
      </c>
      <c r="D196" s="16">
        <f>IFERROR(__xludf.DUMMYFUNCTION("""COMPUTED_VALUE"""),497.0)</f>
        <v>497</v>
      </c>
      <c r="E196" s="16">
        <f>IFERROR(__xludf.DUMMYFUNCTION("""COMPUTED_VALUE"""),0.945674044265593)</f>
        <v>0.9456740443</v>
      </c>
      <c r="F196" s="16">
        <f>IFERROR(__xludf.DUMMYFUNCTION("""COMPUTED_VALUE"""),0.609657947686116)</f>
        <v>0.6096579477</v>
      </c>
      <c r="G196" s="16">
        <f>IFERROR(__xludf.DUMMYFUNCTION("""COMPUTED_VALUE"""),0.52112676056338)</f>
        <v>0.5211267606</v>
      </c>
      <c r="H196" s="16">
        <f>IFERROR(__xludf.DUMMYFUNCTION("""COMPUTED_VALUE"""),0.475806451612903)</f>
        <v>0.4758064516</v>
      </c>
      <c r="I196" s="16">
        <f>IFERROR(__xludf.DUMMYFUNCTION("""COMPUTED_VALUE"""),0.441056910569105)</f>
        <v>0.4410569106</v>
      </c>
      <c r="J196" s="16">
        <f>IFERROR(__xludf.DUMMYFUNCTION("""COMPUTED_VALUE"""),0.416842105263157)</f>
        <v>0.4168421053</v>
      </c>
      <c r="K196" s="16">
        <f>IFERROR(__xludf.DUMMYFUNCTION("""COMPUTED_VALUE"""),0.383947939262472)</f>
        <v>0.3839479393</v>
      </c>
      <c r="L196" s="16">
        <f>IFERROR(__xludf.DUMMYFUNCTION("""COMPUTED_VALUE"""),0.343680709534368)</f>
        <v>0.3436807095</v>
      </c>
      <c r="M196" s="16">
        <f>IFERROR(__xludf.DUMMYFUNCTION("""COMPUTED_VALUE"""),0.32258064516129)</f>
        <v>0.3225806452</v>
      </c>
      <c r="N196" s="16">
        <f>IFERROR(__xludf.DUMMYFUNCTION("""COMPUTED_VALUE"""),0.329787234042553)</f>
        <v>0.329787234</v>
      </c>
      <c r="O196" s="16">
        <f>IFERROR(__xludf.DUMMYFUNCTION("""COMPUTED_VALUE"""),0.273333333333333)</f>
        <v>0.2733333333</v>
      </c>
      <c r="P196" s="16">
        <f>IFERROR(__xludf.DUMMYFUNCTION("""COMPUTED_VALUE"""),0.199095022624434)</f>
        <v>0.1990950226</v>
      </c>
      <c r="Q196" s="16">
        <f>IFERROR(__xludf.DUMMYFUNCTION("""COMPUTED_VALUE"""),0.0888888888888888)</f>
        <v>0.08888888889</v>
      </c>
      <c r="R196" s="16">
        <f>IFERROR(__xludf.DUMMYFUNCTION("""COMPUTED_VALUE"""),0.0222222222222222)</f>
        <v>0.02222222222</v>
      </c>
      <c r="S196" s="16">
        <f>IFERROR(__xludf.DUMMYFUNCTION("""COMPUTED_VALUE"""),0.0)</f>
        <v>0</v>
      </c>
      <c r="T196" s="16">
        <f>IFERROR(__xludf.DUMMYFUNCTION("""COMPUTED_VALUE"""),0.0)</f>
        <v>0</v>
      </c>
      <c r="U196" s="16">
        <f>IFERROR(__xludf.DUMMYFUNCTION("""COMPUTED_VALUE"""),0.0)</f>
        <v>0</v>
      </c>
      <c r="V196" s="16">
        <f>IFERROR(__xludf.DUMMYFUNCTION("""COMPUTED_VALUE"""),0.0)</f>
        <v>0</v>
      </c>
      <c r="W196" s="16">
        <f>IFERROR(__xludf.DUMMYFUNCTION("""COMPUTED_VALUE"""),0.0)</f>
        <v>0</v>
      </c>
      <c r="X196" s="16">
        <f>IFERROR(__xludf.DUMMYFUNCTION("""COMPUTED_VALUE"""),0.0)</f>
        <v>0</v>
      </c>
      <c r="Y196" s="16">
        <f>IFERROR(__xludf.DUMMYFUNCTION("""COMPUTED_VALUE"""),0.0)</f>
        <v>0</v>
      </c>
      <c r="Z196" s="16">
        <f>IFERROR(__xludf.DUMMYFUNCTION("""COMPUTED_VALUE"""),0.0)</f>
        <v>0</v>
      </c>
      <c r="AA196" s="16">
        <f>IFERROR(__xludf.DUMMYFUNCTION("""COMPUTED_VALUE"""),0.0)</f>
        <v>0</v>
      </c>
      <c r="AB196" s="16">
        <f>IFERROR(__xludf.DUMMYFUNCTION("""COMPUTED_VALUE"""),0.0)</f>
        <v>0</v>
      </c>
      <c r="AC196" s="16">
        <f>IFERROR(__xludf.DUMMYFUNCTION("""COMPUTED_VALUE"""),0.0)</f>
        <v>0</v>
      </c>
      <c r="AD196" s="16">
        <f>IFERROR(__xludf.DUMMYFUNCTION("""COMPUTED_VALUE"""),0.0)</f>
        <v>0</v>
      </c>
      <c r="AE196" s="16">
        <f>IFERROR(__xludf.DUMMYFUNCTION("""COMPUTED_VALUE"""),0.0)</f>
        <v>0</v>
      </c>
      <c r="AF196" s="16">
        <f>IFERROR(__xludf.DUMMYFUNCTION("""COMPUTED_VALUE"""),0.0)</f>
        <v>0</v>
      </c>
      <c r="AG196" s="16">
        <f>IFERROR(__xludf.DUMMYFUNCTION("""COMPUTED_VALUE"""),0.0)</f>
        <v>0</v>
      </c>
      <c r="AH196" s="16">
        <f>IFERROR(__xludf.DUMMYFUNCTION("""COMPUTED_VALUE"""),0.0)</f>
        <v>0</v>
      </c>
    </row>
    <row r="197">
      <c r="A197" s="16" t="str">
        <f>IFERROR(__xludf.DUMMYFUNCTION("""COMPUTED_VALUE"""),"a9dd2d51d9347ce1a50ee64d1a38a6c33539ebc1")</f>
        <v>a9dd2d51d9347ce1a50ee64d1a38a6c33539ebc1</v>
      </c>
      <c r="B197" s="16" t="str">
        <f>IFERROR(__xludf.DUMMYFUNCTION("""COMPUTED_VALUE"""),"Billionaires Love Me")</f>
        <v>Billionaires Love Me</v>
      </c>
      <c r="C197" s="16" t="str">
        <f>IFERROR(__xludf.DUMMYFUNCTION("""COMPUTED_VALUE"""),"Romance")</f>
        <v>Romance</v>
      </c>
      <c r="D197" s="16">
        <f>IFERROR(__xludf.DUMMYFUNCTION("""COMPUTED_VALUE"""),127.0)</f>
        <v>127</v>
      </c>
      <c r="E197" s="16">
        <f>IFERROR(__xludf.DUMMYFUNCTION("""COMPUTED_VALUE"""),0.921259842519685)</f>
        <v>0.9212598425</v>
      </c>
      <c r="F197" s="16">
        <f>IFERROR(__xludf.DUMMYFUNCTION("""COMPUTED_VALUE"""),0.543307086614173)</f>
        <v>0.5433070866</v>
      </c>
      <c r="G197" s="16">
        <f>IFERROR(__xludf.DUMMYFUNCTION("""COMPUTED_VALUE"""),0.4251968503937)</f>
        <v>0.4251968504</v>
      </c>
      <c r="H197" s="16">
        <f>IFERROR(__xludf.DUMMYFUNCTION("""COMPUTED_VALUE"""),0.338582677165354)</f>
        <v>0.3385826772</v>
      </c>
      <c r="I197" s="16">
        <f>IFERROR(__xludf.DUMMYFUNCTION("""COMPUTED_VALUE"""),0.314960629921259)</f>
        <v>0.3149606299</v>
      </c>
      <c r="J197" s="16">
        <f>IFERROR(__xludf.DUMMYFUNCTION("""COMPUTED_VALUE"""),0.307086614173228)</f>
        <v>0.3070866142</v>
      </c>
      <c r="K197" s="16">
        <f>IFERROR(__xludf.DUMMYFUNCTION("""COMPUTED_VALUE"""),0.28)</f>
        <v>0.28</v>
      </c>
      <c r="L197" s="16">
        <f>IFERROR(__xludf.DUMMYFUNCTION("""COMPUTED_VALUE"""),0.231404958677685)</f>
        <v>0.2314049587</v>
      </c>
      <c r="M197" s="16">
        <f>IFERROR(__xludf.DUMMYFUNCTION("""COMPUTED_VALUE"""),0.252173913043478)</f>
        <v>0.252173913</v>
      </c>
      <c r="N197" s="16">
        <f>IFERROR(__xludf.DUMMYFUNCTION("""COMPUTED_VALUE"""),0.25)</f>
        <v>0.25</v>
      </c>
      <c r="O197" s="16">
        <f>IFERROR(__xludf.DUMMYFUNCTION("""COMPUTED_VALUE"""),0.282828282828282)</f>
        <v>0.2828282828</v>
      </c>
      <c r="P197" s="16">
        <f>IFERROR(__xludf.DUMMYFUNCTION("""COMPUTED_VALUE"""),0.206185567010309)</f>
        <v>0.206185567</v>
      </c>
      <c r="Q197" s="16">
        <f>IFERROR(__xludf.DUMMYFUNCTION("""COMPUTED_VALUE"""),0.174418604651162)</f>
        <v>0.1744186047</v>
      </c>
      <c r="R197" s="16">
        <f>IFERROR(__xludf.DUMMYFUNCTION("""COMPUTED_VALUE"""),0.142857142857142)</f>
        <v>0.1428571429</v>
      </c>
      <c r="S197" s="16">
        <f>IFERROR(__xludf.DUMMYFUNCTION("""COMPUTED_VALUE"""),0.0)</f>
        <v>0</v>
      </c>
      <c r="T197" s="16">
        <f>IFERROR(__xludf.DUMMYFUNCTION("""COMPUTED_VALUE"""),0.0)</f>
        <v>0</v>
      </c>
      <c r="U197" s="16">
        <f>IFERROR(__xludf.DUMMYFUNCTION("""COMPUTED_VALUE"""),0.0)</f>
        <v>0</v>
      </c>
      <c r="V197" s="16">
        <f>IFERROR(__xludf.DUMMYFUNCTION("""COMPUTED_VALUE"""),0.0)</f>
        <v>0</v>
      </c>
      <c r="W197" s="16">
        <f>IFERROR(__xludf.DUMMYFUNCTION("""COMPUTED_VALUE"""),0.0)</f>
        <v>0</v>
      </c>
      <c r="X197" s="16">
        <f>IFERROR(__xludf.DUMMYFUNCTION("""COMPUTED_VALUE"""),0.0)</f>
        <v>0</v>
      </c>
      <c r="Y197" s="16">
        <f>IFERROR(__xludf.DUMMYFUNCTION("""COMPUTED_VALUE"""),0.0)</f>
        <v>0</v>
      </c>
      <c r="Z197" s="16">
        <f>IFERROR(__xludf.DUMMYFUNCTION("""COMPUTED_VALUE"""),0.0)</f>
        <v>0</v>
      </c>
      <c r="AA197" s="16">
        <f>IFERROR(__xludf.DUMMYFUNCTION("""COMPUTED_VALUE"""),0.0)</f>
        <v>0</v>
      </c>
      <c r="AB197" s="16">
        <f>IFERROR(__xludf.DUMMYFUNCTION("""COMPUTED_VALUE"""),0.0)</f>
        <v>0</v>
      </c>
      <c r="AC197" s="16">
        <f>IFERROR(__xludf.DUMMYFUNCTION("""COMPUTED_VALUE"""),0.0)</f>
        <v>0</v>
      </c>
      <c r="AD197" s="16">
        <f>IFERROR(__xludf.DUMMYFUNCTION("""COMPUTED_VALUE"""),0.0)</f>
        <v>0</v>
      </c>
      <c r="AE197" s="16">
        <f>IFERROR(__xludf.DUMMYFUNCTION("""COMPUTED_VALUE"""),0.0)</f>
        <v>0</v>
      </c>
      <c r="AF197" s="16">
        <f>IFERROR(__xludf.DUMMYFUNCTION("""COMPUTED_VALUE"""),0.0)</f>
        <v>0</v>
      </c>
      <c r="AG197" s="16">
        <f>IFERROR(__xludf.DUMMYFUNCTION("""COMPUTED_VALUE"""),0.0)</f>
        <v>0</v>
      </c>
      <c r="AH197" s="16">
        <f>IFERROR(__xludf.DUMMYFUNCTION("""COMPUTED_VALUE"""),0.0)</f>
        <v>0</v>
      </c>
    </row>
    <row r="198">
      <c r="A198" s="16" t="str">
        <f>IFERROR(__xludf.DUMMYFUNCTION("""COMPUTED_VALUE"""),"aaa698f296d8b031a8ae9b94897fb07edda92f97")</f>
        <v>aaa698f296d8b031a8ae9b94897fb07edda92f97</v>
      </c>
      <c r="B198" s="16" t="str">
        <f>IFERROR(__xludf.DUMMYFUNCTION("""COMPUTED_VALUE"""),"A Heart Divided")</f>
        <v>A Heart Divided</v>
      </c>
      <c r="C198" s="16" t="str">
        <f>IFERROR(__xludf.DUMMYFUNCTION("""COMPUTED_VALUE"""),"Romance")</f>
        <v>Romance</v>
      </c>
      <c r="D198" s="16">
        <f>IFERROR(__xludf.DUMMYFUNCTION("""COMPUTED_VALUE"""),30.0)</f>
        <v>30</v>
      </c>
      <c r="E198" s="16">
        <f>IFERROR(__xludf.DUMMYFUNCTION("""COMPUTED_VALUE"""),0.866666666666666)</f>
        <v>0.8666666667</v>
      </c>
      <c r="F198" s="16">
        <f>IFERROR(__xludf.DUMMYFUNCTION("""COMPUTED_VALUE"""),0.566666666666666)</f>
        <v>0.5666666667</v>
      </c>
      <c r="G198" s="16">
        <f>IFERROR(__xludf.DUMMYFUNCTION("""COMPUTED_VALUE"""),0.533333333333333)</f>
        <v>0.5333333333</v>
      </c>
      <c r="H198" s="16">
        <f>IFERROR(__xludf.DUMMYFUNCTION("""COMPUTED_VALUE"""),0.433333333333333)</f>
        <v>0.4333333333</v>
      </c>
      <c r="I198" s="16">
        <f>IFERROR(__xludf.DUMMYFUNCTION("""COMPUTED_VALUE"""),0.433333333333333)</f>
        <v>0.4333333333</v>
      </c>
      <c r="J198" s="16">
        <f>IFERROR(__xludf.DUMMYFUNCTION("""COMPUTED_VALUE"""),0.433333333333333)</f>
        <v>0.4333333333</v>
      </c>
      <c r="K198" s="16">
        <f>IFERROR(__xludf.DUMMYFUNCTION("""COMPUTED_VALUE"""),0.4)</f>
        <v>0.4</v>
      </c>
      <c r="L198" s="16">
        <f>IFERROR(__xludf.DUMMYFUNCTION("""COMPUTED_VALUE"""),0.4)</f>
        <v>0.4</v>
      </c>
      <c r="M198" s="16">
        <f>IFERROR(__xludf.DUMMYFUNCTION("""COMPUTED_VALUE"""),0.433333333333333)</f>
        <v>0.4333333333</v>
      </c>
      <c r="N198" s="16">
        <f>IFERROR(__xludf.DUMMYFUNCTION("""COMPUTED_VALUE"""),0.4)</f>
        <v>0.4</v>
      </c>
      <c r="O198" s="16">
        <f>IFERROR(__xludf.DUMMYFUNCTION("""COMPUTED_VALUE"""),0.333333333333333)</f>
        <v>0.3333333333</v>
      </c>
      <c r="P198" s="16">
        <f>IFERROR(__xludf.DUMMYFUNCTION("""COMPUTED_VALUE"""),0.133333333333333)</f>
        <v>0.1333333333</v>
      </c>
      <c r="Q198" s="16">
        <f>IFERROR(__xludf.DUMMYFUNCTION("""COMPUTED_VALUE"""),0.103448275862068)</f>
        <v>0.1034482759</v>
      </c>
      <c r="R198" s="16">
        <f>IFERROR(__xludf.DUMMYFUNCTION("""COMPUTED_VALUE"""),0.0714285714285714)</f>
        <v>0.07142857143</v>
      </c>
      <c r="S198" s="16">
        <f>IFERROR(__xludf.DUMMYFUNCTION("""COMPUTED_VALUE"""),0.0)</f>
        <v>0</v>
      </c>
      <c r="T198" s="16">
        <f>IFERROR(__xludf.DUMMYFUNCTION("""COMPUTED_VALUE"""),0.0)</f>
        <v>0</v>
      </c>
      <c r="U198" s="16">
        <f>IFERROR(__xludf.DUMMYFUNCTION("""COMPUTED_VALUE"""),0.0)</f>
        <v>0</v>
      </c>
      <c r="V198" s="16">
        <f>IFERROR(__xludf.DUMMYFUNCTION("""COMPUTED_VALUE"""),0.0)</f>
        <v>0</v>
      </c>
      <c r="W198" s="16">
        <f>IFERROR(__xludf.DUMMYFUNCTION("""COMPUTED_VALUE"""),0.0)</f>
        <v>0</v>
      </c>
      <c r="X198" s="16">
        <f>IFERROR(__xludf.DUMMYFUNCTION("""COMPUTED_VALUE"""),0.0)</f>
        <v>0</v>
      </c>
      <c r="Y198" s="16">
        <f>IFERROR(__xludf.DUMMYFUNCTION("""COMPUTED_VALUE"""),0.0)</f>
        <v>0</v>
      </c>
      <c r="Z198" s="16">
        <f>IFERROR(__xludf.DUMMYFUNCTION("""COMPUTED_VALUE"""),0.0)</f>
        <v>0</v>
      </c>
      <c r="AA198" s="16">
        <f>IFERROR(__xludf.DUMMYFUNCTION("""COMPUTED_VALUE"""),0.0)</f>
        <v>0</v>
      </c>
      <c r="AB198" s="16">
        <f>IFERROR(__xludf.DUMMYFUNCTION("""COMPUTED_VALUE"""),0.0)</f>
        <v>0</v>
      </c>
      <c r="AC198" s="16">
        <f>IFERROR(__xludf.DUMMYFUNCTION("""COMPUTED_VALUE"""),0.0)</f>
        <v>0</v>
      </c>
      <c r="AD198" s="16">
        <f>IFERROR(__xludf.DUMMYFUNCTION("""COMPUTED_VALUE"""),0.0)</f>
        <v>0</v>
      </c>
      <c r="AE198" s="16">
        <f>IFERROR(__xludf.DUMMYFUNCTION("""COMPUTED_VALUE"""),0.0)</f>
        <v>0</v>
      </c>
      <c r="AF198" s="16">
        <f>IFERROR(__xludf.DUMMYFUNCTION("""COMPUTED_VALUE"""),0.0)</f>
        <v>0</v>
      </c>
      <c r="AG198" s="16">
        <f>IFERROR(__xludf.DUMMYFUNCTION("""COMPUTED_VALUE"""),0.0)</f>
        <v>0</v>
      </c>
      <c r="AH198" s="16">
        <f>IFERROR(__xludf.DUMMYFUNCTION("""COMPUTED_VALUE"""),0.0)</f>
        <v>0</v>
      </c>
    </row>
    <row r="199">
      <c r="A199" s="16" t="str">
        <f>IFERROR(__xludf.DUMMYFUNCTION("""COMPUTED_VALUE"""),"aab4996493c32f1ec5e010a7e9b25c3e280e1445")</f>
        <v>aab4996493c32f1ec5e010a7e9b25c3e280e1445</v>
      </c>
      <c r="B199" s="16" t="str">
        <f>IFERROR(__xludf.DUMMYFUNCTION("""COMPUTED_VALUE"""),"Love Forever")</f>
        <v>Love Forever</v>
      </c>
      <c r="C199" s="16" t="str">
        <f>IFERROR(__xludf.DUMMYFUNCTION("""COMPUTED_VALUE"""),"Romance")</f>
        <v>Romance</v>
      </c>
      <c r="D199" s="16">
        <f>IFERROR(__xludf.DUMMYFUNCTION("""COMPUTED_VALUE"""),18.0)</f>
        <v>18</v>
      </c>
      <c r="E199" s="16">
        <f>IFERROR(__xludf.DUMMYFUNCTION("""COMPUTED_VALUE"""),1.0)</f>
        <v>1</v>
      </c>
      <c r="F199" s="16">
        <f>IFERROR(__xludf.DUMMYFUNCTION("""COMPUTED_VALUE"""),0.444444444444444)</f>
        <v>0.4444444444</v>
      </c>
      <c r="G199" s="16">
        <f>IFERROR(__xludf.DUMMYFUNCTION("""COMPUTED_VALUE"""),0.333333333333333)</f>
        <v>0.3333333333</v>
      </c>
      <c r="H199" s="16">
        <f>IFERROR(__xludf.DUMMYFUNCTION("""COMPUTED_VALUE"""),0.333333333333333)</f>
        <v>0.3333333333</v>
      </c>
      <c r="I199" s="16">
        <f>IFERROR(__xludf.DUMMYFUNCTION("""COMPUTED_VALUE"""),0.333333333333333)</f>
        <v>0.3333333333</v>
      </c>
      <c r="J199" s="16">
        <f>IFERROR(__xludf.DUMMYFUNCTION("""COMPUTED_VALUE"""),0.222222222222222)</f>
        <v>0.2222222222</v>
      </c>
      <c r="K199" s="16">
        <f>IFERROR(__xludf.DUMMYFUNCTION("""COMPUTED_VALUE"""),0.277777777777777)</f>
        <v>0.2777777778</v>
      </c>
      <c r="L199" s="16">
        <f>IFERROR(__xludf.DUMMYFUNCTION("""COMPUTED_VALUE"""),0.111111111111111)</f>
        <v>0.1111111111</v>
      </c>
      <c r="M199" s="16">
        <f>IFERROR(__xludf.DUMMYFUNCTION("""COMPUTED_VALUE"""),0.111111111111111)</f>
        <v>0.1111111111</v>
      </c>
      <c r="N199" s="16">
        <f>IFERROR(__xludf.DUMMYFUNCTION("""COMPUTED_VALUE"""),0.111111111111111)</f>
        <v>0.1111111111</v>
      </c>
      <c r="O199" s="16">
        <f>IFERROR(__xludf.DUMMYFUNCTION("""COMPUTED_VALUE"""),0.0555555555555555)</f>
        <v>0.05555555556</v>
      </c>
      <c r="P199" s="16">
        <f>IFERROR(__xludf.DUMMYFUNCTION("""COMPUTED_VALUE"""),0.0)</f>
        <v>0</v>
      </c>
      <c r="Q199" s="16">
        <f>IFERROR(__xludf.DUMMYFUNCTION("""COMPUTED_VALUE"""),0.0)</f>
        <v>0</v>
      </c>
      <c r="R199" s="16">
        <f>IFERROR(__xludf.DUMMYFUNCTION("""COMPUTED_VALUE"""),0.0)</f>
        <v>0</v>
      </c>
      <c r="S199" s="16">
        <f>IFERROR(__xludf.DUMMYFUNCTION("""COMPUTED_VALUE"""),0.0)</f>
        <v>0</v>
      </c>
      <c r="T199" s="16">
        <f>IFERROR(__xludf.DUMMYFUNCTION("""COMPUTED_VALUE"""),0.0)</f>
        <v>0</v>
      </c>
      <c r="U199" s="16">
        <f>IFERROR(__xludf.DUMMYFUNCTION("""COMPUTED_VALUE"""),0.0)</f>
        <v>0</v>
      </c>
      <c r="V199" s="16">
        <f>IFERROR(__xludf.DUMMYFUNCTION("""COMPUTED_VALUE"""),0.0)</f>
        <v>0</v>
      </c>
      <c r="W199" s="16">
        <f>IFERROR(__xludf.DUMMYFUNCTION("""COMPUTED_VALUE"""),0.0)</f>
        <v>0</v>
      </c>
      <c r="X199" s="16">
        <f>IFERROR(__xludf.DUMMYFUNCTION("""COMPUTED_VALUE"""),0.0)</f>
        <v>0</v>
      </c>
      <c r="Y199" s="16">
        <f>IFERROR(__xludf.DUMMYFUNCTION("""COMPUTED_VALUE"""),0.0)</f>
        <v>0</v>
      </c>
      <c r="Z199" s="16">
        <f>IFERROR(__xludf.DUMMYFUNCTION("""COMPUTED_VALUE"""),0.0)</f>
        <v>0</v>
      </c>
      <c r="AA199" s="16">
        <f>IFERROR(__xludf.DUMMYFUNCTION("""COMPUTED_VALUE"""),0.0)</f>
        <v>0</v>
      </c>
      <c r="AB199" s="16">
        <f>IFERROR(__xludf.DUMMYFUNCTION("""COMPUTED_VALUE"""),0.0)</f>
        <v>0</v>
      </c>
      <c r="AC199" s="16">
        <f>IFERROR(__xludf.DUMMYFUNCTION("""COMPUTED_VALUE"""),0.0)</f>
        <v>0</v>
      </c>
      <c r="AD199" s="16">
        <f>IFERROR(__xludf.DUMMYFUNCTION("""COMPUTED_VALUE"""),0.0)</f>
        <v>0</v>
      </c>
      <c r="AE199" s="16">
        <f>IFERROR(__xludf.DUMMYFUNCTION("""COMPUTED_VALUE"""),0.0)</f>
        <v>0</v>
      </c>
      <c r="AF199" s="16">
        <f>IFERROR(__xludf.DUMMYFUNCTION("""COMPUTED_VALUE"""),0.0)</f>
        <v>0</v>
      </c>
      <c r="AG199" s="16">
        <f>IFERROR(__xludf.DUMMYFUNCTION("""COMPUTED_VALUE"""),0.0)</f>
        <v>0</v>
      </c>
      <c r="AH199" s="16">
        <f>IFERROR(__xludf.DUMMYFUNCTION("""COMPUTED_VALUE"""),0.0)</f>
        <v>0</v>
      </c>
    </row>
    <row r="200">
      <c r="A200" s="16" t="str">
        <f>IFERROR(__xludf.DUMMYFUNCTION("""COMPUTED_VALUE"""),"ab0abb1b032efe35c0bd9be9cb6f80f8738dc1c9")</f>
        <v>ab0abb1b032efe35c0bd9be9cb6f80f8738dc1c9</v>
      </c>
      <c r="B200" s="16" t="str">
        <f>IFERROR(__xludf.DUMMYFUNCTION("""COMPUTED_VALUE"""),"Kaizen Aritoku Rise")</f>
        <v>Kaizen Aritoku Rise</v>
      </c>
      <c r="C200" s="16" t="str">
        <f>IFERROR(__xludf.DUMMYFUNCTION("""COMPUTED_VALUE"""),"System and Superpower")</f>
        <v>System and Superpower</v>
      </c>
      <c r="D200" s="16">
        <f>IFERROR(__xludf.DUMMYFUNCTION("""COMPUTED_VALUE"""),72.0)</f>
        <v>72</v>
      </c>
      <c r="E200" s="16">
        <f>IFERROR(__xludf.DUMMYFUNCTION("""COMPUTED_VALUE"""),1.0)</f>
        <v>1</v>
      </c>
      <c r="F200" s="16">
        <f>IFERROR(__xludf.DUMMYFUNCTION("""COMPUTED_VALUE"""),0.625)</f>
        <v>0.625</v>
      </c>
      <c r="G200" s="16">
        <f>IFERROR(__xludf.DUMMYFUNCTION("""COMPUTED_VALUE"""),0.541666666666666)</f>
        <v>0.5416666667</v>
      </c>
      <c r="H200" s="16">
        <f>IFERROR(__xludf.DUMMYFUNCTION("""COMPUTED_VALUE"""),0.458333333333333)</f>
        <v>0.4583333333</v>
      </c>
      <c r="I200" s="16">
        <f>IFERROR(__xludf.DUMMYFUNCTION("""COMPUTED_VALUE"""),0.375)</f>
        <v>0.375</v>
      </c>
      <c r="J200" s="16">
        <f>IFERROR(__xludf.DUMMYFUNCTION("""COMPUTED_VALUE"""),0.333333333333333)</f>
        <v>0.3333333333</v>
      </c>
      <c r="K200" s="16">
        <f>IFERROR(__xludf.DUMMYFUNCTION("""COMPUTED_VALUE"""),0.305555555555555)</f>
        <v>0.3055555556</v>
      </c>
      <c r="L200" s="16">
        <f>IFERROR(__xludf.DUMMYFUNCTION("""COMPUTED_VALUE"""),0.267605633802816)</f>
        <v>0.2676056338</v>
      </c>
      <c r="M200" s="16">
        <f>IFERROR(__xludf.DUMMYFUNCTION("""COMPUTED_VALUE"""),0.253521126760563)</f>
        <v>0.2535211268</v>
      </c>
      <c r="N200" s="16">
        <f>IFERROR(__xludf.DUMMYFUNCTION("""COMPUTED_VALUE"""),0.253521126760563)</f>
        <v>0.2535211268</v>
      </c>
      <c r="O200" s="16">
        <f>IFERROR(__xludf.DUMMYFUNCTION("""COMPUTED_VALUE"""),0.183098591549295)</f>
        <v>0.1830985915</v>
      </c>
      <c r="P200" s="16">
        <f>IFERROR(__xludf.DUMMYFUNCTION("""COMPUTED_VALUE"""),0.142857142857142)</f>
        <v>0.1428571429</v>
      </c>
      <c r="Q200" s="16">
        <f>IFERROR(__xludf.DUMMYFUNCTION("""COMPUTED_VALUE"""),0.115942028985507)</f>
        <v>0.115942029</v>
      </c>
      <c r="R200" s="16">
        <f>IFERROR(__xludf.DUMMYFUNCTION("""COMPUTED_VALUE"""),0.0454545454545454)</f>
        <v>0.04545454545</v>
      </c>
      <c r="S200" s="16">
        <f>IFERROR(__xludf.DUMMYFUNCTION("""COMPUTED_VALUE"""),0.0476190476190476)</f>
        <v>0.04761904762</v>
      </c>
      <c r="T200" s="16">
        <f>IFERROR(__xludf.DUMMYFUNCTION("""COMPUTED_VALUE"""),0.0)</f>
        <v>0</v>
      </c>
      <c r="U200" s="16">
        <f>IFERROR(__xludf.DUMMYFUNCTION("""COMPUTED_VALUE"""),0.0)</f>
        <v>0</v>
      </c>
      <c r="V200" s="16">
        <f>IFERROR(__xludf.DUMMYFUNCTION("""COMPUTED_VALUE"""),0.0)</f>
        <v>0</v>
      </c>
      <c r="W200" s="16">
        <f>IFERROR(__xludf.DUMMYFUNCTION("""COMPUTED_VALUE"""),0.0)</f>
        <v>0</v>
      </c>
      <c r="X200" s="16">
        <f>IFERROR(__xludf.DUMMYFUNCTION("""COMPUTED_VALUE"""),0.0)</f>
        <v>0</v>
      </c>
      <c r="Y200" s="16">
        <f>IFERROR(__xludf.DUMMYFUNCTION("""COMPUTED_VALUE"""),0.0)</f>
        <v>0</v>
      </c>
      <c r="Z200" s="16">
        <f>IFERROR(__xludf.DUMMYFUNCTION("""COMPUTED_VALUE"""),0.0)</f>
        <v>0</v>
      </c>
      <c r="AA200" s="16">
        <f>IFERROR(__xludf.DUMMYFUNCTION("""COMPUTED_VALUE"""),0.0)</f>
        <v>0</v>
      </c>
      <c r="AB200" s="16">
        <f>IFERROR(__xludf.DUMMYFUNCTION("""COMPUTED_VALUE"""),0.0)</f>
        <v>0</v>
      </c>
      <c r="AC200" s="16">
        <f>IFERROR(__xludf.DUMMYFUNCTION("""COMPUTED_VALUE"""),0.0)</f>
        <v>0</v>
      </c>
      <c r="AD200" s="16">
        <f>IFERROR(__xludf.DUMMYFUNCTION("""COMPUTED_VALUE"""),0.0)</f>
        <v>0</v>
      </c>
      <c r="AE200" s="16">
        <f>IFERROR(__xludf.DUMMYFUNCTION("""COMPUTED_VALUE"""),0.0)</f>
        <v>0</v>
      </c>
      <c r="AF200" s="16">
        <f>IFERROR(__xludf.DUMMYFUNCTION("""COMPUTED_VALUE"""),0.0)</f>
        <v>0</v>
      </c>
      <c r="AG200" s="16">
        <f>IFERROR(__xludf.DUMMYFUNCTION("""COMPUTED_VALUE"""),0.0)</f>
        <v>0</v>
      </c>
      <c r="AH200" s="16">
        <f>IFERROR(__xludf.DUMMYFUNCTION("""COMPUTED_VALUE"""),0.0)</f>
        <v>0</v>
      </c>
    </row>
    <row r="201">
      <c r="A201" s="16" t="str">
        <f>IFERROR(__xludf.DUMMYFUNCTION("""COMPUTED_VALUE"""),"abe99e0d615e9d7ebbf5d941810842cf64a74c6c")</f>
        <v>abe99e0d615e9d7ebbf5d941810842cf64a74c6c</v>
      </c>
      <c r="B201" s="16" t="str">
        <f>IFERROR(__xludf.DUMMYFUNCTION("""COMPUTED_VALUE"""),"Forgetting You, Lily")</f>
        <v>Forgetting You, Lily</v>
      </c>
      <c r="C201" s="16" t="str">
        <f>IFERROR(__xludf.DUMMYFUNCTION("""COMPUTED_VALUE"""),"Romance")</f>
        <v>Romance</v>
      </c>
      <c r="D201" s="16">
        <f>IFERROR(__xludf.DUMMYFUNCTION("""COMPUTED_VALUE"""),60.0)</f>
        <v>60</v>
      </c>
      <c r="E201" s="16">
        <f>IFERROR(__xludf.DUMMYFUNCTION("""COMPUTED_VALUE"""),0.983333333333333)</f>
        <v>0.9833333333</v>
      </c>
      <c r="F201" s="16">
        <f>IFERROR(__xludf.DUMMYFUNCTION("""COMPUTED_VALUE"""),0.483333333333333)</f>
        <v>0.4833333333</v>
      </c>
      <c r="G201" s="16">
        <f>IFERROR(__xludf.DUMMYFUNCTION("""COMPUTED_VALUE"""),0.366666666666666)</f>
        <v>0.3666666667</v>
      </c>
      <c r="H201" s="16">
        <f>IFERROR(__xludf.DUMMYFUNCTION("""COMPUTED_VALUE"""),0.316666666666666)</f>
        <v>0.3166666667</v>
      </c>
      <c r="I201" s="16">
        <f>IFERROR(__xludf.DUMMYFUNCTION("""COMPUTED_VALUE"""),0.316666666666666)</f>
        <v>0.3166666667</v>
      </c>
      <c r="J201" s="16">
        <f>IFERROR(__xludf.DUMMYFUNCTION("""COMPUTED_VALUE"""),0.288135593220339)</f>
        <v>0.2881355932</v>
      </c>
      <c r="K201" s="16">
        <f>IFERROR(__xludf.DUMMYFUNCTION("""COMPUTED_VALUE"""),0.23728813559322)</f>
        <v>0.2372881356</v>
      </c>
      <c r="L201" s="16">
        <f>IFERROR(__xludf.DUMMYFUNCTION("""COMPUTED_VALUE"""),0.178571428571428)</f>
        <v>0.1785714286</v>
      </c>
      <c r="M201" s="16">
        <f>IFERROR(__xludf.DUMMYFUNCTION("""COMPUTED_VALUE"""),0.160714285714285)</f>
        <v>0.1607142857</v>
      </c>
      <c r="N201" s="16">
        <f>IFERROR(__xludf.DUMMYFUNCTION("""COMPUTED_VALUE"""),0.166666666666666)</f>
        <v>0.1666666667</v>
      </c>
      <c r="O201" s="16">
        <f>IFERROR(__xludf.DUMMYFUNCTION("""COMPUTED_VALUE"""),0.16)</f>
        <v>0.16</v>
      </c>
      <c r="P201" s="16">
        <f>IFERROR(__xludf.DUMMYFUNCTION("""COMPUTED_VALUE"""),0.155555555555555)</f>
        <v>0.1555555556</v>
      </c>
      <c r="Q201" s="16">
        <f>IFERROR(__xludf.DUMMYFUNCTION("""COMPUTED_VALUE"""),0.0)</f>
        <v>0</v>
      </c>
      <c r="R201" s="16">
        <f>IFERROR(__xludf.DUMMYFUNCTION("""COMPUTED_VALUE"""),0.0)</f>
        <v>0</v>
      </c>
      <c r="S201" s="16">
        <f>IFERROR(__xludf.DUMMYFUNCTION("""COMPUTED_VALUE"""),0.0)</f>
        <v>0</v>
      </c>
      <c r="T201" s="16">
        <f>IFERROR(__xludf.DUMMYFUNCTION("""COMPUTED_VALUE"""),0.0)</f>
        <v>0</v>
      </c>
      <c r="U201" s="16">
        <f>IFERROR(__xludf.DUMMYFUNCTION("""COMPUTED_VALUE"""),0.0)</f>
        <v>0</v>
      </c>
      <c r="V201" s="16">
        <f>IFERROR(__xludf.DUMMYFUNCTION("""COMPUTED_VALUE"""),0.0)</f>
        <v>0</v>
      </c>
      <c r="W201" s="16">
        <f>IFERROR(__xludf.DUMMYFUNCTION("""COMPUTED_VALUE"""),0.0)</f>
        <v>0</v>
      </c>
      <c r="X201" s="16">
        <f>IFERROR(__xludf.DUMMYFUNCTION("""COMPUTED_VALUE"""),0.0)</f>
        <v>0</v>
      </c>
      <c r="Y201" s="16">
        <f>IFERROR(__xludf.DUMMYFUNCTION("""COMPUTED_VALUE"""),0.0)</f>
        <v>0</v>
      </c>
      <c r="Z201" s="16">
        <f>IFERROR(__xludf.DUMMYFUNCTION("""COMPUTED_VALUE"""),0.0)</f>
        <v>0</v>
      </c>
      <c r="AA201" s="16">
        <f>IFERROR(__xludf.DUMMYFUNCTION("""COMPUTED_VALUE"""),0.0)</f>
        <v>0</v>
      </c>
      <c r="AB201" s="16">
        <f>IFERROR(__xludf.DUMMYFUNCTION("""COMPUTED_VALUE"""),0.0)</f>
        <v>0</v>
      </c>
      <c r="AC201" s="16">
        <f>IFERROR(__xludf.DUMMYFUNCTION("""COMPUTED_VALUE"""),0.0)</f>
        <v>0</v>
      </c>
      <c r="AD201" s="16">
        <f>IFERROR(__xludf.DUMMYFUNCTION("""COMPUTED_VALUE"""),0.0)</f>
        <v>0</v>
      </c>
      <c r="AE201" s="16">
        <f>IFERROR(__xludf.DUMMYFUNCTION("""COMPUTED_VALUE"""),0.0)</f>
        <v>0</v>
      </c>
      <c r="AF201" s="16">
        <f>IFERROR(__xludf.DUMMYFUNCTION("""COMPUTED_VALUE"""),0.0)</f>
        <v>0</v>
      </c>
      <c r="AG201" s="16">
        <f>IFERROR(__xludf.DUMMYFUNCTION("""COMPUTED_VALUE"""),0.0)</f>
        <v>0</v>
      </c>
      <c r="AH201" s="16">
        <f>IFERROR(__xludf.DUMMYFUNCTION("""COMPUTED_VALUE"""),0.0)</f>
        <v>0</v>
      </c>
    </row>
    <row r="202">
      <c r="A202" s="16" t="str">
        <f>IFERROR(__xludf.DUMMYFUNCTION("""COMPUTED_VALUE"""),"ac20da1af1ee60dd2020e8ff294c8c9dcf5be7ba")</f>
        <v>ac20da1af1ee60dd2020e8ff294c8c9dcf5be7ba</v>
      </c>
      <c r="B202" s="16" t="str">
        <f>IFERROR(__xludf.DUMMYFUNCTION("""COMPUTED_VALUE"""),"General Drake")</f>
        <v>General Drake</v>
      </c>
      <c r="C202" s="16" t="str">
        <f>IFERROR(__xludf.DUMMYFUNCTION("""COMPUTED_VALUE"""),"Suspense or Thriller")</f>
        <v>Suspense or Thriller</v>
      </c>
      <c r="D202" s="16">
        <f>IFERROR(__xludf.DUMMYFUNCTION("""COMPUTED_VALUE"""),186.0)</f>
        <v>186</v>
      </c>
      <c r="E202" s="16">
        <f>IFERROR(__xludf.DUMMYFUNCTION("""COMPUTED_VALUE"""),0.973118279569892)</f>
        <v>0.9731182796</v>
      </c>
      <c r="F202" s="16">
        <f>IFERROR(__xludf.DUMMYFUNCTION("""COMPUTED_VALUE"""),0.634408602150537)</f>
        <v>0.6344086022</v>
      </c>
      <c r="G202" s="16">
        <f>IFERROR(__xludf.DUMMYFUNCTION("""COMPUTED_VALUE"""),0.559139784946236)</f>
        <v>0.5591397849</v>
      </c>
      <c r="H202" s="16">
        <f>IFERROR(__xludf.DUMMYFUNCTION("""COMPUTED_VALUE"""),0.532258064516129)</f>
        <v>0.5322580645</v>
      </c>
      <c r="I202" s="16">
        <f>IFERROR(__xludf.DUMMYFUNCTION("""COMPUTED_VALUE"""),0.505376344086021)</f>
        <v>0.5053763441</v>
      </c>
      <c r="J202" s="16">
        <f>IFERROR(__xludf.DUMMYFUNCTION("""COMPUTED_VALUE"""),0.483870967741935)</f>
        <v>0.4838709677</v>
      </c>
      <c r="K202" s="16">
        <f>IFERROR(__xludf.DUMMYFUNCTION("""COMPUTED_VALUE"""),0.435483870967741)</f>
        <v>0.435483871</v>
      </c>
      <c r="L202" s="16">
        <f>IFERROR(__xludf.DUMMYFUNCTION("""COMPUTED_VALUE"""),0.38150289017341)</f>
        <v>0.3815028902</v>
      </c>
      <c r="M202" s="16">
        <f>IFERROR(__xludf.DUMMYFUNCTION("""COMPUTED_VALUE"""),0.364161849710982)</f>
        <v>0.3641618497</v>
      </c>
      <c r="N202" s="16">
        <f>IFERROR(__xludf.DUMMYFUNCTION("""COMPUTED_VALUE"""),0.352601156069364)</f>
        <v>0.3526011561</v>
      </c>
      <c r="O202" s="16">
        <f>IFERROR(__xludf.DUMMYFUNCTION("""COMPUTED_VALUE"""),0.285714285714285)</f>
        <v>0.2857142857</v>
      </c>
      <c r="P202" s="16">
        <f>IFERROR(__xludf.DUMMYFUNCTION("""COMPUTED_VALUE"""),0.184713375796178)</f>
        <v>0.1847133758</v>
      </c>
      <c r="Q202" s="16">
        <f>IFERROR(__xludf.DUMMYFUNCTION("""COMPUTED_VALUE"""),0.144578313253012)</f>
        <v>0.1445783133</v>
      </c>
      <c r="R202" s="16">
        <f>IFERROR(__xludf.DUMMYFUNCTION("""COMPUTED_VALUE"""),0.0)</f>
        <v>0</v>
      </c>
      <c r="S202" s="16">
        <f>IFERROR(__xludf.DUMMYFUNCTION("""COMPUTED_VALUE"""),0.0)</f>
        <v>0</v>
      </c>
      <c r="T202" s="16">
        <f>IFERROR(__xludf.DUMMYFUNCTION("""COMPUTED_VALUE"""),0.0)</f>
        <v>0</v>
      </c>
      <c r="U202" s="16">
        <f>IFERROR(__xludf.DUMMYFUNCTION("""COMPUTED_VALUE"""),0.0)</f>
        <v>0</v>
      </c>
      <c r="V202" s="16">
        <f>IFERROR(__xludf.DUMMYFUNCTION("""COMPUTED_VALUE"""),0.0)</f>
        <v>0</v>
      </c>
      <c r="W202" s="16">
        <f>IFERROR(__xludf.DUMMYFUNCTION("""COMPUTED_VALUE"""),0.0)</f>
        <v>0</v>
      </c>
      <c r="X202" s="16">
        <f>IFERROR(__xludf.DUMMYFUNCTION("""COMPUTED_VALUE"""),0.0)</f>
        <v>0</v>
      </c>
      <c r="Y202" s="16">
        <f>IFERROR(__xludf.DUMMYFUNCTION("""COMPUTED_VALUE"""),0.0)</f>
        <v>0</v>
      </c>
      <c r="Z202" s="16">
        <f>IFERROR(__xludf.DUMMYFUNCTION("""COMPUTED_VALUE"""),0.0)</f>
        <v>0</v>
      </c>
      <c r="AA202" s="16">
        <f>IFERROR(__xludf.DUMMYFUNCTION("""COMPUTED_VALUE"""),0.0)</f>
        <v>0</v>
      </c>
      <c r="AB202" s="16">
        <f>IFERROR(__xludf.DUMMYFUNCTION("""COMPUTED_VALUE"""),0.0)</f>
        <v>0</v>
      </c>
      <c r="AC202" s="16">
        <f>IFERROR(__xludf.DUMMYFUNCTION("""COMPUTED_VALUE"""),0.0)</f>
        <v>0</v>
      </c>
      <c r="AD202" s="16">
        <f>IFERROR(__xludf.DUMMYFUNCTION("""COMPUTED_VALUE"""),0.0)</f>
        <v>0</v>
      </c>
      <c r="AE202" s="16">
        <f>IFERROR(__xludf.DUMMYFUNCTION("""COMPUTED_VALUE"""),0.0)</f>
        <v>0</v>
      </c>
      <c r="AF202" s="16">
        <f>IFERROR(__xludf.DUMMYFUNCTION("""COMPUTED_VALUE"""),0.0)</f>
        <v>0</v>
      </c>
      <c r="AG202" s="16">
        <f>IFERROR(__xludf.DUMMYFUNCTION("""COMPUTED_VALUE"""),0.0)</f>
        <v>0</v>
      </c>
      <c r="AH202" s="16">
        <f>IFERROR(__xludf.DUMMYFUNCTION("""COMPUTED_VALUE"""),0.0)</f>
        <v>0</v>
      </c>
    </row>
    <row r="203">
      <c r="A203" s="16" t="str">
        <f>IFERROR(__xludf.DUMMYFUNCTION("""COMPUTED_VALUE"""),"ad2e8d85f798bb8f66e9add56b1e29d7018e06fb")</f>
        <v>ad2e8d85f798bb8f66e9add56b1e29d7018e06fb</v>
      </c>
      <c r="B203" s="16" t="str">
        <f>IFERROR(__xludf.DUMMYFUNCTION("""COMPUTED_VALUE"""),"Embezzling Simp Funds")</f>
        <v>Embezzling Simp Funds</v>
      </c>
      <c r="C203" s="16" t="str">
        <f>IFERROR(__xludf.DUMMYFUNCTION("""COMPUTED_VALUE"""),"System and Superpower")</f>
        <v>System and Superpower</v>
      </c>
      <c r="D203" s="16">
        <f>IFERROR(__xludf.DUMMYFUNCTION("""COMPUTED_VALUE"""),607.0)</f>
        <v>607</v>
      </c>
      <c r="E203" s="16">
        <f>IFERROR(__xludf.DUMMYFUNCTION("""COMPUTED_VALUE"""),0.980230642504118)</f>
        <v>0.9802306425</v>
      </c>
      <c r="F203" s="16">
        <f>IFERROR(__xludf.DUMMYFUNCTION("""COMPUTED_VALUE"""),0.510708401976935)</f>
        <v>0.510708402</v>
      </c>
      <c r="G203" s="16">
        <f>IFERROR(__xludf.DUMMYFUNCTION("""COMPUTED_VALUE"""),0.443163097199341)</f>
        <v>0.4431630972</v>
      </c>
      <c r="H203" s="16">
        <f>IFERROR(__xludf.DUMMYFUNCTION("""COMPUTED_VALUE"""),0.403624382207578)</f>
        <v>0.4036243822</v>
      </c>
      <c r="I203" s="16">
        <f>IFERROR(__xludf.DUMMYFUNCTION("""COMPUTED_VALUE"""),0.369028006589785)</f>
        <v>0.3690280066</v>
      </c>
      <c r="J203" s="16">
        <f>IFERROR(__xludf.DUMMYFUNCTION("""COMPUTED_VALUE"""),0.339373970345963)</f>
        <v>0.3393739703</v>
      </c>
      <c r="K203" s="16">
        <f>IFERROR(__xludf.DUMMYFUNCTION("""COMPUTED_VALUE"""),0.32013201320132)</f>
        <v>0.3201320132</v>
      </c>
      <c r="L203" s="16">
        <f>IFERROR(__xludf.DUMMYFUNCTION("""COMPUTED_VALUE"""),0.295867768595041)</f>
        <v>0.2958677686</v>
      </c>
      <c r="M203" s="16">
        <f>IFERROR(__xludf.DUMMYFUNCTION("""COMPUTED_VALUE"""),0.289256198347107)</f>
        <v>0.2892561983</v>
      </c>
      <c r="N203" s="16">
        <f>IFERROR(__xludf.DUMMYFUNCTION("""COMPUTED_VALUE"""),0.279338842975206)</f>
        <v>0.279338843</v>
      </c>
      <c r="O203" s="16">
        <f>IFERROR(__xludf.DUMMYFUNCTION("""COMPUTED_VALUE"""),0.22165820642978)</f>
        <v>0.2216582064</v>
      </c>
      <c r="P203" s="16">
        <f>IFERROR(__xludf.DUMMYFUNCTION("""COMPUTED_VALUE"""),0.192384769539078)</f>
        <v>0.1923847695</v>
      </c>
      <c r="Q203" s="16">
        <f>IFERROR(__xludf.DUMMYFUNCTION("""COMPUTED_VALUE"""),0.134969325153374)</f>
        <v>0.1349693252</v>
      </c>
      <c r="R203" s="16">
        <f>IFERROR(__xludf.DUMMYFUNCTION("""COMPUTED_VALUE"""),0.168831168831168)</f>
        <v>0.1688311688</v>
      </c>
      <c r="S203" s="16">
        <f>IFERROR(__xludf.DUMMYFUNCTION("""COMPUTED_VALUE"""),0.144736842105263)</f>
        <v>0.1447368421</v>
      </c>
      <c r="T203" s="16">
        <f>IFERROR(__xludf.DUMMYFUNCTION("""COMPUTED_VALUE"""),0.148936170212765)</f>
        <v>0.1489361702</v>
      </c>
      <c r="U203" s="16">
        <f>IFERROR(__xludf.DUMMYFUNCTION("""COMPUTED_VALUE"""),0.121212121212121)</f>
        <v>0.1212121212</v>
      </c>
      <c r="V203" s="16">
        <f>IFERROR(__xludf.DUMMYFUNCTION("""COMPUTED_VALUE"""),0.111111111111111)</f>
        <v>0.1111111111</v>
      </c>
      <c r="W203" s="16">
        <f>IFERROR(__xludf.DUMMYFUNCTION("""COMPUTED_VALUE"""),0.125)</f>
        <v>0.125</v>
      </c>
      <c r="X203" s="16">
        <f>IFERROR(__xludf.DUMMYFUNCTION("""COMPUTED_VALUE"""),0.0869565217391304)</f>
        <v>0.08695652174</v>
      </c>
      <c r="Y203" s="16">
        <f>IFERROR(__xludf.DUMMYFUNCTION("""COMPUTED_VALUE"""),0.0625)</f>
        <v>0.0625</v>
      </c>
      <c r="Z203" s="16">
        <f>IFERROR(__xludf.DUMMYFUNCTION("""COMPUTED_VALUE"""),0.0)</f>
        <v>0</v>
      </c>
      <c r="AA203" s="16">
        <f>IFERROR(__xludf.DUMMYFUNCTION("""COMPUTED_VALUE"""),0.0)</f>
        <v>0</v>
      </c>
      <c r="AB203" s="16">
        <f>IFERROR(__xludf.DUMMYFUNCTION("""COMPUTED_VALUE"""),0.0)</f>
        <v>0</v>
      </c>
      <c r="AC203" s="16">
        <f>IFERROR(__xludf.DUMMYFUNCTION("""COMPUTED_VALUE"""),0.0)</f>
        <v>0</v>
      </c>
      <c r="AD203" s="16">
        <f>IFERROR(__xludf.DUMMYFUNCTION("""COMPUTED_VALUE"""),0.0)</f>
        <v>0</v>
      </c>
      <c r="AE203" s="16">
        <f>IFERROR(__xludf.DUMMYFUNCTION("""COMPUTED_VALUE"""),0.0)</f>
        <v>0</v>
      </c>
      <c r="AF203" s="16">
        <f>IFERROR(__xludf.DUMMYFUNCTION("""COMPUTED_VALUE"""),0.0)</f>
        <v>0</v>
      </c>
      <c r="AG203" s="16">
        <f>IFERROR(__xludf.DUMMYFUNCTION("""COMPUTED_VALUE"""),0.0)</f>
        <v>0</v>
      </c>
      <c r="AH203" s="16">
        <f>IFERROR(__xludf.DUMMYFUNCTION("""COMPUTED_VALUE"""),0.0)</f>
        <v>0</v>
      </c>
    </row>
    <row r="204">
      <c r="A204" s="16" t="str">
        <f>IFERROR(__xludf.DUMMYFUNCTION("""COMPUTED_VALUE"""),"ad877b024bb7b2c30b52737ab2d9d8d49cc89f77")</f>
        <v>ad877b024bb7b2c30b52737ab2d9d8d49cc89f77</v>
      </c>
      <c r="B204" s="16" t="str">
        <f>IFERROR(__xludf.DUMMYFUNCTION("""COMPUTED_VALUE"""),"The Master at Heart Work ")</f>
        <v>The Master at Heart Work </v>
      </c>
      <c r="C204" s="16" t="str">
        <f>IFERROR(__xludf.DUMMYFUNCTION("""COMPUTED_VALUE"""),"System and Superpower")</f>
        <v>System and Superpower</v>
      </c>
      <c r="D204" s="16">
        <f>IFERROR(__xludf.DUMMYFUNCTION("""COMPUTED_VALUE"""),522.0)</f>
        <v>522</v>
      </c>
      <c r="E204" s="16">
        <f>IFERROR(__xludf.DUMMYFUNCTION("""COMPUTED_VALUE"""),0.936781609195402)</f>
        <v>0.9367816092</v>
      </c>
      <c r="F204" s="16">
        <f>IFERROR(__xludf.DUMMYFUNCTION("""COMPUTED_VALUE"""),0.634099616858237)</f>
        <v>0.6340996169</v>
      </c>
      <c r="G204" s="16">
        <f>IFERROR(__xludf.DUMMYFUNCTION("""COMPUTED_VALUE"""),0.578544061302682)</f>
        <v>0.5785440613</v>
      </c>
      <c r="H204" s="16">
        <f>IFERROR(__xludf.DUMMYFUNCTION("""COMPUTED_VALUE"""),0.524904214559387)</f>
        <v>0.5249042146</v>
      </c>
      <c r="I204" s="16">
        <f>IFERROR(__xludf.DUMMYFUNCTION("""COMPUTED_VALUE"""),0.5)</f>
        <v>0.5</v>
      </c>
      <c r="J204" s="16">
        <f>IFERROR(__xludf.DUMMYFUNCTION("""COMPUTED_VALUE"""),0.444444444444444)</f>
        <v>0.4444444444</v>
      </c>
      <c r="K204" s="16">
        <f>IFERROR(__xludf.DUMMYFUNCTION("""COMPUTED_VALUE"""),0.409961685823754)</f>
        <v>0.4099616858</v>
      </c>
      <c r="L204" s="16">
        <f>IFERROR(__xludf.DUMMYFUNCTION("""COMPUTED_VALUE"""),0.395393474088291)</f>
        <v>0.3953934741</v>
      </c>
      <c r="M204" s="16">
        <f>IFERROR(__xludf.DUMMYFUNCTION("""COMPUTED_VALUE"""),0.383877159309021)</f>
        <v>0.3838771593</v>
      </c>
      <c r="N204" s="16">
        <f>IFERROR(__xludf.DUMMYFUNCTION("""COMPUTED_VALUE"""),0.349328214971209)</f>
        <v>0.349328215</v>
      </c>
      <c r="O204" s="16">
        <f>IFERROR(__xludf.DUMMYFUNCTION("""COMPUTED_VALUE"""),0.303675048355899)</f>
        <v>0.3036750484</v>
      </c>
      <c r="P204" s="16">
        <f>IFERROR(__xludf.DUMMYFUNCTION("""COMPUTED_VALUE"""),0.192534381139489)</f>
        <v>0.1925343811</v>
      </c>
      <c r="Q204" s="16">
        <f>IFERROR(__xludf.DUMMYFUNCTION("""COMPUTED_VALUE"""),0.136363636363636)</f>
        <v>0.1363636364</v>
      </c>
      <c r="R204" s="16">
        <f>IFERROR(__xludf.DUMMYFUNCTION("""COMPUTED_VALUE"""),0.141711229946524)</f>
        <v>0.1417112299</v>
      </c>
      <c r="S204" s="16">
        <f>IFERROR(__xludf.DUMMYFUNCTION("""COMPUTED_VALUE"""),0.136986301369863)</f>
        <v>0.1369863014</v>
      </c>
      <c r="T204" s="16">
        <f>IFERROR(__xludf.DUMMYFUNCTION("""COMPUTED_VALUE"""),0.104100946372239)</f>
        <v>0.1041009464</v>
      </c>
      <c r="U204" s="16">
        <f>IFERROR(__xludf.DUMMYFUNCTION("""COMPUTED_VALUE"""),0.059090909090909)</f>
        <v>0.05909090909</v>
      </c>
      <c r="V204" s="16">
        <f>IFERROR(__xludf.DUMMYFUNCTION("""COMPUTED_VALUE"""),0.046875)</f>
        <v>0.046875</v>
      </c>
      <c r="W204" s="16">
        <f>IFERROR(__xludf.DUMMYFUNCTION("""COMPUTED_VALUE"""),0.050314465408805)</f>
        <v>0.05031446541</v>
      </c>
      <c r="X204" s="16">
        <f>IFERROR(__xludf.DUMMYFUNCTION("""COMPUTED_VALUE"""),0.037037037037037)</f>
        <v>0.03703703704</v>
      </c>
      <c r="Y204" s="16">
        <f>IFERROR(__xludf.DUMMYFUNCTION("""COMPUTED_VALUE"""),0.0)</f>
        <v>0</v>
      </c>
      <c r="Z204" s="16">
        <f>IFERROR(__xludf.DUMMYFUNCTION("""COMPUTED_VALUE"""),0.0)</f>
        <v>0</v>
      </c>
      <c r="AA204" s="16">
        <f>IFERROR(__xludf.DUMMYFUNCTION("""COMPUTED_VALUE"""),0.0)</f>
        <v>0</v>
      </c>
      <c r="AB204" s="16">
        <f>IFERROR(__xludf.DUMMYFUNCTION("""COMPUTED_VALUE"""),0.0)</f>
        <v>0</v>
      </c>
      <c r="AC204" s="16">
        <f>IFERROR(__xludf.DUMMYFUNCTION("""COMPUTED_VALUE"""),0.0)</f>
        <v>0</v>
      </c>
      <c r="AD204" s="16">
        <f>IFERROR(__xludf.DUMMYFUNCTION("""COMPUTED_VALUE"""),0.0)</f>
        <v>0</v>
      </c>
      <c r="AE204" s="16">
        <f>IFERROR(__xludf.DUMMYFUNCTION("""COMPUTED_VALUE"""),0.0)</f>
        <v>0</v>
      </c>
      <c r="AF204" s="16">
        <f>IFERROR(__xludf.DUMMYFUNCTION("""COMPUTED_VALUE"""),0.0)</f>
        <v>0</v>
      </c>
      <c r="AG204" s="16">
        <f>IFERROR(__xludf.DUMMYFUNCTION("""COMPUTED_VALUE"""),0.0)</f>
        <v>0</v>
      </c>
      <c r="AH204" s="16">
        <f>IFERROR(__xludf.DUMMYFUNCTION("""COMPUTED_VALUE"""),0.0)</f>
        <v>0</v>
      </c>
    </row>
    <row r="205">
      <c r="A205" s="16" t="str">
        <f>IFERROR(__xludf.DUMMYFUNCTION("""COMPUTED_VALUE"""),"adc7a92708ffd0f9326699e493a4bcd9e951553a")</f>
        <v>adc7a92708ffd0f9326699e493a4bcd9e951553a</v>
      </c>
      <c r="B205" s="16" t="str">
        <f>IFERROR(__xludf.DUMMYFUNCTION("""COMPUTED_VALUE"""),"The Strongest Cultivation")</f>
        <v>The Strongest Cultivation</v>
      </c>
      <c r="C205" s="16" t="str">
        <f>IFERROR(__xludf.DUMMYFUNCTION("""COMPUTED_VALUE"""),"Fantasy")</f>
        <v>Fantasy</v>
      </c>
      <c r="D205" s="16">
        <f>IFERROR(__xludf.DUMMYFUNCTION("""COMPUTED_VALUE"""),47.0)</f>
        <v>47</v>
      </c>
      <c r="E205" s="16">
        <f>IFERROR(__xludf.DUMMYFUNCTION("""COMPUTED_VALUE"""),0.957446808510638)</f>
        <v>0.9574468085</v>
      </c>
      <c r="F205" s="16">
        <f>IFERROR(__xludf.DUMMYFUNCTION("""COMPUTED_VALUE"""),0.531914893617021)</f>
        <v>0.5319148936</v>
      </c>
      <c r="G205" s="16">
        <f>IFERROR(__xludf.DUMMYFUNCTION("""COMPUTED_VALUE"""),0.446808510638297)</f>
        <v>0.4468085106</v>
      </c>
      <c r="H205" s="16">
        <f>IFERROR(__xludf.DUMMYFUNCTION("""COMPUTED_VALUE"""),0.404255319148936)</f>
        <v>0.4042553191</v>
      </c>
      <c r="I205" s="16">
        <f>IFERROR(__xludf.DUMMYFUNCTION("""COMPUTED_VALUE"""),0.361702127659574)</f>
        <v>0.3617021277</v>
      </c>
      <c r="J205" s="16">
        <f>IFERROR(__xludf.DUMMYFUNCTION("""COMPUTED_VALUE"""),0.319148936170212)</f>
        <v>0.3191489362</v>
      </c>
      <c r="K205" s="16">
        <f>IFERROR(__xludf.DUMMYFUNCTION("""COMPUTED_VALUE"""),0.276595744680851)</f>
        <v>0.2765957447</v>
      </c>
      <c r="L205" s="16">
        <f>IFERROR(__xludf.DUMMYFUNCTION("""COMPUTED_VALUE"""),0.25531914893617)</f>
        <v>0.2553191489</v>
      </c>
      <c r="M205" s="16">
        <f>IFERROR(__xludf.DUMMYFUNCTION("""COMPUTED_VALUE"""),0.25531914893617)</f>
        <v>0.2553191489</v>
      </c>
      <c r="N205" s="16">
        <f>IFERROR(__xludf.DUMMYFUNCTION("""COMPUTED_VALUE"""),0.260869565217391)</f>
        <v>0.2608695652</v>
      </c>
      <c r="O205" s="16">
        <f>IFERROR(__xludf.DUMMYFUNCTION("""COMPUTED_VALUE"""),0.204545454545454)</f>
        <v>0.2045454545</v>
      </c>
      <c r="P205" s="16">
        <f>IFERROR(__xludf.DUMMYFUNCTION("""COMPUTED_VALUE"""),0.146341463414634)</f>
        <v>0.1463414634</v>
      </c>
      <c r="Q205" s="16">
        <f>IFERROR(__xludf.DUMMYFUNCTION("""COMPUTED_VALUE"""),0.0)</f>
        <v>0</v>
      </c>
      <c r="R205" s="16">
        <f>IFERROR(__xludf.DUMMYFUNCTION("""COMPUTED_VALUE"""),0.0)</f>
        <v>0</v>
      </c>
      <c r="S205" s="16">
        <f>IFERROR(__xludf.DUMMYFUNCTION("""COMPUTED_VALUE"""),0.0)</f>
        <v>0</v>
      </c>
      <c r="T205" s="16">
        <f>IFERROR(__xludf.DUMMYFUNCTION("""COMPUTED_VALUE"""),0.0)</f>
        <v>0</v>
      </c>
      <c r="U205" s="16">
        <f>IFERROR(__xludf.DUMMYFUNCTION("""COMPUTED_VALUE"""),0.0)</f>
        <v>0</v>
      </c>
      <c r="V205" s="16">
        <f>IFERROR(__xludf.DUMMYFUNCTION("""COMPUTED_VALUE"""),0.0)</f>
        <v>0</v>
      </c>
      <c r="W205" s="16">
        <f>IFERROR(__xludf.DUMMYFUNCTION("""COMPUTED_VALUE"""),0.0)</f>
        <v>0</v>
      </c>
      <c r="X205" s="16">
        <f>IFERROR(__xludf.DUMMYFUNCTION("""COMPUTED_VALUE"""),0.0)</f>
        <v>0</v>
      </c>
      <c r="Y205" s="16">
        <f>IFERROR(__xludf.DUMMYFUNCTION("""COMPUTED_VALUE"""),0.0)</f>
        <v>0</v>
      </c>
      <c r="Z205" s="16">
        <f>IFERROR(__xludf.DUMMYFUNCTION("""COMPUTED_VALUE"""),0.0)</f>
        <v>0</v>
      </c>
      <c r="AA205" s="16">
        <f>IFERROR(__xludf.DUMMYFUNCTION("""COMPUTED_VALUE"""),0.0)</f>
        <v>0</v>
      </c>
      <c r="AB205" s="16">
        <f>IFERROR(__xludf.DUMMYFUNCTION("""COMPUTED_VALUE"""),0.0)</f>
        <v>0</v>
      </c>
      <c r="AC205" s="16">
        <f>IFERROR(__xludf.DUMMYFUNCTION("""COMPUTED_VALUE"""),0.0)</f>
        <v>0</v>
      </c>
      <c r="AD205" s="16">
        <f>IFERROR(__xludf.DUMMYFUNCTION("""COMPUTED_VALUE"""),0.0)</f>
        <v>0</v>
      </c>
      <c r="AE205" s="16">
        <f>IFERROR(__xludf.DUMMYFUNCTION("""COMPUTED_VALUE"""),0.0)</f>
        <v>0</v>
      </c>
      <c r="AF205" s="16">
        <f>IFERROR(__xludf.DUMMYFUNCTION("""COMPUTED_VALUE"""),0.0)</f>
        <v>0</v>
      </c>
      <c r="AG205" s="16">
        <f>IFERROR(__xludf.DUMMYFUNCTION("""COMPUTED_VALUE"""),0.0)</f>
        <v>0</v>
      </c>
      <c r="AH205" s="16">
        <f>IFERROR(__xludf.DUMMYFUNCTION("""COMPUTED_VALUE"""),0.0)</f>
        <v>0</v>
      </c>
    </row>
    <row r="206">
      <c r="A206" s="16" t="str">
        <f>IFERROR(__xludf.DUMMYFUNCTION("""COMPUTED_VALUE"""),"afc4914ba536580c6c21a79231a73b9e6dc67e1a")</f>
        <v>afc4914ba536580c6c21a79231a73b9e6dc67e1a</v>
      </c>
      <c r="B206" s="16" t="str">
        <f>IFERROR(__xludf.DUMMYFUNCTION("""COMPUTED_VALUE"""),"Her Cupid Curse")</f>
        <v>Her Cupid Curse</v>
      </c>
      <c r="C206" s="16" t="str">
        <f>IFERROR(__xludf.DUMMYFUNCTION("""COMPUTED_VALUE"""),"Romance")</f>
        <v>Romance</v>
      </c>
      <c r="D206" s="16">
        <f>IFERROR(__xludf.DUMMYFUNCTION("""COMPUTED_VALUE"""),92.0)</f>
        <v>92</v>
      </c>
      <c r="E206" s="16">
        <f>IFERROR(__xludf.DUMMYFUNCTION("""COMPUTED_VALUE"""),0.956521739130434)</f>
        <v>0.9565217391</v>
      </c>
      <c r="F206" s="16">
        <f>IFERROR(__xludf.DUMMYFUNCTION("""COMPUTED_VALUE"""),0.543478260869565)</f>
        <v>0.5434782609</v>
      </c>
      <c r="G206" s="16">
        <f>IFERROR(__xludf.DUMMYFUNCTION("""COMPUTED_VALUE"""),0.5)</f>
        <v>0.5</v>
      </c>
      <c r="H206" s="16">
        <f>IFERROR(__xludf.DUMMYFUNCTION("""COMPUTED_VALUE"""),0.434782608695652)</f>
        <v>0.4347826087</v>
      </c>
      <c r="I206" s="16">
        <f>IFERROR(__xludf.DUMMYFUNCTION("""COMPUTED_VALUE"""),0.358695652173913)</f>
        <v>0.3586956522</v>
      </c>
      <c r="J206" s="16">
        <f>IFERROR(__xludf.DUMMYFUNCTION("""COMPUTED_VALUE"""),0.318681318681318)</f>
        <v>0.3186813187</v>
      </c>
      <c r="K206" s="16">
        <f>IFERROR(__xludf.DUMMYFUNCTION("""COMPUTED_VALUE"""),0.32183908045977)</f>
        <v>0.3218390805</v>
      </c>
      <c r="L206" s="16">
        <f>IFERROR(__xludf.DUMMYFUNCTION("""COMPUTED_VALUE"""),0.268292682926829)</f>
        <v>0.2682926829</v>
      </c>
      <c r="M206" s="16">
        <f>IFERROR(__xludf.DUMMYFUNCTION("""COMPUTED_VALUE"""),0.25)</f>
        <v>0.25</v>
      </c>
      <c r="N206" s="16">
        <f>IFERROR(__xludf.DUMMYFUNCTION("""COMPUTED_VALUE"""),0.202898550724637)</f>
        <v>0.2028985507</v>
      </c>
      <c r="O206" s="16">
        <f>IFERROR(__xludf.DUMMYFUNCTION("""COMPUTED_VALUE"""),0.189189189189189)</f>
        <v>0.1891891892</v>
      </c>
      <c r="P206" s="16">
        <f>IFERROR(__xludf.DUMMYFUNCTION("""COMPUTED_VALUE"""),0.214285714285714)</f>
        <v>0.2142857143</v>
      </c>
      <c r="Q206" s="16">
        <f>IFERROR(__xludf.DUMMYFUNCTION("""COMPUTED_VALUE"""),0.0)</f>
        <v>0</v>
      </c>
      <c r="R206" s="16">
        <f>IFERROR(__xludf.DUMMYFUNCTION("""COMPUTED_VALUE"""),0.0)</f>
        <v>0</v>
      </c>
      <c r="S206" s="16">
        <f>IFERROR(__xludf.DUMMYFUNCTION("""COMPUTED_VALUE"""),0.0)</f>
        <v>0</v>
      </c>
      <c r="T206" s="16">
        <f>IFERROR(__xludf.DUMMYFUNCTION("""COMPUTED_VALUE"""),0.0)</f>
        <v>0</v>
      </c>
      <c r="U206" s="16">
        <f>IFERROR(__xludf.DUMMYFUNCTION("""COMPUTED_VALUE"""),0.0)</f>
        <v>0</v>
      </c>
      <c r="V206" s="16">
        <f>IFERROR(__xludf.DUMMYFUNCTION("""COMPUTED_VALUE"""),0.0)</f>
        <v>0</v>
      </c>
      <c r="W206" s="16">
        <f>IFERROR(__xludf.DUMMYFUNCTION("""COMPUTED_VALUE"""),0.0)</f>
        <v>0</v>
      </c>
      <c r="X206" s="16">
        <f>IFERROR(__xludf.DUMMYFUNCTION("""COMPUTED_VALUE"""),0.0)</f>
        <v>0</v>
      </c>
      <c r="Y206" s="16">
        <f>IFERROR(__xludf.DUMMYFUNCTION("""COMPUTED_VALUE"""),0.0)</f>
        <v>0</v>
      </c>
      <c r="Z206" s="16">
        <f>IFERROR(__xludf.DUMMYFUNCTION("""COMPUTED_VALUE"""),0.0)</f>
        <v>0</v>
      </c>
      <c r="AA206" s="16">
        <f>IFERROR(__xludf.DUMMYFUNCTION("""COMPUTED_VALUE"""),0.0)</f>
        <v>0</v>
      </c>
      <c r="AB206" s="16">
        <f>IFERROR(__xludf.DUMMYFUNCTION("""COMPUTED_VALUE"""),0.0)</f>
        <v>0</v>
      </c>
      <c r="AC206" s="16">
        <f>IFERROR(__xludf.DUMMYFUNCTION("""COMPUTED_VALUE"""),0.0)</f>
        <v>0</v>
      </c>
      <c r="AD206" s="16">
        <f>IFERROR(__xludf.DUMMYFUNCTION("""COMPUTED_VALUE"""),0.0)</f>
        <v>0</v>
      </c>
      <c r="AE206" s="16">
        <f>IFERROR(__xludf.DUMMYFUNCTION("""COMPUTED_VALUE"""),0.0)</f>
        <v>0</v>
      </c>
      <c r="AF206" s="16">
        <f>IFERROR(__xludf.DUMMYFUNCTION("""COMPUTED_VALUE"""),0.0)</f>
        <v>0</v>
      </c>
      <c r="AG206" s="16">
        <f>IFERROR(__xludf.DUMMYFUNCTION("""COMPUTED_VALUE"""),0.0)</f>
        <v>0</v>
      </c>
      <c r="AH206" s="16">
        <f>IFERROR(__xludf.DUMMYFUNCTION("""COMPUTED_VALUE"""),0.0)</f>
        <v>0</v>
      </c>
    </row>
    <row r="207">
      <c r="A207" s="16" t="str">
        <f>IFERROR(__xludf.DUMMYFUNCTION("""COMPUTED_VALUE"""),"b035f182bb6d36439bba21081e89b0cb80ad7d57")</f>
        <v>b035f182bb6d36439bba21081e89b0cb80ad7d57</v>
      </c>
      <c r="B207" s="16" t="str">
        <f>IFERROR(__xludf.DUMMYFUNCTION("""COMPUTED_VALUE"""),"Glory After Loss")</f>
        <v>Glory After Loss</v>
      </c>
      <c r="C207" s="16" t="str">
        <f>IFERROR(__xludf.DUMMYFUNCTION("""COMPUTED_VALUE"""),"System and Superpower")</f>
        <v>System and Superpower</v>
      </c>
      <c r="D207" s="16">
        <f>IFERROR(__xludf.DUMMYFUNCTION("""COMPUTED_VALUE"""),327.0)</f>
        <v>327</v>
      </c>
      <c r="E207" s="16">
        <f>IFERROR(__xludf.DUMMYFUNCTION("""COMPUTED_VALUE"""),0.963302752293578)</f>
        <v>0.9633027523</v>
      </c>
      <c r="F207" s="16">
        <f>IFERROR(__xludf.DUMMYFUNCTION("""COMPUTED_VALUE"""),0.495412844036697)</f>
        <v>0.495412844</v>
      </c>
      <c r="G207" s="16">
        <f>IFERROR(__xludf.DUMMYFUNCTION("""COMPUTED_VALUE"""),0.449541284403669)</f>
        <v>0.4495412844</v>
      </c>
      <c r="H207" s="16">
        <f>IFERROR(__xludf.DUMMYFUNCTION("""COMPUTED_VALUE"""),0.388379204892966)</f>
        <v>0.3883792049</v>
      </c>
      <c r="I207" s="16">
        <f>IFERROR(__xludf.DUMMYFUNCTION("""COMPUTED_VALUE"""),0.36697247706422)</f>
        <v>0.3669724771</v>
      </c>
      <c r="J207" s="16">
        <f>IFERROR(__xludf.DUMMYFUNCTION("""COMPUTED_VALUE"""),0.330275229357798)</f>
        <v>0.3302752294</v>
      </c>
      <c r="K207" s="16">
        <f>IFERROR(__xludf.DUMMYFUNCTION("""COMPUTED_VALUE"""),0.314984709480122)</f>
        <v>0.3149847095</v>
      </c>
      <c r="L207" s="16">
        <f>IFERROR(__xludf.DUMMYFUNCTION("""COMPUTED_VALUE"""),0.303680981595092)</f>
        <v>0.3036809816</v>
      </c>
      <c r="M207" s="16">
        <f>IFERROR(__xludf.DUMMYFUNCTION("""COMPUTED_VALUE"""),0.294478527607362)</f>
        <v>0.2944785276</v>
      </c>
      <c r="N207" s="16">
        <f>IFERROR(__xludf.DUMMYFUNCTION("""COMPUTED_VALUE"""),0.285276073619631)</f>
        <v>0.2852760736</v>
      </c>
      <c r="O207" s="16">
        <f>IFERROR(__xludf.DUMMYFUNCTION("""COMPUTED_VALUE"""),0.23125)</f>
        <v>0.23125</v>
      </c>
      <c r="P207" s="16">
        <f>IFERROR(__xludf.DUMMYFUNCTION("""COMPUTED_VALUE"""),0.182108626198083)</f>
        <v>0.1821086262</v>
      </c>
      <c r="Q207" s="16">
        <f>IFERROR(__xludf.DUMMYFUNCTION("""COMPUTED_VALUE"""),0.120141342756183)</f>
        <v>0.1201413428</v>
      </c>
      <c r="R207" s="16">
        <f>IFERROR(__xludf.DUMMYFUNCTION("""COMPUTED_VALUE"""),0.0)</f>
        <v>0</v>
      </c>
      <c r="S207" s="16">
        <f>IFERROR(__xludf.DUMMYFUNCTION("""COMPUTED_VALUE"""),0.0)</f>
        <v>0</v>
      </c>
      <c r="T207" s="16">
        <f>IFERROR(__xludf.DUMMYFUNCTION("""COMPUTED_VALUE"""),0.0)</f>
        <v>0</v>
      </c>
      <c r="U207" s="16">
        <f>IFERROR(__xludf.DUMMYFUNCTION("""COMPUTED_VALUE"""),0.0)</f>
        <v>0</v>
      </c>
      <c r="V207" s="16">
        <f>IFERROR(__xludf.DUMMYFUNCTION("""COMPUTED_VALUE"""),0.0)</f>
        <v>0</v>
      </c>
      <c r="W207" s="16">
        <f>IFERROR(__xludf.DUMMYFUNCTION("""COMPUTED_VALUE"""),0.0)</f>
        <v>0</v>
      </c>
      <c r="X207" s="16">
        <f>IFERROR(__xludf.DUMMYFUNCTION("""COMPUTED_VALUE"""),0.0)</f>
        <v>0</v>
      </c>
      <c r="Y207" s="16">
        <f>IFERROR(__xludf.DUMMYFUNCTION("""COMPUTED_VALUE"""),0.0)</f>
        <v>0</v>
      </c>
      <c r="Z207" s="16">
        <f>IFERROR(__xludf.DUMMYFUNCTION("""COMPUTED_VALUE"""),0.0)</f>
        <v>0</v>
      </c>
      <c r="AA207" s="16">
        <f>IFERROR(__xludf.DUMMYFUNCTION("""COMPUTED_VALUE"""),0.0)</f>
        <v>0</v>
      </c>
      <c r="AB207" s="16">
        <f>IFERROR(__xludf.DUMMYFUNCTION("""COMPUTED_VALUE"""),0.0)</f>
        <v>0</v>
      </c>
      <c r="AC207" s="16">
        <f>IFERROR(__xludf.DUMMYFUNCTION("""COMPUTED_VALUE"""),0.0)</f>
        <v>0</v>
      </c>
      <c r="AD207" s="16">
        <f>IFERROR(__xludf.DUMMYFUNCTION("""COMPUTED_VALUE"""),0.0)</f>
        <v>0</v>
      </c>
      <c r="AE207" s="16">
        <f>IFERROR(__xludf.DUMMYFUNCTION("""COMPUTED_VALUE"""),0.0)</f>
        <v>0</v>
      </c>
      <c r="AF207" s="16">
        <f>IFERROR(__xludf.DUMMYFUNCTION("""COMPUTED_VALUE"""),0.0)</f>
        <v>0</v>
      </c>
      <c r="AG207" s="16">
        <f>IFERROR(__xludf.DUMMYFUNCTION("""COMPUTED_VALUE"""),0.0)</f>
        <v>0</v>
      </c>
      <c r="AH207" s="16">
        <f>IFERROR(__xludf.DUMMYFUNCTION("""COMPUTED_VALUE"""),0.0)</f>
        <v>0</v>
      </c>
    </row>
    <row r="208">
      <c r="A208" s="16" t="str">
        <f>IFERROR(__xludf.DUMMYFUNCTION("""COMPUTED_VALUE"""),"b0cb1a15751b32389e6dc5643df14e64f65a78e6")</f>
        <v>b0cb1a15751b32389e6dc5643df14e64f65a78e6</v>
      </c>
      <c r="B208" s="16" t="str">
        <f>IFERROR(__xludf.DUMMYFUNCTION("""COMPUTED_VALUE"""),"Desire of the Billionaire")</f>
        <v>Desire of the Billionaire</v>
      </c>
      <c r="C208" s="16" t="str">
        <f>IFERROR(__xludf.DUMMYFUNCTION("""COMPUTED_VALUE"""),"Romance")</f>
        <v>Romance</v>
      </c>
      <c r="D208" s="16">
        <f>IFERROR(__xludf.DUMMYFUNCTION("""COMPUTED_VALUE"""),33.0)</f>
        <v>33</v>
      </c>
      <c r="E208" s="16">
        <f>IFERROR(__xludf.DUMMYFUNCTION("""COMPUTED_VALUE"""),0.939393939393939)</f>
        <v>0.9393939394</v>
      </c>
      <c r="F208" s="16">
        <f>IFERROR(__xludf.DUMMYFUNCTION("""COMPUTED_VALUE"""),0.727272727272727)</f>
        <v>0.7272727273</v>
      </c>
      <c r="G208" s="16">
        <f>IFERROR(__xludf.DUMMYFUNCTION("""COMPUTED_VALUE"""),0.636363636363636)</f>
        <v>0.6363636364</v>
      </c>
      <c r="H208" s="16">
        <f>IFERROR(__xludf.DUMMYFUNCTION("""COMPUTED_VALUE"""),0.575757575757575)</f>
        <v>0.5757575758</v>
      </c>
      <c r="I208" s="16">
        <f>IFERROR(__xludf.DUMMYFUNCTION("""COMPUTED_VALUE"""),0.575757575757575)</f>
        <v>0.5757575758</v>
      </c>
      <c r="J208" s="16">
        <f>IFERROR(__xludf.DUMMYFUNCTION("""COMPUTED_VALUE"""),0.575757575757575)</f>
        <v>0.5757575758</v>
      </c>
      <c r="K208" s="16">
        <f>IFERROR(__xludf.DUMMYFUNCTION("""COMPUTED_VALUE"""),0.545454545454545)</f>
        <v>0.5454545455</v>
      </c>
      <c r="L208" s="16">
        <f>IFERROR(__xludf.DUMMYFUNCTION("""COMPUTED_VALUE"""),0.545454545454545)</f>
        <v>0.5454545455</v>
      </c>
      <c r="M208" s="16">
        <f>IFERROR(__xludf.DUMMYFUNCTION("""COMPUTED_VALUE"""),0.545454545454545)</f>
        <v>0.5454545455</v>
      </c>
      <c r="N208" s="16">
        <f>IFERROR(__xludf.DUMMYFUNCTION("""COMPUTED_VALUE"""),0.484848484848484)</f>
        <v>0.4848484848</v>
      </c>
      <c r="O208" s="16">
        <f>IFERROR(__xludf.DUMMYFUNCTION("""COMPUTED_VALUE"""),0.387096774193548)</f>
        <v>0.3870967742</v>
      </c>
      <c r="P208" s="16">
        <f>IFERROR(__xludf.DUMMYFUNCTION("""COMPUTED_VALUE"""),0.31578947368421)</f>
        <v>0.3157894737</v>
      </c>
      <c r="Q208" s="16">
        <f>IFERROR(__xludf.DUMMYFUNCTION("""COMPUTED_VALUE"""),0.2)</f>
        <v>0.2</v>
      </c>
      <c r="R208" s="16">
        <f>IFERROR(__xludf.DUMMYFUNCTION("""COMPUTED_VALUE"""),0.0)</f>
        <v>0</v>
      </c>
      <c r="S208" s="16">
        <f>IFERROR(__xludf.DUMMYFUNCTION("""COMPUTED_VALUE"""),0.0)</f>
        <v>0</v>
      </c>
      <c r="T208" s="16">
        <f>IFERROR(__xludf.DUMMYFUNCTION("""COMPUTED_VALUE"""),0.0)</f>
        <v>0</v>
      </c>
      <c r="U208" s="16">
        <f>IFERROR(__xludf.DUMMYFUNCTION("""COMPUTED_VALUE"""),0.0)</f>
        <v>0</v>
      </c>
      <c r="V208" s="16">
        <f>IFERROR(__xludf.DUMMYFUNCTION("""COMPUTED_VALUE"""),0.0)</f>
        <v>0</v>
      </c>
      <c r="W208" s="16">
        <f>IFERROR(__xludf.DUMMYFUNCTION("""COMPUTED_VALUE"""),0.0)</f>
        <v>0</v>
      </c>
      <c r="X208" s="16">
        <f>IFERROR(__xludf.DUMMYFUNCTION("""COMPUTED_VALUE"""),0.0)</f>
        <v>0</v>
      </c>
      <c r="Y208" s="16">
        <f>IFERROR(__xludf.DUMMYFUNCTION("""COMPUTED_VALUE"""),0.0)</f>
        <v>0</v>
      </c>
      <c r="Z208" s="16">
        <f>IFERROR(__xludf.DUMMYFUNCTION("""COMPUTED_VALUE"""),0.0)</f>
        <v>0</v>
      </c>
      <c r="AA208" s="16">
        <f>IFERROR(__xludf.DUMMYFUNCTION("""COMPUTED_VALUE"""),0.0)</f>
        <v>0</v>
      </c>
      <c r="AB208" s="16">
        <f>IFERROR(__xludf.DUMMYFUNCTION("""COMPUTED_VALUE"""),0.0)</f>
        <v>0</v>
      </c>
      <c r="AC208" s="16">
        <f>IFERROR(__xludf.DUMMYFUNCTION("""COMPUTED_VALUE"""),0.0)</f>
        <v>0</v>
      </c>
      <c r="AD208" s="16">
        <f>IFERROR(__xludf.DUMMYFUNCTION("""COMPUTED_VALUE"""),0.0)</f>
        <v>0</v>
      </c>
      <c r="AE208" s="16">
        <f>IFERROR(__xludf.DUMMYFUNCTION("""COMPUTED_VALUE"""),0.0)</f>
        <v>0</v>
      </c>
      <c r="AF208" s="16">
        <f>IFERROR(__xludf.DUMMYFUNCTION("""COMPUTED_VALUE"""),0.0)</f>
        <v>0</v>
      </c>
      <c r="AG208" s="16">
        <f>IFERROR(__xludf.DUMMYFUNCTION("""COMPUTED_VALUE"""),0.0)</f>
        <v>0</v>
      </c>
      <c r="AH208" s="16">
        <f>IFERROR(__xludf.DUMMYFUNCTION("""COMPUTED_VALUE"""),0.0)</f>
        <v>0</v>
      </c>
    </row>
    <row r="209">
      <c r="A209" s="16" t="str">
        <f>IFERROR(__xludf.DUMMYFUNCTION("""COMPUTED_VALUE"""),"b164057dc6b8df1ba1289d383220147f237b7dfa")</f>
        <v>b164057dc6b8df1ba1289d383220147f237b7dfa</v>
      </c>
      <c r="B209" s="16" t="str">
        <f>IFERROR(__xludf.DUMMYFUNCTION("""COMPUTED_VALUE"""),"Rush Marriage")</f>
        <v>Rush Marriage</v>
      </c>
      <c r="C209" s="16" t="str">
        <f>IFERROR(__xludf.DUMMYFUNCTION("""COMPUTED_VALUE"""),"Romance")</f>
        <v>Romance</v>
      </c>
      <c r="D209" s="16">
        <f>IFERROR(__xludf.DUMMYFUNCTION("""COMPUTED_VALUE"""),152.0)</f>
        <v>152</v>
      </c>
      <c r="E209" s="16">
        <f>IFERROR(__xludf.DUMMYFUNCTION("""COMPUTED_VALUE"""),0.967105263157894)</f>
        <v>0.9671052632</v>
      </c>
      <c r="F209" s="16">
        <f>IFERROR(__xludf.DUMMYFUNCTION("""COMPUTED_VALUE"""),0.585526315789473)</f>
        <v>0.5855263158</v>
      </c>
      <c r="G209" s="16">
        <f>IFERROR(__xludf.DUMMYFUNCTION("""COMPUTED_VALUE"""),0.5)</f>
        <v>0.5</v>
      </c>
      <c r="H209" s="16">
        <f>IFERROR(__xludf.DUMMYFUNCTION("""COMPUTED_VALUE"""),0.453947368421052)</f>
        <v>0.4539473684</v>
      </c>
      <c r="I209" s="16">
        <f>IFERROR(__xludf.DUMMYFUNCTION("""COMPUTED_VALUE"""),0.414473684210526)</f>
        <v>0.4144736842</v>
      </c>
      <c r="J209" s="16">
        <f>IFERROR(__xludf.DUMMYFUNCTION("""COMPUTED_VALUE"""),0.388157894736842)</f>
        <v>0.3881578947</v>
      </c>
      <c r="K209" s="16">
        <f>IFERROR(__xludf.DUMMYFUNCTION("""COMPUTED_VALUE"""),0.348684210526315)</f>
        <v>0.3486842105</v>
      </c>
      <c r="L209" s="16">
        <f>IFERROR(__xludf.DUMMYFUNCTION("""COMPUTED_VALUE"""),0.322368421052631)</f>
        <v>0.3223684211</v>
      </c>
      <c r="M209" s="16">
        <f>IFERROR(__xludf.DUMMYFUNCTION("""COMPUTED_VALUE"""),0.289473684210526)</f>
        <v>0.2894736842</v>
      </c>
      <c r="N209" s="16">
        <f>IFERROR(__xludf.DUMMYFUNCTION("""COMPUTED_VALUE"""),0.276315789473684)</f>
        <v>0.2763157895</v>
      </c>
      <c r="O209" s="16">
        <f>IFERROR(__xludf.DUMMYFUNCTION("""COMPUTED_VALUE"""),0.264900662251655)</f>
        <v>0.2649006623</v>
      </c>
      <c r="P209" s="16">
        <f>IFERROR(__xludf.DUMMYFUNCTION("""COMPUTED_VALUE"""),0.23489932885906)</f>
        <v>0.2348993289</v>
      </c>
      <c r="Q209" s="16">
        <f>IFERROR(__xludf.DUMMYFUNCTION("""COMPUTED_VALUE"""),0.153284671532846)</f>
        <v>0.1532846715</v>
      </c>
      <c r="R209" s="16">
        <f>IFERROR(__xludf.DUMMYFUNCTION("""COMPUTED_VALUE"""),0.144736842105263)</f>
        <v>0.1447368421</v>
      </c>
      <c r="S209" s="16">
        <f>IFERROR(__xludf.DUMMYFUNCTION("""COMPUTED_VALUE"""),0.118421052631578)</f>
        <v>0.1184210526</v>
      </c>
      <c r="T209" s="16">
        <f>IFERROR(__xludf.DUMMYFUNCTION("""COMPUTED_VALUE"""),0.0634920634920634)</f>
        <v>0.06349206349</v>
      </c>
      <c r="U209" s="16">
        <f>IFERROR(__xludf.DUMMYFUNCTION("""COMPUTED_VALUE"""),0.0408163265306122)</f>
        <v>0.04081632653</v>
      </c>
      <c r="V209" s="16">
        <f>IFERROR(__xludf.DUMMYFUNCTION("""COMPUTED_VALUE"""),0.0652173913043478)</f>
        <v>0.0652173913</v>
      </c>
      <c r="W209" s="16">
        <f>IFERROR(__xludf.DUMMYFUNCTION("""COMPUTED_VALUE"""),0.0526315789473684)</f>
        <v>0.05263157895</v>
      </c>
      <c r="X209" s="16">
        <f>IFERROR(__xludf.DUMMYFUNCTION("""COMPUTED_VALUE"""),0.0384615384615384)</f>
        <v>0.03846153846</v>
      </c>
      <c r="Y209" s="16">
        <f>IFERROR(__xludf.DUMMYFUNCTION("""COMPUTED_VALUE"""),0.0)</f>
        <v>0</v>
      </c>
      <c r="Z209" s="16">
        <f>IFERROR(__xludf.DUMMYFUNCTION("""COMPUTED_VALUE"""),0.0)</f>
        <v>0</v>
      </c>
      <c r="AA209" s="16">
        <f>IFERROR(__xludf.DUMMYFUNCTION("""COMPUTED_VALUE"""),0.0)</f>
        <v>0</v>
      </c>
      <c r="AB209" s="16">
        <f>IFERROR(__xludf.DUMMYFUNCTION("""COMPUTED_VALUE"""),0.0)</f>
        <v>0</v>
      </c>
      <c r="AC209" s="16">
        <f>IFERROR(__xludf.DUMMYFUNCTION("""COMPUTED_VALUE"""),0.0)</f>
        <v>0</v>
      </c>
      <c r="AD209" s="16">
        <f>IFERROR(__xludf.DUMMYFUNCTION("""COMPUTED_VALUE"""),0.0)</f>
        <v>0</v>
      </c>
      <c r="AE209" s="16">
        <f>IFERROR(__xludf.DUMMYFUNCTION("""COMPUTED_VALUE"""),0.0)</f>
        <v>0</v>
      </c>
      <c r="AF209" s="16">
        <f>IFERROR(__xludf.DUMMYFUNCTION("""COMPUTED_VALUE"""),0.0)</f>
        <v>0</v>
      </c>
      <c r="AG209" s="16">
        <f>IFERROR(__xludf.DUMMYFUNCTION("""COMPUTED_VALUE"""),0.0)</f>
        <v>0</v>
      </c>
      <c r="AH209" s="16">
        <f>IFERROR(__xludf.DUMMYFUNCTION("""COMPUTED_VALUE"""),0.0)</f>
        <v>0</v>
      </c>
    </row>
    <row r="210">
      <c r="A210" s="16" t="str">
        <f>IFERROR(__xludf.DUMMYFUNCTION("""COMPUTED_VALUE"""),"b2e0e008665e30068057a1556346d5473a8ed579")</f>
        <v>b2e0e008665e30068057a1556346d5473a8ed579</v>
      </c>
      <c r="B210" s="16" t="str">
        <f>IFERROR(__xludf.DUMMYFUNCTION("""COMPUTED_VALUE"""),"Legend of Cursed Blood ")</f>
        <v>Legend of Cursed Blood </v>
      </c>
      <c r="C210" s="16" t="str">
        <f>IFERROR(__xludf.DUMMYFUNCTION("""COMPUTED_VALUE"""),"Fantasy")</f>
        <v>Fantasy</v>
      </c>
      <c r="D210" s="16">
        <f>IFERROR(__xludf.DUMMYFUNCTION("""COMPUTED_VALUE"""),526.0)</f>
        <v>526</v>
      </c>
      <c r="E210" s="16">
        <f>IFERROR(__xludf.DUMMYFUNCTION("""COMPUTED_VALUE"""),0.965779467680608)</f>
        <v>0.9657794677</v>
      </c>
      <c r="F210" s="16">
        <f>IFERROR(__xludf.DUMMYFUNCTION("""COMPUTED_VALUE"""),0.494296577946768)</f>
        <v>0.4942965779</v>
      </c>
      <c r="G210" s="16">
        <f>IFERROR(__xludf.DUMMYFUNCTION("""COMPUTED_VALUE"""),0.41254752851711)</f>
        <v>0.4125475285</v>
      </c>
      <c r="H210" s="16">
        <f>IFERROR(__xludf.DUMMYFUNCTION("""COMPUTED_VALUE"""),0.371428571428571)</f>
        <v>0.3714285714</v>
      </c>
      <c r="I210" s="16">
        <f>IFERROR(__xludf.DUMMYFUNCTION("""COMPUTED_VALUE"""),0.308429118773946)</f>
        <v>0.3084291188</v>
      </c>
      <c r="J210" s="16">
        <f>IFERROR(__xludf.DUMMYFUNCTION("""COMPUTED_VALUE"""),0.259765625)</f>
        <v>0.259765625</v>
      </c>
      <c r="K210" s="16">
        <f>IFERROR(__xludf.DUMMYFUNCTION("""COMPUTED_VALUE"""),0.239520958083832)</f>
        <v>0.2395209581</v>
      </c>
      <c r="L210" s="16">
        <f>IFERROR(__xludf.DUMMYFUNCTION("""COMPUTED_VALUE"""),0.246464646464646)</f>
        <v>0.2464646465</v>
      </c>
      <c r="M210" s="16">
        <f>IFERROR(__xludf.DUMMYFUNCTION("""COMPUTED_VALUE"""),0.2)</f>
        <v>0.2</v>
      </c>
      <c r="N210" s="16">
        <f>IFERROR(__xludf.DUMMYFUNCTION("""COMPUTED_VALUE"""),0.17381974248927)</f>
        <v>0.1738197425</v>
      </c>
      <c r="O210" s="16">
        <f>IFERROR(__xludf.DUMMYFUNCTION("""COMPUTED_VALUE"""),0.117505995203836)</f>
        <v>0.1175059952</v>
      </c>
      <c r="P210" s="16">
        <f>IFERROR(__xludf.DUMMYFUNCTION("""COMPUTED_VALUE"""),0.0828571428571428)</f>
        <v>0.08285714286</v>
      </c>
      <c r="Q210" s="16">
        <f>IFERROR(__xludf.DUMMYFUNCTION("""COMPUTED_VALUE"""),0.035820895522388)</f>
        <v>0.03582089552</v>
      </c>
      <c r="R210" s="16">
        <f>IFERROR(__xludf.DUMMYFUNCTION("""COMPUTED_VALUE"""),0.0253164556962025)</f>
        <v>0.0253164557</v>
      </c>
      <c r="S210" s="16">
        <f>IFERROR(__xludf.DUMMYFUNCTION("""COMPUTED_VALUE"""),0.023728813559322)</f>
        <v>0.02372881356</v>
      </c>
      <c r="T210" s="16">
        <f>IFERROR(__xludf.DUMMYFUNCTION("""COMPUTED_VALUE"""),0.0260223048327137)</f>
        <v>0.02602230483</v>
      </c>
      <c r="U210" s="16">
        <f>IFERROR(__xludf.DUMMYFUNCTION("""COMPUTED_VALUE"""),0.0120967741935483)</f>
        <v>0.01209677419</v>
      </c>
      <c r="V210" s="16">
        <f>IFERROR(__xludf.DUMMYFUNCTION("""COMPUTED_VALUE"""),0.00840336134453781)</f>
        <v>0.008403361345</v>
      </c>
      <c r="W210" s="16">
        <f>IFERROR(__xludf.DUMMYFUNCTION("""COMPUTED_VALUE"""),0.0)</f>
        <v>0</v>
      </c>
      <c r="X210" s="16">
        <f>IFERROR(__xludf.DUMMYFUNCTION("""COMPUTED_VALUE"""),0.0)</f>
        <v>0</v>
      </c>
      <c r="Y210" s="16">
        <f>IFERROR(__xludf.DUMMYFUNCTION("""COMPUTED_VALUE"""),0.0)</f>
        <v>0</v>
      </c>
      <c r="Z210" s="16">
        <f>IFERROR(__xludf.DUMMYFUNCTION("""COMPUTED_VALUE"""),0.0)</f>
        <v>0</v>
      </c>
      <c r="AA210" s="16">
        <f>IFERROR(__xludf.DUMMYFUNCTION("""COMPUTED_VALUE"""),0.0)</f>
        <v>0</v>
      </c>
      <c r="AB210" s="16">
        <f>IFERROR(__xludf.DUMMYFUNCTION("""COMPUTED_VALUE"""),0.0)</f>
        <v>0</v>
      </c>
      <c r="AC210" s="16">
        <f>IFERROR(__xludf.DUMMYFUNCTION("""COMPUTED_VALUE"""),0.0)</f>
        <v>0</v>
      </c>
      <c r="AD210" s="16">
        <f>IFERROR(__xludf.DUMMYFUNCTION("""COMPUTED_VALUE"""),0.0)</f>
        <v>0</v>
      </c>
      <c r="AE210" s="16">
        <f>IFERROR(__xludf.DUMMYFUNCTION("""COMPUTED_VALUE"""),0.0)</f>
        <v>0</v>
      </c>
      <c r="AF210" s="16">
        <f>IFERROR(__xludf.DUMMYFUNCTION("""COMPUTED_VALUE"""),0.0)</f>
        <v>0</v>
      </c>
      <c r="AG210" s="16">
        <f>IFERROR(__xludf.DUMMYFUNCTION("""COMPUTED_VALUE"""),0.0)</f>
        <v>0</v>
      </c>
      <c r="AH210" s="16">
        <f>IFERROR(__xludf.DUMMYFUNCTION("""COMPUTED_VALUE"""),0.0)</f>
        <v>0</v>
      </c>
    </row>
    <row r="211">
      <c r="A211" s="16" t="str">
        <f>IFERROR(__xludf.DUMMYFUNCTION("""COMPUTED_VALUE"""),"b4357a596922bd37b47ec2573cd92ac18997c713")</f>
        <v>b4357a596922bd37b47ec2573cd92ac18997c713</v>
      </c>
      <c r="B211" s="16" t="str">
        <f>IFERROR(__xludf.DUMMYFUNCTION("""COMPUTED_VALUE"""),"Immortal Ascension")</f>
        <v>Immortal Ascension</v>
      </c>
      <c r="C211" s="16" t="str">
        <f>IFERROR(__xludf.DUMMYFUNCTION("""COMPUTED_VALUE"""),"System and Superpower")</f>
        <v>System and Superpower</v>
      </c>
      <c r="D211" s="16">
        <f>IFERROR(__xludf.DUMMYFUNCTION("""COMPUTED_VALUE"""),833.0)</f>
        <v>833</v>
      </c>
      <c r="E211" s="16">
        <f>IFERROR(__xludf.DUMMYFUNCTION("""COMPUTED_VALUE"""),0.979591836734693)</f>
        <v>0.9795918367</v>
      </c>
      <c r="F211" s="16">
        <f>IFERROR(__xludf.DUMMYFUNCTION("""COMPUTED_VALUE"""),0.519807923169267)</f>
        <v>0.5198079232</v>
      </c>
      <c r="G211" s="16">
        <f>IFERROR(__xludf.DUMMYFUNCTION("""COMPUTED_VALUE"""),0.441776710684273)</f>
        <v>0.4417767107</v>
      </c>
      <c r="H211" s="16">
        <f>IFERROR(__xludf.DUMMYFUNCTION("""COMPUTED_VALUE"""),0.410564225690276)</f>
        <v>0.4105642257</v>
      </c>
      <c r="I211" s="16">
        <f>IFERROR(__xludf.DUMMYFUNCTION("""COMPUTED_VALUE"""),0.387755102040816)</f>
        <v>0.387755102</v>
      </c>
      <c r="J211" s="16">
        <f>IFERROR(__xludf.DUMMYFUNCTION("""COMPUTED_VALUE"""),0.349339735894357)</f>
        <v>0.3493397359</v>
      </c>
      <c r="K211" s="16">
        <f>IFERROR(__xludf.DUMMYFUNCTION("""COMPUTED_VALUE"""),0.324129651860744)</f>
        <v>0.3241296519</v>
      </c>
      <c r="L211" s="16">
        <f>IFERROR(__xludf.DUMMYFUNCTION("""COMPUTED_VALUE"""),0.292917166866746)</f>
        <v>0.2929171669</v>
      </c>
      <c r="M211" s="16">
        <f>IFERROR(__xludf.DUMMYFUNCTION("""COMPUTED_VALUE"""),0.269554753309265)</f>
        <v>0.2695547533</v>
      </c>
      <c r="N211" s="16">
        <f>IFERROR(__xludf.DUMMYFUNCTION("""COMPUTED_VALUE"""),0.258724428399518)</f>
        <v>0.2587244284</v>
      </c>
      <c r="O211" s="16">
        <f>IFERROR(__xludf.DUMMYFUNCTION("""COMPUTED_VALUE"""),0.196125907990314)</f>
        <v>0.196125908</v>
      </c>
      <c r="P211" s="16">
        <f>IFERROR(__xludf.DUMMYFUNCTION("""COMPUTED_VALUE"""),0.115236875800256)</f>
        <v>0.1152368758</v>
      </c>
      <c r="Q211" s="16">
        <f>IFERROR(__xludf.DUMMYFUNCTION("""COMPUTED_VALUE"""),0.0328125)</f>
        <v>0.0328125</v>
      </c>
      <c r="R211" s="16">
        <f>IFERROR(__xludf.DUMMYFUNCTION("""COMPUTED_VALUE"""),0.0804597701149425)</f>
        <v>0.08045977011</v>
      </c>
      <c r="S211" s="16">
        <f>IFERROR(__xludf.DUMMYFUNCTION("""COMPUTED_VALUE"""),0.25)</f>
        <v>0.25</v>
      </c>
      <c r="T211" s="16">
        <f>IFERROR(__xludf.DUMMYFUNCTION("""COMPUTED_VALUE"""),0.0)</f>
        <v>0</v>
      </c>
      <c r="U211" s="16">
        <f>IFERROR(__xludf.DUMMYFUNCTION("""COMPUTED_VALUE"""),0.0)</f>
        <v>0</v>
      </c>
      <c r="V211" s="16">
        <f>IFERROR(__xludf.DUMMYFUNCTION("""COMPUTED_VALUE"""),0.0)</f>
        <v>0</v>
      </c>
      <c r="W211" s="16">
        <f>IFERROR(__xludf.DUMMYFUNCTION("""COMPUTED_VALUE"""),0.0)</f>
        <v>0</v>
      </c>
      <c r="X211" s="16">
        <f>IFERROR(__xludf.DUMMYFUNCTION("""COMPUTED_VALUE"""),0.0)</f>
        <v>0</v>
      </c>
      <c r="Y211" s="16">
        <f>IFERROR(__xludf.DUMMYFUNCTION("""COMPUTED_VALUE"""),0.0)</f>
        <v>0</v>
      </c>
      <c r="Z211" s="16">
        <f>IFERROR(__xludf.DUMMYFUNCTION("""COMPUTED_VALUE"""),0.0)</f>
        <v>0</v>
      </c>
      <c r="AA211" s="16">
        <f>IFERROR(__xludf.DUMMYFUNCTION("""COMPUTED_VALUE"""),0.0)</f>
        <v>0</v>
      </c>
      <c r="AB211" s="16">
        <f>IFERROR(__xludf.DUMMYFUNCTION("""COMPUTED_VALUE"""),0.0)</f>
        <v>0</v>
      </c>
      <c r="AC211" s="16">
        <f>IFERROR(__xludf.DUMMYFUNCTION("""COMPUTED_VALUE"""),0.0)</f>
        <v>0</v>
      </c>
      <c r="AD211" s="16">
        <f>IFERROR(__xludf.DUMMYFUNCTION("""COMPUTED_VALUE"""),0.0)</f>
        <v>0</v>
      </c>
      <c r="AE211" s="16">
        <f>IFERROR(__xludf.DUMMYFUNCTION("""COMPUTED_VALUE"""),0.0)</f>
        <v>0</v>
      </c>
      <c r="AF211" s="16">
        <f>IFERROR(__xludf.DUMMYFUNCTION("""COMPUTED_VALUE"""),0.0)</f>
        <v>0</v>
      </c>
      <c r="AG211" s="16">
        <f>IFERROR(__xludf.DUMMYFUNCTION("""COMPUTED_VALUE"""),0.0)</f>
        <v>0</v>
      </c>
      <c r="AH211" s="16">
        <f>IFERROR(__xludf.DUMMYFUNCTION("""COMPUTED_VALUE"""),0.0)</f>
        <v>0</v>
      </c>
    </row>
    <row r="212">
      <c r="A212" s="16" t="str">
        <f>IFERROR(__xludf.DUMMYFUNCTION("""COMPUTED_VALUE"""),"b4ba67822e15bf23c0044676b09f1aeb405d154f")</f>
        <v>b4ba67822e15bf23c0044676b09f1aeb405d154f</v>
      </c>
      <c r="B212" s="16" t="str">
        <f>IFERROR(__xludf.DUMMYFUNCTION("""COMPUTED_VALUE"""),"The Twin Affair")</f>
        <v>The Twin Affair</v>
      </c>
      <c r="C212" s="16" t="str">
        <f>IFERROR(__xludf.DUMMYFUNCTION("""COMPUTED_VALUE"""),"Romantasy")</f>
        <v>Romantasy</v>
      </c>
      <c r="D212" s="16">
        <f>IFERROR(__xludf.DUMMYFUNCTION("""COMPUTED_VALUE"""),532.0)</f>
        <v>532</v>
      </c>
      <c r="E212" s="16">
        <f>IFERROR(__xludf.DUMMYFUNCTION("""COMPUTED_VALUE"""),0.924812030075188)</f>
        <v>0.9248120301</v>
      </c>
      <c r="F212" s="16">
        <f>IFERROR(__xludf.DUMMYFUNCTION("""COMPUTED_VALUE"""),0.473684210526315)</f>
        <v>0.4736842105</v>
      </c>
      <c r="G212" s="16">
        <f>IFERROR(__xludf.DUMMYFUNCTION("""COMPUTED_VALUE"""),0.411654135338345)</f>
        <v>0.4116541353</v>
      </c>
      <c r="H212" s="16">
        <f>IFERROR(__xludf.DUMMYFUNCTION("""COMPUTED_VALUE"""),0.385338345864661)</f>
        <v>0.3853383459</v>
      </c>
      <c r="I212" s="16">
        <f>IFERROR(__xludf.DUMMYFUNCTION("""COMPUTED_VALUE"""),0.357142857142857)</f>
        <v>0.3571428571</v>
      </c>
      <c r="J212" s="16">
        <f>IFERROR(__xludf.DUMMYFUNCTION("""COMPUTED_VALUE"""),0.330827067669172)</f>
        <v>0.3308270677</v>
      </c>
      <c r="K212" s="16">
        <f>IFERROR(__xludf.DUMMYFUNCTION("""COMPUTED_VALUE"""),0.31390977443609)</f>
        <v>0.3139097744</v>
      </c>
      <c r="L212" s="16">
        <f>IFERROR(__xludf.DUMMYFUNCTION("""COMPUTED_VALUE"""),0.306390977443609)</f>
        <v>0.3063909774</v>
      </c>
      <c r="M212" s="16">
        <f>IFERROR(__xludf.DUMMYFUNCTION("""COMPUTED_VALUE"""),0.295112781954887)</f>
        <v>0.295112782</v>
      </c>
      <c r="N212" s="16">
        <f>IFERROR(__xludf.DUMMYFUNCTION("""COMPUTED_VALUE"""),0.281954887218045)</f>
        <v>0.2819548872</v>
      </c>
      <c r="O212" s="16">
        <f>IFERROR(__xludf.DUMMYFUNCTION("""COMPUTED_VALUE"""),0.25563909774436)</f>
        <v>0.2556390977</v>
      </c>
      <c r="P212" s="16">
        <f>IFERROR(__xludf.DUMMYFUNCTION("""COMPUTED_VALUE"""),0.240601503759398)</f>
        <v>0.2406015038</v>
      </c>
      <c r="Q212" s="16">
        <f>IFERROR(__xludf.DUMMYFUNCTION("""COMPUTED_VALUE"""),0.173584905660377)</f>
        <v>0.1735849057</v>
      </c>
      <c r="R212" s="16">
        <f>IFERROR(__xludf.DUMMYFUNCTION("""COMPUTED_VALUE"""),0.111111111111111)</f>
        <v>0.1111111111</v>
      </c>
      <c r="S212" s="16">
        <f>IFERROR(__xludf.DUMMYFUNCTION("""COMPUTED_VALUE"""),0.0)</f>
        <v>0</v>
      </c>
      <c r="T212" s="16">
        <f>IFERROR(__xludf.DUMMYFUNCTION("""COMPUTED_VALUE"""),0.0)</f>
        <v>0</v>
      </c>
      <c r="U212" s="16">
        <f>IFERROR(__xludf.DUMMYFUNCTION("""COMPUTED_VALUE"""),0.0)</f>
        <v>0</v>
      </c>
      <c r="V212" s="16">
        <f>IFERROR(__xludf.DUMMYFUNCTION("""COMPUTED_VALUE"""),0.0)</f>
        <v>0</v>
      </c>
      <c r="W212" s="16">
        <f>IFERROR(__xludf.DUMMYFUNCTION("""COMPUTED_VALUE"""),0.0)</f>
        <v>0</v>
      </c>
      <c r="X212" s="16">
        <f>IFERROR(__xludf.DUMMYFUNCTION("""COMPUTED_VALUE"""),0.0)</f>
        <v>0</v>
      </c>
      <c r="Y212" s="16">
        <f>IFERROR(__xludf.DUMMYFUNCTION("""COMPUTED_VALUE"""),0.0)</f>
        <v>0</v>
      </c>
      <c r="Z212" s="16">
        <f>IFERROR(__xludf.DUMMYFUNCTION("""COMPUTED_VALUE"""),0.0)</f>
        <v>0</v>
      </c>
      <c r="AA212" s="16">
        <f>IFERROR(__xludf.DUMMYFUNCTION("""COMPUTED_VALUE"""),0.0)</f>
        <v>0</v>
      </c>
      <c r="AB212" s="16">
        <f>IFERROR(__xludf.DUMMYFUNCTION("""COMPUTED_VALUE"""),0.0)</f>
        <v>0</v>
      </c>
      <c r="AC212" s="16">
        <f>IFERROR(__xludf.DUMMYFUNCTION("""COMPUTED_VALUE"""),0.0)</f>
        <v>0</v>
      </c>
      <c r="AD212" s="16">
        <f>IFERROR(__xludf.DUMMYFUNCTION("""COMPUTED_VALUE"""),0.0)</f>
        <v>0</v>
      </c>
      <c r="AE212" s="16">
        <f>IFERROR(__xludf.DUMMYFUNCTION("""COMPUTED_VALUE"""),0.0)</f>
        <v>0</v>
      </c>
      <c r="AF212" s="16">
        <f>IFERROR(__xludf.DUMMYFUNCTION("""COMPUTED_VALUE"""),0.0)</f>
        <v>0</v>
      </c>
      <c r="AG212" s="16">
        <f>IFERROR(__xludf.DUMMYFUNCTION("""COMPUTED_VALUE"""),0.0)</f>
        <v>0</v>
      </c>
      <c r="AH212" s="16">
        <f>IFERROR(__xludf.DUMMYFUNCTION("""COMPUTED_VALUE"""),0.0)</f>
        <v>0</v>
      </c>
    </row>
    <row r="213">
      <c r="A213" s="16" t="str">
        <f>IFERROR(__xludf.DUMMYFUNCTION("""COMPUTED_VALUE"""),"b6ceacf9ec08a19cb30826c8277260c2339da0b3")</f>
        <v>b6ceacf9ec08a19cb30826c8277260c2339da0b3</v>
      </c>
      <c r="B213" s="16" t="str">
        <f>IFERROR(__xludf.DUMMYFUNCTION("""COMPUTED_VALUE"""),"Ruthless Betrayal ")</f>
        <v>Ruthless Betrayal </v>
      </c>
      <c r="C213" s="16" t="str">
        <f>IFERROR(__xludf.DUMMYFUNCTION("""COMPUTED_VALUE"""),"Romance")</f>
        <v>Romance</v>
      </c>
      <c r="D213" s="16">
        <f>IFERROR(__xludf.DUMMYFUNCTION("""COMPUTED_VALUE"""),103.0)</f>
        <v>103</v>
      </c>
      <c r="E213" s="16">
        <f>IFERROR(__xludf.DUMMYFUNCTION("""COMPUTED_VALUE"""),0.961165048543689)</f>
        <v>0.9611650485</v>
      </c>
      <c r="F213" s="16">
        <f>IFERROR(__xludf.DUMMYFUNCTION("""COMPUTED_VALUE"""),0.466019417475728)</f>
        <v>0.4660194175</v>
      </c>
      <c r="G213" s="16">
        <f>IFERROR(__xludf.DUMMYFUNCTION("""COMPUTED_VALUE"""),0.339805825242718)</f>
        <v>0.3398058252</v>
      </c>
      <c r="H213" s="16">
        <f>IFERROR(__xludf.DUMMYFUNCTION("""COMPUTED_VALUE"""),0.271844660194174)</f>
        <v>0.2718446602</v>
      </c>
      <c r="I213" s="16">
        <f>IFERROR(__xludf.DUMMYFUNCTION("""COMPUTED_VALUE"""),0.262135922330097)</f>
        <v>0.2621359223</v>
      </c>
      <c r="J213" s="16">
        <f>IFERROR(__xludf.DUMMYFUNCTION("""COMPUTED_VALUE"""),0.247524752475247)</f>
        <v>0.2475247525</v>
      </c>
      <c r="K213" s="16">
        <f>IFERROR(__xludf.DUMMYFUNCTION("""COMPUTED_VALUE"""),0.237623762376237)</f>
        <v>0.2376237624</v>
      </c>
      <c r="L213" s="16">
        <f>IFERROR(__xludf.DUMMYFUNCTION("""COMPUTED_VALUE"""),0.198019801980198)</f>
        <v>0.198019802</v>
      </c>
      <c r="M213" s="16">
        <f>IFERROR(__xludf.DUMMYFUNCTION("""COMPUTED_VALUE"""),0.24)</f>
        <v>0.24</v>
      </c>
      <c r="N213" s="16">
        <f>IFERROR(__xludf.DUMMYFUNCTION("""COMPUTED_VALUE"""),0.212121212121212)</f>
        <v>0.2121212121</v>
      </c>
      <c r="O213" s="16">
        <f>IFERROR(__xludf.DUMMYFUNCTION("""COMPUTED_VALUE"""),0.170212765957446)</f>
        <v>0.170212766</v>
      </c>
      <c r="P213" s="16">
        <f>IFERROR(__xludf.DUMMYFUNCTION("""COMPUTED_VALUE"""),0.0595238095238095)</f>
        <v>0.05952380952</v>
      </c>
      <c r="Q213" s="16">
        <f>IFERROR(__xludf.DUMMYFUNCTION("""COMPUTED_VALUE"""),0.0434782608695652)</f>
        <v>0.04347826087</v>
      </c>
      <c r="R213" s="16">
        <f>IFERROR(__xludf.DUMMYFUNCTION("""COMPUTED_VALUE"""),0.0)</f>
        <v>0</v>
      </c>
      <c r="S213" s="16">
        <f>IFERROR(__xludf.DUMMYFUNCTION("""COMPUTED_VALUE"""),0.0)</f>
        <v>0</v>
      </c>
      <c r="T213" s="16">
        <f>IFERROR(__xludf.DUMMYFUNCTION("""COMPUTED_VALUE"""),0.0)</f>
        <v>0</v>
      </c>
      <c r="U213" s="16">
        <f>IFERROR(__xludf.DUMMYFUNCTION("""COMPUTED_VALUE"""),0.0)</f>
        <v>0</v>
      </c>
      <c r="V213" s="16">
        <f>IFERROR(__xludf.DUMMYFUNCTION("""COMPUTED_VALUE"""),0.0)</f>
        <v>0</v>
      </c>
      <c r="W213" s="16">
        <f>IFERROR(__xludf.DUMMYFUNCTION("""COMPUTED_VALUE"""),0.0)</f>
        <v>0</v>
      </c>
      <c r="X213" s="16">
        <f>IFERROR(__xludf.DUMMYFUNCTION("""COMPUTED_VALUE"""),0.0)</f>
        <v>0</v>
      </c>
      <c r="Y213" s="16">
        <f>IFERROR(__xludf.DUMMYFUNCTION("""COMPUTED_VALUE"""),0.0)</f>
        <v>0</v>
      </c>
      <c r="Z213" s="16">
        <f>IFERROR(__xludf.DUMMYFUNCTION("""COMPUTED_VALUE"""),0.0)</f>
        <v>0</v>
      </c>
      <c r="AA213" s="16">
        <f>IFERROR(__xludf.DUMMYFUNCTION("""COMPUTED_VALUE"""),0.0)</f>
        <v>0</v>
      </c>
      <c r="AB213" s="16">
        <f>IFERROR(__xludf.DUMMYFUNCTION("""COMPUTED_VALUE"""),0.0)</f>
        <v>0</v>
      </c>
      <c r="AC213" s="16">
        <f>IFERROR(__xludf.DUMMYFUNCTION("""COMPUTED_VALUE"""),0.0)</f>
        <v>0</v>
      </c>
      <c r="AD213" s="16">
        <f>IFERROR(__xludf.DUMMYFUNCTION("""COMPUTED_VALUE"""),0.0)</f>
        <v>0</v>
      </c>
      <c r="AE213" s="16">
        <f>IFERROR(__xludf.DUMMYFUNCTION("""COMPUTED_VALUE"""),0.0)</f>
        <v>0</v>
      </c>
      <c r="AF213" s="16">
        <f>IFERROR(__xludf.DUMMYFUNCTION("""COMPUTED_VALUE"""),0.0)</f>
        <v>0</v>
      </c>
      <c r="AG213" s="16">
        <f>IFERROR(__xludf.DUMMYFUNCTION("""COMPUTED_VALUE"""),0.0)</f>
        <v>0</v>
      </c>
      <c r="AH213" s="16">
        <f>IFERROR(__xludf.DUMMYFUNCTION("""COMPUTED_VALUE"""),0.0)</f>
        <v>0</v>
      </c>
    </row>
    <row r="214">
      <c r="A214" s="16" t="str">
        <f>IFERROR(__xludf.DUMMYFUNCTION("""COMPUTED_VALUE"""),"b6dcffd8fcb56899f1036740aa43dcb9b648ffe5")</f>
        <v>b6dcffd8fcb56899f1036740aa43dcb9b648ffe5</v>
      </c>
      <c r="B214" s="16" t="str">
        <f>IFERROR(__xludf.DUMMYFUNCTION("""COMPUTED_VALUE"""),"His Zealous Years Ahead")</f>
        <v>His Zealous Years Ahead</v>
      </c>
      <c r="C214" s="16" t="str">
        <f>IFERROR(__xludf.DUMMYFUNCTION("""COMPUTED_VALUE"""),"Fantasy")</f>
        <v>Fantasy</v>
      </c>
      <c r="D214" s="16">
        <f>IFERROR(__xludf.DUMMYFUNCTION("""COMPUTED_VALUE"""),267.0)</f>
        <v>267</v>
      </c>
      <c r="E214" s="16">
        <f>IFERROR(__xludf.DUMMYFUNCTION("""COMPUTED_VALUE"""),0.96629213483146)</f>
        <v>0.9662921348</v>
      </c>
      <c r="F214" s="16">
        <f>IFERROR(__xludf.DUMMYFUNCTION("""COMPUTED_VALUE"""),0.516853932584269)</f>
        <v>0.5168539326</v>
      </c>
      <c r="G214" s="16">
        <f>IFERROR(__xludf.DUMMYFUNCTION("""COMPUTED_VALUE"""),0.438202247191011)</f>
        <v>0.4382022472</v>
      </c>
      <c r="H214" s="16">
        <f>IFERROR(__xludf.DUMMYFUNCTION("""COMPUTED_VALUE"""),0.381132075471698)</f>
        <v>0.3811320755</v>
      </c>
      <c r="I214" s="16">
        <f>IFERROR(__xludf.DUMMYFUNCTION("""COMPUTED_VALUE"""),0.338403041825095)</f>
        <v>0.3384030418</v>
      </c>
      <c r="J214" s="16">
        <f>IFERROR(__xludf.DUMMYFUNCTION("""COMPUTED_VALUE"""),0.312977099236641)</f>
        <v>0.3129770992</v>
      </c>
      <c r="K214" s="16">
        <f>IFERROR(__xludf.DUMMYFUNCTION("""COMPUTED_VALUE"""),0.273809523809523)</f>
        <v>0.2738095238</v>
      </c>
      <c r="L214" s="16">
        <f>IFERROR(__xludf.DUMMYFUNCTION("""COMPUTED_VALUE"""),0.276150627615062)</f>
        <v>0.2761506276</v>
      </c>
      <c r="M214" s="16">
        <f>IFERROR(__xludf.DUMMYFUNCTION("""COMPUTED_VALUE"""),0.266094420600858)</f>
        <v>0.2660944206</v>
      </c>
      <c r="N214" s="16">
        <f>IFERROR(__xludf.DUMMYFUNCTION("""COMPUTED_VALUE"""),0.266968325791855)</f>
        <v>0.2669683258</v>
      </c>
      <c r="O214" s="16">
        <f>IFERROR(__xludf.DUMMYFUNCTION("""COMPUTED_VALUE"""),0.227777777777777)</f>
        <v>0.2277777778</v>
      </c>
      <c r="P214" s="16">
        <f>IFERROR(__xludf.DUMMYFUNCTION("""COMPUTED_VALUE"""),0.239130434782608)</f>
        <v>0.2391304348</v>
      </c>
      <c r="Q214" s="16">
        <f>IFERROR(__xludf.DUMMYFUNCTION("""COMPUTED_VALUE"""),0.0)</f>
        <v>0</v>
      </c>
      <c r="R214" s="16">
        <f>IFERROR(__xludf.DUMMYFUNCTION("""COMPUTED_VALUE"""),0.0)</f>
        <v>0</v>
      </c>
      <c r="S214" s="16">
        <f>IFERROR(__xludf.DUMMYFUNCTION("""COMPUTED_VALUE"""),0.0)</f>
        <v>0</v>
      </c>
      <c r="T214" s="16">
        <f>IFERROR(__xludf.DUMMYFUNCTION("""COMPUTED_VALUE"""),0.0)</f>
        <v>0</v>
      </c>
      <c r="U214" s="16">
        <f>IFERROR(__xludf.DUMMYFUNCTION("""COMPUTED_VALUE"""),0.0)</f>
        <v>0</v>
      </c>
      <c r="V214" s="16">
        <f>IFERROR(__xludf.DUMMYFUNCTION("""COMPUTED_VALUE"""),0.0)</f>
        <v>0</v>
      </c>
      <c r="W214" s="16">
        <f>IFERROR(__xludf.DUMMYFUNCTION("""COMPUTED_VALUE"""),0.0)</f>
        <v>0</v>
      </c>
      <c r="X214" s="16">
        <f>IFERROR(__xludf.DUMMYFUNCTION("""COMPUTED_VALUE"""),0.0)</f>
        <v>0</v>
      </c>
      <c r="Y214" s="16">
        <f>IFERROR(__xludf.DUMMYFUNCTION("""COMPUTED_VALUE"""),0.0)</f>
        <v>0</v>
      </c>
      <c r="Z214" s="16">
        <f>IFERROR(__xludf.DUMMYFUNCTION("""COMPUTED_VALUE"""),0.0)</f>
        <v>0</v>
      </c>
      <c r="AA214" s="16">
        <f>IFERROR(__xludf.DUMMYFUNCTION("""COMPUTED_VALUE"""),0.0)</f>
        <v>0</v>
      </c>
      <c r="AB214" s="16">
        <f>IFERROR(__xludf.DUMMYFUNCTION("""COMPUTED_VALUE"""),0.0)</f>
        <v>0</v>
      </c>
      <c r="AC214" s="16">
        <f>IFERROR(__xludf.DUMMYFUNCTION("""COMPUTED_VALUE"""),0.0)</f>
        <v>0</v>
      </c>
      <c r="AD214" s="16">
        <f>IFERROR(__xludf.DUMMYFUNCTION("""COMPUTED_VALUE"""),0.0)</f>
        <v>0</v>
      </c>
      <c r="AE214" s="16">
        <f>IFERROR(__xludf.DUMMYFUNCTION("""COMPUTED_VALUE"""),0.0)</f>
        <v>0</v>
      </c>
      <c r="AF214" s="16">
        <f>IFERROR(__xludf.DUMMYFUNCTION("""COMPUTED_VALUE"""),0.0)</f>
        <v>0</v>
      </c>
      <c r="AG214" s="16">
        <f>IFERROR(__xludf.DUMMYFUNCTION("""COMPUTED_VALUE"""),0.0)</f>
        <v>0</v>
      </c>
      <c r="AH214" s="16">
        <f>IFERROR(__xludf.DUMMYFUNCTION("""COMPUTED_VALUE"""),0.0)</f>
        <v>0</v>
      </c>
    </row>
    <row r="215">
      <c r="A215" s="16" t="str">
        <f>IFERROR(__xludf.DUMMYFUNCTION("""COMPUTED_VALUE"""),"b7410aeb19f92f7df4ccab821b5a28bfd7d73027")</f>
        <v>b7410aeb19f92f7df4ccab821b5a28bfd7d73027</v>
      </c>
      <c r="B215" s="16" t="str">
        <f>IFERROR(__xludf.DUMMYFUNCTION("""COMPUTED_VALUE"""),"Alpha Regulus")</f>
        <v>Alpha Regulus</v>
      </c>
      <c r="C215" s="16" t="str">
        <f>IFERROR(__xludf.DUMMYFUNCTION("""COMPUTED_VALUE"""),"Romantasy")</f>
        <v>Romantasy</v>
      </c>
      <c r="D215" s="16">
        <f>IFERROR(__xludf.DUMMYFUNCTION("""COMPUTED_VALUE"""),555.0)</f>
        <v>555</v>
      </c>
      <c r="E215" s="16">
        <f>IFERROR(__xludf.DUMMYFUNCTION("""COMPUTED_VALUE"""),0.956756756756756)</f>
        <v>0.9567567568</v>
      </c>
      <c r="F215" s="16">
        <f>IFERROR(__xludf.DUMMYFUNCTION("""COMPUTED_VALUE"""),0.572972972972973)</f>
        <v>0.572972973</v>
      </c>
      <c r="G215" s="16">
        <f>IFERROR(__xludf.DUMMYFUNCTION("""COMPUTED_VALUE"""),0.508108108108108)</f>
        <v>0.5081081081</v>
      </c>
      <c r="H215" s="16">
        <f>IFERROR(__xludf.DUMMYFUNCTION("""COMPUTED_VALUE"""),0.461261261261261)</f>
        <v>0.4612612613</v>
      </c>
      <c r="I215" s="16">
        <f>IFERROR(__xludf.DUMMYFUNCTION("""COMPUTED_VALUE"""),0.423423423423423)</f>
        <v>0.4234234234</v>
      </c>
      <c r="J215" s="16">
        <f>IFERROR(__xludf.DUMMYFUNCTION("""COMPUTED_VALUE"""),0.381981981981981)</f>
        <v>0.381981982</v>
      </c>
      <c r="K215" s="16">
        <f>IFERROR(__xludf.DUMMYFUNCTION("""COMPUTED_VALUE"""),0.359855334538878)</f>
        <v>0.3598553345</v>
      </c>
      <c r="L215" s="16">
        <f>IFERROR(__xludf.DUMMYFUNCTION("""COMPUTED_VALUE"""),0.329710144927536)</f>
        <v>0.3297101449</v>
      </c>
      <c r="M215" s="16">
        <f>IFERROR(__xludf.DUMMYFUNCTION("""COMPUTED_VALUE"""),0.304347826086956)</f>
        <v>0.3043478261</v>
      </c>
      <c r="N215" s="16">
        <f>IFERROR(__xludf.DUMMYFUNCTION("""COMPUTED_VALUE"""),0.284936479128856)</f>
        <v>0.2849364791</v>
      </c>
      <c r="O215" s="16">
        <f>IFERROR(__xludf.DUMMYFUNCTION("""COMPUTED_VALUE"""),0.242647058823529)</f>
        <v>0.2426470588</v>
      </c>
      <c r="P215" s="16">
        <f>IFERROR(__xludf.DUMMYFUNCTION("""COMPUTED_VALUE"""),0.2)</f>
        <v>0.2</v>
      </c>
      <c r="Q215" s="16">
        <f>IFERROR(__xludf.DUMMYFUNCTION("""COMPUTED_VALUE"""),0.175)</f>
        <v>0.175</v>
      </c>
      <c r="R215" s="16">
        <f>IFERROR(__xludf.DUMMYFUNCTION("""COMPUTED_VALUE"""),0.139664804469273)</f>
        <v>0.1396648045</v>
      </c>
      <c r="S215" s="16">
        <f>IFERROR(__xludf.DUMMYFUNCTION("""COMPUTED_VALUE"""),0.117994100294985)</f>
        <v>0.1179941003</v>
      </c>
      <c r="T215" s="16">
        <f>IFERROR(__xludf.DUMMYFUNCTION("""COMPUTED_VALUE"""),0.101167315175097)</f>
        <v>0.1011673152</v>
      </c>
      <c r="U215" s="16">
        <f>IFERROR(__xludf.DUMMYFUNCTION("""COMPUTED_VALUE"""),0.0912863070539419)</f>
        <v>0.09128630705</v>
      </c>
      <c r="V215" s="16">
        <f>IFERROR(__xludf.DUMMYFUNCTION("""COMPUTED_VALUE"""),0.079295154185022)</f>
        <v>0.07929515419</v>
      </c>
      <c r="W215" s="16">
        <f>IFERROR(__xludf.DUMMYFUNCTION("""COMPUTED_VALUE"""),0.0628019323671497)</f>
        <v>0.06280193237</v>
      </c>
      <c r="X215" s="16">
        <f>IFERROR(__xludf.DUMMYFUNCTION("""COMPUTED_VALUE"""),0.0558375634517766)</f>
        <v>0.05583756345</v>
      </c>
      <c r="Y215" s="16">
        <f>IFERROR(__xludf.DUMMYFUNCTION("""COMPUTED_VALUE"""),0.25)</f>
        <v>0.25</v>
      </c>
      <c r="Z215" s="16">
        <f>IFERROR(__xludf.DUMMYFUNCTION("""COMPUTED_VALUE"""),0.0)</f>
        <v>0</v>
      </c>
      <c r="AA215" s="16">
        <f>IFERROR(__xludf.DUMMYFUNCTION("""COMPUTED_VALUE"""),0.0)</f>
        <v>0</v>
      </c>
      <c r="AB215" s="16">
        <f>IFERROR(__xludf.DUMMYFUNCTION("""COMPUTED_VALUE"""),0.0)</f>
        <v>0</v>
      </c>
      <c r="AC215" s="16">
        <f>IFERROR(__xludf.DUMMYFUNCTION("""COMPUTED_VALUE"""),0.0)</f>
        <v>0</v>
      </c>
      <c r="AD215" s="16">
        <f>IFERROR(__xludf.DUMMYFUNCTION("""COMPUTED_VALUE"""),0.0)</f>
        <v>0</v>
      </c>
      <c r="AE215" s="16">
        <f>IFERROR(__xludf.DUMMYFUNCTION("""COMPUTED_VALUE"""),0.0)</f>
        <v>0</v>
      </c>
      <c r="AF215" s="16">
        <f>IFERROR(__xludf.DUMMYFUNCTION("""COMPUTED_VALUE"""),0.0)</f>
        <v>0</v>
      </c>
      <c r="AG215" s="16">
        <f>IFERROR(__xludf.DUMMYFUNCTION("""COMPUTED_VALUE"""),0.0)</f>
        <v>0</v>
      </c>
      <c r="AH215" s="16">
        <f>IFERROR(__xludf.DUMMYFUNCTION("""COMPUTED_VALUE"""),0.0)</f>
        <v>0</v>
      </c>
    </row>
    <row r="216">
      <c r="A216" s="16" t="str">
        <f>IFERROR(__xludf.DUMMYFUNCTION("""COMPUTED_VALUE"""),"b7e62e1ec65efcef334c2161afd00edf7b5a2b09")</f>
        <v>b7e62e1ec65efcef334c2161afd00edf7b5a2b09</v>
      </c>
      <c r="B216" s="16" t="str">
        <f>IFERROR(__xludf.DUMMYFUNCTION("""COMPUTED_VALUE"""),"Thrones and Passion")</f>
        <v>Thrones and Passion</v>
      </c>
      <c r="C216" s="16" t="str">
        <f>IFERROR(__xludf.DUMMYFUNCTION("""COMPUTED_VALUE"""),"Romance")</f>
        <v>Romance</v>
      </c>
      <c r="D216" s="16">
        <f>IFERROR(__xludf.DUMMYFUNCTION("""COMPUTED_VALUE"""),123.0)</f>
        <v>123</v>
      </c>
      <c r="E216" s="16">
        <f>IFERROR(__xludf.DUMMYFUNCTION("""COMPUTED_VALUE"""),0.983739837398374)</f>
        <v>0.9837398374</v>
      </c>
      <c r="F216" s="16">
        <f>IFERROR(__xludf.DUMMYFUNCTION("""COMPUTED_VALUE"""),0.463414634146341)</f>
        <v>0.4634146341</v>
      </c>
      <c r="G216" s="16">
        <f>IFERROR(__xludf.DUMMYFUNCTION("""COMPUTED_VALUE"""),0.373983739837398)</f>
        <v>0.3739837398</v>
      </c>
      <c r="H216" s="16">
        <f>IFERROR(__xludf.DUMMYFUNCTION("""COMPUTED_VALUE"""),0.341463414634146)</f>
        <v>0.3414634146</v>
      </c>
      <c r="I216" s="16">
        <f>IFERROR(__xludf.DUMMYFUNCTION("""COMPUTED_VALUE"""),0.305785123966942)</f>
        <v>0.305785124</v>
      </c>
      <c r="J216" s="16">
        <f>IFERROR(__xludf.DUMMYFUNCTION("""COMPUTED_VALUE"""),0.3)</f>
        <v>0.3</v>
      </c>
      <c r="K216" s="16">
        <f>IFERROR(__xludf.DUMMYFUNCTION("""COMPUTED_VALUE"""),0.305084745762711)</f>
        <v>0.3050847458</v>
      </c>
      <c r="L216" s="16">
        <f>IFERROR(__xludf.DUMMYFUNCTION("""COMPUTED_VALUE"""),0.294642857142857)</f>
        <v>0.2946428571</v>
      </c>
      <c r="M216" s="16">
        <f>IFERROR(__xludf.DUMMYFUNCTION("""COMPUTED_VALUE"""),0.287037037037037)</f>
        <v>0.287037037</v>
      </c>
      <c r="N216" s="16">
        <f>IFERROR(__xludf.DUMMYFUNCTION("""COMPUTED_VALUE"""),0.271028037383177)</f>
        <v>0.2710280374</v>
      </c>
      <c r="O216" s="16">
        <f>IFERROR(__xludf.DUMMYFUNCTION("""COMPUTED_VALUE"""),0.270833333333333)</f>
        <v>0.2708333333</v>
      </c>
      <c r="P216" s="16">
        <f>IFERROR(__xludf.DUMMYFUNCTION("""COMPUTED_VALUE"""),0.185714285714285)</f>
        <v>0.1857142857</v>
      </c>
      <c r="Q216" s="16">
        <f>IFERROR(__xludf.DUMMYFUNCTION("""COMPUTED_VALUE"""),0.0)</f>
        <v>0</v>
      </c>
      <c r="R216" s="16">
        <f>IFERROR(__xludf.DUMMYFUNCTION("""COMPUTED_VALUE"""),0.0)</f>
        <v>0</v>
      </c>
      <c r="S216" s="16">
        <f>IFERROR(__xludf.DUMMYFUNCTION("""COMPUTED_VALUE"""),0.0)</f>
        <v>0</v>
      </c>
      <c r="T216" s="16">
        <f>IFERROR(__xludf.DUMMYFUNCTION("""COMPUTED_VALUE"""),0.0)</f>
        <v>0</v>
      </c>
      <c r="U216" s="16">
        <f>IFERROR(__xludf.DUMMYFUNCTION("""COMPUTED_VALUE"""),0.0)</f>
        <v>0</v>
      </c>
      <c r="V216" s="16">
        <f>IFERROR(__xludf.DUMMYFUNCTION("""COMPUTED_VALUE"""),0.0)</f>
        <v>0</v>
      </c>
      <c r="W216" s="16">
        <f>IFERROR(__xludf.DUMMYFUNCTION("""COMPUTED_VALUE"""),0.0)</f>
        <v>0</v>
      </c>
      <c r="X216" s="16">
        <f>IFERROR(__xludf.DUMMYFUNCTION("""COMPUTED_VALUE"""),0.0)</f>
        <v>0</v>
      </c>
      <c r="Y216" s="16">
        <f>IFERROR(__xludf.DUMMYFUNCTION("""COMPUTED_VALUE"""),0.0)</f>
        <v>0</v>
      </c>
      <c r="Z216" s="16">
        <f>IFERROR(__xludf.DUMMYFUNCTION("""COMPUTED_VALUE"""),0.0)</f>
        <v>0</v>
      </c>
      <c r="AA216" s="16">
        <f>IFERROR(__xludf.DUMMYFUNCTION("""COMPUTED_VALUE"""),0.0)</f>
        <v>0</v>
      </c>
      <c r="AB216" s="16">
        <f>IFERROR(__xludf.DUMMYFUNCTION("""COMPUTED_VALUE"""),0.0)</f>
        <v>0</v>
      </c>
      <c r="AC216" s="16">
        <f>IFERROR(__xludf.DUMMYFUNCTION("""COMPUTED_VALUE"""),0.0)</f>
        <v>0</v>
      </c>
      <c r="AD216" s="16">
        <f>IFERROR(__xludf.DUMMYFUNCTION("""COMPUTED_VALUE"""),0.0)</f>
        <v>0</v>
      </c>
      <c r="AE216" s="16">
        <f>IFERROR(__xludf.DUMMYFUNCTION("""COMPUTED_VALUE"""),0.0)</f>
        <v>0</v>
      </c>
      <c r="AF216" s="16">
        <f>IFERROR(__xludf.DUMMYFUNCTION("""COMPUTED_VALUE"""),0.0)</f>
        <v>0</v>
      </c>
      <c r="AG216" s="16">
        <f>IFERROR(__xludf.DUMMYFUNCTION("""COMPUTED_VALUE"""),0.0)</f>
        <v>0</v>
      </c>
      <c r="AH216" s="16">
        <f>IFERROR(__xludf.DUMMYFUNCTION("""COMPUTED_VALUE"""),0.0)</f>
        <v>0</v>
      </c>
    </row>
    <row r="217">
      <c r="A217" s="16" t="str">
        <f>IFERROR(__xludf.DUMMYFUNCTION("""COMPUTED_VALUE"""),"b9a354d5a24377ec29b0e331be59b7128bbe93a1")</f>
        <v>b9a354d5a24377ec29b0e331be59b7128bbe93a1</v>
      </c>
      <c r="B217" s="16" t="str">
        <f>IFERROR(__xludf.DUMMYFUNCTION("""COMPUTED_VALUE"""),"The Heir They Feared")</f>
        <v>The Heir They Feared</v>
      </c>
      <c r="C217" s="16" t="str">
        <f>IFERROR(__xludf.DUMMYFUNCTION("""COMPUTED_VALUE"""),"Drama")</f>
        <v>Drama</v>
      </c>
      <c r="D217" s="16">
        <f>IFERROR(__xludf.DUMMYFUNCTION("""COMPUTED_VALUE"""),125.0)</f>
        <v>125</v>
      </c>
      <c r="E217" s="16">
        <f>IFERROR(__xludf.DUMMYFUNCTION("""COMPUTED_VALUE"""),0.976)</f>
        <v>0.976</v>
      </c>
      <c r="F217" s="16">
        <f>IFERROR(__xludf.DUMMYFUNCTION("""COMPUTED_VALUE"""),0.672)</f>
        <v>0.672</v>
      </c>
      <c r="G217" s="16">
        <f>IFERROR(__xludf.DUMMYFUNCTION("""COMPUTED_VALUE"""),0.56)</f>
        <v>0.56</v>
      </c>
      <c r="H217" s="16">
        <f>IFERROR(__xludf.DUMMYFUNCTION("""COMPUTED_VALUE"""),0.48)</f>
        <v>0.48</v>
      </c>
      <c r="I217" s="16">
        <f>IFERROR(__xludf.DUMMYFUNCTION("""COMPUTED_VALUE"""),0.464)</f>
        <v>0.464</v>
      </c>
      <c r="J217" s="16">
        <f>IFERROR(__xludf.DUMMYFUNCTION("""COMPUTED_VALUE"""),0.432)</f>
        <v>0.432</v>
      </c>
      <c r="K217" s="16">
        <f>IFERROR(__xludf.DUMMYFUNCTION("""COMPUTED_VALUE"""),0.403225806451612)</f>
        <v>0.4032258065</v>
      </c>
      <c r="L217" s="16">
        <f>IFERROR(__xludf.DUMMYFUNCTION("""COMPUTED_VALUE"""),0.391666666666666)</f>
        <v>0.3916666667</v>
      </c>
      <c r="M217" s="16">
        <f>IFERROR(__xludf.DUMMYFUNCTION("""COMPUTED_VALUE"""),0.357142857142857)</f>
        <v>0.3571428571</v>
      </c>
      <c r="N217" s="16">
        <f>IFERROR(__xludf.DUMMYFUNCTION("""COMPUTED_VALUE"""),0.3125)</f>
        <v>0.3125</v>
      </c>
      <c r="O217" s="16">
        <f>IFERROR(__xludf.DUMMYFUNCTION("""COMPUTED_VALUE"""),0.0)</f>
        <v>0</v>
      </c>
      <c r="P217" s="16">
        <f>IFERROR(__xludf.DUMMYFUNCTION("""COMPUTED_VALUE"""),0.0)</f>
        <v>0</v>
      </c>
      <c r="Q217" s="16">
        <f>IFERROR(__xludf.DUMMYFUNCTION("""COMPUTED_VALUE"""),0.0)</f>
        <v>0</v>
      </c>
      <c r="R217" s="16">
        <f>IFERROR(__xludf.DUMMYFUNCTION("""COMPUTED_VALUE"""),0.0)</f>
        <v>0</v>
      </c>
      <c r="S217" s="16">
        <f>IFERROR(__xludf.DUMMYFUNCTION("""COMPUTED_VALUE"""),0.0)</f>
        <v>0</v>
      </c>
      <c r="T217" s="16">
        <f>IFERROR(__xludf.DUMMYFUNCTION("""COMPUTED_VALUE"""),0.0)</f>
        <v>0</v>
      </c>
      <c r="U217" s="16">
        <f>IFERROR(__xludf.DUMMYFUNCTION("""COMPUTED_VALUE"""),0.0)</f>
        <v>0</v>
      </c>
      <c r="V217" s="16">
        <f>IFERROR(__xludf.DUMMYFUNCTION("""COMPUTED_VALUE"""),0.0)</f>
        <v>0</v>
      </c>
      <c r="W217" s="16">
        <f>IFERROR(__xludf.DUMMYFUNCTION("""COMPUTED_VALUE"""),0.0)</f>
        <v>0</v>
      </c>
      <c r="X217" s="16">
        <f>IFERROR(__xludf.DUMMYFUNCTION("""COMPUTED_VALUE"""),0.0)</f>
        <v>0</v>
      </c>
      <c r="Y217" s="16">
        <f>IFERROR(__xludf.DUMMYFUNCTION("""COMPUTED_VALUE"""),0.0)</f>
        <v>0</v>
      </c>
      <c r="Z217" s="16">
        <f>IFERROR(__xludf.DUMMYFUNCTION("""COMPUTED_VALUE"""),0.0)</f>
        <v>0</v>
      </c>
      <c r="AA217" s="16">
        <f>IFERROR(__xludf.DUMMYFUNCTION("""COMPUTED_VALUE"""),0.0)</f>
        <v>0</v>
      </c>
      <c r="AB217" s="16">
        <f>IFERROR(__xludf.DUMMYFUNCTION("""COMPUTED_VALUE"""),0.0)</f>
        <v>0</v>
      </c>
      <c r="AC217" s="16">
        <f>IFERROR(__xludf.DUMMYFUNCTION("""COMPUTED_VALUE"""),0.0)</f>
        <v>0</v>
      </c>
      <c r="AD217" s="16">
        <f>IFERROR(__xludf.DUMMYFUNCTION("""COMPUTED_VALUE"""),0.0)</f>
        <v>0</v>
      </c>
      <c r="AE217" s="16">
        <f>IFERROR(__xludf.DUMMYFUNCTION("""COMPUTED_VALUE"""),0.0)</f>
        <v>0</v>
      </c>
      <c r="AF217" s="16">
        <f>IFERROR(__xludf.DUMMYFUNCTION("""COMPUTED_VALUE"""),0.0)</f>
        <v>0</v>
      </c>
      <c r="AG217" s="16">
        <f>IFERROR(__xludf.DUMMYFUNCTION("""COMPUTED_VALUE"""),0.0)</f>
        <v>0</v>
      </c>
      <c r="AH217" s="16">
        <f>IFERROR(__xludf.DUMMYFUNCTION("""COMPUTED_VALUE"""),0.0)</f>
        <v>0</v>
      </c>
    </row>
    <row r="218">
      <c r="A218" s="16" t="str">
        <f>IFERROR(__xludf.DUMMYFUNCTION("""COMPUTED_VALUE"""),"ba0633322d2e3b1f5dc385fdef11110ad663eca3")</f>
        <v>ba0633322d2e3b1f5dc385fdef11110ad663eca3</v>
      </c>
      <c r="B218" s="16" t="str">
        <f>IFERROR(__xludf.DUMMYFUNCTION("""COMPUTED_VALUE"""),"Fated Billionaire Love")</f>
        <v>Fated Billionaire Love</v>
      </c>
      <c r="C218" s="16" t="str">
        <f>IFERROR(__xludf.DUMMYFUNCTION("""COMPUTED_VALUE"""),"Romance")</f>
        <v>Romance</v>
      </c>
      <c r="D218" s="16">
        <f>IFERROR(__xludf.DUMMYFUNCTION("""COMPUTED_VALUE"""),63.0)</f>
        <v>63</v>
      </c>
      <c r="E218" s="16">
        <f>IFERROR(__xludf.DUMMYFUNCTION("""COMPUTED_VALUE"""),0.936507936507936)</f>
        <v>0.9365079365</v>
      </c>
      <c r="F218" s="16">
        <f>IFERROR(__xludf.DUMMYFUNCTION("""COMPUTED_VALUE"""),0.65079365079365)</f>
        <v>0.6507936508</v>
      </c>
      <c r="G218" s="16">
        <f>IFERROR(__xludf.DUMMYFUNCTION("""COMPUTED_VALUE"""),0.523809523809523)</f>
        <v>0.5238095238</v>
      </c>
      <c r="H218" s="16">
        <f>IFERROR(__xludf.DUMMYFUNCTION("""COMPUTED_VALUE"""),0.46774193548387)</f>
        <v>0.4677419355</v>
      </c>
      <c r="I218" s="16">
        <f>IFERROR(__xludf.DUMMYFUNCTION("""COMPUTED_VALUE"""),0.451612903225806)</f>
        <v>0.4516129032</v>
      </c>
      <c r="J218" s="16">
        <f>IFERROR(__xludf.DUMMYFUNCTION("""COMPUTED_VALUE"""),0.370967741935483)</f>
        <v>0.3709677419</v>
      </c>
      <c r="K218" s="16">
        <f>IFERROR(__xludf.DUMMYFUNCTION("""COMPUTED_VALUE"""),0.370967741935483)</f>
        <v>0.3709677419</v>
      </c>
      <c r="L218" s="16">
        <f>IFERROR(__xludf.DUMMYFUNCTION("""COMPUTED_VALUE"""),0.338709677419354)</f>
        <v>0.3387096774</v>
      </c>
      <c r="M218" s="16">
        <f>IFERROR(__xludf.DUMMYFUNCTION("""COMPUTED_VALUE"""),0.290322580645161)</f>
        <v>0.2903225806</v>
      </c>
      <c r="N218" s="16">
        <f>IFERROR(__xludf.DUMMYFUNCTION("""COMPUTED_VALUE"""),0.258064516129032)</f>
        <v>0.2580645161</v>
      </c>
      <c r="O218" s="16">
        <f>IFERROR(__xludf.DUMMYFUNCTION("""COMPUTED_VALUE"""),0.196721311475409)</f>
        <v>0.1967213115</v>
      </c>
      <c r="P218" s="16">
        <f>IFERROR(__xludf.DUMMYFUNCTION("""COMPUTED_VALUE"""),0.160714285714285)</f>
        <v>0.1607142857</v>
      </c>
      <c r="Q218" s="16">
        <f>IFERROR(__xludf.DUMMYFUNCTION("""COMPUTED_VALUE"""),0.104166666666666)</f>
        <v>0.1041666667</v>
      </c>
      <c r="R218" s="16">
        <f>IFERROR(__xludf.DUMMYFUNCTION("""COMPUTED_VALUE"""),0.0)</f>
        <v>0</v>
      </c>
      <c r="S218" s="16">
        <f>IFERROR(__xludf.DUMMYFUNCTION("""COMPUTED_VALUE"""),0.0)</f>
        <v>0</v>
      </c>
      <c r="T218" s="16">
        <f>IFERROR(__xludf.DUMMYFUNCTION("""COMPUTED_VALUE"""),0.0)</f>
        <v>0</v>
      </c>
      <c r="U218" s="16">
        <f>IFERROR(__xludf.DUMMYFUNCTION("""COMPUTED_VALUE"""),0.0)</f>
        <v>0</v>
      </c>
      <c r="V218" s="16">
        <f>IFERROR(__xludf.DUMMYFUNCTION("""COMPUTED_VALUE"""),0.0)</f>
        <v>0</v>
      </c>
      <c r="W218" s="16">
        <f>IFERROR(__xludf.DUMMYFUNCTION("""COMPUTED_VALUE"""),0.0)</f>
        <v>0</v>
      </c>
      <c r="X218" s="16">
        <f>IFERROR(__xludf.DUMMYFUNCTION("""COMPUTED_VALUE"""),0.0)</f>
        <v>0</v>
      </c>
      <c r="Y218" s="16">
        <f>IFERROR(__xludf.DUMMYFUNCTION("""COMPUTED_VALUE"""),0.0)</f>
        <v>0</v>
      </c>
      <c r="Z218" s="16">
        <f>IFERROR(__xludf.DUMMYFUNCTION("""COMPUTED_VALUE"""),0.0)</f>
        <v>0</v>
      </c>
      <c r="AA218" s="16">
        <f>IFERROR(__xludf.DUMMYFUNCTION("""COMPUTED_VALUE"""),0.0)</f>
        <v>0</v>
      </c>
      <c r="AB218" s="16">
        <f>IFERROR(__xludf.DUMMYFUNCTION("""COMPUTED_VALUE"""),0.0)</f>
        <v>0</v>
      </c>
      <c r="AC218" s="16">
        <f>IFERROR(__xludf.DUMMYFUNCTION("""COMPUTED_VALUE"""),0.0)</f>
        <v>0</v>
      </c>
      <c r="AD218" s="16">
        <f>IFERROR(__xludf.DUMMYFUNCTION("""COMPUTED_VALUE"""),0.0)</f>
        <v>0</v>
      </c>
      <c r="AE218" s="16">
        <f>IFERROR(__xludf.DUMMYFUNCTION("""COMPUTED_VALUE"""),0.0)</f>
        <v>0</v>
      </c>
      <c r="AF218" s="16">
        <f>IFERROR(__xludf.DUMMYFUNCTION("""COMPUTED_VALUE"""),0.0)</f>
        <v>0</v>
      </c>
      <c r="AG218" s="16">
        <f>IFERROR(__xludf.DUMMYFUNCTION("""COMPUTED_VALUE"""),0.0)</f>
        <v>0</v>
      </c>
      <c r="AH218" s="16">
        <f>IFERROR(__xludf.DUMMYFUNCTION("""COMPUTED_VALUE"""),0.0)</f>
        <v>0</v>
      </c>
    </row>
    <row r="219">
      <c r="A219" s="16" t="str">
        <f>IFERROR(__xludf.DUMMYFUNCTION("""COMPUTED_VALUE"""),"ba1065d04424754ef65327a97989402f6a123e5a")</f>
        <v>ba1065d04424754ef65327a97989402f6a123e5a</v>
      </c>
      <c r="B219" s="16" t="str">
        <f>IFERROR(__xludf.DUMMYFUNCTION("""COMPUTED_VALUE"""),"Yours by Accident")</f>
        <v>Yours by Accident</v>
      </c>
      <c r="C219" s="16" t="str">
        <f>IFERROR(__xludf.DUMMYFUNCTION("""COMPUTED_VALUE"""),"Romance")</f>
        <v>Romance</v>
      </c>
      <c r="D219" s="16">
        <f>IFERROR(__xludf.DUMMYFUNCTION("""COMPUTED_VALUE"""),69.0)</f>
        <v>69</v>
      </c>
      <c r="E219" s="16">
        <f>IFERROR(__xludf.DUMMYFUNCTION("""COMPUTED_VALUE"""),0.985507246376811)</f>
        <v>0.9855072464</v>
      </c>
      <c r="F219" s="16">
        <f>IFERROR(__xludf.DUMMYFUNCTION("""COMPUTED_VALUE"""),0.536231884057971)</f>
        <v>0.5362318841</v>
      </c>
      <c r="G219" s="16">
        <f>IFERROR(__xludf.DUMMYFUNCTION("""COMPUTED_VALUE"""),0.391304347826087)</f>
        <v>0.3913043478</v>
      </c>
      <c r="H219" s="16">
        <f>IFERROR(__xludf.DUMMYFUNCTION("""COMPUTED_VALUE"""),0.352941176470588)</f>
        <v>0.3529411765</v>
      </c>
      <c r="I219" s="16">
        <f>IFERROR(__xludf.DUMMYFUNCTION("""COMPUTED_VALUE"""),0.363636363636363)</f>
        <v>0.3636363636</v>
      </c>
      <c r="J219" s="16">
        <f>IFERROR(__xludf.DUMMYFUNCTION("""COMPUTED_VALUE"""),0.363636363636363)</f>
        <v>0.3636363636</v>
      </c>
      <c r="K219" s="16">
        <f>IFERROR(__xludf.DUMMYFUNCTION("""COMPUTED_VALUE"""),0.348484848484848)</f>
        <v>0.3484848485</v>
      </c>
      <c r="L219" s="16">
        <f>IFERROR(__xludf.DUMMYFUNCTION("""COMPUTED_VALUE"""),0.287878787878787)</f>
        <v>0.2878787879</v>
      </c>
      <c r="M219" s="16">
        <f>IFERROR(__xludf.DUMMYFUNCTION("""COMPUTED_VALUE"""),0.303030303030303)</f>
        <v>0.303030303</v>
      </c>
      <c r="N219" s="16">
        <f>IFERROR(__xludf.DUMMYFUNCTION("""COMPUTED_VALUE"""),0.303030303030303)</f>
        <v>0.303030303</v>
      </c>
      <c r="O219" s="16">
        <f>IFERROR(__xludf.DUMMYFUNCTION("""COMPUTED_VALUE"""),0.245614035087719)</f>
        <v>0.2456140351</v>
      </c>
      <c r="P219" s="16">
        <f>IFERROR(__xludf.DUMMYFUNCTION("""COMPUTED_VALUE"""),0.148148148148148)</f>
        <v>0.1481481481</v>
      </c>
      <c r="Q219" s="16">
        <f>IFERROR(__xludf.DUMMYFUNCTION("""COMPUTED_VALUE"""),0.125)</f>
        <v>0.125</v>
      </c>
      <c r="R219" s="16">
        <f>IFERROR(__xludf.DUMMYFUNCTION("""COMPUTED_VALUE"""),0.0)</f>
        <v>0</v>
      </c>
      <c r="S219" s="16">
        <f>IFERROR(__xludf.DUMMYFUNCTION("""COMPUTED_VALUE"""),0.0232558139534883)</f>
        <v>0.02325581395</v>
      </c>
      <c r="T219" s="16">
        <f>IFERROR(__xludf.DUMMYFUNCTION("""COMPUTED_VALUE"""),0.0)</f>
        <v>0</v>
      </c>
      <c r="U219" s="16">
        <f>IFERROR(__xludf.DUMMYFUNCTION("""COMPUTED_VALUE"""),0.0)</f>
        <v>0</v>
      </c>
      <c r="V219" s="16">
        <f>IFERROR(__xludf.DUMMYFUNCTION("""COMPUTED_VALUE"""),0.0)</f>
        <v>0</v>
      </c>
      <c r="W219" s="16">
        <f>IFERROR(__xludf.DUMMYFUNCTION("""COMPUTED_VALUE"""),0.0)</f>
        <v>0</v>
      </c>
      <c r="X219" s="16">
        <f>IFERROR(__xludf.DUMMYFUNCTION("""COMPUTED_VALUE"""),0.0)</f>
        <v>0</v>
      </c>
      <c r="Y219" s="16">
        <f>IFERROR(__xludf.DUMMYFUNCTION("""COMPUTED_VALUE"""),0.0)</f>
        <v>0</v>
      </c>
      <c r="Z219" s="16">
        <f>IFERROR(__xludf.DUMMYFUNCTION("""COMPUTED_VALUE"""),0.0)</f>
        <v>0</v>
      </c>
      <c r="AA219" s="16">
        <f>IFERROR(__xludf.DUMMYFUNCTION("""COMPUTED_VALUE"""),0.0)</f>
        <v>0</v>
      </c>
      <c r="AB219" s="16">
        <f>IFERROR(__xludf.DUMMYFUNCTION("""COMPUTED_VALUE"""),0.0)</f>
        <v>0</v>
      </c>
      <c r="AC219" s="16">
        <f>IFERROR(__xludf.DUMMYFUNCTION("""COMPUTED_VALUE"""),0.0)</f>
        <v>0</v>
      </c>
      <c r="AD219" s="16">
        <f>IFERROR(__xludf.DUMMYFUNCTION("""COMPUTED_VALUE"""),0.0)</f>
        <v>0</v>
      </c>
      <c r="AE219" s="16">
        <f>IFERROR(__xludf.DUMMYFUNCTION("""COMPUTED_VALUE"""),0.0)</f>
        <v>0</v>
      </c>
      <c r="AF219" s="16">
        <f>IFERROR(__xludf.DUMMYFUNCTION("""COMPUTED_VALUE"""),0.0)</f>
        <v>0</v>
      </c>
      <c r="AG219" s="16">
        <f>IFERROR(__xludf.DUMMYFUNCTION("""COMPUTED_VALUE"""),0.0)</f>
        <v>0</v>
      </c>
      <c r="AH219" s="16">
        <f>IFERROR(__xludf.DUMMYFUNCTION("""COMPUTED_VALUE"""),0.0)</f>
        <v>0</v>
      </c>
    </row>
    <row r="220">
      <c r="A220" s="16" t="str">
        <f>IFERROR(__xludf.DUMMYFUNCTION("""COMPUTED_VALUE"""),"bb2f281964ff5fb7528074b3b2b73409bbf91d2a")</f>
        <v>bb2f281964ff5fb7528074b3b2b73409bbf91d2a</v>
      </c>
      <c r="B220" s="16" t="str">
        <f>IFERROR(__xludf.DUMMYFUNCTION("""COMPUTED_VALUE"""),"My Money Minting System")</f>
        <v>My Money Minting System</v>
      </c>
      <c r="C220" s="16" t="str">
        <f>IFERROR(__xludf.DUMMYFUNCTION("""COMPUTED_VALUE"""),"System and Superpower")</f>
        <v>System and Superpower</v>
      </c>
      <c r="D220" s="16">
        <f>IFERROR(__xludf.DUMMYFUNCTION("""COMPUTED_VALUE"""),1005.0)</f>
        <v>1005</v>
      </c>
      <c r="E220" s="16">
        <f>IFERROR(__xludf.DUMMYFUNCTION("""COMPUTED_VALUE"""),0.971144278606965)</f>
        <v>0.9711442786</v>
      </c>
      <c r="F220" s="16">
        <f>IFERROR(__xludf.DUMMYFUNCTION("""COMPUTED_VALUE"""),0.696517412935323)</f>
        <v>0.6965174129</v>
      </c>
      <c r="G220" s="16">
        <f>IFERROR(__xludf.DUMMYFUNCTION("""COMPUTED_VALUE"""),0.584661354581673)</f>
        <v>0.5846613546</v>
      </c>
      <c r="H220" s="16">
        <f>IFERROR(__xludf.DUMMYFUNCTION("""COMPUTED_VALUE"""),0.505976095617529)</f>
        <v>0.5059760956</v>
      </c>
      <c r="I220" s="16">
        <f>IFERROR(__xludf.DUMMYFUNCTION("""COMPUTED_VALUE"""),0.422805247225025)</f>
        <v>0.4228052472</v>
      </c>
      <c r="J220" s="16">
        <f>IFERROR(__xludf.DUMMYFUNCTION("""COMPUTED_VALUE"""),0.347871235721703)</f>
        <v>0.3478712357</v>
      </c>
      <c r="K220" s="16">
        <f>IFERROR(__xludf.DUMMYFUNCTION("""COMPUTED_VALUE"""),0.299674267100977)</f>
        <v>0.2996742671</v>
      </c>
      <c r="L220" s="16">
        <f>IFERROR(__xludf.DUMMYFUNCTION("""COMPUTED_VALUE"""),0.27667493796526)</f>
        <v>0.276674938</v>
      </c>
      <c r="M220" s="16">
        <f>IFERROR(__xludf.DUMMYFUNCTION("""COMPUTED_VALUE"""),0.244444444444444)</f>
        <v>0.2444444444</v>
      </c>
      <c r="N220" s="16">
        <f>IFERROR(__xludf.DUMMYFUNCTION("""COMPUTED_VALUE"""),0.277477477477477)</f>
        <v>0.2774774775</v>
      </c>
      <c r="O220" s="16">
        <f>IFERROR(__xludf.DUMMYFUNCTION("""COMPUTED_VALUE"""),0.208542713567839)</f>
        <v>0.2085427136</v>
      </c>
      <c r="P220" s="16">
        <f>IFERROR(__xludf.DUMMYFUNCTION("""COMPUTED_VALUE"""),0.106617647058823)</f>
        <v>0.1066176471</v>
      </c>
      <c r="Q220" s="16">
        <f>IFERROR(__xludf.DUMMYFUNCTION("""COMPUTED_VALUE"""),0.0692307692307692)</f>
        <v>0.06923076923</v>
      </c>
      <c r="R220" s="16">
        <f>IFERROR(__xludf.DUMMYFUNCTION("""COMPUTED_VALUE"""),0.0)</f>
        <v>0</v>
      </c>
      <c r="S220" s="16">
        <f>IFERROR(__xludf.DUMMYFUNCTION("""COMPUTED_VALUE"""),0.0)</f>
        <v>0</v>
      </c>
      <c r="T220" s="16">
        <f>IFERROR(__xludf.DUMMYFUNCTION("""COMPUTED_VALUE"""),0.0)</f>
        <v>0</v>
      </c>
      <c r="U220" s="16">
        <f>IFERROR(__xludf.DUMMYFUNCTION("""COMPUTED_VALUE"""),0.0)</f>
        <v>0</v>
      </c>
      <c r="V220" s="16">
        <f>IFERROR(__xludf.DUMMYFUNCTION("""COMPUTED_VALUE"""),0.0)</f>
        <v>0</v>
      </c>
      <c r="W220" s="16">
        <f>IFERROR(__xludf.DUMMYFUNCTION("""COMPUTED_VALUE"""),0.0)</f>
        <v>0</v>
      </c>
      <c r="X220" s="16">
        <f>IFERROR(__xludf.DUMMYFUNCTION("""COMPUTED_VALUE"""),0.0)</f>
        <v>0</v>
      </c>
      <c r="Y220" s="16">
        <f>IFERROR(__xludf.DUMMYFUNCTION("""COMPUTED_VALUE"""),0.0)</f>
        <v>0</v>
      </c>
      <c r="Z220" s="16">
        <f>IFERROR(__xludf.DUMMYFUNCTION("""COMPUTED_VALUE"""),0.0)</f>
        <v>0</v>
      </c>
      <c r="AA220" s="16">
        <f>IFERROR(__xludf.DUMMYFUNCTION("""COMPUTED_VALUE"""),0.0)</f>
        <v>0</v>
      </c>
      <c r="AB220" s="16">
        <f>IFERROR(__xludf.DUMMYFUNCTION("""COMPUTED_VALUE"""),0.0)</f>
        <v>0</v>
      </c>
      <c r="AC220" s="16">
        <f>IFERROR(__xludf.DUMMYFUNCTION("""COMPUTED_VALUE"""),0.0)</f>
        <v>0</v>
      </c>
      <c r="AD220" s="16">
        <f>IFERROR(__xludf.DUMMYFUNCTION("""COMPUTED_VALUE"""),0.0)</f>
        <v>0</v>
      </c>
      <c r="AE220" s="16">
        <f>IFERROR(__xludf.DUMMYFUNCTION("""COMPUTED_VALUE"""),0.0)</f>
        <v>0</v>
      </c>
      <c r="AF220" s="16">
        <f>IFERROR(__xludf.DUMMYFUNCTION("""COMPUTED_VALUE"""),0.0)</f>
        <v>0</v>
      </c>
      <c r="AG220" s="16">
        <f>IFERROR(__xludf.DUMMYFUNCTION("""COMPUTED_VALUE"""),0.0)</f>
        <v>0</v>
      </c>
      <c r="AH220" s="16">
        <f>IFERROR(__xludf.DUMMYFUNCTION("""COMPUTED_VALUE"""),0.0)</f>
        <v>0</v>
      </c>
    </row>
    <row r="221">
      <c r="A221" s="16" t="str">
        <f>IFERROR(__xludf.DUMMYFUNCTION("""COMPUTED_VALUE"""),"bb8bdc13e3c19f2845f457b91284273ad6ddf8f2")</f>
        <v>bb8bdc13e3c19f2845f457b91284273ad6ddf8f2</v>
      </c>
      <c r="B221" s="16" t="str">
        <f>IFERROR(__xludf.DUMMYFUNCTION("""COMPUTED_VALUE"""),"His Four Little Rascals")</f>
        <v>His Four Little Rascals</v>
      </c>
      <c r="C221" s="16" t="str">
        <f>IFERROR(__xludf.DUMMYFUNCTION("""COMPUTED_VALUE"""),"Romance")</f>
        <v>Romance</v>
      </c>
      <c r="D221" s="16">
        <f>IFERROR(__xludf.DUMMYFUNCTION("""COMPUTED_VALUE"""),2703.0)</f>
        <v>2703</v>
      </c>
      <c r="E221" s="16">
        <f>IFERROR(__xludf.DUMMYFUNCTION("""COMPUTED_VALUE"""),0.93007769145394)</f>
        <v>0.9300776915</v>
      </c>
      <c r="F221" s="16">
        <f>IFERROR(__xludf.DUMMYFUNCTION("""COMPUTED_VALUE"""),0.46503884572697)</f>
        <v>0.4650388457</v>
      </c>
      <c r="G221" s="16">
        <f>IFERROR(__xludf.DUMMYFUNCTION("""COMPUTED_VALUE"""),0.382167961524232)</f>
        <v>0.3821679615</v>
      </c>
      <c r="H221" s="16">
        <f>IFERROR(__xludf.DUMMYFUNCTION("""COMPUTED_VALUE"""),0.367037037037037)</f>
        <v>0.367037037</v>
      </c>
      <c r="I221" s="16">
        <f>IFERROR(__xludf.DUMMYFUNCTION("""COMPUTED_VALUE"""),0.354205261207854)</f>
        <v>0.3542052612</v>
      </c>
      <c r="J221" s="16">
        <f>IFERROR(__xludf.DUMMYFUNCTION("""COMPUTED_VALUE"""),0.340866987773249)</f>
        <v>0.3408669878</v>
      </c>
      <c r="K221" s="16">
        <f>IFERROR(__xludf.DUMMYFUNCTION("""COMPUTED_VALUE"""),0.330863282697295)</f>
        <v>0.3308632827</v>
      </c>
      <c r="L221" s="16">
        <f>IFERROR(__xludf.DUMMYFUNCTION("""COMPUTED_VALUE"""),0.326780415430267)</f>
        <v>0.3267804154</v>
      </c>
      <c r="M221" s="16">
        <f>IFERROR(__xludf.DUMMYFUNCTION("""COMPUTED_VALUE"""),0.315887156644394)</f>
        <v>0.3158871566</v>
      </c>
      <c r="N221" s="16">
        <f>IFERROR(__xludf.DUMMYFUNCTION("""COMPUTED_VALUE"""),0.311548458967694)</f>
        <v>0.311548459</v>
      </c>
      <c r="O221" s="16">
        <f>IFERROR(__xludf.DUMMYFUNCTION("""COMPUTED_VALUE"""),0.295454545454545)</f>
        <v>0.2954545455</v>
      </c>
      <c r="P221" s="16">
        <f>IFERROR(__xludf.DUMMYFUNCTION("""COMPUTED_VALUE"""),0.245013172751223)</f>
        <v>0.2450131728</v>
      </c>
      <c r="Q221" s="16">
        <f>IFERROR(__xludf.DUMMYFUNCTION("""COMPUTED_VALUE"""),0.199160625715375)</f>
        <v>0.1991606257</v>
      </c>
      <c r="R221" s="16">
        <f>IFERROR(__xludf.DUMMYFUNCTION("""COMPUTED_VALUE"""),0.152529182879377)</f>
        <v>0.1525291829</v>
      </c>
      <c r="S221" s="16">
        <f>IFERROR(__xludf.DUMMYFUNCTION("""COMPUTED_VALUE"""),0.129566694987255)</f>
        <v>0.129566695</v>
      </c>
      <c r="T221" s="16">
        <f>IFERROR(__xludf.DUMMYFUNCTION("""COMPUTED_VALUE"""),0.105491329479768)</f>
        <v>0.1054913295</v>
      </c>
      <c r="U221" s="16">
        <f>IFERROR(__xludf.DUMMYFUNCTION("""COMPUTED_VALUE"""),0.103500761035007)</f>
        <v>0.103500761</v>
      </c>
      <c r="V221" s="16">
        <f>IFERROR(__xludf.DUMMYFUNCTION("""COMPUTED_VALUE"""),0.103975535168195)</f>
        <v>0.1039755352</v>
      </c>
      <c r="W221" s="16">
        <f>IFERROR(__xludf.DUMMYFUNCTION("""COMPUTED_VALUE"""),0.0964912280701754)</f>
        <v>0.09649122807</v>
      </c>
      <c r="X221" s="16">
        <f>IFERROR(__xludf.DUMMYFUNCTION("""COMPUTED_VALUE"""),0.106666666666666)</f>
        <v>0.1066666667</v>
      </c>
      <c r="Y221" s="16">
        <f>IFERROR(__xludf.DUMMYFUNCTION("""COMPUTED_VALUE"""),0.0786516853932584)</f>
        <v>0.07865168539</v>
      </c>
      <c r="Z221" s="16">
        <f>IFERROR(__xludf.DUMMYFUNCTION("""COMPUTED_VALUE"""),0.087719298245614)</f>
        <v>0.08771929825</v>
      </c>
      <c r="AA221" s="16">
        <f>IFERROR(__xludf.DUMMYFUNCTION("""COMPUTED_VALUE"""),0.037037037037037)</f>
        <v>0.03703703704</v>
      </c>
      <c r="AB221" s="16">
        <f>IFERROR(__xludf.DUMMYFUNCTION("""COMPUTED_VALUE"""),0.0909090909090909)</f>
        <v>0.09090909091</v>
      </c>
      <c r="AC221" s="16">
        <f>IFERROR(__xludf.DUMMYFUNCTION("""COMPUTED_VALUE"""),0.0)</f>
        <v>0</v>
      </c>
      <c r="AD221" s="16">
        <f>IFERROR(__xludf.DUMMYFUNCTION("""COMPUTED_VALUE"""),0.0)</f>
        <v>0</v>
      </c>
      <c r="AE221" s="16">
        <f>IFERROR(__xludf.DUMMYFUNCTION("""COMPUTED_VALUE"""),0.0)</f>
        <v>0</v>
      </c>
      <c r="AF221" s="16">
        <f>IFERROR(__xludf.DUMMYFUNCTION("""COMPUTED_VALUE"""),0.0)</f>
        <v>0</v>
      </c>
      <c r="AG221" s="16">
        <f>IFERROR(__xludf.DUMMYFUNCTION("""COMPUTED_VALUE"""),0.0)</f>
        <v>0</v>
      </c>
      <c r="AH221" s="16">
        <f>IFERROR(__xludf.DUMMYFUNCTION("""COMPUTED_VALUE"""),0.0)</f>
        <v>0</v>
      </c>
    </row>
    <row r="222">
      <c r="A222" s="16" t="str">
        <f>IFERROR(__xludf.DUMMYFUNCTION("""COMPUTED_VALUE"""),"bbaf98e4e43fc8963698d00c4a338957fb765b85")</f>
        <v>bbaf98e4e43fc8963698d00c4a338957fb765b85</v>
      </c>
      <c r="B222" s="16" t="str">
        <f>IFERROR(__xludf.DUMMYFUNCTION("""COMPUTED_VALUE"""),"Artifact Spirit System")</f>
        <v>Artifact Spirit System</v>
      </c>
      <c r="C222" s="16" t="str">
        <f>IFERROR(__xludf.DUMMYFUNCTION("""COMPUTED_VALUE"""),"System and Superpower")</f>
        <v>System and Superpower</v>
      </c>
      <c r="D222" s="16">
        <f>IFERROR(__xludf.DUMMYFUNCTION("""COMPUTED_VALUE"""),4506.0)</f>
        <v>4506</v>
      </c>
      <c r="E222" s="16">
        <f>IFERROR(__xludf.DUMMYFUNCTION("""COMPUTED_VALUE"""),0.961162893919218)</f>
        <v>0.9611628939</v>
      </c>
      <c r="F222" s="16">
        <f>IFERROR(__xludf.DUMMYFUNCTION("""COMPUTED_VALUE"""),0.636262760763426)</f>
        <v>0.6362627608</v>
      </c>
      <c r="G222" s="16">
        <f>IFERROR(__xludf.DUMMYFUNCTION("""COMPUTED_VALUE"""),0.563692853972481)</f>
        <v>0.563692854</v>
      </c>
      <c r="H222" s="16">
        <f>IFERROR(__xludf.DUMMYFUNCTION("""COMPUTED_VALUE"""),0.51638795986622)</f>
        <v>0.5163879599</v>
      </c>
      <c r="I222" s="16">
        <f>IFERROR(__xludf.DUMMYFUNCTION("""COMPUTED_VALUE"""),0.483921744996626)</f>
        <v>0.483921745</v>
      </c>
      <c r="J222" s="16">
        <f>IFERROR(__xludf.DUMMYFUNCTION("""COMPUTED_VALUE"""),0.459237268782827)</f>
        <v>0.4592372688</v>
      </c>
      <c r="K222" s="16">
        <f>IFERROR(__xludf.DUMMYFUNCTION("""COMPUTED_VALUE"""),0.437946120193414)</f>
        <v>0.4379461202</v>
      </c>
      <c r="L222" s="16">
        <f>IFERROR(__xludf.DUMMYFUNCTION("""COMPUTED_VALUE"""),0.418691588785046)</f>
        <v>0.4186915888</v>
      </c>
      <c r="M222" s="16">
        <f>IFERROR(__xludf.DUMMYFUNCTION("""COMPUTED_VALUE"""),0.402453408822835)</f>
        <v>0.4024534088</v>
      </c>
      <c r="N222" s="16">
        <f>IFERROR(__xludf.DUMMYFUNCTION("""COMPUTED_VALUE"""),0.391242265587815)</f>
        <v>0.3912422656</v>
      </c>
      <c r="O222" s="16">
        <f>IFERROR(__xludf.DUMMYFUNCTION("""COMPUTED_VALUE"""),0.342301943198804)</f>
        <v>0.3423019432</v>
      </c>
      <c r="P222" s="16">
        <f>IFERROR(__xludf.DUMMYFUNCTION("""COMPUTED_VALUE"""),0.294176706827309)</f>
        <v>0.2941767068</v>
      </c>
      <c r="Q222" s="16">
        <f>IFERROR(__xludf.DUMMYFUNCTION("""COMPUTED_VALUE"""),0.196236559139784)</f>
        <v>0.1962365591</v>
      </c>
      <c r="R222" s="16">
        <f>IFERROR(__xludf.DUMMYFUNCTION("""COMPUTED_VALUE"""),0.148264984227129)</f>
        <v>0.1482649842</v>
      </c>
      <c r="S222" s="16">
        <f>IFERROR(__xludf.DUMMYFUNCTION("""COMPUTED_VALUE"""),0.272727272727272)</f>
        <v>0.2727272727</v>
      </c>
      <c r="T222" s="16">
        <f>IFERROR(__xludf.DUMMYFUNCTION("""COMPUTED_VALUE"""),0.0)</f>
        <v>0</v>
      </c>
      <c r="U222" s="16">
        <f>IFERROR(__xludf.DUMMYFUNCTION("""COMPUTED_VALUE"""),0.0)</f>
        <v>0</v>
      </c>
      <c r="V222" s="16">
        <f>IFERROR(__xludf.DUMMYFUNCTION("""COMPUTED_VALUE"""),0.0)</f>
        <v>0</v>
      </c>
      <c r="W222" s="16">
        <f>IFERROR(__xludf.DUMMYFUNCTION("""COMPUTED_VALUE"""),0.0)</f>
        <v>0</v>
      </c>
      <c r="X222" s="16">
        <f>IFERROR(__xludf.DUMMYFUNCTION("""COMPUTED_VALUE"""),0.0)</f>
        <v>0</v>
      </c>
      <c r="Y222" s="16">
        <f>IFERROR(__xludf.DUMMYFUNCTION("""COMPUTED_VALUE"""),0.0)</f>
        <v>0</v>
      </c>
      <c r="Z222" s="16">
        <f>IFERROR(__xludf.DUMMYFUNCTION("""COMPUTED_VALUE"""),0.0)</f>
        <v>0</v>
      </c>
      <c r="AA222" s="16">
        <f>IFERROR(__xludf.DUMMYFUNCTION("""COMPUTED_VALUE"""),0.0)</f>
        <v>0</v>
      </c>
      <c r="AB222" s="16">
        <f>IFERROR(__xludf.DUMMYFUNCTION("""COMPUTED_VALUE"""),0.0)</f>
        <v>0</v>
      </c>
      <c r="AC222" s="16">
        <f>IFERROR(__xludf.DUMMYFUNCTION("""COMPUTED_VALUE"""),0.0)</f>
        <v>0</v>
      </c>
      <c r="AD222" s="16">
        <f>IFERROR(__xludf.DUMMYFUNCTION("""COMPUTED_VALUE"""),0.0)</f>
        <v>0</v>
      </c>
      <c r="AE222" s="16">
        <f>IFERROR(__xludf.DUMMYFUNCTION("""COMPUTED_VALUE"""),0.0)</f>
        <v>0</v>
      </c>
      <c r="AF222" s="16">
        <f>IFERROR(__xludf.DUMMYFUNCTION("""COMPUTED_VALUE"""),0.0)</f>
        <v>0</v>
      </c>
      <c r="AG222" s="16">
        <f>IFERROR(__xludf.DUMMYFUNCTION("""COMPUTED_VALUE"""),0.0)</f>
        <v>0</v>
      </c>
      <c r="AH222" s="16">
        <f>IFERROR(__xludf.DUMMYFUNCTION("""COMPUTED_VALUE"""),0.0)</f>
        <v>0</v>
      </c>
    </row>
    <row r="223">
      <c r="A223" s="16" t="str">
        <f>IFERROR(__xludf.DUMMYFUNCTION("""COMPUTED_VALUE"""),"be6caef02859b458c7e726aab639c65f41c8e1be")</f>
        <v>be6caef02859b458c7e726aab639c65f41c8e1be</v>
      </c>
      <c r="B223" s="16" t="str">
        <f>IFERROR(__xludf.DUMMYFUNCTION("""COMPUTED_VALUE"""),"Natural Godly Martial Art")</f>
        <v>Natural Godly Martial Art</v>
      </c>
      <c r="C223" s="16" t="str">
        <f>IFERROR(__xludf.DUMMYFUNCTION("""COMPUTED_VALUE"""),"Fantasy")</f>
        <v>Fantasy</v>
      </c>
      <c r="D223" s="16">
        <f>IFERROR(__xludf.DUMMYFUNCTION("""COMPUTED_VALUE"""),604.0)</f>
        <v>604</v>
      </c>
      <c r="E223" s="16">
        <f>IFERROR(__xludf.DUMMYFUNCTION("""COMPUTED_VALUE"""),0.985099337748344)</f>
        <v>0.9850993377</v>
      </c>
      <c r="F223" s="16">
        <f>IFERROR(__xludf.DUMMYFUNCTION("""COMPUTED_VALUE"""),0.559602649006622)</f>
        <v>0.559602649</v>
      </c>
      <c r="G223" s="16">
        <f>IFERROR(__xludf.DUMMYFUNCTION("""COMPUTED_VALUE"""),0.508278145695364)</f>
        <v>0.5082781457</v>
      </c>
      <c r="H223" s="16">
        <f>IFERROR(__xludf.DUMMYFUNCTION("""COMPUTED_VALUE"""),0.412935323383084)</f>
        <v>0.4129353234</v>
      </c>
      <c r="I223" s="16">
        <f>IFERROR(__xludf.DUMMYFUNCTION("""COMPUTED_VALUE"""),0.387312186978297)</f>
        <v>0.387312187</v>
      </c>
      <c r="J223" s="16">
        <f>IFERROR(__xludf.DUMMYFUNCTION("""COMPUTED_VALUE"""),0.354729729729729)</f>
        <v>0.3547297297</v>
      </c>
      <c r="K223" s="16">
        <f>IFERROR(__xludf.DUMMYFUNCTION("""COMPUTED_VALUE"""),0.337328767123287)</f>
        <v>0.3373287671</v>
      </c>
      <c r="L223" s="16">
        <f>IFERROR(__xludf.DUMMYFUNCTION("""COMPUTED_VALUE"""),0.320921985815602)</f>
        <v>0.3209219858</v>
      </c>
      <c r="M223" s="16">
        <f>IFERROR(__xludf.DUMMYFUNCTION("""COMPUTED_VALUE"""),0.292910447761194)</f>
        <v>0.2929104478</v>
      </c>
      <c r="N223" s="16">
        <f>IFERROR(__xludf.DUMMYFUNCTION("""COMPUTED_VALUE"""),0.26875)</f>
        <v>0.26875</v>
      </c>
      <c r="O223" s="16">
        <f>IFERROR(__xludf.DUMMYFUNCTION("""COMPUTED_VALUE"""),0.196721311475409)</f>
        <v>0.1967213115</v>
      </c>
      <c r="P223" s="16">
        <f>IFERROR(__xludf.DUMMYFUNCTION("""COMPUTED_VALUE"""),0.289855072463768)</f>
        <v>0.2898550725</v>
      </c>
      <c r="Q223" s="16">
        <f>IFERROR(__xludf.DUMMYFUNCTION("""COMPUTED_VALUE"""),0.333333333333333)</f>
        <v>0.3333333333</v>
      </c>
      <c r="R223" s="16">
        <f>IFERROR(__xludf.DUMMYFUNCTION("""COMPUTED_VALUE"""),0.0)</f>
        <v>0</v>
      </c>
      <c r="S223" s="16">
        <f>IFERROR(__xludf.DUMMYFUNCTION("""COMPUTED_VALUE"""),0.0)</f>
        <v>0</v>
      </c>
      <c r="T223" s="16">
        <f>IFERROR(__xludf.DUMMYFUNCTION("""COMPUTED_VALUE"""),0.0)</f>
        <v>0</v>
      </c>
      <c r="U223" s="16">
        <f>IFERROR(__xludf.DUMMYFUNCTION("""COMPUTED_VALUE"""),0.0)</f>
        <v>0</v>
      </c>
      <c r="V223" s="16">
        <f>IFERROR(__xludf.DUMMYFUNCTION("""COMPUTED_VALUE"""),0.0)</f>
        <v>0</v>
      </c>
      <c r="W223" s="16">
        <f>IFERROR(__xludf.DUMMYFUNCTION("""COMPUTED_VALUE"""),0.0)</f>
        <v>0</v>
      </c>
      <c r="X223" s="16">
        <f>IFERROR(__xludf.DUMMYFUNCTION("""COMPUTED_VALUE"""),0.0)</f>
        <v>0</v>
      </c>
      <c r="Y223" s="16">
        <f>IFERROR(__xludf.DUMMYFUNCTION("""COMPUTED_VALUE"""),0.0)</f>
        <v>0</v>
      </c>
      <c r="Z223" s="16">
        <f>IFERROR(__xludf.DUMMYFUNCTION("""COMPUTED_VALUE"""),0.0)</f>
        <v>0</v>
      </c>
      <c r="AA223" s="16">
        <f>IFERROR(__xludf.DUMMYFUNCTION("""COMPUTED_VALUE"""),0.0)</f>
        <v>0</v>
      </c>
      <c r="AB223" s="16">
        <f>IFERROR(__xludf.DUMMYFUNCTION("""COMPUTED_VALUE"""),0.0)</f>
        <v>0</v>
      </c>
      <c r="AC223" s="16">
        <f>IFERROR(__xludf.DUMMYFUNCTION("""COMPUTED_VALUE"""),0.0)</f>
        <v>0</v>
      </c>
      <c r="AD223" s="16">
        <f>IFERROR(__xludf.DUMMYFUNCTION("""COMPUTED_VALUE"""),0.0)</f>
        <v>0</v>
      </c>
      <c r="AE223" s="16">
        <f>IFERROR(__xludf.DUMMYFUNCTION("""COMPUTED_VALUE"""),0.0)</f>
        <v>0</v>
      </c>
      <c r="AF223" s="16">
        <f>IFERROR(__xludf.DUMMYFUNCTION("""COMPUTED_VALUE"""),0.0)</f>
        <v>0</v>
      </c>
      <c r="AG223" s="16">
        <f>IFERROR(__xludf.DUMMYFUNCTION("""COMPUTED_VALUE"""),0.0)</f>
        <v>0</v>
      </c>
      <c r="AH223" s="16">
        <f>IFERROR(__xludf.DUMMYFUNCTION("""COMPUTED_VALUE"""),0.0)</f>
        <v>0</v>
      </c>
    </row>
    <row r="224">
      <c r="A224" s="16" t="str">
        <f>IFERROR(__xludf.DUMMYFUNCTION("""COMPUTED_VALUE"""),"bf3632f1f9e1f3a7b864a989bb8f495a629a43cb")</f>
        <v>bf3632f1f9e1f3a7b864a989bb8f495a629a43cb</v>
      </c>
      <c r="B224" s="16" t="str">
        <f>IFERROR(__xludf.DUMMYFUNCTION("""COMPUTED_VALUE"""),"Her Secret Twins")</f>
        <v>Her Secret Twins</v>
      </c>
      <c r="C224" s="16" t="str">
        <f>IFERROR(__xludf.DUMMYFUNCTION("""COMPUTED_VALUE"""),"Romance")</f>
        <v>Romance</v>
      </c>
      <c r="D224" s="16">
        <f>IFERROR(__xludf.DUMMYFUNCTION("""COMPUTED_VALUE"""),468.0)</f>
        <v>468</v>
      </c>
      <c r="E224" s="16">
        <f>IFERROR(__xludf.DUMMYFUNCTION("""COMPUTED_VALUE"""),0.91025641025641)</f>
        <v>0.9102564103</v>
      </c>
      <c r="F224" s="16">
        <f>IFERROR(__xludf.DUMMYFUNCTION("""COMPUTED_VALUE"""),0.677350427350427)</f>
        <v>0.6773504274</v>
      </c>
      <c r="G224" s="16">
        <f>IFERROR(__xludf.DUMMYFUNCTION("""COMPUTED_VALUE"""),0.613247863247863)</f>
        <v>0.6132478632</v>
      </c>
      <c r="H224" s="16">
        <f>IFERROR(__xludf.DUMMYFUNCTION("""COMPUTED_VALUE"""),0.581196581196581)</f>
        <v>0.5811965812</v>
      </c>
      <c r="I224" s="16">
        <f>IFERROR(__xludf.DUMMYFUNCTION("""COMPUTED_VALUE"""),0.578158458244111)</f>
        <v>0.5781584582</v>
      </c>
      <c r="J224" s="16">
        <f>IFERROR(__xludf.DUMMYFUNCTION("""COMPUTED_VALUE"""),0.560085836909871)</f>
        <v>0.5600858369</v>
      </c>
      <c r="K224" s="16">
        <f>IFERROR(__xludf.DUMMYFUNCTION("""COMPUTED_VALUE"""),0.527896995708154)</f>
        <v>0.5278969957</v>
      </c>
      <c r="L224" s="16">
        <f>IFERROR(__xludf.DUMMYFUNCTION("""COMPUTED_VALUE"""),0.51931330472103)</f>
        <v>0.5193133047</v>
      </c>
      <c r="M224" s="16">
        <f>IFERROR(__xludf.DUMMYFUNCTION("""COMPUTED_VALUE"""),0.51931330472103)</f>
        <v>0.5193133047</v>
      </c>
      <c r="N224" s="16">
        <f>IFERROR(__xludf.DUMMYFUNCTION("""COMPUTED_VALUE"""),0.502145922746781)</f>
        <v>0.5021459227</v>
      </c>
      <c r="O224" s="16">
        <f>IFERROR(__xludf.DUMMYFUNCTION("""COMPUTED_VALUE"""),0.450643776824034)</f>
        <v>0.4506437768</v>
      </c>
      <c r="P224" s="16">
        <f>IFERROR(__xludf.DUMMYFUNCTION("""COMPUTED_VALUE"""),0.412526997840172)</f>
        <v>0.4125269978</v>
      </c>
      <c r="Q224" s="16">
        <f>IFERROR(__xludf.DUMMYFUNCTION("""COMPUTED_VALUE"""),0.314606741573033)</f>
        <v>0.3146067416</v>
      </c>
      <c r="R224" s="16">
        <f>IFERROR(__xludf.DUMMYFUNCTION("""COMPUTED_VALUE"""),0.28287841191067)</f>
        <v>0.2828784119</v>
      </c>
      <c r="S224" s="16">
        <f>IFERROR(__xludf.DUMMYFUNCTION("""COMPUTED_VALUE"""),0.188940092165898)</f>
        <v>0.1889400922</v>
      </c>
      <c r="T224" s="16">
        <f>IFERROR(__xludf.DUMMYFUNCTION("""COMPUTED_VALUE"""),0.111111111111111)</f>
        <v>0.1111111111</v>
      </c>
      <c r="U224" s="16">
        <f>IFERROR(__xludf.DUMMYFUNCTION("""COMPUTED_VALUE"""),0.0833333333333333)</f>
        <v>0.08333333333</v>
      </c>
      <c r="V224" s="16">
        <f>IFERROR(__xludf.DUMMYFUNCTION("""COMPUTED_VALUE"""),0.0533333333333333)</f>
        <v>0.05333333333</v>
      </c>
      <c r="W224" s="16">
        <f>IFERROR(__xludf.DUMMYFUNCTION("""COMPUTED_VALUE"""),0.0606060606060606)</f>
        <v>0.06060606061</v>
      </c>
      <c r="X224" s="16">
        <f>IFERROR(__xludf.DUMMYFUNCTION("""COMPUTED_VALUE"""),0.125)</f>
        <v>0.125</v>
      </c>
      <c r="Y224" s="16">
        <f>IFERROR(__xludf.DUMMYFUNCTION("""COMPUTED_VALUE"""),0.125)</f>
        <v>0.125</v>
      </c>
      <c r="Z224" s="16">
        <f>IFERROR(__xludf.DUMMYFUNCTION("""COMPUTED_VALUE"""),0.0833333333333333)</f>
        <v>0.08333333333</v>
      </c>
      <c r="AA224" s="16">
        <f>IFERROR(__xludf.DUMMYFUNCTION("""COMPUTED_VALUE"""),0.0)</f>
        <v>0</v>
      </c>
      <c r="AB224" s="16">
        <f>IFERROR(__xludf.DUMMYFUNCTION("""COMPUTED_VALUE"""),0.0)</f>
        <v>0</v>
      </c>
      <c r="AC224" s="16">
        <f>IFERROR(__xludf.DUMMYFUNCTION("""COMPUTED_VALUE"""),0.0)</f>
        <v>0</v>
      </c>
      <c r="AD224" s="16">
        <f>IFERROR(__xludf.DUMMYFUNCTION("""COMPUTED_VALUE"""),0.0)</f>
        <v>0</v>
      </c>
      <c r="AE224" s="16">
        <f>IFERROR(__xludf.DUMMYFUNCTION("""COMPUTED_VALUE"""),0.0)</f>
        <v>0</v>
      </c>
      <c r="AF224" s="16">
        <f>IFERROR(__xludf.DUMMYFUNCTION("""COMPUTED_VALUE"""),0.0)</f>
        <v>0</v>
      </c>
      <c r="AG224" s="16">
        <f>IFERROR(__xludf.DUMMYFUNCTION("""COMPUTED_VALUE"""),0.0)</f>
        <v>0</v>
      </c>
      <c r="AH224" s="16">
        <f>IFERROR(__xludf.DUMMYFUNCTION("""COMPUTED_VALUE"""),0.0)</f>
        <v>0</v>
      </c>
    </row>
    <row r="225">
      <c r="A225" s="16" t="str">
        <f>IFERROR(__xludf.DUMMYFUNCTION("""COMPUTED_VALUE"""),"c04c6d5eb020135b9855b7b2290092294bd33d99")</f>
        <v>c04c6d5eb020135b9855b7b2290092294bd33d99</v>
      </c>
      <c r="B225" s="16" t="str">
        <f>IFERROR(__xludf.DUMMYFUNCTION("""COMPUTED_VALUE"""),"My Crimson Bite")</f>
        <v>My Crimson Bite</v>
      </c>
      <c r="C225" s="16" t="str">
        <f>IFERROR(__xludf.DUMMYFUNCTION("""COMPUTED_VALUE"""),"Romantasy")</f>
        <v>Romantasy</v>
      </c>
      <c r="D225" s="16">
        <f>IFERROR(__xludf.DUMMYFUNCTION("""COMPUTED_VALUE"""),76.0)</f>
        <v>76</v>
      </c>
      <c r="E225" s="16">
        <f>IFERROR(__xludf.DUMMYFUNCTION("""COMPUTED_VALUE"""),0.986842105263157)</f>
        <v>0.9868421053</v>
      </c>
      <c r="F225" s="16">
        <f>IFERROR(__xludf.DUMMYFUNCTION("""COMPUTED_VALUE"""),0.552631578947368)</f>
        <v>0.5526315789</v>
      </c>
      <c r="G225" s="16">
        <f>IFERROR(__xludf.DUMMYFUNCTION("""COMPUTED_VALUE"""),0.5)</f>
        <v>0.5</v>
      </c>
      <c r="H225" s="16">
        <f>IFERROR(__xludf.DUMMYFUNCTION("""COMPUTED_VALUE"""),0.460526315789473)</f>
        <v>0.4605263158</v>
      </c>
      <c r="I225" s="16">
        <f>IFERROR(__xludf.DUMMYFUNCTION("""COMPUTED_VALUE"""),0.421052631578947)</f>
        <v>0.4210526316</v>
      </c>
      <c r="J225" s="16">
        <f>IFERROR(__xludf.DUMMYFUNCTION("""COMPUTED_VALUE"""),0.386666666666666)</f>
        <v>0.3866666667</v>
      </c>
      <c r="K225" s="16">
        <f>IFERROR(__xludf.DUMMYFUNCTION("""COMPUTED_VALUE"""),0.388888888888888)</f>
        <v>0.3888888889</v>
      </c>
      <c r="L225" s="16">
        <f>IFERROR(__xludf.DUMMYFUNCTION("""COMPUTED_VALUE"""),0.388888888888888)</f>
        <v>0.3888888889</v>
      </c>
      <c r="M225" s="16">
        <f>IFERROR(__xludf.DUMMYFUNCTION("""COMPUTED_VALUE"""),0.380281690140845)</f>
        <v>0.3802816901</v>
      </c>
      <c r="N225" s="16">
        <f>IFERROR(__xludf.DUMMYFUNCTION("""COMPUTED_VALUE"""),0.38095238095238)</f>
        <v>0.380952381</v>
      </c>
      <c r="O225" s="16">
        <f>IFERROR(__xludf.DUMMYFUNCTION("""COMPUTED_VALUE"""),0.347826086956521)</f>
        <v>0.347826087</v>
      </c>
      <c r="P225" s="16">
        <f>IFERROR(__xludf.DUMMYFUNCTION("""COMPUTED_VALUE"""),0.272727272727272)</f>
        <v>0.2727272727</v>
      </c>
      <c r="Q225" s="16">
        <f>IFERROR(__xludf.DUMMYFUNCTION("""COMPUTED_VALUE"""),0.235294117647058)</f>
        <v>0.2352941176</v>
      </c>
      <c r="R225" s="16">
        <f>IFERROR(__xludf.DUMMYFUNCTION("""COMPUTED_VALUE"""),0.0)</f>
        <v>0</v>
      </c>
      <c r="S225" s="16">
        <f>IFERROR(__xludf.DUMMYFUNCTION("""COMPUTED_VALUE"""),0.0)</f>
        <v>0</v>
      </c>
      <c r="T225" s="16">
        <f>IFERROR(__xludf.DUMMYFUNCTION("""COMPUTED_VALUE"""),0.0)</f>
        <v>0</v>
      </c>
      <c r="U225" s="16">
        <f>IFERROR(__xludf.DUMMYFUNCTION("""COMPUTED_VALUE"""),0.0)</f>
        <v>0</v>
      </c>
      <c r="V225" s="16">
        <f>IFERROR(__xludf.DUMMYFUNCTION("""COMPUTED_VALUE"""),0.0)</f>
        <v>0</v>
      </c>
      <c r="W225" s="16">
        <f>IFERROR(__xludf.DUMMYFUNCTION("""COMPUTED_VALUE"""),0.0)</f>
        <v>0</v>
      </c>
      <c r="X225" s="16">
        <f>IFERROR(__xludf.DUMMYFUNCTION("""COMPUTED_VALUE"""),0.0)</f>
        <v>0</v>
      </c>
      <c r="Y225" s="16">
        <f>IFERROR(__xludf.DUMMYFUNCTION("""COMPUTED_VALUE"""),0.0)</f>
        <v>0</v>
      </c>
      <c r="Z225" s="16">
        <f>IFERROR(__xludf.DUMMYFUNCTION("""COMPUTED_VALUE"""),0.0)</f>
        <v>0</v>
      </c>
      <c r="AA225" s="16">
        <f>IFERROR(__xludf.DUMMYFUNCTION("""COMPUTED_VALUE"""),0.0)</f>
        <v>0</v>
      </c>
      <c r="AB225" s="16">
        <f>IFERROR(__xludf.DUMMYFUNCTION("""COMPUTED_VALUE"""),0.0)</f>
        <v>0</v>
      </c>
      <c r="AC225" s="16">
        <f>IFERROR(__xludf.DUMMYFUNCTION("""COMPUTED_VALUE"""),0.0)</f>
        <v>0</v>
      </c>
      <c r="AD225" s="16">
        <f>IFERROR(__xludf.DUMMYFUNCTION("""COMPUTED_VALUE"""),0.0)</f>
        <v>0</v>
      </c>
      <c r="AE225" s="16">
        <f>IFERROR(__xludf.DUMMYFUNCTION("""COMPUTED_VALUE"""),0.0)</f>
        <v>0</v>
      </c>
      <c r="AF225" s="16">
        <f>IFERROR(__xludf.DUMMYFUNCTION("""COMPUTED_VALUE"""),0.0)</f>
        <v>0</v>
      </c>
      <c r="AG225" s="16">
        <f>IFERROR(__xludf.DUMMYFUNCTION("""COMPUTED_VALUE"""),0.0)</f>
        <v>0</v>
      </c>
      <c r="AH225" s="16">
        <f>IFERROR(__xludf.DUMMYFUNCTION("""COMPUTED_VALUE"""),0.0)</f>
        <v>0</v>
      </c>
    </row>
    <row r="226">
      <c r="A226" s="16" t="str">
        <f>IFERROR(__xludf.DUMMYFUNCTION("""COMPUTED_VALUE"""),"c2045ffb46d0538ca44af5ee011be0b36e81c395")</f>
        <v>c2045ffb46d0538ca44af5ee011be0b36e81c395</v>
      </c>
      <c r="B226" s="16" t="str">
        <f>IFERROR(__xludf.DUMMYFUNCTION("""COMPUTED_VALUE"""),"A Marriage of Ashes")</f>
        <v>A Marriage of Ashes</v>
      </c>
      <c r="C226" s="16" t="str">
        <f>IFERROR(__xludf.DUMMYFUNCTION("""COMPUTED_VALUE"""),"Romance")</f>
        <v>Romance</v>
      </c>
      <c r="D226" s="16">
        <f>IFERROR(__xludf.DUMMYFUNCTION("""COMPUTED_VALUE"""),109.0)</f>
        <v>109</v>
      </c>
      <c r="E226" s="16">
        <f>IFERROR(__xludf.DUMMYFUNCTION("""COMPUTED_VALUE"""),0.981651376146789)</f>
        <v>0.9816513761</v>
      </c>
      <c r="F226" s="16">
        <f>IFERROR(__xludf.DUMMYFUNCTION("""COMPUTED_VALUE"""),0.220183486238532)</f>
        <v>0.2201834862</v>
      </c>
      <c r="G226" s="16">
        <f>IFERROR(__xludf.DUMMYFUNCTION("""COMPUTED_VALUE"""),0.137614678899082)</f>
        <v>0.1376146789</v>
      </c>
      <c r="H226" s="16">
        <f>IFERROR(__xludf.DUMMYFUNCTION("""COMPUTED_VALUE"""),0.128440366972477)</f>
        <v>0.128440367</v>
      </c>
      <c r="I226" s="16">
        <f>IFERROR(__xludf.DUMMYFUNCTION("""COMPUTED_VALUE"""),0.110091743119266)</f>
        <v>0.1100917431</v>
      </c>
      <c r="J226" s="16">
        <f>IFERROR(__xludf.DUMMYFUNCTION("""COMPUTED_VALUE"""),0.073394495412844)</f>
        <v>0.07339449541</v>
      </c>
      <c r="K226" s="16">
        <f>IFERROR(__xludf.DUMMYFUNCTION("""COMPUTED_VALUE"""),0.055045871559633)</f>
        <v>0.05504587156</v>
      </c>
      <c r="L226" s="16">
        <f>IFERROR(__xludf.DUMMYFUNCTION("""COMPUTED_VALUE"""),0.0642201834862385)</f>
        <v>0.06422018349</v>
      </c>
      <c r="M226" s="16">
        <f>IFERROR(__xludf.DUMMYFUNCTION("""COMPUTED_VALUE"""),0.0642201834862385)</f>
        <v>0.06422018349</v>
      </c>
      <c r="N226" s="16">
        <f>IFERROR(__xludf.DUMMYFUNCTION("""COMPUTED_VALUE"""),0.055045871559633)</f>
        <v>0.05504587156</v>
      </c>
      <c r="O226" s="16">
        <f>IFERROR(__xludf.DUMMYFUNCTION("""COMPUTED_VALUE"""),0.0196078431372549)</f>
        <v>0.01960784314</v>
      </c>
      <c r="P226" s="16">
        <f>IFERROR(__xludf.DUMMYFUNCTION("""COMPUTED_VALUE"""),0.0114942528735632)</f>
        <v>0.01149425287</v>
      </c>
      <c r="Q226" s="16">
        <f>IFERROR(__xludf.DUMMYFUNCTION("""COMPUTED_VALUE"""),0.0)</f>
        <v>0</v>
      </c>
      <c r="R226" s="16">
        <f>IFERROR(__xludf.DUMMYFUNCTION("""COMPUTED_VALUE"""),0.0)</f>
        <v>0</v>
      </c>
      <c r="S226" s="16">
        <f>IFERROR(__xludf.DUMMYFUNCTION("""COMPUTED_VALUE"""),0.0)</f>
        <v>0</v>
      </c>
      <c r="T226" s="16">
        <f>IFERROR(__xludf.DUMMYFUNCTION("""COMPUTED_VALUE"""),0.0)</f>
        <v>0</v>
      </c>
      <c r="U226" s="16">
        <f>IFERROR(__xludf.DUMMYFUNCTION("""COMPUTED_VALUE"""),0.0)</f>
        <v>0</v>
      </c>
      <c r="V226" s="16">
        <f>IFERROR(__xludf.DUMMYFUNCTION("""COMPUTED_VALUE"""),0.0)</f>
        <v>0</v>
      </c>
      <c r="W226" s="16">
        <f>IFERROR(__xludf.DUMMYFUNCTION("""COMPUTED_VALUE"""),0.0)</f>
        <v>0</v>
      </c>
      <c r="X226" s="16">
        <f>IFERROR(__xludf.DUMMYFUNCTION("""COMPUTED_VALUE"""),0.0)</f>
        <v>0</v>
      </c>
      <c r="Y226" s="16">
        <f>IFERROR(__xludf.DUMMYFUNCTION("""COMPUTED_VALUE"""),0.0)</f>
        <v>0</v>
      </c>
      <c r="Z226" s="16">
        <f>IFERROR(__xludf.DUMMYFUNCTION("""COMPUTED_VALUE"""),0.0)</f>
        <v>0</v>
      </c>
      <c r="AA226" s="16">
        <f>IFERROR(__xludf.DUMMYFUNCTION("""COMPUTED_VALUE"""),0.0)</f>
        <v>0</v>
      </c>
      <c r="AB226" s="16">
        <f>IFERROR(__xludf.DUMMYFUNCTION("""COMPUTED_VALUE"""),0.0)</f>
        <v>0</v>
      </c>
      <c r="AC226" s="16">
        <f>IFERROR(__xludf.DUMMYFUNCTION("""COMPUTED_VALUE"""),0.0)</f>
        <v>0</v>
      </c>
      <c r="AD226" s="16">
        <f>IFERROR(__xludf.DUMMYFUNCTION("""COMPUTED_VALUE"""),0.0)</f>
        <v>0</v>
      </c>
      <c r="AE226" s="16">
        <f>IFERROR(__xludf.DUMMYFUNCTION("""COMPUTED_VALUE"""),0.0)</f>
        <v>0</v>
      </c>
      <c r="AF226" s="16">
        <f>IFERROR(__xludf.DUMMYFUNCTION("""COMPUTED_VALUE"""),0.0)</f>
        <v>0</v>
      </c>
      <c r="AG226" s="16">
        <f>IFERROR(__xludf.DUMMYFUNCTION("""COMPUTED_VALUE"""),0.0)</f>
        <v>0</v>
      </c>
      <c r="AH226" s="16">
        <f>IFERROR(__xludf.DUMMYFUNCTION("""COMPUTED_VALUE"""),0.0)</f>
        <v>0</v>
      </c>
    </row>
    <row r="227">
      <c r="A227" s="16" t="str">
        <f>IFERROR(__xludf.DUMMYFUNCTION("""COMPUTED_VALUE"""),"c4463ba00f6c126612324139644418680a50dd75")</f>
        <v>c4463ba00f6c126612324139644418680a50dd75</v>
      </c>
      <c r="B227" s="16" t="str">
        <f>IFERROR(__xludf.DUMMYFUNCTION("""COMPUTED_VALUE"""),"Bloodstar")</f>
        <v>Bloodstar</v>
      </c>
      <c r="C227" s="16" t="str">
        <f>IFERROR(__xludf.DUMMYFUNCTION("""COMPUTED_VALUE"""),"System and Superpower")</f>
        <v>System and Superpower</v>
      </c>
      <c r="D227" s="16">
        <f>IFERROR(__xludf.DUMMYFUNCTION("""COMPUTED_VALUE"""),830.0)</f>
        <v>830</v>
      </c>
      <c r="E227" s="16">
        <f>IFERROR(__xludf.DUMMYFUNCTION("""COMPUTED_VALUE"""),0.977108433734939)</f>
        <v>0.9771084337</v>
      </c>
      <c r="F227" s="16">
        <f>IFERROR(__xludf.DUMMYFUNCTION("""COMPUTED_VALUE"""),0.714457831325301)</f>
        <v>0.7144578313</v>
      </c>
      <c r="G227" s="16">
        <f>IFERROR(__xludf.DUMMYFUNCTION("""COMPUTED_VALUE"""),0.62289156626506)</f>
        <v>0.6228915663</v>
      </c>
      <c r="H227" s="16">
        <f>IFERROR(__xludf.DUMMYFUNCTION("""COMPUTED_VALUE"""),0.53743961352657)</f>
        <v>0.5374396135</v>
      </c>
      <c r="I227" s="16">
        <f>IFERROR(__xludf.DUMMYFUNCTION("""COMPUTED_VALUE"""),0.479418886198547)</f>
        <v>0.4794188862</v>
      </c>
      <c r="J227" s="16">
        <f>IFERROR(__xludf.DUMMYFUNCTION("""COMPUTED_VALUE"""),0.416464891041162)</f>
        <v>0.416464891</v>
      </c>
      <c r="K227" s="16">
        <f>IFERROR(__xludf.DUMMYFUNCTION("""COMPUTED_VALUE"""),0.371810449574726)</f>
        <v>0.3718104496</v>
      </c>
      <c r="L227" s="16">
        <f>IFERROR(__xludf.DUMMYFUNCTION("""COMPUTED_VALUE"""),0.332116788321167)</f>
        <v>0.3321167883</v>
      </c>
      <c r="M227" s="16">
        <f>IFERROR(__xludf.DUMMYFUNCTION("""COMPUTED_VALUE"""),0.303549571603427)</f>
        <v>0.3035495716</v>
      </c>
      <c r="N227" s="16">
        <f>IFERROR(__xludf.DUMMYFUNCTION("""COMPUTED_VALUE"""),0.288343558282208)</f>
        <v>0.2883435583</v>
      </c>
      <c r="O227" s="16">
        <f>IFERROR(__xludf.DUMMYFUNCTION("""COMPUTED_VALUE"""),0.226512226512226)</f>
        <v>0.2265122265</v>
      </c>
      <c r="P227" s="16">
        <f>IFERROR(__xludf.DUMMYFUNCTION("""COMPUTED_VALUE"""),0.131782945736434)</f>
        <v>0.1317829457</v>
      </c>
      <c r="Q227" s="16">
        <f>IFERROR(__xludf.DUMMYFUNCTION("""COMPUTED_VALUE"""),0.0)</f>
        <v>0</v>
      </c>
      <c r="R227" s="16">
        <f>IFERROR(__xludf.DUMMYFUNCTION("""COMPUTED_VALUE"""),0.0)</f>
        <v>0</v>
      </c>
      <c r="S227" s="16">
        <f>IFERROR(__xludf.DUMMYFUNCTION("""COMPUTED_VALUE"""),0.0)</f>
        <v>0</v>
      </c>
      <c r="T227" s="16">
        <f>IFERROR(__xludf.DUMMYFUNCTION("""COMPUTED_VALUE"""),0.0)</f>
        <v>0</v>
      </c>
      <c r="U227" s="16">
        <f>IFERROR(__xludf.DUMMYFUNCTION("""COMPUTED_VALUE"""),0.0)</f>
        <v>0</v>
      </c>
      <c r="V227" s="16">
        <f>IFERROR(__xludf.DUMMYFUNCTION("""COMPUTED_VALUE"""),0.0)</f>
        <v>0</v>
      </c>
      <c r="W227" s="16">
        <f>IFERROR(__xludf.DUMMYFUNCTION("""COMPUTED_VALUE"""),0.0)</f>
        <v>0</v>
      </c>
      <c r="X227" s="16">
        <f>IFERROR(__xludf.DUMMYFUNCTION("""COMPUTED_VALUE"""),0.0)</f>
        <v>0</v>
      </c>
      <c r="Y227" s="16">
        <f>IFERROR(__xludf.DUMMYFUNCTION("""COMPUTED_VALUE"""),0.0)</f>
        <v>0</v>
      </c>
      <c r="Z227" s="16">
        <f>IFERROR(__xludf.DUMMYFUNCTION("""COMPUTED_VALUE"""),0.0)</f>
        <v>0</v>
      </c>
      <c r="AA227" s="16">
        <f>IFERROR(__xludf.DUMMYFUNCTION("""COMPUTED_VALUE"""),0.0)</f>
        <v>0</v>
      </c>
      <c r="AB227" s="16">
        <f>IFERROR(__xludf.DUMMYFUNCTION("""COMPUTED_VALUE"""),0.0)</f>
        <v>0</v>
      </c>
      <c r="AC227" s="16">
        <f>IFERROR(__xludf.DUMMYFUNCTION("""COMPUTED_VALUE"""),0.0)</f>
        <v>0</v>
      </c>
      <c r="AD227" s="16">
        <f>IFERROR(__xludf.DUMMYFUNCTION("""COMPUTED_VALUE"""),0.0)</f>
        <v>0</v>
      </c>
      <c r="AE227" s="16">
        <f>IFERROR(__xludf.DUMMYFUNCTION("""COMPUTED_VALUE"""),0.0)</f>
        <v>0</v>
      </c>
      <c r="AF227" s="16">
        <f>IFERROR(__xludf.DUMMYFUNCTION("""COMPUTED_VALUE"""),0.0)</f>
        <v>0</v>
      </c>
      <c r="AG227" s="16">
        <f>IFERROR(__xludf.DUMMYFUNCTION("""COMPUTED_VALUE"""),0.0)</f>
        <v>0</v>
      </c>
      <c r="AH227" s="16">
        <f>IFERROR(__xludf.DUMMYFUNCTION("""COMPUTED_VALUE"""),0.0)</f>
        <v>0</v>
      </c>
    </row>
    <row r="228">
      <c r="A228" s="16" t="str">
        <f>IFERROR(__xludf.DUMMYFUNCTION("""COMPUTED_VALUE"""),"c6590012d529ed8d9e5750565fe5d91ddd1144d5")</f>
        <v>c6590012d529ed8d9e5750565fe5d91ddd1144d5</v>
      </c>
      <c r="B228" s="16" t="str">
        <f>IFERROR(__xludf.DUMMYFUNCTION("""COMPUTED_VALUE"""),"Rise of Charles Atticus")</f>
        <v>Rise of Charles Atticus</v>
      </c>
      <c r="C228" s="16" t="str">
        <f>IFERROR(__xludf.DUMMYFUNCTION("""COMPUTED_VALUE"""),"Fantasy")</f>
        <v>Fantasy</v>
      </c>
      <c r="D228" s="16">
        <f>IFERROR(__xludf.DUMMYFUNCTION("""COMPUTED_VALUE"""),613.0)</f>
        <v>613</v>
      </c>
      <c r="E228" s="16">
        <f>IFERROR(__xludf.DUMMYFUNCTION("""COMPUTED_VALUE"""),0.960848287112561)</f>
        <v>0.9608482871</v>
      </c>
      <c r="F228" s="16">
        <f>IFERROR(__xludf.DUMMYFUNCTION("""COMPUTED_VALUE"""),0.706362153344208)</f>
        <v>0.7063621533</v>
      </c>
      <c r="G228" s="16">
        <f>IFERROR(__xludf.DUMMYFUNCTION("""COMPUTED_VALUE"""),0.683523654159869)</f>
        <v>0.6835236542</v>
      </c>
      <c r="H228" s="16">
        <f>IFERROR(__xludf.DUMMYFUNCTION("""COMPUTED_VALUE"""),0.655228758169934)</f>
        <v>0.6552287582</v>
      </c>
      <c r="I228" s="16">
        <f>IFERROR(__xludf.DUMMYFUNCTION("""COMPUTED_VALUE"""),0.617696160267111)</f>
        <v>0.6176961603</v>
      </c>
      <c r="J228" s="16">
        <f>IFERROR(__xludf.DUMMYFUNCTION("""COMPUTED_VALUE"""),0.582905982905983)</f>
        <v>0.5829059829</v>
      </c>
      <c r="K228" s="16">
        <f>IFERROR(__xludf.DUMMYFUNCTION("""COMPUTED_VALUE"""),0.514705882352941)</f>
        <v>0.5147058824</v>
      </c>
      <c r="L228" s="16">
        <f>IFERROR(__xludf.DUMMYFUNCTION("""COMPUTED_VALUE"""),0.487234042553191)</f>
        <v>0.4872340426</v>
      </c>
      <c r="M228" s="16">
        <f>IFERROR(__xludf.DUMMYFUNCTION("""COMPUTED_VALUE"""),0.44235294117647)</f>
        <v>0.4423529412</v>
      </c>
      <c r="N228" s="16">
        <f>IFERROR(__xludf.DUMMYFUNCTION("""COMPUTED_VALUE"""),0.402173913043478)</f>
        <v>0.402173913</v>
      </c>
      <c r="O228" s="16">
        <f>IFERROR(__xludf.DUMMYFUNCTION("""COMPUTED_VALUE"""),0.411764705882352)</f>
        <v>0.4117647059</v>
      </c>
      <c r="P228" s="16">
        <f>IFERROR(__xludf.DUMMYFUNCTION("""COMPUTED_VALUE"""),0.333333333333333)</f>
        <v>0.3333333333</v>
      </c>
      <c r="Q228" s="16">
        <f>IFERROR(__xludf.DUMMYFUNCTION("""COMPUTED_VALUE"""),0.0)</f>
        <v>0</v>
      </c>
      <c r="R228" s="16">
        <f>IFERROR(__xludf.DUMMYFUNCTION("""COMPUTED_VALUE"""),0.0)</f>
        <v>0</v>
      </c>
      <c r="S228" s="16">
        <f>IFERROR(__xludf.DUMMYFUNCTION("""COMPUTED_VALUE"""),0.0)</f>
        <v>0</v>
      </c>
      <c r="T228" s="16">
        <f>IFERROR(__xludf.DUMMYFUNCTION("""COMPUTED_VALUE"""),0.0)</f>
        <v>0</v>
      </c>
      <c r="U228" s="16">
        <f>IFERROR(__xludf.DUMMYFUNCTION("""COMPUTED_VALUE"""),0.0)</f>
        <v>0</v>
      </c>
      <c r="V228" s="16">
        <f>IFERROR(__xludf.DUMMYFUNCTION("""COMPUTED_VALUE"""),0.0)</f>
        <v>0</v>
      </c>
      <c r="W228" s="16">
        <f>IFERROR(__xludf.DUMMYFUNCTION("""COMPUTED_VALUE"""),0.0)</f>
        <v>0</v>
      </c>
      <c r="X228" s="16">
        <f>IFERROR(__xludf.DUMMYFUNCTION("""COMPUTED_VALUE"""),0.0)</f>
        <v>0</v>
      </c>
      <c r="Y228" s="16">
        <f>IFERROR(__xludf.DUMMYFUNCTION("""COMPUTED_VALUE"""),0.0)</f>
        <v>0</v>
      </c>
      <c r="Z228" s="16">
        <f>IFERROR(__xludf.DUMMYFUNCTION("""COMPUTED_VALUE"""),0.0)</f>
        <v>0</v>
      </c>
      <c r="AA228" s="16">
        <f>IFERROR(__xludf.DUMMYFUNCTION("""COMPUTED_VALUE"""),0.0)</f>
        <v>0</v>
      </c>
      <c r="AB228" s="16">
        <f>IFERROR(__xludf.DUMMYFUNCTION("""COMPUTED_VALUE"""),0.0)</f>
        <v>0</v>
      </c>
      <c r="AC228" s="16">
        <f>IFERROR(__xludf.DUMMYFUNCTION("""COMPUTED_VALUE"""),0.0)</f>
        <v>0</v>
      </c>
      <c r="AD228" s="16">
        <f>IFERROR(__xludf.DUMMYFUNCTION("""COMPUTED_VALUE"""),0.0)</f>
        <v>0</v>
      </c>
      <c r="AE228" s="16">
        <f>IFERROR(__xludf.DUMMYFUNCTION("""COMPUTED_VALUE"""),0.0)</f>
        <v>0</v>
      </c>
      <c r="AF228" s="16">
        <f>IFERROR(__xludf.DUMMYFUNCTION("""COMPUTED_VALUE"""),0.0)</f>
        <v>0</v>
      </c>
      <c r="AG228" s="16">
        <f>IFERROR(__xludf.DUMMYFUNCTION("""COMPUTED_VALUE"""),0.0)</f>
        <v>0</v>
      </c>
      <c r="AH228" s="16">
        <f>IFERROR(__xludf.DUMMYFUNCTION("""COMPUTED_VALUE"""),0.0)</f>
        <v>0</v>
      </c>
    </row>
    <row r="229">
      <c r="A229" s="16" t="str">
        <f>IFERROR(__xludf.DUMMYFUNCTION("""COMPUTED_VALUE"""),"c66d5521f195754d722c7e3daab2da20a027dd0c")</f>
        <v>c66d5521f195754d722c7e3daab2da20a027dd0c</v>
      </c>
      <c r="B229" s="16" t="str">
        <f>IFERROR(__xludf.DUMMYFUNCTION("""COMPUTED_VALUE"""),"Ceo's Heartbreaker")</f>
        <v>Ceo's Heartbreaker</v>
      </c>
      <c r="C229" s="16" t="str">
        <f>IFERROR(__xludf.DUMMYFUNCTION("""COMPUTED_VALUE"""),"Romance")</f>
        <v>Romance</v>
      </c>
      <c r="D229" s="16">
        <f>IFERROR(__xludf.DUMMYFUNCTION("""COMPUTED_VALUE"""),31.0)</f>
        <v>31</v>
      </c>
      <c r="E229" s="16">
        <f>IFERROR(__xludf.DUMMYFUNCTION("""COMPUTED_VALUE"""),0.903225806451612)</f>
        <v>0.9032258065</v>
      </c>
      <c r="F229" s="16">
        <f>IFERROR(__xludf.DUMMYFUNCTION("""COMPUTED_VALUE"""),0.354838709677419)</f>
        <v>0.3548387097</v>
      </c>
      <c r="G229" s="16">
        <f>IFERROR(__xludf.DUMMYFUNCTION("""COMPUTED_VALUE"""),0.258064516129032)</f>
        <v>0.2580645161</v>
      </c>
      <c r="H229" s="16">
        <f>IFERROR(__xludf.DUMMYFUNCTION("""COMPUTED_VALUE"""),0.225806451612903)</f>
        <v>0.2258064516</v>
      </c>
      <c r="I229" s="16">
        <f>IFERROR(__xludf.DUMMYFUNCTION("""COMPUTED_VALUE"""),0.161290322580645)</f>
        <v>0.1612903226</v>
      </c>
      <c r="J229" s="16">
        <f>IFERROR(__xludf.DUMMYFUNCTION("""COMPUTED_VALUE"""),0.166666666666666)</f>
        <v>0.1666666667</v>
      </c>
      <c r="K229" s="16">
        <f>IFERROR(__xludf.DUMMYFUNCTION("""COMPUTED_VALUE"""),0.178571428571428)</f>
        <v>0.1785714286</v>
      </c>
      <c r="L229" s="16">
        <f>IFERROR(__xludf.DUMMYFUNCTION("""COMPUTED_VALUE"""),0.178571428571428)</f>
        <v>0.1785714286</v>
      </c>
      <c r="M229" s="16">
        <f>IFERROR(__xludf.DUMMYFUNCTION("""COMPUTED_VALUE"""),0.178571428571428)</f>
        <v>0.1785714286</v>
      </c>
      <c r="N229" s="16">
        <f>IFERROR(__xludf.DUMMYFUNCTION("""COMPUTED_VALUE"""),0.142857142857142)</f>
        <v>0.1428571429</v>
      </c>
      <c r="O229" s="16">
        <f>IFERROR(__xludf.DUMMYFUNCTION("""COMPUTED_VALUE"""),0.148148148148148)</f>
        <v>0.1481481481</v>
      </c>
      <c r="P229" s="16">
        <f>IFERROR(__xludf.DUMMYFUNCTION("""COMPUTED_VALUE"""),0.19047619047619)</f>
        <v>0.1904761905</v>
      </c>
      <c r="Q229" s="16">
        <f>IFERROR(__xludf.DUMMYFUNCTION("""COMPUTED_VALUE"""),0.0952380952380952)</f>
        <v>0.09523809524</v>
      </c>
      <c r="R229" s="16">
        <f>IFERROR(__xludf.DUMMYFUNCTION("""COMPUTED_VALUE"""),0.0)</f>
        <v>0</v>
      </c>
      <c r="S229" s="16">
        <f>IFERROR(__xludf.DUMMYFUNCTION("""COMPUTED_VALUE"""),0.0)</f>
        <v>0</v>
      </c>
      <c r="T229" s="16">
        <f>IFERROR(__xludf.DUMMYFUNCTION("""COMPUTED_VALUE"""),0.0)</f>
        <v>0</v>
      </c>
      <c r="U229" s="16">
        <f>IFERROR(__xludf.DUMMYFUNCTION("""COMPUTED_VALUE"""),0.0)</f>
        <v>0</v>
      </c>
      <c r="V229" s="16">
        <f>IFERROR(__xludf.DUMMYFUNCTION("""COMPUTED_VALUE"""),0.0)</f>
        <v>0</v>
      </c>
      <c r="W229" s="16">
        <f>IFERROR(__xludf.DUMMYFUNCTION("""COMPUTED_VALUE"""),0.0)</f>
        <v>0</v>
      </c>
      <c r="X229" s="16">
        <f>IFERROR(__xludf.DUMMYFUNCTION("""COMPUTED_VALUE"""),0.0)</f>
        <v>0</v>
      </c>
      <c r="Y229" s="16">
        <f>IFERROR(__xludf.DUMMYFUNCTION("""COMPUTED_VALUE"""),0.0)</f>
        <v>0</v>
      </c>
      <c r="Z229" s="16">
        <f>IFERROR(__xludf.DUMMYFUNCTION("""COMPUTED_VALUE"""),0.0)</f>
        <v>0</v>
      </c>
      <c r="AA229" s="16">
        <f>IFERROR(__xludf.DUMMYFUNCTION("""COMPUTED_VALUE"""),0.0)</f>
        <v>0</v>
      </c>
      <c r="AB229" s="16">
        <f>IFERROR(__xludf.DUMMYFUNCTION("""COMPUTED_VALUE"""),0.0)</f>
        <v>0</v>
      </c>
      <c r="AC229" s="16">
        <f>IFERROR(__xludf.DUMMYFUNCTION("""COMPUTED_VALUE"""),0.0)</f>
        <v>0</v>
      </c>
      <c r="AD229" s="16">
        <f>IFERROR(__xludf.DUMMYFUNCTION("""COMPUTED_VALUE"""),0.0)</f>
        <v>0</v>
      </c>
      <c r="AE229" s="16">
        <f>IFERROR(__xludf.DUMMYFUNCTION("""COMPUTED_VALUE"""),0.0)</f>
        <v>0</v>
      </c>
      <c r="AF229" s="16">
        <f>IFERROR(__xludf.DUMMYFUNCTION("""COMPUTED_VALUE"""),0.0)</f>
        <v>0</v>
      </c>
      <c r="AG229" s="16">
        <f>IFERROR(__xludf.DUMMYFUNCTION("""COMPUTED_VALUE"""),0.0)</f>
        <v>0</v>
      </c>
      <c r="AH229" s="16">
        <f>IFERROR(__xludf.DUMMYFUNCTION("""COMPUTED_VALUE"""),0.0)</f>
        <v>0</v>
      </c>
    </row>
    <row r="230">
      <c r="A230" s="16" t="str">
        <f>IFERROR(__xludf.DUMMYFUNCTION("""COMPUTED_VALUE"""),"c6786de3c05a64c2f4c13acbe0e61d8d4e111aad")</f>
        <v>c6786de3c05a64c2f4c13acbe0e61d8d4e111aad</v>
      </c>
      <c r="B230" s="16" t="str">
        <f>IFERROR(__xludf.DUMMYFUNCTION("""COMPUTED_VALUE"""),"Mr. Kane's Reluctant Wife")</f>
        <v>Mr. Kane's Reluctant Wife</v>
      </c>
      <c r="C230" s="16" t="str">
        <f>IFERROR(__xludf.DUMMYFUNCTION("""COMPUTED_VALUE"""),"Romance")</f>
        <v>Romance</v>
      </c>
      <c r="D230" s="16">
        <f>IFERROR(__xludf.DUMMYFUNCTION("""COMPUTED_VALUE"""),103.0)</f>
        <v>103</v>
      </c>
      <c r="E230" s="16">
        <f>IFERROR(__xludf.DUMMYFUNCTION("""COMPUTED_VALUE"""),0.941747572815534)</f>
        <v>0.9417475728</v>
      </c>
      <c r="F230" s="16">
        <f>IFERROR(__xludf.DUMMYFUNCTION("""COMPUTED_VALUE"""),0.524271844660194)</f>
        <v>0.5242718447</v>
      </c>
      <c r="G230" s="16">
        <f>IFERROR(__xludf.DUMMYFUNCTION("""COMPUTED_VALUE"""),0.504854368932038)</f>
        <v>0.5048543689</v>
      </c>
      <c r="H230" s="16">
        <f>IFERROR(__xludf.DUMMYFUNCTION("""COMPUTED_VALUE"""),0.466019417475728)</f>
        <v>0.4660194175</v>
      </c>
      <c r="I230" s="16">
        <f>IFERROR(__xludf.DUMMYFUNCTION("""COMPUTED_VALUE"""),0.45631067961165)</f>
        <v>0.4563106796</v>
      </c>
      <c r="J230" s="16">
        <f>IFERROR(__xludf.DUMMYFUNCTION("""COMPUTED_VALUE"""),0.45631067961165)</f>
        <v>0.4563106796</v>
      </c>
      <c r="K230" s="16">
        <f>IFERROR(__xludf.DUMMYFUNCTION("""COMPUTED_VALUE"""),0.446601941747572)</f>
        <v>0.4466019417</v>
      </c>
      <c r="L230" s="16">
        <f>IFERROR(__xludf.DUMMYFUNCTION("""COMPUTED_VALUE"""),0.436893203883495)</f>
        <v>0.4368932039</v>
      </c>
      <c r="M230" s="16">
        <f>IFERROR(__xludf.DUMMYFUNCTION("""COMPUTED_VALUE"""),0.436893203883495)</f>
        <v>0.4368932039</v>
      </c>
      <c r="N230" s="16">
        <f>IFERROR(__xludf.DUMMYFUNCTION("""COMPUTED_VALUE"""),0.436893203883495)</f>
        <v>0.4368932039</v>
      </c>
      <c r="O230" s="16">
        <f>IFERROR(__xludf.DUMMYFUNCTION("""COMPUTED_VALUE"""),0.405940594059405)</f>
        <v>0.4059405941</v>
      </c>
      <c r="P230" s="16">
        <f>IFERROR(__xludf.DUMMYFUNCTION("""COMPUTED_VALUE"""),0.2875)</f>
        <v>0.2875</v>
      </c>
      <c r="Q230" s="16">
        <f>IFERROR(__xludf.DUMMYFUNCTION("""COMPUTED_VALUE"""),0.2)</f>
        <v>0.2</v>
      </c>
      <c r="R230" s="16">
        <f>IFERROR(__xludf.DUMMYFUNCTION("""COMPUTED_VALUE"""),0.0)</f>
        <v>0</v>
      </c>
      <c r="S230" s="16">
        <f>IFERROR(__xludf.DUMMYFUNCTION("""COMPUTED_VALUE"""),0.0)</f>
        <v>0</v>
      </c>
      <c r="T230" s="16">
        <f>IFERROR(__xludf.DUMMYFUNCTION("""COMPUTED_VALUE"""),0.0)</f>
        <v>0</v>
      </c>
      <c r="U230" s="16">
        <f>IFERROR(__xludf.DUMMYFUNCTION("""COMPUTED_VALUE"""),0.0)</f>
        <v>0</v>
      </c>
      <c r="V230" s="16">
        <f>IFERROR(__xludf.DUMMYFUNCTION("""COMPUTED_VALUE"""),0.0)</f>
        <v>0</v>
      </c>
      <c r="W230" s="16">
        <f>IFERROR(__xludf.DUMMYFUNCTION("""COMPUTED_VALUE"""),0.0)</f>
        <v>0</v>
      </c>
      <c r="X230" s="16">
        <f>IFERROR(__xludf.DUMMYFUNCTION("""COMPUTED_VALUE"""),0.0)</f>
        <v>0</v>
      </c>
      <c r="Y230" s="16">
        <f>IFERROR(__xludf.DUMMYFUNCTION("""COMPUTED_VALUE"""),0.0)</f>
        <v>0</v>
      </c>
      <c r="Z230" s="16">
        <f>IFERROR(__xludf.DUMMYFUNCTION("""COMPUTED_VALUE"""),0.0)</f>
        <v>0</v>
      </c>
      <c r="AA230" s="16">
        <f>IFERROR(__xludf.DUMMYFUNCTION("""COMPUTED_VALUE"""),0.0)</f>
        <v>0</v>
      </c>
      <c r="AB230" s="16">
        <f>IFERROR(__xludf.DUMMYFUNCTION("""COMPUTED_VALUE"""),0.0)</f>
        <v>0</v>
      </c>
      <c r="AC230" s="16">
        <f>IFERROR(__xludf.DUMMYFUNCTION("""COMPUTED_VALUE"""),0.0)</f>
        <v>0</v>
      </c>
      <c r="AD230" s="16">
        <f>IFERROR(__xludf.DUMMYFUNCTION("""COMPUTED_VALUE"""),0.0)</f>
        <v>0</v>
      </c>
      <c r="AE230" s="16">
        <f>IFERROR(__xludf.DUMMYFUNCTION("""COMPUTED_VALUE"""),0.0)</f>
        <v>0</v>
      </c>
      <c r="AF230" s="16">
        <f>IFERROR(__xludf.DUMMYFUNCTION("""COMPUTED_VALUE"""),0.0)</f>
        <v>0</v>
      </c>
      <c r="AG230" s="16">
        <f>IFERROR(__xludf.DUMMYFUNCTION("""COMPUTED_VALUE"""),0.0)</f>
        <v>0</v>
      </c>
      <c r="AH230" s="16">
        <f>IFERROR(__xludf.DUMMYFUNCTION("""COMPUTED_VALUE"""),0.0)</f>
        <v>0</v>
      </c>
    </row>
    <row r="231">
      <c r="A231" s="16" t="str">
        <f>IFERROR(__xludf.DUMMYFUNCTION("""COMPUTED_VALUE"""),"c8219b2f9d80ce631da27b15849041dbb194dc76")</f>
        <v>c8219b2f9d80ce631da27b15849041dbb194dc76</v>
      </c>
      <c r="B231" s="16" t="str">
        <f>IFERROR(__xludf.DUMMYFUNCTION("""COMPUTED_VALUE"""),"The Fire God's Heir")</f>
        <v>The Fire God's Heir</v>
      </c>
      <c r="C231" s="16" t="str">
        <f>IFERROR(__xludf.DUMMYFUNCTION("""COMPUTED_VALUE"""),"Romantasy")</f>
        <v>Romantasy</v>
      </c>
      <c r="D231" s="16">
        <f>IFERROR(__xludf.DUMMYFUNCTION("""COMPUTED_VALUE"""),780.0)</f>
        <v>780</v>
      </c>
      <c r="E231" s="16">
        <f>IFERROR(__xludf.DUMMYFUNCTION("""COMPUTED_VALUE"""),0.979487179487179)</f>
        <v>0.9794871795</v>
      </c>
      <c r="F231" s="16">
        <f>IFERROR(__xludf.DUMMYFUNCTION("""COMPUTED_VALUE"""),0.601282051282051)</f>
        <v>0.6012820513</v>
      </c>
      <c r="G231" s="16">
        <f>IFERROR(__xludf.DUMMYFUNCTION("""COMPUTED_VALUE"""),0.525032092426187)</f>
        <v>0.5250320924</v>
      </c>
      <c r="H231" s="16">
        <f>IFERROR(__xludf.DUMMYFUNCTION("""COMPUTED_VALUE"""),0.369934640522875)</f>
        <v>0.3699346405</v>
      </c>
      <c r="I231" s="16">
        <f>IFERROR(__xludf.DUMMYFUNCTION("""COMPUTED_VALUE"""),0.296246648793565)</f>
        <v>0.2962466488</v>
      </c>
      <c r="J231" s="16">
        <f>IFERROR(__xludf.DUMMYFUNCTION("""COMPUTED_VALUE"""),0.274741506646971)</f>
        <v>0.2747415066</v>
      </c>
      <c r="K231" s="16">
        <f>IFERROR(__xludf.DUMMYFUNCTION("""COMPUTED_VALUE"""),0.274322169059011)</f>
        <v>0.2743221691</v>
      </c>
      <c r="L231" s="16">
        <f>IFERROR(__xludf.DUMMYFUNCTION("""COMPUTED_VALUE"""),0.263345195729537)</f>
        <v>0.2633451957</v>
      </c>
      <c r="M231" s="16">
        <f>IFERROR(__xludf.DUMMYFUNCTION("""COMPUTED_VALUE"""),0.232954545454545)</f>
        <v>0.2329545455</v>
      </c>
      <c r="N231" s="16">
        <f>IFERROR(__xludf.DUMMYFUNCTION("""COMPUTED_VALUE"""),0.212890625)</f>
        <v>0.212890625</v>
      </c>
      <c r="O231" s="16">
        <f>IFERROR(__xludf.DUMMYFUNCTION("""COMPUTED_VALUE"""),0.146808510638297)</f>
        <v>0.1468085106</v>
      </c>
      <c r="P231" s="16">
        <f>IFERROR(__xludf.DUMMYFUNCTION("""COMPUTED_VALUE"""),0.0858468677494199)</f>
        <v>0.08584686775</v>
      </c>
      <c r="Q231" s="16">
        <f>IFERROR(__xludf.DUMMYFUNCTION("""COMPUTED_VALUE"""),0.0706521739130434)</f>
        <v>0.07065217391</v>
      </c>
      <c r="R231" s="16">
        <f>IFERROR(__xludf.DUMMYFUNCTION("""COMPUTED_VALUE"""),0.0)</f>
        <v>0</v>
      </c>
      <c r="S231" s="16">
        <f>IFERROR(__xludf.DUMMYFUNCTION("""COMPUTED_VALUE"""),0.0)</f>
        <v>0</v>
      </c>
      <c r="T231" s="16">
        <f>IFERROR(__xludf.DUMMYFUNCTION("""COMPUTED_VALUE"""),0.0)</f>
        <v>0</v>
      </c>
      <c r="U231" s="16">
        <f>IFERROR(__xludf.DUMMYFUNCTION("""COMPUTED_VALUE"""),0.0)</f>
        <v>0</v>
      </c>
      <c r="V231" s="16">
        <f>IFERROR(__xludf.DUMMYFUNCTION("""COMPUTED_VALUE"""),0.0)</f>
        <v>0</v>
      </c>
      <c r="W231" s="16">
        <f>IFERROR(__xludf.DUMMYFUNCTION("""COMPUTED_VALUE"""),0.0)</f>
        <v>0</v>
      </c>
      <c r="X231" s="16">
        <f>IFERROR(__xludf.DUMMYFUNCTION("""COMPUTED_VALUE"""),0.0)</f>
        <v>0</v>
      </c>
      <c r="Y231" s="16">
        <f>IFERROR(__xludf.DUMMYFUNCTION("""COMPUTED_VALUE"""),0.0)</f>
        <v>0</v>
      </c>
      <c r="Z231" s="16">
        <f>IFERROR(__xludf.DUMMYFUNCTION("""COMPUTED_VALUE"""),0.0)</f>
        <v>0</v>
      </c>
      <c r="AA231" s="16">
        <f>IFERROR(__xludf.DUMMYFUNCTION("""COMPUTED_VALUE"""),0.0)</f>
        <v>0</v>
      </c>
      <c r="AB231" s="16">
        <f>IFERROR(__xludf.DUMMYFUNCTION("""COMPUTED_VALUE"""),0.0)</f>
        <v>0</v>
      </c>
      <c r="AC231" s="16">
        <f>IFERROR(__xludf.DUMMYFUNCTION("""COMPUTED_VALUE"""),0.0)</f>
        <v>0</v>
      </c>
      <c r="AD231" s="16">
        <f>IFERROR(__xludf.DUMMYFUNCTION("""COMPUTED_VALUE"""),0.0)</f>
        <v>0</v>
      </c>
      <c r="AE231" s="16">
        <f>IFERROR(__xludf.DUMMYFUNCTION("""COMPUTED_VALUE"""),0.0)</f>
        <v>0</v>
      </c>
      <c r="AF231" s="16">
        <f>IFERROR(__xludf.DUMMYFUNCTION("""COMPUTED_VALUE"""),0.0)</f>
        <v>0</v>
      </c>
      <c r="AG231" s="16">
        <f>IFERROR(__xludf.DUMMYFUNCTION("""COMPUTED_VALUE"""),0.0)</f>
        <v>0</v>
      </c>
      <c r="AH231" s="16">
        <f>IFERROR(__xludf.DUMMYFUNCTION("""COMPUTED_VALUE"""),0.0)</f>
        <v>0</v>
      </c>
    </row>
    <row r="232">
      <c r="A232" s="16" t="str">
        <f>IFERROR(__xludf.DUMMYFUNCTION("""COMPUTED_VALUE"""),"c9fd6d447c06b151ec4563d30a1e1685e71bd29d")</f>
        <v>c9fd6d447c06b151ec4563d30a1e1685e71bd29d</v>
      </c>
      <c r="B232" s="16" t="str">
        <f>IFERROR(__xludf.DUMMYFUNCTION("""COMPUTED_VALUE"""),"Void Evolution System")</f>
        <v>Void Evolution System</v>
      </c>
      <c r="C232" s="16" t="str">
        <f>IFERROR(__xludf.DUMMYFUNCTION("""COMPUTED_VALUE"""),"Fantasy")</f>
        <v>Fantasy</v>
      </c>
      <c r="D232" s="16">
        <f>IFERROR(__xludf.DUMMYFUNCTION("""COMPUTED_VALUE"""),779.0)</f>
        <v>779</v>
      </c>
      <c r="E232" s="16">
        <f>IFERROR(__xludf.DUMMYFUNCTION("""COMPUTED_VALUE"""),0.976893453145057)</f>
        <v>0.9768934531</v>
      </c>
      <c r="F232" s="16">
        <f>IFERROR(__xludf.DUMMYFUNCTION("""COMPUTED_VALUE"""),0.713735558408215)</f>
        <v>0.7137355584</v>
      </c>
      <c r="G232" s="16">
        <f>IFERROR(__xludf.DUMMYFUNCTION("""COMPUTED_VALUE"""),0.666238767650834)</f>
        <v>0.6662387677</v>
      </c>
      <c r="H232" s="16">
        <f>IFERROR(__xludf.DUMMYFUNCTION("""COMPUTED_VALUE"""),0.62853470437018)</f>
        <v>0.6285347044</v>
      </c>
      <c r="I232" s="16">
        <f>IFERROR(__xludf.DUMMYFUNCTION("""COMPUTED_VALUE"""),0.596401028277635)</f>
        <v>0.5964010283</v>
      </c>
      <c r="J232" s="16">
        <f>IFERROR(__xludf.DUMMYFUNCTION("""COMPUTED_VALUE"""),0.580310880829015)</f>
        <v>0.5803108808</v>
      </c>
      <c r="K232" s="16">
        <f>IFERROR(__xludf.DUMMYFUNCTION("""COMPUTED_VALUE"""),0.562337662337662)</f>
        <v>0.5623376623</v>
      </c>
      <c r="L232" s="16">
        <f>IFERROR(__xludf.DUMMYFUNCTION("""COMPUTED_VALUE"""),0.536041939711664)</f>
        <v>0.5360419397</v>
      </c>
      <c r="M232" s="16">
        <f>IFERROR(__xludf.DUMMYFUNCTION("""COMPUTED_VALUE"""),0.523809523809523)</f>
        <v>0.5238095238</v>
      </c>
      <c r="N232" s="16">
        <f>IFERROR(__xludf.DUMMYFUNCTION("""COMPUTED_VALUE"""),0.504648074369189)</f>
        <v>0.5046480744</v>
      </c>
      <c r="O232" s="16">
        <f>IFERROR(__xludf.DUMMYFUNCTION("""COMPUTED_VALUE"""),0.446280991735537)</f>
        <v>0.4462809917</v>
      </c>
      <c r="P232" s="16">
        <f>IFERROR(__xludf.DUMMYFUNCTION("""COMPUTED_VALUE"""),0.333333333333333)</f>
        <v>0.3333333333</v>
      </c>
      <c r="Q232" s="16">
        <f>IFERROR(__xludf.DUMMYFUNCTION("""COMPUTED_VALUE"""),0.0)</f>
        <v>0</v>
      </c>
      <c r="R232" s="16">
        <f>IFERROR(__xludf.DUMMYFUNCTION("""COMPUTED_VALUE"""),0.0)</f>
        <v>0</v>
      </c>
      <c r="S232" s="16">
        <f>IFERROR(__xludf.DUMMYFUNCTION("""COMPUTED_VALUE"""),0.0)</f>
        <v>0</v>
      </c>
      <c r="T232" s="16">
        <f>IFERROR(__xludf.DUMMYFUNCTION("""COMPUTED_VALUE"""),0.0)</f>
        <v>0</v>
      </c>
      <c r="U232" s="16">
        <f>IFERROR(__xludf.DUMMYFUNCTION("""COMPUTED_VALUE"""),0.0)</f>
        <v>0</v>
      </c>
      <c r="V232" s="16">
        <f>IFERROR(__xludf.DUMMYFUNCTION("""COMPUTED_VALUE"""),0.0)</f>
        <v>0</v>
      </c>
      <c r="W232" s="16">
        <f>IFERROR(__xludf.DUMMYFUNCTION("""COMPUTED_VALUE"""),0.0)</f>
        <v>0</v>
      </c>
      <c r="X232" s="16">
        <f>IFERROR(__xludf.DUMMYFUNCTION("""COMPUTED_VALUE"""),0.0)</f>
        <v>0</v>
      </c>
      <c r="Y232" s="16">
        <f>IFERROR(__xludf.DUMMYFUNCTION("""COMPUTED_VALUE"""),0.0)</f>
        <v>0</v>
      </c>
      <c r="Z232" s="16">
        <f>IFERROR(__xludf.DUMMYFUNCTION("""COMPUTED_VALUE"""),0.0)</f>
        <v>0</v>
      </c>
      <c r="AA232" s="16">
        <f>IFERROR(__xludf.DUMMYFUNCTION("""COMPUTED_VALUE"""),0.0)</f>
        <v>0</v>
      </c>
      <c r="AB232" s="16">
        <f>IFERROR(__xludf.DUMMYFUNCTION("""COMPUTED_VALUE"""),0.0)</f>
        <v>0</v>
      </c>
      <c r="AC232" s="16">
        <f>IFERROR(__xludf.DUMMYFUNCTION("""COMPUTED_VALUE"""),0.0)</f>
        <v>0</v>
      </c>
      <c r="AD232" s="16">
        <f>IFERROR(__xludf.DUMMYFUNCTION("""COMPUTED_VALUE"""),0.0)</f>
        <v>0</v>
      </c>
      <c r="AE232" s="16">
        <f>IFERROR(__xludf.DUMMYFUNCTION("""COMPUTED_VALUE"""),0.0)</f>
        <v>0</v>
      </c>
      <c r="AF232" s="16">
        <f>IFERROR(__xludf.DUMMYFUNCTION("""COMPUTED_VALUE"""),0.0)</f>
        <v>0</v>
      </c>
      <c r="AG232" s="16">
        <f>IFERROR(__xludf.DUMMYFUNCTION("""COMPUTED_VALUE"""),0.0)</f>
        <v>0</v>
      </c>
      <c r="AH232" s="16">
        <f>IFERROR(__xludf.DUMMYFUNCTION("""COMPUTED_VALUE"""),0.0)</f>
        <v>0</v>
      </c>
    </row>
    <row r="233">
      <c r="A233" s="16" t="str">
        <f>IFERROR(__xludf.DUMMYFUNCTION("""COMPUTED_VALUE"""),"cae77d999ed2205a1ab04a54470de972ddd8bc69")</f>
        <v>cae77d999ed2205a1ab04a54470de972ddd8bc69</v>
      </c>
      <c r="B233" s="16" t="str">
        <f>IFERROR(__xludf.DUMMYFUNCTION("""COMPUTED_VALUE"""),"Atlas of My Heart")</f>
        <v>Atlas of My Heart</v>
      </c>
      <c r="C233" s="16" t="str">
        <f>IFERROR(__xludf.DUMMYFUNCTION("""COMPUTED_VALUE"""),"Romance")</f>
        <v>Romance</v>
      </c>
      <c r="D233" s="16">
        <f>IFERROR(__xludf.DUMMYFUNCTION("""COMPUTED_VALUE"""),160.0)</f>
        <v>160</v>
      </c>
      <c r="E233" s="16">
        <f>IFERROR(__xludf.DUMMYFUNCTION("""COMPUTED_VALUE"""),0.96875)</f>
        <v>0.96875</v>
      </c>
      <c r="F233" s="16">
        <f>IFERROR(__xludf.DUMMYFUNCTION("""COMPUTED_VALUE"""),0.59375)</f>
        <v>0.59375</v>
      </c>
      <c r="G233" s="16">
        <f>IFERROR(__xludf.DUMMYFUNCTION("""COMPUTED_VALUE"""),0.4625)</f>
        <v>0.4625</v>
      </c>
      <c r="H233" s="16">
        <f>IFERROR(__xludf.DUMMYFUNCTION("""COMPUTED_VALUE"""),0.41875)</f>
        <v>0.41875</v>
      </c>
      <c r="I233" s="16">
        <f>IFERROR(__xludf.DUMMYFUNCTION("""COMPUTED_VALUE"""),0.3375)</f>
        <v>0.3375</v>
      </c>
      <c r="J233" s="16">
        <f>IFERROR(__xludf.DUMMYFUNCTION("""COMPUTED_VALUE"""),0.2875)</f>
        <v>0.2875</v>
      </c>
      <c r="K233" s="16">
        <f>IFERROR(__xludf.DUMMYFUNCTION("""COMPUTED_VALUE"""),0.284810126582278)</f>
        <v>0.2848101266</v>
      </c>
      <c r="L233" s="16">
        <f>IFERROR(__xludf.DUMMYFUNCTION("""COMPUTED_VALUE"""),0.310126582278481)</f>
        <v>0.3101265823</v>
      </c>
      <c r="M233" s="16">
        <f>IFERROR(__xludf.DUMMYFUNCTION("""COMPUTED_VALUE"""),0.278481012658227)</f>
        <v>0.2784810127</v>
      </c>
      <c r="N233" s="16">
        <f>IFERROR(__xludf.DUMMYFUNCTION("""COMPUTED_VALUE"""),0.278481012658227)</f>
        <v>0.2784810127</v>
      </c>
      <c r="O233" s="16">
        <f>IFERROR(__xludf.DUMMYFUNCTION("""COMPUTED_VALUE"""),0.229299363057324)</f>
        <v>0.2292993631</v>
      </c>
      <c r="P233" s="16">
        <f>IFERROR(__xludf.DUMMYFUNCTION("""COMPUTED_VALUE"""),0.221476510067114)</f>
        <v>0.2214765101</v>
      </c>
      <c r="Q233" s="16">
        <f>IFERROR(__xludf.DUMMYFUNCTION("""COMPUTED_VALUE"""),0.0)</f>
        <v>0</v>
      </c>
      <c r="R233" s="16">
        <f>IFERROR(__xludf.DUMMYFUNCTION("""COMPUTED_VALUE"""),0.0)</f>
        <v>0</v>
      </c>
      <c r="S233" s="16">
        <f>IFERROR(__xludf.DUMMYFUNCTION("""COMPUTED_VALUE"""),0.0)</f>
        <v>0</v>
      </c>
      <c r="T233" s="16">
        <f>IFERROR(__xludf.DUMMYFUNCTION("""COMPUTED_VALUE"""),0.0)</f>
        <v>0</v>
      </c>
      <c r="U233" s="16">
        <f>IFERROR(__xludf.DUMMYFUNCTION("""COMPUTED_VALUE"""),0.0)</f>
        <v>0</v>
      </c>
      <c r="V233" s="16">
        <f>IFERROR(__xludf.DUMMYFUNCTION("""COMPUTED_VALUE"""),0.0)</f>
        <v>0</v>
      </c>
      <c r="W233" s="16">
        <f>IFERROR(__xludf.DUMMYFUNCTION("""COMPUTED_VALUE"""),0.0)</f>
        <v>0</v>
      </c>
      <c r="X233" s="16">
        <f>IFERROR(__xludf.DUMMYFUNCTION("""COMPUTED_VALUE"""),0.0)</f>
        <v>0</v>
      </c>
      <c r="Y233" s="16">
        <f>IFERROR(__xludf.DUMMYFUNCTION("""COMPUTED_VALUE"""),0.0)</f>
        <v>0</v>
      </c>
      <c r="Z233" s="16">
        <f>IFERROR(__xludf.DUMMYFUNCTION("""COMPUTED_VALUE"""),0.0)</f>
        <v>0</v>
      </c>
      <c r="AA233" s="16">
        <f>IFERROR(__xludf.DUMMYFUNCTION("""COMPUTED_VALUE"""),0.0)</f>
        <v>0</v>
      </c>
      <c r="AB233" s="16">
        <f>IFERROR(__xludf.DUMMYFUNCTION("""COMPUTED_VALUE"""),0.0)</f>
        <v>0</v>
      </c>
      <c r="AC233" s="16">
        <f>IFERROR(__xludf.DUMMYFUNCTION("""COMPUTED_VALUE"""),0.0)</f>
        <v>0</v>
      </c>
      <c r="AD233" s="16">
        <f>IFERROR(__xludf.DUMMYFUNCTION("""COMPUTED_VALUE"""),0.0)</f>
        <v>0</v>
      </c>
      <c r="AE233" s="16">
        <f>IFERROR(__xludf.DUMMYFUNCTION("""COMPUTED_VALUE"""),0.0)</f>
        <v>0</v>
      </c>
      <c r="AF233" s="16">
        <f>IFERROR(__xludf.DUMMYFUNCTION("""COMPUTED_VALUE"""),0.0)</f>
        <v>0</v>
      </c>
      <c r="AG233" s="16">
        <f>IFERROR(__xludf.DUMMYFUNCTION("""COMPUTED_VALUE"""),0.0)</f>
        <v>0</v>
      </c>
      <c r="AH233" s="16">
        <f>IFERROR(__xludf.DUMMYFUNCTION("""COMPUTED_VALUE"""),0.0)</f>
        <v>0</v>
      </c>
    </row>
    <row r="234">
      <c r="A234" s="16" t="str">
        <f>IFERROR(__xludf.DUMMYFUNCTION("""COMPUTED_VALUE"""),"cc5ecb3fc21c174557bddcfbc36d821c915d89ed")</f>
        <v>cc5ecb3fc21c174557bddcfbc36d821c915d89ed</v>
      </c>
      <c r="B234" s="16" t="str">
        <f>IFERROR(__xludf.DUMMYFUNCTION("""COMPUTED_VALUE"""),"My Lovely Intruder")</f>
        <v>My Lovely Intruder</v>
      </c>
      <c r="C234" s="16" t="str">
        <f>IFERROR(__xludf.DUMMYFUNCTION("""COMPUTED_VALUE"""),"Romantasy")</f>
        <v>Romantasy</v>
      </c>
      <c r="D234" s="16">
        <f>IFERROR(__xludf.DUMMYFUNCTION("""COMPUTED_VALUE"""),136.0)</f>
        <v>136</v>
      </c>
      <c r="E234" s="16">
        <f>IFERROR(__xludf.DUMMYFUNCTION("""COMPUTED_VALUE"""),0.955882352941176)</f>
        <v>0.9558823529</v>
      </c>
      <c r="F234" s="16">
        <f>IFERROR(__xludf.DUMMYFUNCTION("""COMPUTED_VALUE"""),0.573529411764705)</f>
        <v>0.5735294118</v>
      </c>
      <c r="G234" s="16">
        <f>IFERROR(__xludf.DUMMYFUNCTION("""COMPUTED_VALUE"""),0.5)</f>
        <v>0.5</v>
      </c>
      <c r="H234" s="16">
        <f>IFERROR(__xludf.DUMMYFUNCTION("""COMPUTED_VALUE"""),0.463235294117647)</f>
        <v>0.4632352941</v>
      </c>
      <c r="I234" s="16">
        <f>IFERROR(__xludf.DUMMYFUNCTION("""COMPUTED_VALUE"""),0.411764705882352)</f>
        <v>0.4117647059</v>
      </c>
      <c r="J234" s="16">
        <f>IFERROR(__xludf.DUMMYFUNCTION("""COMPUTED_VALUE"""),0.350746268656716)</f>
        <v>0.3507462687</v>
      </c>
      <c r="K234" s="16">
        <f>IFERROR(__xludf.DUMMYFUNCTION("""COMPUTED_VALUE"""),0.335820895522388)</f>
        <v>0.3358208955</v>
      </c>
      <c r="L234" s="16">
        <f>IFERROR(__xludf.DUMMYFUNCTION("""COMPUTED_VALUE"""),0.31060606060606)</f>
        <v>0.3106060606</v>
      </c>
      <c r="M234" s="16">
        <f>IFERROR(__xludf.DUMMYFUNCTION("""COMPUTED_VALUE"""),0.297709923664122)</f>
        <v>0.2977099237</v>
      </c>
      <c r="N234" s="16">
        <f>IFERROR(__xludf.DUMMYFUNCTION("""COMPUTED_VALUE"""),0.284615384615384)</f>
        <v>0.2846153846</v>
      </c>
      <c r="O234" s="16">
        <f>IFERROR(__xludf.DUMMYFUNCTION("""COMPUTED_VALUE"""),0.272)</f>
        <v>0.272</v>
      </c>
      <c r="P234" s="16">
        <f>IFERROR(__xludf.DUMMYFUNCTION("""COMPUTED_VALUE"""),0.257142857142857)</f>
        <v>0.2571428571</v>
      </c>
      <c r="Q234" s="16">
        <f>IFERROR(__xludf.DUMMYFUNCTION("""COMPUTED_VALUE"""),0.176470588235294)</f>
        <v>0.1764705882</v>
      </c>
      <c r="R234" s="16">
        <f>IFERROR(__xludf.DUMMYFUNCTION("""COMPUTED_VALUE"""),0.0833333333333333)</f>
        <v>0.08333333333</v>
      </c>
      <c r="S234" s="16">
        <f>IFERROR(__xludf.DUMMYFUNCTION("""COMPUTED_VALUE"""),0.0)</f>
        <v>0</v>
      </c>
      <c r="T234" s="16">
        <f>IFERROR(__xludf.DUMMYFUNCTION("""COMPUTED_VALUE"""),0.0)</f>
        <v>0</v>
      </c>
      <c r="U234" s="16">
        <f>IFERROR(__xludf.DUMMYFUNCTION("""COMPUTED_VALUE"""),0.0)</f>
        <v>0</v>
      </c>
      <c r="V234" s="16">
        <f>IFERROR(__xludf.DUMMYFUNCTION("""COMPUTED_VALUE"""),0.0)</f>
        <v>0</v>
      </c>
      <c r="W234" s="16">
        <f>IFERROR(__xludf.DUMMYFUNCTION("""COMPUTED_VALUE"""),0.0)</f>
        <v>0</v>
      </c>
      <c r="X234" s="16">
        <f>IFERROR(__xludf.DUMMYFUNCTION("""COMPUTED_VALUE"""),0.0)</f>
        <v>0</v>
      </c>
      <c r="Y234" s="16">
        <f>IFERROR(__xludf.DUMMYFUNCTION("""COMPUTED_VALUE"""),0.0)</f>
        <v>0</v>
      </c>
      <c r="Z234" s="16">
        <f>IFERROR(__xludf.DUMMYFUNCTION("""COMPUTED_VALUE"""),0.0)</f>
        <v>0</v>
      </c>
      <c r="AA234" s="16">
        <f>IFERROR(__xludf.DUMMYFUNCTION("""COMPUTED_VALUE"""),0.0)</f>
        <v>0</v>
      </c>
      <c r="AB234" s="16">
        <f>IFERROR(__xludf.DUMMYFUNCTION("""COMPUTED_VALUE"""),0.0)</f>
        <v>0</v>
      </c>
      <c r="AC234" s="16">
        <f>IFERROR(__xludf.DUMMYFUNCTION("""COMPUTED_VALUE"""),0.0)</f>
        <v>0</v>
      </c>
      <c r="AD234" s="16">
        <f>IFERROR(__xludf.DUMMYFUNCTION("""COMPUTED_VALUE"""),0.0)</f>
        <v>0</v>
      </c>
      <c r="AE234" s="16">
        <f>IFERROR(__xludf.DUMMYFUNCTION("""COMPUTED_VALUE"""),0.0)</f>
        <v>0</v>
      </c>
      <c r="AF234" s="16">
        <f>IFERROR(__xludf.DUMMYFUNCTION("""COMPUTED_VALUE"""),0.0)</f>
        <v>0</v>
      </c>
      <c r="AG234" s="16">
        <f>IFERROR(__xludf.DUMMYFUNCTION("""COMPUTED_VALUE"""),0.0)</f>
        <v>0</v>
      </c>
      <c r="AH234" s="16">
        <f>IFERROR(__xludf.DUMMYFUNCTION("""COMPUTED_VALUE"""),0.0)</f>
        <v>0</v>
      </c>
    </row>
    <row r="235">
      <c r="A235" s="16" t="str">
        <f>IFERROR(__xludf.DUMMYFUNCTION("""COMPUTED_VALUE"""),"cce017649e6098a735e72b5dbfed27f3c95bad78")</f>
        <v>cce017649e6098a735e72b5dbfed27f3c95bad78</v>
      </c>
      <c r="B235" s="16" t="str">
        <f>IFERROR(__xludf.DUMMYFUNCTION("""COMPUTED_VALUE"""),"Between Love and Betrayal")</f>
        <v>Between Love and Betrayal</v>
      </c>
      <c r="C235" s="16" t="str">
        <f>IFERROR(__xludf.DUMMYFUNCTION("""COMPUTED_VALUE"""),"Romance")</f>
        <v>Romance</v>
      </c>
      <c r="D235" s="16">
        <f>IFERROR(__xludf.DUMMYFUNCTION("""COMPUTED_VALUE"""),104.0)</f>
        <v>104</v>
      </c>
      <c r="E235" s="16">
        <f>IFERROR(__xludf.DUMMYFUNCTION("""COMPUTED_VALUE"""),0.951923076923076)</f>
        <v>0.9519230769</v>
      </c>
      <c r="F235" s="16">
        <f>IFERROR(__xludf.DUMMYFUNCTION("""COMPUTED_VALUE"""),0.557692307692307)</f>
        <v>0.5576923077</v>
      </c>
      <c r="G235" s="16">
        <f>IFERROR(__xludf.DUMMYFUNCTION("""COMPUTED_VALUE"""),0.538461538461538)</f>
        <v>0.5384615385</v>
      </c>
      <c r="H235" s="16">
        <f>IFERROR(__xludf.DUMMYFUNCTION("""COMPUTED_VALUE"""),0.451923076923076)</f>
        <v>0.4519230769</v>
      </c>
      <c r="I235" s="16">
        <f>IFERROR(__xludf.DUMMYFUNCTION("""COMPUTED_VALUE"""),0.394230769230769)</f>
        <v>0.3942307692</v>
      </c>
      <c r="J235" s="16">
        <f>IFERROR(__xludf.DUMMYFUNCTION("""COMPUTED_VALUE"""),0.365384615384615)</f>
        <v>0.3653846154</v>
      </c>
      <c r="K235" s="16">
        <f>IFERROR(__xludf.DUMMYFUNCTION("""COMPUTED_VALUE"""),0.35576923076923)</f>
        <v>0.3557692308</v>
      </c>
      <c r="L235" s="16">
        <f>IFERROR(__xludf.DUMMYFUNCTION("""COMPUTED_VALUE"""),0.33009708737864)</f>
        <v>0.3300970874</v>
      </c>
      <c r="M235" s="16">
        <f>IFERROR(__xludf.DUMMYFUNCTION("""COMPUTED_VALUE"""),0.33009708737864)</f>
        <v>0.3300970874</v>
      </c>
      <c r="N235" s="16">
        <f>IFERROR(__xludf.DUMMYFUNCTION("""COMPUTED_VALUE"""),0.310679611650485)</f>
        <v>0.3106796117</v>
      </c>
      <c r="O235" s="16">
        <f>IFERROR(__xludf.DUMMYFUNCTION("""COMPUTED_VALUE"""),0.244680851063829)</f>
        <v>0.2446808511</v>
      </c>
      <c r="P235" s="16">
        <f>IFERROR(__xludf.DUMMYFUNCTION("""COMPUTED_VALUE"""),0.227848101265822)</f>
        <v>0.2278481013</v>
      </c>
      <c r="Q235" s="16">
        <f>IFERROR(__xludf.DUMMYFUNCTION("""COMPUTED_VALUE"""),0.23076923076923)</f>
        <v>0.2307692308</v>
      </c>
      <c r="R235" s="16">
        <f>IFERROR(__xludf.DUMMYFUNCTION("""COMPUTED_VALUE"""),0.375)</f>
        <v>0.375</v>
      </c>
      <c r="S235" s="16">
        <f>IFERROR(__xludf.DUMMYFUNCTION("""COMPUTED_VALUE"""),0.0)</f>
        <v>0</v>
      </c>
      <c r="T235" s="16">
        <f>IFERROR(__xludf.DUMMYFUNCTION("""COMPUTED_VALUE"""),0.0)</f>
        <v>0</v>
      </c>
      <c r="U235" s="16">
        <f>IFERROR(__xludf.DUMMYFUNCTION("""COMPUTED_VALUE"""),0.0)</f>
        <v>0</v>
      </c>
      <c r="V235" s="16">
        <f>IFERROR(__xludf.DUMMYFUNCTION("""COMPUTED_VALUE"""),0.0)</f>
        <v>0</v>
      </c>
      <c r="W235" s="16">
        <f>IFERROR(__xludf.DUMMYFUNCTION("""COMPUTED_VALUE"""),0.0)</f>
        <v>0</v>
      </c>
      <c r="X235" s="16">
        <f>IFERROR(__xludf.DUMMYFUNCTION("""COMPUTED_VALUE"""),0.0)</f>
        <v>0</v>
      </c>
      <c r="Y235" s="16">
        <f>IFERROR(__xludf.DUMMYFUNCTION("""COMPUTED_VALUE"""),0.0)</f>
        <v>0</v>
      </c>
      <c r="Z235" s="16">
        <f>IFERROR(__xludf.DUMMYFUNCTION("""COMPUTED_VALUE"""),0.0)</f>
        <v>0</v>
      </c>
      <c r="AA235" s="16">
        <f>IFERROR(__xludf.DUMMYFUNCTION("""COMPUTED_VALUE"""),0.0)</f>
        <v>0</v>
      </c>
      <c r="AB235" s="16">
        <f>IFERROR(__xludf.DUMMYFUNCTION("""COMPUTED_VALUE"""),0.0)</f>
        <v>0</v>
      </c>
      <c r="AC235" s="16">
        <f>IFERROR(__xludf.DUMMYFUNCTION("""COMPUTED_VALUE"""),0.0)</f>
        <v>0</v>
      </c>
      <c r="AD235" s="16">
        <f>IFERROR(__xludf.DUMMYFUNCTION("""COMPUTED_VALUE"""),0.0)</f>
        <v>0</v>
      </c>
      <c r="AE235" s="16">
        <f>IFERROR(__xludf.DUMMYFUNCTION("""COMPUTED_VALUE"""),0.0)</f>
        <v>0</v>
      </c>
      <c r="AF235" s="16">
        <f>IFERROR(__xludf.DUMMYFUNCTION("""COMPUTED_VALUE"""),0.0)</f>
        <v>0</v>
      </c>
      <c r="AG235" s="16">
        <f>IFERROR(__xludf.DUMMYFUNCTION("""COMPUTED_VALUE"""),0.0)</f>
        <v>0</v>
      </c>
      <c r="AH235" s="16">
        <f>IFERROR(__xludf.DUMMYFUNCTION("""COMPUTED_VALUE"""),0.0)</f>
        <v>0</v>
      </c>
    </row>
    <row r="236">
      <c r="A236" s="16" t="str">
        <f>IFERROR(__xludf.DUMMYFUNCTION("""COMPUTED_VALUE"""),"cdb3a84d505dbefdca86cae60d3db90f949368f1")</f>
        <v>cdb3a84d505dbefdca86cae60d3db90f949368f1</v>
      </c>
      <c r="B236" s="16" t="str">
        <f>IFERROR(__xludf.DUMMYFUNCTION("""COMPUTED_VALUE"""),"Amulet of the Gods")</f>
        <v>Amulet of the Gods</v>
      </c>
      <c r="C236" s="16" t="str">
        <f>IFERROR(__xludf.DUMMYFUNCTION("""COMPUTED_VALUE"""),"System and Superpower")</f>
        <v>System and Superpower</v>
      </c>
      <c r="D236" s="16">
        <f>IFERROR(__xludf.DUMMYFUNCTION("""COMPUTED_VALUE"""),16143.0)</f>
        <v>16143</v>
      </c>
      <c r="E236" s="16">
        <f>IFERROR(__xludf.DUMMYFUNCTION("""COMPUTED_VALUE"""),0.919779470978133)</f>
        <v>0.919779471</v>
      </c>
      <c r="F236" s="16">
        <f>IFERROR(__xludf.DUMMYFUNCTION("""COMPUTED_VALUE"""),0.590039026203308)</f>
        <v>0.5900390262</v>
      </c>
      <c r="G236" s="16">
        <f>IFERROR(__xludf.DUMMYFUNCTION("""COMPUTED_VALUE"""),0.528897974354209)</f>
        <v>0.5288979744</v>
      </c>
      <c r="H236" s="16">
        <f>IFERROR(__xludf.DUMMYFUNCTION("""COMPUTED_VALUE"""),0.492283854973659)</f>
        <v>0.492283855</v>
      </c>
      <c r="I236" s="16">
        <f>IFERROR(__xludf.DUMMYFUNCTION("""COMPUTED_VALUE"""),0.466356589147286)</f>
        <v>0.4663565891</v>
      </c>
      <c r="J236" s="16">
        <f>IFERROR(__xludf.DUMMYFUNCTION("""COMPUTED_VALUE"""),0.444892890406706)</f>
        <v>0.4448928904</v>
      </c>
      <c r="K236" s="16">
        <f>IFERROR(__xludf.DUMMYFUNCTION("""COMPUTED_VALUE"""),0.428073885191865)</f>
        <v>0.4280738852</v>
      </c>
      <c r="L236" s="16">
        <f>IFERROR(__xludf.DUMMYFUNCTION("""COMPUTED_VALUE"""),0.41574714793342)</f>
        <v>0.4157471479</v>
      </c>
      <c r="M236" s="16">
        <f>IFERROR(__xludf.DUMMYFUNCTION("""COMPUTED_VALUE"""),0.405459429071147)</f>
        <v>0.4054594291</v>
      </c>
      <c r="N236" s="16">
        <f>IFERROR(__xludf.DUMMYFUNCTION("""COMPUTED_VALUE"""),0.399073958202978)</f>
        <v>0.3990739582</v>
      </c>
      <c r="O236" s="16">
        <f>IFERROR(__xludf.DUMMYFUNCTION("""COMPUTED_VALUE"""),0.380630488344178)</f>
        <v>0.3806304883</v>
      </c>
      <c r="P236" s="16">
        <f>IFERROR(__xludf.DUMMYFUNCTION("""COMPUTED_VALUE"""),0.335902662759587)</f>
        <v>0.3359026628</v>
      </c>
      <c r="Q236" s="16">
        <f>IFERROR(__xludf.DUMMYFUNCTION("""COMPUTED_VALUE"""),0.241790271390634)</f>
        <v>0.2417902714</v>
      </c>
      <c r="R236" s="16">
        <f>IFERROR(__xludf.DUMMYFUNCTION("""COMPUTED_VALUE"""),0.18776854769407)</f>
        <v>0.1877685477</v>
      </c>
      <c r="S236" s="16">
        <f>IFERROR(__xludf.DUMMYFUNCTION("""COMPUTED_VALUE"""),0.136931534232883)</f>
        <v>0.1369315342</v>
      </c>
      <c r="T236" s="16">
        <f>IFERROR(__xludf.DUMMYFUNCTION("""COMPUTED_VALUE"""),0.114607189086926)</f>
        <v>0.1146071891</v>
      </c>
      <c r="U236" s="16">
        <f>IFERROR(__xludf.DUMMYFUNCTION("""COMPUTED_VALUE"""),0.0927080087254596)</f>
        <v>0.09270800873</v>
      </c>
      <c r="V236" s="16">
        <f>IFERROR(__xludf.DUMMYFUNCTION("""COMPUTED_VALUE"""),0.0643302928468555)</f>
        <v>0.06433029285</v>
      </c>
      <c r="W236" s="16">
        <f>IFERROR(__xludf.DUMMYFUNCTION("""COMPUTED_VALUE"""),0.0533333333333333)</f>
        <v>0.05333333333</v>
      </c>
      <c r="X236" s="16">
        <f>IFERROR(__xludf.DUMMYFUNCTION("""COMPUTED_VALUE"""),0.0401034928848641)</f>
        <v>0.04010349288</v>
      </c>
      <c r="Y236" s="16">
        <f>IFERROR(__xludf.DUMMYFUNCTION("""COMPUTED_VALUE"""),0.0404040404040404)</f>
        <v>0.0404040404</v>
      </c>
      <c r="Z236" s="16">
        <f>IFERROR(__xludf.DUMMYFUNCTION("""COMPUTED_VALUE"""),0.0)</f>
        <v>0</v>
      </c>
      <c r="AA236" s="16">
        <f>IFERROR(__xludf.DUMMYFUNCTION("""COMPUTED_VALUE"""),0.0)</f>
        <v>0</v>
      </c>
      <c r="AB236" s="16">
        <f>IFERROR(__xludf.DUMMYFUNCTION("""COMPUTED_VALUE"""),0.0)</f>
        <v>0</v>
      </c>
      <c r="AC236" s="16">
        <f>IFERROR(__xludf.DUMMYFUNCTION("""COMPUTED_VALUE"""),0.0)</f>
        <v>0</v>
      </c>
      <c r="AD236" s="16">
        <f>IFERROR(__xludf.DUMMYFUNCTION("""COMPUTED_VALUE"""),0.0)</f>
        <v>0</v>
      </c>
      <c r="AE236" s="16">
        <f>IFERROR(__xludf.DUMMYFUNCTION("""COMPUTED_VALUE"""),0.0)</f>
        <v>0</v>
      </c>
      <c r="AF236" s="16">
        <f>IFERROR(__xludf.DUMMYFUNCTION("""COMPUTED_VALUE"""),0.0)</f>
        <v>0</v>
      </c>
      <c r="AG236" s="16">
        <f>IFERROR(__xludf.DUMMYFUNCTION("""COMPUTED_VALUE"""),0.0)</f>
        <v>0</v>
      </c>
      <c r="AH236" s="16">
        <f>IFERROR(__xludf.DUMMYFUNCTION("""COMPUTED_VALUE"""),0.0)</f>
        <v>0</v>
      </c>
    </row>
    <row r="237">
      <c r="A237" s="16" t="str">
        <f>IFERROR(__xludf.DUMMYFUNCTION("""COMPUTED_VALUE"""),"cec33b3e9f3607e7d8ae32858f0e715a91e937c4")</f>
        <v>cec33b3e9f3607e7d8ae32858f0e715a91e937c4</v>
      </c>
      <c r="B237" s="16" t="str">
        <f>IFERROR(__xludf.DUMMYFUNCTION("""COMPUTED_VALUE"""),"From Squalor to Moneybag")</f>
        <v>From Squalor to Moneybag</v>
      </c>
      <c r="C237" s="16" t="str">
        <f>IFERROR(__xludf.DUMMYFUNCTION("""COMPUTED_VALUE"""),"Drama")</f>
        <v>Drama</v>
      </c>
      <c r="D237" s="16">
        <f>IFERROR(__xludf.DUMMYFUNCTION("""COMPUTED_VALUE"""),822.0)</f>
        <v>822</v>
      </c>
      <c r="E237" s="16">
        <f>IFERROR(__xludf.DUMMYFUNCTION("""COMPUTED_VALUE"""),0.936739659367396)</f>
        <v>0.9367396594</v>
      </c>
      <c r="F237" s="16">
        <f>IFERROR(__xludf.DUMMYFUNCTION("""COMPUTED_VALUE"""),0.652068126520681)</f>
        <v>0.6520681265</v>
      </c>
      <c r="G237" s="16">
        <f>IFERROR(__xludf.DUMMYFUNCTION("""COMPUTED_VALUE"""),0.66301703163017)</f>
        <v>0.6630170316</v>
      </c>
      <c r="H237" s="16">
        <f>IFERROR(__xludf.DUMMYFUNCTION("""COMPUTED_VALUE"""),0.638246041412911)</f>
        <v>0.6382460414</v>
      </c>
      <c r="I237" s="16">
        <f>IFERROR(__xludf.DUMMYFUNCTION("""COMPUTED_VALUE"""),0.557356608478803)</f>
        <v>0.5573566085</v>
      </c>
      <c r="J237" s="16">
        <f>IFERROR(__xludf.DUMMYFUNCTION("""COMPUTED_VALUE"""),0.458279845956354)</f>
        <v>0.458279846</v>
      </c>
      <c r="K237" s="16">
        <f>IFERROR(__xludf.DUMMYFUNCTION("""COMPUTED_VALUE"""),0.393094289508632)</f>
        <v>0.3930942895</v>
      </c>
      <c r="L237" s="16">
        <f>IFERROR(__xludf.DUMMYFUNCTION("""COMPUTED_VALUE"""),0.344192634560906)</f>
        <v>0.3441926346</v>
      </c>
      <c r="M237" s="16">
        <f>IFERROR(__xludf.DUMMYFUNCTION("""COMPUTED_VALUE"""),0.310650887573964)</f>
        <v>0.3106508876</v>
      </c>
      <c r="N237" s="16">
        <f>IFERROR(__xludf.DUMMYFUNCTION("""COMPUTED_VALUE"""),0.282988871224165)</f>
        <v>0.2829888712</v>
      </c>
      <c r="O237" s="16">
        <f>IFERROR(__xludf.DUMMYFUNCTION("""COMPUTED_VALUE"""),0.179924242424242)</f>
        <v>0.1799242424</v>
      </c>
      <c r="P237" s="16">
        <f>IFERROR(__xludf.DUMMYFUNCTION("""COMPUTED_VALUE"""),0.112050739957716)</f>
        <v>0.11205074</v>
      </c>
      <c r="Q237" s="16">
        <f>IFERROR(__xludf.DUMMYFUNCTION("""COMPUTED_VALUE"""),0.0475161987041036)</f>
        <v>0.0475161987</v>
      </c>
      <c r="R237" s="16">
        <f>IFERROR(__xludf.DUMMYFUNCTION("""COMPUTED_VALUE"""),0.0306122448979591)</f>
        <v>0.0306122449</v>
      </c>
      <c r="S237" s="16">
        <f>IFERROR(__xludf.DUMMYFUNCTION("""COMPUTED_VALUE"""),0.0)</f>
        <v>0</v>
      </c>
      <c r="T237" s="16">
        <f>IFERROR(__xludf.DUMMYFUNCTION("""COMPUTED_VALUE"""),0.0)</f>
        <v>0</v>
      </c>
      <c r="U237" s="16">
        <f>IFERROR(__xludf.DUMMYFUNCTION("""COMPUTED_VALUE"""),0.0)</f>
        <v>0</v>
      </c>
      <c r="V237" s="16">
        <f>IFERROR(__xludf.DUMMYFUNCTION("""COMPUTED_VALUE"""),0.0)</f>
        <v>0</v>
      </c>
      <c r="W237" s="16">
        <f>IFERROR(__xludf.DUMMYFUNCTION("""COMPUTED_VALUE"""),0.0)</f>
        <v>0</v>
      </c>
      <c r="X237" s="16">
        <f>IFERROR(__xludf.DUMMYFUNCTION("""COMPUTED_VALUE"""),0.0)</f>
        <v>0</v>
      </c>
      <c r="Y237" s="16">
        <f>IFERROR(__xludf.DUMMYFUNCTION("""COMPUTED_VALUE"""),0.0)</f>
        <v>0</v>
      </c>
      <c r="Z237" s="16">
        <f>IFERROR(__xludf.DUMMYFUNCTION("""COMPUTED_VALUE"""),0.0)</f>
        <v>0</v>
      </c>
      <c r="AA237" s="16">
        <f>IFERROR(__xludf.DUMMYFUNCTION("""COMPUTED_VALUE"""),0.0)</f>
        <v>0</v>
      </c>
      <c r="AB237" s="16">
        <f>IFERROR(__xludf.DUMMYFUNCTION("""COMPUTED_VALUE"""),0.0)</f>
        <v>0</v>
      </c>
      <c r="AC237" s="16">
        <f>IFERROR(__xludf.DUMMYFUNCTION("""COMPUTED_VALUE"""),0.0)</f>
        <v>0</v>
      </c>
      <c r="AD237" s="16">
        <f>IFERROR(__xludf.DUMMYFUNCTION("""COMPUTED_VALUE"""),0.0)</f>
        <v>0</v>
      </c>
      <c r="AE237" s="16">
        <f>IFERROR(__xludf.DUMMYFUNCTION("""COMPUTED_VALUE"""),0.0)</f>
        <v>0</v>
      </c>
      <c r="AF237" s="16">
        <f>IFERROR(__xludf.DUMMYFUNCTION("""COMPUTED_VALUE"""),0.0)</f>
        <v>0</v>
      </c>
      <c r="AG237" s="16">
        <f>IFERROR(__xludf.DUMMYFUNCTION("""COMPUTED_VALUE"""),0.0)</f>
        <v>0</v>
      </c>
      <c r="AH237" s="16">
        <f>IFERROR(__xludf.DUMMYFUNCTION("""COMPUTED_VALUE"""),0.0)</f>
        <v>0</v>
      </c>
    </row>
    <row r="238">
      <c r="A238" s="16" t="str">
        <f>IFERROR(__xludf.DUMMYFUNCTION("""COMPUTED_VALUE"""),"d2aaef61d998c9f90c2df15eafe1acd784549269")</f>
        <v>d2aaef61d998c9f90c2df15eafe1acd784549269</v>
      </c>
      <c r="B238" s="16" t="str">
        <f>IFERROR(__xludf.DUMMYFUNCTION("""COMPUTED_VALUE"""),"Alpha Braxton")</f>
        <v>Alpha Braxton</v>
      </c>
      <c r="C238" s="16" t="str">
        <f>IFERROR(__xludf.DUMMYFUNCTION("""COMPUTED_VALUE"""),"Romantasy")</f>
        <v>Romantasy</v>
      </c>
      <c r="D238" s="16">
        <f>IFERROR(__xludf.DUMMYFUNCTION("""COMPUTED_VALUE"""),547.0)</f>
        <v>547</v>
      </c>
      <c r="E238" s="16">
        <f>IFERROR(__xludf.DUMMYFUNCTION("""COMPUTED_VALUE"""),0.96343692870201)</f>
        <v>0.9634369287</v>
      </c>
      <c r="F238" s="16">
        <f>IFERROR(__xludf.DUMMYFUNCTION("""COMPUTED_VALUE"""),0.535648994515539)</f>
        <v>0.5356489945</v>
      </c>
      <c r="G238" s="16">
        <f>IFERROR(__xludf.DUMMYFUNCTION("""COMPUTED_VALUE"""),0.484460694698354)</f>
        <v>0.4844606947</v>
      </c>
      <c r="H238" s="16">
        <f>IFERROR(__xludf.DUMMYFUNCTION("""COMPUTED_VALUE"""),0.444241316270566)</f>
        <v>0.4442413163</v>
      </c>
      <c r="I238" s="16">
        <f>IFERROR(__xludf.DUMMYFUNCTION("""COMPUTED_VALUE"""),0.407678244972577)</f>
        <v>0.407678245</v>
      </c>
      <c r="J238" s="16">
        <f>IFERROR(__xludf.DUMMYFUNCTION("""COMPUTED_VALUE"""),0.385740402193784)</f>
        <v>0.3857404022</v>
      </c>
      <c r="K238" s="16">
        <f>IFERROR(__xludf.DUMMYFUNCTION("""COMPUTED_VALUE"""),0.377289377289377)</f>
        <v>0.3772893773</v>
      </c>
      <c r="L238" s="16">
        <f>IFERROR(__xludf.DUMMYFUNCTION("""COMPUTED_VALUE"""),0.368131868131868)</f>
        <v>0.3681318681</v>
      </c>
      <c r="M238" s="16">
        <f>IFERROR(__xludf.DUMMYFUNCTION("""COMPUTED_VALUE"""),0.361467889908256)</f>
        <v>0.3614678899</v>
      </c>
      <c r="N238" s="16">
        <f>IFERROR(__xludf.DUMMYFUNCTION("""COMPUTED_VALUE"""),0.361467889908256)</f>
        <v>0.3614678899</v>
      </c>
      <c r="O238" s="16">
        <f>IFERROR(__xludf.DUMMYFUNCTION("""COMPUTED_VALUE"""),0.313075506445672)</f>
        <v>0.3130755064</v>
      </c>
      <c r="P238" s="16">
        <f>IFERROR(__xludf.DUMMYFUNCTION("""COMPUTED_VALUE"""),0.307692307692307)</f>
        <v>0.3076923077</v>
      </c>
      <c r="Q238" s="16">
        <f>IFERROR(__xludf.DUMMYFUNCTION("""COMPUTED_VALUE"""),0.216216216216216)</f>
        <v>0.2162162162</v>
      </c>
      <c r="R238" s="16">
        <f>IFERROR(__xludf.DUMMYFUNCTION("""COMPUTED_VALUE"""),0.117647058823529)</f>
        <v>0.1176470588</v>
      </c>
      <c r="S238" s="16">
        <f>IFERROR(__xludf.DUMMYFUNCTION("""COMPUTED_VALUE"""),0.0)</f>
        <v>0</v>
      </c>
      <c r="T238" s="16">
        <f>IFERROR(__xludf.DUMMYFUNCTION("""COMPUTED_VALUE"""),0.0)</f>
        <v>0</v>
      </c>
      <c r="U238" s="16">
        <f>IFERROR(__xludf.DUMMYFUNCTION("""COMPUTED_VALUE"""),0.0)</f>
        <v>0</v>
      </c>
      <c r="V238" s="16">
        <f>IFERROR(__xludf.DUMMYFUNCTION("""COMPUTED_VALUE"""),0.0)</f>
        <v>0</v>
      </c>
      <c r="W238" s="16">
        <f>IFERROR(__xludf.DUMMYFUNCTION("""COMPUTED_VALUE"""),0.0)</f>
        <v>0</v>
      </c>
      <c r="X238" s="16">
        <f>IFERROR(__xludf.DUMMYFUNCTION("""COMPUTED_VALUE"""),0.0)</f>
        <v>0</v>
      </c>
      <c r="Y238" s="16">
        <f>IFERROR(__xludf.DUMMYFUNCTION("""COMPUTED_VALUE"""),0.0)</f>
        <v>0</v>
      </c>
      <c r="Z238" s="16">
        <f>IFERROR(__xludf.DUMMYFUNCTION("""COMPUTED_VALUE"""),0.0)</f>
        <v>0</v>
      </c>
      <c r="AA238" s="16">
        <f>IFERROR(__xludf.DUMMYFUNCTION("""COMPUTED_VALUE"""),0.0)</f>
        <v>0</v>
      </c>
      <c r="AB238" s="16">
        <f>IFERROR(__xludf.DUMMYFUNCTION("""COMPUTED_VALUE"""),0.0)</f>
        <v>0</v>
      </c>
      <c r="AC238" s="16">
        <f>IFERROR(__xludf.DUMMYFUNCTION("""COMPUTED_VALUE"""),0.0)</f>
        <v>0</v>
      </c>
      <c r="AD238" s="16">
        <f>IFERROR(__xludf.DUMMYFUNCTION("""COMPUTED_VALUE"""),0.0)</f>
        <v>0</v>
      </c>
      <c r="AE238" s="16">
        <f>IFERROR(__xludf.DUMMYFUNCTION("""COMPUTED_VALUE"""),0.0)</f>
        <v>0</v>
      </c>
      <c r="AF238" s="16">
        <f>IFERROR(__xludf.DUMMYFUNCTION("""COMPUTED_VALUE"""),0.0)</f>
        <v>0</v>
      </c>
      <c r="AG238" s="16">
        <f>IFERROR(__xludf.DUMMYFUNCTION("""COMPUTED_VALUE"""),0.0)</f>
        <v>0</v>
      </c>
      <c r="AH238" s="16">
        <f>IFERROR(__xludf.DUMMYFUNCTION("""COMPUTED_VALUE"""),0.0)</f>
        <v>0</v>
      </c>
    </row>
    <row r="239">
      <c r="A239" s="16" t="str">
        <f>IFERROR(__xludf.DUMMYFUNCTION("""COMPUTED_VALUE"""),"d3866fc3c89b4f6e7425ea92decf796ef97098db")</f>
        <v>d3866fc3c89b4f6e7425ea92decf796ef97098db</v>
      </c>
      <c r="B239" s="16" t="str">
        <f>IFERROR(__xludf.DUMMYFUNCTION("""COMPUTED_VALUE"""),"The Billionaire's Twins")</f>
        <v>The Billionaire's Twins</v>
      </c>
      <c r="C239" s="16" t="str">
        <f>IFERROR(__xludf.DUMMYFUNCTION("""COMPUTED_VALUE"""),"Romance")</f>
        <v>Romance</v>
      </c>
      <c r="D239" s="16">
        <f>IFERROR(__xludf.DUMMYFUNCTION("""COMPUTED_VALUE"""),140.0)</f>
        <v>140</v>
      </c>
      <c r="E239" s="16">
        <f>IFERROR(__xludf.DUMMYFUNCTION("""COMPUTED_VALUE"""),0.928571428571428)</f>
        <v>0.9285714286</v>
      </c>
      <c r="F239" s="16">
        <f>IFERROR(__xludf.DUMMYFUNCTION("""COMPUTED_VALUE"""),0.65)</f>
        <v>0.65</v>
      </c>
      <c r="G239" s="16">
        <f>IFERROR(__xludf.DUMMYFUNCTION("""COMPUTED_VALUE"""),0.614285714285714)</f>
        <v>0.6142857143</v>
      </c>
      <c r="H239" s="16">
        <f>IFERROR(__xludf.DUMMYFUNCTION("""COMPUTED_VALUE"""),0.571428571428571)</f>
        <v>0.5714285714</v>
      </c>
      <c r="I239" s="16">
        <f>IFERROR(__xludf.DUMMYFUNCTION("""COMPUTED_VALUE"""),0.546762589928057)</f>
        <v>0.5467625899</v>
      </c>
      <c r="J239" s="16">
        <f>IFERROR(__xludf.DUMMYFUNCTION("""COMPUTED_VALUE"""),0.532374100719424)</f>
        <v>0.5323741007</v>
      </c>
      <c r="K239" s="16">
        <f>IFERROR(__xludf.DUMMYFUNCTION("""COMPUTED_VALUE"""),0.503703703703703)</f>
        <v>0.5037037037</v>
      </c>
      <c r="L239" s="16">
        <f>IFERROR(__xludf.DUMMYFUNCTION("""COMPUTED_VALUE"""),0.488888888888888)</f>
        <v>0.4888888889</v>
      </c>
      <c r="M239" s="16">
        <f>IFERROR(__xludf.DUMMYFUNCTION("""COMPUTED_VALUE"""),0.440298507462686)</f>
        <v>0.4402985075</v>
      </c>
      <c r="N239" s="16">
        <f>IFERROR(__xludf.DUMMYFUNCTION("""COMPUTED_VALUE"""),0.381679389312977)</f>
        <v>0.3816793893</v>
      </c>
      <c r="O239" s="16">
        <f>IFERROR(__xludf.DUMMYFUNCTION("""COMPUTED_VALUE"""),0.283185840707964)</f>
        <v>0.2831858407</v>
      </c>
      <c r="P239" s="16">
        <f>IFERROR(__xludf.DUMMYFUNCTION("""COMPUTED_VALUE"""),0.170731707317073)</f>
        <v>0.1707317073</v>
      </c>
      <c r="Q239" s="16">
        <f>IFERROR(__xludf.DUMMYFUNCTION("""COMPUTED_VALUE"""),0.113207547169811)</f>
        <v>0.1132075472</v>
      </c>
      <c r="R239" s="16">
        <f>IFERROR(__xludf.DUMMYFUNCTION("""COMPUTED_VALUE"""),0.166666666666666)</f>
        <v>0.1666666667</v>
      </c>
      <c r="S239" s="16">
        <f>IFERROR(__xludf.DUMMYFUNCTION("""COMPUTED_VALUE"""),0.0)</f>
        <v>0</v>
      </c>
      <c r="T239" s="16">
        <f>IFERROR(__xludf.DUMMYFUNCTION("""COMPUTED_VALUE"""),0.0)</f>
        <v>0</v>
      </c>
      <c r="U239" s="16">
        <f>IFERROR(__xludf.DUMMYFUNCTION("""COMPUTED_VALUE"""),0.0)</f>
        <v>0</v>
      </c>
      <c r="V239" s="16">
        <f>IFERROR(__xludf.DUMMYFUNCTION("""COMPUTED_VALUE"""),0.0)</f>
        <v>0</v>
      </c>
      <c r="W239" s="16">
        <f>IFERROR(__xludf.DUMMYFUNCTION("""COMPUTED_VALUE"""),0.0)</f>
        <v>0</v>
      </c>
      <c r="X239" s="16">
        <f>IFERROR(__xludf.DUMMYFUNCTION("""COMPUTED_VALUE"""),0.0)</f>
        <v>0</v>
      </c>
      <c r="Y239" s="16">
        <f>IFERROR(__xludf.DUMMYFUNCTION("""COMPUTED_VALUE"""),0.0)</f>
        <v>0</v>
      </c>
      <c r="Z239" s="16">
        <f>IFERROR(__xludf.DUMMYFUNCTION("""COMPUTED_VALUE"""),0.0)</f>
        <v>0</v>
      </c>
      <c r="AA239" s="16">
        <f>IFERROR(__xludf.DUMMYFUNCTION("""COMPUTED_VALUE"""),0.0)</f>
        <v>0</v>
      </c>
      <c r="AB239" s="16">
        <f>IFERROR(__xludf.DUMMYFUNCTION("""COMPUTED_VALUE"""),0.0)</f>
        <v>0</v>
      </c>
      <c r="AC239" s="16">
        <f>IFERROR(__xludf.DUMMYFUNCTION("""COMPUTED_VALUE"""),0.0)</f>
        <v>0</v>
      </c>
      <c r="AD239" s="16">
        <f>IFERROR(__xludf.DUMMYFUNCTION("""COMPUTED_VALUE"""),0.0)</f>
        <v>0</v>
      </c>
      <c r="AE239" s="16">
        <f>IFERROR(__xludf.DUMMYFUNCTION("""COMPUTED_VALUE"""),0.0)</f>
        <v>0</v>
      </c>
      <c r="AF239" s="16">
        <f>IFERROR(__xludf.DUMMYFUNCTION("""COMPUTED_VALUE"""),0.0)</f>
        <v>0</v>
      </c>
      <c r="AG239" s="16">
        <f>IFERROR(__xludf.DUMMYFUNCTION("""COMPUTED_VALUE"""),0.0)</f>
        <v>0</v>
      </c>
      <c r="AH239" s="16">
        <f>IFERROR(__xludf.DUMMYFUNCTION("""COMPUTED_VALUE"""),0.0)</f>
        <v>0</v>
      </c>
    </row>
    <row r="240">
      <c r="A240" s="16" t="str">
        <f>IFERROR(__xludf.DUMMYFUNCTION("""COMPUTED_VALUE"""),"d419897471d8bc8312abf495d27412e669ccf6d0")</f>
        <v>d419897471d8bc8312abf495d27412e669ccf6d0</v>
      </c>
      <c r="B240" s="16" t="str">
        <f>IFERROR(__xludf.DUMMYFUNCTION("""COMPUTED_VALUE"""),"His Borrowed Wife")</f>
        <v>His Borrowed Wife</v>
      </c>
      <c r="C240" s="16" t="str">
        <f>IFERROR(__xludf.DUMMYFUNCTION("""COMPUTED_VALUE"""),"Romance")</f>
        <v>Romance</v>
      </c>
      <c r="D240" s="16">
        <f>IFERROR(__xludf.DUMMYFUNCTION("""COMPUTED_VALUE"""),503.0)</f>
        <v>503</v>
      </c>
      <c r="E240" s="16">
        <f>IFERROR(__xludf.DUMMYFUNCTION("""COMPUTED_VALUE"""),0.962226640159045)</f>
        <v>0.9622266402</v>
      </c>
      <c r="F240" s="16">
        <f>IFERROR(__xludf.DUMMYFUNCTION("""COMPUTED_VALUE"""),0.469184890656063)</f>
        <v>0.4691848907</v>
      </c>
      <c r="G240" s="16">
        <f>IFERROR(__xludf.DUMMYFUNCTION("""COMPUTED_VALUE"""),0.387673956262425)</f>
        <v>0.3876739563</v>
      </c>
      <c r="H240" s="16">
        <f>IFERROR(__xludf.DUMMYFUNCTION("""COMPUTED_VALUE"""),0.350597609561753)</f>
        <v>0.3505976096</v>
      </c>
      <c r="I240" s="16">
        <f>IFERROR(__xludf.DUMMYFUNCTION("""COMPUTED_VALUE"""),0.324)</f>
        <v>0.324</v>
      </c>
      <c r="J240" s="16">
        <f>IFERROR(__xludf.DUMMYFUNCTION("""COMPUTED_VALUE"""),0.315151515151515)</f>
        <v>0.3151515152</v>
      </c>
      <c r="K240" s="16">
        <f>IFERROR(__xludf.DUMMYFUNCTION("""COMPUTED_VALUE"""),0.285714285714285)</f>
        <v>0.2857142857</v>
      </c>
      <c r="L240" s="16">
        <f>IFERROR(__xludf.DUMMYFUNCTION("""COMPUTED_VALUE"""),0.276729559748427)</f>
        <v>0.2767295597</v>
      </c>
      <c r="M240" s="16">
        <f>IFERROR(__xludf.DUMMYFUNCTION("""COMPUTED_VALUE"""),0.270042194092827)</f>
        <v>0.2700421941</v>
      </c>
      <c r="N240" s="16">
        <f>IFERROR(__xludf.DUMMYFUNCTION("""COMPUTED_VALUE"""),0.264516129032258)</f>
        <v>0.264516129</v>
      </c>
      <c r="O240" s="16">
        <f>IFERROR(__xludf.DUMMYFUNCTION("""COMPUTED_VALUE"""),0.257777777777777)</f>
        <v>0.2577777778</v>
      </c>
      <c r="P240" s="16">
        <f>IFERROR(__xludf.DUMMYFUNCTION("""COMPUTED_VALUE"""),0.231213872832369)</f>
        <v>0.2312138728</v>
      </c>
      <c r="Q240" s="16">
        <f>IFERROR(__xludf.DUMMYFUNCTION("""COMPUTED_VALUE"""),0.126582278481012)</f>
        <v>0.1265822785</v>
      </c>
      <c r="R240" s="16">
        <f>IFERROR(__xludf.DUMMYFUNCTION("""COMPUTED_VALUE"""),0.0)</f>
        <v>0</v>
      </c>
      <c r="S240" s="16">
        <f>IFERROR(__xludf.DUMMYFUNCTION("""COMPUTED_VALUE"""),0.0)</f>
        <v>0</v>
      </c>
      <c r="T240" s="16">
        <f>IFERROR(__xludf.DUMMYFUNCTION("""COMPUTED_VALUE"""),0.0)</f>
        <v>0</v>
      </c>
      <c r="U240" s="16">
        <f>IFERROR(__xludf.DUMMYFUNCTION("""COMPUTED_VALUE"""),0.0)</f>
        <v>0</v>
      </c>
      <c r="V240" s="16">
        <f>IFERROR(__xludf.DUMMYFUNCTION("""COMPUTED_VALUE"""),0.0)</f>
        <v>0</v>
      </c>
      <c r="W240" s="16">
        <f>IFERROR(__xludf.DUMMYFUNCTION("""COMPUTED_VALUE"""),0.0)</f>
        <v>0</v>
      </c>
      <c r="X240" s="16">
        <f>IFERROR(__xludf.DUMMYFUNCTION("""COMPUTED_VALUE"""),0.0)</f>
        <v>0</v>
      </c>
      <c r="Y240" s="16">
        <f>IFERROR(__xludf.DUMMYFUNCTION("""COMPUTED_VALUE"""),0.0)</f>
        <v>0</v>
      </c>
      <c r="Z240" s="16">
        <f>IFERROR(__xludf.DUMMYFUNCTION("""COMPUTED_VALUE"""),0.0)</f>
        <v>0</v>
      </c>
      <c r="AA240" s="16">
        <f>IFERROR(__xludf.DUMMYFUNCTION("""COMPUTED_VALUE"""),0.0)</f>
        <v>0</v>
      </c>
      <c r="AB240" s="16">
        <f>IFERROR(__xludf.DUMMYFUNCTION("""COMPUTED_VALUE"""),0.0)</f>
        <v>0</v>
      </c>
      <c r="AC240" s="16">
        <f>IFERROR(__xludf.DUMMYFUNCTION("""COMPUTED_VALUE"""),0.0)</f>
        <v>0</v>
      </c>
      <c r="AD240" s="16">
        <f>IFERROR(__xludf.DUMMYFUNCTION("""COMPUTED_VALUE"""),0.0)</f>
        <v>0</v>
      </c>
      <c r="AE240" s="16">
        <f>IFERROR(__xludf.DUMMYFUNCTION("""COMPUTED_VALUE"""),0.0)</f>
        <v>0</v>
      </c>
      <c r="AF240" s="16">
        <f>IFERROR(__xludf.DUMMYFUNCTION("""COMPUTED_VALUE"""),0.0)</f>
        <v>0</v>
      </c>
      <c r="AG240" s="16">
        <f>IFERROR(__xludf.DUMMYFUNCTION("""COMPUTED_VALUE"""),0.0)</f>
        <v>0</v>
      </c>
      <c r="AH240" s="16">
        <f>IFERROR(__xludf.DUMMYFUNCTION("""COMPUTED_VALUE"""),0.0)</f>
        <v>0</v>
      </c>
    </row>
    <row r="241">
      <c r="A241" s="16" t="str">
        <f>IFERROR(__xludf.DUMMYFUNCTION("""COMPUTED_VALUE"""),"d4bf13e8bbfcd2fa5b75aa042e47479d3a06188b")</f>
        <v>d4bf13e8bbfcd2fa5b75aa042e47479d3a06188b</v>
      </c>
      <c r="B241" s="16" t="str">
        <f>IFERROR(__xludf.DUMMYFUNCTION("""COMPUTED_VALUE"""),"Undead Tamer's Necro Pets")</f>
        <v>Undead Tamer's Necro Pets</v>
      </c>
      <c r="C241" s="16" t="str">
        <f>IFERROR(__xludf.DUMMYFUNCTION("""COMPUTED_VALUE"""),"Fantasy")</f>
        <v>Fantasy</v>
      </c>
      <c r="D241" s="16">
        <f>IFERROR(__xludf.DUMMYFUNCTION("""COMPUTED_VALUE"""),1465.0)</f>
        <v>1465</v>
      </c>
      <c r="E241" s="16">
        <f>IFERROR(__xludf.DUMMYFUNCTION("""COMPUTED_VALUE"""),0.980204778156996)</f>
        <v>0.9802047782</v>
      </c>
      <c r="F241" s="16">
        <f>IFERROR(__xludf.DUMMYFUNCTION("""COMPUTED_VALUE"""),0.521501706484641)</f>
        <v>0.5215017065</v>
      </c>
      <c r="G241" s="16">
        <f>IFERROR(__xludf.DUMMYFUNCTION("""COMPUTED_VALUE"""),0.429351535836177)</f>
        <v>0.4293515358</v>
      </c>
      <c r="H241" s="16">
        <f>IFERROR(__xludf.DUMMYFUNCTION("""COMPUTED_VALUE"""),0.384142173615857)</f>
        <v>0.3841421736</v>
      </c>
      <c r="I241" s="16">
        <f>IFERROR(__xludf.DUMMYFUNCTION("""COMPUTED_VALUE"""),0.366370471633629)</f>
        <v>0.3663704716</v>
      </c>
      <c r="J241" s="16">
        <f>IFERROR(__xludf.DUMMYFUNCTION("""COMPUTED_VALUE"""),0.338588074023303)</f>
        <v>0.338588074</v>
      </c>
      <c r="K241" s="16">
        <f>IFERROR(__xludf.DUMMYFUNCTION("""COMPUTED_VALUE"""),0.321870701513067)</f>
        <v>0.3218707015</v>
      </c>
      <c r="L241" s="16">
        <f>IFERROR(__xludf.DUMMYFUNCTION("""COMPUTED_VALUE"""),0.307317073170731)</f>
        <v>0.3073170732</v>
      </c>
      <c r="M241" s="16">
        <f>IFERROR(__xludf.DUMMYFUNCTION("""COMPUTED_VALUE"""),0.290526315789473)</f>
        <v>0.2905263158</v>
      </c>
      <c r="N241" s="16">
        <f>IFERROR(__xludf.DUMMYFUNCTION("""COMPUTED_VALUE"""),0.279401282965074)</f>
        <v>0.279401283</v>
      </c>
      <c r="O241" s="16">
        <f>IFERROR(__xludf.DUMMYFUNCTION("""COMPUTED_VALUE"""),0.251815980629539)</f>
        <v>0.2518159806</v>
      </c>
      <c r="P241" s="16">
        <f>IFERROR(__xludf.DUMMYFUNCTION("""COMPUTED_VALUE"""),0.260162601626016)</f>
        <v>0.2601626016</v>
      </c>
      <c r="Q241" s="16">
        <f>IFERROR(__xludf.DUMMYFUNCTION("""COMPUTED_VALUE"""),0.0)</f>
        <v>0</v>
      </c>
      <c r="R241" s="16">
        <f>IFERROR(__xludf.DUMMYFUNCTION("""COMPUTED_VALUE"""),0.0)</f>
        <v>0</v>
      </c>
      <c r="S241" s="16">
        <f>IFERROR(__xludf.DUMMYFUNCTION("""COMPUTED_VALUE"""),0.0)</f>
        <v>0</v>
      </c>
      <c r="T241" s="16">
        <f>IFERROR(__xludf.DUMMYFUNCTION("""COMPUTED_VALUE"""),0.0)</f>
        <v>0</v>
      </c>
      <c r="U241" s="16">
        <f>IFERROR(__xludf.DUMMYFUNCTION("""COMPUTED_VALUE"""),0.0)</f>
        <v>0</v>
      </c>
      <c r="V241" s="16">
        <f>IFERROR(__xludf.DUMMYFUNCTION("""COMPUTED_VALUE"""),0.0)</f>
        <v>0</v>
      </c>
      <c r="W241" s="16">
        <f>IFERROR(__xludf.DUMMYFUNCTION("""COMPUTED_VALUE"""),0.0)</f>
        <v>0</v>
      </c>
      <c r="X241" s="16">
        <f>IFERROR(__xludf.DUMMYFUNCTION("""COMPUTED_VALUE"""),0.0)</f>
        <v>0</v>
      </c>
      <c r="Y241" s="16">
        <f>IFERROR(__xludf.DUMMYFUNCTION("""COMPUTED_VALUE"""),0.0)</f>
        <v>0</v>
      </c>
      <c r="Z241" s="16">
        <f>IFERROR(__xludf.DUMMYFUNCTION("""COMPUTED_VALUE"""),0.0)</f>
        <v>0</v>
      </c>
      <c r="AA241" s="16">
        <f>IFERROR(__xludf.DUMMYFUNCTION("""COMPUTED_VALUE"""),0.0)</f>
        <v>0</v>
      </c>
      <c r="AB241" s="16">
        <f>IFERROR(__xludf.DUMMYFUNCTION("""COMPUTED_VALUE"""),0.0)</f>
        <v>0</v>
      </c>
      <c r="AC241" s="16">
        <f>IFERROR(__xludf.DUMMYFUNCTION("""COMPUTED_VALUE"""),0.0)</f>
        <v>0</v>
      </c>
      <c r="AD241" s="16">
        <f>IFERROR(__xludf.DUMMYFUNCTION("""COMPUTED_VALUE"""),0.0)</f>
        <v>0</v>
      </c>
      <c r="AE241" s="16">
        <f>IFERROR(__xludf.DUMMYFUNCTION("""COMPUTED_VALUE"""),0.0)</f>
        <v>0</v>
      </c>
      <c r="AF241" s="16">
        <f>IFERROR(__xludf.DUMMYFUNCTION("""COMPUTED_VALUE"""),0.0)</f>
        <v>0</v>
      </c>
      <c r="AG241" s="16">
        <f>IFERROR(__xludf.DUMMYFUNCTION("""COMPUTED_VALUE"""),0.0)</f>
        <v>0</v>
      </c>
      <c r="AH241" s="16">
        <f>IFERROR(__xludf.DUMMYFUNCTION("""COMPUTED_VALUE"""),0.0)</f>
        <v>0</v>
      </c>
    </row>
    <row r="242">
      <c r="A242" s="16" t="str">
        <f>IFERROR(__xludf.DUMMYFUNCTION("""COMPUTED_VALUE"""),"d687598bacfd959af85400d722a39d5e62aad513")</f>
        <v>d687598bacfd959af85400d722a39d5e62aad513</v>
      </c>
      <c r="B242" s="16" t="str">
        <f>IFERROR(__xludf.DUMMYFUNCTION("""COMPUTED_VALUE"""),"Unexpectedly Mine")</f>
        <v>Unexpectedly Mine</v>
      </c>
      <c r="C242" s="16" t="str">
        <f>IFERROR(__xludf.DUMMYFUNCTION("""COMPUTED_VALUE"""),"Romance")</f>
        <v>Romance</v>
      </c>
      <c r="D242" s="16">
        <f>IFERROR(__xludf.DUMMYFUNCTION("""COMPUTED_VALUE"""),2828.0)</f>
        <v>2828</v>
      </c>
      <c r="E242" s="16">
        <f>IFERROR(__xludf.DUMMYFUNCTION("""COMPUTED_VALUE"""),0.897807637906647)</f>
        <v>0.8978076379</v>
      </c>
      <c r="F242" s="16">
        <f>IFERROR(__xludf.DUMMYFUNCTION("""COMPUTED_VALUE"""),0.48055162659123)</f>
        <v>0.4805516266</v>
      </c>
      <c r="G242" s="16">
        <f>IFERROR(__xludf.DUMMYFUNCTION("""COMPUTED_VALUE"""),0.425035360678925)</f>
        <v>0.4250353607</v>
      </c>
      <c r="H242" s="16">
        <f>IFERROR(__xludf.DUMMYFUNCTION("""COMPUTED_VALUE"""),0.40502299257163)</f>
        <v>0.4050229926</v>
      </c>
      <c r="I242" s="16">
        <f>IFERROR(__xludf.DUMMYFUNCTION("""COMPUTED_VALUE"""),0.387473460721868)</f>
        <v>0.3874734607</v>
      </c>
      <c r="J242" s="16">
        <f>IFERROR(__xludf.DUMMYFUNCTION("""COMPUTED_VALUE"""),0.372257607926397)</f>
        <v>0.3722576079</v>
      </c>
      <c r="K242" s="16">
        <f>IFERROR(__xludf.DUMMYFUNCTION("""COMPUTED_VALUE"""),0.352087756546355)</f>
        <v>0.3520877565</v>
      </c>
      <c r="L242" s="16">
        <f>IFERROR(__xludf.DUMMYFUNCTION("""COMPUTED_VALUE"""),0.32731137088204)</f>
        <v>0.3273113709</v>
      </c>
      <c r="M242" s="16">
        <f>IFERROR(__xludf.DUMMYFUNCTION("""COMPUTED_VALUE"""),0.324946846208362)</f>
        <v>0.3249468462</v>
      </c>
      <c r="N242" s="16">
        <f>IFERROR(__xludf.DUMMYFUNCTION("""COMPUTED_VALUE"""),0.317617866004962)</f>
        <v>0.317617866</v>
      </c>
      <c r="O242" s="16">
        <f>IFERROR(__xludf.DUMMYFUNCTION("""COMPUTED_VALUE"""),0.272921108742004)</f>
        <v>0.2729211087</v>
      </c>
      <c r="P242" s="16">
        <f>IFERROR(__xludf.DUMMYFUNCTION("""COMPUTED_VALUE"""),0.242694226657163)</f>
        <v>0.2426942267</v>
      </c>
      <c r="Q242" s="16">
        <f>IFERROR(__xludf.DUMMYFUNCTION("""COMPUTED_VALUE"""),0.183542039355992)</f>
        <v>0.1835420394</v>
      </c>
      <c r="R242" s="16">
        <f>IFERROR(__xludf.DUMMYFUNCTION("""COMPUTED_VALUE"""),0.162965616045845)</f>
        <v>0.162965616</v>
      </c>
      <c r="S242" s="16">
        <f>IFERROR(__xludf.DUMMYFUNCTION("""COMPUTED_VALUE"""),0.13099173553719)</f>
        <v>0.1309917355</v>
      </c>
      <c r="T242" s="16">
        <f>IFERROR(__xludf.DUMMYFUNCTION("""COMPUTED_VALUE"""),0.112682481751824)</f>
        <v>0.1126824818</v>
      </c>
      <c r="U242" s="16">
        <f>IFERROR(__xludf.DUMMYFUNCTION("""COMPUTED_VALUE"""),0.117726657645466)</f>
        <v>0.1177266576</v>
      </c>
      <c r="V242" s="16">
        <f>IFERROR(__xludf.DUMMYFUNCTION("""COMPUTED_VALUE"""),0.101654846335697)</f>
        <v>0.1016548463</v>
      </c>
      <c r="W242" s="16">
        <f>IFERROR(__xludf.DUMMYFUNCTION("""COMPUTED_VALUE"""),0.0784856879039704)</f>
        <v>0.0784856879</v>
      </c>
      <c r="X242" s="16">
        <f>IFERROR(__xludf.DUMMYFUNCTION("""COMPUTED_VALUE"""),0.0678466076696165)</f>
        <v>0.06784660767</v>
      </c>
      <c r="Y242" s="16">
        <f>IFERROR(__xludf.DUMMYFUNCTION("""COMPUTED_VALUE"""),0.0638063806380638)</f>
        <v>0.06380638064</v>
      </c>
      <c r="Z242" s="16">
        <f>IFERROR(__xludf.DUMMYFUNCTION("""COMPUTED_VALUE"""),0.047112462006079)</f>
        <v>0.04711246201</v>
      </c>
      <c r="AA242" s="16">
        <f>IFERROR(__xludf.DUMMYFUNCTION("""COMPUTED_VALUE"""),0.0315315315315315)</f>
        <v>0.03153153153</v>
      </c>
      <c r="AB242" s="16">
        <f>IFERROR(__xludf.DUMMYFUNCTION("""COMPUTED_VALUE"""),0.0)</f>
        <v>0</v>
      </c>
      <c r="AC242" s="16">
        <f>IFERROR(__xludf.DUMMYFUNCTION("""COMPUTED_VALUE"""),0.0)</f>
        <v>0</v>
      </c>
      <c r="AD242" s="16">
        <f>IFERROR(__xludf.DUMMYFUNCTION("""COMPUTED_VALUE"""),0.0)</f>
        <v>0</v>
      </c>
      <c r="AE242" s="16">
        <f>IFERROR(__xludf.DUMMYFUNCTION("""COMPUTED_VALUE"""),0.0)</f>
        <v>0</v>
      </c>
      <c r="AF242" s="16">
        <f>IFERROR(__xludf.DUMMYFUNCTION("""COMPUTED_VALUE"""),0.0)</f>
        <v>0</v>
      </c>
      <c r="AG242" s="16">
        <f>IFERROR(__xludf.DUMMYFUNCTION("""COMPUTED_VALUE"""),0.0)</f>
        <v>0</v>
      </c>
      <c r="AH242" s="16">
        <f>IFERROR(__xludf.DUMMYFUNCTION("""COMPUTED_VALUE"""),0.0)</f>
        <v>0</v>
      </c>
    </row>
    <row r="243">
      <c r="A243" s="16" t="str">
        <f>IFERROR(__xludf.DUMMYFUNCTION("""COMPUTED_VALUE"""),"d6ecb3540b1fdba82ccfa1fa9d0dbaa8fe59424c")</f>
        <v>d6ecb3540b1fdba82ccfa1fa9d0dbaa8fe59424c</v>
      </c>
      <c r="B243" s="16" t="str">
        <f>IFERROR(__xludf.DUMMYFUNCTION("""COMPUTED_VALUE"""),"Among the Undead")</f>
        <v>Among the Undead</v>
      </c>
      <c r="C243" s="16" t="str">
        <f>IFERROR(__xludf.DUMMYFUNCTION("""COMPUTED_VALUE"""),"Suspense or Thriller")</f>
        <v>Suspense or Thriller</v>
      </c>
      <c r="D243" s="16">
        <f>IFERROR(__xludf.DUMMYFUNCTION("""COMPUTED_VALUE"""),421.0)</f>
        <v>421</v>
      </c>
      <c r="E243" s="16">
        <f>IFERROR(__xludf.DUMMYFUNCTION("""COMPUTED_VALUE"""),0.983372921615201)</f>
        <v>0.9833729216</v>
      </c>
      <c r="F243" s="16">
        <f>IFERROR(__xludf.DUMMYFUNCTION("""COMPUTED_VALUE"""),0.515439429928741)</f>
        <v>0.5154394299</v>
      </c>
      <c r="G243" s="16">
        <f>IFERROR(__xludf.DUMMYFUNCTION("""COMPUTED_VALUE"""),0.375296912114014)</f>
        <v>0.3752969121</v>
      </c>
      <c r="H243" s="16">
        <f>IFERROR(__xludf.DUMMYFUNCTION("""COMPUTED_VALUE"""),0.280285035629453)</f>
        <v>0.2802850356</v>
      </c>
      <c r="I243" s="16">
        <f>IFERROR(__xludf.DUMMYFUNCTION("""COMPUTED_VALUE"""),0.226730310262529)</f>
        <v>0.2267303103</v>
      </c>
      <c r="J243" s="16">
        <f>IFERROR(__xludf.DUMMYFUNCTION("""COMPUTED_VALUE"""),0.205882352941176)</f>
        <v>0.2058823529</v>
      </c>
      <c r="K243" s="16">
        <f>IFERROR(__xludf.DUMMYFUNCTION("""COMPUTED_VALUE"""),0.188442211055276)</f>
        <v>0.1884422111</v>
      </c>
      <c r="L243" s="16">
        <f>IFERROR(__xludf.DUMMYFUNCTION("""COMPUTED_VALUE"""),0.162849872773536)</f>
        <v>0.1628498728</v>
      </c>
      <c r="M243" s="16">
        <f>IFERROR(__xludf.DUMMYFUNCTION("""COMPUTED_VALUE"""),0.146907216494845)</f>
        <v>0.1469072165</v>
      </c>
      <c r="N243" s="16">
        <f>IFERROR(__xludf.DUMMYFUNCTION("""COMPUTED_VALUE"""),0.143603133159268)</f>
        <v>0.1436031332</v>
      </c>
      <c r="O243" s="16">
        <f>IFERROR(__xludf.DUMMYFUNCTION("""COMPUTED_VALUE"""),0.087087087087087)</f>
        <v>0.08708708709</v>
      </c>
      <c r="P243" s="16">
        <f>IFERROR(__xludf.DUMMYFUNCTION("""COMPUTED_VALUE"""),0.0603015075376884)</f>
        <v>0.06030150754</v>
      </c>
      <c r="Q243" s="16">
        <f>IFERROR(__xludf.DUMMYFUNCTION("""COMPUTED_VALUE"""),0.0491803278688524)</f>
        <v>0.04918032787</v>
      </c>
      <c r="R243" s="16">
        <f>IFERROR(__xludf.DUMMYFUNCTION("""COMPUTED_VALUE"""),0.017094017094017)</f>
        <v>0.01709401709</v>
      </c>
      <c r="S243" s="16">
        <f>IFERROR(__xludf.DUMMYFUNCTION("""COMPUTED_VALUE"""),0.009009009009009)</f>
        <v>0.009009009009</v>
      </c>
      <c r="T243" s="16">
        <f>IFERROR(__xludf.DUMMYFUNCTION("""COMPUTED_VALUE"""),0.00961538461538461)</f>
        <v>0.009615384615</v>
      </c>
      <c r="U243" s="16">
        <f>IFERROR(__xludf.DUMMYFUNCTION("""COMPUTED_VALUE"""),0.0)</f>
        <v>0</v>
      </c>
      <c r="V243" s="16">
        <f>IFERROR(__xludf.DUMMYFUNCTION("""COMPUTED_VALUE"""),0.0)</f>
        <v>0</v>
      </c>
      <c r="W243" s="16">
        <f>IFERROR(__xludf.DUMMYFUNCTION("""COMPUTED_VALUE"""),0.0)</f>
        <v>0</v>
      </c>
      <c r="X243" s="16">
        <f>IFERROR(__xludf.DUMMYFUNCTION("""COMPUTED_VALUE"""),0.0)</f>
        <v>0</v>
      </c>
      <c r="Y243" s="16">
        <f>IFERROR(__xludf.DUMMYFUNCTION("""COMPUTED_VALUE"""),0.0)</f>
        <v>0</v>
      </c>
      <c r="Z243" s="16">
        <f>IFERROR(__xludf.DUMMYFUNCTION("""COMPUTED_VALUE"""),0.0)</f>
        <v>0</v>
      </c>
      <c r="AA243" s="16">
        <f>IFERROR(__xludf.DUMMYFUNCTION("""COMPUTED_VALUE"""),0.0)</f>
        <v>0</v>
      </c>
      <c r="AB243" s="16">
        <f>IFERROR(__xludf.DUMMYFUNCTION("""COMPUTED_VALUE"""),0.0)</f>
        <v>0</v>
      </c>
      <c r="AC243" s="16">
        <f>IFERROR(__xludf.DUMMYFUNCTION("""COMPUTED_VALUE"""),0.0)</f>
        <v>0</v>
      </c>
      <c r="AD243" s="16">
        <f>IFERROR(__xludf.DUMMYFUNCTION("""COMPUTED_VALUE"""),0.0)</f>
        <v>0</v>
      </c>
      <c r="AE243" s="16">
        <f>IFERROR(__xludf.DUMMYFUNCTION("""COMPUTED_VALUE"""),0.0)</f>
        <v>0</v>
      </c>
      <c r="AF243" s="16">
        <f>IFERROR(__xludf.DUMMYFUNCTION("""COMPUTED_VALUE"""),0.0)</f>
        <v>0</v>
      </c>
      <c r="AG243" s="16">
        <f>IFERROR(__xludf.DUMMYFUNCTION("""COMPUTED_VALUE"""),0.0)</f>
        <v>0</v>
      </c>
      <c r="AH243" s="16">
        <f>IFERROR(__xludf.DUMMYFUNCTION("""COMPUTED_VALUE"""),0.0)</f>
        <v>0</v>
      </c>
    </row>
    <row r="244">
      <c r="A244" s="16" t="str">
        <f>IFERROR(__xludf.DUMMYFUNCTION("""COMPUTED_VALUE"""),"d71fc923d0820825aefcf4bf75b7743891f7feac")</f>
        <v>d71fc923d0820825aefcf4bf75b7743891f7feac</v>
      </c>
      <c r="B244" s="16" t="str">
        <f>IFERROR(__xludf.DUMMYFUNCTION("""COMPUTED_VALUE"""),"Only One Race")</f>
        <v>Only One Race</v>
      </c>
      <c r="C244" s="16" t="str">
        <f>IFERROR(__xludf.DUMMYFUNCTION("""COMPUTED_VALUE"""),"Fantasy")</f>
        <v>Fantasy</v>
      </c>
      <c r="D244" s="16">
        <f>IFERROR(__xludf.DUMMYFUNCTION("""COMPUTED_VALUE"""),736.0)</f>
        <v>736</v>
      </c>
      <c r="E244" s="16">
        <f>IFERROR(__xludf.DUMMYFUNCTION("""COMPUTED_VALUE"""),0.957880434782608)</f>
        <v>0.9578804348</v>
      </c>
      <c r="F244" s="16">
        <f>IFERROR(__xludf.DUMMYFUNCTION("""COMPUTED_VALUE"""),0.520380434782608)</f>
        <v>0.5203804348</v>
      </c>
      <c r="G244" s="16">
        <f>IFERROR(__xludf.DUMMYFUNCTION("""COMPUTED_VALUE"""),0.482336956521739)</f>
        <v>0.4823369565</v>
      </c>
      <c r="H244" s="16">
        <f>IFERROR(__xludf.DUMMYFUNCTION("""COMPUTED_VALUE"""),0.453061224489795)</f>
        <v>0.4530612245</v>
      </c>
      <c r="I244" s="16">
        <f>IFERROR(__xludf.DUMMYFUNCTION("""COMPUTED_VALUE"""),0.421768707482993)</f>
        <v>0.4217687075</v>
      </c>
      <c r="J244" s="16">
        <f>IFERROR(__xludf.DUMMYFUNCTION("""COMPUTED_VALUE"""),0.398630136986301)</f>
        <v>0.398630137</v>
      </c>
      <c r="K244" s="16">
        <f>IFERROR(__xludf.DUMMYFUNCTION("""COMPUTED_VALUE"""),0.386426592797783)</f>
        <v>0.3864265928</v>
      </c>
      <c r="L244" s="16">
        <f>IFERROR(__xludf.DUMMYFUNCTION("""COMPUTED_VALUE"""),0.370056497175141)</f>
        <v>0.3700564972</v>
      </c>
      <c r="M244" s="16">
        <f>IFERROR(__xludf.DUMMYFUNCTION("""COMPUTED_VALUE"""),0.352092352092352)</f>
        <v>0.3520923521</v>
      </c>
      <c r="N244" s="16">
        <f>IFERROR(__xludf.DUMMYFUNCTION("""COMPUTED_VALUE"""),0.345399698340874)</f>
        <v>0.3453996983</v>
      </c>
      <c r="O244" s="16">
        <f>IFERROR(__xludf.DUMMYFUNCTION("""COMPUTED_VALUE"""),0.256972111553784)</f>
        <v>0.2569721116</v>
      </c>
      <c r="P244" s="16">
        <f>IFERROR(__xludf.DUMMYFUNCTION("""COMPUTED_VALUE"""),0.265384615384615)</f>
        <v>0.2653846154</v>
      </c>
      <c r="Q244" s="16">
        <f>IFERROR(__xludf.DUMMYFUNCTION("""COMPUTED_VALUE"""),0.142857142857142)</f>
        <v>0.1428571429</v>
      </c>
      <c r="R244" s="16">
        <f>IFERROR(__xludf.DUMMYFUNCTION("""COMPUTED_VALUE"""),0.181818181818181)</f>
        <v>0.1818181818</v>
      </c>
      <c r="S244" s="16">
        <f>IFERROR(__xludf.DUMMYFUNCTION("""COMPUTED_VALUE"""),0.0)</f>
        <v>0</v>
      </c>
      <c r="T244" s="16">
        <f>IFERROR(__xludf.DUMMYFUNCTION("""COMPUTED_VALUE"""),0.0)</f>
        <v>0</v>
      </c>
      <c r="U244" s="16">
        <f>IFERROR(__xludf.DUMMYFUNCTION("""COMPUTED_VALUE"""),0.0)</f>
        <v>0</v>
      </c>
      <c r="V244" s="16">
        <f>IFERROR(__xludf.DUMMYFUNCTION("""COMPUTED_VALUE"""),0.0)</f>
        <v>0</v>
      </c>
      <c r="W244" s="16">
        <f>IFERROR(__xludf.DUMMYFUNCTION("""COMPUTED_VALUE"""),0.0)</f>
        <v>0</v>
      </c>
      <c r="X244" s="16">
        <f>IFERROR(__xludf.DUMMYFUNCTION("""COMPUTED_VALUE"""),0.0)</f>
        <v>0</v>
      </c>
      <c r="Y244" s="16">
        <f>IFERROR(__xludf.DUMMYFUNCTION("""COMPUTED_VALUE"""),0.0)</f>
        <v>0</v>
      </c>
      <c r="Z244" s="16">
        <f>IFERROR(__xludf.DUMMYFUNCTION("""COMPUTED_VALUE"""),0.0)</f>
        <v>0</v>
      </c>
      <c r="AA244" s="16">
        <f>IFERROR(__xludf.DUMMYFUNCTION("""COMPUTED_VALUE"""),0.0)</f>
        <v>0</v>
      </c>
      <c r="AB244" s="16">
        <f>IFERROR(__xludf.DUMMYFUNCTION("""COMPUTED_VALUE"""),0.0)</f>
        <v>0</v>
      </c>
      <c r="AC244" s="16">
        <f>IFERROR(__xludf.DUMMYFUNCTION("""COMPUTED_VALUE"""),0.0)</f>
        <v>0</v>
      </c>
      <c r="AD244" s="16">
        <f>IFERROR(__xludf.DUMMYFUNCTION("""COMPUTED_VALUE"""),0.0)</f>
        <v>0</v>
      </c>
      <c r="AE244" s="16">
        <f>IFERROR(__xludf.DUMMYFUNCTION("""COMPUTED_VALUE"""),0.0)</f>
        <v>0</v>
      </c>
      <c r="AF244" s="16">
        <f>IFERROR(__xludf.DUMMYFUNCTION("""COMPUTED_VALUE"""),0.0)</f>
        <v>0</v>
      </c>
      <c r="AG244" s="16">
        <f>IFERROR(__xludf.DUMMYFUNCTION("""COMPUTED_VALUE"""),0.0)</f>
        <v>0</v>
      </c>
      <c r="AH244" s="16">
        <f>IFERROR(__xludf.DUMMYFUNCTION("""COMPUTED_VALUE"""),0.0)</f>
        <v>0</v>
      </c>
    </row>
    <row r="245">
      <c r="A245" s="16" t="str">
        <f>IFERROR(__xludf.DUMMYFUNCTION("""COMPUTED_VALUE"""),"da2b63280d328cd78ef9102ea4f7f131a3ff6369")</f>
        <v>da2b63280d328cd78ef9102ea4f7f131a3ff6369</v>
      </c>
      <c r="B245" s="16" t="str">
        <f>IFERROR(__xludf.DUMMYFUNCTION("""COMPUTED_VALUE"""),"I Returned for Revenge")</f>
        <v>I Returned for Revenge</v>
      </c>
      <c r="C245" s="16" t="str">
        <f>IFERROR(__xludf.DUMMYFUNCTION("""COMPUTED_VALUE"""),"Romance")</f>
        <v>Romance</v>
      </c>
      <c r="D245" s="16">
        <f>IFERROR(__xludf.DUMMYFUNCTION("""COMPUTED_VALUE"""),58.0)</f>
        <v>58</v>
      </c>
      <c r="E245" s="16">
        <f>IFERROR(__xludf.DUMMYFUNCTION("""COMPUTED_VALUE"""),0.93103448275862)</f>
        <v>0.9310344828</v>
      </c>
      <c r="F245" s="16">
        <f>IFERROR(__xludf.DUMMYFUNCTION("""COMPUTED_VALUE"""),0.672413793103448)</f>
        <v>0.6724137931</v>
      </c>
      <c r="G245" s="16">
        <f>IFERROR(__xludf.DUMMYFUNCTION("""COMPUTED_VALUE"""),0.603448275862069)</f>
        <v>0.6034482759</v>
      </c>
      <c r="H245" s="16">
        <f>IFERROR(__xludf.DUMMYFUNCTION("""COMPUTED_VALUE"""),0.603448275862069)</f>
        <v>0.6034482759</v>
      </c>
      <c r="I245" s="16">
        <f>IFERROR(__xludf.DUMMYFUNCTION("""COMPUTED_VALUE"""),0.568965517241379)</f>
        <v>0.5689655172</v>
      </c>
      <c r="J245" s="16">
        <f>IFERROR(__xludf.DUMMYFUNCTION("""COMPUTED_VALUE"""),0.568965517241379)</f>
        <v>0.5689655172</v>
      </c>
      <c r="K245" s="16">
        <f>IFERROR(__xludf.DUMMYFUNCTION("""COMPUTED_VALUE"""),0.526315789473684)</f>
        <v>0.5263157895</v>
      </c>
      <c r="L245" s="16">
        <f>IFERROR(__xludf.DUMMYFUNCTION("""COMPUTED_VALUE"""),0.526315789473684)</f>
        <v>0.5263157895</v>
      </c>
      <c r="M245" s="16">
        <f>IFERROR(__xludf.DUMMYFUNCTION("""COMPUTED_VALUE"""),0.527272727272727)</f>
        <v>0.5272727273</v>
      </c>
      <c r="N245" s="16">
        <f>IFERROR(__xludf.DUMMYFUNCTION("""COMPUTED_VALUE"""),0.5)</f>
        <v>0.5</v>
      </c>
      <c r="O245" s="16">
        <f>IFERROR(__xludf.DUMMYFUNCTION("""COMPUTED_VALUE"""),0.302325581395348)</f>
        <v>0.3023255814</v>
      </c>
      <c r="P245" s="16">
        <f>IFERROR(__xludf.DUMMYFUNCTION("""COMPUTED_VALUE"""),0.176470588235294)</f>
        <v>0.1764705882</v>
      </c>
      <c r="Q245" s="16">
        <f>IFERROR(__xludf.DUMMYFUNCTION("""COMPUTED_VALUE"""),0.0)</f>
        <v>0</v>
      </c>
      <c r="R245" s="16">
        <f>IFERROR(__xludf.DUMMYFUNCTION("""COMPUTED_VALUE"""),0.0)</f>
        <v>0</v>
      </c>
      <c r="S245" s="16">
        <f>IFERROR(__xludf.DUMMYFUNCTION("""COMPUTED_VALUE"""),0.0)</f>
        <v>0</v>
      </c>
      <c r="T245" s="16">
        <f>IFERROR(__xludf.DUMMYFUNCTION("""COMPUTED_VALUE"""),0.0)</f>
        <v>0</v>
      </c>
      <c r="U245" s="16">
        <f>IFERROR(__xludf.DUMMYFUNCTION("""COMPUTED_VALUE"""),0.0)</f>
        <v>0</v>
      </c>
      <c r="V245" s="16">
        <f>IFERROR(__xludf.DUMMYFUNCTION("""COMPUTED_VALUE"""),0.0)</f>
        <v>0</v>
      </c>
      <c r="W245" s="16">
        <f>IFERROR(__xludf.DUMMYFUNCTION("""COMPUTED_VALUE"""),0.0)</f>
        <v>0</v>
      </c>
      <c r="X245" s="16">
        <f>IFERROR(__xludf.DUMMYFUNCTION("""COMPUTED_VALUE"""),0.0)</f>
        <v>0</v>
      </c>
      <c r="Y245" s="16">
        <f>IFERROR(__xludf.DUMMYFUNCTION("""COMPUTED_VALUE"""),0.0)</f>
        <v>0</v>
      </c>
      <c r="Z245" s="16">
        <f>IFERROR(__xludf.DUMMYFUNCTION("""COMPUTED_VALUE"""),0.0)</f>
        <v>0</v>
      </c>
      <c r="AA245" s="16">
        <f>IFERROR(__xludf.DUMMYFUNCTION("""COMPUTED_VALUE"""),0.0)</f>
        <v>0</v>
      </c>
      <c r="AB245" s="16">
        <f>IFERROR(__xludf.DUMMYFUNCTION("""COMPUTED_VALUE"""),0.0)</f>
        <v>0</v>
      </c>
      <c r="AC245" s="16">
        <f>IFERROR(__xludf.DUMMYFUNCTION("""COMPUTED_VALUE"""),0.0)</f>
        <v>0</v>
      </c>
      <c r="AD245" s="16">
        <f>IFERROR(__xludf.DUMMYFUNCTION("""COMPUTED_VALUE"""),0.0)</f>
        <v>0</v>
      </c>
      <c r="AE245" s="16">
        <f>IFERROR(__xludf.DUMMYFUNCTION("""COMPUTED_VALUE"""),0.0)</f>
        <v>0</v>
      </c>
      <c r="AF245" s="16">
        <f>IFERROR(__xludf.DUMMYFUNCTION("""COMPUTED_VALUE"""),0.0)</f>
        <v>0</v>
      </c>
      <c r="AG245" s="16">
        <f>IFERROR(__xludf.DUMMYFUNCTION("""COMPUTED_VALUE"""),0.0)</f>
        <v>0</v>
      </c>
      <c r="AH245" s="16">
        <f>IFERROR(__xludf.DUMMYFUNCTION("""COMPUTED_VALUE"""),0.0)</f>
        <v>0</v>
      </c>
    </row>
    <row r="246">
      <c r="A246" s="16" t="str">
        <f>IFERROR(__xludf.DUMMYFUNCTION("""COMPUTED_VALUE"""),"da5271db73c1f23560f26da633ebffb91df9abd6")</f>
        <v>da5271db73c1f23560f26da633ebffb91df9abd6</v>
      </c>
      <c r="B246" s="16" t="str">
        <f>IFERROR(__xludf.DUMMYFUNCTION("""COMPUTED_VALUE"""),"Sold to the Alpha King")</f>
        <v>Sold to the Alpha King</v>
      </c>
      <c r="C246" s="16" t="str">
        <f>IFERROR(__xludf.DUMMYFUNCTION("""COMPUTED_VALUE"""),"Romance")</f>
        <v>Romance</v>
      </c>
      <c r="D246" s="16">
        <f>IFERROR(__xludf.DUMMYFUNCTION("""COMPUTED_VALUE"""),52.0)</f>
        <v>52</v>
      </c>
      <c r="E246" s="16">
        <f>IFERROR(__xludf.DUMMYFUNCTION("""COMPUTED_VALUE"""),0.961538461538461)</f>
        <v>0.9615384615</v>
      </c>
      <c r="F246" s="16">
        <f>IFERROR(__xludf.DUMMYFUNCTION("""COMPUTED_VALUE"""),0.519230769230769)</f>
        <v>0.5192307692</v>
      </c>
      <c r="G246" s="16">
        <f>IFERROR(__xludf.DUMMYFUNCTION("""COMPUTED_VALUE"""),0.403846153846153)</f>
        <v>0.4038461538</v>
      </c>
      <c r="H246" s="16">
        <f>IFERROR(__xludf.DUMMYFUNCTION("""COMPUTED_VALUE"""),0.352941176470588)</f>
        <v>0.3529411765</v>
      </c>
      <c r="I246" s="16">
        <f>IFERROR(__xludf.DUMMYFUNCTION("""COMPUTED_VALUE"""),0.294117647058823)</f>
        <v>0.2941176471</v>
      </c>
      <c r="J246" s="16">
        <f>IFERROR(__xludf.DUMMYFUNCTION("""COMPUTED_VALUE"""),0.26)</f>
        <v>0.26</v>
      </c>
      <c r="K246" s="16">
        <f>IFERROR(__xludf.DUMMYFUNCTION("""COMPUTED_VALUE"""),0.24)</f>
        <v>0.24</v>
      </c>
      <c r="L246" s="16">
        <f>IFERROR(__xludf.DUMMYFUNCTION("""COMPUTED_VALUE"""),0.229166666666666)</f>
        <v>0.2291666667</v>
      </c>
      <c r="M246" s="16">
        <f>IFERROR(__xludf.DUMMYFUNCTION("""COMPUTED_VALUE"""),0.239130434782608)</f>
        <v>0.2391304348</v>
      </c>
      <c r="N246" s="16">
        <f>IFERROR(__xludf.DUMMYFUNCTION("""COMPUTED_VALUE"""),0.222222222222222)</f>
        <v>0.2222222222</v>
      </c>
      <c r="O246" s="16">
        <f>IFERROR(__xludf.DUMMYFUNCTION("""COMPUTED_VALUE"""),0.1875)</f>
        <v>0.1875</v>
      </c>
      <c r="P246" s="16">
        <f>IFERROR(__xludf.DUMMYFUNCTION("""COMPUTED_VALUE"""),0.272727272727272)</f>
        <v>0.2727272727</v>
      </c>
      <c r="Q246" s="16">
        <f>IFERROR(__xludf.DUMMYFUNCTION("""COMPUTED_VALUE"""),0.0)</f>
        <v>0</v>
      </c>
      <c r="R246" s="16">
        <f>IFERROR(__xludf.DUMMYFUNCTION("""COMPUTED_VALUE"""),0.0)</f>
        <v>0</v>
      </c>
      <c r="S246" s="16">
        <f>IFERROR(__xludf.DUMMYFUNCTION("""COMPUTED_VALUE"""),0.0)</f>
        <v>0</v>
      </c>
      <c r="T246" s="16">
        <f>IFERROR(__xludf.DUMMYFUNCTION("""COMPUTED_VALUE"""),0.0)</f>
        <v>0</v>
      </c>
      <c r="U246" s="16">
        <f>IFERROR(__xludf.DUMMYFUNCTION("""COMPUTED_VALUE"""),0.0)</f>
        <v>0</v>
      </c>
      <c r="V246" s="16">
        <f>IFERROR(__xludf.DUMMYFUNCTION("""COMPUTED_VALUE"""),0.0)</f>
        <v>0</v>
      </c>
      <c r="W246" s="16">
        <f>IFERROR(__xludf.DUMMYFUNCTION("""COMPUTED_VALUE"""),0.0)</f>
        <v>0</v>
      </c>
      <c r="X246" s="16">
        <f>IFERROR(__xludf.DUMMYFUNCTION("""COMPUTED_VALUE"""),0.0)</f>
        <v>0</v>
      </c>
      <c r="Y246" s="16">
        <f>IFERROR(__xludf.DUMMYFUNCTION("""COMPUTED_VALUE"""),0.0)</f>
        <v>0</v>
      </c>
      <c r="Z246" s="16">
        <f>IFERROR(__xludf.DUMMYFUNCTION("""COMPUTED_VALUE"""),0.0)</f>
        <v>0</v>
      </c>
      <c r="AA246" s="16">
        <f>IFERROR(__xludf.DUMMYFUNCTION("""COMPUTED_VALUE"""),0.0)</f>
        <v>0</v>
      </c>
      <c r="AB246" s="16">
        <f>IFERROR(__xludf.DUMMYFUNCTION("""COMPUTED_VALUE"""),0.0)</f>
        <v>0</v>
      </c>
      <c r="AC246" s="16">
        <f>IFERROR(__xludf.DUMMYFUNCTION("""COMPUTED_VALUE"""),0.0)</f>
        <v>0</v>
      </c>
      <c r="AD246" s="16">
        <f>IFERROR(__xludf.DUMMYFUNCTION("""COMPUTED_VALUE"""),0.0)</f>
        <v>0</v>
      </c>
      <c r="AE246" s="16">
        <f>IFERROR(__xludf.DUMMYFUNCTION("""COMPUTED_VALUE"""),0.0)</f>
        <v>0</v>
      </c>
      <c r="AF246" s="16">
        <f>IFERROR(__xludf.DUMMYFUNCTION("""COMPUTED_VALUE"""),0.0)</f>
        <v>0</v>
      </c>
      <c r="AG246" s="16">
        <f>IFERROR(__xludf.DUMMYFUNCTION("""COMPUTED_VALUE"""),0.0)</f>
        <v>0</v>
      </c>
      <c r="AH246" s="16">
        <f>IFERROR(__xludf.DUMMYFUNCTION("""COMPUTED_VALUE"""),0.0)</f>
        <v>0</v>
      </c>
    </row>
    <row r="247">
      <c r="A247" s="16" t="str">
        <f>IFERROR(__xludf.DUMMYFUNCTION("""COMPUTED_VALUE"""),"da8d32c5473daa3dc16575cdcd79a118bb445ffb")</f>
        <v>da8d32c5473daa3dc16575cdcd79a118bb445ffb</v>
      </c>
      <c r="B247" s="16" t="str">
        <f>IFERROR(__xludf.DUMMYFUNCTION("""COMPUTED_VALUE"""),"Bold Step Against Hoffman")</f>
        <v>Bold Step Against Hoffman</v>
      </c>
      <c r="C247" s="16" t="str">
        <f>IFERROR(__xludf.DUMMYFUNCTION("""COMPUTED_VALUE"""),"Romance")</f>
        <v>Romance</v>
      </c>
      <c r="D247" s="16">
        <f>IFERROR(__xludf.DUMMYFUNCTION("""COMPUTED_VALUE"""),169.0)</f>
        <v>169</v>
      </c>
      <c r="E247" s="16">
        <f>IFERROR(__xludf.DUMMYFUNCTION("""COMPUTED_VALUE"""),0.946745562130177)</f>
        <v>0.9467455621</v>
      </c>
      <c r="F247" s="16">
        <f>IFERROR(__xludf.DUMMYFUNCTION("""COMPUTED_VALUE"""),0.437869822485207)</f>
        <v>0.4378698225</v>
      </c>
      <c r="G247" s="16">
        <f>IFERROR(__xludf.DUMMYFUNCTION("""COMPUTED_VALUE"""),0.355029585798816)</f>
        <v>0.3550295858</v>
      </c>
      <c r="H247" s="16">
        <f>IFERROR(__xludf.DUMMYFUNCTION("""COMPUTED_VALUE"""),0.29585798816568)</f>
        <v>0.2958579882</v>
      </c>
      <c r="I247" s="16">
        <f>IFERROR(__xludf.DUMMYFUNCTION("""COMPUTED_VALUE"""),0.266272189349112)</f>
        <v>0.2662721893</v>
      </c>
      <c r="J247" s="16">
        <f>IFERROR(__xludf.DUMMYFUNCTION("""COMPUTED_VALUE"""),0.244047619047619)</f>
        <v>0.244047619</v>
      </c>
      <c r="K247" s="16">
        <f>IFERROR(__xludf.DUMMYFUNCTION("""COMPUTED_VALUE"""),0.248484848484848)</f>
        <v>0.2484848485</v>
      </c>
      <c r="L247" s="16">
        <f>IFERROR(__xludf.DUMMYFUNCTION("""COMPUTED_VALUE"""),0.234567901234567)</f>
        <v>0.2345679012</v>
      </c>
      <c r="M247" s="16">
        <f>IFERROR(__xludf.DUMMYFUNCTION("""COMPUTED_VALUE"""),0.223602484472049)</f>
        <v>0.2236024845</v>
      </c>
      <c r="N247" s="16">
        <f>IFERROR(__xludf.DUMMYFUNCTION("""COMPUTED_VALUE"""),0.217948717948717)</f>
        <v>0.2179487179</v>
      </c>
      <c r="O247" s="16">
        <f>IFERROR(__xludf.DUMMYFUNCTION("""COMPUTED_VALUE"""),0.155844155844155)</f>
        <v>0.1558441558</v>
      </c>
      <c r="P247" s="16">
        <f>IFERROR(__xludf.DUMMYFUNCTION("""COMPUTED_VALUE"""),0.125827814569536)</f>
        <v>0.1258278146</v>
      </c>
      <c r="Q247" s="16">
        <f>IFERROR(__xludf.DUMMYFUNCTION("""COMPUTED_VALUE"""),0.0964912280701754)</f>
        <v>0.09649122807</v>
      </c>
      <c r="R247" s="16">
        <f>IFERROR(__xludf.DUMMYFUNCTION("""COMPUTED_VALUE"""),0.08)</f>
        <v>0.08</v>
      </c>
      <c r="S247" s="16">
        <f>IFERROR(__xludf.DUMMYFUNCTION("""COMPUTED_VALUE"""),0.107692307692307)</f>
        <v>0.1076923077</v>
      </c>
      <c r="T247" s="16">
        <f>IFERROR(__xludf.DUMMYFUNCTION("""COMPUTED_VALUE"""),0.0)</f>
        <v>0</v>
      </c>
      <c r="U247" s="16">
        <f>IFERROR(__xludf.DUMMYFUNCTION("""COMPUTED_VALUE"""),0.0)</f>
        <v>0</v>
      </c>
      <c r="V247" s="16">
        <f>IFERROR(__xludf.DUMMYFUNCTION("""COMPUTED_VALUE"""),0.0)</f>
        <v>0</v>
      </c>
      <c r="W247" s="16">
        <f>IFERROR(__xludf.DUMMYFUNCTION("""COMPUTED_VALUE"""),0.0)</f>
        <v>0</v>
      </c>
      <c r="X247" s="16">
        <f>IFERROR(__xludf.DUMMYFUNCTION("""COMPUTED_VALUE"""),0.0)</f>
        <v>0</v>
      </c>
      <c r="Y247" s="16">
        <f>IFERROR(__xludf.DUMMYFUNCTION("""COMPUTED_VALUE"""),0.0)</f>
        <v>0</v>
      </c>
      <c r="Z247" s="16">
        <f>IFERROR(__xludf.DUMMYFUNCTION("""COMPUTED_VALUE"""),0.0)</f>
        <v>0</v>
      </c>
      <c r="AA247" s="16">
        <f>IFERROR(__xludf.DUMMYFUNCTION("""COMPUTED_VALUE"""),0.0)</f>
        <v>0</v>
      </c>
      <c r="AB247" s="16">
        <f>IFERROR(__xludf.DUMMYFUNCTION("""COMPUTED_VALUE"""),0.0)</f>
        <v>0</v>
      </c>
      <c r="AC247" s="16">
        <f>IFERROR(__xludf.DUMMYFUNCTION("""COMPUTED_VALUE"""),0.0)</f>
        <v>0</v>
      </c>
      <c r="AD247" s="16">
        <f>IFERROR(__xludf.DUMMYFUNCTION("""COMPUTED_VALUE"""),0.0)</f>
        <v>0</v>
      </c>
      <c r="AE247" s="16">
        <f>IFERROR(__xludf.DUMMYFUNCTION("""COMPUTED_VALUE"""),0.0)</f>
        <v>0</v>
      </c>
      <c r="AF247" s="16">
        <f>IFERROR(__xludf.DUMMYFUNCTION("""COMPUTED_VALUE"""),0.0)</f>
        <v>0</v>
      </c>
      <c r="AG247" s="16">
        <f>IFERROR(__xludf.DUMMYFUNCTION("""COMPUTED_VALUE"""),0.0)</f>
        <v>0</v>
      </c>
      <c r="AH247" s="16">
        <f>IFERROR(__xludf.DUMMYFUNCTION("""COMPUTED_VALUE"""),0.0)</f>
        <v>0</v>
      </c>
    </row>
    <row r="248">
      <c r="A248" s="16" t="str">
        <f>IFERROR(__xludf.DUMMYFUNCTION("""COMPUTED_VALUE"""),"daa40d9ff542ace7e27440803ddf4307bbd54bdd")</f>
        <v>daa40d9ff542ace7e27440803ddf4307bbd54bdd</v>
      </c>
      <c r="B248" s="16" t="str">
        <f>IFERROR(__xludf.DUMMYFUNCTION("""COMPUTED_VALUE"""),"Villain's Harem")</f>
        <v>Villain's Harem</v>
      </c>
      <c r="C248" s="16" t="str">
        <f>IFERROR(__xludf.DUMMYFUNCTION("""COMPUTED_VALUE"""),"Romantasy")</f>
        <v>Romantasy</v>
      </c>
      <c r="D248" s="16">
        <f>IFERROR(__xludf.DUMMYFUNCTION("""COMPUTED_VALUE"""),833.0)</f>
        <v>833</v>
      </c>
      <c r="E248" s="16">
        <f>IFERROR(__xludf.DUMMYFUNCTION("""COMPUTED_VALUE"""),0.967587034813925)</f>
        <v>0.9675870348</v>
      </c>
      <c r="F248" s="16">
        <f>IFERROR(__xludf.DUMMYFUNCTION("""COMPUTED_VALUE"""),0.661464585834333)</f>
        <v>0.6614645858</v>
      </c>
      <c r="G248" s="16">
        <f>IFERROR(__xludf.DUMMYFUNCTION("""COMPUTED_VALUE"""),0.593037214885954)</f>
        <v>0.5930372149</v>
      </c>
      <c r="H248" s="16">
        <f>IFERROR(__xludf.DUMMYFUNCTION("""COMPUTED_VALUE"""),0.528347406513872)</f>
        <v>0.5283474065</v>
      </c>
      <c r="I248" s="16">
        <f>IFERROR(__xludf.DUMMYFUNCTION("""COMPUTED_VALUE"""),0.470731707317073)</f>
        <v>0.4707317073</v>
      </c>
      <c r="J248" s="16">
        <f>IFERROR(__xludf.DUMMYFUNCTION("""COMPUTED_VALUE"""),0.442663378545006)</f>
        <v>0.4426633785</v>
      </c>
      <c r="K248" s="16">
        <f>IFERROR(__xludf.DUMMYFUNCTION("""COMPUTED_VALUE"""),0.420074349442379)</f>
        <v>0.4200743494</v>
      </c>
      <c r="L248" s="16">
        <f>IFERROR(__xludf.DUMMYFUNCTION("""COMPUTED_VALUE"""),0.39875)</f>
        <v>0.39875</v>
      </c>
      <c r="M248" s="16">
        <f>IFERROR(__xludf.DUMMYFUNCTION("""COMPUTED_VALUE"""),0.399749373433583)</f>
        <v>0.3997493734</v>
      </c>
      <c r="N248" s="16">
        <f>IFERROR(__xludf.DUMMYFUNCTION("""COMPUTED_VALUE"""),0.394402035623409)</f>
        <v>0.3944020356</v>
      </c>
      <c r="O248" s="16">
        <f>IFERROR(__xludf.DUMMYFUNCTION("""COMPUTED_VALUE"""),0.366101694915254)</f>
        <v>0.3661016949</v>
      </c>
      <c r="P248" s="16">
        <f>IFERROR(__xludf.DUMMYFUNCTION("""COMPUTED_VALUE"""),0.338095238095238)</f>
        <v>0.3380952381</v>
      </c>
      <c r="Q248" s="16">
        <f>IFERROR(__xludf.DUMMYFUNCTION("""COMPUTED_VALUE"""),0.0)</f>
        <v>0</v>
      </c>
      <c r="R248" s="16">
        <f>IFERROR(__xludf.DUMMYFUNCTION("""COMPUTED_VALUE"""),0.0)</f>
        <v>0</v>
      </c>
      <c r="S248" s="16">
        <f>IFERROR(__xludf.DUMMYFUNCTION("""COMPUTED_VALUE"""),0.0)</f>
        <v>0</v>
      </c>
      <c r="T248" s="16">
        <f>IFERROR(__xludf.DUMMYFUNCTION("""COMPUTED_VALUE"""),0.0)</f>
        <v>0</v>
      </c>
      <c r="U248" s="16">
        <f>IFERROR(__xludf.DUMMYFUNCTION("""COMPUTED_VALUE"""),0.0)</f>
        <v>0</v>
      </c>
      <c r="V248" s="16">
        <f>IFERROR(__xludf.DUMMYFUNCTION("""COMPUTED_VALUE"""),0.0)</f>
        <v>0</v>
      </c>
      <c r="W248" s="16">
        <f>IFERROR(__xludf.DUMMYFUNCTION("""COMPUTED_VALUE"""),0.0)</f>
        <v>0</v>
      </c>
      <c r="X248" s="16">
        <f>IFERROR(__xludf.DUMMYFUNCTION("""COMPUTED_VALUE"""),0.0)</f>
        <v>0</v>
      </c>
      <c r="Y248" s="16">
        <f>IFERROR(__xludf.DUMMYFUNCTION("""COMPUTED_VALUE"""),0.0)</f>
        <v>0</v>
      </c>
      <c r="Z248" s="16">
        <f>IFERROR(__xludf.DUMMYFUNCTION("""COMPUTED_VALUE"""),0.0)</f>
        <v>0</v>
      </c>
      <c r="AA248" s="16">
        <f>IFERROR(__xludf.DUMMYFUNCTION("""COMPUTED_VALUE"""),0.0)</f>
        <v>0</v>
      </c>
      <c r="AB248" s="16">
        <f>IFERROR(__xludf.DUMMYFUNCTION("""COMPUTED_VALUE"""),0.0)</f>
        <v>0</v>
      </c>
      <c r="AC248" s="16">
        <f>IFERROR(__xludf.DUMMYFUNCTION("""COMPUTED_VALUE"""),0.0)</f>
        <v>0</v>
      </c>
      <c r="AD248" s="16">
        <f>IFERROR(__xludf.DUMMYFUNCTION("""COMPUTED_VALUE"""),0.0)</f>
        <v>0</v>
      </c>
      <c r="AE248" s="16">
        <f>IFERROR(__xludf.DUMMYFUNCTION("""COMPUTED_VALUE"""),0.0)</f>
        <v>0</v>
      </c>
      <c r="AF248" s="16">
        <f>IFERROR(__xludf.DUMMYFUNCTION("""COMPUTED_VALUE"""),0.0)</f>
        <v>0</v>
      </c>
      <c r="AG248" s="16">
        <f>IFERROR(__xludf.DUMMYFUNCTION("""COMPUTED_VALUE"""),0.0)</f>
        <v>0</v>
      </c>
      <c r="AH248" s="16">
        <f>IFERROR(__xludf.DUMMYFUNCTION("""COMPUTED_VALUE"""),0.0)</f>
        <v>0</v>
      </c>
    </row>
    <row r="249">
      <c r="A249" s="16" t="str">
        <f>IFERROR(__xludf.DUMMYFUNCTION("""COMPUTED_VALUE"""),"dad95a0b094d015746c47d42ff879a3a2c85f7e4")</f>
        <v>dad95a0b094d015746c47d42ff879a3a2c85f7e4</v>
      </c>
      <c r="B249" s="16" t="str">
        <f>IFERROR(__xludf.DUMMYFUNCTION("""COMPUTED_VALUE"""),"She Was Never Ordinary")</f>
        <v>She Was Never Ordinary</v>
      </c>
      <c r="C249" s="16" t="str">
        <f>IFERROR(__xludf.DUMMYFUNCTION("""COMPUTED_VALUE"""),"Romance")</f>
        <v>Romance</v>
      </c>
      <c r="D249" s="16">
        <f>IFERROR(__xludf.DUMMYFUNCTION("""COMPUTED_VALUE"""),8.0)</f>
        <v>8</v>
      </c>
      <c r="E249" s="16">
        <f>IFERROR(__xludf.DUMMYFUNCTION("""COMPUTED_VALUE"""),1.0)</f>
        <v>1</v>
      </c>
      <c r="F249" s="16">
        <f>IFERROR(__xludf.DUMMYFUNCTION("""COMPUTED_VALUE"""),0.25)</f>
        <v>0.25</v>
      </c>
      <c r="G249" s="16">
        <f>IFERROR(__xludf.DUMMYFUNCTION("""COMPUTED_VALUE"""),0.25)</f>
        <v>0.25</v>
      </c>
      <c r="H249" s="16">
        <f>IFERROR(__xludf.DUMMYFUNCTION("""COMPUTED_VALUE"""),0.142857142857142)</f>
        <v>0.1428571429</v>
      </c>
      <c r="I249" s="16">
        <f>IFERROR(__xludf.DUMMYFUNCTION("""COMPUTED_VALUE"""),0.2)</f>
        <v>0.2</v>
      </c>
      <c r="J249" s="16">
        <f>IFERROR(__xludf.DUMMYFUNCTION("""COMPUTED_VALUE"""),0.25)</f>
        <v>0.25</v>
      </c>
      <c r="K249" s="16">
        <f>IFERROR(__xludf.DUMMYFUNCTION("""COMPUTED_VALUE"""),0.0)</f>
        <v>0</v>
      </c>
      <c r="L249" s="16">
        <f>IFERROR(__xludf.DUMMYFUNCTION("""COMPUTED_VALUE"""),0.0)</f>
        <v>0</v>
      </c>
      <c r="M249" s="16">
        <f>IFERROR(__xludf.DUMMYFUNCTION("""COMPUTED_VALUE"""),0.0)</f>
        <v>0</v>
      </c>
      <c r="N249" s="16">
        <f>IFERROR(__xludf.DUMMYFUNCTION("""COMPUTED_VALUE"""),0.0)</f>
        <v>0</v>
      </c>
      <c r="O249" s="16">
        <f>IFERROR(__xludf.DUMMYFUNCTION("""COMPUTED_VALUE"""),0.0)</f>
        <v>0</v>
      </c>
      <c r="P249" s="16">
        <f>IFERROR(__xludf.DUMMYFUNCTION("""COMPUTED_VALUE"""),0.0)</f>
        <v>0</v>
      </c>
      <c r="Q249" s="16">
        <f>IFERROR(__xludf.DUMMYFUNCTION("""COMPUTED_VALUE"""),0.0)</f>
        <v>0</v>
      </c>
      <c r="R249" s="16">
        <f>IFERROR(__xludf.DUMMYFUNCTION("""COMPUTED_VALUE"""),0.0)</f>
        <v>0</v>
      </c>
      <c r="S249" s="16">
        <f>IFERROR(__xludf.DUMMYFUNCTION("""COMPUTED_VALUE"""),0.0)</f>
        <v>0</v>
      </c>
      <c r="T249" s="16">
        <f>IFERROR(__xludf.DUMMYFUNCTION("""COMPUTED_VALUE"""),0.0)</f>
        <v>0</v>
      </c>
      <c r="U249" s="16">
        <f>IFERROR(__xludf.DUMMYFUNCTION("""COMPUTED_VALUE"""),0.0)</f>
        <v>0</v>
      </c>
      <c r="V249" s="16">
        <f>IFERROR(__xludf.DUMMYFUNCTION("""COMPUTED_VALUE"""),0.0)</f>
        <v>0</v>
      </c>
      <c r="W249" s="16">
        <f>IFERROR(__xludf.DUMMYFUNCTION("""COMPUTED_VALUE"""),0.0)</f>
        <v>0</v>
      </c>
      <c r="X249" s="16">
        <f>IFERROR(__xludf.DUMMYFUNCTION("""COMPUTED_VALUE"""),0.0)</f>
        <v>0</v>
      </c>
      <c r="Y249" s="16">
        <f>IFERROR(__xludf.DUMMYFUNCTION("""COMPUTED_VALUE"""),0.0)</f>
        <v>0</v>
      </c>
      <c r="Z249" s="16">
        <f>IFERROR(__xludf.DUMMYFUNCTION("""COMPUTED_VALUE"""),0.0)</f>
        <v>0</v>
      </c>
      <c r="AA249" s="16">
        <f>IFERROR(__xludf.DUMMYFUNCTION("""COMPUTED_VALUE"""),0.0)</f>
        <v>0</v>
      </c>
      <c r="AB249" s="16">
        <f>IFERROR(__xludf.DUMMYFUNCTION("""COMPUTED_VALUE"""),0.0)</f>
        <v>0</v>
      </c>
      <c r="AC249" s="16">
        <f>IFERROR(__xludf.DUMMYFUNCTION("""COMPUTED_VALUE"""),0.0)</f>
        <v>0</v>
      </c>
      <c r="AD249" s="16">
        <f>IFERROR(__xludf.DUMMYFUNCTION("""COMPUTED_VALUE"""),0.0)</f>
        <v>0</v>
      </c>
      <c r="AE249" s="16">
        <f>IFERROR(__xludf.DUMMYFUNCTION("""COMPUTED_VALUE"""),0.0)</f>
        <v>0</v>
      </c>
      <c r="AF249" s="16">
        <f>IFERROR(__xludf.DUMMYFUNCTION("""COMPUTED_VALUE"""),0.0)</f>
        <v>0</v>
      </c>
      <c r="AG249" s="16">
        <f>IFERROR(__xludf.DUMMYFUNCTION("""COMPUTED_VALUE"""),0.0)</f>
        <v>0</v>
      </c>
      <c r="AH249" s="16">
        <f>IFERROR(__xludf.DUMMYFUNCTION("""COMPUTED_VALUE"""),0.0)</f>
        <v>0</v>
      </c>
    </row>
    <row r="250">
      <c r="A250" s="16" t="str">
        <f>IFERROR(__xludf.DUMMYFUNCTION("""COMPUTED_VALUE"""),"db982055d0205f85b154941a9a5fdcae32a88a7c")</f>
        <v>db982055d0205f85b154941a9a5fdcae32a88a7c</v>
      </c>
      <c r="B250" s="16" t="str">
        <f>IFERROR(__xludf.DUMMYFUNCTION("""COMPUTED_VALUE"""),"Re:system - Rebooted")</f>
        <v>Re:system - Rebooted</v>
      </c>
      <c r="C250" s="16" t="str">
        <f>IFERROR(__xludf.DUMMYFUNCTION("""COMPUTED_VALUE"""),"Fantasy")</f>
        <v>Fantasy</v>
      </c>
      <c r="D250" s="16">
        <f>IFERROR(__xludf.DUMMYFUNCTION("""COMPUTED_VALUE"""),644.0)</f>
        <v>644</v>
      </c>
      <c r="E250" s="16">
        <f>IFERROR(__xludf.DUMMYFUNCTION("""COMPUTED_VALUE"""),0.995341614906832)</f>
        <v>0.9953416149</v>
      </c>
      <c r="F250" s="16">
        <f>IFERROR(__xludf.DUMMYFUNCTION("""COMPUTED_VALUE"""),0.62208398133748)</f>
        <v>0.6220839813</v>
      </c>
      <c r="G250" s="16">
        <f>IFERROR(__xludf.DUMMYFUNCTION("""COMPUTED_VALUE"""),0.544323483670295)</f>
        <v>0.5443234837</v>
      </c>
      <c r="H250" s="16">
        <f>IFERROR(__xludf.DUMMYFUNCTION("""COMPUTED_VALUE"""),0.502332814930015)</f>
        <v>0.5023328149</v>
      </c>
      <c r="I250" s="16">
        <f>IFERROR(__xludf.DUMMYFUNCTION("""COMPUTED_VALUE"""),0.471962616822429)</f>
        <v>0.4719626168</v>
      </c>
      <c r="J250" s="16">
        <f>IFERROR(__xludf.DUMMYFUNCTION("""COMPUTED_VALUE"""),0.449139280125195)</f>
        <v>0.4491392801</v>
      </c>
      <c r="K250" s="16">
        <f>IFERROR(__xludf.DUMMYFUNCTION("""COMPUTED_VALUE"""),0.41259842519685)</f>
        <v>0.4125984252</v>
      </c>
      <c r="L250" s="16">
        <f>IFERROR(__xludf.DUMMYFUNCTION("""COMPUTED_VALUE"""),0.385103011093502)</f>
        <v>0.3851030111</v>
      </c>
      <c r="M250" s="16">
        <f>IFERROR(__xludf.DUMMYFUNCTION("""COMPUTED_VALUE"""),0.376788553259141)</f>
        <v>0.3767885533</v>
      </c>
      <c r="N250" s="16">
        <f>IFERROR(__xludf.DUMMYFUNCTION("""COMPUTED_VALUE"""),0.361247947454844)</f>
        <v>0.3612479475</v>
      </c>
      <c r="O250" s="16">
        <f>IFERROR(__xludf.DUMMYFUNCTION("""COMPUTED_VALUE"""),0.307875894988066)</f>
        <v>0.307875895</v>
      </c>
      <c r="P250" s="16">
        <f>IFERROR(__xludf.DUMMYFUNCTION("""COMPUTED_VALUE"""),0.0)</f>
        <v>0</v>
      </c>
      <c r="Q250" s="16">
        <f>IFERROR(__xludf.DUMMYFUNCTION("""COMPUTED_VALUE"""),0.0)</f>
        <v>0</v>
      </c>
      <c r="R250" s="16">
        <f>IFERROR(__xludf.DUMMYFUNCTION("""COMPUTED_VALUE"""),0.0)</f>
        <v>0</v>
      </c>
      <c r="S250" s="16">
        <f>IFERROR(__xludf.DUMMYFUNCTION("""COMPUTED_VALUE"""),0.0)</f>
        <v>0</v>
      </c>
      <c r="T250" s="16">
        <f>IFERROR(__xludf.DUMMYFUNCTION("""COMPUTED_VALUE"""),0.0)</f>
        <v>0</v>
      </c>
      <c r="U250" s="16">
        <f>IFERROR(__xludf.DUMMYFUNCTION("""COMPUTED_VALUE"""),0.0)</f>
        <v>0</v>
      </c>
      <c r="V250" s="16">
        <f>IFERROR(__xludf.DUMMYFUNCTION("""COMPUTED_VALUE"""),0.0)</f>
        <v>0</v>
      </c>
      <c r="W250" s="16">
        <f>IFERROR(__xludf.DUMMYFUNCTION("""COMPUTED_VALUE"""),0.0)</f>
        <v>0</v>
      </c>
      <c r="X250" s="16">
        <f>IFERROR(__xludf.DUMMYFUNCTION("""COMPUTED_VALUE"""),0.0)</f>
        <v>0</v>
      </c>
      <c r="Y250" s="16">
        <f>IFERROR(__xludf.DUMMYFUNCTION("""COMPUTED_VALUE"""),0.0)</f>
        <v>0</v>
      </c>
      <c r="Z250" s="16">
        <f>IFERROR(__xludf.DUMMYFUNCTION("""COMPUTED_VALUE"""),0.0)</f>
        <v>0</v>
      </c>
      <c r="AA250" s="16">
        <f>IFERROR(__xludf.DUMMYFUNCTION("""COMPUTED_VALUE"""),0.0)</f>
        <v>0</v>
      </c>
      <c r="AB250" s="16">
        <f>IFERROR(__xludf.DUMMYFUNCTION("""COMPUTED_VALUE"""),0.0)</f>
        <v>0</v>
      </c>
      <c r="AC250" s="16">
        <f>IFERROR(__xludf.DUMMYFUNCTION("""COMPUTED_VALUE"""),0.0)</f>
        <v>0</v>
      </c>
      <c r="AD250" s="16">
        <f>IFERROR(__xludf.DUMMYFUNCTION("""COMPUTED_VALUE"""),0.0)</f>
        <v>0</v>
      </c>
      <c r="AE250" s="16">
        <f>IFERROR(__xludf.DUMMYFUNCTION("""COMPUTED_VALUE"""),0.0)</f>
        <v>0</v>
      </c>
      <c r="AF250" s="16">
        <f>IFERROR(__xludf.DUMMYFUNCTION("""COMPUTED_VALUE"""),0.0)</f>
        <v>0</v>
      </c>
      <c r="AG250" s="16">
        <f>IFERROR(__xludf.DUMMYFUNCTION("""COMPUTED_VALUE"""),0.0)</f>
        <v>0</v>
      </c>
      <c r="AH250" s="16">
        <f>IFERROR(__xludf.DUMMYFUNCTION("""COMPUTED_VALUE"""),0.0)</f>
        <v>0</v>
      </c>
    </row>
    <row r="251">
      <c r="A251" s="16" t="str">
        <f>IFERROR(__xludf.DUMMYFUNCTION("""COMPUTED_VALUE"""),"dd0d8528366c7c3ca887a6491de9193ad2b5cea1")</f>
        <v>dd0d8528366c7c3ca887a6491de9193ad2b5cea1</v>
      </c>
      <c r="B251" s="16" t="str">
        <f>IFERROR(__xludf.DUMMYFUNCTION("""COMPUTED_VALUE"""),"Sovereign of All Beasts")</f>
        <v>Sovereign of All Beasts</v>
      </c>
      <c r="C251" s="16" t="str">
        <f>IFERROR(__xludf.DUMMYFUNCTION("""COMPUTED_VALUE"""),"Fantasy")</f>
        <v>Fantasy</v>
      </c>
      <c r="D251" s="16">
        <f>IFERROR(__xludf.DUMMYFUNCTION("""COMPUTED_VALUE"""),66.0)</f>
        <v>66</v>
      </c>
      <c r="E251" s="16">
        <f>IFERROR(__xludf.DUMMYFUNCTION("""COMPUTED_VALUE"""),1.0)</f>
        <v>1</v>
      </c>
      <c r="F251" s="16">
        <f>IFERROR(__xludf.DUMMYFUNCTION("""COMPUTED_VALUE"""),0.666666666666666)</f>
        <v>0.6666666667</v>
      </c>
      <c r="G251" s="16">
        <f>IFERROR(__xludf.DUMMYFUNCTION("""COMPUTED_VALUE"""),0.636363636363636)</f>
        <v>0.6363636364</v>
      </c>
      <c r="H251" s="16">
        <f>IFERROR(__xludf.DUMMYFUNCTION("""COMPUTED_VALUE"""),0.56060606060606)</f>
        <v>0.5606060606</v>
      </c>
      <c r="I251" s="16">
        <f>IFERROR(__xludf.DUMMYFUNCTION("""COMPUTED_VALUE"""),0.53030303030303)</f>
        <v>0.5303030303</v>
      </c>
      <c r="J251" s="16">
        <f>IFERROR(__xludf.DUMMYFUNCTION("""COMPUTED_VALUE"""),0.515151515151515)</f>
        <v>0.5151515152</v>
      </c>
      <c r="K251" s="16">
        <f>IFERROR(__xludf.DUMMYFUNCTION("""COMPUTED_VALUE"""),0.492307692307692)</f>
        <v>0.4923076923</v>
      </c>
      <c r="L251" s="16">
        <f>IFERROR(__xludf.DUMMYFUNCTION("""COMPUTED_VALUE"""),0.5)</f>
        <v>0.5</v>
      </c>
      <c r="M251" s="16">
        <f>IFERROR(__xludf.DUMMYFUNCTION("""COMPUTED_VALUE"""),0.481481481481481)</f>
        <v>0.4814814815</v>
      </c>
      <c r="N251" s="16">
        <f>IFERROR(__xludf.DUMMYFUNCTION("""COMPUTED_VALUE"""),0.425531914893617)</f>
        <v>0.4255319149</v>
      </c>
      <c r="O251" s="16">
        <f>IFERROR(__xludf.DUMMYFUNCTION("""COMPUTED_VALUE"""),1.0)</f>
        <v>1</v>
      </c>
      <c r="P251" s="16">
        <f>IFERROR(__xludf.DUMMYFUNCTION("""COMPUTED_VALUE"""),0.0)</f>
        <v>0</v>
      </c>
      <c r="Q251" s="16">
        <f>IFERROR(__xludf.DUMMYFUNCTION("""COMPUTED_VALUE"""),0.0)</f>
        <v>0</v>
      </c>
      <c r="R251" s="16">
        <f>IFERROR(__xludf.DUMMYFUNCTION("""COMPUTED_VALUE"""),0.0)</f>
        <v>0</v>
      </c>
      <c r="S251" s="16">
        <f>IFERROR(__xludf.DUMMYFUNCTION("""COMPUTED_VALUE"""),0.0)</f>
        <v>0</v>
      </c>
      <c r="T251" s="16">
        <f>IFERROR(__xludf.DUMMYFUNCTION("""COMPUTED_VALUE"""),0.0)</f>
        <v>0</v>
      </c>
      <c r="U251" s="16">
        <f>IFERROR(__xludf.DUMMYFUNCTION("""COMPUTED_VALUE"""),0.0)</f>
        <v>0</v>
      </c>
      <c r="V251" s="16">
        <f>IFERROR(__xludf.DUMMYFUNCTION("""COMPUTED_VALUE"""),0.0)</f>
        <v>0</v>
      </c>
      <c r="W251" s="16">
        <f>IFERROR(__xludf.DUMMYFUNCTION("""COMPUTED_VALUE"""),0.0)</f>
        <v>0</v>
      </c>
      <c r="X251" s="16">
        <f>IFERROR(__xludf.DUMMYFUNCTION("""COMPUTED_VALUE"""),0.0)</f>
        <v>0</v>
      </c>
      <c r="Y251" s="16">
        <f>IFERROR(__xludf.DUMMYFUNCTION("""COMPUTED_VALUE"""),0.0)</f>
        <v>0</v>
      </c>
      <c r="Z251" s="16">
        <f>IFERROR(__xludf.DUMMYFUNCTION("""COMPUTED_VALUE"""),0.0)</f>
        <v>0</v>
      </c>
      <c r="AA251" s="16">
        <f>IFERROR(__xludf.DUMMYFUNCTION("""COMPUTED_VALUE"""),0.0)</f>
        <v>0</v>
      </c>
      <c r="AB251" s="16">
        <f>IFERROR(__xludf.DUMMYFUNCTION("""COMPUTED_VALUE"""),0.0)</f>
        <v>0</v>
      </c>
      <c r="AC251" s="16">
        <f>IFERROR(__xludf.DUMMYFUNCTION("""COMPUTED_VALUE"""),0.0)</f>
        <v>0</v>
      </c>
      <c r="AD251" s="16">
        <f>IFERROR(__xludf.DUMMYFUNCTION("""COMPUTED_VALUE"""),0.0)</f>
        <v>0</v>
      </c>
      <c r="AE251" s="16">
        <f>IFERROR(__xludf.DUMMYFUNCTION("""COMPUTED_VALUE"""),0.0)</f>
        <v>0</v>
      </c>
      <c r="AF251" s="16">
        <f>IFERROR(__xludf.DUMMYFUNCTION("""COMPUTED_VALUE"""),0.0)</f>
        <v>0</v>
      </c>
      <c r="AG251" s="16">
        <f>IFERROR(__xludf.DUMMYFUNCTION("""COMPUTED_VALUE"""),0.0)</f>
        <v>0</v>
      </c>
      <c r="AH251" s="16">
        <f>IFERROR(__xludf.DUMMYFUNCTION("""COMPUTED_VALUE"""),0.0)</f>
        <v>0</v>
      </c>
    </row>
    <row r="252">
      <c r="A252" s="16" t="str">
        <f>IFERROR(__xludf.DUMMYFUNCTION("""COMPUTED_VALUE"""),"ddcfd794c1c386caa644e2b1d2379bfcd4efb154")</f>
        <v>ddcfd794c1c386caa644e2b1d2379bfcd4efb154</v>
      </c>
      <c r="B252" s="16" t="str">
        <f>IFERROR(__xludf.DUMMYFUNCTION("""COMPUTED_VALUE"""),"Tycoons Love Swindled")</f>
        <v>Tycoons Love Swindled</v>
      </c>
      <c r="C252" s="16" t="str">
        <f>IFERROR(__xludf.DUMMYFUNCTION("""COMPUTED_VALUE"""),"Drama")</f>
        <v>Drama</v>
      </c>
      <c r="D252" s="16">
        <f>IFERROR(__xludf.DUMMYFUNCTION("""COMPUTED_VALUE"""),27.0)</f>
        <v>27</v>
      </c>
      <c r="E252" s="16">
        <f>IFERROR(__xludf.DUMMYFUNCTION("""COMPUTED_VALUE"""),0.925925925925925)</f>
        <v>0.9259259259</v>
      </c>
      <c r="F252" s="16">
        <f>IFERROR(__xludf.DUMMYFUNCTION("""COMPUTED_VALUE"""),0.518518518518518)</f>
        <v>0.5185185185</v>
      </c>
      <c r="G252" s="16">
        <f>IFERROR(__xludf.DUMMYFUNCTION("""COMPUTED_VALUE"""),0.37037037037037)</f>
        <v>0.3703703704</v>
      </c>
      <c r="H252" s="16">
        <f>IFERROR(__xludf.DUMMYFUNCTION("""COMPUTED_VALUE"""),0.444444444444444)</f>
        <v>0.4444444444</v>
      </c>
      <c r="I252" s="16">
        <f>IFERROR(__xludf.DUMMYFUNCTION("""COMPUTED_VALUE"""),0.37037037037037)</f>
        <v>0.3703703704</v>
      </c>
      <c r="J252" s="16">
        <f>IFERROR(__xludf.DUMMYFUNCTION("""COMPUTED_VALUE"""),0.37037037037037)</f>
        <v>0.3703703704</v>
      </c>
      <c r="K252" s="16">
        <f>IFERROR(__xludf.DUMMYFUNCTION("""COMPUTED_VALUE"""),0.296296296296296)</f>
        <v>0.2962962963</v>
      </c>
      <c r="L252" s="16">
        <f>IFERROR(__xludf.DUMMYFUNCTION("""COMPUTED_VALUE"""),0.333333333333333)</f>
        <v>0.3333333333</v>
      </c>
      <c r="M252" s="16">
        <f>IFERROR(__xludf.DUMMYFUNCTION("""COMPUTED_VALUE"""),0.222222222222222)</f>
        <v>0.2222222222</v>
      </c>
      <c r="N252" s="16">
        <f>IFERROR(__xludf.DUMMYFUNCTION("""COMPUTED_VALUE"""),0.269230769230769)</f>
        <v>0.2692307692</v>
      </c>
      <c r="O252" s="16">
        <f>IFERROR(__xludf.DUMMYFUNCTION("""COMPUTED_VALUE"""),0.217391304347826)</f>
        <v>0.2173913043</v>
      </c>
      <c r="P252" s="16">
        <f>IFERROR(__xludf.DUMMYFUNCTION("""COMPUTED_VALUE"""),0.111111111111111)</f>
        <v>0.1111111111</v>
      </c>
      <c r="Q252" s="16">
        <f>IFERROR(__xludf.DUMMYFUNCTION("""COMPUTED_VALUE"""),0.0833333333333333)</f>
        <v>0.08333333333</v>
      </c>
      <c r="R252" s="16">
        <f>IFERROR(__xludf.DUMMYFUNCTION("""COMPUTED_VALUE"""),0.0)</f>
        <v>0</v>
      </c>
      <c r="S252" s="16">
        <f>IFERROR(__xludf.DUMMYFUNCTION("""COMPUTED_VALUE"""),0.0)</f>
        <v>0</v>
      </c>
      <c r="T252" s="16">
        <f>IFERROR(__xludf.DUMMYFUNCTION("""COMPUTED_VALUE"""),0.0)</f>
        <v>0</v>
      </c>
      <c r="U252" s="16">
        <f>IFERROR(__xludf.DUMMYFUNCTION("""COMPUTED_VALUE"""),0.0)</f>
        <v>0</v>
      </c>
      <c r="V252" s="16">
        <f>IFERROR(__xludf.DUMMYFUNCTION("""COMPUTED_VALUE"""),0.0)</f>
        <v>0</v>
      </c>
      <c r="W252" s="16">
        <f>IFERROR(__xludf.DUMMYFUNCTION("""COMPUTED_VALUE"""),0.0)</f>
        <v>0</v>
      </c>
      <c r="X252" s="16">
        <f>IFERROR(__xludf.DUMMYFUNCTION("""COMPUTED_VALUE"""),0.0)</f>
        <v>0</v>
      </c>
      <c r="Y252" s="16">
        <f>IFERROR(__xludf.DUMMYFUNCTION("""COMPUTED_VALUE"""),0.0)</f>
        <v>0</v>
      </c>
      <c r="Z252" s="16">
        <f>IFERROR(__xludf.DUMMYFUNCTION("""COMPUTED_VALUE"""),0.0)</f>
        <v>0</v>
      </c>
      <c r="AA252" s="16">
        <f>IFERROR(__xludf.DUMMYFUNCTION("""COMPUTED_VALUE"""),0.0)</f>
        <v>0</v>
      </c>
      <c r="AB252" s="16">
        <f>IFERROR(__xludf.DUMMYFUNCTION("""COMPUTED_VALUE"""),0.0)</f>
        <v>0</v>
      </c>
      <c r="AC252" s="16">
        <f>IFERROR(__xludf.DUMMYFUNCTION("""COMPUTED_VALUE"""),0.0)</f>
        <v>0</v>
      </c>
      <c r="AD252" s="16">
        <f>IFERROR(__xludf.DUMMYFUNCTION("""COMPUTED_VALUE"""),0.0)</f>
        <v>0</v>
      </c>
      <c r="AE252" s="16">
        <f>IFERROR(__xludf.DUMMYFUNCTION("""COMPUTED_VALUE"""),0.0)</f>
        <v>0</v>
      </c>
      <c r="AF252" s="16">
        <f>IFERROR(__xludf.DUMMYFUNCTION("""COMPUTED_VALUE"""),0.0)</f>
        <v>0</v>
      </c>
      <c r="AG252" s="16">
        <f>IFERROR(__xludf.DUMMYFUNCTION("""COMPUTED_VALUE"""),0.0)</f>
        <v>0</v>
      </c>
      <c r="AH252" s="16">
        <f>IFERROR(__xludf.DUMMYFUNCTION("""COMPUTED_VALUE"""),0.0)</f>
        <v>0</v>
      </c>
    </row>
    <row r="253">
      <c r="A253" s="16" t="str">
        <f>IFERROR(__xludf.DUMMYFUNCTION("""COMPUTED_VALUE"""),"de862851ca66c0ec5a982ecfe58d14472093a185")</f>
        <v>de862851ca66c0ec5a982ecfe58d14472093a185</v>
      </c>
      <c r="B253" s="16" t="str">
        <f>IFERROR(__xludf.DUMMYFUNCTION("""COMPUTED_VALUE"""),"From Trash to a Legend")</f>
        <v>From Trash to a Legend</v>
      </c>
      <c r="C253" s="16" t="str">
        <f>IFERROR(__xludf.DUMMYFUNCTION("""COMPUTED_VALUE"""),"System and Superpower")</f>
        <v>System and Superpower</v>
      </c>
      <c r="D253" s="16">
        <f>IFERROR(__xludf.DUMMYFUNCTION("""COMPUTED_VALUE"""),654.0)</f>
        <v>654</v>
      </c>
      <c r="E253" s="16">
        <f>IFERROR(__xludf.DUMMYFUNCTION("""COMPUTED_VALUE"""),0.966360856269113)</f>
        <v>0.9663608563</v>
      </c>
      <c r="F253" s="16">
        <f>IFERROR(__xludf.DUMMYFUNCTION("""COMPUTED_VALUE"""),0.756880733944954)</f>
        <v>0.7568807339</v>
      </c>
      <c r="G253" s="16">
        <f>IFERROR(__xludf.DUMMYFUNCTION("""COMPUTED_VALUE"""),0.738532110091743)</f>
        <v>0.7385321101</v>
      </c>
      <c r="H253" s="16">
        <f>IFERROR(__xludf.DUMMYFUNCTION("""COMPUTED_VALUE"""),0.709480122324159)</f>
        <v>0.7094801223</v>
      </c>
      <c r="I253" s="16">
        <f>IFERROR(__xludf.DUMMYFUNCTION("""COMPUTED_VALUE"""),0.661042944785276)</f>
        <v>0.6610429448</v>
      </c>
      <c r="J253" s="16">
        <f>IFERROR(__xludf.DUMMYFUNCTION("""COMPUTED_VALUE"""),0.629230769230769)</f>
        <v>0.6292307692</v>
      </c>
      <c r="K253" s="16">
        <f>IFERROR(__xludf.DUMMYFUNCTION("""COMPUTED_VALUE"""),0.608628659476117)</f>
        <v>0.6086286595</v>
      </c>
      <c r="L253" s="16">
        <f>IFERROR(__xludf.DUMMYFUNCTION("""COMPUTED_VALUE"""),0.572755417956656)</f>
        <v>0.572755418</v>
      </c>
      <c r="M253" s="16">
        <f>IFERROR(__xludf.DUMMYFUNCTION("""COMPUTED_VALUE"""),0.553654743390357)</f>
        <v>0.5536547434</v>
      </c>
      <c r="N253" s="16">
        <f>IFERROR(__xludf.DUMMYFUNCTION("""COMPUTED_VALUE"""),0.555374592833876)</f>
        <v>0.5553745928</v>
      </c>
      <c r="O253" s="16">
        <f>IFERROR(__xludf.DUMMYFUNCTION("""COMPUTED_VALUE"""),0.412008281573498)</f>
        <v>0.4120082816</v>
      </c>
      <c r="P253" s="16">
        <f>IFERROR(__xludf.DUMMYFUNCTION("""COMPUTED_VALUE"""),0.273972602739726)</f>
        <v>0.2739726027</v>
      </c>
      <c r="Q253" s="16">
        <f>IFERROR(__xludf.DUMMYFUNCTION("""COMPUTED_VALUE"""),0.0)</f>
        <v>0</v>
      </c>
      <c r="R253" s="16">
        <f>IFERROR(__xludf.DUMMYFUNCTION("""COMPUTED_VALUE"""),0.0)</f>
        <v>0</v>
      </c>
      <c r="S253" s="16">
        <f>IFERROR(__xludf.DUMMYFUNCTION("""COMPUTED_VALUE"""),0.0)</f>
        <v>0</v>
      </c>
      <c r="T253" s="16">
        <f>IFERROR(__xludf.DUMMYFUNCTION("""COMPUTED_VALUE"""),0.0)</f>
        <v>0</v>
      </c>
      <c r="U253" s="16">
        <f>IFERROR(__xludf.DUMMYFUNCTION("""COMPUTED_VALUE"""),0.0)</f>
        <v>0</v>
      </c>
      <c r="V253" s="16">
        <f>IFERROR(__xludf.DUMMYFUNCTION("""COMPUTED_VALUE"""),0.0)</f>
        <v>0</v>
      </c>
      <c r="W253" s="16">
        <f>IFERROR(__xludf.DUMMYFUNCTION("""COMPUTED_VALUE"""),0.0)</f>
        <v>0</v>
      </c>
      <c r="X253" s="16">
        <f>IFERROR(__xludf.DUMMYFUNCTION("""COMPUTED_VALUE"""),0.0)</f>
        <v>0</v>
      </c>
      <c r="Y253" s="16">
        <f>IFERROR(__xludf.DUMMYFUNCTION("""COMPUTED_VALUE"""),0.0)</f>
        <v>0</v>
      </c>
      <c r="Z253" s="16">
        <f>IFERROR(__xludf.DUMMYFUNCTION("""COMPUTED_VALUE"""),0.0)</f>
        <v>0</v>
      </c>
      <c r="AA253" s="16">
        <f>IFERROR(__xludf.DUMMYFUNCTION("""COMPUTED_VALUE"""),0.0)</f>
        <v>0</v>
      </c>
      <c r="AB253" s="16">
        <f>IFERROR(__xludf.DUMMYFUNCTION("""COMPUTED_VALUE"""),0.0)</f>
        <v>0</v>
      </c>
      <c r="AC253" s="16">
        <f>IFERROR(__xludf.DUMMYFUNCTION("""COMPUTED_VALUE"""),0.0)</f>
        <v>0</v>
      </c>
      <c r="AD253" s="16">
        <f>IFERROR(__xludf.DUMMYFUNCTION("""COMPUTED_VALUE"""),0.0)</f>
        <v>0</v>
      </c>
      <c r="AE253" s="16">
        <f>IFERROR(__xludf.DUMMYFUNCTION("""COMPUTED_VALUE"""),0.0)</f>
        <v>0</v>
      </c>
      <c r="AF253" s="16">
        <f>IFERROR(__xludf.DUMMYFUNCTION("""COMPUTED_VALUE"""),0.0)</f>
        <v>0</v>
      </c>
      <c r="AG253" s="16">
        <f>IFERROR(__xludf.DUMMYFUNCTION("""COMPUTED_VALUE"""),0.0)</f>
        <v>0</v>
      </c>
      <c r="AH253" s="16">
        <f>IFERROR(__xludf.DUMMYFUNCTION("""COMPUTED_VALUE"""),0.0)</f>
        <v>0</v>
      </c>
    </row>
    <row r="254">
      <c r="A254" s="16" t="str">
        <f>IFERROR(__xludf.DUMMYFUNCTION("""COMPUTED_VALUE"""),"df497806d02c2dcc2e8f8e790fcc3fb9e72f8166")</f>
        <v>df497806d02c2dcc2e8f8e790fcc3fb9e72f8166</v>
      </c>
      <c r="B254" s="16" t="str">
        <f>IFERROR(__xludf.DUMMYFUNCTION("""COMPUTED_VALUE"""),"Never Letting You Go")</f>
        <v>Never Letting You Go</v>
      </c>
      <c r="C254" s="16" t="str">
        <f>IFERROR(__xludf.DUMMYFUNCTION("""COMPUTED_VALUE"""),"Romance")</f>
        <v>Romance</v>
      </c>
      <c r="D254" s="16">
        <f>IFERROR(__xludf.DUMMYFUNCTION("""COMPUTED_VALUE"""),41.0)</f>
        <v>41</v>
      </c>
      <c r="E254" s="16">
        <f>IFERROR(__xludf.DUMMYFUNCTION("""COMPUTED_VALUE"""),0.975609756097561)</f>
        <v>0.9756097561</v>
      </c>
      <c r="F254" s="16">
        <f>IFERROR(__xludf.DUMMYFUNCTION("""COMPUTED_VALUE"""),0.707317073170731)</f>
        <v>0.7073170732</v>
      </c>
      <c r="G254" s="16">
        <f>IFERROR(__xludf.DUMMYFUNCTION("""COMPUTED_VALUE"""),0.536585365853658)</f>
        <v>0.5365853659</v>
      </c>
      <c r="H254" s="16">
        <f>IFERROR(__xludf.DUMMYFUNCTION("""COMPUTED_VALUE"""),0.512195121951219)</f>
        <v>0.512195122</v>
      </c>
      <c r="I254" s="16">
        <f>IFERROR(__xludf.DUMMYFUNCTION("""COMPUTED_VALUE"""),0.365853658536585)</f>
        <v>0.3658536585</v>
      </c>
      <c r="J254" s="16">
        <f>IFERROR(__xludf.DUMMYFUNCTION("""COMPUTED_VALUE"""),0.35)</f>
        <v>0.35</v>
      </c>
      <c r="K254" s="16">
        <f>IFERROR(__xludf.DUMMYFUNCTION("""COMPUTED_VALUE"""),0.3)</f>
        <v>0.3</v>
      </c>
      <c r="L254" s="16">
        <f>IFERROR(__xludf.DUMMYFUNCTION("""COMPUTED_VALUE"""),0.3)</f>
        <v>0.3</v>
      </c>
      <c r="M254" s="16">
        <f>IFERROR(__xludf.DUMMYFUNCTION("""COMPUTED_VALUE"""),0.3)</f>
        <v>0.3</v>
      </c>
      <c r="N254" s="16">
        <f>IFERROR(__xludf.DUMMYFUNCTION("""COMPUTED_VALUE"""),0.289473684210526)</f>
        <v>0.2894736842</v>
      </c>
      <c r="O254" s="16">
        <f>IFERROR(__xludf.DUMMYFUNCTION("""COMPUTED_VALUE"""),0.260869565217391)</f>
        <v>0.2608695652</v>
      </c>
      <c r="P254" s="16">
        <f>IFERROR(__xludf.DUMMYFUNCTION("""COMPUTED_VALUE"""),0.2)</f>
        <v>0.2</v>
      </c>
      <c r="Q254" s="16">
        <f>IFERROR(__xludf.DUMMYFUNCTION("""COMPUTED_VALUE"""),0.0)</f>
        <v>0</v>
      </c>
      <c r="R254" s="16">
        <f>IFERROR(__xludf.DUMMYFUNCTION("""COMPUTED_VALUE"""),0.0)</f>
        <v>0</v>
      </c>
      <c r="S254" s="16">
        <f>IFERROR(__xludf.DUMMYFUNCTION("""COMPUTED_VALUE"""),0.0)</f>
        <v>0</v>
      </c>
      <c r="T254" s="16">
        <f>IFERROR(__xludf.DUMMYFUNCTION("""COMPUTED_VALUE"""),0.0)</f>
        <v>0</v>
      </c>
      <c r="U254" s="16">
        <f>IFERROR(__xludf.DUMMYFUNCTION("""COMPUTED_VALUE"""),0.0)</f>
        <v>0</v>
      </c>
      <c r="V254" s="16">
        <f>IFERROR(__xludf.DUMMYFUNCTION("""COMPUTED_VALUE"""),0.0)</f>
        <v>0</v>
      </c>
      <c r="W254" s="16">
        <f>IFERROR(__xludf.DUMMYFUNCTION("""COMPUTED_VALUE"""),0.0)</f>
        <v>0</v>
      </c>
      <c r="X254" s="16">
        <f>IFERROR(__xludf.DUMMYFUNCTION("""COMPUTED_VALUE"""),0.0)</f>
        <v>0</v>
      </c>
      <c r="Y254" s="16">
        <f>IFERROR(__xludf.DUMMYFUNCTION("""COMPUTED_VALUE"""),0.0)</f>
        <v>0</v>
      </c>
      <c r="Z254" s="16">
        <f>IFERROR(__xludf.DUMMYFUNCTION("""COMPUTED_VALUE"""),0.0)</f>
        <v>0</v>
      </c>
      <c r="AA254" s="16">
        <f>IFERROR(__xludf.DUMMYFUNCTION("""COMPUTED_VALUE"""),0.0)</f>
        <v>0</v>
      </c>
      <c r="AB254" s="16">
        <f>IFERROR(__xludf.DUMMYFUNCTION("""COMPUTED_VALUE"""),0.0)</f>
        <v>0</v>
      </c>
      <c r="AC254" s="16">
        <f>IFERROR(__xludf.DUMMYFUNCTION("""COMPUTED_VALUE"""),0.0)</f>
        <v>0</v>
      </c>
      <c r="AD254" s="16">
        <f>IFERROR(__xludf.DUMMYFUNCTION("""COMPUTED_VALUE"""),0.0)</f>
        <v>0</v>
      </c>
      <c r="AE254" s="16">
        <f>IFERROR(__xludf.DUMMYFUNCTION("""COMPUTED_VALUE"""),0.0)</f>
        <v>0</v>
      </c>
      <c r="AF254" s="16">
        <f>IFERROR(__xludf.DUMMYFUNCTION("""COMPUTED_VALUE"""),0.0)</f>
        <v>0</v>
      </c>
      <c r="AG254" s="16">
        <f>IFERROR(__xludf.DUMMYFUNCTION("""COMPUTED_VALUE"""),0.0)</f>
        <v>0</v>
      </c>
      <c r="AH254" s="16">
        <f>IFERROR(__xludf.DUMMYFUNCTION("""COMPUTED_VALUE"""),0.0)</f>
        <v>0</v>
      </c>
    </row>
    <row r="255">
      <c r="A255" s="16" t="str">
        <f>IFERROR(__xludf.DUMMYFUNCTION("""COMPUTED_VALUE"""),"e0cc4d535444616635b899b0d8d7d34e8dde5fa7")</f>
        <v>e0cc4d535444616635b899b0d8d7d34e8dde5fa7</v>
      </c>
      <c r="B255" s="16" t="str">
        <f>IFERROR(__xludf.DUMMYFUNCTION("""COMPUTED_VALUE"""),"Fated Bond")</f>
        <v>Fated Bond</v>
      </c>
      <c r="C255" s="16" t="str">
        <f>IFERROR(__xludf.DUMMYFUNCTION("""COMPUTED_VALUE"""),"Romantasy")</f>
        <v>Romantasy</v>
      </c>
      <c r="D255" s="16">
        <f>IFERROR(__xludf.DUMMYFUNCTION("""COMPUTED_VALUE"""),672.0)</f>
        <v>672</v>
      </c>
      <c r="E255" s="16">
        <f>IFERROR(__xludf.DUMMYFUNCTION("""COMPUTED_VALUE"""),0.924107142857142)</f>
        <v>0.9241071429</v>
      </c>
      <c r="F255" s="16">
        <f>IFERROR(__xludf.DUMMYFUNCTION("""COMPUTED_VALUE"""),0.415178571428571)</f>
        <v>0.4151785714</v>
      </c>
      <c r="G255" s="16">
        <f>IFERROR(__xludf.DUMMYFUNCTION("""COMPUTED_VALUE"""),0.373511904761904)</f>
        <v>0.3735119048</v>
      </c>
      <c r="H255" s="16">
        <f>IFERROR(__xludf.DUMMYFUNCTION("""COMPUTED_VALUE"""),0.32488822652757)</f>
        <v>0.3248882265</v>
      </c>
      <c r="I255" s="16">
        <f>IFERROR(__xludf.DUMMYFUNCTION("""COMPUTED_VALUE"""),0.309985096870342)</f>
        <v>0.3099850969</v>
      </c>
      <c r="J255" s="16">
        <f>IFERROR(__xludf.DUMMYFUNCTION("""COMPUTED_VALUE"""),0.280178837555886)</f>
        <v>0.2801788376</v>
      </c>
      <c r="K255" s="16">
        <f>IFERROR(__xludf.DUMMYFUNCTION("""COMPUTED_VALUE"""),0.257824143070044)</f>
        <v>0.2578241431</v>
      </c>
      <c r="L255" s="16">
        <f>IFERROR(__xludf.DUMMYFUNCTION("""COMPUTED_VALUE"""),0.249253731343283)</f>
        <v>0.2492537313</v>
      </c>
      <c r="M255" s="16">
        <f>IFERROR(__xludf.DUMMYFUNCTION("""COMPUTED_VALUE"""),0.242152466367713)</f>
        <v>0.2421524664</v>
      </c>
      <c r="N255" s="16">
        <f>IFERROR(__xludf.DUMMYFUNCTION("""COMPUTED_VALUE"""),0.234586466165413)</f>
        <v>0.2345864662</v>
      </c>
      <c r="O255" s="16">
        <f>IFERROR(__xludf.DUMMYFUNCTION("""COMPUTED_VALUE"""),0.227488151658767)</f>
        <v>0.2274881517</v>
      </c>
      <c r="P255" s="16">
        <f>IFERROR(__xludf.DUMMYFUNCTION("""COMPUTED_VALUE"""),0.171768707482993)</f>
        <v>0.1717687075</v>
      </c>
      <c r="Q255" s="16">
        <f>IFERROR(__xludf.DUMMYFUNCTION("""COMPUTED_VALUE"""),0.160642570281124)</f>
        <v>0.1606425703</v>
      </c>
      <c r="R255" s="16">
        <f>IFERROR(__xludf.DUMMYFUNCTION("""COMPUTED_VALUE"""),0.134048257372654)</f>
        <v>0.1340482574</v>
      </c>
      <c r="S255" s="16">
        <f>IFERROR(__xludf.DUMMYFUNCTION("""COMPUTED_VALUE"""),0.108108108108108)</f>
        <v>0.1081081081</v>
      </c>
      <c r="T255" s="16">
        <f>IFERROR(__xludf.DUMMYFUNCTION("""COMPUTED_VALUE"""),0.0625)</f>
        <v>0.0625</v>
      </c>
      <c r="U255" s="16">
        <f>IFERROR(__xludf.DUMMYFUNCTION("""COMPUTED_VALUE"""),0.0555555555555555)</f>
        <v>0.05555555556</v>
      </c>
      <c r="V255" s="16">
        <f>IFERROR(__xludf.DUMMYFUNCTION("""COMPUTED_VALUE"""),0.0217391304347826)</f>
        <v>0.02173913043</v>
      </c>
      <c r="W255" s="16">
        <f>IFERROR(__xludf.DUMMYFUNCTION("""COMPUTED_VALUE"""),0.0140845070422535)</f>
        <v>0.01408450704</v>
      </c>
      <c r="X255" s="16">
        <f>IFERROR(__xludf.DUMMYFUNCTION("""COMPUTED_VALUE"""),0.0)</f>
        <v>0</v>
      </c>
      <c r="Y255" s="16">
        <f>IFERROR(__xludf.DUMMYFUNCTION("""COMPUTED_VALUE"""),0.0)</f>
        <v>0</v>
      </c>
      <c r="Z255" s="16">
        <f>IFERROR(__xludf.DUMMYFUNCTION("""COMPUTED_VALUE"""),0.0)</f>
        <v>0</v>
      </c>
      <c r="AA255" s="16">
        <f>IFERROR(__xludf.DUMMYFUNCTION("""COMPUTED_VALUE"""),0.0)</f>
        <v>0</v>
      </c>
      <c r="AB255" s="16">
        <f>IFERROR(__xludf.DUMMYFUNCTION("""COMPUTED_VALUE"""),0.0)</f>
        <v>0</v>
      </c>
      <c r="AC255" s="16">
        <f>IFERROR(__xludf.DUMMYFUNCTION("""COMPUTED_VALUE"""),0.0)</f>
        <v>0</v>
      </c>
      <c r="AD255" s="16">
        <f>IFERROR(__xludf.DUMMYFUNCTION("""COMPUTED_VALUE"""),0.0)</f>
        <v>0</v>
      </c>
      <c r="AE255" s="16">
        <f>IFERROR(__xludf.DUMMYFUNCTION("""COMPUTED_VALUE"""),0.0)</f>
        <v>0</v>
      </c>
      <c r="AF255" s="16">
        <f>IFERROR(__xludf.DUMMYFUNCTION("""COMPUTED_VALUE"""),0.0)</f>
        <v>0</v>
      </c>
      <c r="AG255" s="16">
        <f>IFERROR(__xludf.DUMMYFUNCTION("""COMPUTED_VALUE"""),0.0)</f>
        <v>0</v>
      </c>
      <c r="AH255" s="16">
        <f>IFERROR(__xludf.DUMMYFUNCTION("""COMPUTED_VALUE"""),0.0)</f>
        <v>0</v>
      </c>
    </row>
    <row r="256">
      <c r="A256" s="16" t="str">
        <f>IFERROR(__xludf.DUMMYFUNCTION("""COMPUTED_VALUE"""),"e0df7c51c42acc2ebb07fef0853244b617b34a0a")</f>
        <v>e0df7c51c42acc2ebb07fef0853244b617b34a0a</v>
      </c>
      <c r="B256" s="16" t="str">
        <f>IFERROR(__xludf.DUMMYFUNCTION("""COMPUTED_VALUE"""),"Hunted by the Alpha")</f>
        <v>Hunted by the Alpha</v>
      </c>
      <c r="C256" s="16" t="str">
        <f>IFERROR(__xludf.DUMMYFUNCTION("""COMPUTED_VALUE"""),"Romantasy")</f>
        <v>Romantasy</v>
      </c>
      <c r="D256" s="16">
        <f>IFERROR(__xludf.DUMMYFUNCTION("""COMPUTED_VALUE"""),292.0)</f>
        <v>292</v>
      </c>
      <c r="E256" s="16">
        <f>IFERROR(__xludf.DUMMYFUNCTION("""COMPUTED_VALUE"""),0.97945205479452)</f>
        <v>0.9794520548</v>
      </c>
      <c r="F256" s="16">
        <f>IFERROR(__xludf.DUMMYFUNCTION("""COMPUTED_VALUE"""),0.383561643835616)</f>
        <v>0.3835616438</v>
      </c>
      <c r="G256" s="16">
        <f>IFERROR(__xludf.DUMMYFUNCTION("""COMPUTED_VALUE"""),0.321917808219178)</f>
        <v>0.3219178082</v>
      </c>
      <c r="H256" s="16">
        <f>IFERROR(__xludf.DUMMYFUNCTION("""COMPUTED_VALUE"""),0.308219178082191)</f>
        <v>0.3082191781</v>
      </c>
      <c r="I256" s="16">
        <f>IFERROR(__xludf.DUMMYFUNCTION("""COMPUTED_VALUE"""),0.27147766323024)</f>
        <v>0.2714776632</v>
      </c>
      <c r="J256" s="16">
        <f>IFERROR(__xludf.DUMMYFUNCTION("""COMPUTED_VALUE"""),0.268041237113402)</f>
        <v>0.2680412371</v>
      </c>
      <c r="K256" s="16">
        <f>IFERROR(__xludf.DUMMYFUNCTION("""COMPUTED_VALUE"""),0.240549828178694)</f>
        <v>0.2405498282</v>
      </c>
      <c r="L256" s="16">
        <f>IFERROR(__xludf.DUMMYFUNCTION("""COMPUTED_VALUE"""),0.217993079584775)</f>
        <v>0.2179930796</v>
      </c>
      <c r="M256" s="16">
        <f>IFERROR(__xludf.DUMMYFUNCTION("""COMPUTED_VALUE"""),0.214035087719298)</f>
        <v>0.2140350877</v>
      </c>
      <c r="N256" s="16">
        <f>IFERROR(__xludf.DUMMYFUNCTION("""COMPUTED_VALUE"""),0.192170818505338)</f>
        <v>0.1921708185</v>
      </c>
      <c r="O256" s="16">
        <f>IFERROR(__xludf.DUMMYFUNCTION("""COMPUTED_VALUE"""),0.182572614107883)</f>
        <v>0.1825726141</v>
      </c>
      <c r="P256" s="16">
        <f>IFERROR(__xludf.DUMMYFUNCTION("""COMPUTED_VALUE"""),0.114093959731543)</f>
        <v>0.1140939597</v>
      </c>
      <c r="Q256" s="16">
        <f>IFERROR(__xludf.DUMMYFUNCTION("""COMPUTED_VALUE"""),0.117647058823529)</f>
        <v>0.1176470588</v>
      </c>
      <c r="R256" s="16">
        <f>IFERROR(__xludf.DUMMYFUNCTION("""COMPUTED_VALUE"""),0.0)</f>
        <v>0</v>
      </c>
      <c r="S256" s="16">
        <f>IFERROR(__xludf.DUMMYFUNCTION("""COMPUTED_VALUE"""),0.0)</f>
        <v>0</v>
      </c>
      <c r="T256" s="16">
        <f>IFERROR(__xludf.DUMMYFUNCTION("""COMPUTED_VALUE"""),0.0)</f>
        <v>0</v>
      </c>
      <c r="U256" s="16">
        <f>IFERROR(__xludf.DUMMYFUNCTION("""COMPUTED_VALUE"""),0.0)</f>
        <v>0</v>
      </c>
      <c r="V256" s="16">
        <f>IFERROR(__xludf.DUMMYFUNCTION("""COMPUTED_VALUE"""),0.0)</f>
        <v>0</v>
      </c>
      <c r="W256" s="16">
        <f>IFERROR(__xludf.DUMMYFUNCTION("""COMPUTED_VALUE"""),0.0)</f>
        <v>0</v>
      </c>
      <c r="X256" s="16">
        <f>IFERROR(__xludf.DUMMYFUNCTION("""COMPUTED_VALUE"""),0.0)</f>
        <v>0</v>
      </c>
      <c r="Y256" s="16">
        <f>IFERROR(__xludf.DUMMYFUNCTION("""COMPUTED_VALUE"""),0.0)</f>
        <v>0</v>
      </c>
      <c r="Z256" s="16">
        <f>IFERROR(__xludf.DUMMYFUNCTION("""COMPUTED_VALUE"""),0.0)</f>
        <v>0</v>
      </c>
      <c r="AA256" s="16">
        <f>IFERROR(__xludf.DUMMYFUNCTION("""COMPUTED_VALUE"""),0.0)</f>
        <v>0</v>
      </c>
      <c r="AB256" s="16">
        <f>IFERROR(__xludf.DUMMYFUNCTION("""COMPUTED_VALUE"""),0.0)</f>
        <v>0</v>
      </c>
      <c r="AC256" s="16">
        <f>IFERROR(__xludf.DUMMYFUNCTION("""COMPUTED_VALUE"""),0.0)</f>
        <v>0</v>
      </c>
      <c r="AD256" s="16">
        <f>IFERROR(__xludf.DUMMYFUNCTION("""COMPUTED_VALUE"""),0.0)</f>
        <v>0</v>
      </c>
      <c r="AE256" s="16">
        <f>IFERROR(__xludf.DUMMYFUNCTION("""COMPUTED_VALUE"""),0.0)</f>
        <v>0</v>
      </c>
      <c r="AF256" s="16">
        <f>IFERROR(__xludf.DUMMYFUNCTION("""COMPUTED_VALUE"""),0.0)</f>
        <v>0</v>
      </c>
      <c r="AG256" s="16">
        <f>IFERROR(__xludf.DUMMYFUNCTION("""COMPUTED_VALUE"""),0.0)</f>
        <v>0</v>
      </c>
      <c r="AH256" s="16">
        <f>IFERROR(__xludf.DUMMYFUNCTION("""COMPUTED_VALUE"""),0.0)</f>
        <v>0</v>
      </c>
    </row>
    <row r="257">
      <c r="A257" s="16" t="str">
        <f>IFERROR(__xludf.DUMMYFUNCTION("""COMPUTED_VALUE"""),"e168f716089521f9d1fe95769f273458c64e2ba9")</f>
        <v>e168f716089521f9d1fe95769f273458c64e2ba9</v>
      </c>
      <c r="B257" s="16" t="str">
        <f>IFERROR(__xludf.DUMMYFUNCTION("""COMPUTED_VALUE"""),"My Young Bodyguard")</f>
        <v>My Young Bodyguard</v>
      </c>
      <c r="C257" s="16" t="str">
        <f>IFERROR(__xludf.DUMMYFUNCTION("""COMPUTED_VALUE"""),"Drama")</f>
        <v>Drama</v>
      </c>
      <c r="D257" s="16">
        <f>IFERROR(__xludf.DUMMYFUNCTION("""COMPUTED_VALUE"""),703.0)</f>
        <v>703</v>
      </c>
      <c r="E257" s="16">
        <f>IFERROR(__xludf.DUMMYFUNCTION("""COMPUTED_VALUE"""),0.974395448079658)</f>
        <v>0.9743954481</v>
      </c>
      <c r="F257" s="16">
        <f>IFERROR(__xludf.DUMMYFUNCTION("""COMPUTED_VALUE"""),0.581792318634423)</f>
        <v>0.5817923186</v>
      </c>
      <c r="G257" s="16">
        <f>IFERROR(__xludf.DUMMYFUNCTION("""COMPUTED_VALUE"""),0.522048364153627)</f>
        <v>0.5220483642</v>
      </c>
      <c r="H257" s="16">
        <f>IFERROR(__xludf.DUMMYFUNCTION("""COMPUTED_VALUE"""),0.482219061166429)</f>
        <v>0.4822190612</v>
      </c>
      <c r="I257" s="16">
        <f>IFERROR(__xludf.DUMMYFUNCTION("""COMPUTED_VALUE"""),0.42836676217765)</f>
        <v>0.4283667622</v>
      </c>
      <c r="J257" s="16">
        <f>IFERROR(__xludf.DUMMYFUNCTION("""COMPUTED_VALUE"""),0.420143884892086)</f>
        <v>0.4201438849</v>
      </c>
      <c r="K257" s="16">
        <f>IFERROR(__xludf.DUMMYFUNCTION("""COMPUTED_VALUE"""),0.397973950795947)</f>
        <v>0.3979739508</v>
      </c>
      <c r="L257" s="16">
        <f>IFERROR(__xludf.DUMMYFUNCTION("""COMPUTED_VALUE"""),0.368815592203898)</f>
        <v>0.3688155922</v>
      </c>
      <c r="M257" s="16">
        <f>IFERROR(__xludf.DUMMYFUNCTION("""COMPUTED_VALUE"""),0.349230769230769)</f>
        <v>0.3492307692</v>
      </c>
      <c r="N257" s="16">
        <f>IFERROR(__xludf.DUMMYFUNCTION("""COMPUTED_VALUE"""),0.328407224958949)</f>
        <v>0.328407225</v>
      </c>
      <c r="O257" s="16">
        <f>IFERROR(__xludf.DUMMYFUNCTION("""COMPUTED_VALUE"""),0.273305084745762)</f>
        <v>0.2733050847</v>
      </c>
      <c r="P257" s="16">
        <f>IFERROR(__xludf.DUMMYFUNCTION("""COMPUTED_VALUE"""),0.238853503184713)</f>
        <v>0.2388535032</v>
      </c>
      <c r="Q257" s="16">
        <f>IFERROR(__xludf.DUMMYFUNCTION("""COMPUTED_VALUE"""),0.16593886462882)</f>
        <v>0.1659388646</v>
      </c>
      <c r="R257" s="16">
        <f>IFERROR(__xludf.DUMMYFUNCTION("""COMPUTED_VALUE"""),0.0909090909090909)</f>
        <v>0.09090909091</v>
      </c>
      <c r="S257" s="16">
        <f>IFERROR(__xludf.DUMMYFUNCTION("""COMPUTED_VALUE"""),0.0)</f>
        <v>0</v>
      </c>
      <c r="T257" s="16">
        <f>IFERROR(__xludf.DUMMYFUNCTION("""COMPUTED_VALUE"""),0.0)</f>
        <v>0</v>
      </c>
      <c r="U257" s="16">
        <f>IFERROR(__xludf.DUMMYFUNCTION("""COMPUTED_VALUE"""),0.0)</f>
        <v>0</v>
      </c>
      <c r="V257" s="16">
        <f>IFERROR(__xludf.DUMMYFUNCTION("""COMPUTED_VALUE"""),0.0)</f>
        <v>0</v>
      </c>
      <c r="W257" s="16">
        <f>IFERROR(__xludf.DUMMYFUNCTION("""COMPUTED_VALUE"""),0.0)</f>
        <v>0</v>
      </c>
      <c r="X257" s="16">
        <f>IFERROR(__xludf.DUMMYFUNCTION("""COMPUTED_VALUE"""),0.0)</f>
        <v>0</v>
      </c>
      <c r="Y257" s="16">
        <f>IFERROR(__xludf.DUMMYFUNCTION("""COMPUTED_VALUE"""),0.0)</f>
        <v>0</v>
      </c>
      <c r="Z257" s="16">
        <f>IFERROR(__xludf.DUMMYFUNCTION("""COMPUTED_VALUE"""),0.0)</f>
        <v>0</v>
      </c>
      <c r="AA257" s="16">
        <f>IFERROR(__xludf.DUMMYFUNCTION("""COMPUTED_VALUE"""),0.0)</f>
        <v>0</v>
      </c>
      <c r="AB257" s="16">
        <f>IFERROR(__xludf.DUMMYFUNCTION("""COMPUTED_VALUE"""),0.0)</f>
        <v>0</v>
      </c>
      <c r="AC257" s="16">
        <f>IFERROR(__xludf.DUMMYFUNCTION("""COMPUTED_VALUE"""),0.0)</f>
        <v>0</v>
      </c>
      <c r="AD257" s="16">
        <f>IFERROR(__xludf.DUMMYFUNCTION("""COMPUTED_VALUE"""),0.0)</f>
        <v>0</v>
      </c>
      <c r="AE257" s="16">
        <f>IFERROR(__xludf.DUMMYFUNCTION("""COMPUTED_VALUE"""),0.0)</f>
        <v>0</v>
      </c>
      <c r="AF257" s="16">
        <f>IFERROR(__xludf.DUMMYFUNCTION("""COMPUTED_VALUE"""),0.0)</f>
        <v>0</v>
      </c>
      <c r="AG257" s="16">
        <f>IFERROR(__xludf.DUMMYFUNCTION("""COMPUTED_VALUE"""),0.0)</f>
        <v>0</v>
      </c>
      <c r="AH257" s="16">
        <f>IFERROR(__xludf.DUMMYFUNCTION("""COMPUTED_VALUE"""),0.0)</f>
        <v>0</v>
      </c>
    </row>
    <row r="258">
      <c r="A258" s="16" t="str">
        <f>IFERROR(__xludf.DUMMYFUNCTION("""COMPUTED_VALUE"""),"e1e025613df0bb24a28711b19cbefdbc254e0c21")</f>
        <v>e1e025613df0bb24a28711b19cbefdbc254e0c21</v>
      </c>
      <c r="B258" s="16" t="str">
        <f>IFERROR(__xludf.DUMMYFUNCTION("""COMPUTED_VALUE"""),"The Ceo Hidden Bride")</f>
        <v>The Ceo Hidden Bride</v>
      </c>
      <c r="C258" s="16" t="str">
        <f>IFERROR(__xludf.DUMMYFUNCTION("""COMPUTED_VALUE"""),"Romance")</f>
        <v>Romance</v>
      </c>
      <c r="D258" s="16">
        <f>IFERROR(__xludf.DUMMYFUNCTION("""COMPUTED_VALUE"""),142.0)</f>
        <v>142</v>
      </c>
      <c r="E258" s="16">
        <f>IFERROR(__xludf.DUMMYFUNCTION("""COMPUTED_VALUE"""),0.978873239436619)</f>
        <v>0.9788732394</v>
      </c>
      <c r="F258" s="16">
        <f>IFERROR(__xludf.DUMMYFUNCTION("""COMPUTED_VALUE"""),0.5)</f>
        <v>0.5</v>
      </c>
      <c r="G258" s="16">
        <f>IFERROR(__xludf.DUMMYFUNCTION("""COMPUTED_VALUE"""),0.401408450704225)</f>
        <v>0.4014084507</v>
      </c>
      <c r="H258" s="16">
        <f>IFERROR(__xludf.DUMMYFUNCTION("""COMPUTED_VALUE"""),0.309859154929577)</f>
        <v>0.3098591549</v>
      </c>
      <c r="I258" s="16">
        <f>IFERROR(__xludf.DUMMYFUNCTION("""COMPUTED_VALUE"""),0.271428571428571)</f>
        <v>0.2714285714</v>
      </c>
      <c r="J258" s="16">
        <f>IFERROR(__xludf.DUMMYFUNCTION("""COMPUTED_VALUE"""),0.240875912408759)</f>
        <v>0.2408759124</v>
      </c>
      <c r="K258" s="16">
        <f>IFERROR(__xludf.DUMMYFUNCTION("""COMPUTED_VALUE"""),0.229007633587786)</f>
        <v>0.2290076336</v>
      </c>
      <c r="L258" s="16">
        <f>IFERROR(__xludf.DUMMYFUNCTION("""COMPUTED_VALUE"""),0.2)</f>
        <v>0.2</v>
      </c>
      <c r="M258" s="16">
        <f>IFERROR(__xludf.DUMMYFUNCTION("""COMPUTED_VALUE"""),0.1875)</f>
        <v>0.1875</v>
      </c>
      <c r="N258" s="16">
        <f>IFERROR(__xludf.DUMMYFUNCTION("""COMPUTED_VALUE"""),0.176)</f>
        <v>0.176</v>
      </c>
      <c r="O258" s="16">
        <f>IFERROR(__xludf.DUMMYFUNCTION("""COMPUTED_VALUE"""),0.158415841584158)</f>
        <v>0.1584158416</v>
      </c>
      <c r="P258" s="16">
        <f>IFERROR(__xludf.DUMMYFUNCTION("""COMPUTED_VALUE"""),0.0945945945945946)</f>
        <v>0.09459459459</v>
      </c>
      <c r="Q258" s="16">
        <f>IFERROR(__xludf.DUMMYFUNCTION("""COMPUTED_VALUE"""),0.0)</f>
        <v>0</v>
      </c>
      <c r="R258" s="16">
        <f>IFERROR(__xludf.DUMMYFUNCTION("""COMPUTED_VALUE"""),0.0)</f>
        <v>0</v>
      </c>
      <c r="S258" s="16">
        <f>IFERROR(__xludf.DUMMYFUNCTION("""COMPUTED_VALUE"""),0.0)</f>
        <v>0</v>
      </c>
      <c r="T258" s="16">
        <f>IFERROR(__xludf.DUMMYFUNCTION("""COMPUTED_VALUE"""),0.0)</f>
        <v>0</v>
      </c>
      <c r="U258" s="16">
        <f>IFERROR(__xludf.DUMMYFUNCTION("""COMPUTED_VALUE"""),0.0)</f>
        <v>0</v>
      </c>
      <c r="V258" s="16">
        <f>IFERROR(__xludf.DUMMYFUNCTION("""COMPUTED_VALUE"""),0.0)</f>
        <v>0</v>
      </c>
      <c r="W258" s="16">
        <f>IFERROR(__xludf.DUMMYFUNCTION("""COMPUTED_VALUE"""),0.0)</f>
        <v>0</v>
      </c>
      <c r="X258" s="16">
        <f>IFERROR(__xludf.DUMMYFUNCTION("""COMPUTED_VALUE"""),0.0)</f>
        <v>0</v>
      </c>
      <c r="Y258" s="16">
        <f>IFERROR(__xludf.DUMMYFUNCTION("""COMPUTED_VALUE"""),0.0)</f>
        <v>0</v>
      </c>
      <c r="Z258" s="16">
        <f>IFERROR(__xludf.DUMMYFUNCTION("""COMPUTED_VALUE"""),0.0)</f>
        <v>0</v>
      </c>
      <c r="AA258" s="16">
        <f>IFERROR(__xludf.DUMMYFUNCTION("""COMPUTED_VALUE"""),0.0)</f>
        <v>0</v>
      </c>
      <c r="AB258" s="16">
        <f>IFERROR(__xludf.DUMMYFUNCTION("""COMPUTED_VALUE"""),0.0)</f>
        <v>0</v>
      </c>
      <c r="AC258" s="16">
        <f>IFERROR(__xludf.DUMMYFUNCTION("""COMPUTED_VALUE"""),0.0)</f>
        <v>0</v>
      </c>
      <c r="AD258" s="16">
        <f>IFERROR(__xludf.DUMMYFUNCTION("""COMPUTED_VALUE"""),0.0)</f>
        <v>0</v>
      </c>
      <c r="AE258" s="16">
        <f>IFERROR(__xludf.DUMMYFUNCTION("""COMPUTED_VALUE"""),0.0)</f>
        <v>0</v>
      </c>
      <c r="AF258" s="16">
        <f>IFERROR(__xludf.DUMMYFUNCTION("""COMPUTED_VALUE"""),0.0)</f>
        <v>0</v>
      </c>
      <c r="AG258" s="16">
        <f>IFERROR(__xludf.DUMMYFUNCTION("""COMPUTED_VALUE"""),0.0)</f>
        <v>0</v>
      </c>
      <c r="AH258" s="16">
        <f>IFERROR(__xludf.DUMMYFUNCTION("""COMPUTED_VALUE"""),0.0)</f>
        <v>0</v>
      </c>
    </row>
    <row r="259">
      <c r="A259" s="16" t="str">
        <f>IFERROR(__xludf.DUMMYFUNCTION("""COMPUTED_VALUE"""),"e2f077e58449b7e3e415bd16eb5bb755606936b6")</f>
        <v>e2f077e58449b7e3e415bd16eb5bb755606936b6</v>
      </c>
      <c r="B259" s="16" t="str">
        <f>IFERROR(__xludf.DUMMYFUNCTION("""COMPUTED_VALUE"""),"Powerless Heir to Throne")</f>
        <v>Powerless Heir to Throne</v>
      </c>
      <c r="C259" s="16" t="str">
        <f>IFERROR(__xludf.DUMMYFUNCTION("""COMPUTED_VALUE"""),"System and Superpower")</f>
        <v>System and Superpower</v>
      </c>
      <c r="D259" s="16">
        <f>IFERROR(__xludf.DUMMYFUNCTION("""COMPUTED_VALUE"""),930.0)</f>
        <v>930</v>
      </c>
      <c r="E259" s="16">
        <f>IFERROR(__xludf.DUMMYFUNCTION("""COMPUTED_VALUE"""),0.950537634408602)</f>
        <v>0.9505376344</v>
      </c>
      <c r="F259" s="16">
        <f>IFERROR(__xludf.DUMMYFUNCTION("""COMPUTED_VALUE"""),0.682795698924731)</f>
        <v>0.6827956989</v>
      </c>
      <c r="G259" s="16">
        <f>IFERROR(__xludf.DUMMYFUNCTION("""COMPUTED_VALUE"""),0.626881720430107)</f>
        <v>0.6268817204</v>
      </c>
      <c r="H259" s="16">
        <f>IFERROR(__xludf.DUMMYFUNCTION("""COMPUTED_VALUE"""),0.583870967741935)</f>
        <v>0.5838709677</v>
      </c>
      <c r="I259" s="16">
        <f>IFERROR(__xludf.DUMMYFUNCTION("""COMPUTED_VALUE"""),0.518318965517241)</f>
        <v>0.5183189655</v>
      </c>
      <c r="J259" s="16">
        <f>IFERROR(__xludf.DUMMYFUNCTION("""COMPUTED_VALUE"""),0.484913793103448)</f>
        <v>0.4849137931</v>
      </c>
      <c r="K259" s="16">
        <f>IFERROR(__xludf.DUMMYFUNCTION("""COMPUTED_VALUE"""),0.447084233261339)</f>
        <v>0.4470842333</v>
      </c>
      <c r="L259" s="16">
        <f>IFERROR(__xludf.DUMMYFUNCTION("""COMPUTED_VALUE"""),0.42145178764897)</f>
        <v>0.4214517876</v>
      </c>
      <c r="M259" s="16">
        <f>IFERROR(__xludf.DUMMYFUNCTION("""COMPUTED_VALUE"""),0.396533044420368)</f>
        <v>0.3965330444</v>
      </c>
      <c r="N259" s="16">
        <f>IFERROR(__xludf.DUMMYFUNCTION("""COMPUTED_VALUE"""),0.379347826086956)</f>
        <v>0.3793478261</v>
      </c>
      <c r="O259" s="16">
        <f>IFERROR(__xludf.DUMMYFUNCTION("""COMPUTED_VALUE"""),0.322185061315496)</f>
        <v>0.3221850613</v>
      </c>
      <c r="P259" s="16">
        <f>IFERROR(__xludf.DUMMYFUNCTION("""COMPUTED_VALUE"""),0.224220623501199)</f>
        <v>0.2242206235</v>
      </c>
      <c r="Q259" s="16">
        <f>IFERROR(__xludf.DUMMYFUNCTION("""COMPUTED_VALUE"""),0.154460719041278)</f>
        <v>0.154460719</v>
      </c>
      <c r="R259" s="16">
        <f>IFERROR(__xludf.DUMMYFUNCTION("""COMPUTED_VALUE"""),0.0901360544217687)</f>
        <v>0.09013605442</v>
      </c>
      <c r="S259" s="16">
        <f>IFERROR(__xludf.DUMMYFUNCTION("""COMPUTED_VALUE"""),0.059090909090909)</f>
        <v>0.05909090909</v>
      </c>
      <c r="T259" s="16">
        <f>IFERROR(__xludf.DUMMYFUNCTION("""COMPUTED_VALUE"""),0.0198019801980198)</f>
        <v>0.0198019802</v>
      </c>
      <c r="U259" s="16">
        <f>IFERROR(__xludf.DUMMYFUNCTION("""COMPUTED_VALUE"""),0.0)</f>
        <v>0</v>
      </c>
      <c r="V259" s="16">
        <f>IFERROR(__xludf.DUMMYFUNCTION("""COMPUTED_VALUE"""),0.0)</f>
        <v>0</v>
      </c>
      <c r="W259" s="16">
        <f>IFERROR(__xludf.DUMMYFUNCTION("""COMPUTED_VALUE"""),0.0)</f>
        <v>0</v>
      </c>
      <c r="X259" s="16">
        <f>IFERROR(__xludf.DUMMYFUNCTION("""COMPUTED_VALUE"""),0.0)</f>
        <v>0</v>
      </c>
      <c r="Y259" s="16">
        <f>IFERROR(__xludf.DUMMYFUNCTION("""COMPUTED_VALUE"""),0.0)</f>
        <v>0</v>
      </c>
      <c r="Z259" s="16">
        <f>IFERROR(__xludf.DUMMYFUNCTION("""COMPUTED_VALUE"""),0.0)</f>
        <v>0</v>
      </c>
      <c r="AA259" s="16">
        <f>IFERROR(__xludf.DUMMYFUNCTION("""COMPUTED_VALUE"""),0.0)</f>
        <v>0</v>
      </c>
      <c r="AB259" s="16">
        <f>IFERROR(__xludf.DUMMYFUNCTION("""COMPUTED_VALUE"""),0.0)</f>
        <v>0</v>
      </c>
      <c r="AC259" s="16">
        <f>IFERROR(__xludf.DUMMYFUNCTION("""COMPUTED_VALUE"""),0.0)</f>
        <v>0</v>
      </c>
      <c r="AD259" s="16">
        <f>IFERROR(__xludf.DUMMYFUNCTION("""COMPUTED_VALUE"""),0.0)</f>
        <v>0</v>
      </c>
      <c r="AE259" s="16">
        <f>IFERROR(__xludf.DUMMYFUNCTION("""COMPUTED_VALUE"""),0.0)</f>
        <v>0</v>
      </c>
      <c r="AF259" s="16">
        <f>IFERROR(__xludf.DUMMYFUNCTION("""COMPUTED_VALUE"""),0.0)</f>
        <v>0</v>
      </c>
      <c r="AG259" s="16">
        <f>IFERROR(__xludf.DUMMYFUNCTION("""COMPUTED_VALUE"""),0.0)</f>
        <v>0</v>
      </c>
      <c r="AH259" s="16">
        <f>IFERROR(__xludf.DUMMYFUNCTION("""COMPUTED_VALUE"""),0.0)</f>
        <v>0</v>
      </c>
    </row>
    <row r="260">
      <c r="A260" s="16" t="str">
        <f>IFERROR(__xludf.DUMMYFUNCTION("""COMPUTED_VALUE"""),"e3ea22ad9a736918a7619bfed3abf1f862c9bdb2")</f>
        <v>e3ea22ad9a736918a7619bfed3abf1f862c9bdb2</v>
      </c>
      <c r="B260" s="16" t="str">
        <f>IFERROR(__xludf.DUMMYFUNCTION("""COMPUTED_VALUE"""),"The Empress's Cold Return")</f>
        <v>The Empress's Cold Return</v>
      </c>
      <c r="C260" s="16" t="str">
        <f>IFERROR(__xludf.DUMMYFUNCTION("""COMPUTED_VALUE"""),"Drama")</f>
        <v>Drama</v>
      </c>
      <c r="D260" s="16">
        <f>IFERROR(__xludf.DUMMYFUNCTION("""COMPUTED_VALUE"""),79.0)</f>
        <v>79</v>
      </c>
      <c r="E260" s="16">
        <f>IFERROR(__xludf.DUMMYFUNCTION("""COMPUTED_VALUE"""),0.949367088607594)</f>
        <v>0.9493670886</v>
      </c>
      <c r="F260" s="16">
        <f>IFERROR(__xludf.DUMMYFUNCTION("""COMPUTED_VALUE"""),0.481012658227848)</f>
        <v>0.4810126582</v>
      </c>
      <c r="G260" s="16">
        <f>IFERROR(__xludf.DUMMYFUNCTION("""COMPUTED_VALUE"""),0.417721518987341)</f>
        <v>0.417721519</v>
      </c>
      <c r="H260" s="16">
        <f>IFERROR(__xludf.DUMMYFUNCTION("""COMPUTED_VALUE"""),0.379746835443038)</f>
        <v>0.3797468354</v>
      </c>
      <c r="I260" s="16">
        <f>IFERROR(__xludf.DUMMYFUNCTION("""COMPUTED_VALUE"""),0.379746835443038)</f>
        <v>0.3797468354</v>
      </c>
      <c r="J260" s="16">
        <f>IFERROR(__xludf.DUMMYFUNCTION("""COMPUTED_VALUE"""),0.354430379746835)</f>
        <v>0.3544303797</v>
      </c>
      <c r="K260" s="16">
        <f>IFERROR(__xludf.DUMMYFUNCTION("""COMPUTED_VALUE"""),0.341772151898734)</f>
        <v>0.3417721519</v>
      </c>
      <c r="L260" s="16">
        <f>IFERROR(__xludf.DUMMYFUNCTION("""COMPUTED_VALUE"""),0.354430379746835)</f>
        <v>0.3544303797</v>
      </c>
      <c r="M260" s="16">
        <f>IFERROR(__xludf.DUMMYFUNCTION("""COMPUTED_VALUE"""),0.278481012658227)</f>
        <v>0.2784810127</v>
      </c>
      <c r="N260" s="16">
        <f>IFERROR(__xludf.DUMMYFUNCTION("""COMPUTED_VALUE"""),0.30379746835443)</f>
        <v>0.3037974684</v>
      </c>
      <c r="O260" s="16">
        <f>IFERROR(__xludf.DUMMYFUNCTION("""COMPUTED_VALUE"""),0.23076923076923)</f>
        <v>0.2307692308</v>
      </c>
      <c r="P260" s="16">
        <f>IFERROR(__xludf.DUMMYFUNCTION("""COMPUTED_VALUE"""),0.148648648648648)</f>
        <v>0.1486486486</v>
      </c>
      <c r="Q260" s="16">
        <f>IFERROR(__xludf.DUMMYFUNCTION("""COMPUTED_VALUE"""),0.048780487804878)</f>
        <v>0.0487804878</v>
      </c>
      <c r="R260" s="16">
        <f>IFERROR(__xludf.DUMMYFUNCTION("""COMPUTED_VALUE"""),0.0526315789473684)</f>
        <v>0.05263157895</v>
      </c>
      <c r="S260" s="16">
        <f>IFERROR(__xludf.DUMMYFUNCTION("""COMPUTED_VALUE"""),0.0)</f>
        <v>0</v>
      </c>
      <c r="T260" s="16">
        <f>IFERROR(__xludf.DUMMYFUNCTION("""COMPUTED_VALUE"""),0.0)</f>
        <v>0</v>
      </c>
      <c r="U260" s="16">
        <f>IFERROR(__xludf.DUMMYFUNCTION("""COMPUTED_VALUE"""),0.0)</f>
        <v>0</v>
      </c>
      <c r="V260" s="16">
        <f>IFERROR(__xludf.DUMMYFUNCTION("""COMPUTED_VALUE"""),0.0)</f>
        <v>0</v>
      </c>
      <c r="W260" s="16">
        <f>IFERROR(__xludf.DUMMYFUNCTION("""COMPUTED_VALUE"""),0.0)</f>
        <v>0</v>
      </c>
      <c r="X260" s="16">
        <f>IFERROR(__xludf.DUMMYFUNCTION("""COMPUTED_VALUE"""),0.0)</f>
        <v>0</v>
      </c>
      <c r="Y260" s="16">
        <f>IFERROR(__xludf.DUMMYFUNCTION("""COMPUTED_VALUE"""),0.0)</f>
        <v>0</v>
      </c>
      <c r="Z260" s="16">
        <f>IFERROR(__xludf.DUMMYFUNCTION("""COMPUTED_VALUE"""),0.0)</f>
        <v>0</v>
      </c>
      <c r="AA260" s="16">
        <f>IFERROR(__xludf.DUMMYFUNCTION("""COMPUTED_VALUE"""),0.0)</f>
        <v>0</v>
      </c>
      <c r="AB260" s="16">
        <f>IFERROR(__xludf.DUMMYFUNCTION("""COMPUTED_VALUE"""),0.0)</f>
        <v>0</v>
      </c>
      <c r="AC260" s="16">
        <f>IFERROR(__xludf.DUMMYFUNCTION("""COMPUTED_VALUE"""),0.0)</f>
        <v>0</v>
      </c>
      <c r="AD260" s="16">
        <f>IFERROR(__xludf.DUMMYFUNCTION("""COMPUTED_VALUE"""),0.0)</f>
        <v>0</v>
      </c>
      <c r="AE260" s="16">
        <f>IFERROR(__xludf.DUMMYFUNCTION("""COMPUTED_VALUE"""),0.0)</f>
        <v>0</v>
      </c>
      <c r="AF260" s="16">
        <f>IFERROR(__xludf.DUMMYFUNCTION("""COMPUTED_VALUE"""),0.0)</f>
        <v>0</v>
      </c>
      <c r="AG260" s="16">
        <f>IFERROR(__xludf.DUMMYFUNCTION("""COMPUTED_VALUE"""),0.0)</f>
        <v>0</v>
      </c>
      <c r="AH260" s="16">
        <f>IFERROR(__xludf.DUMMYFUNCTION("""COMPUTED_VALUE"""),0.0)</f>
        <v>0</v>
      </c>
    </row>
    <row r="261">
      <c r="A261" s="16" t="str">
        <f>IFERROR(__xludf.DUMMYFUNCTION("""COMPUTED_VALUE"""),"e40505b31ca87f2f6b736e3f18b3e9f46e21cd04")</f>
        <v>e40505b31ca87f2f6b736e3f18b3e9f46e21cd04</v>
      </c>
      <c r="B261" s="16" t="str">
        <f>IFERROR(__xludf.DUMMYFUNCTION("""COMPUTED_VALUE"""),"My Dragonic System")</f>
        <v>My Dragonic System</v>
      </c>
      <c r="C261" s="16" t="str">
        <f>IFERROR(__xludf.DUMMYFUNCTION("""COMPUTED_VALUE"""),"System and Superpower")</f>
        <v>System and Superpower</v>
      </c>
      <c r="D261" s="16">
        <f>IFERROR(__xludf.DUMMYFUNCTION("""COMPUTED_VALUE"""),51024.0)</f>
        <v>51024</v>
      </c>
      <c r="E261" s="16">
        <f>IFERROR(__xludf.DUMMYFUNCTION("""COMPUTED_VALUE"""),0.928386641580432)</f>
        <v>0.9283866416</v>
      </c>
      <c r="F261" s="16">
        <f>IFERROR(__xludf.DUMMYFUNCTION("""COMPUTED_VALUE"""),0.561833646911257)</f>
        <v>0.5618336469</v>
      </c>
      <c r="G261" s="16">
        <f>IFERROR(__xludf.DUMMYFUNCTION("""COMPUTED_VALUE"""),0.507369081216682)</f>
        <v>0.5073690812</v>
      </c>
      <c r="H261" s="16">
        <f>IFERROR(__xludf.DUMMYFUNCTION("""COMPUTED_VALUE"""),0.472810734463276)</f>
        <v>0.4728107345</v>
      </c>
      <c r="I261" s="16">
        <f>IFERROR(__xludf.DUMMYFUNCTION("""COMPUTED_VALUE"""),0.453773417995242)</f>
        <v>0.453773418</v>
      </c>
      <c r="J261" s="16">
        <f>IFERROR(__xludf.DUMMYFUNCTION("""COMPUTED_VALUE"""),0.438024341250147)</f>
        <v>0.4380243413</v>
      </c>
      <c r="K261" s="16">
        <f>IFERROR(__xludf.DUMMYFUNCTION("""COMPUTED_VALUE"""),0.422405623124308)</f>
        <v>0.4224056231</v>
      </c>
      <c r="L261" s="16">
        <f>IFERROR(__xludf.DUMMYFUNCTION("""COMPUTED_VALUE"""),0.410353360388003)</f>
        <v>0.4103533604</v>
      </c>
      <c r="M261" s="16">
        <f>IFERROR(__xludf.DUMMYFUNCTION("""COMPUTED_VALUE"""),0.398867249602543)</f>
        <v>0.3988672496</v>
      </c>
      <c r="N261" s="16">
        <f>IFERROR(__xludf.DUMMYFUNCTION("""COMPUTED_VALUE"""),0.389113747383112)</f>
        <v>0.3891137474</v>
      </c>
      <c r="O261" s="16">
        <f>IFERROR(__xludf.DUMMYFUNCTION("""COMPUTED_VALUE"""),0.366651116564914)</f>
        <v>0.3666511166</v>
      </c>
      <c r="P261" s="16">
        <f>IFERROR(__xludf.DUMMYFUNCTION("""COMPUTED_VALUE"""),0.311997105027885)</f>
        <v>0.311997105</v>
      </c>
      <c r="Q261" s="16">
        <f>IFERROR(__xludf.DUMMYFUNCTION("""COMPUTED_VALUE"""),0.246097421203438)</f>
        <v>0.2460974212</v>
      </c>
      <c r="R261" s="16">
        <f>IFERROR(__xludf.DUMMYFUNCTION("""COMPUTED_VALUE"""),0.205551567360612)</f>
        <v>0.2055515674</v>
      </c>
      <c r="S261" s="16">
        <f>IFERROR(__xludf.DUMMYFUNCTION("""COMPUTED_VALUE"""),0.173566946047256)</f>
        <v>0.173566946</v>
      </c>
      <c r="T261" s="16">
        <f>IFERROR(__xludf.DUMMYFUNCTION("""COMPUTED_VALUE"""),0.127121748687263)</f>
        <v>0.1271217487</v>
      </c>
      <c r="U261" s="16">
        <f>IFERROR(__xludf.DUMMYFUNCTION("""COMPUTED_VALUE"""),0.102944640753828)</f>
        <v>0.1029446408</v>
      </c>
      <c r="V261" s="16">
        <f>IFERROR(__xludf.DUMMYFUNCTION("""COMPUTED_VALUE"""),0.0)</f>
        <v>0</v>
      </c>
      <c r="W261" s="16">
        <f>IFERROR(__xludf.DUMMYFUNCTION("""COMPUTED_VALUE"""),0.0)</f>
        <v>0</v>
      </c>
      <c r="X261" s="16">
        <f>IFERROR(__xludf.DUMMYFUNCTION("""COMPUTED_VALUE"""),0.0)</f>
        <v>0</v>
      </c>
      <c r="Y261" s="16">
        <f>IFERROR(__xludf.DUMMYFUNCTION("""COMPUTED_VALUE"""),0.0)</f>
        <v>0</v>
      </c>
      <c r="Z261" s="16">
        <f>IFERROR(__xludf.DUMMYFUNCTION("""COMPUTED_VALUE"""),0.0)</f>
        <v>0</v>
      </c>
      <c r="AA261" s="16">
        <f>IFERROR(__xludf.DUMMYFUNCTION("""COMPUTED_VALUE"""),0.0)</f>
        <v>0</v>
      </c>
      <c r="AB261" s="16">
        <f>IFERROR(__xludf.DUMMYFUNCTION("""COMPUTED_VALUE"""),0.0)</f>
        <v>0</v>
      </c>
      <c r="AC261" s="16">
        <f>IFERROR(__xludf.DUMMYFUNCTION("""COMPUTED_VALUE"""),0.0)</f>
        <v>0</v>
      </c>
      <c r="AD261" s="16">
        <f>IFERROR(__xludf.DUMMYFUNCTION("""COMPUTED_VALUE"""),0.0)</f>
        <v>0</v>
      </c>
      <c r="AE261" s="16">
        <f>IFERROR(__xludf.DUMMYFUNCTION("""COMPUTED_VALUE"""),0.0)</f>
        <v>0</v>
      </c>
      <c r="AF261" s="16">
        <f>IFERROR(__xludf.DUMMYFUNCTION("""COMPUTED_VALUE"""),0.0)</f>
        <v>0</v>
      </c>
      <c r="AG261" s="16">
        <f>IFERROR(__xludf.DUMMYFUNCTION("""COMPUTED_VALUE"""),0.0)</f>
        <v>0</v>
      </c>
      <c r="AH261" s="16">
        <f>IFERROR(__xludf.DUMMYFUNCTION("""COMPUTED_VALUE"""),0.0)</f>
        <v>0</v>
      </c>
    </row>
    <row r="262">
      <c r="A262" s="16" t="str">
        <f>IFERROR(__xludf.DUMMYFUNCTION("""COMPUTED_VALUE"""),"e5b71f4b40481cb15ce33532df56be566352534e")</f>
        <v>e5b71f4b40481cb15ce33532df56be566352534e</v>
      </c>
      <c r="B262" s="16" t="str">
        <f>IFERROR(__xludf.DUMMYFUNCTION("""COMPUTED_VALUE"""),"Rewind and Rise")</f>
        <v>Rewind and Rise</v>
      </c>
      <c r="C262" s="16" t="str">
        <f>IFERROR(__xludf.DUMMYFUNCTION("""COMPUTED_VALUE"""),"Romantasy")</f>
        <v>Romantasy</v>
      </c>
      <c r="D262" s="16">
        <f>IFERROR(__xludf.DUMMYFUNCTION("""COMPUTED_VALUE"""),268.0)</f>
        <v>268</v>
      </c>
      <c r="E262" s="16">
        <f>IFERROR(__xludf.DUMMYFUNCTION("""COMPUTED_VALUE"""),0.970149253731343)</f>
        <v>0.9701492537</v>
      </c>
      <c r="F262" s="16">
        <f>IFERROR(__xludf.DUMMYFUNCTION("""COMPUTED_VALUE"""),0.716417910447761)</f>
        <v>0.7164179104</v>
      </c>
      <c r="G262" s="16">
        <f>IFERROR(__xludf.DUMMYFUNCTION("""COMPUTED_VALUE"""),0.641791044776119)</f>
        <v>0.6417910448</v>
      </c>
      <c r="H262" s="16">
        <f>IFERROR(__xludf.DUMMYFUNCTION("""COMPUTED_VALUE"""),0.588014981273408)</f>
        <v>0.5880149813</v>
      </c>
      <c r="I262" s="16">
        <f>IFERROR(__xludf.DUMMYFUNCTION("""COMPUTED_VALUE"""),0.568181818181818)</f>
        <v>0.5681818182</v>
      </c>
      <c r="J262" s="16">
        <f>IFERROR(__xludf.DUMMYFUNCTION("""COMPUTED_VALUE"""),0.537549407114624)</f>
        <v>0.5375494071</v>
      </c>
      <c r="K262" s="16">
        <f>IFERROR(__xludf.DUMMYFUNCTION("""COMPUTED_VALUE"""),0.5375)</f>
        <v>0.5375</v>
      </c>
      <c r="L262" s="16">
        <f>IFERROR(__xludf.DUMMYFUNCTION("""COMPUTED_VALUE"""),0.497560975609756)</f>
        <v>0.4975609756</v>
      </c>
      <c r="M262" s="16">
        <f>IFERROR(__xludf.DUMMYFUNCTION("""COMPUTED_VALUE"""),0.464285714285714)</f>
        <v>0.4642857143</v>
      </c>
      <c r="N262" s="16">
        <f>IFERROR(__xludf.DUMMYFUNCTION("""COMPUTED_VALUE"""),0.435754189944134)</f>
        <v>0.4357541899</v>
      </c>
      <c r="O262" s="16">
        <f>IFERROR(__xludf.DUMMYFUNCTION("""COMPUTED_VALUE"""),0.353982300884955)</f>
        <v>0.3539823009</v>
      </c>
      <c r="P262" s="16">
        <f>IFERROR(__xludf.DUMMYFUNCTION("""COMPUTED_VALUE"""),0.333333333333333)</f>
        <v>0.3333333333</v>
      </c>
      <c r="Q262" s="16">
        <f>IFERROR(__xludf.DUMMYFUNCTION("""COMPUTED_VALUE"""),0.0)</f>
        <v>0</v>
      </c>
      <c r="R262" s="16">
        <f>IFERROR(__xludf.DUMMYFUNCTION("""COMPUTED_VALUE"""),0.0)</f>
        <v>0</v>
      </c>
      <c r="S262" s="16">
        <f>IFERROR(__xludf.DUMMYFUNCTION("""COMPUTED_VALUE"""),0.0)</f>
        <v>0</v>
      </c>
      <c r="T262" s="16">
        <f>IFERROR(__xludf.DUMMYFUNCTION("""COMPUTED_VALUE"""),0.0)</f>
        <v>0</v>
      </c>
      <c r="U262" s="16">
        <f>IFERROR(__xludf.DUMMYFUNCTION("""COMPUTED_VALUE"""),0.0)</f>
        <v>0</v>
      </c>
      <c r="V262" s="16">
        <f>IFERROR(__xludf.DUMMYFUNCTION("""COMPUTED_VALUE"""),0.0)</f>
        <v>0</v>
      </c>
      <c r="W262" s="16">
        <f>IFERROR(__xludf.DUMMYFUNCTION("""COMPUTED_VALUE"""),0.0)</f>
        <v>0</v>
      </c>
      <c r="X262" s="16">
        <f>IFERROR(__xludf.DUMMYFUNCTION("""COMPUTED_VALUE"""),0.0)</f>
        <v>0</v>
      </c>
      <c r="Y262" s="16">
        <f>IFERROR(__xludf.DUMMYFUNCTION("""COMPUTED_VALUE"""),0.0)</f>
        <v>0</v>
      </c>
      <c r="Z262" s="16">
        <f>IFERROR(__xludf.DUMMYFUNCTION("""COMPUTED_VALUE"""),0.0)</f>
        <v>0</v>
      </c>
      <c r="AA262" s="16">
        <f>IFERROR(__xludf.DUMMYFUNCTION("""COMPUTED_VALUE"""),0.0)</f>
        <v>0</v>
      </c>
      <c r="AB262" s="16">
        <f>IFERROR(__xludf.DUMMYFUNCTION("""COMPUTED_VALUE"""),0.0)</f>
        <v>0</v>
      </c>
      <c r="AC262" s="16">
        <f>IFERROR(__xludf.DUMMYFUNCTION("""COMPUTED_VALUE"""),0.0)</f>
        <v>0</v>
      </c>
      <c r="AD262" s="16">
        <f>IFERROR(__xludf.DUMMYFUNCTION("""COMPUTED_VALUE"""),0.0)</f>
        <v>0</v>
      </c>
      <c r="AE262" s="16">
        <f>IFERROR(__xludf.DUMMYFUNCTION("""COMPUTED_VALUE"""),0.0)</f>
        <v>0</v>
      </c>
      <c r="AF262" s="16">
        <f>IFERROR(__xludf.DUMMYFUNCTION("""COMPUTED_VALUE"""),0.0)</f>
        <v>0</v>
      </c>
      <c r="AG262" s="16">
        <f>IFERROR(__xludf.DUMMYFUNCTION("""COMPUTED_VALUE"""),0.0)</f>
        <v>0</v>
      </c>
      <c r="AH262" s="16">
        <f>IFERROR(__xludf.DUMMYFUNCTION("""COMPUTED_VALUE"""),0.0)</f>
        <v>0</v>
      </c>
    </row>
    <row r="263">
      <c r="A263" s="16" t="str">
        <f>IFERROR(__xludf.DUMMYFUNCTION("""COMPUTED_VALUE"""),"e79ceb682265a42fb44c988f861c20672776f19d")</f>
        <v>e79ceb682265a42fb44c988f861c20672776f19d</v>
      </c>
      <c r="B263" s="16" t="str">
        <f>IFERROR(__xludf.DUMMYFUNCTION("""COMPUTED_VALUE"""),"Faction of Unity: Wyrmara")</f>
        <v>Faction of Unity: Wyrmara</v>
      </c>
      <c r="C263" s="16" t="str">
        <f>IFERROR(__xludf.DUMMYFUNCTION("""COMPUTED_VALUE"""),"Fantasy")</f>
        <v>Fantasy</v>
      </c>
      <c r="D263" s="16">
        <f>IFERROR(__xludf.DUMMYFUNCTION("""COMPUTED_VALUE"""),206.0)</f>
        <v>206</v>
      </c>
      <c r="E263" s="16">
        <f>IFERROR(__xludf.DUMMYFUNCTION("""COMPUTED_VALUE"""),0.961165048543689)</f>
        <v>0.9611650485</v>
      </c>
      <c r="F263" s="16">
        <f>IFERROR(__xludf.DUMMYFUNCTION("""COMPUTED_VALUE"""),0.45631067961165)</f>
        <v>0.4563106796</v>
      </c>
      <c r="G263" s="16">
        <f>IFERROR(__xludf.DUMMYFUNCTION("""COMPUTED_VALUE"""),0.368932038834951)</f>
        <v>0.3689320388</v>
      </c>
      <c r="H263" s="16">
        <f>IFERROR(__xludf.DUMMYFUNCTION("""COMPUTED_VALUE"""),0.320388349514563)</f>
        <v>0.3203883495</v>
      </c>
      <c r="I263" s="16">
        <f>IFERROR(__xludf.DUMMYFUNCTION("""COMPUTED_VALUE"""),0.292682926829268)</f>
        <v>0.2926829268</v>
      </c>
      <c r="J263" s="16">
        <f>IFERROR(__xludf.DUMMYFUNCTION("""COMPUTED_VALUE"""),0.273170731707317)</f>
        <v>0.2731707317</v>
      </c>
      <c r="K263" s="16">
        <f>IFERROR(__xludf.DUMMYFUNCTION("""COMPUTED_VALUE"""),0.258536585365853)</f>
        <v>0.2585365854</v>
      </c>
      <c r="L263" s="16">
        <f>IFERROR(__xludf.DUMMYFUNCTION("""COMPUTED_VALUE"""),0.229268292682926)</f>
        <v>0.2292682927</v>
      </c>
      <c r="M263" s="16">
        <f>IFERROR(__xludf.DUMMYFUNCTION("""COMPUTED_VALUE"""),0.219512195121951)</f>
        <v>0.2195121951</v>
      </c>
      <c r="N263" s="16">
        <f>IFERROR(__xludf.DUMMYFUNCTION("""COMPUTED_VALUE"""),0.224390243902439)</f>
        <v>0.2243902439</v>
      </c>
      <c r="O263" s="16">
        <f>IFERROR(__xludf.DUMMYFUNCTION("""COMPUTED_VALUE"""),0.188775510204081)</f>
        <v>0.1887755102</v>
      </c>
      <c r="P263" s="16">
        <f>IFERROR(__xludf.DUMMYFUNCTION("""COMPUTED_VALUE"""),0.0769230769230769)</f>
        <v>0.07692307692</v>
      </c>
      <c r="Q263" s="16">
        <f>IFERROR(__xludf.DUMMYFUNCTION("""COMPUTED_VALUE"""),0.0612244897959183)</f>
        <v>0.0612244898</v>
      </c>
      <c r="R263" s="16">
        <f>IFERROR(__xludf.DUMMYFUNCTION("""COMPUTED_VALUE"""),0.102564102564102)</f>
        <v>0.1025641026</v>
      </c>
      <c r="S263" s="16">
        <f>IFERROR(__xludf.DUMMYFUNCTION("""COMPUTED_VALUE"""),0.0)</f>
        <v>0</v>
      </c>
      <c r="T263" s="16">
        <f>IFERROR(__xludf.DUMMYFUNCTION("""COMPUTED_VALUE"""),0.0)</f>
        <v>0</v>
      </c>
      <c r="U263" s="16">
        <f>IFERROR(__xludf.DUMMYFUNCTION("""COMPUTED_VALUE"""),0.0)</f>
        <v>0</v>
      </c>
      <c r="V263" s="16">
        <f>IFERROR(__xludf.DUMMYFUNCTION("""COMPUTED_VALUE"""),0.0)</f>
        <v>0</v>
      </c>
      <c r="W263" s="16">
        <f>IFERROR(__xludf.DUMMYFUNCTION("""COMPUTED_VALUE"""),0.0)</f>
        <v>0</v>
      </c>
      <c r="X263" s="16">
        <f>IFERROR(__xludf.DUMMYFUNCTION("""COMPUTED_VALUE"""),0.0)</f>
        <v>0</v>
      </c>
      <c r="Y263" s="16">
        <f>IFERROR(__xludf.DUMMYFUNCTION("""COMPUTED_VALUE"""),0.0)</f>
        <v>0</v>
      </c>
      <c r="Z263" s="16">
        <f>IFERROR(__xludf.DUMMYFUNCTION("""COMPUTED_VALUE"""),0.0)</f>
        <v>0</v>
      </c>
      <c r="AA263" s="16">
        <f>IFERROR(__xludf.DUMMYFUNCTION("""COMPUTED_VALUE"""),0.0)</f>
        <v>0</v>
      </c>
      <c r="AB263" s="16">
        <f>IFERROR(__xludf.DUMMYFUNCTION("""COMPUTED_VALUE"""),0.0)</f>
        <v>0</v>
      </c>
      <c r="AC263" s="16">
        <f>IFERROR(__xludf.DUMMYFUNCTION("""COMPUTED_VALUE"""),0.0)</f>
        <v>0</v>
      </c>
      <c r="AD263" s="16">
        <f>IFERROR(__xludf.DUMMYFUNCTION("""COMPUTED_VALUE"""),0.0)</f>
        <v>0</v>
      </c>
      <c r="AE263" s="16">
        <f>IFERROR(__xludf.DUMMYFUNCTION("""COMPUTED_VALUE"""),0.0)</f>
        <v>0</v>
      </c>
      <c r="AF263" s="16">
        <f>IFERROR(__xludf.DUMMYFUNCTION("""COMPUTED_VALUE"""),0.0)</f>
        <v>0</v>
      </c>
      <c r="AG263" s="16">
        <f>IFERROR(__xludf.DUMMYFUNCTION("""COMPUTED_VALUE"""),0.0)</f>
        <v>0</v>
      </c>
      <c r="AH263" s="16">
        <f>IFERROR(__xludf.DUMMYFUNCTION("""COMPUTED_VALUE"""),0.0)</f>
        <v>0</v>
      </c>
    </row>
    <row r="264">
      <c r="A264" s="16" t="str">
        <f>IFERROR(__xludf.DUMMYFUNCTION("""COMPUTED_VALUE"""),"e7a3ee79841762542e0eb645666b039c707001f5")</f>
        <v>e7a3ee79841762542e0eb645666b039c707001f5</v>
      </c>
      <c r="B264" s="16" t="str">
        <f>IFERROR(__xludf.DUMMYFUNCTION("""COMPUTED_VALUE"""),"Masked Prince's Princess")</f>
        <v>Masked Prince's Princess</v>
      </c>
      <c r="C264" s="16" t="str">
        <f>IFERROR(__xludf.DUMMYFUNCTION("""COMPUTED_VALUE"""),"Romance")</f>
        <v>Romance</v>
      </c>
      <c r="D264" s="16">
        <f>IFERROR(__xludf.DUMMYFUNCTION("""COMPUTED_VALUE"""),152.0)</f>
        <v>152</v>
      </c>
      <c r="E264" s="16">
        <f>IFERROR(__xludf.DUMMYFUNCTION("""COMPUTED_VALUE"""),0.953947368421052)</f>
        <v>0.9539473684</v>
      </c>
      <c r="F264" s="16">
        <f>IFERROR(__xludf.DUMMYFUNCTION("""COMPUTED_VALUE"""),0.434210526315789)</f>
        <v>0.4342105263</v>
      </c>
      <c r="G264" s="16">
        <f>IFERROR(__xludf.DUMMYFUNCTION("""COMPUTED_VALUE"""),0.414473684210526)</f>
        <v>0.4144736842</v>
      </c>
      <c r="H264" s="16">
        <f>IFERROR(__xludf.DUMMYFUNCTION("""COMPUTED_VALUE"""),0.36)</f>
        <v>0.36</v>
      </c>
      <c r="I264" s="16">
        <f>IFERROR(__xludf.DUMMYFUNCTION("""COMPUTED_VALUE"""),0.337931034482758)</f>
        <v>0.3379310345</v>
      </c>
      <c r="J264" s="16">
        <f>IFERROR(__xludf.DUMMYFUNCTION("""COMPUTED_VALUE"""),0.305555555555555)</f>
        <v>0.3055555556</v>
      </c>
      <c r="K264" s="16">
        <f>IFERROR(__xludf.DUMMYFUNCTION("""COMPUTED_VALUE"""),0.3006993006993)</f>
        <v>0.3006993007</v>
      </c>
      <c r="L264" s="16">
        <f>IFERROR(__xludf.DUMMYFUNCTION("""COMPUTED_VALUE"""),0.276595744680851)</f>
        <v>0.2765957447</v>
      </c>
      <c r="M264" s="16">
        <f>IFERROR(__xludf.DUMMYFUNCTION("""COMPUTED_VALUE"""),0.26241134751773)</f>
        <v>0.2624113475</v>
      </c>
      <c r="N264" s="16">
        <f>IFERROR(__xludf.DUMMYFUNCTION("""COMPUTED_VALUE"""),0.248226950354609)</f>
        <v>0.2482269504</v>
      </c>
      <c r="O264" s="16">
        <f>IFERROR(__xludf.DUMMYFUNCTION("""COMPUTED_VALUE"""),0.227941176470588)</f>
        <v>0.2279411765</v>
      </c>
      <c r="P264" s="16">
        <f>IFERROR(__xludf.DUMMYFUNCTION("""COMPUTED_VALUE"""),0.184873949579831)</f>
        <v>0.1848739496</v>
      </c>
      <c r="Q264" s="16">
        <f>IFERROR(__xludf.DUMMYFUNCTION("""COMPUTED_VALUE"""),0.108910891089108)</f>
        <v>0.1089108911</v>
      </c>
      <c r="R264" s="16">
        <f>IFERROR(__xludf.DUMMYFUNCTION("""COMPUTED_VALUE"""),0.114942528735632)</f>
        <v>0.1149425287</v>
      </c>
      <c r="S264" s="16">
        <f>IFERROR(__xludf.DUMMYFUNCTION("""COMPUTED_VALUE"""),0.111111111111111)</f>
        <v>0.1111111111</v>
      </c>
      <c r="T264" s="16">
        <f>IFERROR(__xludf.DUMMYFUNCTION("""COMPUTED_VALUE"""),0.0)</f>
        <v>0</v>
      </c>
      <c r="U264" s="16">
        <f>IFERROR(__xludf.DUMMYFUNCTION("""COMPUTED_VALUE"""),0.0)</f>
        <v>0</v>
      </c>
      <c r="V264" s="16">
        <f>IFERROR(__xludf.DUMMYFUNCTION("""COMPUTED_VALUE"""),0.0)</f>
        <v>0</v>
      </c>
      <c r="W264" s="16">
        <f>IFERROR(__xludf.DUMMYFUNCTION("""COMPUTED_VALUE"""),0.0)</f>
        <v>0</v>
      </c>
      <c r="X264" s="16">
        <f>IFERROR(__xludf.DUMMYFUNCTION("""COMPUTED_VALUE"""),0.0)</f>
        <v>0</v>
      </c>
      <c r="Y264" s="16">
        <f>IFERROR(__xludf.DUMMYFUNCTION("""COMPUTED_VALUE"""),0.0)</f>
        <v>0</v>
      </c>
      <c r="Z264" s="16">
        <f>IFERROR(__xludf.DUMMYFUNCTION("""COMPUTED_VALUE"""),0.0)</f>
        <v>0</v>
      </c>
      <c r="AA264" s="16">
        <f>IFERROR(__xludf.DUMMYFUNCTION("""COMPUTED_VALUE"""),0.0)</f>
        <v>0</v>
      </c>
      <c r="AB264" s="16">
        <f>IFERROR(__xludf.DUMMYFUNCTION("""COMPUTED_VALUE"""),0.0)</f>
        <v>0</v>
      </c>
      <c r="AC264" s="16">
        <f>IFERROR(__xludf.DUMMYFUNCTION("""COMPUTED_VALUE"""),0.0)</f>
        <v>0</v>
      </c>
      <c r="AD264" s="16">
        <f>IFERROR(__xludf.DUMMYFUNCTION("""COMPUTED_VALUE"""),0.0)</f>
        <v>0</v>
      </c>
      <c r="AE264" s="16">
        <f>IFERROR(__xludf.DUMMYFUNCTION("""COMPUTED_VALUE"""),0.0)</f>
        <v>0</v>
      </c>
      <c r="AF264" s="16">
        <f>IFERROR(__xludf.DUMMYFUNCTION("""COMPUTED_VALUE"""),0.0)</f>
        <v>0</v>
      </c>
      <c r="AG264" s="16">
        <f>IFERROR(__xludf.DUMMYFUNCTION("""COMPUTED_VALUE"""),0.0)</f>
        <v>0</v>
      </c>
      <c r="AH264" s="16">
        <f>IFERROR(__xludf.DUMMYFUNCTION("""COMPUTED_VALUE"""),0.0)</f>
        <v>0</v>
      </c>
    </row>
    <row r="265">
      <c r="A265" s="16" t="str">
        <f>IFERROR(__xludf.DUMMYFUNCTION("""COMPUTED_VALUE"""),"e835267a1c9909e759d530cea3d17b5999d86761")</f>
        <v>e835267a1c9909e759d530cea3d17b5999d86761</v>
      </c>
      <c r="B265" s="16" t="str">
        <f>IFERROR(__xludf.DUMMYFUNCTION("""COMPUTED_VALUE"""),"Her Lightness System")</f>
        <v>Her Lightness System</v>
      </c>
      <c r="C265" s="16" t="str">
        <f>IFERROR(__xludf.DUMMYFUNCTION("""COMPUTED_VALUE"""),"System and Superpower")</f>
        <v>System and Superpower</v>
      </c>
      <c r="D265" s="16">
        <f>IFERROR(__xludf.DUMMYFUNCTION("""COMPUTED_VALUE"""),250.0)</f>
        <v>250</v>
      </c>
      <c r="E265" s="16">
        <f>IFERROR(__xludf.DUMMYFUNCTION("""COMPUTED_VALUE"""),0.952)</f>
        <v>0.952</v>
      </c>
      <c r="F265" s="16">
        <f>IFERROR(__xludf.DUMMYFUNCTION("""COMPUTED_VALUE"""),0.612)</f>
        <v>0.612</v>
      </c>
      <c r="G265" s="16">
        <f>IFERROR(__xludf.DUMMYFUNCTION("""COMPUTED_VALUE"""),0.52)</f>
        <v>0.52</v>
      </c>
      <c r="H265" s="16">
        <f>IFERROR(__xludf.DUMMYFUNCTION("""COMPUTED_VALUE"""),0.492)</f>
        <v>0.492</v>
      </c>
      <c r="I265" s="16">
        <f>IFERROR(__xludf.DUMMYFUNCTION("""COMPUTED_VALUE"""),0.42798353909465)</f>
        <v>0.4279835391</v>
      </c>
      <c r="J265" s="16">
        <f>IFERROR(__xludf.DUMMYFUNCTION("""COMPUTED_VALUE"""),0.323008849557522)</f>
        <v>0.3230088496</v>
      </c>
      <c r="K265" s="16">
        <f>IFERROR(__xludf.DUMMYFUNCTION("""COMPUTED_VALUE"""),0.293838862559241)</f>
        <v>0.2938388626</v>
      </c>
      <c r="L265" s="16">
        <f>IFERROR(__xludf.DUMMYFUNCTION("""COMPUTED_VALUE"""),0.255208333333333)</f>
        <v>0.2552083333</v>
      </c>
      <c r="M265" s="16">
        <f>IFERROR(__xludf.DUMMYFUNCTION("""COMPUTED_VALUE"""),0.25)</f>
        <v>0.25</v>
      </c>
      <c r="N265" s="16">
        <f>IFERROR(__xludf.DUMMYFUNCTION("""COMPUTED_VALUE"""),0.257861635220125)</f>
        <v>0.2578616352</v>
      </c>
      <c r="O265" s="16">
        <f>IFERROR(__xludf.DUMMYFUNCTION("""COMPUTED_VALUE"""),0.2109375)</f>
        <v>0.2109375</v>
      </c>
      <c r="P265" s="16">
        <f>IFERROR(__xludf.DUMMYFUNCTION("""COMPUTED_VALUE"""),0.129310344827586)</f>
        <v>0.1293103448</v>
      </c>
      <c r="Q265" s="16">
        <f>IFERROR(__xludf.DUMMYFUNCTION("""COMPUTED_VALUE"""),0.048076923076923)</f>
        <v>0.04807692308</v>
      </c>
      <c r="R265" s="16">
        <f>IFERROR(__xludf.DUMMYFUNCTION("""COMPUTED_VALUE"""),0.0576923076923076)</f>
        <v>0.05769230769</v>
      </c>
      <c r="S265" s="16">
        <f>IFERROR(__xludf.DUMMYFUNCTION("""COMPUTED_VALUE"""),0.0)</f>
        <v>0</v>
      </c>
      <c r="T265" s="16">
        <f>IFERROR(__xludf.DUMMYFUNCTION("""COMPUTED_VALUE"""),0.0)</f>
        <v>0</v>
      </c>
      <c r="U265" s="16">
        <f>IFERROR(__xludf.DUMMYFUNCTION("""COMPUTED_VALUE"""),0.0)</f>
        <v>0</v>
      </c>
      <c r="V265" s="16">
        <f>IFERROR(__xludf.DUMMYFUNCTION("""COMPUTED_VALUE"""),0.0)</f>
        <v>0</v>
      </c>
      <c r="W265" s="16">
        <f>IFERROR(__xludf.DUMMYFUNCTION("""COMPUTED_VALUE"""),0.0)</f>
        <v>0</v>
      </c>
      <c r="X265" s="16">
        <f>IFERROR(__xludf.DUMMYFUNCTION("""COMPUTED_VALUE"""),0.0)</f>
        <v>0</v>
      </c>
      <c r="Y265" s="16">
        <f>IFERROR(__xludf.DUMMYFUNCTION("""COMPUTED_VALUE"""),0.0)</f>
        <v>0</v>
      </c>
      <c r="Z265" s="16">
        <f>IFERROR(__xludf.DUMMYFUNCTION("""COMPUTED_VALUE"""),0.0)</f>
        <v>0</v>
      </c>
      <c r="AA265" s="16">
        <f>IFERROR(__xludf.DUMMYFUNCTION("""COMPUTED_VALUE"""),0.0)</f>
        <v>0</v>
      </c>
      <c r="AB265" s="16">
        <f>IFERROR(__xludf.DUMMYFUNCTION("""COMPUTED_VALUE"""),0.0)</f>
        <v>0</v>
      </c>
      <c r="AC265" s="16">
        <f>IFERROR(__xludf.DUMMYFUNCTION("""COMPUTED_VALUE"""),0.0)</f>
        <v>0</v>
      </c>
      <c r="AD265" s="16">
        <f>IFERROR(__xludf.DUMMYFUNCTION("""COMPUTED_VALUE"""),0.0)</f>
        <v>0</v>
      </c>
      <c r="AE265" s="16">
        <f>IFERROR(__xludf.DUMMYFUNCTION("""COMPUTED_VALUE"""),0.0)</f>
        <v>0</v>
      </c>
      <c r="AF265" s="16">
        <f>IFERROR(__xludf.DUMMYFUNCTION("""COMPUTED_VALUE"""),0.0)</f>
        <v>0</v>
      </c>
      <c r="AG265" s="16">
        <f>IFERROR(__xludf.DUMMYFUNCTION("""COMPUTED_VALUE"""),0.0)</f>
        <v>0</v>
      </c>
      <c r="AH265" s="16">
        <f>IFERROR(__xludf.DUMMYFUNCTION("""COMPUTED_VALUE"""),0.0)</f>
        <v>0</v>
      </c>
    </row>
    <row r="266">
      <c r="A266" s="16" t="str">
        <f>IFERROR(__xludf.DUMMYFUNCTION("""COMPUTED_VALUE"""),"e83bb9290a73242b13db9a4453b23f1b0ca9fed0")</f>
        <v>e83bb9290a73242b13db9a4453b23f1b0ca9fed0</v>
      </c>
      <c r="B266" s="16" t="str">
        <f>IFERROR(__xludf.DUMMYFUNCTION("""COMPUTED_VALUE"""),"The Baby He Denied")</f>
        <v>The Baby He Denied</v>
      </c>
      <c r="C266" s="16" t="str">
        <f>IFERROR(__xludf.DUMMYFUNCTION("""COMPUTED_VALUE"""),"Romance")</f>
        <v>Romance</v>
      </c>
      <c r="D266" s="16">
        <f>IFERROR(__xludf.DUMMYFUNCTION("""COMPUTED_VALUE"""),295.0)</f>
        <v>295</v>
      </c>
      <c r="E266" s="16">
        <f>IFERROR(__xludf.DUMMYFUNCTION("""COMPUTED_VALUE"""),0.938983050847457)</f>
        <v>0.9389830508</v>
      </c>
      <c r="F266" s="16">
        <f>IFERROR(__xludf.DUMMYFUNCTION("""COMPUTED_VALUE"""),0.671186440677966)</f>
        <v>0.6711864407</v>
      </c>
      <c r="G266" s="16">
        <f>IFERROR(__xludf.DUMMYFUNCTION("""COMPUTED_VALUE"""),0.603389830508474)</f>
        <v>0.6033898305</v>
      </c>
      <c r="H266" s="16">
        <f>IFERROR(__xludf.DUMMYFUNCTION("""COMPUTED_VALUE"""),0.545762711864406)</f>
        <v>0.5457627119</v>
      </c>
      <c r="I266" s="16">
        <f>IFERROR(__xludf.DUMMYFUNCTION("""COMPUTED_VALUE"""),0.517006802721088)</f>
        <v>0.5170068027</v>
      </c>
      <c r="J266" s="16">
        <f>IFERROR(__xludf.DUMMYFUNCTION("""COMPUTED_VALUE"""),0.496598639455782)</f>
        <v>0.4965986395</v>
      </c>
      <c r="K266" s="16">
        <f>IFERROR(__xludf.DUMMYFUNCTION("""COMPUTED_VALUE"""),0.445205479452054)</f>
        <v>0.4452054795</v>
      </c>
      <c r="L266" s="16">
        <f>IFERROR(__xludf.DUMMYFUNCTION("""COMPUTED_VALUE"""),0.405498281786941)</f>
        <v>0.4054982818</v>
      </c>
      <c r="M266" s="16">
        <f>IFERROR(__xludf.DUMMYFUNCTION("""COMPUTED_VALUE"""),0.374570446735395)</f>
        <v>0.3745704467</v>
      </c>
      <c r="N266" s="16">
        <f>IFERROR(__xludf.DUMMYFUNCTION("""COMPUTED_VALUE"""),0.360824742268041)</f>
        <v>0.3608247423</v>
      </c>
      <c r="O266" s="16">
        <f>IFERROR(__xludf.DUMMYFUNCTION("""COMPUTED_VALUE"""),0.313588850174216)</f>
        <v>0.3135888502</v>
      </c>
      <c r="P266" s="16">
        <f>IFERROR(__xludf.DUMMYFUNCTION("""COMPUTED_VALUE"""),0.244813278008298)</f>
        <v>0.244813278</v>
      </c>
      <c r="Q266" s="16">
        <f>IFERROR(__xludf.DUMMYFUNCTION("""COMPUTED_VALUE"""),0.0612244897959183)</f>
        <v>0.0612244898</v>
      </c>
      <c r="R266" s="16">
        <f>IFERROR(__xludf.DUMMYFUNCTION("""COMPUTED_VALUE"""),0.0)</f>
        <v>0</v>
      </c>
      <c r="S266" s="16">
        <f>IFERROR(__xludf.DUMMYFUNCTION("""COMPUTED_VALUE"""),0.0)</f>
        <v>0</v>
      </c>
      <c r="T266" s="16">
        <f>IFERROR(__xludf.DUMMYFUNCTION("""COMPUTED_VALUE"""),0.0)</f>
        <v>0</v>
      </c>
      <c r="U266" s="16">
        <f>IFERROR(__xludf.DUMMYFUNCTION("""COMPUTED_VALUE"""),0.0)</f>
        <v>0</v>
      </c>
      <c r="V266" s="16">
        <f>IFERROR(__xludf.DUMMYFUNCTION("""COMPUTED_VALUE"""),0.0)</f>
        <v>0</v>
      </c>
      <c r="W266" s="16">
        <f>IFERROR(__xludf.DUMMYFUNCTION("""COMPUTED_VALUE"""),0.0)</f>
        <v>0</v>
      </c>
      <c r="X266" s="16">
        <f>IFERROR(__xludf.DUMMYFUNCTION("""COMPUTED_VALUE"""),0.0)</f>
        <v>0</v>
      </c>
      <c r="Y266" s="16">
        <f>IFERROR(__xludf.DUMMYFUNCTION("""COMPUTED_VALUE"""),0.0)</f>
        <v>0</v>
      </c>
      <c r="Z266" s="16">
        <f>IFERROR(__xludf.DUMMYFUNCTION("""COMPUTED_VALUE"""),0.0)</f>
        <v>0</v>
      </c>
      <c r="AA266" s="16">
        <f>IFERROR(__xludf.DUMMYFUNCTION("""COMPUTED_VALUE"""),0.0)</f>
        <v>0</v>
      </c>
      <c r="AB266" s="16">
        <f>IFERROR(__xludf.DUMMYFUNCTION("""COMPUTED_VALUE"""),0.0)</f>
        <v>0</v>
      </c>
      <c r="AC266" s="16">
        <f>IFERROR(__xludf.DUMMYFUNCTION("""COMPUTED_VALUE"""),0.0)</f>
        <v>0</v>
      </c>
      <c r="AD266" s="16">
        <f>IFERROR(__xludf.DUMMYFUNCTION("""COMPUTED_VALUE"""),0.0)</f>
        <v>0</v>
      </c>
      <c r="AE266" s="16">
        <f>IFERROR(__xludf.DUMMYFUNCTION("""COMPUTED_VALUE"""),0.0)</f>
        <v>0</v>
      </c>
      <c r="AF266" s="16">
        <f>IFERROR(__xludf.DUMMYFUNCTION("""COMPUTED_VALUE"""),0.0)</f>
        <v>0</v>
      </c>
      <c r="AG266" s="16">
        <f>IFERROR(__xludf.DUMMYFUNCTION("""COMPUTED_VALUE"""),0.0)</f>
        <v>0</v>
      </c>
      <c r="AH266" s="16">
        <f>IFERROR(__xludf.DUMMYFUNCTION("""COMPUTED_VALUE"""),0.0)</f>
        <v>0</v>
      </c>
    </row>
    <row r="267">
      <c r="A267" s="16" t="str">
        <f>IFERROR(__xludf.DUMMYFUNCTION("""COMPUTED_VALUE"""),"e8df3cfef87feac45c4c024f9cbd7254cfc15952")</f>
        <v>e8df3cfef87feac45c4c024f9cbd7254cfc15952</v>
      </c>
      <c r="B267" s="16" t="str">
        <f>IFERROR(__xludf.DUMMYFUNCTION("""COMPUTED_VALUE"""),"Between Wolves and Lies")</f>
        <v>Between Wolves and Lies</v>
      </c>
      <c r="C267" s="16" t="str">
        <f>IFERROR(__xludf.DUMMYFUNCTION("""COMPUTED_VALUE"""),"Romantasy")</f>
        <v>Romantasy</v>
      </c>
      <c r="D267" s="16">
        <f>IFERROR(__xludf.DUMMYFUNCTION("""COMPUTED_VALUE"""),77.0)</f>
        <v>77</v>
      </c>
      <c r="E267" s="16">
        <f>IFERROR(__xludf.DUMMYFUNCTION("""COMPUTED_VALUE"""),0.987012987012987)</f>
        <v>0.987012987</v>
      </c>
      <c r="F267" s="16">
        <f>IFERROR(__xludf.DUMMYFUNCTION("""COMPUTED_VALUE"""),0.545454545454545)</f>
        <v>0.5454545455</v>
      </c>
      <c r="G267" s="16">
        <f>IFERROR(__xludf.DUMMYFUNCTION("""COMPUTED_VALUE"""),0.506493506493506)</f>
        <v>0.5064935065</v>
      </c>
      <c r="H267" s="16">
        <f>IFERROR(__xludf.DUMMYFUNCTION("""COMPUTED_VALUE"""),0.428571428571428)</f>
        <v>0.4285714286</v>
      </c>
      <c r="I267" s="16">
        <f>IFERROR(__xludf.DUMMYFUNCTION("""COMPUTED_VALUE"""),0.389610389610389)</f>
        <v>0.3896103896</v>
      </c>
      <c r="J267" s="16">
        <f>IFERROR(__xludf.DUMMYFUNCTION("""COMPUTED_VALUE"""),0.376623376623376)</f>
        <v>0.3766233766</v>
      </c>
      <c r="K267" s="16">
        <f>IFERROR(__xludf.DUMMYFUNCTION("""COMPUTED_VALUE"""),0.311688311688311)</f>
        <v>0.3116883117</v>
      </c>
      <c r="L267" s="16">
        <f>IFERROR(__xludf.DUMMYFUNCTION("""COMPUTED_VALUE"""),0.272727272727272)</f>
        <v>0.2727272727</v>
      </c>
      <c r="M267" s="16">
        <f>IFERROR(__xludf.DUMMYFUNCTION("""COMPUTED_VALUE"""),0.259740259740259)</f>
        <v>0.2597402597</v>
      </c>
      <c r="N267" s="16">
        <f>IFERROR(__xludf.DUMMYFUNCTION("""COMPUTED_VALUE"""),0.246753246753246)</f>
        <v>0.2467532468</v>
      </c>
      <c r="O267" s="16">
        <f>IFERROR(__xludf.DUMMYFUNCTION("""COMPUTED_VALUE"""),0.181818181818181)</f>
        <v>0.1818181818</v>
      </c>
      <c r="P267" s="16">
        <f>IFERROR(__xludf.DUMMYFUNCTION("""COMPUTED_VALUE"""),0.0779220779220779)</f>
        <v>0.07792207792</v>
      </c>
      <c r="Q267" s="16">
        <f>IFERROR(__xludf.DUMMYFUNCTION("""COMPUTED_VALUE"""),0.0)</f>
        <v>0</v>
      </c>
      <c r="R267" s="16">
        <f>IFERROR(__xludf.DUMMYFUNCTION("""COMPUTED_VALUE"""),0.0)</f>
        <v>0</v>
      </c>
      <c r="S267" s="16">
        <f>IFERROR(__xludf.DUMMYFUNCTION("""COMPUTED_VALUE"""),0.0)</f>
        <v>0</v>
      </c>
      <c r="T267" s="16">
        <f>IFERROR(__xludf.DUMMYFUNCTION("""COMPUTED_VALUE"""),0.0)</f>
        <v>0</v>
      </c>
      <c r="U267" s="16">
        <f>IFERROR(__xludf.DUMMYFUNCTION("""COMPUTED_VALUE"""),0.0)</f>
        <v>0</v>
      </c>
      <c r="V267" s="16">
        <f>IFERROR(__xludf.DUMMYFUNCTION("""COMPUTED_VALUE"""),0.0)</f>
        <v>0</v>
      </c>
      <c r="W267" s="16">
        <f>IFERROR(__xludf.DUMMYFUNCTION("""COMPUTED_VALUE"""),0.0)</f>
        <v>0</v>
      </c>
      <c r="X267" s="16">
        <f>IFERROR(__xludf.DUMMYFUNCTION("""COMPUTED_VALUE"""),0.0)</f>
        <v>0</v>
      </c>
      <c r="Y267" s="16">
        <f>IFERROR(__xludf.DUMMYFUNCTION("""COMPUTED_VALUE"""),0.0)</f>
        <v>0</v>
      </c>
      <c r="Z267" s="16">
        <f>IFERROR(__xludf.DUMMYFUNCTION("""COMPUTED_VALUE"""),0.0)</f>
        <v>0</v>
      </c>
      <c r="AA267" s="16">
        <f>IFERROR(__xludf.DUMMYFUNCTION("""COMPUTED_VALUE"""),0.0)</f>
        <v>0</v>
      </c>
      <c r="AB267" s="16">
        <f>IFERROR(__xludf.DUMMYFUNCTION("""COMPUTED_VALUE"""),0.0)</f>
        <v>0</v>
      </c>
      <c r="AC267" s="16">
        <f>IFERROR(__xludf.DUMMYFUNCTION("""COMPUTED_VALUE"""),0.0)</f>
        <v>0</v>
      </c>
      <c r="AD267" s="16">
        <f>IFERROR(__xludf.DUMMYFUNCTION("""COMPUTED_VALUE"""),0.0)</f>
        <v>0</v>
      </c>
      <c r="AE267" s="16">
        <f>IFERROR(__xludf.DUMMYFUNCTION("""COMPUTED_VALUE"""),0.0)</f>
        <v>0</v>
      </c>
      <c r="AF267" s="16">
        <f>IFERROR(__xludf.DUMMYFUNCTION("""COMPUTED_VALUE"""),0.0)</f>
        <v>0</v>
      </c>
      <c r="AG267" s="16">
        <f>IFERROR(__xludf.DUMMYFUNCTION("""COMPUTED_VALUE"""),0.0)</f>
        <v>0</v>
      </c>
      <c r="AH267" s="16">
        <f>IFERROR(__xludf.DUMMYFUNCTION("""COMPUTED_VALUE"""),0.0)</f>
        <v>0</v>
      </c>
    </row>
    <row r="268">
      <c r="A268" s="16" t="str">
        <f>IFERROR(__xludf.DUMMYFUNCTION("""COMPUTED_VALUE"""),"ea92bb1897e9689085dd845e7e6258c8a6350447")</f>
        <v>ea92bb1897e9689085dd845e7e6258c8a6350447</v>
      </c>
      <c r="B268" s="16" t="str">
        <f>IFERROR(__xludf.DUMMYFUNCTION("""COMPUTED_VALUE"""),"The Apocalypse Baby")</f>
        <v>The Apocalypse Baby</v>
      </c>
      <c r="C268" s="16" t="str">
        <f>IFERROR(__xludf.DUMMYFUNCTION("""COMPUTED_VALUE"""),"System and Superpower")</f>
        <v>System and Superpower</v>
      </c>
      <c r="D268" s="16">
        <f>IFERROR(__xludf.DUMMYFUNCTION("""COMPUTED_VALUE"""),1.0)</f>
        <v>1</v>
      </c>
      <c r="E268" s="16">
        <f>IFERROR(__xludf.DUMMYFUNCTION("""COMPUTED_VALUE"""),1.0)</f>
        <v>1</v>
      </c>
      <c r="F268" s="16">
        <f>IFERROR(__xludf.DUMMYFUNCTION("""COMPUTED_VALUE"""),1.0)</f>
        <v>1</v>
      </c>
      <c r="G268" s="16">
        <f>IFERROR(__xludf.DUMMYFUNCTION("""COMPUTED_VALUE"""),1.0)</f>
        <v>1</v>
      </c>
      <c r="H268" s="16">
        <f>IFERROR(__xludf.DUMMYFUNCTION("""COMPUTED_VALUE"""),1.0)</f>
        <v>1</v>
      </c>
      <c r="I268" s="16">
        <f>IFERROR(__xludf.DUMMYFUNCTION("""COMPUTED_VALUE"""),1.0)</f>
        <v>1</v>
      </c>
      <c r="J268" s="16">
        <f>IFERROR(__xludf.DUMMYFUNCTION("""COMPUTED_VALUE"""),0.0)</f>
        <v>0</v>
      </c>
      <c r="K268" s="16">
        <f>IFERROR(__xludf.DUMMYFUNCTION("""COMPUTED_VALUE"""),0.0)</f>
        <v>0</v>
      </c>
      <c r="L268" s="16">
        <f>IFERROR(__xludf.DUMMYFUNCTION("""COMPUTED_VALUE"""),0.0)</f>
        <v>0</v>
      </c>
      <c r="M268" s="16">
        <f>IFERROR(__xludf.DUMMYFUNCTION("""COMPUTED_VALUE"""),0.0)</f>
        <v>0</v>
      </c>
      <c r="N268" s="16">
        <f>IFERROR(__xludf.DUMMYFUNCTION("""COMPUTED_VALUE"""),0.0)</f>
        <v>0</v>
      </c>
      <c r="O268" s="16">
        <f>IFERROR(__xludf.DUMMYFUNCTION("""COMPUTED_VALUE"""),0.0)</f>
        <v>0</v>
      </c>
      <c r="P268" s="16">
        <f>IFERROR(__xludf.DUMMYFUNCTION("""COMPUTED_VALUE"""),0.0)</f>
        <v>0</v>
      </c>
      <c r="Q268" s="16">
        <f>IFERROR(__xludf.DUMMYFUNCTION("""COMPUTED_VALUE"""),0.0)</f>
        <v>0</v>
      </c>
      <c r="R268" s="16">
        <f>IFERROR(__xludf.DUMMYFUNCTION("""COMPUTED_VALUE"""),0.0)</f>
        <v>0</v>
      </c>
      <c r="S268" s="16">
        <f>IFERROR(__xludf.DUMMYFUNCTION("""COMPUTED_VALUE"""),0.0)</f>
        <v>0</v>
      </c>
      <c r="T268" s="16">
        <f>IFERROR(__xludf.DUMMYFUNCTION("""COMPUTED_VALUE"""),0.0)</f>
        <v>0</v>
      </c>
      <c r="U268" s="16">
        <f>IFERROR(__xludf.DUMMYFUNCTION("""COMPUTED_VALUE"""),0.0)</f>
        <v>0</v>
      </c>
      <c r="V268" s="16">
        <f>IFERROR(__xludf.DUMMYFUNCTION("""COMPUTED_VALUE"""),0.0)</f>
        <v>0</v>
      </c>
      <c r="W268" s="16">
        <f>IFERROR(__xludf.DUMMYFUNCTION("""COMPUTED_VALUE"""),0.0)</f>
        <v>0</v>
      </c>
      <c r="X268" s="16">
        <f>IFERROR(__xludf.DUMMYFUNCTION("""COMPUTED_VALUE"""),0.0)</f>
        <v>0</v>
      </c>
      <c r="Y268" s="16">
        <f>IFERROR(__xludf.DUMMYFUNCTION("""COMPUTED_VALUE"""),0.0)</f>
        <v>0</v>
      </c>
      <c r="Z268" s="16">
        <f>IFERROR(__xludf.DUMMYFUNCTION("""COMPUTED_VALUE"""),0.0)</f>
        <v>0</v>
      </c>
      <c r="AA268" s="16">
        <f>IFERROR(__xludf.DUMMYFUNCTION("""COMPUTED_VALUE"""),0.0)</f>
        <v>0</v>
      </c>
      <c r="AB268" s="16">
        <f>IFERROR(__xludf.DUMMYFUNCTION("""COMPUTED_VALUE"""),0.0)</f>
        <v>0</v>
      </c>
      <c r="AC268" s="16">
        <f>IFERROR(__xludf.DUMMYFUNCTION("""COMPUTED_VALUE"""),0.0)</f>
        <v>0</v>
      </c>
      <c r="AD268" s="16">
        <f>IFERROR(__xludf.DUMMYFUNCTION("""COMPUTED_VALUE"""),0.0)</f>
        <v>0</v>
      </c>
      <c r="AE268" s="16">
        <f>IFERROR(__xludf.DUMMYFUNCTION("""COMPUTED_VALUE"""),0.0)</f>
        <v>0</v>
      </c>
      <c r="AF268" s="16">
        <f>IFERROR(__xludf.DUMMYFUNCTION("""COMPUTED_VALUE"""),0.0)</f>
        <v>0</v>
      </c>
      <c r="AG268" s="16">
        <f>IFERROR(__xludf.DUMMYFUNCTION("""COMPUTED_VALUE"""),0.0)</f>
        <v>0</v>
      </c>
      <c r="AH268" s="16">
        <f>IFERROR(__xludf.DUMMYFUNCTION("""COMPUTED_VALUE"""),0.0)</f>
        <v>0</v>
      </c>
    </row>
    <row r="269">
      <c r="A269" s="16" t="str">
        <f>IFERROR(__xludf.DUMMYFUNCTION("""COMPUTED_VALUE"""),"ed37d82285cfdcacdd3008ef7825d877fd575b57")</f>
        <v>ed37d82285cfdcacdd3008ef7825d877fd575b57</v>
      </c>
      <c r="B269" s="16" t="str">
        <f>IFERROR(__xludf.DUMMYFUNCTION("""COMPUTED_VALUE"""),"Charade")</f>
        <v>Charade</v>
      </c>
      <c r="C269" s="16" t="str">
        <f>IFERROR(__xludf.DUMMYFUNCTION("""COMPUTED_VALUE"""),"Fantasy")</f>
        <v>Fantasy</v>
      </c>
      <c r="D269" s="16">
        <f>IFERROR(__xludf.DUMMYFUNCTION("""COMPUTED_VALUE"""),7.0)</f>
        <v>7</v>
      </c>
      <c r="E269" s="16">
        <f>IFERROR(__xludf.DUMMYFUNCTION("""COMPUTED_VALUE"""),1.0)</f>
        <v>1</v>
      </c>
      <c r="F269" s="16">
        <f>IFERROR(__xludf.DUMMYFUNCTION("""COMPUTED_VALUE"""),0.428571428571428)</f>
        <v>0.4285714286</v>
      </c>
      <c r="G269" s="16">
        <f>IFERROR(__xludf.DUMMYFUNCTION("""COMPUTED_VALUE"""),0.285714285714285)</f>
        <v>0.2857142857</v>
      </c>
      <c r="H269" s="16">
        <f>IFERROR(__xludf.DUMMYFUNCTION("""COMPUTED_VALUE"""),0.428571428571428)</f>
        <v>0.4285714286</v>
      </c>
      <c r="I269" s="16">
        <f>IFERROR(__xludf.DUMMYFUNCTION("""COMPUTED_VALUE"""),0.428571428571428)</f>
        <v>0.4285714286</v>
      </c>
      <c r="J269" s="16">
        <f>IFERROR(__xludf.DUMMYFUNCTION("""COMPUTED_VALUE"""),0.285714285714285)</f>
        <v>0.2857142857</v>
      </c>
      <c r="K269" s="16">
        <f>IFERROR(__xludf.DUMMYFUNCTION("""COMPUTED_VALUE"""),0.285714285714285)</f>
        <v>0.2857142857</v>
      </c>
      <c r="L269" s="16">
        <f>IFERROR(__xludf.DUMMYFUNCTION("""COMPUTED_VALUE"""),0.428571428571428)</f>
        <v>0.4285714286</v>
      </c>
      <c r="M269" s="16">
        <f>IFERROR(__xludf.DUMMYFUNCTION("""COMPUTED_VALUE"""),0.285714285714285)</f>
        <v>0.2857142857</v>
      </c>
      <c r="N269" s="16">
        <f>IFERROR(__xludf.DUMMYFUNCTION("""COMPUTED_VALUE"""),0.285714285714285)</f>
        <v>0.2857142857</v>
      </c>
      <c r="O269" s="16">
        <f>IFERROR(__xludf.DUMMYFUNCTION("""COMPUTED_VALUE"""),0.285714285714285)</f>
        <v>0.2857142857</v>
      </c>
      <c r="P269" s="16">
        <f>IFERROR(__xludf.DUMMYFUNCTION("""COMPUTED_VALUE"""),0.142857142857142)</f>
        <v>0.1428571429</v>
      </c>
      <c r="Q269" s="16">
        <f>IFERROR(__xludf.DUMMYFUNCTION("""COMPUTED_VALUE"""),0.0)</f>
        <v>0</v>
      </c>
      <c r="R269" s="16">
        <f>IFERROR(__xludf.DUMMYFUNCTION("""COMPUTED_VALUE"""),0.0)</f>
        <v>0</v>
      </c>
      <c r="S269" s="16">
        <f>IFERROR(__xludf.DUMMYFUNCTION("""COMPUTED_VALUE"""),0.0)</f>
        <v>0</v>
      </c>
      <c r="T269" s="16">
        <f>IFERROR(__xludf.DUMMYFUNCTION("""COMPUTED_VALUE"""),0.0)</f>
        <v>0</v>
      </c>
      <c r="U269" s="16">
        <f>IFERROR(__xludf.DUMMYFUNCTION("""COMPUTED_VALUE"""),0.0)</f>
        <v>0</v>
      </c>
      <c r="V269" s="16">
        <f>IFERROR(__xludf.DUMMYFUNCTION("""COMPUTED_VALUE"""),0.0)</f>
        <v>0</v>
      </c>
      <c r="W269" s="16">
        <f>IFERROR(__xludf.DUMMYFUNCTION("""COMPUTED_VALUE"""),0.0)</f>
        <v>0</v>
      </c>
      <c r="X269" s="16">
        <f>IFERROR(__xludf.DUMMYFUNCTION("""COMPUTED_VALUE"""),0.0)</f>
        <v>0</v>
      </c>
      <c r="Y269" s="16">
        <f>IFERROR(__xludf.DUMMYFUNCTION("""COMPUTED_VALUE"""),0.0)</f>
        <v>0</v>
      </c>
      <c r="Z269" s="16">
        <f>IFERROR(__xludf.DUMMYFUNCTION("""COMPUTED_VALUE"""),0.0)</f>
        <v>0</v>
      </c>
      <c r="AA269" s="16">
        <f>IFERROR(__xludf.DUMMYFUNCTION("""COMPUTED_VALUE"""),0.0)</f>
        <v>0</v>
      </c>
      <c r="AB269" s="16">
        <f>IFERROR(__xludf.DUMMYFUNCTION("""COMPUTED_VALUE"""),0.0)</f>
        <v>0</v>
      </c>
      <c r="AC269" s="16">
        <f>IFERROR(__xludf.DUMMYFUNCTION("""COMPUTED_VALUE"""),0.0)</f>
        <v>0</v>
      </c>
      <c r="AD269" s="16">
        <f>IFERROR(__xludf.DUMMYFUNCTION("""COMPUTED_VALUE"""),0.0)</f>
        <v>0</v>
      </c>
      <c r="AE269" s="16">
        <f>IFERROR(__xludf.DUMMYFUNCTION("""COMPUTED_VALUE"""),0.0)</f>
        <v>0</v>
      </c>
      <c r="AF269" s="16">
        <f>IFERROR(__xludf.DUMMYFUNCTION("""COMPUTED_VALUE"""),0.0)</f>
        <v>0</v>
      </c>
      <c r="AG269" s="16">
        <f>IFERROR(__xludf.DUMMYFUNCTION("""COMPUTED_VALUE"""),0.0)</f>
        <v>0</v>
      </c>
      <c r="AH269" s="16">
        <f>IFERROR(__xludf.DUMMYFUNCTION("""COMPUTED_VALUE"""),0.0)</f>
        <v>0</v>
      </c>
    </row>
    <row r="270">
      <c r="A270" s="16" t="str">
        <f>IFERROR(__xludf.DUMMYFUNCTION("""COMPUTED_VALUE"""),"ee2e216e3dceba69118e501b055c3b7b9a0335a3")</f>
        <v>ee2e216e3dceba69118e501b055c3b7b9a0335a3</v>
      </c>
      <c r="B270" s="16" t="str">
        <f>IFERROR(__xludf.DUMMYFUNCTION("""COMPUTED_VALUE"""),"Kyan's System Awakening")</f>
        <v>Kyan's System Awakening</v>
      </c>
      <c r="C270" s="16" t="str">
        <f>IFERROR(__xludf.DUMMYFUNCTION("""COMPUTED_VALUE"""),"Fantasy")</f>
        <v>Fantasy</v>
      </c>
      <c r="D270" s="16">
        <f>IFERROR(__xludf.DUMMYFUNCTION("""COMPUTED_VALUE"""),4624.0)</f>
        <v>4624</v>
      </c>
      <c r="E270" s="16">
        <f>IFERROR(__xludf.DUMMYFUNCTION("""COMPUTED_VALUE"""),0.961721453287197)</f>
        <v>0.9617214533</v>
      </c>
      <c r="F270" s="16">
        <f>IFERROR(__xludf.DUMMYFUNCTION("""COMPUTED_VALUE"""),0.62348615916955)</f>
        <v>0.6234861592</v>
      </c>
      <c r="G270" s="16">
        <f>IFERROR(__xludf.DUMMYFUNCTION("""COMPUTED_VALUE"""),0.559039792387543)</f>
        <v>0.5590397924</v>
      </c>
      <c r="H270" s="16">
        <f>IFERROR(__xludf.DUMMYFUNCTION("""COMPUTED_VALUE"""),0.536257056013895)</f>
        <v>0.536257056</v>
      </c>
      <c r="I270" s="16">
        <f>IFERROR(__xludf.DUMMYFUNCTION("""COMPUTED_VALUE"""),0.515731573157315)</f>
        <v>0.5157315732</v>
      </c>
      <c r="J270" s="16">
        <f>IFERROR(__xludf.DUMMYFUNCTION("""COMPUTED_VALUE"""),0.496746690599057)</f>
        <v>0.4967466906</v>
      </c>
      <c r="K270" s="16">
        <f>IFERROR(__xludf.DUMMYFUNCTION("""COMPUTED_VALUE"""),0.478033234691554)</f>
        <v>0.4780332347</v>
      </c>
      <c r="L270" s="16">
        <f>IFERROR(__xludf.DUMMYFUNCTION("""COMPUTED_VALUE"""),0.462430426716141)</f>
        <v>0.4624304267</v>
      </c>
      <c r="M270" s="16">
        <f>IFERROR(__xludf.DUMMYFUNCTION("""COMPUTED_VALUE"""),0.447778827977315)</f>
        <v>0.447778828</v>
      </c>
      <c r="N270" s="16">
        <f>IFERROR(__xludf.DUMMYFUNCTION("""COMPUTED_VALUE"""),0.436789944404157)</f>
        <v>0.4367899444</v>
      </c>
      <c r="O270" s="16">
        <f>IFERROR(__xludf.DUMMYFUNCTION("""COMPUTED_VALUE"""),0.397202428081287)</f>
        <v>0.3972024281</v>
      </c>
      <c r="P270" s="16">
        <f>IFERROR(__xludf.DUMMYFUNCTION("""COMPUTED_VALUE"""),0.312964759133527)</f>
        <v>0.3129647591</v>
      </c>
      <c r="Q270" s="16">
        <f>IFERROR(__xludf.DUMMYFUNCTION("""COMPUTED_VALUE"""),0.215335169880624)</f>
        <v>0.2153351699</v>
      </c>
      <c r="R270" s="16">
        <f>IFERROR(__xludf.DUMMYFUNCTION("""COMPUTED_VALUE"""),0.144454799627213)</f>
        <v>0.1444547996</v>
      </c>
      <c r="S270" s="16">
        <f>IFERROR(__xludf.DUMMYFUNCTION("""COMPUTED_VALUE"""),0.102564102564102)</f>
        <v>0.1025641026</v>
      </c>
      <c r="T270" s="16">
        <f>IFERROR(__xludf.DUMMYFUNCTION("""COMPUTED_VALUE"""),0.0711206896551724)</f>
        <v>0.07112068966</v>
      </c>
      <c r="U270" s="16">
        <f>IFERROR(__xludf.DUMMYFUNCTION("""COMPUTED_VALUE"""),0.0)</f>
        <v>0</v>
      </c>
      <c r="V270" s="16">
        <f>IFERROR(__xludf.DUMMYFUNCTION("""COMPUTED_VALUE"""),0.0)</f>
        <v>0</v>
      </c>
      <c r="W270" s="16">
        <f>IFERROR(__xludf.DUMMYFUNCTION("""COMPUTED_VALUE"""),0.0)</f>
        <v>0</v>
      </c>
      <c r="X270" s="16">
        <f>IFERROR(__xludf.DUMMYFUNCTION("""COMPUTED_VALUE"""),0.0)</f>
        <v>0</v>
      </c>
      <c r="Y270" s="16">
        <f>IFERROR(__xludf.DUMMYFUNCTION("""COMPUTED_VALUE"""),0.0)</f>
        <v>0</v>
      </c>
      <c r="Z270" s="16">
        <f>IFERROR(__xludf.DUMMYFUNCTION("""COMPUTED_VALUE"""),0.0)</f>
        <v>0</v>
      </c>
      <c r="AA270" s="16">
        <f>IFERROR(__xludf.DUMMYFUNCTION("""COMPUTED_VALUE"""),0.0)</f>
        <v>0</v>
      </c>
      <c r="AB270" s="16">
        <f>IFERROR(__xludf.DUMMYFUNCTION("""COMPUTED_VALUE"""),0.0)</f>
        <v>0</v>
      </c>
      <c r="AC270" s="16">
        <f>IFERROR(__xludf.DUMMYFUNCTION("""COMPUTED_VALUE"""),0.0)</f>
        <v>0</v>
      </c>
      <c r="AD270" s="16">
        <f>IFERROR(__xludf.DUMMYFUNCTION("""COMPUTED_VALUE"""),0.0)</f>
        <v>0</v>
      </c>
      <c r="AE270" s="16">
        <f>IFERROR(__xludf.DUMMYFUNCTION("""COMPUTED_VALUE"""),0.0)</f>
        <v>0</v>
      </c>
      <c r="AF270" s="16">
        <f>IFERROR(__xludf.DUMMYFUNCTION("""COMPUTED_VALUE"""),0.0)</f>
        <v>0</v>
      </c>
      <c r="AG270" s="16">
        <f>IFERROR(__xludf.DUMMYFUNCTION("""COMPUTED_VALUE"""),0.0)</f>
        <v>0</v>
      </c>
      <c r="AH270" s="16">
        <f>IFERROR(__xludf.DUMMYFUNCTION("""COMPUTED_VALUE"""),0.0)</f>
        <v>0</v>
      </c>
    </row>
    <row r="271">
      <c r="A271" s="16" t="str">
        <f>IFERROR(__xludf.DUMMYFUNCTION("""COMPUTED_VALUE"""),"ef47552b570f8fc4cc243b88fae469ea12c31df0")</f>
        <v>ef47552b570f8fc4cc243b88fae469ea12c31df0</v>
      </c>
      <c r="B271" s="16" t="str">
        <f>IFERROR(__xludf.DUMMYFUNCTION("""COMPUTED_VALUE"""),"Mated to Enemy’s Luna")</f>
        <v>Mated to Enemy’s Luna</v>
      </c>
      <c r="C271" s="16" t="str">
        <f>IFERROR(__xludf.DUMMYFUNCTION("""COMPUTED_VALUE"""),"Romantasy")</f>
        <v>Romantasy</v>
      </c>
      <c r="D271" s="16">
        <f>IFERROR(__xludf.DUMMYFUNCTION("""COMPUTED_VALUE"""),68.0)</f>
        <v>68</v>
      </c>
      <c r="E271" s="16">
        <f>IFERROR(__xludf.DUMMYFUNCTION("""COMPUTED_VALUE"""),0.955882352941176)</f>
        <v>0.9558823529</v>
      </c>
      <c r="F271" s="16">
        <f>IFERROR(__xludf.DUMMYFUNCTION("""COMPUTED_VALUE"""),0.514705882352941)</f>
        <v>0.5147058824</v>
      </c>
      <c r="G271" s="16">
        <f>IFERROR(__xludf.DUMMYFUNCTION("""COMPUTED_VALUE"""),0.441176470588235)</f>
        <v>0.4411764706</v>
      </c>
      <c r="H271" s="16">
        <f>IFERROR(__xludf.DUMMYFUNCTION("""COMPUTED_VALUE"""),0.485294117647058)</f>
        <v>0.4852941176</v>
      </c>
      <c r="I271" s="16">
        <f>IFERROR(__xludf.DUMMYFUNCTION("""COMPUTED_VALUE"""),0.441176470588235)</f>
        <v>0.4411764706</v>
      </c>
      <c r="J271" s="16">
        <f>IFERROR(__xludf.DUMMYFUNCTION("""COMPUTED_VALUE"""),0.338235294117647)</f>
        <v>0.3382352941</v>
      </c>
      <c r="K271" s="16">
        <f>IFERROR(__xludf.DUMMYFUNCTION("""COMPUTED_VALUE"""),0.308823529411764)</f>
        <v>0.3088235294</v>
      </c>
      <c r="L271" s="16">
        <f>IFERROR(__xludf.DUMMYFUNCTION("""COMPUTED_VALUE"""),0.279411764705882)</f>
        <v>0.2794117647</v>
      </c>
      <c r="M271" s="16">
        <f>IFERROR(__xludf.DUMMYFUNCTION("""COMPUTED_VALUE"""),0.264705882352941)</f>
        <v>0.2647058824</v>
      </c>
      <c r="N271" s="16">
        <f>IFERROR(__xludf.DUMMYFUNCTION("""COMPUTED_VALUE"""),0.235294117647058)</f>
        <v>0.2352941176</v>
      </c>
      <c r="O271" s="16">
        <f>IFERROR(__xludf.DUMMYFUNCTION("""COMPUTED_VALUE"""),0.186440677966101)</f>
        <v>0.186440678</v>
      </c>
      <c r="P271" s="16">
        <f>IFERROR(__xludf.DUMMYFUNCTION("""COMPUTED_VALUE"""),0.120689655172413)</f>
        <v>0.1206896552</v>
      </c>
      <c r="Q271" s="16">
        <f>IFERROR(__xludf.DUMMYFUNCTION("""COMPUTED_VALUE"""),0.0444444444444444)</f>
        <v>0.04444444444</v>
      </c>
      <c r="R271" s="16">
        <f>IFERROR(__xludf.DUMMYFUNCTION("""COMPUTED_VALUE"""),0.0227272727272727)</f>
        <v>0.02272727273</v>
      </c>
      <c r="S271" s="16">
        <f>IFERROR(__xludf.DUMMYFUNCTION("""COMPUTED_VALUE"""),0.0)</f>
        <v>0</v>
      </c>
      <c r="T271" s="16">
        <f>IFERROR(__xludf.DUMMYFUNCTION("""COMPUTED_VALUE"""),0.0)</f>
        <v>0</v>
      </c>
      <c r="U271" s="16">
        <f>IFERROR(__xludf.DUMMYFUNCTION("""COMPUTED_VALUE"""),0.0)</f>
        <v>0</v>
      </c>
      <c r="V271" s="16">
        <f>IFERROR(__xludf.DUMMYFUNCTION("""COMPUTED_VALUE"""),0.0)</f>
        <v>0</v>
      </c>
      <c r="W271" s="16">
        <f>IFERROR(__xludf.DUMMYFUNCTION("""COMPUTED_VALUE"""),0.0)</f>
        <v>0</v>
      </c>
      <c r="X271" s="16">
        <f>IFERROR(__xludf.DUMMYFUNCTION("""COMPUTED_VALUE"""),0.0)</f>
        <v>0</v>
      </c>
      <c r="Y271" s="16">
        <f>IFERROR(__xludf.DUMMYFUNCTION("""COMPUTED_VALUE"""),0.0)</f>
        <v>0</v>
      </c>
      <c r="Z271" s="16">
        <f>IFERROR(__xludf.DUMMYFUNCTION("""COMPUTED_VALUE"""),0.0)</f>
        <v>0</v>
      </c>
      <c r="AA271" s="16">
        <f>IFERROR(__xludf.DUMMYFUNCTION("""COMPUTED_VALUE"""),0.0)</f>
        <v>0</v>
      </c>
      <c r="AB271" s="16">
        <f>IFERROR(__xludf.DUMMYFUNCTION("""COMPUTED_VALUE"""),0.0)</f>
        <v>0</v>
      </c>
      <c r="AC271" s="16">
        <f>IFERROR(__xludf.DUMMYFUNCTION("""COMPUTED_VALUE"""),0.0)</f>
        <v>0</v>
      </c>
      <c r="AD271" s="16">
        <f>IFERROR(__xludf.DUMMYFUNCTION("""COMPUTED_VALUE"""),0.0)</f>
        <v>0</v>
      </c>
      <c r="AE271" s="16">
        <f>IFERROR(__xludf.DUMMYFUNCTION("""COMPUTED_VALUE"""),0.0)</f>
        <v>0</v>
      </c>
      <c r="AF271" s="16">
        <f>IFERROR(__xludf.DUMMYFUNCTION("""COMPUTED_VALUE"""),0.0)</f>
        <v>0</v>
      </c>
      <c r="AG271" s="16">
        <f>IFERROR(__xludf.DUMMYFUNCTION("""COMPUTED_VALUE"""),0.0)</f>
        <v>0</v>
      </c>
      <c r="AH271" s="16">
        <f>IFERROR(__xludf.DUMMYFUNCTION("""COMPUTED_VALUE"""),0.0)</f>
        <v>0</v>
      </c>
    </row>
    <row r="272">
      <c r="A272" s="16" t="str">
        <f>IFERROR(__xludf.DUMMYFUNCTION("""COMPUTED_VALUE"""),"ef90fb4b8d0ce9719b044885fe4e0b7e925433a8")</f>
        <v>ef90fb4b8d0ce9719b044885fe4e0b7e925433a8</v>
      </c>
      <c r="B272" s="16" t="str">
        <f>IFERROR(__xludf.DUMMYFUNCTION("""COMPUTED_VALUE"""),"The Sovereign Prince")</f>
        <v>The Sovereign Prince</v>
      </c>
      <c r="C272" s="16" t="str">
        <f>IFERROR(__xludf.DUMMYFUNCTION("""COMPUTED_VALUE"""),"Fantasy")</f>
        <v>Fantasy</v>
      </c>
      <c r="D272" s="16">
        <f>IFERROR(__xludf.DUMMYFUNCTION("""COMPUTED_VALUE"""),331.0)</f>
        <v>331</v>
      </c>
      <c r="E272" s="16">
        <f>IFERROR(__xludf.DUMMYFUNCTION("""COMPUTED_VALUE"""),0.987915407854984)</f>
        <v>0.9879154079</v>
      </c>
      <c r="F272" s="16">
        <f>IFERROR(__xludf.DUMMYFUNCTION("""COMPUTED_VALUE"""),0.570996978851963)</f>
        <v>0.5709969789</v>
      </c>
      <c r="G272" s="16">
        <f>IFERROR(__xludf.DUMMYFUNCTION("""COMPUTED_VALUE"""),0.501510574018126)</f>
        <v>0.501510574</v>
      </c>
      <c r="H272" s="16">
        <f>IFERROR(__xludf.DUMMYFUNCTION("""COMPUTED_VALUE"""),0.45288753799392)</f>
        <v>0.452887538</v>
      </c>
      <c r="I272" s="16">
        <f>IFERROR(__xludf.DUMMYFUNCTION("""COMPUTED_VALUE"""),0.393292682926829)</f>
        <v>0.3932926829</v>
      </c>
      <c r="J272" s="16">
        <f>IFERROR(__xludf.DUMMYFUNCTION("""COMPUTED_VALUE"""),0.370030581039755)</f>
        <v>0.370030581</v>
      </c>
      <c r="K272" s="16">
        <f>IFERROR(__xludf.DUMMYFUNCTION("""COMPUTED_VALUE"""),0.358024691358024)</f>
        <v>0.3580246914</v>
      </c>
      <c r="L272" s="16">
        <f>IFERROR(__xludf.DUMMYFUNCTION("""COMPUTED_VALUE"""),0.34984520123839)</f>
        <v>0.3498452012</v>
      </c>
      <c r="M272" s="16">
        <f>IFERROR(__xludf.DUMMYFUNCTION("""COMPUTED_VALUE"""),0.332288401253918)</f>
        <v>0.3322884013</v>
      </c>
      <c r="N272" s="16">
        <f>IFERROR(__xludf.DUMMYFUNCTION("""COMPUTED_VALUE"""),0.322784810126582)</f>
        <v>0.3227848101</v>
      </c>
      <c r="O272" s="16">
        <f>IFERROR(__xludf.DUMMYFUNCTION("""COMPUTED_VALUE"""),0.24537037037037)</f>
        <v>0.2453703704</v>
      </c>
      <c r="P272" s="16">
        <f>IFERROR(__xludf.DUMMYFUNCTION("""COMPUTED_VALUE"""),0.253968253968253)</f>
        <v>0.253968254</v>
      </c>
      <c r="Q272" s="16">
        <f>IFERROR(__xludf.DUMMYFUNCTION("""COMPUTED_VALUE"""),0.0)</f>
        <v>0</v>
      </c>
      <c r="R272" s="16">
        <f>IFERROR(__xludf.DUMMYFUNCTION("""COMPUTED_VALUE"""),0.0)</f>
        <v>0</v>
      </c>
      <c r="S272" s="16">
        <f>IFERROR(__xludf.DUMMYFUNCTION("""COMPUTED_VALUE"""),0.0)</f>
        <v>0</v>
      </c>
      <c r="T272" s="16">
        <f>IFERROR(__xludf.DUMMYFUNCTION("""COMPUTED_VALUE"""),0.0)</f>
        <v>0</v>
      </c>
      <c r="U272" s="16">
        <f>IFERROR(__xludf.DUMMYFUNCTION("""COMPUTED_VALUE"""),0.0)</f>
        <v>0</v>
      </c>
      <c r="V272" s="16">
        <f>IFERROR(__xludf.DUMMYFUNCTION("""COMPUTED_VALUE"""),0.0)</f>
        <v>0</v>
      </c>
      <c r="W272" s="16">
        <f>IFERROR(__xludf.DUMMYFUNCTION("""COMPUTED_VALUE"""),0.0)</f>
        <v>0</v>
      </c>
      <c r="X272" s="16">
        <f>IFERROR(__xludf.DUMMYFUNCTION("""COMPUTED_VALUE"""),0.0)</f>
        <v>0</v>
      </c>
      <c r="Y272" s="16">
        <f>IFERROR(__xludf.DUMMYFUNCTION("""COMPUTED_VALUE"""),0.0)</f>
        <v>0</v>
      </c>
      <c r="Z272" s="16">
        <f>IFERROR(__xludf.DUMMYFUNCTION("""COMPUTED_VALUE"""),0.0)</f>
        <v>0</v>
      </c>
      <c r="AA272" s="16">
        <f>IFERROR(__xludf.DUMMYFUNCTION("""COMPUTED_VALUE"""),0.0)</f>
        <v>0</v>
      </c>
      <c r="AB272" s="16">
        <f>IFERROR(__xludf.DUMMYFUNCTION("""COMPUTED_VALUE"""),0.0)</f>
        <v>0</v>
      </c>
      <c r="AC272" s="16">
        <f>IFERROR(__xludf.DUMMYFUNCTION("""COMPUTED_VALUE"""),0.0)</f>
        <v>0</v>
      </c>
      <c r="AD272" s="16">
        <f>IFERROR(__xludf.DUMMYFUNCTION("""COMPUTED_VALUE"""),0.0)</f>
        <v>0</v>
      </c>
      <c r="AE272" s="16">
        <f>IFERROR(__xludf.DUMMYFUNCTION("""COMPUTED_VALUE"""),0.0)</f>
        <v>0</v>
      </c>
      <c r="AF272" s="16">
        <f>IFERROR(__xludf.DUMMYFUNCTION("""COMPUTED_VALUE"""),0.0)</f>
        <v>0</v>
      </c>
      <c r="AG272" s="16">
        <f>IFERROR(__xludf.DUMMYFUNCTION("""COMPUTED_VALUE"""),0.0)</f>
        <v>0</v>
      </c>
      <c r="AH272" s="16">
        <f>IFERROR(__xludf.DUMMYFUNCTION("""COMPUTED_VALUE"""),0.0)</f>
        <v>0</v>
      </c>
    </row>
    <row r="273">
      <c r="A273" s="16" t="str">
        <f>IFERROR(__xludf.DUMMYFUNCTION("""COMPUTED_VALUE"""),"efc5ab9117a97ffce6537344dcb0416ed5ff0dc1")</f>
        <v>efc5ab9117a97ffce6537344dcb0416ed5ff0dc1</v>
      </c>
      <c r="B273" s="16" t="str">
        <f>IFERROR(__xludf.DUMMYFUNCTION("""COMPUTED_VALUE"""),"Imperial Clan Descends")</f>
        <v>Imperial Clan Descends</v>
      </c>
      <c r="C273" s="16" t="str">
        <f>IFERROR(__xludf.DUMMYFUNCTION("""COMPUTED_VALUE"""),"Drama")</f>
        <v>Drama</v>
      </c>
      <c r="D273" s="16">
        <f>IFERROR(__xludf.DUMMYFUNCTION("""COMPUTED_VALUE"""),300.0)</f>
        <v>300</v>
      </c>
      <c r="E273" s="16">
        <f>IFERROR(__xludf.DUMMYFUNCTION("""COMPUTED_VALUE"""),0.99)</f>
        <v>0.99</v>
      </c>
      <c r="F273" s="16">
        <f>IFERROR(__xludf.DUMMYFUNCTION("""COMPUTED_VALUE"""),0.396666666666666)</f>
        <v>0.3966666667</v>
      </c>
      <c r="G273" s="16">
        <f>IFERROR(__xludf.DUMMYFUNCTION("""COMPUTED_VALUE"""),0.276666666666666)</f>
        <v>0.2766666667</v>
      </c>
      <c r="H273" s="16">
        <f>IFERROR(__xludf.DUMMYFUNCTION("""COMPUTED_VALUE"""),0.206185567010309)</f>
        <v>0.206185567</v>
      </c>
      <c r="I273" s="16">
        <f>IFERROR(__xludf.DUMMYFUNCTION("""COMPUTED_VALUE"""),0.180212014134275)</f>
        <v>0.1802120141</v>
      </c>
      <c r="J273" s="16">
        <f>IFERROR(__xludf.DUMMYFUNCTION("""COMPUTED_VALUE"""),0.143497757847533)</f>
        <v>0.1434977578</v>
      </c>
      <c r="K273" s="16">
        <f>IFERROR(__xludf.DUMMYFUNCTION("""COMPUTED_VALUE"""),0.142105263157894)</f>
        <v>0.1421052632</v>
      </c>
      <c r="L273" s="16">
        <f>IFERROR(__xludf.DUMMYFUNCTION("""COMPUTED_VALUE"""),0.133333333333333)</f>
        <v>0.1333333333</v>
      </c>
      <c r="M273" s="16">
        <f>IFERROR(__xludf.DUMMYFUNCTION("""COMPUTED_VALUE"""),0.137404580152671)</f>
        <v>0.1374045802</v>
      </c>
      <c r="N273" s="16">
        <f>IFERROR(__xludf.DUMMYFUNCTION("""COMPUTED_VALUE"""),0.12037037037037)</f>
        <v>0.1203703704</v>
      </c>
      <c r="O273" s="16">
        <f>IFERROR(__xludf.DUMMYFUNCTION("""COMPUTED_VALUE"""),0.130434782608695)</f>
        <v>0.1304347826</v>
      </c>
      <c r="P273" s="16">
        <f>IFERROR(__xludf.DUMMYFUNCTION("""COMPUTED_VALUE"""),0.181818181818181)</f>
        <v>0.1818181818</v>
      </c>
      <c r="Q273" s="16">
        <f>IFERROR(__xludf.DUMMYFUNCTION("""COMPUTED_VALUE"""),0.142857142857142)</f>
        <v>0.1428571429</v>
      </c>
      <c r="R273" s="16">
        <f>IFERROR(__xludf.DUMMYFUNCTION("""COMPUTED_VALUE"""),0.146341463414634)</f>
        <v>0.1463414634</v>
      </c>
      <c r="S273" s="16">
        <f>IFERROR(__xludf.DUMMYFUNCTION("""COMPUTED_VALUE"""),0.0)</f>
        <v>0</v>
      </c>
      <c r="T273" s="16">
        <f>IFERROR(__xludf.DUMMYFUNCTION("""COMPUTED_VALUE"""),0.0)</f>
        <v>0</v>
      </c>
      <c r="U273" s="16">
        <f>IFERROR(__xludf.DUMMYFUNCTION("""COMPUTED_VALUE"""),0.0)</f>
        <v>0</v>
      </c>
      <c r="V273" s="16">
        <f>IFERROR(__xludf.DUMMYFUNCTION("""COMPUTED_VALUE"""),0.0)</f>
        <v>0</v>
      </c>
      <c r="W273" s="16">
        <f>IFERROR(__xludf.DUMMYFUNCTION("""COMPUTED_VALUE"""),0.0)</f>
        <v>0</v>
      </c>
      <c r="X273" s="16">
        <f>IFERROR(__xludf.DUMMYFUNCTION("""COMPUTED_VALUE"""),0.0)</f>
        <v>0</v>
      </c>
      <c r="Y273" s="16">
        <f>IFERROR(__xludf.DUMMYFUNCTION("""COMPUTED_VALUE"""),0.0)</f>
        <v>0</v>
      </c>
      <c r="Z273" s="16">
        <f>IFERROR(__xludf.DUMMYFUNCTION("""COMPUTED_VALUE"""),0.0)</f>
        <v>0</v>
      </c>
      <c r="AA273" s="16">
        <f>IFERROR(__xludf.DUMMYFUNCTION("""COMPUTED_VALUE"""),0.0)</f>
        <v>0</v>
      </c>
      <c r="AB273" s="16">
        <f>IFERROR(__xludf.DUMMYFUNCTION("""COMPUTED_VALUE"""),0.0)</f>
        <v>0</v>
      </c>
      <c r="AC273" s="16">
        <f>IFERROR(__xludf.DUMMYFUNCTION("""COMPUTED_VALUE"""),0.0)</f>
        <v>0</v>
      </c>
      <c r="AD273" s="16">
        <f>IFERROR(__xludf.DUMMYFUNCTION("""COMPUTED_VALUE"""),0.0)</f>
        <v>0</v>
      </c>
      <c r="AE273" s="16">
        <f>IFERROR(__xludf.DUMMYFUNCTION("""COMPUTED_VALUE"""),0.0)</f>
        <v>0</v>
      </c>
      <c r="AF273" s="16">
        <f>IFERROR(__xludf.DUMMYFUNCTION("""COMPUTED_VALUE"""),0.0)</f>
        <v>0</v>
      </c>
      <c r="AG273" s="16">
        <f>IFERROR(__xludf.DUMMYFUNCTION("""COMPUTED_VALUE"""),0.0)</f>
        <v>0</v>
      </c>
      <c r="AH273" s="16">
        <f>IFERROR(__xludf.DUMMYFUNCTION("""COMPUTED_VALUE"""),0.0)</f>
        <v>0</v>
      </c>
    </row>
    <row r="274">
      <c r="A274" s="16" t="str">
        <f>IFERROR(__xludf.DUMMYFUNCTION("""COMPUTED_VALUE"""),"f06451dc56081680609a77b52825c3da76e8ae66")</f>
        <v>f06451dc56081680609a77b52825c3da76e8ae66</v>
      </c>
      <c r="B274" s="16" t="str">
        <f>IFERROR(__xludf.DUMMYFUNCTION("""COMPUTED_VALUE"""),"Her Exit, His Regret")</f>
        <v>Her Exit, His Regret</v>
      </c>
      <c r="C274" s="16" t="str">
        <f>IFERROR(__xludf.DUMMYFUNCTION("""COMPUTED_VALUE"""),"Romance")</f>
        <v>Romance</v>
      </c>
      <c r="D274" s="16">
        <f>IFERROR(__xludf.DUMMYFUNCTION("""COMPUTED_VALUE"""),125.0)</f>
        <v>125</v>
      </c>
      <c r="E274" s="16">
        <f>IFERROR(__xludf.DUMMYFUNCTION("""COMPUTED_VALUE"""),0.968)</f>
        <v>0.968</v>
      </c>
      <c r="F274" s="16">
        <f>IFERROR(__xludf.DUMMYFUNCTION("""COMPUTED_VALUE"""),0.592)</f>
        <v>0.592</v>
      </c>
      <c r="G274" s="16">
        <f>IFERROR(__xludf.DUMMYFUNCTION("""COMPUTED_VALUE"""),0.528)</f>
        <v>0.528</v>
      </c>
      <c r="H274" s="16">
        <f>IFERROR(__xludf.DUMMYFUNCTION("""COMPUTED_VALUE"""),0.472)</f>
        <v>0.472</v>
      </c>
      <c r="I274" s="16">
        <f>IFERROR(__xludf.DUMMYFUNCTION("""COMPUTED_VALUE"""),0.4)</f>
        <v>0.4</v>
      </c>
      <c r="J274" s="16">
        <f>IFERROR(__xludf.DUMMYFUNCTION("""COMPUTED_VALUE"""),0.336)</f>
        <v>0.336</v>
      </c>
      <c r="K274" s="16">
        <f>IFERROR(__xludf.DUMMYFUNCTION("""COMPUTED_VALUE"""),0.336)</f>
        <v>0.336</v>
      </c>
      <c r="L274" s="16">
        <f>IFERROR(__xludf.DUMMYFUNCTION("""COMPUTED_VALUE"""),0.282258064516129)</f>
        <v>0.2822580645</v>
      </c>
      <c r="M274" s="16">
        <f>IFERROR(__xludf.DUMMYFUNCTION("""COMPUTED_VALUE"""),0.266129032258064)</f>
        <v>0.2661290323</v>
      </c>
      <c r="N274" s="16">
        <f>IFERROR(__xludf.DUMMYFUNCTION("""COMPUTED_VALUE"""),0.25)</f>
        <v>0.25</v>
      </c>
      <c r="O274" s="16">
        <f>IFERROR(__xludf.DUMMYFUNCTION("""COMPUTED_VALUE"""),0.186991869918699)</f>
        <v>0.1869918699</v>
      </c>
      <c r="P274" s="16">
        <f>IFERROR(__xludf.DUMMYFUNCTION("""COMPUTED_VALUE"""),0.105263157894736)</f>
        <v>0.1052631579</v>
      </c>
      <c r="Q274" s="16">
        <f>IFERROR(__xludf.DUMMYFUNCTION("""COMPUTED_VALUE"""),0.0439560439560439)</f>
        <v>0.04395604396</v>
      </c>
      <c r="R274" s="16">
        <f>IFERROR(__xludf.DUMMYFUNCTION("""COMPUTED_VALUE"""),0.222222222222222)</f>
        <v>0.2222222222</v>
      </c>
      <c r="S274" s="16">
        <f>IFERROR(__xludf.DUMMYFUNCTION("""COMPUTED_VALUE"""),0.0)</f>
        <v>0</v>
      </c>
      <c r="T274" s="16">
        <f>IFERROR(__xludf.DUMMYFUNCTION("""COMPUTED_VALUE"""),0.0)</f>
        <v>0</v>
      </c>
      <c r="U274" s="16">
        <f>IFERROR(__xludf.DUMMYFUNCTION("""COMPUTED_VALUE"""),0.0)</f>
        <v>0</v>
      </c>
      <c r="V274" s="16">
        <f>IFERROR(__xludf.DUMMYFUNCTION("""COMPUTED_VALUE"""),0.0)</f>
        <v>0</v>
      </c>
      <c r="W274" s="16">
        <f>IFERROR(__xludf.DUMMYFUNCTION("""COMPUTED_VALUE"""),0.0)</f>
        <v>0</v>
      </c>
      <c r="X274" s="16">
        <f>IFERROR(__xludf.DUMMYFUNCTION("""COMPUTED_VALUE"""),0.0)</f>
        <v>0</v>
      </c>
      <c r="Y274" s="16">
        <f>IFERROR(__xludf.DUMMYFUNCTION("""COMPUTED_VALUE"""),0.0)</f>
        <v>0</v>
      </c>
      <c r="Z274" s="16">
        <f>IFERROR(__xludf.DUMMYFUNCTION("""COMPUTED_VALUE"""),0.0)</f>
        <v>0</v>
      </c>
      <c r="AA274" s="16">
        <f>IFERROR(__xludf.DUMMYFUNCTION("""COMPUTED_VALUE"""),0.0)</f>
        <v>0</v>
      </c>
      <c r="AB274" s="16">
        <f>IFERROR(__xludf.DUMMYFUNCTION("""COMPUTED_VALUE"""),0.0)</f>
        <v>0</v>
      </c>
      <c r="AC274" s="16">
        <f>IFERROR(__xludf.DUMMYFUNCTION("""COMPUTED_VALUE"""),0.0)</f>
        <v>0</v>
      </c>
      <c r="AD274" s="16">
        <f>IFERROR(__xludf.DUMMYFUNCTION("""COMPUTED_VALUE"""),0.0)</f>
        <v>0</v>
      </c>
      <c r="AE274" s="16">
        <f>IFERROR(__xludf.DUMMYFUNCTION("""COMPUTED_VALUE"""),0.0)</f>
        <v>0</v>
      </c>
      <c r="AF274" s="16">
        <f>IFERROR(__xludf.DUMMYFUNCTION("""COMPUTED_VALUE"""),0.0)</f>
        <v>0</v>
      </c>
      <c r="AG274" s="16">
        <f>IFERROR(__xludf.DUMMYFUNCTION("""COMPUTED_VALUE"""),0.0)</f>
        <v>0</v>
      </c>
      <c r="AH274" s="16">
        <f>IFERROR(__xludf.DUMMYFUNCTION("""COMPUTED_VALUE"""),0.0)</f>
        <v>0</v>
      </c>
    </row>
    <row r="275">
      <c r="A275" s="16" t="str">
        <f>IFERROR(__xludf.DUMMYFUNCTION("""COMPUTED_VALUE"""),"f11e794eecc64915145ae97085e04201646abfe3")</f>
        <v>f11e794eecc64915145ae97085e04201646abfe3</v>
      </c>
      <c r="B275" s="16" t="str">
        <f>IFERROR(__xludf.DUMMYFUNCTION("""COMPUTED_VALUE"""),"Almost His Bride ")</f>
        <v>Almost His Bride </v>
      </c>
      <c r="C275" s="16" t="str">
        <f>IFERROR(__xludf.DUMMYFUNCTION("""COMPUTED_VALUE"""),"Romance")</f>
        <v>Romance</v>
      </c>
      <c r="D275" s="16">
        <f>IFERROR(__xludf.DUMMYFUNCTION("""COMPUTED_VALUE"""),22.0)</f>
        <v>22</v>
      </c>
      <c r="E275" s="16">
        <f>IFERROR(__xludf.DUMMYFUNCTION("""COMPUTED_VALUE"""),0.909090909090909)</f>
        <v>0.9090909091</v>
      </c>
      <c r="F275" s="16">
        <f>IFERROR(__xludf.DUMMYFUNCTION("""COMPUTED_VALUE"""),0.772727272727272)</f>
        <v>0.7727272727</v>
      </c>
      <c r="G275" s="16">
        <f>IFERROR(__xludf.DUMMYFUNCTION("""COMPUTED_VALUE"""),0.681818181818181)</f>
        <v>0.6818181818</v>
      </c>
      <c r="H275" s="16">
        <f>IFERROR(__xludf.DUMMYFUNCTION("""COMPUTED_VALUE"""),0.636363636363636)</f>
        <v>0.6363636364</v>
      </c>
      <c r="I275" s="16">
        <f>IFERROR(__xludf.DUMMYFUNCTION("""COMPUTED_VALUE"""),0.681818181818181)</f>
        <v>0.6818181818</v>
      </c>
      <c r="J275" s="16">
        <f>IFERROR(__xludf.DUMMYFUNCTION("""COMPUTED_VALUE"""),0.59090909090909)</f>
        <v>0.5909090909</v>
      </c>
      <c r="K275" s="16">
        <f>IFERROR(__xludf.DUMMYFUNCTION("""COMPUTED_VALUE"""),0.5)</f>
        <v>0.5</v>
      </c>
      <c r="L275" s="16">
        <f>IFERROR(__xludf.DUMMYFUNCTION("""COMPUTED_VALUE"""),0.5)</f>
        <v>0.5</v>
      </c>
      <c r="M275" s="16">
        <f>IFERROR(__xludf.DUMMYFUNCTION("""COMPUTED_VALUE"""),0.454545454545454)</f>
        <v>0.4545454545</v>
      </c>
      <c r="N275" s="16">
        <f>IFERROR(__xludf.DUMMYFUNCTION("""COMPUTED_VALUE"""),0.454545454545454)</f>
        <v>0.4545454545</v>
      </c>
      <c r="O275" s="16">
        <f>IFERROR(__xludf.DUMMYFUNCTION("""COMPUTED_VALUE"""),0.15)</f>
        <v>0.15</v>
      </c>
      <c r="P275" s="16">
        <f>IFERROR(__xludf.DUMMYFUNCTION("""COMPUTED_VALUE"""),0.1)</f>
        <v>0.1</v>
      </c>
      <c r="Q275" s="16">
        <f>IFERROR(__xludf.DUMMYFUNCTION("""COMPUTED_VALUE"""),0.0555555555555555)</f>
        <v>0.05555555556</v>
      </c>
      <c r="R275" s="16">
        <f>IFERROR(__xludf.DUMMYFUNCTION("""COMPUTED_VALUE"""),0.0714285714285714)</f>
        <v>0.07142857143</v>
      </c>
      <c r="S275" s="16">
        <f>IFERROR(__xludf.DUMMYFUNCTION("""COMPUTED_VALUE"""),0.0)</f>
        <v>0</v>
      </c>
      <c r="T275" s="16">
        <f>IFERROR(__xludf.DUMMYFUNCTION("""COMPUTED_VALUE"""),0.0)</f>
        <v>0</v>
      </c>
      <c r="U275" s="16">
        <f>IFERROR(__xludf.DUMMYFUNCTION("""COMPUTED_VALUE"""),0.0)</f>
        <v>0</v>
      </c>
      <c r="V275" s="16">
        <f>IFERROR(__xludf.DUMMYFUNCTION("""COMPUTED_VALUE"""),0.0)</f>
        <v>0</v>
      </c>
      <c r="W275" s="16">
        <f>IFERROR(__xludf.DUMMYFUNCTION("""COMPUTED_VALUE"""),0.0)</f>
        <v>0</v>
      </c>
      <c r="X275" s="16">
        <f>IFERROR(__xludf.DUMMYFUNCTION("""COMPUTED_VALUE"""),0.0)</f>
        <v>0</v>
      </c>
      <c r="Y275" s="16">
        <f>IFERROR(__xludf.DUMMYFUNCTION("""COMPUTED_VALUE"""),0.0)</f>
        <v>0</v>
      </c>
      <c r="Z275" s="16">
        <f>IFERROR(__xludf.DUMMYFUNCTION("""COMPUTED_VALUE"""),0.0)</f>
        <v>0</v>
      </c>
      <c r="AA275" s="16">
        <f>IFERROR(__xludf.DUMMYFUNCTION("""COMPUTED_VALUE"""),0.0)</f>
        <v>0</v>
      </c>
      <c r="AB275" s="16">
        <f>IFERROR(__xludf.DUMMYFUNCTION("""COMPUTED_VALUE"""),0.0)</f>
        <v>0</v>
      </c>
      <c r="AC275" s="16">
        <f>IFERROR(__xludf.DUMMYFUNCTION("""COMPUTED_VALUE"""),0.0)</f>
        <v>0</v>
      </c>
      <c r="AD275" s="16">
        <f>IFERROR(__xludf.DUMMYFUNCTION("""COMPUTED_VALUE"""),0.0)</f>
        <v>0</v>
      </c>
      <c r="AE275" s="16">
        <f>IFERROR(__xludf.DUMMYFUNCTION("""COMPUTED_VALUE"""),0.0)</f>
        <v>0</v>
      </c>
      <c r="AF275" s="16">
        <f>IFERROR(__xludf.DUMMYFUNCTION("""COMPUTED_VALUE"""),0.0)</f>
        <v>0</v>
      </c>
      <c r="AG275" s="16">
        <f>IFERROR(__xludf.DUMMYFUNCTION("""COMPUTED_VALUE"""),0.0)</f>
        <v>0</v>
      </c>
      <c r="AH275" s="16">
        <f>IFERROR(__xludf.DUMMYFUNCTION("""COMPUTED_VALUE"""),0.0)</f>
        <v>0</v>
      </c>
    </row>
    <row r="276">
      <c r="A276" s="16" t="str">
        <f>IFERROR(__xludf.DUMMYFUNCTION("""COMPUTED_VALUE"""),"f16d45e2702863e71bf480a3e2490ded19c4cbd9")</f>
        <v>f16d45e2702863e71bf480a3e2490ded19c4cbd9</v>
      </c>
      <c r="B276" s="16" t="str">
        <f>IFERROR(__xludf.DUMMYFUNCTION("""COMPUTED_VALUE"""),"Supreme Sword Cultivator")</f>
        <v>Supreme Sword Cultivator</v>
      </c>
      <c r="C276" s="16" t="str">
        <f>IFERROR(__xludf.DUMMYFUNCTION("""COMPUTED_VALUE"""),"Fantasy")</f>
        <v>Fantasy</v>
      </c>
      <c r="D276" s="16">
        <f>IFERROR(__xludf.DUMMYFUNCTION("""COMPUTED_VALUE"""),585.0)</f>
        <v>585</v>
      </c>
      <c r="E276" s="16">
        <f>IFERROR(__xludf.DUMMYFUNCTION("""COMPUTED_VALUE"""),0.962393162393162)</f>
        <v>0.9623931624</v>
      </c>
      <c r="F276" s="16">
        <f>IFERROR(__xludf.DUMMYFUNCTION("""COMPUTED_VALUE"""),0.613675213675213)</f>
        <v>0.6136752137</v>
      </c>
      <c r="G276" s="16">
        <f>IFERROR(__xludf.DUMMYFUNCTION("""COMPUTED_VALUE"""),0.586324786324786)</f>
        <v>0.5863247863</v>
      </c>
      <c r="H276" s="16">
        <f>IFERROR(__xludf.DUMMYFUNCTION("""COMPUTED_VALUE"""),0.552136752136752)</f>
        <v>0.5521367521</v>
      </c>
      <c r="I276" s="16">
        <f>IFERROR(__xludf.DUMMYFUNCTION("""COMPUTED_VALUE"""),0.523156089193825)</f>
        <v>0.5231560892</v>
      </c>
      <c r="J276" s="16">
        <f>IFERROR(__xludf.DUMMYFUNCTION("""COMPUTED_VALUE"""),0.512027491408934)</f>
        <v>0.5120274914</v>
      </c>
      <c r="K276" s="16">
        <f>IFERROR(__xludf.DUMMYFUNCTION("""COMPUTED_VALUE"""),0.503436426116838)</f>
        <v>0.5034364261</v>
      </c>
      <c r="L276" s="16">
        <f>IFERROR(__xludf.DUMMYFUNCTION("""COMPUTED_VALUE"""),0.49828178694158)</f>
        <v>0.4982817869</v>
      </c>
      <c r="M276" s="16">
        <f>IFERROR(__xludf.DUMMYFUNCTION("""COMPUTED_VALUE"""),0.481099656357388)</f>
        <v>0.4810996564</v>
      </c>
      <c r="N276" s="16">
        <f>IFERROR(__xludf.DUMMYFUNCTION("""COMPUTED_VALUE"""),0.468965517241379)</f>
        <v>0.4689655172</v>
      </c>
      <c r="O276" s="16">
        <f>IFERROR(__xludf.DUMMYFUNCTION("""COMPUTED_VALUE"""),0.412698412698412)</f>
        <v>0.4126984127</v>
      </c>
      <c r="P276" s="16">
        <f>IFERROR(__xludf.DUMMYFUNCTION("""COMPUTED_VALUE"""),0.348148148148148)</f>
        <v>0.3481481481</v>
      </c>
      <c r="Q276" s="16">
        <f>IFERROR(__xludf.DUMMYFUNCTION("""COMPUTED_VALUE"""),0.293233082706766)</f>
        <v>0.2932330827</v>
      </c>
      <c r="R276" s="16">
        <f>IFERROR(__xludf.DUMMYFUNCTION("""COMPUTED_VALUE"""),0.272972972972972)</f>
        <v>0.272972973</v>
      </c>
      <c r="S276" s="16">
        <f>IFERROR(__xludf.DUMMYFUNCTION("""COMPUTED_VALUE"""),0.229226361031518)</f>
        <v>0.229226361</v>
      </c>
      <c r="T276" s="16">
        <f>IFERROR(__xludf.DUMMYFUNCTION("""COMPUTED_VALUE"""),0.11038961038961)</f>
        <v>0.1103896104</v>
      </c>
      <c r="U276" s="16">
        <f>IFERROR(__xludf.DUMMYFUNCTION("""COMPUTED_VALUE"""),0.0358565737051792)</f>
        <v>0.03585657371</v>
      </c>
      <c r="V276" s="16">
        <f>IFERROR(__xludf.DUMMYFUNCTION("""COMPUTED_VALUE"""),0.0)</f>
        <v>0</v>
      </c>
      <c r="W276" s="16">
        <f>IFERROR(__xludf.DUMMYFUNCTION("""COMPUTED_VALUE"""),0.0)</f>
        <v>0</v>
      </c>
      <c r="X276" s="16">
        <f>IFERROR(__xludf.DUMMYFUNCTION("""COMPUTED_VALUE"""),0.0)</f>
        <v>0</v>
      </c>
      <c r="Y276" s="16">
        <f>IFERROR(__xludf.DUMMYFUNCTION("""COMPUTED_VALUE"""),0.0)</f>
        <v>0</v>
      </c>
      <c r="Z276" s="16">
        <f>IFERROR(__xludf.DUMMYFUNCTION("""COMPUTED_VALUE"""),0.0)</f>
        <v>0</v>
      </c>
      <c r="AA276" s="16">
        <f>IFERROR(__xludf.DUMMYFUNCTION("""COMPUTED_VALUE"""),0.0)</f>
        <v>0</v>
      </c>
      <c r="AB276" s="16">
        <f>IFERROR(__xludf.DUMMYFUNCTION("""COMPUTED_VALUE"""),0.0)</f>
        <v>0</v>
      </c>
      <c r="AC276" s="16">
        <f>IFERROR(__xludf.DUMMYFUNCTION("""COMPUTED_VALUE"""),0.0)</f>
        <v>0</v>
      </c>
      <c r="AD276" s="16">
        <f>IFERROR(__xludf.DUMMYFUNCTION("""COMPUTED_VALUE"""),0.0)</f>
        <v>0</v>
      </c>
      <c r="AE276" s="16">
        <f>IFERROR(__xludf.DUMMYFUNCTION("""COMPUTED_VALUE"""),0.0)</f>
        <v>0</v>
      </c>
      <c r="AF276" s="16">
        <f>IFERROR(__xludf.DUMMYFUNCTION("""COMPUTED_VALUE"""),0.0)</f>
        <v>0</v>
      </c>
      <c r="AG276" s="16">
        <f>IFERROR(__xludf.DUMMYFUNCTION("""COMPUTED_VALUE"""),0.0)</f>
        <v>0</v>
      </c>
      <c r="AH276" s="16">
        <f>IFERROR(__xludf.DUMMYFUNCTION("""COMPUTED_VALUE"""),0.0)</f>
        <v>0</v>
      </c>
    </row>
    <row r="277">
      <c r="A277" s="16" t="str">
        <f>IFERROR(__xludf.DUMMYFUNCTION("""COMPUTED_VALUE"""),"f23c3d5745910e4c7cf490450f5314358a0cec03")</f>
        <v>f23c3d5745910e4c7cf490450f5314358a0cec03</v>
      </c>
      <c r="B277" s="16" t="str">
        <f>IFERROR(__xludf.DUMMYFUNCTION("""COMPUTED_VALUE"""),"When My Ex Returned")</f>
        <v>When My Ex Returned</v>
      </c>
      <c r="C277" s="16" t="str">
        <f>IFERROR(__xludf.DUMMYFUNCTION("""COMPUTED_VALUE"""),"Romance")</f>
        <v>Romance</v>
      </c>
      <c r="D277" s="16">
        <f>IFERROR(__xludf.DUMMYFUNCTION("""COMPUTED_VALUE"""),46.0)</f>
        <v>46</v>
      </c>
      <c r="E277" s="16">
        <f>IFERROR(__xludf.DUMMYFUNCTION("""COMPUTED_VALUE"""),0.956521739130434)</f>
        <v>0.9565217391</v>
      </c>
      <c r="F277" s="16">
        <f>IFERROR(__xludf.DUMMYFUNCTION("""COMPUTED_VALUE"""),0.630434782608695)</f>
        <v>0.6304347826</v>
      </c>
      <c r="G277" s="16">
        <f>IFERROR(__xludf.DUMMYFUNCTION("""COMPUTED_VALUE"""),0.543478260869565)</f>
        <v>0.5434782609</v>
      </c>
      <c r="H277" s="16">
        <f>IFERROR(__xludf.DUMMYFUNCTION("""COMPUTED_VALUE"""),0.543478260869565)</f>
        <v>0.5434782609</v>
      </c>
      <c r="I277" s="16">
        <f>IFERROR(__xludf.DUMMYFUNCTION("""COMPUTED_VALUE"""),0.533333333333333)</f>
        <v>0.5333333333</v>
      </c>
      <c r="J277" s="16">
        <f>IFERROR(__xludf.DUMMYFUNCTION("""COMPUTED_VALUE"""),0.466666666666666)</f>
        <v>0.4666666667</v>
      </c>
      <c r="K277" s="16">
        <f>IFERROR(__xludf.DUMMYFUNCTION("""COMPUTED_VALUE"""),0.466666666666666)</f>
        <v>0.4666666667</v>
      </c>
      <c r="L277" s="16">
        <f>IFERROR(__xludf.DUMMYFUNCTION("""COMPUTED_VALUE"""),0.4)</f>
        <v>0.4</v>
      </c>
      <c r="M277" s="16">
        <f>IFERROR(__xludf.DUMMYFUNCTION("""COMPUTED_VALUE"""),0.355555555555555)</f>
        <v>0.3555555556</v>
      </c>
      <c r="N277" s="16">
        <f>IFERROR(__xludf.DUMMYFUNCTION("""COMPUTED_VALUE"""),0.333333333333333)</f>
        <v>0.3333333333</v>
      </c>
      <c r="O277" s="16">
        <f>IFERROR(__xludf.DUMMYFUNCTION("""COMPUTED_VALUE"""),0.34090909090909)</f>
        <v>0.3409090909</v>
      </c>
      <c r="P277" s="16">
        <f>IFERROR(__xludf.DUMMYFUNCTION("""COMPUTED_VALUE"""),0.204545454545454)</f>
        <v>0.2045454545</v>
      </c>
      <c r="Q277" s="16">
        <f>IFERROR(__xludf.DUMMYFUNCTION("""COMPUTED_VALUE"""),0.0)</f>
        <v>0</v>
      </c>
      <c r="R277" s="16">
        <f>IFERROR(__xludf.DUMMYFUNCTION("""COMPUTED_VALUE"""),0.0)</f>
        <v>0</v>
      </c>
      <c r="S277" s="16">
        <f>IFERROR(__xludf.DUMMYFUNCTION("""COMPUTED_VALUE"""),0.0)</f>
        <v>0</v>
      </c>
      <c r="T277" s="16">
        <f>IFERROR(__xludf.DUMMYFUNCTION("""COMPUTED_VALUE"""),0.0)</f>
        <v>0</v>
      </c>
      <c r="U277" s="16">
        <f>IFERROR(__xludf.DUMMYFUNCTION("""COMPUTED_VALUE"""),0.0)</f>
        <v>0</v>
      </c>
      <c r="V277" s="16">
        <f>IFERROR(__xludf.DUMMYFUNCTION("""COMPUTED_VALUE"""),0.0)</f>
        <v>0</v>
      </c>
      <c r="W277" s="16">
        <f>IFERROR(__xludf.DUMMYFUNCTION("""COMPUTED_VALUE"""),0.0)</f>
        <v>0</v>
      </c>
      <c r="X277" s="16">
        <f>IFERROR(__xludf.DUMMYFUNCTION("""COMPUTED_VALUE"""),0.0)</f>
        <v>0</v>
      </c>
      <c r="Y277" s="16">
        <f>IFERROR(__xludf.DUMMYFUNCTION("""COMPUTED_VALUE"""),0.0)</f>
        <v>0</v>
      </c>
      <c r="Z277" s="16">
        <f>IFERROR(__xludf.DUMMYFUNCTION("""COMPUTED_VALUE"""),0.0)</f>
        <v>0</v>
      </c>
      <c r="AA277" s="16">
        <f>IFERROR(__xludf.DUMMYFUNCTION("""COMPUTED_VALUE"""),0.0)</f>
        <v>0</v>
      </c>
      <c r="AB277" s="16">
        <f>IFERROR(__xludf.DUMMYFUNCTION("""COMPUTED_VALUE"""),0.0)</f>
        <v>0</v>
      </c>
      <c r="AC277" s="16">
        <f>IFERROR(__xludf.DUMMYFUNCTION("""COMPUTED_VALUE"""),0.0)</f>
        <v>0</v>
      </c>
      <c r="AD277" s="16">
        <f>IFERROR(__xludf.DUMMYFUNCTION("""COMPUTED_VALUE"""),0.0)</f>
        <v>0</v>
      </c>
      <c r="AE277" s="16">
        <f>IFERROR(__xludf.DUMMYFUNCTION("""COMPUTED_VALUE"""),0.0)</f>
        <v>0</v>
      </c>
      <c r="AF277" s="16">
        <f>IFERROR(__xludf.DUMMYFUNCTION("""COMPUTED_VALUE"""),0.0)</f>
        <v>0</v>
      </c>
      <c r="AG277" s="16">
        <f>IFERROR(__xludf.DUMMYFUNCTION("""COMPUTED_VALUE"""),0.0)</f>
        <v>0</v>
      </c>
      <c r="AH277" s="16">
        <f>IFERROR(__xludf.DUMMYFUNCTION("""COMPUTED_VALUE"""),0.0)</f>
        <v>0</v>
      </c>
    </row>
    <row r="278">
      <c r="A278" s="16" t="str">
        <f>IFERROR(__xludf.DUMMYFUNCTION("""COMPUTED_VALUE"""),"f2ec53ac7f98813aea65ea59e50f32077fe08707")</f>
        <v>f2ec53ac7f98813aea65ea59e50f32077fe08707</v>
      </c>
      <c r="B278" s="16" t="str">
        <f>IFERROR(__xludf.DUMMYFUNCTION("""COMPUTED_VALUE"""),"The Forbidden Kiss")</f>
        <v>The Forbidden Kiss</v>
      </c>
      <c r="C278" s="16" t="str">
        <f>IFERROR(__xludf.DUMMYFUNCTION("""COMPUTED_VALUE"""),"Romance")</f>
        <v>Romance</v>
      </c>
      <c r="D278" s="16">
        <f>IFERROR(__xludf.DUMMYFUNCTION("""COMPUTED_VALUE"""),50.0)</f>
        <v>50</v>
      </c>
      <c r="E278" s="16">
        <f>IFERROR(__xludf.DUMMYFUNCTION("""COMPUTED_VALUE"""),0.96)</f>
        <v>0.96</v>
      </c>
      <c r="F278" s="16">
        <f>IFERROR(__xludf.DUMMYFUNCTION("""COMPUTED_VALUE"""),0.68)</f>
        <v>0.68</v>
      </c>
      <c r="G278" s="16">
        <f>IFERROR(__xludf.DUMMYFUNCTION("""COMPUTED_VALUE"""),0.52)</f>
        <v>0.52</v>
      </c>
      <c r="H278" s="16">
        <f>IFERROR(__xludf.DUMMYFUNCTION("""COMPUTED_VALUE"""),0.4)</f>
        <v>0.4</v>
      </c>
      <c r="I278" s="16">
        <f>IFERROR(__xludf.DUMMYFUNCTION("""COMPUTED_VALUE"""),0.326530612244897)</f>
        <v>0.3265306122</v>
      </c>
      <c r="J278" s="16">
        <f>IFERROR(__xludf.DUMMYFUNCTION("""COMPUTED_VALUE"""),0.282608695652173)</f>
        <v>0.2826086957</v>
      </c>
      <c r="K278" s="16">
        <f>IFERROR(__xludf.DUMMYFUNCTION("""COMPUTED_VALUE"""),0.2)</f>
        <v>0.2</v>
      </c>
      <c r="L278" s="16">
        <f>IFERROR(__xludf.DUMMYFUNCTION("""COMPUTED_VALUE"""),0.232558139534883)</f>
        <v>0.2325581395</v>
      </c>
      <c r="M278" s="16">
        <f>IFERROR(__xludf.DUMMYFUNCTION("""COMPUTED_VALUE"""),0.209302325581395)</f>
        <v>0.2093023256</v>
      </c>
      <c r="N278" s="16">
        <f>IFERROR(__xludf.DUMMYFUNCTION("""COMPUTED_VALUE"""),0.175)</f>
        <v>0.175</v>
      </c>
      <c r="O278" s="16">
        <f>IFERROR(__xludf.DUMMYFUNCTION("""COMPUTED_VALUE"""),0.125)</f>
        <v>0.125</v>
      </c>
      <c r="P278" s="16">
        <f>IFERROR(__xludf.DUMMYFUNCTION("""COMPUTED_VALUE"""),0.181818181818181)</f>
        <v>0.1818181818</v>
      </c>
      <c r="Q278" s="16">
        <f>IFERROR(__xludf.DUMMYFUNCTION("""COMPUTED_VALUE"""),0.222222222222222)</f>
        <v>0.2222222222</v>
      </c>
      <c r="R278" s="16">
        <f>IFERROR(__xludf.DUMMYFUNCTION("""COMPUTED_VALUE"""),0.0)</f>
        <v>0</v>
      </c>
      <c r="S278" s="16">
        <f>IFERROR(__xludf.DUMMYFUNCTION("""COMPUTED_VALUE"""),0.0)</f>
        <v>0</v>
      </c>
      <c r="T278" s="16">
        <f>IFERROR(__xludf.DUMMYFUNCTION("""COMPUTED_VALUE"""),0.0)</f>
        <v>0</v>
      </c>
      <c r="U278" s="16">
        <f>IFERROR(__xludf.DUMMYFUNCTION("""COMPUTED_VALUE"""),0.0)</f>
        <v>0</v>
      </c>
      <c r="V278" s="16">
        <f>IFERROR(__xludf.DUMMYFUNCTION("""COMPUTED_VALUE"""),0.0)</f>
        <v>0</v>
      </c>
      <c r="W278" s="16">
        <f>IFERROR(__xludf.DUMMYFUNCTION("""COMPUTED_VALUE"""),0.0)</f>
        <v>0</v>
      </c>
      <c r="X278" s="16">
        <f>IFERROR(__xludf.DUMMYFUNCTION("""COMPUTED_VALUE"""),0.0)</f>
        <v>0</v>
      </c>
      <c r="Y278" s="16">
        <f>IFERROR(__xludf.DUMMYFUNCTION("""COMPUTED_VALUE"""),0.0)</f>
        <v>0</v>
      </c>
      <c r="Z278" s="16">
        <f>IFERROR(__xludf.DUMMYFUNCTION("""COMPUTED_VALUE"""),0.0)</f>
        <v>0</v>
      </c>
      <c r="AA278" s="16">
        <f>IFERROR(__xludf.DUMMYFUNCTION("""COMPUTED_VALUE"""),0.0)</f>
        <v>0</v>
      </c>
      <c r="AB278" s="16">
        <f>IFERROR(__xludf.DUMMYFUNCTION("""COMPUTED_VALUE"""),0.0)</f>
        <v>0</v>
      </c>
      <c r="AC278" s="16">
        <f>IFERROR(__xludf.DUMMYFUNCTION("""COMPUTED_VALUE"""),0.0)</f>
        <v>0</v>
      </c>
      <c r="AD278" s="16">
        <f>IFERROR(__xludf.DUMMYFUNCTION("""COMPUTED_VALUE"""),0.0)</f>
        <v>0</v>
      </c>
      <c r="AE278" s="16">
        <f>IFERROR(__xludf.DUMMYFUNCTION("""COMPUTED_VALUE"""),0.0)</f>
        <v>0</v>
      </c>
      <c r="AF278" s="16">
        <f>IFERROR(__xludf.DUMMYFUNCTION("""COMPUTED_VALUE"""),0.0)</f>
        <v>0</v>
      </c>
      <c r="AG278" s="16">
        <f>IFERROR(__xludf.DUMMYFUNCTION("""COMPUTED_VALUE"""),0.0)</f>
        <v>0</v>
      </c>
      <c r="AH278" s="16">
        <f>IFERROR(__xludf.DUMMYFUNCTION("""COMPUTED_VALUE"""),0.0)</f>
        <v>0</v>
      </c>
    </row>
    <row r="279">
      <c r="A279" s="16" t="str">
        <f>IFERROR(__xludf.DUMMYFUNCTION("""COMPUTED_VALUE"""),"f32ed59a93a11812f5a5a57e2c663028b1c65f89")</f>
        <v>f32ed59a93a11812f5a5a57e2c663028b1c65f89</v>
      </c>
      <c r="B279" s="16" t="str">
        <f>IFERROR(__xludf.DUMMYFUNCTION("""COMPUTED_VALUE"""),"Trillionaire Sterling")</f>
        <v>Trillionaire Sterling</v>
      </c>
      <c r="C279" s="16" t="str">
        <f>IFERROR(__xludf.DUMMYFUNCTION("""COMPUTED_VALUE"""),"Fantasy")</f>
        <v>Fantasy</v>
      </c>
      <c r="D279" s="16">
        <f>IFERROR(__xludf.DUMMYFUNCTION("""COMPUTED_VALUE"""),14148.0)</f>
        <v>14148</v>
      </c>
      <c r="E279" s="16">
        <f>IFERROR(__xludf.DUMMYFUNCTION("""COMPUTED_VALUE"""),0.888464800678541)</f>
        <v>0.8884648007</v>
      </c>
      <c r="F279" s="16">
        <f>IFERROR(__xludf.DUMMYFUNCTION("""COMPUTED_VALUE"""),0.550466497031382)</f>
        <v>0.550466497</v>
      </c>
      <c r="G279" s="16">
        <f>IFERROR(__xludf.DUMMYFUNCTION("""COMPUTED_VALUE"""),0.499540538630098)</f>
        <v>0.4995405386</v>
      </c>
      <c r="H279" s="16">
        <f>IFERROR(__xludf.DUMMYFUNCTION("""COMPUTED_VALUE"""),0.475385485924458)</f>
        <v>0.4753854859</v>
      </c>
      <c r="I279" s="16">
        <f>IFERROR(__xludf.DUMMYFUNCTION("""COMPUTED_VALUE"""),0.456276994972739)</f>
        <v>0.456276995</v>
      </c>
      <c r="J279" s="16">
        <f>IFERROR(__xludf.DUMMYFUNCTION("""COMPUTED_VALUE"""),0.440459313864474)</f>
        <v>0.4404593139</v>
      </c>
      <c r="K279" s="16">
        <f>IFERROR(__xludf.DUMMYFUNCTION("""COMPUTED_VALUE"""),0.432134735645253)</f>
        <v>0.4321347356</v>
      </c>
      <c r="L279" s="16">
        <f>IFERROR(__xludf.DUMMYFUNCTION("""COMPUTED_VALUE"""),0.424713176084942)</f>
        <v>0.4247131761</v>
      </c>
      <c r="M279" s="16">
        <f>IFERROR(__xludf.DUMMYFUNCTION("""COMPUTED_VALUE"""),0.418830242510699)</f>
        <v>0.4188302425</v>
      </c>
      <c r="N279" s="16">
        <f>IFERROR(__xludf.DUMMYFUNCTION("""COMPUTED_VALUE"""),0.416070917929654)</f>
        <v>0.4160709179</v>
      </c>
      <c r="O279" s="16">
        <f>IFERROR(__xludf.DUMMYFUNCTION("""COMPUTED_VALUE"""),0.384816563748637)</f>
        <v>0.3848165637</v>
      </c>
      <c r="P279" s="16">
        <f>IFERROR(__xludf.DUMMYFUNCTION("""COMPUTED_VALUE"""),0.333826247689463)</f>
        <v>0.3338262477</v>
      </c>
      <c r="Q279" s="16">
        <f>IFERROR(__xludf.DUMMYFUNCTION("""COMPUTED_VALUE"""),0.284021406727828)</f>
        <v>0.2840214067</v>
      </c>
      <c r="R279" s="16">
        <f>IFERROR(__xludf.DUMMYFUNCTION("""COMPUTED_VALUE"""),0.228663158833496)</f>
        <v>0.2286631588</v>
      </c>
      <c r="S279" s="16">
        <f>IFERROR(__xludf.DUMMYFUNCTION("""COMPUTED_VALUE"""),0.19758026102696)</f>
        <v>0.197580261</v>
      </c>
      <c r="T279" s="16">
        <f>IFERROR(__xludf.DUMMYFUNCTION("""COMPUTED_VALUE"""),0.150200914507413)</f>
        <v>0.1502009145</v>
      </c>
      <c r="U279" s="16">
        <f>IFERROR(__xludf.DUMMYFUNCTION("""COMPUTED_VALUE"""),0.081926796889816)</f>
        <v>0.08192679689</v>
      </c>
      <c r="V279" s="16">
        <f>IFERROR(__xludf.DUMMYFUNCTION("""COMPUTED_VALUE"""),0.0905349794238683)</f>
        <v>0.09053497942</v>
      </c>
      <c r="W279" s="16">
        <f>IFERROR(__xludf.DUMMYFUNCTION("""COMPUTED_VALUE"""),0.0515151515151515)</f>
        <v>0.05151515152</v>
      </c>
      <c r="X279" s="16">
        <f>IFERROR(__xludf.DUMMYFUNCTION("""COMPUTED_VALUE"""),0.0)</f>
        <v>0</v>
      </c>
      <c r="Y279" s="16">
        <f>IFERROR(__xludf.DUMMYFUNCTION("""COMPUTED_VALUE"""),0.0)</f>
        <v>0</v>
      </c>
      <c r="Z279" s="16">
        <f>IFERROR(__xludf.DUMMYFUNCTION("""COMPUTED_VALUE"""),0.0)</f>
        <v>0</v>
      </c>
      <c r="AA279" s="16">
        <f>IFERROR(__xludf.DUMMYFUNCTION("""COMPUTED_VALUE"""),0.0)</f>
        <v>0</v>
      </c>
      <c r="AB279" s="16">
        <f>IFERROR(__xludf.DUMMYFUNCTION("""COMPUTED_VALUE"""),0.0)</f>
        <v>0</v>
      </c>
      <c r="AC279" s="16">
        <f>IFERROR(__xludf.DUMMYFUNCTION("""COMPUTED_VALUE"""),0.0)</f>
        <v>0</v>
      </c>
      <c r="AD279" s="16">
        <f>IFERROR(__xludf.DUMMYFUNCTION("""COMPUTED_VALUE"""),0.0)</f>
        <v>0</v>
      </c>
      <c r="AE279" s="16">
        <f>IFERROR(__xludf.DUMMYFUNCTION("""COMPUTED_VALUE"""),0.0)</f>
        <v>0</v>
      </c>
      <c r="AF279" s="16">
        <f>IFERROR(__xludf.DUMMYFUNCTION("""COMPUTED_VALUE"""),0.0)</f>
        <v>0</v>
      </c>
      <c r="AG279" s="16">
        <f>IFERROR(__xludf.DUMMYFUNCTION("""COMPUTED_VALUE"""),0.0)</f>
        <v>0</v>
      </c>
      <c r="AH279" s="16">
        <f>IFERROR(__xludf.DUMMYFUNCTION("""COMPUTED_VALUE"""),0.0)</f>
        <v>0</v>
      </c>
    </row>
    <row r="280">
      <c r="A280" s="16" t="str">
        <f>IFERROR(__xludf.DUMMYFUNCTION("""COMPUTED_VALUE"""),"f3b45a9b931b38c0315d82ad645b9e45b513664b")</f>
        <v>f3b45a9b931b38c0315d82ad645b9e45b513664b</v>
      </c>
      <c r="B280" s="16" t="str">
        <f>IFERROR(__xludf.DUMMYFUNCTION("""COMPUTED_VALUE"""),"Reborn as a Golblin?!")</f>
        <v>Reborn as a Golblin?!</v>
      </c>
      <c r="C280" s="16" t="str">
        <f>IFERROR(__xludf.DUMMYFUNCTION("""COMPUTED_VALUE"""),"System and Superpower")</f>
        <v>System and Superpower</v>
      </c>
      <c r="D280" s="16">
        <f>IFERROR(__xludf.DUMMYFUNCTION("""COMPUTED_VALUE"""),820.0)</f>
        <v>820</v>
      </c>
      <c r="E280" s="16">
        <f>IFERROR(__xludf.DUMMYFUNCTION("""COMPUTED_VALUE"""),0.99390243902439)</f>
        <v>0.993902439</v>
      </c>
      <c r="F280" s="16">
        <f>IFERROR(__xludf.DUMMYFUNCTION("""COMPUTED_VALUE"""),0.676829268292683)</f>
        <v>0.6768292683</v>
      </c>
      <c r="G280" s="16">
        <f>IFERROR(__xludf.DUMMYFUNCTION("""COMPUTED_VALUE"""),0.589024390243902)</f>
        <v>0.5890243902</v>
      </c>
      <c r="H280" s="16">
        <f>IFERROR(__xludf.DUMMYFUNCTION("""COMPUTED_VALUE"""),0.509756097560975)</f>
        <v>0.5097560976</v>
      </c>
      <c r="I280" s="16">
        <f>IFERROR(__xludf.DUMMYFUNCTION("""COMPUTED_VALUE"""),0.467073170731707)</f>
        <v>0.4670731707</v>
      </c>
      <c r="J280" s="16">
        <f>IFERROR(__xludf.DUMMYFUNCTION("""COMPUTED_VALUE"""),0.401219512195122)</f>
        <v>0.4012195122</v>
      </c>
      <c r="K280" s="16">
        <f>IFERROR(__xludf.DUMMYFUNCTION("""COMPUTED_VALUE"""),0.377289377289377)</f>
        <v>0.3772893773</v>
      </c>
      <c r="L280" s="16">
        <f>IFERROR(__xludf.DUMMYFUNCTION("""COMPUTED_VALUE"""),0.342751842751842)</f>
        <v>0.3427518428</v>
      </c>
      <c r="M280" s="16">
        <f>IFERROR(__xludf.DUMMYFUNCTION("""COMPUTED_VALUE"""),0.322180916976456)</f>
        <v>0.322180917</v>
      </c>
      <c r="N280" s="16">
        <f>IFERROR(__xludf.DUMMYFUNCTION("""COMPUTED_VALUE"""),0.31282722513089)</f>
        <v>0.3128272251</v>
      </c>
      <c r="O280" s="16">
        <f>IFERROR(__xludf.DUMMYFUNCTION("""COMPUTED_VALUE"""),0.248648648648648)</f>
        <v>0.2486486486</v>
      </c>
      <c r="P280" s="16">
        <f>IFERROR(__xludf.DUMMYFUNCTION("""COMPUTED_VALUE"""),0.232258064516129)</f>
        <v>0.2322580645</v>
      </c>
      <c r="Q280" s="16">
        <f>IFERROR(__xludf.DUMMYFUNCTION("""COMPUTED_VALUE"""),0.0)</f>
        <v>0</v>
      </c>
      <c r="R280" s="16">
        <f>IFERROR(__xludf.DUMMYFUNCTION("""COMPUTED_VALUE"""),0.0)</f>
        <v>0</v>
      </c>
      <c r="S280" s="16">
        <f>IFERROR(__xludf.DUMMYFUNCTION("""COMPUTED_VALUE"""),0.0)</f>
        <v>0</v>
      </c>
      <c r="T280" s="16">
        <f>IFERROR(__xludf.DUMMYFUNCTION("""COMPUTED_VALUE"""),0.0)</f>
        <v>0</v>
      </c>
      <c r="U280" s="16">
        <f>IFERROR(__xludf.DUMMYFUNCTION("""COMPUTED_VALUE"""),0.0)</f>
        <v>0</v>
      </c>
      <c r="V280" s="16">
        <f>IFERROR(__xludf.DUMMYFUNCTION("""COMPUTED_VALUE"""),0.0)</f>
        <v>0</v>
      </c>
      <c r="W280" s="16">
        <f>IFERROR(__xludf.DUMMYFUNCTION("""COMPUTED_VALUE"""),0.0)</f>
        <v>0</v>
      </c>
      <c r="X280" s="16">
        <f>IFERROR(__xludf.DUMMYFUNCTION("""COMPUTED_VALUE"""),0.0)</f>
        <v>0</v>
      </c>
      <c r="Y280" s="16">
        <f>IFERROR(__xludf.DUMMYFUNCTION("""COMPUTED_VALUE"""),0.0)</f>
        <v>0</v>
      </c>
      <c r="Z280" s="16">
        <f>IFERROR(__xludf.DUMMYFUNCTION("""COMPUTED_VALUE"""),0.0)</f>
        <v>0</v>
      </c>
      <c r="AA280" s="16">
        <f>IFERROR(__xludf.DUMMYFUNCTION("""COMPUTED_VALUE"""),0.0)</f>
        <v>0</v>
      </c>
      <c r="AB280" s="16">
        <f>IFERROR(__xludf.DUMMYFUNCTION("""COMPUTED_VALUE"""),0.0)</f>
        <v>0</v>
      </c>
      <c r="AC280" s="16">
        <f>IFERROR(__xludf.DUMMYFUNCTION("""COMPUTED_VALUE"""),0.0)</f>
        <v>0</v>
      </c>
      <c r="AD280" s="16">
        <f>IFERROR(__xludf.DUMMYFUNCTION("""COMPUTED_VALUE"""),0.0)</f>
        <v>0</v>
      </c>
      <c r="AE280" s="16">
        <f>IFERROR(__xludf.DUMMYFUNCTION("""COMPUTED_VALUE"""),0.0)</f>
        <v>0</v>
      </c>
      <c r="AF280" s="16">
        <f>IFERROR(__xludf.DUMMYFUNCTION("""COMPUTED_VALUE"""),0.0)</f>
        <v>0</v>
      </c>
      <c r="AG280" s="16">
        <f>IFERROR(__xludf.DUMMYFUNCTION("""COMPUTED_VALUE"""),0.0)</f>
        <v>0</v>
      </c>
      <c r="AH280" s="16">
        <f>IFERROR(__xludf.DUMMYFUNCTION("""COMPUTED_VALUE"""),0.0)</f>
        <v>0</v>
      </c>
    </row>
    <row r="281">
      <c r="A281" s="16" t="str">
        <f>IFERROR(__xludf.DUMMYFUNCTION("""COMPUTED_VALUE"""),"f47e2c3c03d765bd054b92de405403a6c90b8d7f")</f>
        <v>f47e2c3c03d765bd054b92de405403a6c90b8d7f</v>
      </c>
      <c r="B281" s="16" t="str">
        <f>IFERROR(__xludf.DUMMYFUNCTION("""COMPUTED_VALUE"""),"It Was You Mister Cross")</f>
        <v>It Was You Mister Cross</v>
      </c>
      <c r="C281" s="16" t="str">
        <f>IFERROR(__xludf.DUMMYFUNCTION("""COMPUTED_VALUE"""),"Romance")</f>
        <v>Romance</v>
      </c>
      <c r="D281" s="16">
        <f>IFERROR(__xludf.DUMMYFUNCTION("""COMPUTED_VALUE"""),47.0)</f>
        <v>47</v>
      </c>
      <c r="E281" s="16">
        <f>IFERROR(__xludf.DUMMYFUNCTION("""COMPUTED_VALUE"""),0.957446808510638)</f>
        <v>0.9574468085</v>
      </c>
      <c r="F281" s="16">
        <f>IFERROR(__xludf.DUMMYFUNCTION("""COMPUTED_VALUE"""),0.680851063829787)</f>
        <v>0.6808510638</v>
      </c>
      <c r="G281" s="16">
        <f>IFERROR(__xludf.DUMMYFUNCTION("""COMPUTED_VALUE"""),0.574468085106383)</f>
        <v>0.5744680851</v>
      </c>
      <c r="H281" s="16">
        <f>IFERROR(__xludf.DUMMYFUNCTION("""COMPUTED_VALUE"""),0.51063829787234)</f>
        <v>0.5106382979</v>
      </c>
      <c r="I281" s="16">
        <f>IFERROR(__xludf.DUMMYFUNCTION("""COMPUTED_VALUE"""),0.456521739130434)</f>
        <v>0.4565217391</v>
      </c>
      <c r="J281" s="16">
        <f>IFERROR(__xludf.DUMMYFUNCTION("""COMPUTED_VALUE"""),0.511111111111111)</f>
        <v>0.5111111111</v>
      </c>
      <c r="K281" s="16">
        <f>IFERROR(__xludf.DUMMYFUNCTION("""COMPUTED_VALUE"""),0.444444444444444)</f>
        <v>0.4444444444</v>
      </c>
      <c r="L281" s="16">
        <f>IFERROR(__xludf.DUMMYFUNCTION("""COMPUTED_VALUE"""),0.444444444444444)</f>
        <v>0.4444444444</v>
      </c>
      <c r="M281" s="16">
        <f>IFERROR(__xludf.DUMMYFUNCTION("""COMPUTED_VALUE"""),0.441860465116279)</f>
        <v>0.4418604651</v>
      </c>
      <c r="N281" s="16">
        <f>IFERROR(__xludf.DUMMYFUNCTION("""COMPUTED_VALUE"""),0.41860465116279)</f>
        <v>0.4186046512</v>
      </c>
      <c r="O281" s="16">
        <f>IFERROR(__xludf.DUMMYFUNCTION("""COMPUTED_VALUE"""),0.292682926829268)</f>
        <v>0.2926829268</v>
      </c>
      <c r="P281" s="16">
        <f>IFERROR(__xludf.DUMMYFUNCTION("""COMPUTED_VALUE"""),0.25)</f>
        <v>0.25</v>
      </c>
      <c r="Q281" s="16">
        <f>IFERROR(__xludf.DUMMYFUNCTION("""COMPUTED_VALUE"""),0.2)</f>
        <v>0.2</v>
      </c>
      <c r="R281" s="16">
        <f>IFERROR(__xludf.DUMMYFUNCTION("""COMPUTED_VALUE"""),0.0)</f>
        <v>0</v>
      </c>
      <c r="S281" s="16">
        <f>IFERROR(__xludf.DUMMYFUNCTION("""COMPUTED_VALUE"""),0.0)</f>
        <v>0</v>
      </c>
      <c r="T281" s="16">
        <f>IFERROR(__xludf.DUMMYFUNCTION("""COMPUTED_VALUE"""),0.0)</f>
        <v>0</v>
      </c>
      <c r="U281" s="16">
        <f>IFERROR(__xludf.DUMMYFUNCTION("""COMPUTED_VALUE"""),0.0)</f>
        <v>0</v>
      </c>
      <c r="V281" s="16">
        <f>IFERROR(__xludf.DUMMYFUNCTION("""COMPUTED_VALUE"""),0.0)</f>
        <v>0</v>
      </c>
      <c r="W281" s="16">
        <f>IFERROR(__xludf.DUMMYFUNCTION("""COMPUTED_VALUE"""),0.0)</f>
        <v>0</v>
      </c>
      <c r="X281" s="16">
        <f>IFERROR(__xludf.DUMMYFUNCTION("""COMPUTED_VALUE"""),0.0)</f>
        <v>0</v>
      </c>
      <c r="Y281" s="16">
        <f>IFERROR(__xludf.DUMMYFUNCTION("""COMPUTED_VALUE"""),0.0)</f>
        <v>0</v>
      </c>
      <c r="Z281" s="16">
        <f>IFERROR(__xludf.DUMMYFUNCTION("""COMPUTED_VALUE"""),0.0)</f>
        <v>0</v>
      </c>
      <c r="AA281" s="16">
        <f>IFERROR(__xludf.DUMMYFUNCTION("""COMPUTED_VALUE"""),0.0)</f>
        <v>0</v>
      </c>
      <c r="AB281" s="16">
        <f>IFERROR(__xludf.DUMMYFUNCTION("""COMPUTED_VALUE"""),0.0)</f>
        <v>0</v>
      </c>
      <c r="AC281" s="16">
        <f>IFERROR(__xludf.DUMMYFUNCTION("""COMPUTED_VALUE"""),0.0)</f>
        <v>0</v>
      </c>
      <c r="AD281" s="16">
        <f>IFERROR(__xludf.DUMMYFUNCTION("""COMPUTED_VALUE"""),0.0)</f>
        <v>0</v>
      </c>
      <c r="AE281" s="16">
        <f>IFERROR(__xludf.DUMMYFUNCTION("""COMPUTED_VALUE"""),0.0)</f>
        <v>0</v>
      </c>
      <c r="AF281" s="16">
        <f>IFERROR(__xludf.DUMMYFUNCTION("""COMPUTED_VALUE"""),0.0)</f>
        <v>0</v>
      </c>
      <c r="AG281" s="16">
        <f>IFERROR(__xludf.DUMMYFUNCTION("""COMPUTED_VALUE"""),0.0)</f>
        <v>0</v>
      </c>
      <c r="AH281" s="16">
        <f>IFERROR(__xludf.DUMMYFUNCTION("""COMPUTED_VALUE"""),0.0)</f>
        <v>0</v>
      </c>
    </row>
    <row r="282">
      <c r="A282" s="16" t="str">
        <f>IFERROR(__xludf.DUMMYFUNCTION("""COMPUTED_VALUE"""),"f55e0806430f9f979b0bfc889bab608a05d8bb5b")</f>
        <v>f55e0806430f9f979b0bfc889bab608a05d8bb5b</v>
      </c>
      <c r="B282" s="16" t="str">
        <f>IFERROR(__xludf.DUMMYFUNCTION("""COMPUTED_VALUE"""),"Light of a New World")</f>
        <v>Light of a New World</v>
      </c>
      <c r="C282" s="16" t="str">
        <f>IFERROR(__xludf.DUMMYFUNCTION("""COMPUTED_VALUE"""),"Sci-Fi")</f>
        <v>Sci-Fi</v>
      </c>
      <c r="D282" s="16">
        <f>IFERROR(__xludf.DUMMYFUNCTION("""COMPUTED_VALUE"""),636.0)</f>
        <v>636</v>
      </c>
      <c r="E282" s="16">
        <f>IFERROR(__xludf.DUMMYFUNCTION("""COMPUTED_VALUE"""),0.974842767295597)</f>
        <v>0.9748427673</v>
      </c>
      <c r="F282" s="16">
        <f>IFERROR(__xludf.DUMMYFUNCTION("""COMPUTED_VALUE"""),0.40566037735849)</f>
        <v>0.4056603774</v>
      </c>
      <c r="G282" s="16">
        <f>IFERROR(__xludf.DUMMYFUNCTION("""COMPUTED_VALUE"""),0.320754716981132)</f>
        <v>0.320754717</v>
      </c>
      <c r="H282" s="16">
        <f>IFERROR(__xludf.DUMMYFUNCTION("""COMPUTED_VALUE"""),0.25)</f>
        <v>0.25</v>
      </c>
      <c r="I282" s="16">
        <f>IFERROR(__xludf.DUMMYFUNCTION("""COMPUTED_VALUE"""),0.197472353870458)</f>
        <v>0.1974723539</v>
      </c>
      <c r="J282" s="16">
        <f>IFERROR(__xludf.DUMMYFUNCTION("""COMPUTED_VALUE"""),0.181962025316455)</f>
        <v>0.1819620253</v>
      </c>
      <c r="K282" s="16">
        <f>IFERROR(__xludf.DUMMYFUNCTION("""COMPUTED_VALUE"""),0.152866242038216)</f>
        <v>0.152866242</v>
      </c>
      <c r="L282" s="16">
        <f>IFERROR(__xludf.DUMMYFUNCTION("""COMPUTED_VALUE"""),0.1232)</f>
        <v>0.1232</v>
      </c>
      <c r="M282" s="16">
        <f>IFERROR(__xludf.DUMMYFUNCTION("""COMPUTED_VALUE"""),0.10305958132045)</f>
        <v>0.1030595813</v>
      </c>
      <c r="N282" s="16">
        <f>IFERROR(__xludf.DUMMYFUNCTION("""COMPUTED_VALUE"""),0.0938511326860841)</f>
        <v>0.09385113269</v>
      </c>
      <c r="O282" s="16">
        <f>IFERROR(__xludf.DUMMYFUNCTION("""COMPUTED_VALUE"""),0.0616883116883116)</f>
        <v>0.06168831169</v>
      </c>
      <c r="P282" s="16">
        <f>IFERROR(__xludf.DUMMYFUNCTION("""COMPUTED_VALUE"""),0.0541871921182266)</f>
        <v>0.05418719212</v>
      </c>
      <c r="Q282" s="16">
        <f>IFERROR(__xludf.DUMMYFUNCTION("""COMPUTED_VALUE"""),0.0298013245033112)</f>
        <v>0.0298013245</v>
      </c>
      <c r="R282" s="16">
        <f>IFERROR(__xludf.DUMMYFUNCTION("""COMPUTED_VALUE"""),0.0154639175257731)</f>
        <v>0.01546391753</v>
      </c>
      <c r="S282" s="16">
        <f>IFERROR(__xludf.DUMMYFUNCTION("""COMPUTED_VALUE"""),0.012847965738758)</f>
        <v>0.01284796574</v>
      </c>
      <c r="T282" s="16">
        <f>IFERROR(__xludf.DUMMYFUNCTION("""COMPUTED_VALUE"""),0.0123456790123456)</f>
        <v>0.01234567901</v>
      </c>
      <c r="U282" s="16">
        <f>IFERROR(__xludf.DUMMYFUNCTION("""COMPUTED_VALUE"""),0.00952380952380952)</f>
        <v>0.009523809524</v>
      </c>
      <c r="V282" s="16">
        <f>IFERROR(__xludf.DUMMYFUNCTION("""COMPUTED_VALUE"""),0.0072992700729927)</f>
        <v>0.007299270073</v>
      </c>
      <c r="W282" s="16">
        <f>IFERROR(__xludf.DUMMYFUNCTION("""COMPUTED_VALUE"""),0.0119047619047619)</f>
        <v>0.0119047619</v>
      </c>
      <c r="X282" s="16">
        <f>IFERROR(__xludf.DUMMYFUNCTION("""COMPUTED_VALUE"""),0.0)</f>
        <v>0</v>
      </c>
      <c r="Y282" s="16">
        <f>IFERROR(__xludf.DUMMYFUNCTION("""COMPUTED_VALUE"""),0.0)</f>
        <v>0</v>
      </c>
      <c r="Z282" s="16">
        <f>IFERROR(__xludf.DUMMYFUNCTION("""COMPUTED_VALUE"""),0.0)</f>
        <v>0</v>
      </c>
      <c r="AA282" s="16">
        <f>IFERROR(__xludf.DUMMYFUNCTION("""COMPUTED_VALUE"""),0.0)</f>
        <v>0</v>
      </c>
      <c r="AB282" s="16">
        <f>IFERROR(__xludf.DUMMYFUNCTION("""COMPUTED_VALUE"""),0.0)</f>
        <v>0</v>
      </c>
      <c r="AC282" s="16">
        <f>IFERROR(__xludf.DUMMYFUNCTION("""COMPUTED_VALUE"""),0.0)</f>
        <v>0</v>
      </c>
      <c r="AD282" s="16">
        <f>IFERROR(__xludf.DUMMYFUNCTION("""COMPUTED_VALUE"""),0.0)</f>
        <v>0</v>
      </c>
      <c r="AE282" s="16">
        <f>IFERROR(__xludf.DUMMYFUNCTION("""COMPUTED_VALUE"""),0.0)</f>
        <v>0</v>
      </c>
      <c r="AF282" s="16">
        <f>IFERROR(__xludf.DUMMYFUNCTION("""COMPUTED_VALUE"""),0.0)</f>
        <v>0</v>
      </c>
      <c r="AG282" s="16">
        <f>IFERROR(__xludf.DUMMYFUNCTION("""COMPUTED_VALUE"""),0.0)</f>
        <v>0</v>
      </c>
      <c r="AH282" s="16">
        <f>IFERROR(__xludf.DUMMYFUNCTION("""COMPUTED_VALUE"""),0.0)</f>
        <v>0</v>
      </c>
    </row>
    <row r="283">
      <c r="A283" s="16" t="str">
        <f>IFERROR(__xludf.DUMMYFUNCTION("""COMPUTED_VALUE"""),"f55f204dc3de9a654227cb01dab85c260fd98fde")</f>
        <v>f55f204dc3de9a654227cb01dab85c260fd98fde</v>
      </c>
      <c r="B283" s="16" t="str">
        <f>IFERROR(__xludf.DUMMYFUNCTION("""COMPUTED_VALUE"""),"Married to His Uncle")</f>
        <v>Married to His Uncle</v>
      </c>
      <c r="C283" s="16" t="str">
        <f>IFERROR(__xludf.DUMMYFUNCTION("""COMPUTED_VALUE"""),"Romance")</f>
        <v>Romance</v>
      </c>
      <c r="D283" s="16">
        <f>IFERROR(__xludf.DUMMYFUNCTION("""COMPUTED_VALUE"""),9.0)</f>
        <v>9</v>
      </c>
      <c r="E283" s="16">
        <f>IFERROR(__xludf.DUMMYFUNCTION("""COMPUTED_VALUE"""),0.777777777777777)</f>
        <v>0.7777777778</v>
      </c>
      <c r="F283" s="16">
        <f>IFERROR(__xludf.DUMMYFUNCTION("""COMPUTED_VALUE"""),0.777777777777777)</f>
        <v>0.7777777778</v>
      </c>
      <c r="G283" s="16">
        <f>IFERROR(__xludf.DUMMYFUNCTION("""COMPUTED_VALUE"""),0.666666666666666)</f>
        <v>0.6666666667</v>
      </c>
      <c r="H283" s="16">
        <f>IFERROR(__xludf.DUMMYFUNCTION("""COMPUTED_VALUE"""),0.625)</f>
        <v>0.625</v>
      </c>
      <c r="I283" s="16">
        <f>IFERROR(__xludf.DUMMYFUNCTION("""COMPUTED_VALUE"""),0.75)</f>
        <v>0.75</v>
      </c>
      <c r="J283" s="16">
        <f>IFERROR(__xludf.DUMMYFUNCTION("""COMPUTED_VALUE"""),0.625)</f>
        <v>0.625</v>
      </c>
      <c r="K283" s="16">
        <f>IFERROR(__xludf.DUMMYFUNCTION("""COMPUTED_VALUE"""),0.625)</f>
        <v>0.625</v>
      </c>
      <c r="L283" s="16">
        <f>IFERROR(__xludf.DUMMYFUNCTION("""COMPUTED_VALUE"""),0.625)</f>
        <v>0.625</v>
      </c>
      <c r="M283" s="16">
        <f>IFERROR(__xludf.DUMMYFUNCTION("""COMPUTED_VALUE"""),0.666666666666666)</f>
        <v>0.6666666667</v>
      </c>
      <c r="N283" s="16">
        <f>IFERROR(__xludf.DUMMYFUNCTION("""COMPUTED_VALUE"""),0.5)</f>
        <v>0.5</v>
      </c>
      <c r="O283" s="16">
        <f>IFERROR(__xludf.DUMMYFUNCTION("""COMPUTED_VALUE"""),1.0)</f>
        <v>1</v>
      </c>
      <c r="P283" s="16">
        <f>IFERROR(__xludf.DUMMYFUNCTION("""COMPUTED_VALUE"""),0.0)</f>
        <v>0</v>
      </c>
      <c r="Q283" s="16">
        <f>IFERROR(__xludf.DUMMYFUNCTION("""COMPUTED_VALUE"""),0.0)</f>
        <v>0</v>
      </c>
      <c r="R283" s="16">
        <f>IFERROR(__xludf.DUMMYFUNCTION("""COMPUTED_VALUE"""),0.0)</f>
        <v>0</v>
      </c>
      <c r="S283" s="16">
        <f>IFERROR(__xludf.DUMMYFUNCTION("""COMPUTED_VALUE"""),0.0)</f>
        <v>0</v>
      </c>
      <c r="T283" s="16">
        <f>IFERROR(__xludf.DUMMYFUNCTION("""COMPUTED_VALUE"""),0.0)</f>
        <v>0</v>
      </c>
      <c r="U283" s="16">
        <f>IFERROR(__xludf.DUMMYFUNCTION("""COMPUTED_VALUE"""),0.0)</f>
        <v>0</v>
      </c>
      <c r="V283" s="16">
        <f>IFERROR(__xludf.DUMMYFUNCTION("""COMPUTED_VALUE"""),0.0)</f>
        <v>0</v>
      </c>
      <c r="W283" s="16">
        <f>IFERROR(__xludf.DUMMYFUNCTION("""COMPUTED_VALUE"""),0.0)</f>
        <v>0</v>
      </c>
      <c r="X283" s="16">
        <f>IFERROR(__xludf.DUMMYFUNCTION("""COMPUTED_VALUE"""),0.0)</f>
        <v>0</v>
      </c>
      <c r="Y283" s="16">
        <f>IFERROR(__xludf.DUMMYFUNCTION("""COMPUTED_VALUE"""),0.0)</f>
        <v>0</v>
      </c>
      <c r="Z283" s="16">
        <f>IFERROR(__xludf.DUMMYFUNCTION("""COMPUTED_VALUE"""),0.0)</f>
        <v>0</v>
      </c>
      <c r="AA283" s="16">
        <f>IFERROR(__xludf.DUMMYFUNCTION("""COMPUTED_VALUE"""),0.0)</f>
        <v>0</v>
      </c>
      <c r="AB283" s="16">
        <f>IFERROR(__xludf.DUMMYFUNCTION("""COMPUTED_VALUE"""),0.0)</f>
        <v>0</v>
      </c>
      <c r="AC283" s="16">
        <f>IFERROR(__xludf.DUMMYFUNCTION("""COMPUTED_VALUE"""),0.0)</f>
        <v>0</v>
      </c>
      <c r="AD283" s="16">
        <f>IFERROR(__xludf.DUMMYFUNCTION("""COMPUTED_VALUE"""),0.0)</f>
        <v>0</v>
      </c>
      <c r="AE283" s="16">
        <f>IFERROR(__xludf.DUMMYFUNCTION("""COMPUTED_VALUE"""),0.0)</f>
        <v>0</v>
      </c>
      <c r="AF283" s="16">
        <f>IFERROR(__xludf.DUMMYFUNCTION("""COMPUTED_VALUE"""),0.0)</f>
        <v>0</v>
      </c>
      <c r="AG283" s="16">
        <f>IFERROR(__xludf.DUMMYFUNCTION("""COMPUTED_VALUE"""),0.0)</f>
        <v>0</v>
      </c>
      <c r="AH283" s="16">
        <f>IFERROR(__xludf.DUMMYFUNCTION("""COMPUTED_VALUE"""),0.0)</f>
        <v>0</v>
      </c>
    </row>
    <row r="284">
      <c r="A284" s="16" t="str">
        <f>IFERROR(__xludf.DUMMYFUNCTION("""COMPUTED_VALUE"""),"f57a1c79e744b5f58e2255b8d130aa970362f57d")</f>
        <v>f57a1c79e744b5f58e2255b8d130aa970362f57d</v>
      </c>
      <c r="B284" s="16" t="str">
        <f>IFERROR(__xludf.DUMMYFUNCTION("""COMPUTED_VALUE"""),"The Baby Contract")</f>
        <v>The Baby Contract</v>
      </c>
      <c r="C284" s="16" t="str">
        <f>IFERROR(__xludf.DUMMYFUNCTION("""COMPUTED_VALUE"""),"Romance")</f>
        <v>Romance</v>
      </c>
      <c r="D284" s="16">
        <f>IFERROR(__xludf.DUMMYFUNCTION("""COMPUTED_VALUE"""),6.0)</f>
        <v>6</v>
      </c>
      <c r="E284" s="16">
        <f>IFERROR(__xludf.DUMMYFUNCTION("""COMPUTED_VALUE"""),0.833333333333333)</f>
        <v>0.8333333333</v>
      </c>
      <c r="F284" s="16">
        <f>IFERROR(__xludf.DUMMYFUNCTION("""COMPUTED_VALUE"""),0.5)</f>
        <v>0.5</v>
      </c>
      <c r="G284" s="16">
        <f>IFERROR(__xludf.DUMMYFUNCTION("""COMPUTED_VALUE"""),0.5)</f>
        <v>0.5</v>
      </c>
      <c r="H284" s="16">
        <f>IFERROR(__xludf.DUMMYFUNCTION("""COMPUTED_VALUE"""),0.166666666666666)</f>
        <v>0.1666666667</v>
      </c>
      <c r="I284" s="16">
        <f>IFERROR(__xludf.DUMMYFUNCTION("""COMPUTED_VALUE"""),0.166666666666666)</f>
        <v>0.1666666667</v>
      </c>
      <c r="J284" s="16">
        <f>IFERROR(__xludf.DUMMYFUNCTION("""COMPUTED_VALUE"""),0.166666666666666)</f>
        <v>0.1666666667</v>
      </c>
      <c r="K284" s="16">
        <f>IFERROR(__xludf.DUMMYFUNCTION("""COMPUTED_VALUE"""),0.166666666666666)</f>
        <v>0.1666666667</v>
      </c>
      <c r="L284" s="16">
        <f>IFERROR(__xludf.DUMMYFUNCTION("""COMPUTED_VALUE"""),0.25)</f>
        <v>0.25</v>
      </c>
      <c r="M284" s="16">
        <f>IFERROR(__xludf.DUMMYFUNCTION("""COMPUTED_VALUE"""),0.0)</f>
        <v>0</v>
      </c>
      <c r="N284" s="16">
        <f>IFERROR(__xludf.DUMMYFUNCTION("""COMPUTED_VALUE"""),0.0)</f>
        <v>0</v>
      </c>
      <c r="O284" s="16">
        <f>IFERROR(__xludf.DUMMYFUNCTION("""COMPUTED_VALUE"""),0.0)</f>
        <v>0</v>
      </c>
      <c r="P284" s="16">
        <f>IFERROR(__xludf.DUMMYFUNCTION("""COMPUTED_VALUE"""),0.0)</f>
        <v>0</v>
      </c>
      <c r="Q284" s="16">
        <f>IFERROR(__xludf.DUMMYFUNCTION("""COMPUTED_VALUE"""),0.0)</f>
        <v>0</v>
      </c>
      <c r="R284" s="16">
        <f>IFERROR(__xludf.DUMMYFUNCTION("""COMPUTED_VALUE"""),0.0)</f>
        <v>0</v>
      </c>
      <c r="S284" s="16">
        <f>IFERROR(__xludf.DUMMYFUNCTION("""COMPUTED_VALUE"""),0.0)</f>
        <v>0</v>
      </c>
      <c r="T284" s="16">
        <f>IFERROR(__xludf.DUMMYFUNCTION("""COMPUTED_VALUE"""),0.0)</f>
        <v>0</v>
      </c>
      <c r="U284" s="16">
        <f>IFERROR(__xludf.DUMMYFUNCTION("""COMPUTED_VALUE"""),0.0)</f>
        <v>0</v>
      </c>
      <c r="V284" s="16">
        <f>IFERROR(__xludf.DUMMYFUNCTION("""COMPUTED_VALUE"""),0.0)</f>
        <v>0</v>
      </c>
      <c r="W284" s="16">
        <f>IFERROR(__xludf.DUMMYFUNCTION("""COMPUTED_VALUE"""),0.0)</f>
        <v>0</v>
      </c>
      <c r="X284" s="16">
        <f>IFERROR(__xludf.DUMMYFUNCTION("""COMPUTED_VALUE"""),0.0)</f>
        <v>0</v>
      </c>
      <c r="Y284" s="16">
        <f>IFERROR(__xludf.DUMMYFUNCTION("""COMPUTED_VALUE"""),0.0)</f>
        <v>0</v>
      </c>
      <c r="Z284" s="16">
        <f>IFERROR(__xludf.DUMMYFUNCTION("""COMPUTED_VALUE"""),0.0)</f>
        <v>0</v>
      </c>
      <c r="AA284" s="16">
        <f>IFERROR(__xludf.DUMMYFUNCTION("""COMPUTED_VALUE"""),0.0)</f>
        <v>0</v>
      </c>
      <c r="AB284" s="16">
        <f>IFERROR(__xludf.DUMMYFUNCTION("""COMPUTED_VALUE"""),0.0)</f>
        <v>0</v>
      </c>
      <c r="AC284" s="16">
        <f>IFERROR(__xludf.DUMMYFUNCTION("""COMPUTED_VALUE"""),0.0)</f>
        <v>0</v>
      </c>
      <c r="AD284" s="16">
        <f>IFERROR(__xludf.DUMMYFUNCTION("""COMPUTED_VALUE"""),0.0)</f>
        <v>0</v>
      </c>
      <c r="AE284" s="16">
        <f>IFERROR(__xludf.DUMMYFUNCTION("""COMPUTED_VALUE"""),0.0)</f>
        <v>0</v>
      </c>
      <c r="AF284" s="16">
        <f>IFERROR(__xludf.DUMMYFUNCTION("""COMPUTED_VALUE"""),0.0)</f>
        <v>0</v>
      </c>
      <c r="AG284" s="16">
        <f>IFERROR(__xludf.DUMMYFUNCTION("""COMPUTED_VALUE"""),0.0)</f>
        <v>0</v>
      </c>
      <c r="AH284" s="16">
        <f>IFERROR(__xludf.DUMMYFUNCTION("""COMPUTED_VALUE"""),0.0)</f>
        <v>0</v>
      </c>
    </row>
    <row r="285">
      <c r="A285" s="16" t="str">
        <f>IFERROR(__xludf.DUMMYFUNCTION("""COMPUTED_VALUE"""),"f692474d2ac3ef329a93f72cfedf44bceaced5f1")</f>
        <v>f692474d2ac3ef329a93f72cfedf44bceaced5f1</v>
      </c>
      <c r="B285" s="16" t="str">
        <f>IFERROR(__xludf.DUMMYFUNCTION("""COMPUTED_VALUE"""),"Kingsley Reigns")</f>
        <v>Kingsley Reigns</v>
      </c>
      <c r="C285" s="16" t="str">
        <f>IFERROR(__xludf.DUMMYFUNCTION("""COMPUTED_VALUE"""),"Drama")</f>
        <v>Drama</v>
      </c>
      <c r="D285" s="16">
        <f>IFERROR(__xludf.DUMMYFUNCTION("""COMPUTED_VALUE"""),9608.0)</f>
        <v>9608</v>
      </c>
      <c r="E285" s="16">
        <f>IFERROR(__xludf.DUMMYFUNCTION("""COMPUTED_VALUE"""),0.860845129059117)</f>
        <v>0.8608451291</v>
      </c>
      <c r="F285" s="16">
        <f>IFERROR(__xludf.DUMMYFUNCTION("""COMPUTED_VALUE"""),0.51977518734388)</f>
        <v>0.5197751873</v>
      </c>
      <c r="G285" s="16">
        <f>IFERROR(__xludf.DUMMYFUNCTION("""COMPUTED_VALUE"""),0.478975853455453)</f>
        <v>0.4789758535</v>
      </c>
      <c r="H285" s="16">
        <f>IFERROR(__xludf.DUMMYFUNCTION("""COMPUTED_VALUE"""),0.454346694429984)</f>
        <v>0.4543466944</v>
      </c>
      <c r="I285" s="16">
        <f>IFERROR(__xludf.DUMMYFUNCTION("""COMPUTED_VALUE"""),0.441354166666666)</f>
        <v>0.4413541667</v>
      </c>
      <c r="J285" s="16">
        <f>IFERROR(__xludf.DUMMYFUNCTION("""COMPUTED_VALUE"""),0.427052938724468)</f>
        <v>0.4270529387</v>
      </c>
      <c r="K285" s="16">
        <f>IFERROR(__xludf.DUMMYFUNCTION("""COMPUTED_VALUE"""),0.411783107403545)</f>
        <v>0.4117831074</v>
      </c>
      <c r="L285" s="16">
        <f>IFERROR(__xludf.DUMMYFUNCTION("""COMPUTED_VALUE"""),0.397830395327005)</f>
        <v>0.3978303953</v>
      </c>
      <c r="M285" s="16">
        <f>IFERROR(__xludf.DUMMYFUNCTION("""COMPUTED_VALUE"""),0.390628261323314)</f>
        <v>0.3906282613</v>
      </c>
      <c r="N285" s="16">
        <f>IFERROR(__xludf.DUMMYFUNCTION("""COMPUTED_VALUE"""),0.38623786154328)</f>
        <v>0.3862378615</v>
      </c>
      <c r="O285" s="16">
        <f>IFERROR(__xludf.DUMMYFUNCTION("""COMPUTED_VALUE"""),0.358601193592294)</f>
        <v>0.3586011936</v>
      </c>
      <c r="P285" s="16">
        <f>IFERROR(__xludf.DUMMYFUNCTION("""COMPUTED_VALUE"""),0.303507666456626)</f>
        <v>0.3035076665</v>
      </c>
      <c r="Q285" s="16">
        <f>IFERROR(__xludf.DUMMYFUNCTION("""COMPUTED_VALUE"""),0.242005277044854)</f>
        <v>0.242005277</v>
      </c>
      <c r="R285" s="16">
        <f>IFERROR(__xludf.DUMMYFUNCTION("""COMPUTED_VALUE"""),0.210297701027651)</f>
        <v>0.210297701</v>
      </c>
      <c r="S285" s="16">
        <f>IFERROR(__xludf.DUMMYFUNCTION("""COMPUTED_VALUE"""),0.189685898863889)</f>
        <v>0.1896858989</v>
      </c>
      <c r="T285" s="16">
        <f>IFERROR(__xludf.DUMMYFUNCTION("""COMPUTED_VALUE"""),0.1676021407127)</f>
        <v>0.1676021407</v>
      </c>
      <c r="U285" s="16">
        <f>IFERROR(__xludf.DUMMYFUNCTION("""COMPUTED_VALUE"""),0.159364809301006)</f>
        <v>0.1593648093</v>
      </c>
      <c r="V285" s="16">
        <f>IFERROR(__xludf.DUMMYFUNCTION("""COMPUTED_VALUE"""),0.144078361531611)</f>
        <v>0.1440783615</v>
      </c>
      <c r="W285" s="16">
        <f>IFERROR(__xludf.DUMMYFUNCTION("""COMPUTED_VALUE"""),0.1318391562294)</f>
        <v>0.1318391562</v>
      </c>
      <c r="X285" s="16">
        <f>IFERROR(__xludf.DUMMYFUNCTION("""COMPUTED_VALUE"""),0.120492272467086)</f>
        <v>0.1204922725</v>
      </c>
      <c r="Y285" s="16">
        <f>IFERROR(__xludf.DUMMYFUNCTION("""COMPUTED_VALUE"""),0.108811748998664)</f>
        <v>0.108811749</v>
      </c>
      <c r="Z285" s="16">
        <f>IFERROR(__xludf.DUMMYFUNCTION("""COMPUTED_VALUE"""),0.104996096799375)</f>
        <v>0.1049960968</v>
      </c>
      <c r="AA285" s="16">
        <f>IFERROR(__xludf.DUMMYFUNCTION("""COMPUTED_VALUE"""),0.0910806984426616)</f>
        <v>0.09108069844</v>
      </c>
      <c r="AB285" s="16">
        <f>IFERROR(__xludf.DUMMYFUNCTION("""COMPUTED_VALUE"""),0.0865203761755485)</f>
        <v>0.08652037618</v>
      </c>
      <c r="AC285" s="16">
        <f>IFERROR(__xludf.DUMMYFUNCTION("""COMPUTED_VALUE"""),0.0844298245614035)</f>
        <v>0.08442982456</v>
      </c>
      <c r="AD285" s="16">
        <f>IFERROR(__xludf.DUMMYFUNCTION("""COMPUTED_VALUE"""),0.0931458699472759)</f>
        <v>0.09314586995</v>
      </c>
      <c r="AE285" s="16">
        <f>IFERROR(__xludf.DUMMYFUNCTION("""COMPUTED_VALUE"""),0.0767326732673267)</f>
        <v>0.07673267327</v>
      </c>
      <c r="AF285" s="16">
        <f>IFERROR(__xludf.DUMMYFUNCTION("""COMPUTED_VALUE"""),0.0574324324324324)</f>
        <v>0.05743243243</v>
      </c>
      <c r="AG285" s="16">
        <f>IFERROR(__xludf.DUMMYFUNCTION("""COMPUTED_VALUE"""),0.031413612565445)</f>
        <v>0.03141361257</v>
      </c>
      <c r="AH285" s="16">
        <f>IFERROR(__xludf.DUMMYFUNCTION("""COMPUTED_VALUE"""),0.03125)</f>
        <v>0.03125</v>
      </c>
    </row>
    <row r="286">
      <c r="A286" s="16" t="str">
        <f>IFERROR(__xludf.DUMMYFUNCTION("""COMPUTED_VALUE"""),"f6ea1ee253b53b8124a4f7f92ae0a9ef960a044a")</f>
        <v>f6ea1ee253b53b8124a4f7f92ae0a9ef960a044a</v>
      </c>
      <c r="B286" s="16" t="str">
        <f>IFERROR(__xludf.DUMMYFUNCTION("""COMPUTED_VALUE"""),"Regret of the Ceo")</f>
        <v>Regret of the Ceo</v>
      </c>
      <c r="C286" s="16" t="str">
        <f>IFERROR(__xludf.DUMMYFUNCTION("""COMPUTED_VALUE"""),"Romance")</f>
        <v>Romance</v>
      </c>
      <c r="D286" s="16">
        <f>IFERROR(__xludf.DUMMYFUNCTION("""COMPUTED_VALUE"""),297.0)</f>
        <v>297</v>
      </c>
      <c r="E286" s="16">
        <f>IFERROR(__xludf.DUMMYFUNCTION("""COMPUTED_VALUE"""),0.952861952861952)</f>
        <v>0.9528619529</v>
      </c>
      <c r="F286" s="16">
        <f>IFERROR(__xludf.DUMMYFUNCTION("""COMPUTED_VALUE"""),0.68013468013468)</f>
        <v>0.6801346801</v>
      </c>
      <c r="G286" s="16">
        <f>IFERROR(__xludf.DUMMYFUNCTION("""COMPUTED_VALUE"""),0.626262626262626)</f>
        <v>0.6262626263</v>
      </c>
      <c r="H286" s="16">
        <f>IFERROR(__xludf.DUMMYFUNCTION("""COMPUTED_VALUE"""),0.557432432432432)</f>
        <v>0.5574324324</v>
      </c>
      <c r="I286" s="16">
        <f>IFERROR(__xludf.DUMMYFUNCTION("""COMPUTED_VALUE"""),0.505084745762711)</f>
        <v>0.5050847458</v>
      </c>
      <c r="J286" s="16">
        <f>IFERROR(__xludf.DUMMYFUNCTION("""COMPUTED_VALUE"""),0.464028776978417)</f>
        <v>0.464028777</v>
      </c>
      <c r="K286" s="16">
        <f>IFERROR(__xludf.DUMMYFUNCTION("""COMPUTED_VALUE"""),0.400735294117647)</f>
        <v>0.4007352941</v>
      </c>
      <c r="L286" s="16">
        <f>IFERROR(__xludf.DUMMYFUNCTION("""COMPUTED_VALUE"""),0.348314606741573)</f>
        <v>0.3483146067</v>
      </c>
      <c r="M286" s="16">
        <f>IFERROR(__xludf.DUMMYFUNCTION("""COMPUTED_VALUE"""),0.318352059925093)</f>
        <v>0.3183520599</v>
      </c>
      <c r="N286" s="16">
        <f>IFERROR(__xludf.DUMMYFUNCTION("""COMPUTED_VALUE"""),0.303370786516853)</f>
        <v>0.3033707865</v>
      </c>
      <c r="O286" s="16">
        <f>IFERROR(__xludf.DUMMYFUNCTION("""COMPUTED_VALUE"""),0.211320754716981)</f>
        <v>0.2113207547</v>
      </c>
      <c r="P286" s="16">
        <f>IFERROR(__xludf.DUMMYFUNCTION("""COMPUTED_VALUE"""),0.157258064516129)</f>
        <v>0.1572580645</v>
      </c>
      <c r="Q286" s="16">
        <f>IFERROR(__xludf.DUMMYFUNCTION("""COMPUTED_VALUE"""),0.109004739336492)</f>
        <v>0.1090047393</v>
      </c>
      <c r="R286" s="16">
        <f>IFERROR(__xludf.DUMMYFUNCTION("""COMPUTED_VALUE"""),0.0983606557377049)</f>
        <v>0.09836065574</v>
      </c>
      <c r="S286" s="16">
        <f>IFERROR(__xludf.DUMMYFUNCTION("""COMPUTED_VALUE"""),0.044776119402985)</f>
        <v>0.0447761194</v>
      </c>
      <c r="T286" s="16">
        <f>IFERROR(__xludf.DUMMYFUNCTION("""COMPUTED_VALUE"""),0.0)</f>
        <v>0</v>
      </c>
      <c r="U286" s="16">
        <f>IFERROR(__xludf.DUMMYFUNCTION("""COMPUTED_VALUE"""),0.0)</f>
        <v>0</v>
      </c>
      <c r="V286" s="16">
        <f>IFERROR(__xludf.DUMMYFUNCTION("""COMPUTED_VALUE"""),0.0)</f>
        <v>0</v>
      </c>
      <c r="W286" s="16">
        <f>IFERROR(__xludf.DUMMYFUNCTION("""COMPUTED_VALUE"""),0.0)</f>
        <v>0</v>
      </c>
      <c r="X286" s="16">
        <f>IFERROR(__xludf.DUMMYFUNCTION("""COMPUTED_VALUE"""),0.0)</f>
        <v>0</v>
      </c>
      <c r="Y286" s="16">
        <f>IFERROR(__xludf.DUMMYFUNCTION("""COMPUTED_VALUE"""),0.0)</f>
        <v>0</v>
      </c>
      <c r="Z286" s="16">
        <f>IFERROR(__xludf.DUMMYFUNCTION("""COMPUTED_VALUE"""),0.0)</f>
        <v>0</v>
      </c>
      <c r="AA286" s="16">
        <f>IFERROR(__xludf.DUMMYFUNCTION("""COMPUTED_VALUE"""),0.0)</f>
        <v>0</v>
      </c>
      <c r="AB286" s="16">
        <f>IFERROR(__xludf.DUMMYFUNCTION("""COMPUTED_VALUE"""),0.0)</f>
        <v>0</v>
      </c>
      <c r="AC286" s="16">
        <f>IFERROR(__xludf.DUMMYFUNCTION("""COMPUTED_VALUE"""),0.0)</f>
        <v>0</v>
      </c>
      <c r="AD286" s="16">
        <f>IFERROR(__xludf.DUMMYFUNCTION("""COMPUTED_VALUE"""),0.0)</f>
        <v>0</v>
      </c>
      <c r="AE286" s="16">
        <f>IFERROR(__xludf.DUMMYFUNCTION("""COMPUTED_VALUE"""),0.0)</f>
        <v>0</v>
      </c>
      <c r="AF286" s="16">
        <f>IFERROR(__xludf.DUMMYFUNCTION("""COMPUTED_VALUE"""),0.0)</f>
        <v>0</v>
      </c>
      <c r="AG286" s="16">
        <f>IFERROR(__xludf.DUMMYFUNCTION("""COMPUTED_VALUE"""),0.0)</f>
        <v>0</v>
      </c>
      <c r="AH286" s="16">
        <f>IFERROR(__xludf.DUMMYFUNCTION("""COMPUTED_VALUE"""),0.0)</f>
        <v>0</v>
      </c>
    </row>
    <row r="287">
      <c r="A287" s="16" t="str">
        <f>IFERROR(__xludf.DUMMYFUNCTION("""COMPUTED_VALUE"""),"fb311a6dd8cd59a51bf680323116bcc5d2798a8e")</f>
        <v>fb311a6dd8cd59a51bf680323116bcc5d2798a8e</v>
      </c>
      <c r="B287" s="16" t="str">
        <f>IFERROR(__xludf.DUMMYFUNCTION("""COMPUTED_VALUE"""),"The Beast Tamer's Legacy")</f>
        <v>The Beast Tamer's Legacy</v>
      </c>
      <c r="C287" s="16" t="str">
        <f>IFERROR(__xludf.DUMMYFUNCTION("""COMPUTED_VALUE"""),"System and Superpower")</f>
        <v>System and Superpower</v>
      </c>
      <c r="D287" s="16">
        <f>IFERROR(__xludf.DUMMYFUNCTION("""COMPUTED_VALUE"""),1144.0)</f>
        <v>1144</v>
      </c>
      <c r="E287" s="16">
        <f>IFERROR(__xludf.DUMMYFUNCTION("""COMPUTED_VALUE"""),0.974650349650349)</f>
        <v>0.9746503497</v>
      </c>
      <c r="F287" s="16">
        <f>IFERROR(__xludf.DUMMYFUNCTION("""COMPUTED_VALUE"""),0.560314685314685)</f>
        <v>0.5603146853</v>
      </c>
      <c r="G287" s="16">
        <f>IFERROR(__xludf.DUMMYFUNCTION("""COMPUTED_VALUE"""),0.489938757655293)</f>
        <v>0.4899387577</v>
      </c>
      <c r="H287" s="16">
        <f>IFERROR(__xludf.DUMMYFUNCTION("""COMPUTED_VALUE"""),0.418563922942206)</f>
        <v>0.4185639229</v>
      </c>
      <c r="I287" s="16">
        <f>IFERROR(__xludf.DUMMYFUNCTION("""COMPUTED_VALUE"""),0.373905429071803)</f>
        <v>0.3739054291</v>
      </c>
      <c r="J287" s="16">
        <f>IFERROR(__xludf.DUMMYFUNCTION("""COMPUTED_VALUE"""),0.333040421792618)</f>
        <v>0.3330404218</v>
      </c>
      <c r="K287" s="16">
        <f>IFERROR(__xludf.DUMMYFUNCTION("""COMPUTED_VALUE"""),0.307488986784141)</f>
        <v>0.3074889868</v>
      </c>
      <c r="L287" s="16">
        <f>IFERROR(__xludf.DUMMYFUNCTION("""COMPUTED_VALUE"""),0.281802120141342)</f>
        <v>0.2818021201</v>
      </c>
      <c r="M287" s="16">
        <f>IFERROR(__xludf.DUMMYFUNCTION("""COMPUTED_VALUE"""),0.265070921985815)</f>
        <v>0.265070922</v>
      </c>
      <c r="N287" s="16">
        <f>IFERROR(__xludf.DUMMYFUNCTION("""COMPUTED_VALUE"""),0.247559893522626)</f>
        <v>0.2475598935</v>
      </c>
      <c r="O287" s="16">
        <f>IFERROR(__xludf.DUMMYFUNCTION("""COMPUTED_VALUE"""),0.184474885844748)</f>
        <v>0.1844748858</v>
      </c>
      <c r="P287" s="16">
        <f>IFERROR(__xludf.DUMMYFUNCTION("""COMPUTED_VALUE"""),0.145530145530145)</f>
        <v>0.1455301455</v>
      </c>
      <c r="Q287" s="16">
        <f>IFERROR(__xludf.DUMMYFUNCTION("""COMPUTED_VALUE"""),0.131752305665349)</f>
        <v>0.1317523057</v>
      </c>
      <c r="R287" s="16">
        <f>IFERROR(__xludf.DUMMYFUNCTION("""COMPUTED_VALUE"""),0.0)</f>
        <v>0</v>
      </c>
      <c r="S287" s="16">
        <f>IFERROR(__xludf.DUMMYFUNCTION("""COMPUTED_VALUE"""),0.0)</f>
        <v>0</v>
      </c>
      <c r="T287" s="16">
        <f>IFERROR(__xludf.DUMMYFUNCTION("""COMPUTED_VALUE"""),0.0)</f>
        <v>0</v>
      </c>
      <c r="U287" s="16">
        <f>IFERROR(__xludf.DUMMYFUNCTION("""COMPUTED_VALUE"""),0.0)</f>
        <v>0</v>
      </c>
      <c r="V287" s="16">
        <f>IFERROR(__xludf.DUMMYFUNCTION("""COMPUTED_VALUE"""),0.0)</f>
        <v>0</v>
      </c>
      <c r="W287" s="16">
        <f>IFERROR(__xludf.DUMMYFUNCTION("""COMPUTED_VALUE"""),0.0)</f>
        <v>0</v>
      </c>
      <c r="X287" s="16">
        <f>IFERROR(__xludf.DUMMYFUNCTION("""COMPUTED_VALUE"""),0.0)</f>
        <v>0</v>
      </c>
      <c r="Y287" s="16">
        <f>IFERROR(__xludf.DUMMYFUNCTION("""COMPUTED_VALUE"""),0.0)</f>
        <v>0</v>
      </c>
      <c r="Z287" s="16">
        <f>IFERROR(__xludf.DUMMYFUNCTION("""COMPUTED_VALUE"""),0.0)</f>
        <v>0</v>
      </c>
      <c r="AA287" s="16">
        <f>IFERROR(__xludf.DUMMYFUNCTION("""COMPUTED_VALUE"""),0.0)</f>
        <v>0</v>
      </c>
      <c r="AB287" s="16">
        <f>IFERROR(__xludf.DUMMYFUNCTION("""COMPUTED_VALUE"""),0.0)</f>
        <v>0</v>
      </c>
      <c r="AC287" s="16">
        <f>IFERROR(__xludf.DUMMYFUNCTION("""COMPUTED_VALUE"""),0.0)</f>
        <v>0</v>
      </c>
      <c r="AD287" s="16">
        <f>IFERROR(__xludf.DUMMYFUNCTION("""COMPUTED_VALUE"""),0.0)</f>
        <v>0</v>
      </c>
      <c r="AE287" s="16">
        <f>IFERROR(__xludf.DUMMYFUNCTION("""COMPUTED_VALUE"""),0.0)</f>
        <v>0</v>
      </c>
      <c r="AF287" s="16">
        <f>IFERROR(__xludf.DUMMYFUNCTION("""COMPUTED_VALUE"""),0.0)</f>
        <v>0</v>
      </c>
      <c r="AG287" s="16">
        <f>IFERROR(__xludf.DUMMYFUNCTION("""COMPUTED_VALUE"""),0.0)</f>
        <v>0</v>
      </c>
      <c r="AH287" s="16">
        <f>IFERROR(__xludf.DUMMYFUNCTION("""COMPUTED_VALUE"""),0.0)</f>
        <v>0</v>
      </c>
    </row>
    <row r="288">
      <c r="A288" s="16" t="str">
        <f>IFERROR(__xludf.DUMMYFUNCTION("""COMPUTED_VALUE"""),"fc599fbc708fd150dfe8d867a18a17fa8b439c84")</f>
        <v>fc599fbc708fd150dfe8d867a18a17fa8b439c84</v>
      </c>
      <c r="B288" s="16" t="str">
        <f>IFERROR(__xludf.DUMMYFUNCTION("""COMPUTED_VALUE"""),"Anything for Sunny")</f>
        <v>Anything for Sunny</v>
      </c>
      <c r="C288" s="16" t="str">
        <f>IFERROR(__xludf.DUMMYFUNCTION("""COMPUTED_VALUE"""),"Drama")</f>
        <v>Drama</v>
      </c>
      <c r="D288" s="16">
        <f>IFERROR(__xludf.DUMMYFUNCTION("""COMPUTED_VALUE"""),70.0)</f>
        <v>70</v>
      </c>
      <c r="E288" s="16">
        <f>IFERROR(__xludf.DUMMYFUNCTION("""COMPUTED_VALUE"""),0.971428571428571)</f>
        <v>0.9714285714</v>
      </c>
      <c r="F288" s="16">
        <f>IFERROR(__xludf.DUMMYFUNCTION("""COMPUTED_VALUE"""),0.371428571428571)</f>
        <v>0.3714285714</v>
      </c>
      <c r="G288" s="16">
        <f>IFERROR(__xludf.DUMMYFUNCTION("""COMPUTED_VALUE"""),0.285714285714285)</f>
        <v>0.2857142857</v>
      </c>
      <c r="H288" s="16">
        <f>IFERROR(__xludf.DUMMYFUNCTION("""COMPUTED_VALUE"""),0.228571428571428)</f>
        <v>0.2285714286</v>
      </c>
      <c r="I288" s="16">
        <f>IFERROR(__xludf.DUMMYFUNCTION("""COMPUTED_VALUE"""),0.231884057971014)</f>
        <v>0.231884058</v>
      </c>
      <c r="J288" s="16">
        <f>IFERROR(__xludf.DUMMYFUNCTION("""COMPUTED_VALUE"""),0.17391304347826)</f>
        <v>0.1739130435</v>
      </c>
      <c r="K288" s="16">
        <f>IFERROR(__xludf.DUMMYFUNCTION("""COMPUTED_VALUE"""),0.144927536231884)</f>
        <v>0.1449275362</v>
      </c>
      <c r="L288" s="16">
        <f>IFERROR(__xludf.DUMMYFUNCTION("""COMPUTED_VALUE"""),0.130434782608695)</f>
        <v>0.1304347826</v>
      </c>
      <c r="M288" s="16">
        <f>IFERROR(__xludf.DUMMYFUNCTION("""COMPUTED_VALUE"""),0.115942028985507)</f>
        <v>0.115942029</v>
      </c>
      <c r="N288" s="16">
        <f>IFERROR(__xludf.DUMMYFUNCTION("""COMPUTED_VALUE"""),0.101449275362318)</f>
        <v>0.1014492754</v>
      </c>
      <c r="O288" s="16">
        <f>IFERROR(__xludf.DUMMYFUNCTION("""COMPUTED_VALUE"""),0.0806451612903225)</f>
        <v>0.08064516129</v>
      </c>
      <c r="P288" s="16">
        <f>IFERROR(__xludf.DUMMYFUNCTION("""COMPUTED_VALUE"""),0.0384615384615384)</f>
        <v>0.03846153846</v>
      </c>
      <c r="Q288" s="16">
        <f>IFERROR(__xludf.DUMMYFUNCTION("""COMPUTED_VALUE"""),0.0555555555555555)</f>
        <v>0.05555555556</v>
      </c>
      <c r="R288" s="16">
        <f>IFERROR(__xludf.DUMMYFUNCTION("""COMPUTED_VALUE"""),0.0344827586206896)</f>
        <v>0.03448275862</v>
      </c>
      <c r="S288" s="16">
        <f>IFERROR(__xludf.DUMMYFUNCTION("""COMPUTED_VALUE"""),0.0)</f>
        <v>0</v>
      </c>
      <c r="T288" s="16">
        <f>IFERROR(__xludf.DUMMYFUNCTION("""COMPUTED_VALUE"""),0.0)</f>
        <v>0</v>
      </c>
      <c r="U288" s="16">
        <f>IFERROR(__xludf.DUMMYFUNCTION("""COMPUTED_VALUE"""),0.0)</f>
        <v>0</v>
      </c>
      <c r="V288" s="16">
        <f>IFERROR(__xludf.DUMMYFUNCTION("""COMPUTED_VALUE"""),0.0)</f>
        <v>0</v>
      </c>
      <c r="W288" s="16">
        <f>IFERROR(__xludf.DUMMYFUNCTION("""COMPUTED_VALUE"""),0.0)</f>
        <v>0</v>
      </c>
      <c r="X288" s="16">
        <f>IFERROR(__xludf.DUMMYFUNCTION("""COMPUTED_VALUE"""),0.0)</f>
        <v>0</v>
      </c>
      <c r="Y288" s="16">
        <f>IFERROR(__xludf.DUMMYFUNCTION("""COMPUTED_VALUE"""),0.0)</f>
        <v>0</v>
      </c>
      <c r="Z288" s="16">
        <f>IFERROR(__xludf.DUMMYFUNCTION("""COMPUTED_VALUE"""),0.0)</f>
        <v>0</v>
      </c>
      <c r="AA288" s="16">
        <f>IFERROR(__xludf.DUMMYFUNCTION("""COMPUTED_VALUE"""),0.0)</f>
        <v>0</v>
      </c>
      <c r="AB288" s="16">
        <f>IFERROR(__xludf.DUMMYFUNCTION("""COMPUTED_VALUE"""),0.0)</f>
        <v>0</v>
      </c>
      <c r="AC288" s="16">
        <f>IFERROR(__xludf.DUMMYFUNCTION("""COMPUTED_VALUE"""),0.0)</f>
        <v>0</v>
      </c>
      <c r="AD288" s="16">
        <f>IFERROR(__xludf.DUMMYFUNCTION("""COMPUTED_VALUE"""),0.0)</f>
        <v>0</v>
      </c>
      <c r="AE288" s="16">
        <f>IFERROR(__xludf.DUMMYFUNCTION("""COMPUTED_VALUE"""),0.0)</f>
        <v>0</v>
      </c>
      <c r="AF288" s="16">
        <f>IFERROR(__xludf.DUMMYFUNCTION("""COMPUTED_VALUE"""),0.0)</f>
        <v>0</v>
      </c>
      <c r="AG288" s="16">
        <f>IFERROR(__xludf.DUMMYFUNCTION("""COMPUTED_VALUE"""),0.0)</f>
        <v>0</v>
      </c>
      <c r="AH288" s="16">
        <f>IFERROR(__xludf.DUMMYFUNCTION("""COMPUTED_VALUE"""),0.0)</f>
        <v>0</v>
      </c>
    </row>
    <row r="289">
      <c r="A289" s="16" t="str">
        <f>IFERROR(__xludf.DUMMYFUNCTION("""COMPUTED_VALUE"""),"fcddd3d14a0e1b1dab1bcb5c11d4aec683fdb598")</f>
        <v>fcddd3d14a0e1b1dab1bcb5c11d4aec683fdb598</v>
      </c>
      <c r="B289" s="16" t="str">
        <f>IFERROR(__xludf.DUMMYFUNCTION("""COMPUTED_VALUE"""),"Rise of Drake Callahan")</f>
        <v>Rise of Drake Callahan</v>
      </c>
      <c r="C289" s="16" t="str">
        <f>IFERROR(__xludf.DUMMYFUNCTION("""COMPUTED_VALUE"""),"Drama")</f>
        <v>Drama</v>
      </c>
      <c r="D289" s="16">
        <f>IFERROR(__xludf.DUMMYFUNCTION("""COMPUTED_VALUE"""),752.0)</f>
        <v>752</v>
      </c>
      <c r="E289" s="16">
        <f>IFERROR(__xludf.DUMMYFUNCTION("""COMPUTED_VALUE"""),0.974734042553191)</f>
        <v>0.9747340426</v>
      </c>
      <c r="F289" s="16">
        <f>IFERROR(__xludf.DUMMYFUNCTION("""COMPUTED_VALUE"""),0.619680851063829)</f>
        <v>0.6196808511</v>
      </c>
      <c r="G289" s="16">
        <f>IFERROR(__xludf.DUMMYFUNCTION("""COMPUTED_VALUE"""),0.558510638297872)</f>
        <v>0.5585106383</v>
      </c>
      <c r="H289" s="16">
        <f>IFERROR(__xludf.DUMMYFUNCTION("""COMPUTED_VALUE"""),0.532520325203252)</f>
        <v>0.5325203252</v>
      </c>
      <c r="I289" s="16">
        <f>IFERROR(__xludf.DUMMYFUNCTION("""COMPUTED_VALUE"""),0.496607869742198)</f>
        <v>0.4966078697</v>
      </c>
      <c r="J289" s="16">
        <f>IFERROR(__xludf.DUMMYFUNCTION("""COMPUTED_VALUE"""),0.486225895316804)</f>
        <v>0.4862258953</v>
      </c>
      <c r="K289" s="16">
        <f>IFERROR(__xludf.DUMMYFUNCTION("""COMPUTED_VALUE"""),0.476923076923076)</f>
        <v>0.4769230769</v>
      </c>
      <c r="L289" s="16">
        <f>IFERROR(__xludf.DUMMYFUNCTION("""COMPUTED_VALUE"""),0.446531791907514)</f>
        <v>0.4465317919</v>
      </c>
      <c r="M289" s="16">
        <f>IFERROR(__xludf.DUMMYFUNCTION("""COMPUTED_VALUE"""),0.429411764705882)</f>
        <v>0.4294117647</v>
      </c>
      <c r="N289" s="16">
        <f>IFERROR(__xludf.DUMMYFUNCTION("""COMPUTED_VALUE"""),0.392294220665499)</f>
        <v>0.3922942207</v>
      </c>
      <c r="O289" s="16">
        <f>IFERROR(__xludf.DUMMYFUNCTION("""COMPUTED_VALUE"""),0.305882352941176)</f>
        <v>0.3058823529</v>
      </c>
      <c r="P289" s="16">
        <f>IFERROR(__xludf.DUMMYFUNCTION("""COMPUTED_VALUE"""),0.215116279069767)</f>
        <v>0.2151162791</v>
      </c>
      <c r="Q289" s="16">
        <f>IFERROR(__xludf.DUMMYFUNCTION("""COMPUTED_VALUE"""),0.0)</f>
        <v>0</v>
      </c>
      <c r="R289" s="16">
        <f>IFERROR(__xludf.DUMMYFUNCTION("""COMPUTED_VALUE"""),0.0)</f>
        <v>0</v>
      </c>
      <c r="S289" s="16">
        <f>IFERROR(__xludf.DUMMYFUNCTION("""COMPUTED_VALUE"""),0.0)</f>
        <v>0</v>
      </c>
      <c r="T289" s="16">
        <f>IFERROR(__xludf.DUMMYFUNCTION("""COMPUTED_VALUE"""),0.0)</f>
        <v>0</v>
      </c>
      <c r="U289" s="16">
        <f>IFERROR(__xludf.DUMMYFUNCTION("""COMPUTED_VALUE"""),0.0)</f>
        <v>0</v>
      </c>
      <c r="V289" s="16">
        <f>IFERROR(__xludf.DUMMYFUNCTION("""COMPUTED_VALUE"""),0.0)</f>
        <v>0</v>
      </c>
      <c r="W289" s="16">
        <f>IFERROR(__xludf.DUMMYFUNCTION("""COMPUTED_VALUE"""),0.0)</f>
        <v>0</v>
      </c>
      <c r="X289" s="16">
        <f>IFERROR(__xludf.DUMMYFUNCTION("""COMPUTED_VALUE"""),0.0)</f>
        <v>0</v>
      </c>
      <c r="Y289" s="16">
        <f>IFERROR(__xludf.DUMMYFUNCTION("""COMPUTED_VALUE"""),0.0)</f>
        <v>0</v>
      </c>
      <c r="Z289" s="16">
        <f>IFERROR(__xludf.DUMMYFUNCTION("""COMPUTED_VALUE"""),0.0)</f>
        <v>0</v>
      </c>
      <c r="AA289" s="16">
        <f>IFERROR(__xludf.DUMMYFUNCTION("""COMPUTED_VALUE"""),0.0)</f>
        <v>0</v>
      </c>
      <c r="AB289" s="16">
        <f>IFERROR(__xludf.DUMMYFUNCTION("""COMPUTED_VALUE"""),0.0)</f>
        <v>0</v>
      </c>
      <c r="AC289" s="16">
        <f>IFERROR(__xludf.DUMMYFUNCTION("""COMPUTED_VALUE"""),0.0)</f>
        <v>0</v>
      </c>
      <c r="AD289" s="16">
        <f>IFERROR(__xludf.DUMMYFUNCTION("""COMPUTED_VALUE"""),0.0)</f>
        <v>0</v>
      </c>
      <c r="AE289" s="16">
        <f>IFERROR(__xludf.DUMMYFUNCTION("""COMPUTED_VALUE"""),0.0)</f>
        <v>0</v>
      </c>
      <c r="AF289" s="16">
        <f>IFERROR(__xludf.DUMMYFUNCTION("""COMPUTED_VALUE"""),0.0)</f>
        <v>0</v>
      </c>
      <c r="AG289" s="16">
        <f>IFERROR(__xludf.DUMMYFUNCTION("""COMPUTED_VALUE"""),0.0)</f>
        <v>0</v>
      </c>
      <c r="AH289" s="16">
        <f>IFERROR(__xludf.DUMMYFUNCTION("""COMPUTED_VALUE"""),0.0)</f>
        <v>0</v>
      </c>
    </row>
    <row r="290">
      <c r="A290" s="16" t="str">
        <f>IFERROR(__xludf.DUMMYFUNCTION("""COMPUTED_VALUE"""),"fce8fe866ed4c3d213e087a4343996d06bb09af7")</f>
        <v>fce8fe866ed4c3d213e087a4343996d06bb09af7</v>
      </c>
      <c r="B290" s="16" t="str">
        <f>IFERROR(__xludf.DUMMYFUNCTION("""COMPUTED_VALUE"""),"The Anderson Rebirth")</f>
        <v>The Anderson Rebirth</v>
      </c>
      <c r="C290" s="16" t="str">
        <f>IFERROR(__xludf.DUMMYFUNCTION("""COMPUTED_VALUE"""),"System and Superpower")</f>
        <v>System and Superpower</v>
      </c>
      <c r="D290" s="16">
        <f>IFERROR(__xludf.DUMMYFUNCTION("""COMPUTED_VALUE"""),915.0)</f>
        <v>915</v>
      </c>
      <c r="E290" s="16">
        <f>IFERROR(__xludf.DUMMYFUNCTION("""COMPUTED_VALUE"""),0.949726775956284)</f>
        <v>0.949726776</v>
      </c>
      <c r="F290" s="16">
        <f>IFERROR(__xludf.DUMMYFUNCTION("""COMPUTED_VALUE"""),0.678688524590163)</f>
        <v>0.6786885246</v>
      </c>
      <c r="G290" s="16">
        <f>IFERROR(__xludf.DUMMYFUNCTION("""COMPUTED_VALUE"""),0.629508196721311)</f>
        <v>0.6295081967</v>
      </c>
      <c r="H290" s="16">
        <f>IFERROR(__xludf.DUMMYFUNCTION("""COMPUTED_VALUE"""),0.592349726775956)</f>
        <v>0.5923497268</v>
      </c>
      <c r="I290" s="16">
        <f>IFERROR(__xludf.DUMMYFUNCTION("""COMPUTED_VALUE"""),0.540983606557377)</f>
        <v>0.5409836066</v>
      </c>
      <c r="J290" s="16">
        <f>IFERROR(__xludf.DUMMYFUNCTION("""COMPUTED_VALUE"""),0.508196721311475)</f>
        <v>0.5081967213</v>
      </c>
      <c r="K290" s="16">
        <f>IFERROR(__xludf.DUMMYFUNCTION("""COMPUTED_VALUE"""),0.4945295404814)</f>
        <v>0.4945295405</v>
      </c>
      <c r="L290" s="16">
        <f>IFERROR(__xludf.DUMMYFUNCTION("""COMPUTED_VALUE"""),0.475355969331872)</f>
        <v>0.4753559693</v>
      </c>
      <c r="M290" s="16">
        <f>IFERROR(__xludf.DUMMYFUNCTION("""COMPUTED_VALUE"""),0.461622807017543)</f>
        <v>0.461622807</v>
      </c>
      <c r="N290" s="16">
        <f>IFERROR(__xludf.DUMMYFUNCTION("""COMPUTED_VALUE"""),0.442953020134228)</f>
        <v>0.4429530201</v>
      </c>
      <c r="O290" s="16">
        <f>IFERROR(__xludf.DUMMYFUNCTION("""COMPUTED_VALUE"""),0.417620137299771)</f>
        <v>0.4176201373</v>
      </c>
      <c r="P290" s="16">
        <f>IFERROR(__xludf.DUMMYFUNCTION("""COMPUTED_VALUE"""),0.303695150115473)</f>
        <v>0.3036951501</v>
      </c>
      <c r="Q290" s="16">
        <f>IFERROR(__xludf.DUMMYFUNCTION("""COMPUTED_VALUE"""),0.157509157509157)</f>
        <v>0.1575091575</v>
      </c>
      <c r="R290" s="16">
        <f>IFERROR(__xludf.DUMMYFUNCTION("""COMPUTED_VALUE"""),0.0825335892514395)</f>
        <v>0.08253358925</v>
      </c>
      <c r="S290" s="16">
        <f>IFERROR(__xludf.DUMMYFUNCTION("""COMPUTED_VALUE"""),0.0)</f>
        <v>0</v>
      </c>
      <c r="T290" s="16">
        <f>IFERROR(__xludf.DUMMYFUNCTION("""COMPUTED_VALUE"""),0.0)</f>
        <v>0</v>
      </c>
      <c r="U290" s="16">
        <f>IFERROR(__xludf.DUMMYFUNCTION("""COMPUTED_VALUE"""),0.0)</f>
        <v>0</v>
      </c>
      <c r="V290" s="16">
        <f>IFERROR(__xludf.DUMMYFUNCTION("""COMPUTED_VALUE"""),0.0)</f>
        <v>0</v>
      </c>
      <c r="W290" s="16">
        <f>IFERROR(__xludf.DUMMYFUNCTION("""COMPUTED_VALUE"""),0.0)</f>
        <v>0</v>
      </c>
      <c r="X290" s="16">
        <f>IFERROR(__xludf.DUMMYFUNCTION("""COMPUTED_VALUE"""),0.0)</f>
        <v>0</v>
      </c>
      <c r="Y290" s="16">
        <f>IFERROR(__xludf.DUMMYFUNCTION("""COMPUTED_VALUE"""),0.0)</f>
        <v>0</v>
      </c>
      <c r="Z290" s="16">
        <f>IFERROR(__xludf.DUMMYFUNCTION("""COMPUTED_VALUE"""),0.0)</f>
        <v>0</v>
      </c>
      <c r="AA290" s="16">
        <f>IFERROR(__xludf.DUMMYFUNCTION("""COMPUTED_VALUE"""),0.0)</f>
        <v>0</v>
      </c>
      <c r="AB290" s="16">
        <f>IFERROR(__xludf.DUMMYFUNCTION("""COMPUTED_VALUE"""),0.0)</f>
        <v>0</v>
      </c>
      <c r="AC290" s="16">
        <f>IFERROR(__xludf.DUMMYFUNCTION("""COMPUTED_VALUE"""),0.0)</f>
        <v>0</v>
      </c>
      <c r="AD290" s="16">
        <f>IFERROR(__xludf.DUMMYFUNCTION("""COMPUTED_VALUE"""),0.0)</f>
        <v>0</v>
      </c>
      <c r="AE290" s="16">
        <f>IFERROR(__xludf.DUMMYFUNCTION("""COMPUTED_VALUE"""),0.0)</f>
        <v>0</v>
      </c>
      <c r="AF290" s="16">
        <f>IFERROR(__xludf.DUMMYFUNCTION("""COMPUTED_VALUE"""),0.0)</f>
        <v>0</v>
      </c>
      <c r="AG290" s="16">
        <f>IFERROR(__xludf.DUMMYFUNCTION("""COMPUTED_VALUE"""),0.0)</f>
        <v>0</v>
      </c>
      <c r="AH290" s="16">
        <f>IFERROR(__xludf.DUMMYFUNCTION("""COMPUTED_VALUE"""),0.0)</f>
        <v>0</v>
      </c>
    </row>
    <row r="291">
      <c r="A291" s="16" t="str">
        <f>IFERROR(__xludf.DUMMYFUNCTION("""COMPUTED_VALUE"""),"fce99720ddedf66c6e45f23c6876581e0b796f34")</f>
        <v>fce99720ddedf66c6e45f23c6876581e0b796f34</v>
      </c>
      <c r="B291" s="16" t="str">
        <f>IFERROR(__xludf.DUMMYFUNCTION("""COMPUTED_VALUE"""),"Reborn as Serena Whitmore")</f>
        <v>Reborn as Serena Whitmore</v>
      </c>
      <c r="C291" s="16" t="str">
        <f>IFERROR(__xludf.DUMMYFUNCTION("""COMPUTED_VALUE"""),"Romance")</f>
        <v>Romance</v>
      </c>
      <c r="D291" s="16">
        <f>IFERROR(__xludf.DUMMYFUNCTION("""COMPUTED_VALUE"""),110.0)</f>
        <v>110</v>
      </c>
      <c r="E291" s="16">
        <f>IFERROR(__xludf.DUMMYFUNCTION("""COMPUTED_VALUE"""),0.945454545454545)</f>
        <v>0.9454545455</v>
      </c>
      <c r="F291" s="16">
        <f>IFERROR(__xludf.DUMMYFUNCTION("""COMPUTED_VALUE"""),0.681818181818181)</f>
        <v>0.6818181818</v>
      </c>
      <c r="G291" s="16">
        <f>IFERROR(__xludf.DUMMYFUNCTION("""COMPUTED_VALUE"""),0.627272727272727)</f>
        <v>0.6272727273</v>
      </c>
      <c r="H291" s="16">
        <f>IFERROR(__xludf.DUMMYFUNCTION("""COMPUTED_VALUE"""),0.627272727272727)</f>
        <v>0.6272727273</v>
      </c>
      <c r="I291" s="16">
        <f>IFERROR(__xludf.DUMMYFUNCTION("""COMPUTED_VALUE"""),0.545454545454545)</f>
        <v>0.5454545455</v>
      </c>
      <c r="J291" s="16">
        <f>IFERROR(__xludf.DUMMYFUNCTION("""COMPUTED_VALUE"""),0.513761467889908)</f>
        <v>0.5137614679</v>
      </c>
      <c r="K291" s="16">
        <f>IFERROR(__xludf.DUMMYFUNCTION("""COMPUTED_VALUE"""),0.481481481481481)</f>
        <v>0.4814814815</v>
      </c>
      <c r="L291" s="16">
        <f>IFERROR(__xludf.DUMMYFUNCTION("""COMPUTED_VALUE"""),0.448598130841121)</f>
        <v>0.4485981308</v>
      </c>
      <c r="M291" s="16">
        <f>IFERROR(__xludf.DUMMYFUNCTION("""COMPUTED_VALUE"""),0.419047619047619)</f>
        <v>0.419047619</v>
      </c>
      <c r="N291" s="16">
        <f>IFERROR(__xludf.DUMMYFUNCTION("""COMPUTED_VALUE"""),0.372549019607843)</f>
        <v>0.3725490196</v>
      </c>
      <c r="O291" s="16">
        <f>IFERROR(__xludf.DUMMYFUNCTION("""COMPUTED_VALUE"""),0.328125)</f>
        <v>0.328125</v>
      </c>
      <c r="P291" s="16">
        <f>IFERROR(__xludf.DUMMYFUNCTION("""COMPUTED_VALUE"""),0.35)</f>
        <v>0.35</v>
      </c>
      <c r="Q291" s="16">
        <f>IFERROR(__xludf.DUMMYFUNCTION("""COMPUTED_VALUE"""),0.0)</f>
        <v>0</v>
      </c>
      <c r="R291" s="16">
        <f>IFERROR(__xludf.DUMMYFUNCTION("""COMPUTED_VALUE"""),0.0)</f>
        <v>0</v>
      </c>
      <c r="S291" s="16">
        <f>IFERROR(__xludf.DUMMYFUNCTION("""COMPUTED_VALUE"""),0.0)</f>
        <v>0</v>
      </c>
      <c r="T291" s="16">
        <f>IFERROR(__xludf.DUMMYFUNCTION("""COMPUTED_VALUE"""),0.0)</f>
        <v>0</v>
      </c>
      <c r="U291" s="16">
        <f>IFERROR(__xludf.DUMMYFUNCTION("""COMPUTED_VALUE"""),0.0)</f>
        <v>0</v>
      </c>
      <c r="V291" s="16">
        <f>IFERROR(__xludf.DUMMYFUNCTION("""COMPUTED_VALUE"""),0.0)</f>
        <v>0</v>
      </c>
      <c r="W291" s="16">
        <f>IFERROR(__xludf.DUMMYFUNCTION("""COMPUTED_VALUE"""),0.0)</f>
        <v>0</v>
      </c>
      <c r="X291" s="16">
        <f>IFERROR(__xludf.DUMMYFUNCTION("""COMPUTED_VALUE"""),0.0)</f>
        <v>0</v>
      </c>
      <c r="Y291" s="16">
        <f>IFERROR(__xludf.DUMMYFUNCTION("""COMPUTED_VALUE"""),0.0)</f>
        <v>0</v>
      </c>
      <c r="Z291" s="16">
        <f>IFERROR(__xludf.DUMMYFUNCTION("""COMPUTED_VALUE"""),0.0)</f>
        <v>0</v>
      </c>
      <c r="AA291" s="16">
        <f>IFERROR(__xludf.DUMMYFUNCTION("""COMPUTED_VALUE"""),0.0)</f>
        <v>0</v>
      </c>
      <c r="AB291" s="16">
        <f>IFERROR(__xludf.DUMMYFUNCTION("""COMPUTED_VALUE"""),0.0)</f>
        <v>0</v>
      </c>
      <c r="AC291" s="16">
        <f>IFERROR(__xludf.DUMMYFUNCTION("""COMPUTED_VALUE"""),0.0)</f>
        <v>0</v>
      </c>
      <c r="AD291" s="16">
        <f>IFERROR(__xludf.DUMMYFUNCTION("""COMPUTED_VALUE"""),0.0)</f>
        <v>0</v>
      </c>
      <c r="AE291" s="16">
        <f>IFERROR(__xludf.DUMMYFUNCTION("""COMPUTED_VALUE"""),0.0)</f>
        <v>0</v>
      </c>
      <c r="AF291" s="16">
        <f>IFERROR(__xludf.DUMMYFUNCTION("""COMPUTED_VALUE"""),0.0)</f>
        <v>0</v>
      </c>
      <c r="AG291" s="16">
        <f>IFERROR(__xludf.DUMMYFUNCTION("""COMPUTED_VALUE"""),0.0)</f>
        <v>0</v>
      </c>
      <c r="AH291" s="16">
        <f>IFERROR(__xludf.DUMMYFUNCTION("""COMPUTED_VALUE"""),0.0)</f>
        <v>0</v>
      </c>
    </row>
    <row r="292">
      <c r="A292" s="16" t="str">
        <f>IFERROR(__xludf.DUMMYFUNCTION("""COMPUTED_VALUE"""),"fe01aa725eab93a44f707bbab393a9640b0e69db")</f>
        <v>fe01aa725eab93a44f707bbab393a9640b0e69db</v>
      </c>
      <c r="B292" s="16" t="str">
        <f>IFERROR(__xludf.DUMMYFUNCTION("""COMPUTED_VALUE"""),"3 Years Later He Found Me")</f>
        <v>3 Years Later He Found Me</v>
      </c>
      <c r="C292" s="16" t="str">
        <f>IFERROR(__xludf.DUMMYFUNCTION("""COMPUTED_VALUE"""),"Romance")</f>
        <v>Romance</v>
      </c>
      <c r="D292" s="16">
        <f>IFERROR(__xludf.DUMMYFUNCTION("""COMPUTED_VALUE"""),62.0)</f>
        <v>62</v>
      </c>
      <c r="E292" s="16">
        <f>IFERROR(__xludf.DUMMYFUNCTION("""COMPUTED_VALUE"""),0.919354838709677)</f>
        <v>0.9193548387</v>
      </c>
      <c r="F292" s="16">
        <f>IFERROR(__xludf.DUMMYFUNCTION("""COMPUTED_VALUE"""),0.5)</f>
        <v>0.5</v>
      </c>
      <c r="G292" s="16">
        <f>IFERROR(__xludf.DUMMYFUNCTION("""COMPUTED_VALUE"""),0.403225806451612)</f>
        <v>0.4032258065</v>
      </c>
      <c r="H292" s="16">
        <f>IFERROR(__xludf.DUMMYFUNCTION("""COMPUTED_VALUE"""),0.387096774193548)</f>
        <v>0.3870967742</v>
      </c>
      <c r="I292" s="16">
        <f>IFERROR(__xludf.DUMMYFUNCTION("""COMPUTED_VALUE"""),0.387096774193548)</f>
        <v>0.3870967742</v>
      </c>
      <c r="J292" s="16">
        <f>IFERROR(__xludf.DUMMYFUNCTION("""COMPUTED_VALUE"""),0.344262295081967)</f>
        <v>0.3442622951</v>
      </c>
      <c r="K292" s="16">
        <f>IFERROR(__xludf.DUMMYFUNCTION("""COMPUTED_VALUE"""),0.360655737704918)</f>
        <v>0.3606557377</v>
      </c>
      <c r="L292" s="16">
        <f>IFERROR(__xludf.DUMMYFUNCTION("""COMPUTED_VALUE"""),0.360655737704918)</f>
        <v>0.3606557377</v>
      </c>
      <c r="M292" s="16">
        <f>IFERROR(__xludf.DUMMYFUNCTION("""COMPUTED_VALUE"""),0.360655737704918)</f>
        <v>0.3606557377</v>
      </c>
      <c r="N292" s="16">
        <f>IFERROR(__xludf.DUMMYFUNCTION("""COMPUTED_VALUE"""),0.327868852459016)</f>
        <v>0.3278688525</v>
      </c>
      <c r="O292" s="16">
        <f>IFERROR(__xludf.DUMMYFUNCTION("""COMPUTED_VALUE"""),0.25)</f>
        <v>0.25</v>
      </c>
      <c r="P292" s="16">
        <f>IFERROR(__xludf.DUMMYFUNCTION("""COMPUTED_VALUE"""),0.0909090909090909)</f>
        <v>0.09090909091</v>
      </c>
      <c r="Q292" s="16">
        <f>IFERROR(__xludf.DUMMYFUNCTION("""COMPUTED_VALUE"""),0.075)</f>
        <v>0.075</v>
      </c>
      <c r="R292" s="16">
        <f>IFERROR(__xludf.DUMMYFUNCTION("""COMPUTED_VALUE"""),1.0)</f>
        <v>1</v>
      </c>
      <c r="S292" s="16">
        <f>IFERROR(__xludf.DUMMYFUNCTION("""COMPUTED_VALUE"""),0.0)</f>
        <v>0</v>
      </c>
      <c r="T292" s="16">
        <f>IFERROR(__xludf.DUMMYFUNCTION("""COMPUTED_VALUE"""),0.0)</f>
        <v>0</v>
      </c>
      <c r="U292" s="16">
        <f>IFERROR(__xludf.DUMMYFUNCTION("""COMPUTED_VALUE"""),0.0)</f>
        <v>0</v>
      </c>
      <c r="V292" s="16">
        <f>IFERROR(__xludf.DUMMYFUNCTION("""COMPUTED_VALUE"""),0.0)</f>
        <v>0</v>
      </c>
      <c r="W292" s="16">
        <f>IFERROR(__xludf.DUMMYFUNCTION("""COMPUTED_VALUE"""),0.0)</f>
        <v>0</v>
      </c>
      <c r="X292" s="16">
        <f>IFERROR(__xludf.DUMMYFUNCTION("""COMPUTED_VALUE"""),0.0)</f>
        <v>0</v>
      </c>
      <c r="Y292" s="16">
        <f>IFERROR(__xludf.DUMMYFUNCTION("""COMPUTED_VALUE"""),0.0)</f>
        <v>0</v>
      </c>
      <c r="Z292" s="16">
        <f>IFERROR(__xludf.DUMMYFUNCTION("""COMPUTED_VALUE"""),0.0)</f>
        <v>0</v>
      </c>
      <c r="AA292" s="16">
        <f>IFERROR(__xludf.DUMMYFUNCTION("""COMPUTED_VALUE"""),0.0)</f>
        <v>0</v>
      </c>
      <c r="AB292" s="16">
        <f>IFERROR(__xludf.DUMMYFUNCTION("""COMPUTED_VALUE"""),0.0)</f>
        <v>0</v>
      </c>
      <c r="AC292" s="16">
        <f>IFERROR(__xludf.DUMMYFUNCTION("""COMPUTED_VALUE"""),0.0)</f>
        <v>0</v>
      </c>
      <c r="AD292" s="16">
        <f>IFERROR(__xludf.DUMMYFUNCTION("""COMPUTED_VALUE"""),0.0)</f>
        <v>0</v>
      </c>
      <c r="AE292" s="16">
        <f>IFERROR(__xludf.DUMMYFUNCTION("""COMPUTED_VALUE"""),0.0)</f>
        <v>0</v>
      </c>
      <c r="AF292" s="16">
        <f>IFERROR(__xludf.DUMMYFUNCTION("""COMPUTED_VALUE"""),0.0)</f>
        <v>0</v>
      </c>
      <c r="AG292" s="16">
        <f>IFERROR(__xludf.DUMMYFUNCTION("""COMPUTED_VALUE"""),0.0)</f>
        <v>0</v>
      </c>
      <c r="AH292" s="16">
        <f>IFERROR(__xludf.DUMMYFUNCTION("""COMPUTED_VALUE"""),0.0)</f>
        <v>0</v>
      </c>
    </row>
    <row r="293">
      <c r="A293" s="16" t="str">
        <f>IFERROR(__xludf.DUMMYFUNCTION("""COMPUTED_VALUE"""),"fe218223c3cbc0377d2bb07ad68251723f1b3792")</f>
        <v>fe218223c3cbc0377d2bb07ad68251723f1b3792</v>
      </c>
      <c r="B293" s="16" t="str">
        <f>IFERROR(__xludf.DUMMYFUNCTION("""COMPUTED_VALUE"""),"Return of the Gamer God")</f>
        <v>Return of the Gamer God</v>
      </c>
      <c r="C293" s="16" t="str">
        <f>IFERROR(__xludf.DUMMYFUNCTION("""COMPUTED_VALUE"""),"System and Superpower")</f>
        <v>System and Superpower</v>
      </c>
      <c r="D293" s="16">
        <f>IFERROR(__xludf.DUMMYFUNCTION("""COMPUTED_VALUE"""),4266.0)</f>
        <v>4266</v>
      </c>
      <c r="E293" s="16">
        <f>IFERROR(__xludf.DUMMYFUNCTION("""COMPUTED_VALUE"""),0.96812001875293)</f>
        <v>0.9681200188</v>
      </c>
      <c r="F293" s="16">
        <f>IFERROR(__xludf.DUMMYFUNCTION("""COMPUTED_VALUE"""),0.535161744022503)</f>
        <v>0.535161744</v>
      </c>
      <c r="G293" s="16">
        <f>IFERROR(__xludf.DUMMYFUNCTION("""COMPUTED_VALUE"""),0.498124706985466)</f>
        <v>0.498124707</v>
      </c>
      <c r="H293" s="16">
        <f>IFERROR(__xludf.DUMMYFUNCTION("""COMPUTED_VALUE"""),0.465509150633505)</f>
        <v>0.4655091506</v>
      </c>
      <c r="I293" s="16">
        <f>IFERROR(__xludf.DUMMYFUNCTION("""COMPUTED_VALUE"""),0.439500941619585)</f>
        <v>0.4395009416</v>
      </c>
      <c r="J293" s="16">
        <f>IFERROR(__xludf.DUMMYFUNCTION("""COMPUTED_VALUE"""),0.422432113341204)</f>
        <v>0.4224321133</v>
      </c>
      <c r="K293" s="16">
        <f>IFERROR(__xludf.DUMMYFUNCTION("""COMPUTED_VALUE"""),0.410134975136159)</f>
        <v>0.4101349751</v>
      </c>
      <c r="L293" s="16">
        <f>IFERROR(__xludf.DUMMYFUNCTION("""COMPUTED_VALUE"""),0.396727531420441)</f>
        <v>0.3967275314</v>
      </c>
      <c r="M293" s="16">
        <f>IFERROR(__xludf.DUMMYFUNCTION("""COMPUTED_VALUE"""),0.381563316702304)</f>
        <v>0.3815633167</v>
      </c>
      <c r="N293" s="16">
        <f>IFERROR(__xludf.DUMMYFUNCTION("""COMPUTED_VALUE"""),0.373657838224767)</f>
        <v>0.3736578382</v>
      </c>
      <c r="O293" s="16">
        <f>IFERROR(__xludf.DUMMYFUNCTION("""COMPUTED_VALUE"""),0.317013794968893)</f>
        <v>0.317013795</v>
      </c>
      <c r="P293" s="16">
        <f>IFERROR(__xludf.DUMMYFUNCTION("""COMPUTED_VALUE"""),0.265060240963855)</f>
        <v>0.265060241</v>
      </c>
      <c r="Q293" s="16">
        <f>IFERROR(__xludf.DUMMYFUNCTION("""COMPUTED_VALUE"""),0.177884615384615)</f>
        <v>0.1778846154</v>
      </c>
      <c r="R293" s="16">
        <f>IFERROR(__xludf.DUMMYFUNCTION("""COMPUTED_VALUE"""),0.0)</f>
        <v>0</v>
      </c>
      <c r="S293" s="16">
        <f>IFERROR(__xludf.DUMMYFUNCTION("""COMPUTED_VALUE"""),0.0)</f>
        <v>0</v>
      </c>
      <c r="T293" s="16">
        <f>IFERROR(__xludf.DUMMYFUNCTION("""COMPUTED_VALUE"""),0.0)</f>
        <v>0</v>
      </c>
      <c r="U293" s="16">
        <f>IFERROR(__xludf.DUMMYFUNCTION("""COMPUTED_VALUE"""),0.0)</f>
        <v>0</v>
      </c>
      <c r="V293" s="16">
        <f>IFERROR(__xludf.DUMMYFUNCTION("""COMPUTED_VALUE"""),0.0)</f>
        <v>0</v>
      </c>
      <c r="W293" s="16">
        <f>IFERROR(__xludf.DUMMYFUNCTION("""COMPUTED_VALUE"""),0.0)</f>
        <v>0</v>
      </c>
      <c r="X293" s="16">
        <f>IFERROR(__xludf.DUMMYFUNCTION("""COMPUTED_VALUE"""),0.0)</f>
        <v>0</v>
      </c>
      <c r="Y293" s="16">
        <f>IFERROR(__xludf.DUMMYFUNCTION("""COMPUTED_VALUE"""),0.0)</f>
        <v>0</v>
      </c>
      <c r="Z293" s="16">
        <f>IFERROR(__xludf.DUMMYFUNCTION("""COMPUTED_VALUE"""),0.0)</f>
        <v>0</v>
      </c>
      <c r="AA293" s="16">
        <f>IFERROR(__xludf.DUMMYFUNCTION("""COMPUTED_VALUE"""),0.0)</f>
        <v>0</v>
      </c>
      <c r="AB293" s="16">
        <f>IFERROR(__xludf.DUMMYFUNCTION("""COMPUTED_VALUE"""),0.0)</f>
        <v>0</v>
      </c>
      <c r="AC293" s="16">
        <f>IFERROR(__xludf.DUMMYFUNCTION("""COMPUTED_VALUE"""),0.0)</f>
        <v>0</v>
      </c>
      <c r="AD293" s="16">
        <f>IFERROR(__xludf.DUMMYFUNCTION("""COMPUTED_VALUE"""),0.0)</f>
        <v>0</v>
      </c>
      <c r="AE293" s="16">
        <f>IFERROR(__xludf.DUMMYFUNCTION("""COMPUTED_VALUE"""),0.0)</f>
        <v>0</v>
      </c>
      <c r="AF293" s="16">
        <f>IFERROR(__xludf.DUMMYFUNCTION("""COMPUTED_VALUE"""),0.0)</f>
        <v>0</v>
      </c>
      <c r="AG293" s="16">
        <f>IFERROR(__xludf.DUMMYFUNCTION("""COMPUTED_VALUE"""),0.0)</f>
        <v>0</v>
      </c>
      <c r="AH293" s="16">
        <f>IFERROR(__xludf.DUMMYFUNCTION("""COMPUTED_VALUE"""),0.0)</f>
        <v>0</v>
      </c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4" max="34" width="15.88"/>
  </cols>
  <sheetData>
    <row r="1">
      <c r="A1" s="1"/>
      <c r="B1" s="1" t="s">
        <v>0</v>
      </c>
      <c r="C1" s="1" t="s">
        <v>1</v>
      </c>
      <c r="D1" s="14">
        <v>6312.0</v>
      </c>
      <c r="E1" s="14">
        <v>0.894011406844106</v>
      </c>
      <c r="F1" s="14">
        <v>0.492237008871989</v>
      </c>
      <c r="G1" s="14">
        <v>0.435361216730038</v>
      </c>
      <c r="H1" s="14">
        <v>0.402724968314321</v>
      </c>
      <c r="I1" s="14">
        <v>0.376425855513308</v>
      </c>
      <c r="J1" s="14">
        <v>0.359555908009516</v>
      </c>
      <c r="K1" s="14">
        <v>0.34641041931385</v>
      </c>
      <c r="L1" s="14">
        <v>0.335674381484437</v>
      </c>
      <c r="M1" s="14">
        <v>0.329490874159462</v>
      </c>
      <c r="N1" s="14">
        <v>0.32524115755627</v>
      </c>
      <c r="O1" s="14">
        <v>0.30441845354126</v>
      </c>
      <c r="P1" s="14">
        <v>0.275102711585866</v>
      </c>
      <c r="Q1" s="14">
        <v>0.23778227165487</v>
      </c>
      <c r="R1" s="14">
        <v>0.216424294268605</v>
      </c>
      <c r="S1" s="14">
        <v>0.202452927966833</v>
      </c>
      <c r="T1" s="14">
        <v>0.198053097345132</v>
      </c>
      <c r="U1" s="14">
        <v>0.190200687036702</v>
      </c>
      <c r="V1" s="14">
        <v>0.18210216832047</v>
      </c>
      <c r="W1" s="14">
        <v>0.176426845138501</v>
      </c>
      <c r="X1" s="14">
        <v>0.169953051643192</v>
      </c>
      <c r="Y1" s="14">
        <v>0.166887919590366</v>
      </c>
      <c r="Z1" s="14">
        <v>0.163448671382144</v>
      </c>
      <c r="AA1" s="14">
        <v>0.158529468974907</v>
      </c>
      <c r="AB1" s="14">
        <v>0.152655300803448</v>
      </c>
      <c r="AC1" s="14">
        <v>0.143367043426531</v>
      </c>
      <c r="AD1" s="14">
        <v>0.1376164981162</v>
      </c>
      <c r="AE1" s="14">
        <v>0.131271068808249</v>
      </c>
      <c r="AF1" s="14">
        <v>0.126511996827285</v>
      </c>
      <c r="AG1" s="14">
        <v>0.121752924846321</v>
      </c>
      <c r="AH1" s="14">
        <v>0.117588736862978</v>
      </c>
    </row>
    <row r="2">
      <c r="A2" s="1"/>
      <c r="B2" s="1" t="s">
        <v>0</v>
      </c>
      <c r="C2" s="1" t="s">
        <v>2</v>
      </c>
      <c r="D2" s="14">
        <v>19.0</v>
      </c>
      <c r="E2" s="14">
        <v>0.684210526315789</v>
      </c>
      <c r="F2" s="14">
        <v>0.368421052631578</v>
      </c>
      <c r="G2" s="14">
        <v>0.421052631578947</v>
      </c>
      <c r="H2" s="14">
        <v>0.31578947368421</v>
      </c>
      <c r="I2" s="14">
        <v>0.31578947368421</v>
      </c>
      <c r="J2" s="14">
        <v>0.31578947368421</v>
      </c>
      <c r="K2" s="14">
        <v>0.368421052631578</v>
      </c>
      <c r="L2" s="14">
        <v>0.31578947368421</v>
      </c>
      <c r="M2" s="14">
        <v>0.31578947368421</v>
      </c>
      <c r="N2" s="14">
        <v>0.31578947368421</v>
      </c>
      <c r="O2" s="14">
        <v>0.31578947368421</v>
      </c>
      <c r="P2" s="14">
        <v>0.31578947368421</v>
      </c>
      <c r="Q2" s="14">
        <v>0.166666666666666</v>
      </c>
      <c r="R2" s="14">
        <v>0.166666666666666</v>
      </c>
      <c r="S2" s="14">
        <v>0.222222222222222</v>
      </c>
      <c r="T2" s="14">
        <v>0.111111111111111</v>
      </c>
      <c r="U2" s="14">
        <v>0.111111111111111</v>
      </c>
      <c r="V2" s="14">
        <v>0.117647058823529</v>
      </c>
      <c r="W2" s="14">
        <v>0.133333333333333</v>
      </c>
      <c r="X2" s="14">
        <v>0.25</v>
      </c>
      <c r="Y2" s="14">
        <v>0.333333333333333</v>
      </c>
      <c r="Z2" s="14">
        <v>0.0</v>
      </c>
      <c r="AA2" s="14">
        <v>0.0</v>
      </c>
      <c r="AB2" s="14">
        <v>0.0</v>
      </c>
      <c r="AC2" s="14">
        <v>0.0</v>
      </c>
      <c r="AD2" s="14">
        <v>0.0</v>
      </c>
      <c r="AE2" s="14">
        <v>0.0</v>
      </c>
      <c r="AF2" s="14">
        <v>0.0</v>
      </c>
      <c r="AG2" s="14">
        <v>0.0</v>
      </c>
      <c r="AH2" s="14">
        <v>0.0</v>
      </c>
    </row>
    <row r="3">
      <c r="A3" s="1"/>
      <c r="B3" s="1" t="s">
        <v>0</v>
      </c>
      <c r="C3" s="1" t="s">
        <v>3</v>
      </c>
      <c r="D3" s="14">
        <v>2120.0</v>
      </c>
      <c r="E3" s="14">
        <v>0.907075471698113</v>
      </c>
      <c r="F3" s="14">
        <v>0.425471698113207</v>
      </c>
      <c r="G3" s="14">
        <v>0.367452830188679</v>
      </c>
      <c r="H3" s="14">
        <v>0.333490566037735</v>
      </c>
      <c r="I3" s="14">
        <v>0.30943396226415</v>
      </c>
      <c r="J3" s="14">
        <v>0.287871637564889</v>
      </c>
      <c r="K3" s="14">
        <v>0.274787535410764</v>
      </c>
      <c r="L3" s="14">
        <v>0.263456090651558</v>
      </c>
      <c r="M3" s="14">
        <v>0.255429650613786</v>
      </c>
      <c r="N3" s="14">
        <v>0.251652502360717</v>
      </c>
      <c r="O3" s="14">
        <v>0.23451536643026</v>
      </c>
      <c r="P3" s="14">
        <v>0.21523178807947</v>
      </c>
      <c r="Q3" s="14">
        <v>0.183799147323543</v>
      </c>
      <c r="R3" s="14">
        <v>0.165795724465558</v>
      </c>
      <c r="S3" s="14">
        <v>0.15095238095238</v>
      </c>
      <c r="T3" s="14">
        <v>0.15047619047619</v>
      </c>
      <c r="U3" s="14">
        <v>0.140804597701149</v>
      </c>
      <c r="V3" s="14">
        <v>0.144044321329639</v>
      </c>
      <c r="W3" s="14">
        <v>0.125899280575539</v>
      </c>
      <c r="X3" s="14">
        <v>0.115577889447236</v>
      </c>
      <c r="Y3" s="14">
        <v>0.111111111111111</v>
      </c>
      <c r="Z3" s="14">
        <v>0.0769230769230769</v>
      </c>
      <c r="AA3" s="14">
        <v>0.0851063829787234</v>
      </c>
      <c r="AB3" s="14">
        <v>0.0571428571428571</v>
      </c>
      <c r="AC3" s="14">
        <v>0.0612244897959183</v>
      </c>
      <c r="AD3" s="14">
        <v>0.0606060606060606</v>
      </c>
      <c r="AE3" s="14">
        <v>0.0</v>
      </c>
      <c r="AF3" s="14">
        <v>0.0</v>
      </c>
      <c r="AG3" s="14">
        <v>0.0</v>
      </c>
      <c r="AH3" s="14">
        <v>0.0</v>
      </c>
    </row>
    <row r="4" ht="15.75" customHeight="1">
      <c r="A4" s="7" t="s">
        <v>4</v>
      </c>
      <c r="B4" s="7" t="s">
        <v>5</v>
      </c>
      <c r="C4" s="15" t="s">
        <v>6</v>
      </c>
      <c r="D4" s="9" t="s">
        <v>7</v>
      </c>
      <c r="E4" s="13" t="s">
        <v>8</v>
      </c>
      <c r="F4" s="13" t="s">
        <v>9</v>
      </c>
      <c r="G4" s="13" t="s">
        <v>10</v>
      </c>
      <c r="H4" s="13" t="s">
        <v>11</v>
      </c>
      <c r="I4" s="13" t="s">
        <v>12</v>
      </c>
      <c r="J4" s="13" t="s">
        <v>13</v>
      </c>
      <c r="K4" s="13" t="s">
        <v>14</v>
      </c>
      <c r="L4" s="13" t="s">
        <v>15</v>
      </c>
      <c r="M4" s="13" t="s">
        <v>16</v>
      </c>
      <c r="N4" s="13" t="s">
        <v>17</v>
      </c>
      <c r="O4" s="13" t="s">
        <v>18</v>
      </c>
      <c r="P4" s="13" t="s">
        <v>19</v>
      </c>
      <c r="Q4" s="13" t="s">
        <v>20</v>
      </c>
      <c r="R4" s="13" t="s">
        <v>21</v>
      </c>
      <c r="S4" s="13" t="s">
        <v>22</v>
      </c>
      <c r="T4" s="13" t="s">
        <v>23</v>
      </c>
      <c r="U4" s="13" t="s">
        <v>24</v>
      </c>
      <c r="V4" s="13" t="s">
        <v>25</v>
      </c>
      <c r="W4" s="13" t="s">
        <v>26</v>
      </c>
      <c r="X4" s="13" t="s">
        <v>27</v>
      </c>
      <c r="Y4" s="13" t="s">
        <v>33</v>
      </c>
      <c r="Z4" s="13" t="s">
        <v>28</v>
      </c>
      <c r="AA4" s="13" t="s">
        <v>34</v>
      </c>
      <c r="AB4" s="13" t="s">
        <v>29</v>
      </c>
      <c r="AC4" s="13" t="s">
        <v>35</v>
      </c>
      <c r="AD4" s="13" t="s">
        <v>30</v>
      </c>
      <c r="AE4" s="13" t="s">
        <v>36</v>
      </c>
      <c r="AF4" s="13" t="s">
        <v>31</v>
      </c>
      <c r="AG4" s="13" t="s">
        <v>37</v>
      </c>
      <c r="AH4" s="13" t="s">
        <v>32</v>
      </c>
    </row>
    <row r="5">
      <c r="A5" s="16" t="str">
        <f>IFERROR(__xludf.DUMMYFUNCTION("HSTACK(
  IMPORTRANGE(""https://docs.google.com/spreadsheets/d/1OLoRCn0B2mP-LizDOaFp_LsrXGtZR4ZKvHn3aia4TMo/edit?usp=sharing"",""'W+ US Male'!B5:B""),
  IMPORTRANGE(""https://docs.google.com/spreadsheets/d/1OLoRCn0B2mP-LizDOaFp_LsrXGtZR4ZKvHn3aia4TMo/edit"&amp;"?usp=sharing"",""'W+ US Male'!C5:C""),
  IMPORTRANGE(""https://docs.google.com/spreadsheets/d/1OLoRCn0B2mP-LizDOaFp_LsrXGtZR4ZKvHn3aia4TMo/edit?usp=sharing"",""'W+ US Male'!E5:E""),
  IMPORTRANGE(""https://docs.google.com/spreadsheets/d/1OLoRCn0B2mP-LizDO"&amp;"aFp_LsrXGtZR4ZKvHn3aia4TMo/edit?usp=sharing"",""'W+ US Male'!AC5:AC""),
  IMPORTRANGE(""https://docs.google.com/spreadsheets/d/1OLoRCn0B2mP-LizDOaFp_LsrXGtZR4ZKvHn3aia4TMo/edit?usp=sharing"",""'W+ US Male'!AK5:BN"")
)"),"003c0c0b3759df17ce3f0b5feeeed123024f274d")</f>
        <v>003c0c0b3759df17ce3f0b5feeeed123024f274d</v>
      </c>
      <c r="B5" s="16" t="str">
        <f>IFERROR(__xludf.DUMMYFUNCTION("""COMPUTED_VALUE"""),"The Invictus Mage Returns")</f>
        <v>The Invictus Mage Returns</v>
      </c>
      <c r="C5" s="16" t="str">
        <f>IFERROR(__xludf.DUMMYFUNCTION("""COMPUTED_VALUE"""),"Fantasy")</f>
        <v>Fantasy</v>
      </c>
      <c r="D5" s="16">
        <f>IFERROR(__xludf.DUMMYFUNCTION("""COMPUTED_VALUE"""),554.0)</f>
        <v>554</v>
      </c>
      <c r="E5" s="16">
        <f>IFERROR(__xludf.DUMMYFUNCTION("""COMPUTED_VALUE"""),0.978339350180505)</f>
        <v>0.9783393502</v>
      </c>
      <c r="F5" s="16">
        <f>IFERROR(__xludf.DUMMYFUNCTION("""COMPUTED_VALUE"""),0.79783393501805)</f>
        <v>0.797833935</v>
      </c>
      <c r="G5" s="16">
        <f>IFERROR(__xludf.DUMMYFUNCTION("""COMPUTED_VALUE"""),0.759927797833935)</f>
        <v>0.7599277978</v>
      </c>
      <c r="H5" s="16">
        <f>IFERROR(__xludf.DUMMYFUNCTION("""COMPUTED_VALUE"""),0.705776173285198)</f>
        <v>0.7057761733</v>
      </c>
      <c r="I5" s="16">
        <f>IFERROR(__xludf.DUMMYFUNCTION("""COMPUTED_VALUE"""),0.649819494584837)</f>
        <v>0.6498194946</v>
      </c>
      <c r="J5" s="16">
        <f>IFERROR(__xludf.DUMMYFUNCTION("""COMPUTED_VALUE"""),0.620938628158844)</f>
        <v>0.6209386282</v>
      </c>
      <c r="K5" s="16">
        <f>IFERROR(__xludf.DUMMYFUNCTION("""COMPUTED_VALUE"""),0.584837545126353)</f>
        <v>0.5848375451</v>
      </c>
      <c r="L5" s="16">
        <f>IFERROR(__xludf.DUMMYFUNCTION("""COMPUTED_VALUE"""),0.566003616636528)</f>
        <v>0.5660036166</v>
      </c>
      <c r="M5" s="16">
        <f>IFERROR(__xludf.DUMMYFUNCTION("""COMPUTED_VALUE"""),0.550724637681159)</f>
        <v>0.5507246377</v>
      </c>
      <c r="N5" s="16">
        <f>IFERROR(__xludf.DUMMYFUNCTION("""COMPUTED_VALUE"""),0.536231884057971)</f>
        <v>0.5362318841</v>
      </c>
      <c r="O5" s="16">
        <f>IFERROR(__xludf.DUMMYFUNCTION("""COMPUTED_VALUE"""),0.445054945054945)</f>
        <v>0.4450549451</v>
      </c>
      <c r="P5" s="16">
        <f>IFERROR(__xludf.DUMMYFUNCTION("""COMPUTED_VALUE"""),0.321033210332103)</f>
        <v>0.3210332103</v>
      </c>
      <c r="Q5" s="16">
        <f>IFERROR(__xludf.DUMMYFUNCTION("""COMPUTED_VALUE"""),0.133587786259541)</f>
        <v>0.1335877863</v>
      </c>
      <c r="R5" s="16">
        <f>IFERROR(__xludf.DUMMYFUNCTION("""COMPUTED_VALUE"""),0.0)</f>
        <v>0</v>
      </c>
      <c r="S5" s="16">
        <f>IFERROR(__xludf.DUMMYFUNCTION("""COMPUTED_VALUE"""),0.0)</f>
        <v>0</v>
      </c>
      <c r="T5" s="16">
        <f>IFERROR(__xludf.DUMMYFUNCTION("""COMPUTED_VALUE"""),0.0)</f>
        <v>0</v>
      </c>
      <c r="U5" s="16">
        <f>IFERROR(__xludf.DUMMYFUNCTION("""COMPUTED_VALUE"""),0.0)</f>
        <v>0</v>
      </c>
      <c r="V5" s="16">
        <f>IFERROR(__xludf.DUMMYFUNCTION("""COMPUTED_VALUE"""),0.0)</f>
        <v>0</v>
      </c>
      <c r="W5" s="16">
        <f>IFERROR(__xludf.DUMMYFUNCTION("""COMPUTED_VALUE"""),0.0)</f>
        <v>0</v>
      </c>
      <c r="X5" s="16">
        <f>IFERROR(__xludf.DUMMYFUNCTION("""COMPUTED_VALUE"""),0.0)</f>
        <v>0</v>
      </c>
      <c r="Y5" s="16">
        <f>IFERROR(__xludf.DUMMYFUNCTION("""COMPUTED_VALUE"""),0.0)</f>
        <v>0</v>
      </c>
      <c r="Z5" s="16">
        <f>IFERROR(__xludf.DUMMYFUNCTION("""COMPUTED_VALUE"""),0.0)</f>
        <v>0</v>
      </c>
      <c r="AA5" s="16">
        <f>IFERROR(__xludf.DUMMYFUNCTION("""COMPUTED_VALUE"""),0.0)</f>
        <v>0</v>
      </c>
      <c r="AB5" s="16">
        <f>IFERROR(__xludf.DUMMYFUNCTION("""COMPUTED_VALUE"""),0.0)</f>
        <v>0</v>
      </c>
      <c r="AC5" s="16">
        <f>IFERROR(__xludf.DUMMYFUNCTION("""COMPUTED_VALUE"""),0.0)</f>
        <v>0</v>
      </c>
      <c r="AD5" s="16">
        <f>IFERROR(__xludf.DUMMYFUNCTION("""COMPUTED_VALUE"""),0.0)</f>
        <v>0</v>
      </c>
      <c r="AE5" s="16">
        <f>IFERROR(__xludf.DUMMYFUNCTION("""COMPUTED_VALUE"""),0.0)</f>
        <v>0</v>
      </c>
      <c r="AF5" s="16">
        <f>IFERROR(__xludf.DUMMYFUNCTION("""COMPUTED_VALUE"""),0.0)</f>
        <v>0</v>
      </c>
      <c r="AG5" s="16">
        <f>IFERROR(__xludf.DUMMYFUNCTION("""COMPUTED_VALUE"""),0.0)</f>
        <v>0</v>
      </c>
      <c r="AH5" s="16">
        <f>IFERROR(__xludf.DUMMYFUNCTION("""COMPUTED_VALUE"""),0.0)</f>
        <v>0</v>
      </c>
    </row>
    <row r="6">
      <c r="A6" s="16" t="str">
        <f>IFERROR(__xludf.DUMMYFUNCTION("""COMPUTED_VALUE"""),"01f367b494a414fb7c994e946bddd99820cc7e28")</f>
        <v>01f367b494a414fb7c994e946bddd99820cc7e28</v>
      </c>
      <c r="B6" s="16" t="str">
        <f>IFERROR(__xludf.DUMMYFUNCTION("""COMPUTED_VALUE"""),"The Dragon Prince’s Favor")</f>
        <v>The Dragon Prince’s Favor</v>
      </c>
      <c r="C6" s="16" t="str">
        <f>IFERROR(__xludf.DUMMYFUNCTION("""COMPUTED_VALUE"""),"Romantasy")</f>
        <v>Romantasy</v>
      </c>
      <c r="D6" s="16">
        <f>IFERROR(__xludf.DUMMYFUNCTION("""COMPUTED_VALUE"""),19.0)</f>
        <v>19</v>
      </c>
      <c r="E6" s="16">
        <f>IFERROR(__xludf.DUMMYFUNCTION("""COMPUTED_VALUE"""),0.947368421052631)</f>
        <v>0.9473684211</v>
      </c>
      <c r="F6" s="16">
        <f>IFERROR(__xludf.DUMMYFUNCTION("""COMPUTED_VALUE"""),0.421052631578947)</f>
        <v>0.4210526316</v>
      </c>
      <c r="G6" s="16">
        <f>IFERROR(__xludf.DUMMYFUNCTION("""COMPUTED_VALUE"""),0.31578947368421)</f>
        <v>0.3157894737</v>
      </c>
      <c r="H6" s="16">
        <f>IFERROR(__xludf.DUMMYFUNCTION("""COMPUTED_VALUE"""),0.368421052631578)</f>
        <v>0.3684210526</v>
      </c>
      <c r="I6" s="16">
        <f>IFERROR(__xludf.DUMMYFUNCTION("""COMPUTED_VALUE"""),0.31578947368421)</f>
        <v>0.3157894737</v>
      </c>
      <c r="J6" s="16">
        <f>IFERROR(__xludf.DUMMYFUNCTION("""COMPUTED_VALUE"""),0.31578947368421)</f>
        <v>0.3157894737</v>
      </c>
      <c r="K6" s="16">
        <f>IFERROR(__xludf.DUMMYFUNCTION("""COMPUTED_VALUE"""),0.210526315789473)</f>
        <v>0.2105263158</v>
      </c>
      <c r="L6" s="16">
        <f>IFERROR(__xludf.DUMMYFUNCTION("""COMPUTED_VALUE"""),0.210526315789473)</f>
        <v>0.2105263158</v>
      </c>
      <c r="M6" s="16">
        <f>IFERROR(__xludf.DUMMYFUNCTION("""COMPUTED_VALUE"""),0.210526315789473)</f>
        <v>0.2105263158</v>
      </c>
      <c r="N6" s="16">
        <f>IFERROR(__xludf.DUMMYFUNCTION("""COMPUTED_VALUE"""),0.210526315789473)</f>
        <v>0.2105263158</v>
      </c>
      <c r="O6" s="16">
        <f>IFERROR(__xludf.DUMMYFUNCTION("""COMPUTED_VALUE"""),0.2)</f>
        <v>0.2</v>
      </c>
      <c r="P6" s="16">
        <f>IFERROR(__xludf.DUMMYFUNCTION("""COMPUTED_VALUE"""),0.333333333333333)</f>
        <v>0.3333333333</v>
      </c>
      <c r="Q6" s="16">
        <f>IFERROR(__xludf.DUMMYFUNCTION("""COMPUTED_VALUE"""),0.0)</f>
        <v>0</v>
      </c>
      <c r="R6" s="16">
        <f>IFERROR(__xludf.DUMMYFUNCTION("""COMPUTED_VALUE"""),0.0)</f>
        <v>0</v>
      </c>
      <c r="S6" s="16">
        <f>IFERROR(__xludf.DUMMYFUNCTION("""COMPUTED_VALUE"""),0.0)</f>
        <v>0</v>
      </c>
      <c r="T6" s="16">
        <f>IFERROR(__xludf.DUMMYFUNCTION("""COMPUTED_VALUE"""),0.0)</f>
        <v>0</v>
      </c>
      <c r="U6" s="16">
        <f>IFERROR(__xludf.DUMMYFUNCTION("""COMPUTED_VALUE"""),0.0)</f>
        <v>0</v>
      </c>
      <c r="V6" s="16">
        <f>IFERROR(__xludf.DUMMYFUNCTION("""COMPUTED_VALUE"""),0.0)</f>
        <v>0</v>
      </c>
      <c r="W6" s="16">
        <f>IFERROR(__xludf.DUMMYFUNCTION("""COMPUTED_VALUE"""),0.0)</f>
        <v>0</v>
      </c>
      <c r="X6" s="16">
        <f>IFERROR(__xludf.DUMMYFUNCTION("""COMPUTED_VALUE"""),0.0)</f>
        <v>0</v>
      </c>
      <c r="Y6" s="16">
        <f>IFERROR(__xludf.DUMMYFUNCTION("""COMPUTED_VALUE"""),0.0)</f>
        <v>0</v>
      </c>
      <c r="Z6" s="16">
        <f>IFERROR(__xludf.DUMMYFUNCTION("""COMPUTED_VALUE"""),0.0)</f>
        <v>0</v>
      </c>
      <c r="AA6" s="16">
        <f>IFERROR(__xludf.DUMMYFUNCTION("""COMPUTED_VALUE"""),0.0)</f>
        <v>0</v>
      </c>
      <c r="AB6" s="16">
        <f>IFERROR(__xludf.DUMMYFUNCTION("""COMPUTED_VALUE"""),0.0)</f>
        <v>0</v>
      </c>
      <c r="AC6" s="16">
        <f>IFERROR(__xludf.DUMMYFUNCTION("""COMPUTED_VALUE"""),0.0)</f>
        <v>0</v>
      </c>
      <c r="AD6" s="16">
        <f>IFERROR(__xludf.DUMMYFUNCTION("""COMPUTED_VALUE"""),0.0)</f>
        <v>0</v>
      </c>
      <c r="AE6" s="16">
        <f>IFERROR(__xludf.DUMMYFUNCTION("""COMPUTED_VALUE"""),0.0)</f>
        <v>0</v>
      </c>
      <c r="AF6" s="16">
        <f>IFERROR(__xludf.DUMMYFUNCTION("""COMPUTED_VALUE"""),0.0)</f>
        <v>0</v>
      </c>
      <c r="AG6" s="16">
        <f>IFERROR(__xludf.DUMMYFUNCTION("""COMPUTED_VALUE"""),0.0)</f>
        <v>0</v>
      </c>
      <c r="AH6" s="16">
        <f>IFERROR(__xludf.DUMMYFUNCTION("""COMPUTED_VALUE"""),0.0)</f>
        <v>0</v>
      </c>
    </row>
    <row r="7">
      <c r="A7" s="16" t="str">
        <f>IFERROR(__xludf.DUMMYFUNCTION("""COMPUTED_VALUE"""),"03488a9bdecaf176a7a11138160e470f361ce803")</f>
        <v>03488a9bdecaf176a7a11138160e470f361ce803</v>
      </c>
      <c r="B7" s="16" t="str">
        <f>IFERROR(__xludf.DUMMYFUNCTION("""COMPUTED_VALUE"""),"Reborn to Be His Wife")</f>
        <v>Reborn to Be His Wife</v>
      </c>
      <c r="C7" s="16" t="str">
        <f>IFERROR(__xludf.DUMMYFUNCTION("""COMPUTED_VALUE"""),"Romantasy")</f>
        <v>Romantasy</v>
      </c>
      <c r="D7" s="16">
        <f>IFERROR(__xludf.DUMMYFUNCTION("""COMPUTED_VALUE"""),232.0)</f>
        <v>232</v>
      </c>
      <c r="E7" s="16">
        <f>IFERROR(__xludf.DUMMYFUNCTION("""COMPUTED_VALUE"""),0.987068965517241)</f>
        <v>0.9870689655</v>
      </c>
      <c r="F7" s="16">
        <f>IFERROR(__xludf.DUMMYFUNCTION("""COMPUTED_VALUE"""),0.538793103448275)</f>
        <v>0.5387931034</v>
      </c>
      <c r="G7" s="16">
        <f>IFERROR(__xludf.DUMMYFUNCTION("""COMPUTED_VALUE"""),0.478448275862068)</f>
        <v>0.4784482759</v>
      </c>
      <c r="H7" s="16">
        <f>IFERROR(__xludf.DUMMYFUNCTION("""COMPUTED_VALUE"""),0.396551724137931)</f>
        <v>0.3965517241</v>
      </c>
      <c r="I7" s="16">
        <f>IFERROR(__xludf.DUMMYFUNCTION("""COMPUTED_VALUE"""),0.362068965517241)</f>
        <v>0.3620689655</v>
      </c>
      <c r="J7" s="16">
        <f>IFERROR(__xludf.DUMMYFUNCTION("""COMPUTED_VALUE"""),0.331896551724137)</f>
        <v>0.3318965517</v>
      </c>
      <c r="K7" s="16">
        <f>IFERROR(__xludf.DUMMYFUNCTION("""COMPUTED_VALUE"""),0.288793103448275)</f>
        <v>0.2887931034</v>
      </c>
      <c r="L7" s="16">
        <f>IFERROR(__xludf.DUMMYFUNCTION("""COMPUTED_VALUE"""),0.237068965517241)</f>
        <v>0.2370689655</v>
      </c>
      <c r="M7" s="16">
        <f>IFERROR(__xludf.DUMMYFUNCTION("""COMPUTED_VALUE"""),0.219827586206896)</f>
        <v>0.2198275862</v>
      </c>
      <c r="N7" s="16">
        <f>IFERROR(__xludf.DUMMYFUNCTION("""COMPUTED_VALUE"""),0.198275862068965)</f>
        <v>0.1982758621</v>
      </c>
      <c r="O7" s="16">
        <f>IFERROR(__xludf.DUMMYFUNCTION("""COMPUTED_VALUE"""),0.172413793103448)</f>
        <v>0.1724137931</v>
      </c>
      <c r="P7" s="16">
        <f>IFERROR(__xludf.DUMMYFUNCTION("""COMPUTED_VALUE"""),0.125541125541125)</f>
        <v>0.1255411255</v>
      </c>
      <c r="Q7" s="16">
        <f>IFERROR(__xludf.DUMMYFUNCTION("""COMPUTED_VALUE"""),0.0627802690582959)</f>
        <v>0.06278026906</v>
      </c>
      <c r="R7" s="16">
        <f>IFERROR(__xludf.DUMMYFUNCTION("""COMPUTED_VALUE"""),0.0638297872340425)</f>
        <v>0.06382978723</v>
      </c>
      <c r="S7" s="16">
        <f>IFERROR(__xludf.DUMMYFUNCTION("""COMPUTED_VALUE"""),0.0387596899224806)</f>
        <v>0.03875968992</v>
      </c>
      <c r="T7" s="16">
        <f>IFERROR(__xludf.DUMMYFUNCTION("""COMPUTED_VALUE"""),0.032)</f>
        <v>0.032</v>
      </c>
      <c r="U7" s="16">
        <f>IFERROR(__xludf.DUMMYFUNCTION("""COMPUTED_VALUE"""),0.0)</f>
        <v>0</v>
      </c>
      <c r="V7" s="16">
        <f>IFERROR(__xludf.DUMMYFUNCTION("""COMPUTED_VALUE"""),0.0)</f>
        <v>0</v>
      </c>
      <c r="W7" s="16">
        <f>IFERROR(__xludf.DUMMYFUNCTION("""COMPUTED_VALUE"""),0.0)</f>
        <v>0</v>
      </c>
      <c r="X7" s="16">
        <f>IFERROR(__xludf.DUMMYFUNCTION("""COMPUTED_VALUE"""),0.0)</f>
        <v>0</v>
      </c>
      <c r="Y7" s="16">
        <f>IFERROR(__xludf.DUMMYFUNCTION("""COMPUTED_VALUE"""),0.0)</f>
        <v>0</v>
      </c>
      <c r="Z7" s="16">
        <f>IFERROR(__xludf.DUMMYFUNCTION("""COMPUTED_VALUE"""),0.0)</f>
        <v>0</v>
      </c>
      <c r="AA7" s="16">
        <f>IFERROR(__xludf.DUMMYFUNCTION("""COMPUTED_VALUE"""),0.0)</f>
        <v>0</v>
      </c>
      <c r="AB7" s="16">
        <f>IFERROR(__xludf.DUMMYFUNCTION("""COMPUTED_VALUE"""),0.0)</f>
        <v>0</v>
      </c>
      <c r="AC7" s="16">
        <f>IFERROR(__xludf.DUMMYFUNCTION("""COMPUTED_VALUE"""),0.0)</f>
        <v>0</v>
      </c>
      <c r="AD7" s="16">
        <f>IFERROR(__xludf.DUMMYFUNCTION("""COMPUTED_VALUE"""),0.0)</f>
        <v>0</v>
      </c>
      <c r="AE7" s="16">
        <f>IFERROR(__xludf.DUMMYFUNCTION("""COMPUTED_VALUE"""),0.0)</f>
        <v>0</v>
      </c>
      <c r="AF7" s="16">
        <f>IFERROR(__xludf.DUMMYFUNCTION("""COMPUTED_VALUE"""),0.0)</f>
        <v>0</v>
      </c>
      <c r="AG7" s="16">
        <f>IFERROR(__xludf.DUMMYFUNCTION("""COMPUTED_VALUE"""),0.0)</f>
        <v>0</v>
      </c>
      <c r="AH7" s="16">
        <f>IFERROR(__xludf.DUMMYFUNCTION("""COMPUTED_VALUE"""),0.0)</f>
        <v>0</v>
      </c>
    </row>
    <row r="8">
      <c r="A8" s="16" t="str">
        <f>IFERROR(__xludf.DUMMYFUNCTION("""COMPUTED_VALUE"""),"0433315d89000a02178e5d4fb75f31de3d906cff")</f>
        <v>0433315d89000a02178e5d4fb75f31de3d906cff</v>
      </c>
      <c r="B8" s="16" t="str">
        <f>IFERROR(__xludf.DUMMYFUNCTION("""COMPUTED_VALUE"""),"Billionaire Secret Babies")</f>
        <v>Billionaire Secret Babies</v>
      </c>
      <c r="C8" s="16" t="str">
        <f>IFERROR(__xludf.DUMMYFUNCTION("""COMPUTED_VALUE"""),"Romance")</f>
        <v>Romance</v>
      </c>
      <c r="D8" s="16">
        <f>IFERROR(__xludf.DUMMYFUNCTION("""COMPUTED_VALUE"""),21.0)</f>
        <v>21</v>
      </c>
      <c r="E8" s="16">
        <f>IFERROR(__xludf.DUMMYFUNCTION("""COMPUTED_VALUE"""),0.904761904761904)</f>
        <v>0.9047619048</v>
      </c>
      <c r="F8" s="16">
        <f>IFERROR(__xludf.DUMMYFUNCTION("""COMPUTED_VALUE"""),0.571428571428571)</f>
        <v>0.5714285714</v>
      </c>
      <c r="G8" s="16">
        <f>IFERROR(__xludf.DUMMYFUNCTION("""COMPUTED_VALUE"""),0.571428571428571)</f>
        <v>0.5714285714</v>
      </c>
      <c r="H8" s="16">
        <f>IFERROR(__xludf.DUMMYFUNCTION("""COMPUTED_VALUE"""),0.476190476190476)</f>
        <v>0.4761904762</v>
      </c>
      <c r="I8" s="16">
        <f>IFERROR(__xludf.DUMMYFUNCTION("""COMPUTED_VALUE"""),0.428571428571428)</f>
        <v>0.4285714286</v>
      </c>
      <c r="J8" s="16">
        <f>IFERROR(__xludf.DUMMYFUNCTION("""COMPUTED_VALUE"""),0.428571428571428)</f>
        <v>0.4285714286</v>
      </c>
      <c r="K8" s="16">
        <f>IFERROR(__xludf.DUMMYFUNCTION("""COMPUTED_VALUE"""),0.428571428571428)</f>
        <v>0.4285714286</v>
      </c>
      <c r="L8" s="16">
        <f>IFERROR(__xludf.DUMMYFUNCTION("""COMPUTED_VALUE"""),0.38095238095238)</f>
        <v>0.380952381</v>
      </c>
      <c r="M8" s="16">
        <f>IFERROR(__xludf.DUMMYFUNCTION("""COMPUTED_VALUE"""),0.38095238095238)</f>
        <v>0.380952381</v>
      </c>
      <c r="N8" s="16">
        <f>IFERROR(__xludf.DUMMYFUNCTION("""COMPUTED_VALUE"""),0.38095238095238)</f>
        <v>0.380952381</v>
      </c>
      <c r="O8" s="16">
        <f>IFERROR(__xludf.DUMMYFUNCTION("""COMPUTED_VALUE"""),0.333333333333333)</f>
        <v>0.3333333333</v>
      </c>
      <c r="P8" s="16">
        <f>IFERROR(__xludf.DUMMYFUNCTION("""COMPUTED_VALUE"""),0.238095238095238)</f>
        <v>0.2380952381</v>
      </c>
      <c r="Q8" s="16">
        <f>IFERROR(__xludf.DUMMYFUNCTION("""COMPUTED_VALUE"""),0.142857142857142)</f>
        <v>0.1428571429</v>
      </c>
      <c r="R8" s="16">
        <f>IFERROR(__xludf.DUMMYFUNCTION("""COMPUTED_VALUE"""),0.0)</f>
        <v>0</v>
      </c>
      <c r="S8" s="16">
        <f>IFERROR(__xludf.DUMMYFUNCTION("""COMPUTED_VALUE"""),0.0)</f>
        <v>0</v>
      </c>
      <c r="T8" s="16">
        <f>IFERROR(__xludf.DUMMYFUNCTION("""COMPUTED_VALUE"""),0.0)</f>
        <v>0</v>
      </c>
      <c r="U8" s="16">
        <f>IFERROR(__xludf.DUMMYFUNCTION("""COMPUTED_VALUE"""),0.0)</f>
        <v>0</v>
      </c>
      <c r="V8" s="16">
        <f>IFERROR(__xludf.DUMMYFUNCTION("""COMPUTED_VALUE"""),0.0)</f>
        <v>0</v>
      </c>
      <c r="W8" s="16">
        <f>IFERROR(__xludf.DUMMYFUNCTION("""COMPUTED_VALUE"""),0.0)</f>
        <v>0</v>
      </c>
      <c r="X8" s="16">
        <f>IFERROR(__xludf.DUMMYFUNCTION("""COMPUTED_VALUE"""),0.0)</f>
        <v>0</v>
      </c>
      <c r="Y8" s="16">
        <f>IFERROR(__xludf.DUMMYFUNCTION("""COMPUTED_VALUE"""),0.0)</f>
        <v>0</v>
      </c>
      <c r="Z8" s="16">
        <f>IFERROR(__xludf.DUMMYFUNCTION("""COMPUTED_VALUE"""),0.0)</f>
        <v>0</v>
      </c>
      <c r="AA8" s="16">
        <f>IFERROR(__xludf.DUMMYFUNCTION("""COMPUTED_VALUE"""),0.0)</f>
        <v>0</v>
      </c>
      <c r="AB8" s="16">
        <f>IFERROR(__xludf.DUMMYFUNCTION("""COMPUTED_VALUE"""),0.0)</f>
        <v>0</v>
      </c>
      <c r="AC8" s="16">
        <f>IFERROR(__xludf.DUMMYFUNCTION("""COMPUTED_VALUE"""),0.0)</f>
        <v>0</v>
      </c>
      <c r="AD8" s="16">
        <f>IFERROR(__xludf.DUMMYFUNCTION("""COMPUTED_VALUE"""),0.0)</f>
        <v>0</v>
      </c>
      <c r="AE8" s="16">
        <f>IFERROR(__xludf.DUMMYFUNCTION("""COMPUTED_VALUE"""),0.0)</f>
        <v>0</v>
      </c>
      <c r="AF8" s="16">
        <f>IFERROR(__xludf.DUMMYFUNCTION("""COMPUTED_VALUE"""),0.0)</f>
        <v>0</v>
      </c>
      <c r="AG8" s="16">
        <f>IFERROR(__xludf.DUMMYFUNCTION("""COMPUTED_VALUE"""),0.0)</f>
        <v>0</v>
      </c>
      <c r="AH8" s="16">
        <f>IFERROR(__xludf.DUMMYFUNCTION("""COMPUTED_VALUE"""),0.0)</f>
        <v>0</v>
      </c>
    </row>
    <row r="9">
      <c r="A9" s="16" t="str">
        <f>IFERROR(__xludf.DUMMYFUNCTION("""COMPUTED_VALUE"""),"048b7efb083246fe7c75b60c3bccf0e015f15e03")</f>
        <v>048b7efb083246fe7c75b60c3bccf0e015f15e03</v>
      </c>
      <c r="B9" s="16" t="str">
        <f>IFERROR(__xludf.DUMMYFUNCTION("""COMPUTED_VALUE"""),"Veterinarian Beast Master")</f>
        <v>Veterinarian Beast Master</v>
      </c>
      <c r="C9" s="16" t="str">
        <f>IFERROR(__xludf.DUMMYFUNCTION("""COMPUTED_VALUE"""),"Fantasy")</f>
        <v>Fantasy</v>
      </c>
      <c r="D9" s="16">
        <f>IFERROR(__xludf.DUMMYFUNCTION("""COMPUTED_VALUE"""),89.0)</f>
        <v>89</v>
      </c>
      <c r="E9" s="16">
        <f>IFERROR(__xludf.DUMMYFUNCTION("""COMPUTED_VALUE"""),0.98876404494382)</f>
        <v>0.9887640449</v>
      </c>
      <c r="F9" s="16">
        <f>IFERROR(__xludf.DUMMYFUNCTION("""COMPUTED_VALUE"""),0.685393258426966)</f>
        <v>0.6853932584</v>
      </c>
      <c r="G9" s="16">
        <f>IFERROR(__xludf.DUMMYFUNCTION("""COMPUTED_VALUE"""),0.640449438202247)</f>
        <v>0.6404494382</v>
      </c>
      <c r="H9" s="16">
        <f>IFERROR(__xludf.DUMMYFUNCTION("""COMPUTED_VALUE"""),0.595505617977528)</f>
        <v>0.595505618</v>
      </c>
      <c r="I9" s="16">
        <f>IFERROR(__xludf.DUMMYFUNCTION("""COMPUTED_VALUE"""),0.550561797752809)</f>
        <v>0.5505617978</v>
      </c>
      <c r="J9" s="16">
        <f>IFERROR(__xludf.DUMMYFUNCTION("""COMPUTED_VALUE"""),0.49438202247191)</f>
        <v>0.4943820225</v>
      </c>
      <c r="K9" s="16">
        <f>IFERROR(__xludf.DUMMYFUNCTION("""COMPUTED_VALUE"""),0.47191011235955)</f>
        <v>0.4719101124</v>
      </c>
      <c r="L9" s="16">
        <f>IFERROR(__xludf.DUMMYFUNCTION("""COMPUTED_VALUE"""),0.404494382022471)</f>
        <v>0.404494382</v>
      </c>
      <c r="M9" s="16">
        <f>IFERROR(__xludf.DUMMYFUNCTION("""COMPUTED_VALUE"""),0.382022471910112)</f>
        <v>0.3820224719</v>
      </c>
      <c r="N9" s="16">
        <f>IFERROR(__xludf.DUMMYFUNCTION("""COMPUTED_VALUE"""),0.382022471910112)</f>
        <v>0.3820224719</v>
      </c>
      <c r="O9" s="16">
        <f>IFERROR(__xludf.DUMMYFUNCTION("""COMPUTED_VALUE"""),0.317073170731707)</f>
        <v>0.3170731707</v>
      </c>
      <c r="P9" s="16">
        <f>IFERROR(__xludf.DUMMYFUNCTION("""COMPUTED_VALUE"""),0.157894736842105)</f>
        <v>0.1578947368</v>
      </c>
      <c r="Q9" s="16">
        <f>IFERROR(__xludf.DUMMYFUNCTION("""COMPUTED_VALUE"""),0.0714285714285714)</f>
        <v>0.07142857143</v>
      </c>
      <c r="R9" s="16">
        <f>IFERROR(__xludf.DUMMYFUNCTION("""COMPUTED_VALUE"""),0.0)</f>
        <v>0</v>
      </c>
      <c r="S9" s="16">
        <f>IFERROR(__xludf.DUMMYFUNCTION("""COMPUTED_VALUE"""),0.0)</f>
        <v>0</v>
      </c>
      <c r="T9" s="16">
        <f>IFERROR(__xludf.DUMMYFUNCTION("""COMPUTED_VALUE"""),0.0)</f>
        <v>0</v>
      </c>
      <c r="U9" s="16">
        <f>IFERROR(__xludf.DUMMYFUNCTION("""COMPUTED_VALUE"""),0.0)</f>
        <v>0</v>
      </c>
      <c r="V9" s="16">
        <f>IFERROR(__xludf.DUMMYFUNCTION("""COMPUTED_VALUE"""),0.0)</f>
        <v>0</v>
      </c>
      <c r="W9" s="16">
        <f>IFERROR(__xludf.DUMMYFUNCTION("""COMPUTED_VALUE"""),0.0)</f>
        <v>0</v>
      </c>
      <c r="X9" s="16">
        <f>IFERROR(__xludf.DUMMYFUNCTION("""COMPUTED_VALUE"""),0.0)</f>
        <v>0</v>
      </c>
      <c r="Y9" s="16">
        <f>IFERROR(__xludf.DUMMYFUNCTION("""COMPUTED_VALUE"""),0.0)</f>
        <v>0</v>
      </c>
      <c r="Z9" s="16">
        <f>IFERROR(__xludf.DUMMYFUNCTION("""COMPUTED_VALUE"""),0.0)</f>
        <v>0</v>
      </c>
      <c r="AA9" s="16">
        <f>IFERROR(__xludf.DUMMYFUNCTION("""COMPUTED_VALUE"""),0.0)</f>
        <v>0</v>
      </c>
      <c r="AB9" s="16">
        <f>IFERROR(__xludf.DUMMYFUNCTION("""COMPUTED_VALUE"""),0.0)</f>
        <v>0</v>
      </c>
      <c r="AC9" s="16">
        <f>IFERROR(__xludf.DUMMYFUNCTION("""COMPUTED_VALUE"""),0.0)</f>
        <v>0</v>
      </c>
      <c r="AD9" s="16">
        <f>IFERROR(__xludf.DUMMYFUNCTION("""COMPUTED_VALUE"""),0.0)</f>
        <v>0</v>
      </c>
      <c r="AE9" s="16">
        <f>IFERROR(__xludf.DUMMYFUNCTION("""COMPUTED_VALUE"""),0.0)</f>
        <v>0</v>
      </c>
      <c r="AF9" s="16">
        <f>IFERROR(__xludf.DUMMYFUNCTION("""COMPUTED_VALUE"""),0.0)</f>
        <v>0</v>
      </c>
      <c r="AG9" s="16">
        <f>IFERROR(__xludf.DUMMYFUNCTION("""COMPUTED_VALUE"""),0.0)</f>
        <v>0</v>
      </c>
      <c r="AH9" s="16">
        <f>IFERROR(__xludf.DUMMYFUNCTION("""COMPUTED_VALUE"""),0.0)</f>
        <v>0</v>
      </c>
    </row>
    <row r="10">
      <c r="A10" s="16" t="str">
        <f>IFERROR(__xludf.DUMMYFUNCTION("""COMPUTED_VALUE"""),"05081ee1026b5a4754958dd34670379788a6d672")</f>
        <v>05081ee1026b5a4754958dd34670379788a6d672</v>
      </c>
      <c r="B10" s="16" t="str">
        <f>IFERROR(__xludf.DUMMYFUNCTION("""COMPUTED_VALUE"""),"Billionaire Prison Bride")</f>
        <v>Billionaire Prison Bride</v>
      </c>
      <c r="C10" s="16" t="str">
        <f>IFERROR(__xludf.DUMMYFUNCTION("""COMPUTED_VALUE"""),"Romance")</f>
        <v>Romance</v>
      </c>
      <c r="D10" s="16">
        <f>IFERROR(__xludf.DUMMYFUNCTION("""COMPUTED_VALUE"""),64.0)</f>
        <v>64</v>
      </c>
      <c r="E10" s="16">
        <f>IFERROR(__xludf.DUMMYFUNCTION("""COMPUTED_VALUE"""),0.953125)</f>
        <v>0.953125</v>
      </c>
      <c r="F10" s="16">
        <f>IFERROR(__xludf.DUMMYFUNCTION("""COMPUTED_VALUE"""),0.765625)</f>
        <v>0.765625</v>
      </c>
      <c r="G10" s="16">
        <f>IFERROR(__xludf.DUMMYFUNCTION("""COMPUTED_VALUE"""),0.71875)</f>
        <v>0.71875</v>
      </c>
      <c r="H10" s="16">
        <f>IFERROR(__xludf.DUMMYFUNCTION("""COMPUTED_VALUE"""),0.640625)</f>
        <v>0.640625</v>
      </c>
      <c r="I10" s="16">
        <f>IFERROR(__xludf.DUMMYFUNCTION("""COMPUTED_VALUE"""),0.640625)</f>
        <v>0.640625</v>
      </c>
      <c r="J10" s="16">
        <f>IFERROR(__xludf.DUMMYFUNCTION("""COMPUTED_VALUE"""),0.634920634920634)</f>
        <v>0.6349206349</v>
      </c>
      <c r="K10" s="16">
        <f>IFERROR(__xludf.DUMMYFUNCTION("""COMPUTED_VALUE"""),0.596774193548387)</f>
        <v>0.5967741935</v>
      </c>
      <c r="L10" s="16">
        <f>IFERROR(__xludf.DUMMYFUNCTION("""COMPUTED_VALUE"""),0.559322033898305)</f>
        <v>0.5593220339</v>
      </c>
      <c r="M10" s="16">
        <f>IFERROR(__xludf.DUMMYFUNCTION("""COMPUTED_VALUE"""),0.517241379310344)</f>
        <v>0.5172413793</v>
      </c>
      <c r="N10" s="16">
        <f>IFERROR(__xludf.DUMMYFUNCTION("""COMPUTED_VALUE"""),0.49090909090909)</f>
        <v>0.4909090909</v>
      </c>
      <c r="O10" s="16">
        <f>IFERROR(__xludf.DUMMYFUNCTION("""COMPUTED_VALUE"""),0.408163265306122)</f>
        <v>0.4081632653</v>
      </c>
      <c r="P10" s="16">
        <f>IFERROR(__xludf.DUMMYFUNCTION("""COMPUTED_VALUE"""),0.0)</f>
        <v>0</v>
      </c>
      <c r="Q10" s="16">
        <f>IFERROR(__xludf.DUMMYFUNCTION("""COMPUTED_VALUE"""),0.0)</f>
        <v>0</v>
      </c>
      <c r="R10" s="16">
        <f>IFERROR(__xludf.DUMMYFUNCTION("""COMPUTED_VALUE"""),0.0)</f>
        <v>0</v>
      </c>
      <c r="S10" s="16">
        <f>IFERROR(__xludf.DUMMYFUNCTION("""COMPUTED_VALUE"""),0.0)</f>
        <v>0</v>
      </c>
      <c r="T10" s="16">
        <f>IFERROR(__xludf.DUMMYFUNCTION("""COMPUTED_VALUE"""),0.0)</f>
        <v>0</v>
      </c>
      <c r="U10" s="16">
        <f>IFERROR(__xludf.DUMMYFUNCTION("""COMPUTED_VALUE"""),0.0)</f>
        <v>0</v>
      </c>
      <c r="V10" s="16">
        <f>IFERROR(__xludf.DUMMYFUNCTION("""COMPUTED_VALUE"""),0.0)</f>
        <v>0</v>
      </c>
      <c r="W10" s="16">
        <f>IFERROR(__xludf.DUMMYFUNCTION("""COMPUTED_VALUE"""),0.0)</f>
        <v>0</v>
      </c>
      <c r="X10" s="16">
        <f>IFERROR(__xludf.DUMMYFUNCTION("""COMPUTED_VALUE"""),0.0)</f>
        <v>0</v>
      </c>
      <c r="Y10" s="16">
        <f>IFERROR(__xludf.DUMMYFUNCTION("""COMPUTED_VALUE"""),0.0)</f>
        <v>0</v>
      </c>
      <c r="Z10" s="16">
        <f>IFERROR(__xludf.DUMMYFUNCTION("""COMPUTED_VALUE"""),0.0)</f>
        <v>0</v>
      </c>
      <c r="AA10" s="16">
        <f>IFERROR(__xludf.DUMMYFUNCTION("""COMPUTED_VALUE"""),0.0)</f>
        <v>0</v>
      </c>
      <c r="AB10" s="16">
        <f>IFERROR(__xludf.DUMMYFUNCTION("""COMPUTED_VALUE"""),0.0)</f>
        <v>0</v>
      </c>
      <c r="AC10" s="16">
        <f>IFERROR(__xludf.DUMMYFUNCTION("""COMPUTED_VALUE"""),0.0)</f>
        <v>0</v>
      </c>
      <c r="AD10" s="16">
        <f>IFERROR(__xludf.DUMMYFUNCTION("""COMPUTED_VALUE"""),0.0)</f>
        <v>0</v>
      </c>
      <c r="AE10" s="16">
        <f>IFERROR(__xludf.DUMMYFUNCTION("""COMPUTED_VALUE"""),0.0)</f>
        <v>0</v>
      </c>
      <c r="AF10" s="16">
        <f>IFERROR(__xludf.DUMMYFUNCTION("""COMPUTED_VALUE"""),0.0)</f>
        <v>0</v>
      </c>
      <c r="AG10" s="16">
        <f>IFERROR(__xludf.DUMMYFUNCTION("""COMPUTED_VALUE"""),0.0)</f>
        <v>0</v>
      </c>
      <c r="AH10" s="16">
        <f>IFERROR(__xludf.DUMMYFUNCTION("""COMPUTED_VALUE"""),0.0)</f>
        <v>0</v>
      </c>
    </row>
    <row r="11">
      <c r="A11" s="16" t="str">
        <f>IFERROR(__xludf.DUMMYFUNCTION("""COMPUTED_VALUE"""),"05808ad9143ee75794133fd50497137fea47e57b")</f>
        <v>05808ad9143ee75794133fd50497137fea47e57b</v>
      </c>
      <c r="B11" s="16" t="str">
        <f>IFERROR(__xludf.DUMMYFUNCTION("""COMPUTED_VALUE"""),"Infinity Stars")</f>
        <v>Infinity Stars</v>
      </c>
      <c r="C11" s="16" t="str">
        <f>IFERROR(__xludf.DUMMYFUNCTION("""COMPUTED_VALUE"""),"Fantasy")</f>
        <v>Fantasy</v>
      </c>
      <c r="D11" s="16">
        <f>IFERROR(__xludf.DUMMYFUNCTION("""COMPUTED_VALUE"""),1175.0)</f>
        <v>1175</v>
      </c>
      <c r="E11" s="16">
        <f>IFERROR(__xludf.DUMMYFUNCTION("""COMPUTED_VALUE"""),0.956595744680851)</f>
        <v>0.9565957447</v>
      </c>
      <c r="F11" s="16">
        <f>IFERROR(__xludf.DUMMYFUNCTION("""COMPUTED_VALUE"""),0.697021276595744)</f>
        <v>0.6970212766</v>
      </c>
      <c r="G11" s="16">
        <f>IFERROR(__xludf.DUMMYFUNCTION("""COMPUTED_VALUE"""),0.65531914893617)</f>
        <v>0.6553191489</v>
      </c>
      <c r="H11" s="16">
        <f>IFERROR(__xludf.DUMMYFUNCTION("""COMPUTED_VALUE"""),0.618723404255319)</f>
        <v>0.6187234043</v>
      </c>
      <c r="I11" s="16">
        <f>IFERROR(__xludf.DUMMYFUNCTION("""COMPUTED_VALUE"""),0.600851063829787)</f>
        <v>0.6008510638</v>
      </c>
      <c r="J11" s="16">
        <f>IFERROR(__xludf.DUMMYFUNCTION("""COMPUTED_VALUE"""),0.577797202797202)</f>
        <v>0.5777972028</v>
      </c>
      <c r="K11" s="16">
        <f>IFERROR(__xludf.DUMMYFUNCTION("""COMPUTED_VALUE"""),0.562331838565022)</f>
        <v>0.5623318386</v>
      </c>
      <c r="L11" s="16">
        <f>IFERROR(__xludf.DUMMYFUNCTION("""COMPUTED_VALUE"""),0.553571428571428)</f>
        <v>0.5535714286</v>
      </c>
      <c r="M11" s="16">
        <f>IFERROR(__xludf.DUMMYFUNCTION("""COMPUTED_VALUE"""),0.548355899419729)</f>
        <v>0.5483558994</v>
      </c>
      <c r="N11" s="16">
        <f>IFERROR(__xludf.DUMMYFUNCTION("""COMPUTED_VALUE"""),0.537037037037037)</f>
        <v>0.537037037</v>
      </c>
      <c r="O11" s="16">
        <f>IFERROR(__xludf.DUMMYFUNCTION("""COMPUTED_VALUE"""),0.552770448548812)</f>
        <v>0.5527704485</v>
      </c>
      <c r="P11" s="16">
        <f>IFERROR(__xludf.DUMMYFUNCTION("""COMPUTED_VALUE"""),0.471281296023564)</f>
        <v>0.471281296</v>
      </c>
      <c r="Q11" s="16">
        <f>IFERROR(__xludf.DUMMYFUNCTION("""COMPUTED_VALUE"""),0.376)</f>
        <v>0.376</v>
      </c>
      <c r="R11" s="16">
        <f>IFERROR(__xludf.DUMMYFUNCTION("""COMPUTED_VALUE"""),0.260869565217391)</f>
        <v>0.2608695652</v>
      </c>
      <c r="S11" s="16">
        <f>IFERROR(__xludf.DUMMYFUNCTION("""COMPUTED_VALUE"""),0.157221206581352)</f>
        <v>0.1572212066</v>
      </c>
      <c r="T11" s="16">
        <f>IFERROR(__xludf.DUMMYFUNCTION("""COMPUTED_VALUE"""),0.19047619047619)</f>
        <v>0.1904761905</v>
      </c>
      <c r="U11" s="16">
        <f>IFERROR(__xludf.DUMMYFUNCTION("""COMPUTED_VALUE"""),0.0)</f>
        <v>0</v>
      </c>
      <c r="V11" s="16">
        <f>IFERROR(__xludf.DUMMYFUNCTION("""COMPUTED_VALUE"""),0.0)</f>
        <v>0</v>
      </c>
      <c r="W11" s="16">
        <f>IFERROR(__xludf.DUMMYFUNCTION("""COMPUTED_VALUE"""),0.0)</f>
        <v>0</v>
      </c>
      <c r="X11" s="16">
        <f>IFERROR(__xludf.DUMMYFUNCTION("""COMPUTED_VALUE"""),0.0)</f>
        <v>0</v>
      </c>
      <c r="Y11" s="16">
        <f>IFERROR(__xludf.DUMMYFUNCTION("""COMPUTED_VALUE"""),0.0)</f>
        <v>0</v>
      </c>
      <c r="Z11" s="16">
        <f>IFERROR(__xludf.DUMMYFUNCTION("""COMPUTED_VALUE"""),0.0)</f>
        <v>0</v>
      </c>
      <c r="AA11" s="16">
        <f>IFERROR(__xludf.DUMMYFUNCTION("""COMPUTED_VALUE"""),0.0)</f>
        <v>0</v>
      </c>
      <c r="AB11" s="16">
        <f>IFERROR(__xludf.DUMMYFUNCTION("""COMPUTED_VALUE"""),0.0)</f>
        <v>0</v>
      </c>
      <c r="AC11" s="16">
        <f>IFERROR(__xludf.DUMMYFUNCTION("""COMPUTED_VALUE"""),0.0)</f>
        <v>0</v>
      </c>
      <c r="AD11" s="16">
        <f>IFERROR(__xludf.DUMMYFUNCTION("""COMPUTED_VALUE"""),0.0)</f>
        <v>0</v>
      </c>
      <c r="AE11" s="16">
        <f>IFERROR(__xludf.DUMMYFUNCTION("""COMPUTED_VALUE"""),0.0)</f>
        <v>0</v>
      </c>
      <c r="AF11" s="16">
        <f>IFERROR(__xludf.DUMMYFUNCTION("""COMPUTED_VALUE"""),0.0)</f>
        <v>0</v>
      </c>
      <c r="AG11" s="16">
        <f>IFERROR(__xludf.DUMMYFUNCTION("""COMPUTED_VALUE"""),0.0)</f>
        <v>0</v>
      </c>
      <c r="AH11" s="16">
        <f>IFERROR(__xludf.DUMMYFUNCTION("""COMPUTED_VALUE"""),0.0)</f>
        <v>0</v>
      </c>
    </row>
    <row r="12">
      <c r="A12" s="16" t="str">
        <f>IFERROR(__xludf.DUMMYFUNCTION("""COMPUTED_VALUE"""),"06f83c7bf7296efe61da1c2da6e5c12e8e7d4aa8")</f>
        <v>06f83c7bf7296efe61da1c2da6e5c12e8e7d4aa8</v>
      </c>
      <c r="B12" s="16" t="str">
        <f>IFERROR(__xludf.DUMMYFUNCTION("""COMPUTED_VALUE"""),"Sigil of the Seven")</f>
        <v>Sigil of the Seven</v>
      </c>
      <c r="C12" s="16" t="str">
        <f>IFERROR(__xludf.DUMMYFUNCTION("""COMPUTED_VALUE"""),"Fantasy")</f>
        <v>Fantasy</v>
      </c>
      <c r="D12" s="16">
        <f>IFERROR(__xludf.DUMMYFUNCTION("""COMPUTED_VALUE"""),4114.0)</f>
        <v>4114</v>
      </c>
      <c r="E12" s="16">
        <f>IFERROR(__xludf.DUMMYFUNCTION("""COMPUTED_VALUE"""),0.945308701993194)</f>
        <v>0.945308702</v>
      </c>
      <c r="F12" s="16">
        <f>IFERROR(__xludf.DUMMYFUNCTION("""COMPUTED_VALUE"""),0.660670879922216)</f>
        <v>0.6606708799</v>
      </c>
      <c r="G12" s="16">
        <f>IFERROR(__xludf.DUMMYFUNCTION("""COMPUTED_VALUE"""),0.595770539620807)</f>
        <v>0.5957705396</v>
      </c>
      <c r="H12" s="16">
        <f>IFERROR(__xludf.DUMMYFUNCTION("""COMPUTED_VALUE"""),0.568060281964025)</f>
        <v>0.568060282</v>
      </c>
      <c r="I12" s="16">
        <f>IFERROR(__xludf.DUMMYFUNCTION("""COMPUTED_VALUE"""),0.53646086533787)</f>
        <v>0.5364608653</v>
      </c>
      <c r="J12" s="16">
        <f>IFERROR(__xludf.DUMMYFUNCTION("""COMPUTED_VALUE"""),0.515822784810126)</f>
        <v>0.5158227848</v>
      </c>
      <c r="K12" s="16">
        <f>IFERROR(__xludf.DUMMYFUNCTION("""COMPUTED_VALUE"""),0.497564539698002)</f>
        <v>0.4975645397</v>
      </c>
      <c r="L12" s="16">
        <f>IFERROR(__xludf.DUMMYFUNCTION("""COMPUTED_VALUE"""),0.488542174549)</f>
        <v>0.4885421745</v>
      </c>
      <c r="M12" s="16">
        <f>IFERROR(__xludf.DUMMYFUNCTION("""COMPUTED_VALUE"""),0.484626647144948)</f>
        <v>0.4846266471</v>
      </c>
      <c r="N12" s="16">
        <f>IFERROR(__xludf.DUMMYFUNCTION("""COMPUTED_VALUE"""),0.479462102689486)</f>
        <v>0.4794621027</v>
      </c>
      <c r="O12" s="16">
        <f>IFERROR(__xludf.DUMMYFUNCTION("""COMPUTED_VALUE"""),0.456737941322725)</f>
        <v>0.4567379413</v>
      </c>
      <c r="P12" s="16">
        <f>IFERROR(__xludf.DUMMYFUNCTION("""COMPUTED_VALUE"""),0.421278746525145)</f>
        <v>0.4212787465</v>
      </c>
      <c r="Q12" s="16">
        <f>IFERROR(__xludf.DUMMYFUNCTION("""COMPUTED_VALUE"""),0.325851393188854)</f>
        <v>0.3258513932</v>
      </c>
      <c r="R12" s="16">
        <f>IFERROR(__xludf.DUMMYFUNCTION("""COMPUTED_VALUE"""),0.259132720105124)</f>
        <v>0.2591327201</v>
      </c>
      <c r="S12" s="16">
        <f>IFERROR(__xludf.DUMMYFUNCTION("""COMPUTED_VALUE"""),0.213437668645439)</f>
        <v>0.2134376686</v>
      </c>
      <c r="T12" s="16">
        <f>IFERROR(__xludf.DUMMYFUNCTION("""COMPUTED_VALUE"""),0.132737030411449)</f>
        <v>0.1327370304</v>
      </c>
      <c r="U12" s="16">
        <f>IFERROR(__xludf.DUMMYFUNCTION("""COMPUTED_VALUE"""),0.109048723897911)</f>
        <v>0.1090487239</v>
      </c>
      <c r="V12" s="16">
        <f>IFERROR(__xludf.DUMMYFUNCTION("""COMPUTED_VALUE"""),0.100542138984721)</f>
        <v>0.100542139</v>
      </c>
      <c r="W12" s="16">
        <f>IFERROR(__xludf.DUMMYFUNCTION("""COMPUTED_VALUE"""),0.0917008196721311)</f>
        <v>0.09170081967</v>
      </c>
      <c r="X12" s="16">
        <f>IFERROR(__xludf.DUMMYFUNCTION("""COMPUTED_VALUE"""),0.0790960451977401)</f>
        <v>0.0790960452</v>
      </c>
      <c r="Y12" s="16">
        <f>IFERROR(__xludf.DUMMYFUNCTION("""COMPUTED_VALUE"""),0.0660377358490566)</f>
        <v>0.06603773585</v>
      </c>
      <c r="Z12" s="16">
        <f>IFERROR(__xludf.DUMMYFUNCTION("""COMPUTED_VALUE"""),0.0)</f>
        <v>0</v>
      </c>
      <c r="AA12" s="16">
        <f>IFERROR(__xludf.DUMMYFUNCTION("""COMPUTED_VALUE"""),0.0)</f>
        <v>0</v>
      </c>
      <c r="AB12" s="16">
        <f>IFERROR(__xludf.DUMMYFUNCTION("""COMPUTED_VALUE"""),0.0)</f>
        <v>0</v>
      </c>
      <c r="AC12" s="16">
        <f>IFERROR(__xludf.DUMMYFUNCTION("""COMPUTED_VALUE"""),0.0)</f>
        <v>0</v>
      </c>
      <c r="AD12" s="16">
        <f>IFERROR(__xludf.DUMMYFUNCTION("""COMPUTED_VALUE"""),0.0)</f>
        <v>0</v>
      </c>
      <c r="AE12" s="16">
        <f>IFERROR(__xludf.DUMMYFUNCTION("""COMPUTED_VALUE"""),0.0)</f>
        <v>0</v>
      </c>
      <c r="AF12" s="16">
        <f>IFERROR(__xludf.DUMMYFUNCTION("""COMPUTED_VALUE"""),0.0)</f>
        <v>0</v>
      </c>
      <c r="AG12" s="16">
        <f>IFERROR(__xludf.DUMMYFUNCTION("""COMPUTED_VALUE"""),0.0)</f>
        <v>0</v>
      </c>
      <c r="AH12" s="16">
        <f>IFERROR(__xludf.DUMMYFUNCTION("""COMPUTED_VALUE"""),0.0)</f>
        <v>0</v>
      </c>
    </row>
    <row r="13">
      <c r="A13" s="16" t="str">
        <f>IFERROR(__xludf.DUMMYFUNCTION("""COMPUTED_VALUE"""),"0b07b41ff930aa13e98588f626eef70da51bb47e")</f>
        <v>0b07b41ff930aa13e98588f626eef70da51bb47e</v>
      </c>
      <c r="B13" s="16" t="str">
        <f>IFERROR(__xludf.DUMMYFUNCTION("""COMPUTED_VALUE"""),"Debtbound Between Worlds")</f>
        <v>Debtbound Between Worlds</v>
      </c>
      <c r="C13" s="16" t="str">
        <f>IFERROR(__xludf.DUMMYFUNCTION("""COMPUTED_VALUE"""),"Fantasy")</f>
        <v>Fantasy</v>
      </c>
      <c r="D13" s="16">
        <f>IFERROR(__xludf.DUMMYFUNCTION("""COMPUTED_VALUE"""),26.0)</f>
        <v>26</v>
      </c>
      <c r="E13" s="16">
        <f>IFERROR(__xludf.DUMMYFUNCTION("""COMPUTED_VALUE"""),0.961538461538461)</f>
        <v>0.9615384615</v>
      </c>
      <c r="F13" s="16">
        <f>IFERROR(__xludf.DUMMYFUNCTION("""COMPUTED_VALUE"""),0.576923076923076)</f>
        <v>0.5769230769</v>
      </c>
      <c r="G13" s="16">
        <f>IFERROR(__xludf.DUMMYFUNCTION("""COMPUTED_VALUE"""),0.538461538461538)</f>
        <v>0.5384615385</v>
      </c>
      <c r="H13" s="16">
        <f>IFERROR(__xludf.DUMMYFUNCTION("""COMPUTED_VALUE"""),0.538461538461538)</f>
        <v>0.5384615385</v>
      </c>
      <c r="I13" s="16">
        <f>IFERROR(__xludf.DUMMYFUNCTION("""COMPUTED_VALUE"""),0.461538461538461)</f>
        <v>0.4615384615</v>
      </c>
      <c r="J13" s="16">
        <f>IFERROR(__xludf.DUMMYFUNCTION("""COMPUTED_VALUE"""),0.423076923076923)</f>
        <v>0.4230769231</v>
      </c>
      <c r="K13" s="16">
        <f>IFERROR(__xludf.DUMMYFUNCTION("""COMPUTED_VALUE"""),0.384615384615384)</f>
        <v>0.3846153846</v>
      </c>
      <c r="L13" s="16">
        <f>IFERROR(__xludf.DUMMYFUNCTION("""COMPUTED_VALUE"""),0.384615384615384)</f>
        <v>0.3846153846</v>
      </c>
      <c r="M13" s="16">
        <f>IFERROR(__xludf.DUMMYFUNCTION("""COMPUTED_VALUE"""),0.384615384615384)</f>
        <v>0.3846153846</v>
      </c>
      <c r="N13" s="16">
        <f>IFERROR(__xludf.DUMMYFUNCTION("""COMPUTED_VALUE"""),0.307692307692307)</f>
        <v>0.3076923077</v>
      </c>
      <c r="O13" s="16">
        <f>IFERROR(__xludf.DUMMYFUNCTION("""COMPUTED_VALUE"""),0.291666666666666)</f>
        <v>0.2916666667</v>
      </c>
      <c r="P13" s="16">
        <f>IFERROR(__xludf.DUMMYFUNCTION("""COMPUTED_VALUE"""),0.260869565217391)</f>
        <v>0.2608695652</v>
      </c>
      <c r="Q13" s="16">
        <f>IFERROR(__xludf.DUMMYFUNCTION("""COMPUTED_VALUE"""),0.0)</f>
        <v>0</v>
      </c>
      <c r="R13" s="16">
        <f>IFERROR(__xludf.DUMMYFUNCTION("""COMPUTED_VALUE"""),0.0)</f>
        <v>0</v>
      </c>
      <c r="S13" s="16">
        <f>IFERROR(__xludf.DUMMYFUNCTION("""COMPUTED_VALUE"""),0.0)</f>
        <v>0</v>
      </c>
      <c r="T13" s="16">
        <f>IFERROR(__xludf.DUMMYFUNCTION("""COMPUTED_VALUE"""),0.0)</f>
        <v>0</v>
      </c>
      <c r="U13" s="16">
        <f>IFERROR(__xludf.DUMMYFUNCTION("""COMPUTED_VALUE"""),0.0)</f>
        <v>0</v>
      </c>
      <c r="V13" s="16">
        <f>IFERROR(__xludf.DUMMYFUNCTION("""COMPUTED_VALUE"""),0.0)</f>
        <v>0</v>
      </c>
      <c r="W13" s="16">
        <f>IFERROR(__xludf.DUMMYFUNCTION("""COMPUTED_VALUE"""),0.0)</f>
        <v>0</v>
      </c>
      <c r="X13" s="16">
        <f>IFERROR(__xludf.DUMMYFUNCTION("""COMPUTED_VALUE"""),0.0)</f>
        <v>0</v>
      </c>
      <c r="Y13" s="16">
        <f>IFERROR(__xludf.DUMMYFUNCTION("""COMPUTED_VALUE"""),0.0)</f>
        <v>0</v>
      </c>
      <c r="Z13" s="16">
        <f>IFERROR(__xludf.DUMMYFUNCTION("""COMPUTED_VALUE"""),0.0)</f>
        <v>0</v>
      </c>
      <c r="AA13" s="16">
        <f>IFERROR(__xludf.DUMMYFUNCTION("""COMPUTED_VALUE"""),0.0)</f>
        <v>0</v>
      </c>
      <c r="AB13" s="16">
        <f>IFERROR(__xludf.DUMMYFUNCTION("""COMPUTED_VALUE"""),0.0)</f>
        <v>0</v>
      </c>
      <c r="AC13" s="16">
        <f>IFERROR(__xludf.DUMMYFUNCTION("""COMPUTED_VALUE"""),0.0)</f>
        <v>0</v>
      </c>
      <c r="AD13" s="16">
        <f>IFERROR(__xludf.DUMMYFUNCTION("""COMPUTED_VALUE"""),0.0)</f>
        <v>0</v>
      </c>
      <c r="AE13" s="16">
        <f>IFERROR(__xludf.DUMMYFUNCTION("""COMPUTED_VALUE"""),0.0)</f>
        <v>0</v>
      </c>
      <c r="AF13" s="16">
        <f>IFERROR(__xludf.DUMMYFUNCTION("""COMPUTED_VALUE"""),0.0)</f>
        <v>0</v>
      </c>
      <c r="AG13" s="16">
        <f>IFERROR(__xludf.DUMMYFUNCTION("""COMPUTED_VALUE"""),0.0)</f>
        <v>0</v>
      </c>
      <c r="AH13" s="16">
        <f>IFERROR(__xludf.DUMMYFUNCTION("""COMPUTED_VALUE"""),0.0)</f>
        <v>0</v>
      </c>
    </row>
    <row r="14">
      <c r="A14" s="16" t="str">
        <f>IFERROR(__xludf.DUMMYFUNCTION("""COMPUTED_VALUE"""),"0b24baea319eafeca1995fb9b34e29d6ebfb9a50")</f>
        <v>0b24baea319eafeca1995fb9b34e29d6ebfb9a50</v>
      </c>
      <c r="B14" s="16" t="str">
        <f>IFERROR(__xludf.DUMMYFUNCTION("""COMPUTED_VALUE"""),"Rejected Bride Returns")</f>
        <v>Rejected Bride Returns</v>
      </c>
      <c r="C14" s="16" t="str">
        <f>IFERROR(__xludf.DUMMYFUNCTION("""COMPUTED_VALUE"""),"Romance")</f>
        <v>Romance</v>
      </c>
      <c r="D14" s="16">
        <f>IFERROR(__xludf.DUMMYFUNCTION("""COMPUTED_VALUE"""),8.0)</f>
        <v>8</v>
      </c>
      <c r="E14" s="16">
        <f>IFERROR(__xludf.DUMMYFUNCTION("""COMPUTED_VALUE"""),1.0)</f>
        <v>1</v>
      </c>
      <c r="F14" s="16">
        <f>IFERROR(__xludf.DUMMYFUNCTION("""COMPUTED_VALUE"""),0.5)</f>
        <v>0.5</v>
      </c>
      <c r="G14" s="16">
        <f>IFERROR(__xludf.DUMMYFUNCTION("""COMPUTED_VALUE"""),0.5)</f>
        <v>0.5</v>
      </c>
      <c r="H14" s="16">
        <f>IFERROR(__xludf.DUMMYFUNCTION("""COMPUTED_VALUE"""),0.375)</f>
        <v>0.375</v>
      </c>
      <c r="I14" s="16">
        <f>IFERROR(__xludf.DUMMYFUNCTION("""COMPUTED_VALUE"""),0.25)</f>
        <v>0.25</v>
      </c>
      <c r="J14" s="16">
        <f>IFERROR(__xludf.DUMMYFUNCTION("""COMPUTED_VALUE"""),0.25)</f>
        <v>0.25</v>
      </c>
      <c r="K14" s="16">
        <f>IFERROR(__xludf.DUMMYFUNCTION("""COMPUTED_VALUE"""),0.125)</f>
        <v>0.125</v>
      </c>
      <c r="L14" s="16">
        <f>IFERROR(__xludf.DUMMYFUNCTION("""COMPUTED_VALUE"""),0.125)</f>
        <v>0.125</v>
      </c>
      <c r="M14" s="16">
        <f>IFERROR(__xludf.DUMMYFUNCTION("""COMPUTED_VALUE"""),0.125)</f>
        <v>0.125</v>
      </c>
      <c r="N14" s="16">
        <f>IFERROR(__xludf.DUMMYFUNCTION("""COMPUTED_VALUE"""),0.125)</f>
        <v>0.125</v>
      </c>
      <c r="O14" s="16">
        <f>IFERROR(__xludf.DUMMYFUNCTION("""COMPUTED_VALUE"""),0.166666666666666)</f>
        <v>0.1666666667</v>
      </c>
      <c r="P14" s="16">
        <f>IFERROR(__xludf.DUMMYFUNCTION("""COMPUTED_VALUE"""),0.0)</f>
        <v>0</v>
      </c>
      <c r="Q14" s="16">
        <f>IFERROR(__xludf.DUMMYFUNCTION("""COMPUTED_VALUE"""),0.0)</f>
        <v>0</v>
      </c>
      <c r="R14" s="16">
        <f>IFERROR(__xludf.DUMMYFUNCTION("""COMPUTED_VALUE"""),0.0)</f>
        <v>0</v>
      </c>
      <c r="S14" s="16">
        <f>IFERROR(__xludf.DUMMYFUNCTION("""COMPUTED_VALUE"""),0.0)</f>
        <v>0</v>
      </c>
      <c r="T14" s="16">
        <f>IFERROR(__xludf.DUMMYFUNCTION("""COMPUTED_VALUE"""),0.0)</f>
        <v>0</v>
      </c>
      <c r="U14" s="16">
        <f>IFERROR(__xludf.DUMMYFUNCTION("""COMPUTED_VALUE"""),0.0)</f>
        <v>0</v>
      </c>
      <c r="V14" s="16">
        <f>IFERROR(__xludf.DUMMYFUNCTION("""COMPUTED_VALUE"""),0.0)</f>
        <v>0</v>
      </c>
      <c r="W14" s="16">
        <f>IFERROR(__xludf.DUMMYFUNCTION("""COMPUTED_VALUE"""),0.0)</f>
        <v>0</v>
      </c>
      <c r="X14" s="16">
        <f>IFERROR(__xludf.DUMMYFUNCTION("""COMPUTED_VALUE"""),0.0)</f>
        <v>0</v>
      </c>
      <c r="Y14" s="16">
        <f>IFERROR(__xludf.DUMMYFUNCTION("""COMPUTED_VALUE"""),0.0)</f>
        <v>0</v>
      </c>
      <c r="Z14" s="16">
        <f>IFERROR(__xludf.DUMMYFUNCTION("""COMPUTED_VALUE"""),0.0)</f>
        <v>0</v>
      </c>
      <c r="AA14" s="16">
        <f>IFERROR(__xludf.DUMMYFUNCTION("""COMPUTED_VALUE"""),0.0)</f>
        <v>0</v>
      </c>
      <c r="AB14" s="16">
        <f>IFERROR(__xludf.DUMMYFUNCTION("""COMPUTED_VALUE"""),0.0)</f>
        <v>0</v>
      </c>
      <c r="AC14" s="16">
        <f>IFERROR(__xludf.DUMMYFUNCTION("""COMPUTED_VALUE"""),0.0)</f>
        <v>0</v>
      </c>
      <c r="AD14" s="16">
        <f>IFERROR(__xludf.DUMMYFUNCTION("""COMPUTED_VALUE"""),0.0)</f>
        <v>0</v>
      </c>
      <c r="AE14" s="16">
        <f>IFERROR(__xludf.DUMMYFUNCTION("""COMPUTED_VALUE"""),0.0)</f>
        <v>0</v>
      </c>
      <c r="AF14" s="16">
        <f>IFERROR(__xludf.DUMMYFUNCTION("""COMPUTED_VALUE"""),0.0)</f>
        <v>0</v>
      </c>
      <c r="AG14" s="16">
        <f>IFERROR(__xludf.DUMMYFUNCTION("""COMPUTED_VALUE"""),0.0)</f>
        <v>0</v>
      </c>
      <c r="AH14" s="16">
        <f>IFERROR(__xludf.DUMMYFUNCTION("""COMPUTED_VALUE"""),0.0)</f>
        <v>0</v>
      </c>
    </row>
    <row r="15">
      <c r="A15" s="16" t="str">
        <f>IFERROR(__xludf.DUMMYFUNCTION("""COMPUTED_VALUE"""),"0c7fa1a2b4bca0746ad0384d77796b98dd7d801c")</f>
        <v>0c7fa1a2b4bca0746ad0384d77796b98dd7d801c</v>
      </c>
      <c r="B15" s="16" t="str">
        <f>IFERROR(__xludf.DUMMYFUNCTION("""COMPUTED_VALUE"""),"Flash Marriage to My Ex’s Boss")</f>
        <v>Flash Marriage to My Ex’s Boss</v>
      </c>
      <c r="C15" s="16" t="str">
        <f>IFERROR(__xludf.DUMMYFUNCTION("""COMPUTED_VALUE"""),"Romance")</f>
        <v>Romance</v>
      </c>
      <c r="D15" s="16">
        <f>IFERROR(__xludf.DUMMYFUNCTION("""COMPUTED_VALUE"""),56.0)</f>
        <v>56</v>
      </c>
      <c r="E15" s="16">
        <f>IFERROR(__xludf.DUMMYFUNCTION("""COMPUTED_VALUE"""),0.892857142857142)</f>
        <v>0.8928571429</v>
      </c>
      <c r="F15" s="16">
        <f>IFERROR(__xludf.DUMMYFUNCTION("""COMPUTED_VALUE"""),0.446428571428571)</f>
        <v>0.4464285714</v>
      </c>
      <c r="G15" s="16">
        <f>IFERROR(__xludf.DUMMYFUNCTION("""COMPUTED_VALUE"""),0.428571428571428)</f>
        <v>0.4285714286</v>
      </c>
      <c r="H15" s="16">
        <f>IFERROR(__xludf.DUMMYFUNCTION("""COMPUTED_VALUE"""),0.428571428571428)</f>
        <v>0.4285714286</v>
      </c>
      <c r="I15" s="16">
        <f>IFERROR(__xludf.DUMMYFUNCTION("""COMPUTED_VALUE"""),0.410714285714285)</f>
        <v>0.4107142857</v>
      </c>
      <c r="J15" s="16">
        <f>IFERROR(__xludf.DUMMYFUNCTION("""COMPUTED_VALUE"""),0.29090909090909)</f>
        <v>0.2909090909</v>
      </c>
      <c r="K15" s="16">
        <f>IFERROR(__xludf.DUMMYFUNCTION("""COMPUTED_VALUE"""),0.29090909090909)</f>
        <v>0.2909090909</v>
      </c>
      <c r="L15" s="16">
        <f>IFERROR(__xludf.DUMMYFUNCTION("""COMPUTED_VALUE"""),0.29090909090909)</f>
        <v>0.2909090909</v>
      </c>
      <c r="M15" s="16">
        <f>IFERROR(__xludf.DUMMYFUNCTION("""COMPUTED_VALUE"""),0.29090909090909)</f>
        <v>0.2909090909</v>
      </c>
      <c r="N15" s="16">
        <f>IFERROR(__xludf.DUMMYFUNCTION("""COMPUTED_VALUE"""),0.272727272727272)</f>
        <v>0.2727272727</v>
      </c>
      <c r="O15" s="16">
        <f>IFERROR(__xludf.DUMMYFUNCTION("""COMPUTED_VALUE"""),0.236363636363636)</f>
        <v>0.2363636364</v>
      </c>
      <c r="P15" s="16">
        <f>IFERROR(__xludf.DUMMYFUNCTION("""COMPUTED_VALUE"""),0.203703703703703)</f>
        <v>0.2037037037</v>
      </c>
      <c r="Q15" s="16">
        <f>IFERROR(__xludf.DUMMYFUNCTION("""COMPUTED_VALUE"""),0.203703703703703)</f>
        <v>0.2037037037</v>
      </c>
      <c r="R15" s="16">
        <f>IFERROR(__xludf.DUMMYFUNCTION("""COMPUTED_VALUE"""),0.148148148148148)</f>
        <v>0.1481481481</v>
      </c>
      <c r="S15" s="16">
        <f>IFERROR(__xludf.DUMMYFUNCTION("""COMPUTED_VALUE"""),0.0)</f>
        <v>0</v>
      </c>
      <c r="T15" s="16">
        <f>IFERROR(__xludf.DUMMYFUNCTION("""COMPUTED_VALUE"""),0.0)</f>
        <v>0</v>
      </c>
      <c r="U15" s="16">
        <f>IFERROR(__xludf.DUMMYFUNCTION("""COMPUTED_VALUE"""),0.0)</f>
        <v>0</v>
      </c>
      <c r="V15" s="16">
        <f>IFERROR(__xludf.DUMMYFUNCTION("""COMPUTED_VALUE"""),0.0)</f>
        <v>0</v>
      </c>
      <c r="W15" s="16">
        <f>IFERROR(__xludf.DUMMYFUNCTION("""COMPUTED_VALUE"""),0.0)</f>
        <v>0</v>
      </c>
      <c r="X15" s="16">
        <f>IFERROR(__xludf.DUMMYFUNCTION("""COMPUTED_VALUE"""),0.0)</f>
        <v>0</v>
      </c>
      <c r="Y15" s="16">
        <f>IFERROR(__xludf.DUMMYFUNCTION("""COMPUTED_VALUE"""),0.0)</f>
        <v>0</v>
      </c>
      <c r="Z15" s="16">
        <f>IFERROR(__xludf.DUMMYFUNCTION("""COMPUTED_VALUE"""),0.0)</f>
        <v>0</v>
      </c>
      <c r="AA15" s="16">
        <f>IFERROR(__xludf.DUMMYFUNCTION("""COMPUTED_VALUE"""),0.0)</f>
        <v>0</v>
      </c>
      <c r="AB15" s="16">
        <f>IFERROR(__xludf.DUMMYFUNCTION("""COMPUTED_VALUE"""),0.0)</f>
        <v>0</v>
      </c>
      <c r="AC15" s="16">
        <f>IFERROR(__xludf.DUMMYFUNCTION("""COMPUTED_VALUE"""),0.0)</f>
        <v>0</v>
      </c>
      <c r="AD15" s="16">
        <f>IFERROR(__xludf.DUMMYFUNCTION("""COMPUTED_VALUE"""),0.0)</f>
        <v>0</v>
      </c>
      <c r="AE15" s="16">
        <f>IFERROR(__xludf.DUMMYFUNCTION("""COMPUTED_VALUE"""),0.0)</f>
        <v>0</v>
      </c>
      <c r="AF15" s="16">
        <f>IFERROR(__xludf.DUMMYFUNCTION("""COMPUTED_VALUE"""),0.0)</f>
        <v>0</v>
      </c>
      <c r="AG15" s="16">
        <f>IFERROR(__xludf.DUMMYFUNCTION("""COMPUTED_VALUE"""),0.0)</f>
        <v>0</v>
      </c>
      <c r="AH15" s="16">
        <f>IFERROR(__xludf.DUMMYFUNCTION("""COMPUTED_VALUE"""),0.0)</f>
        <v>0</v>
      </c>
    </row>
    <row r="16">
      <c r="A16" s="16" t="str">
        <f>IFERROR(__xludf.DUMMYFUNCTION("""COMPUTED_VALUE"""),"0d62d7798adbffba76234feba6e58e4a73a6baf8")</f>
        <v>0d62d7798adbffba76234feba6e58e4a73a6baf8</v>
      </c>
      <c r="B16" s="16" t="str">
        <f>IFERROR(__xludf.DUMMYFUNCTION("""COMPUTED_VALUE"""),"Devil's Redemption")</f>
        <v>Devil's Redemption</v>
      </c>
      <c r="C16" s="16" t="str">
        <f>IFERROR(__xludf.DUMMYFUNCTION("""COMPUTED_VALUE"""),"Fantasy")</f>
        <v>Fantasy</v>
      </c>
      <c r="D16" s="16">
        <f>IFERROR(__xludf.DUMMYFUNCTION("""COMPUTED_VALUE"""),373.0)</f>
        <v>373</v>
      </c>
      <c r="E16" s="16">
        <f>IFERROR(__xludf.DUMMYFUNCTION("""COMPUTED_VALUE"""),0.962466487935656)</f>
        <v>0.9624664879</v>
      </c>
      <c r="F16" s="16">
        <f>IFERROR(__xludf.DUMMYFUNCTION("""COMPUTED_VALUE"""),0.723860589812332)</f>
        <v>0.7238605898</v>
      </c>
      <c r="G16" s="16">
        <f>IFERROR(__xludf.DUMMYFUNCTION("""COMPUTED_VALUE"""),0.656836461126005)</f>
        <v>0.6568364611</v>
      </c>
      <c r="H16" s="16">
        <f>IFERROR(__xludf.DUMMYFUNCTION("""COMPUTED_VALUE"""),0.603217158176943)</f>
        <v>0.6032171582</v>
      </c>
      <c r="I16" s="16">
        <f>IFERROR(__xludf.DUMMYFUNCTION("""COMPUTED_VALUE"""),0.5656836461126)</f>
        <v>0.5656836461</v>
      </c>
      <c r="J16" s="16">
        <f>IFERROR(__xludf.DUMMYFUNCTION("""COMPUTED_VALUE"""),0.536516853932584)</f>
        <v>0.5365168539</v>
      </c>
      <c r="K16" s="16">
        <f>IFERROR(__xludf.DUMMYFUNCTION("""COMPUTED_VALUE"""),0.553072625698324)</f>
        <v>0.5530726257</v>
      </c>
      <c r="L16" s="16">
        <f>IFERROR(__xludf.DUMMYFUNCTION("""COMPUTED_VALUE"""),0.428571428571428)</f>
        <v>0.4285714286</v>
      </c>
      <c r="M16" s="16">
        <f>IFERROR(__xludf.DUMMYFUNCTION("""COMPUTED_VALUE"""),0.428571428571428)</f>
        <v>0.4285714286</v>
      </c>
      <c r="N16" s="16">
        <f>IFERROR(__xludf.DUMMYFUNCTION("""COMPUTED_VALUE"""),0.357142857142857)</f>
        <v>0.3571428571</v>
      </c>
      <c r="O16" s="16">
        <f>IFERROR(__xludf.DUMMYFUNCTION("""COMPUTED_VALUE"""),0.384615384615384)</f>
        <v>0.3846153846</v>
      </c>
      <c r="P16" s="16">
        <f>IFERROR(__xludf.DUMMYFUNCTION("""COMPUTED_VALUE"""),0.333333333333333)</f>
        <v>0.3333333333</v>
      </c>
      <c r="Q16" s="16">
        <f>IFERROR(__xludf.DUMMYFUNCTION("""COMPUTED_VALUE"""),0.0)</f>
        <v>0</v>
      </c>
      <c r="R16" s="16">
        <f>IFERROR(__xludf.DUMMYFUNCTION("""COMPUTED_VALUE"""),0.0)</f>
        <v>0</v>
      </c>
      <c r="S16" s="16">
        <f>IFERROR(__xludf.DUMMYFUNCTION("""COMPUTED_VALUE"""),0.0)</f>
        <v>0</v>
      </c>
      <c r="T16" s="16">
        <f>IFERROR(__xludf.DUMMYFUNCTION("""COMPUTED_VALUE"""),0.0)</f>
        <v>0</v>
      </c>
      <c r="U16" s="16">
        <f>IFERROR(__xludf.DUMMYFUNCTION("""COMPUTED_VALUE"""),0.0)</f>
        <v>0</v>
      </c>
      <c r="V16" s="16">
        <f>IFERROR(__xludf.DUMMYFUNCTION("""COMPUTED_VALUE"""),0.0)</f>
        <v>0</v>
      </c>
      <c r="W16" s="16">
        <f>IFERROR(__xludf.DUMMYFUNCTION("""COMPUTED_VALUE"""),0.0)</f>
        <v>0</v>
      </c>
      <c r="X16" s="16">
        <f>IFERROR(__xludf.DUMMYFUNCTION("""COMPUTED_VALUE"""),0.0)</f>
        <v>0</v>
      </c>
      <c r="Y16" s="16">
        <f>IFERROR(__xludf.DUMMYFUNCTION("""COMPUTED_VALUE"""),0.0)</f>
        <v>0</v>
      </c>
      <c r="Z16" s="16">
        <f>IFERROR(__xludf.DUMMYFUNCTION("""COMPUTED_VALUE"""),0.0)</f>
        <v>0</v>
      </c>
      <c r="AA16" s="16">
        <f>IFERROR(__xludf.DUMMYFUNCTION("""COMPUTED_VALUE"""),0.0)</f>
        <v>0</v>
      </c>
      <c r="AB16" s="16">
        <f>IFERROR(__xludf.DUMMYFUNCTION("""COMPUTED_VALUE"""),0.0)</f>
        <v>0</v>
      </c>
      <c r="AC16" s="16">
        <f>IFERROR(__xludf.DUMMYFUNCTION("""COMPUTED_VALUE"""),0.0)</f>
        <v>0</v>
      </c>
      <c r="AD16" s="16">
        <f>IFERROR(__xludf.DUMMYFUNCTION("""COMPUTED_VALUE"""),0.0)</f>
        <v>0</v>
      </c>
      <c r="AE16" s="16">
        <f>IFERROR(__xludf.DUMMYFUNCTION("""COMPUTED_VALUE"""),0.0)</f>
        <v>0</v>
      </c>
      <c r="AF16" s="16">
        <f>IFERROR(__xludf.DUMMYFUNCTION("""COMPUTED_VALUE"""),0.0)</f>
        <v>0</v>
      </c>
      <c r="AG16" s="16">
        <f>IFERROR(__xludf.DUMMYFUNCTION("""COMPUTED_VALUE"""),0.0)</f>
        <v>0</v>
      </c>
      <c r="AH16" s="16">
        <f>IFERROR(__xludf.DUMMYFUNCTION("""COMPUTED_VALUE"""),0.0)</f>
        <v>0</v>
      </c>
    </row>
    <row r="17">
      <c r="A17" s="16" t="str">
        <f>IFERROR(__xludf.DUMMYFUNCTION("""COMPUTED_VALUE"""),"0db57923d2182ad47e7480030a03e05da109b1bf")</f>
        <v>0db57923d2182ad47e7480030a03e05da109b1bf</v>
      </c>
      <c r="B17" s="16" t="str">
        <f>IFERROR(__xludf.DUMMYFUNCTION("""COMPUTED_VALUE"""),"The Ceo's Borrowed Beauty")</f>
        <v>The Ceo's Borrowed Beauty</v>
      </c>
      <c r="C17" s="16" t="str">
        <f>IFERROR(__xludf.DUMMYFUNCTION("""COMPUTED_VALUE"""),"Romance")</f>
        <v>Romance</v>
      </c>
      <c r="D17" s="16">
        <f>IFERROR(__xludf.DUMMYFUNCTION("""COMPUTED_VALUE"""),120.0)</f>
        <v>120</v>
      </c>
      <c r="E17" s="16">
        <f>IFERROR(__xludf.DUMMYFUNCTION("""COMPUTED_VALUE"""),0.975)</f>
        <v>0.975</v>
      </c>
      <c r="F17" s="16">
        <f>IFERROR(__xludf.DUMMYFUNCTION("""COMPUTED_VALUE"""),0.483333333333333)</f>
        <v>0.4833333333</v>
      </c>
      <c r="G17" s="16">
        <f>IFERROR(__xludf.DUMMYFUNCTION("""COMPUTED_VALUE"""),0.416666666666666)</f>
        <v>0.4166666667</v>
      </c>
      <c r="H17" s="16">
        <f>IFERROR(__xludf.DUMMYFUNCTION("""COMPUTED_VALUE"""),0.375)</f>
        <v>0.375</v>
      </c>
      <c r="I17" s="16">
        <f>IFERROR(__xludf.DUMMYFUNCTION("""COMPUTED_VALUE"""),0.333333333333333)</f>
        <v>0.3333333333</v>
      </c>
      <c r="J17" s="16">
        <f>IFERROR(__xludf.DUMMYFUNCTION("""COMPUTED_VALUE"""),0.285714285714285)</f>
        <v>0.2857142857</v>
      </c>
      <c r="K17" s="16">
        <f>IFERROR(__xludf.DUMMYFUNCTION("""COMPUTED_VALUE"""),0.243697478991596)</f>
        <v>0.243697479</v>
      </c>
      <c r="L17" s="16">
        <f>IFERROR(__xludf.DUMMYFUNCTION("""COMPUTED_VALUE"""),0.220338983050847)</f>
        <v>0.2203389831</v>
      </c>
      <c r="M17" s="16">
        <f>IFERROR(__xludf.DUMMYFUNCTION("""COMPUTED_VALUE"""),0.222222222222222)</f>
        <v>0.2222222222</v>
      </c>
      <c r="N17" s="16">
        <f>IFERROR(__xludf.DUMMYFUNCTION("""COMPUTED_VALUE"""),0.232758620689655)</f>
        <v>0.2327586207</v>
      </c>
      <c r="O17" s="16">
        <f>IFERROR(__xludf.DUMMYFUNCTION("""COMPUTED_VALUE"""),0.17)</f>
        <v>0.17</v>
      </c>
      <c r="P17" s="16">
        <f>IFERROR(__xludf.DUMMYFUNCTION("""COMPUTED_VALUE"""),0.0980392156862745)</f>
        <v>0.09803921569</v>
      </c>
      <c r="Q17" s="16">
        <f>IFERROR(__xludf.DUMMYFUNCTION("""COMPUTED_VALUE"""),1.0)</f>
        <v>1</v>
      </c>
      <c r="R17" s="16">
        <f>IFERROR(__xludf.DUMMYFUNCTION("""COMPUTED_VALUE"""),0.0)</f>
        <v>0</v>
      </c>
      <c r="S17" s="16">
        <f>IFERROR(__xludf.DUMMYFUNCTION("""COMPUTED_VALUE"""),0.0)</f>
        <v>0</v>
      </c>
      <c r="T17" s="16">
        <f>IFERROR(__xludf.DUMMYFUNCTION("""COMPUTED_VALUE"""),0.0)</f>
        <v>0</v>
      </c>
      <c r="U17" s="16">
        <f>IFERROR(__xludf.DUMMYFUNCTION("""COMPUTED_VALUE"""),0.0)</f>
        <v>0</v>
      </c>
      <c r="V17" s="16">
        <f>IFERROR(__xludf.DUMMYFUNCTION("""COMPUTED_VALUE"""),0.0)</f>
        <v>0</v>
      </c>
      <c r="W17" s="16">
        <f>IFERROR(__xludf.DUMMYFUNCTION("""COMPUTED_VALUE"""),0.0)</f>
        <v>0</v>
      </c>
      <c r="X17" s="16">
        <f>IFERROR(__xludf.DUMMYFUNCTION("""COMPUTED_VALUE"""),0.0)</f>
        <v>0</v>
      </c>
      <c r="Y17" s="16">
        <f>IFERROR(__xludf.DUMMYFUNCTION("""COMPUTED_VALUE"""),0.0)</f>
        <v>0</v>
      </c>
      <c r="Z17" s="16">
        <f>IFERROR(__xludf.DUMMYFUNCTION("""COMPUTED_VALUE"""),0.0)</f>
        <v>0</v>
      </c>
      <c r="AA17" s="16">
        <f>IFERROR(__xludf.DUMMYFUNCTION("""COMPUTED_VALUE"""),0.0)</f>
        <v>0</v>
      </c>
      <c r="AB17" s="16">
        <f>IFERROR(__xludf.DUMMYFUNCTION("""COMPUTED_VALUE"""),0.0)</f>
        <v>0</v>
      </c>
      <c r="AC17" s="16">
        <f>IFERROR(__xludf.DUMMYFUNCTION("""COMPUTED_VALUE"""),0.0)</f>
        <v>0</v>
      </c>
      <c r="AD17" s="16">
        <f>IFERROR(__xludf.DUMMYFUNCTION("""COMPUTED_VALUE"""),0.0)</f>
        <v>0</v>
      </c>
      <c r="AE17" s="16">
        <f>IFERROR(__xludf.DUMMYFUNCTION("""COMPUTED_VALUE"""),0.0)</f>
        <v>0</v>
      </c>
      <c r="AF17" s="16">
        <f>IFERROR(__xludf.DUMMYFUNCTION("""COMPUTED_VALUE"""),0.0)</f>
        <v>0</v>
      </c>
      <c r="AG17" s="16">
        <f>IFERROR(__xludf.DUMMYFUNCTION("""COMPUTED_VALUE"""),0.0)</f>
        <v>0</v>
      </c>
      <c r="AH17" s="16">
        <f>IFERROR(__xludf.DUMMYFUNCTION("""COMPUTED_VALUE"""),0.0)</f>
        <v>0</v>
      </c>
    </row>
    <row r="18">
      <c r="A18" s="16" t="str">
        <f>IFERROR(__xludf.DUMMYFUNCTION("""COMPUTED_VALUE"""),"0f3d56fd651e66eb62e990fd31d006aa80eaab5f")</f>
        <v>0f3d56fd651e66eb62e990fd31d006aa80eaab5f</v>
      </c>
      <c r="B18" s="16" t="str">
        <f>IFERROR(__xludf.DUMMYFUNCTION("""COMPUTED_VALUE"""),"The Forsaken Tamer")</f>
        <v>The Forsaken Tamer</v>
      </c>
      <c r="C18" s="16" t="str">
        <f>IFERROR(__xludf.DUMMYFUNCTION("""COMPUTED_VALUE"""),"System and Superpower")</f>
        <v>System and Superpower</v>
      </c>
      <c r="D18" s="16">
        <f>IFERROR(__xludf.DUMMYFUNCTION("""COMPUTED_VALUE"""),1138.0)</f>
        <v>1138</v>
      </c>
      <c r="E18" s="16">
        <f>IFERROR(__xludf.DUMMYFUNCTION("""COMPUTED_VALUE"""),0.994727592267135)</f>
        <v>0.9947275923</v>
      </c>
      <c r="F18" s="16">
        <f>IFERROR(__xludf.DUMMYFUNCTION("""COMPUTED_VALUE"""),0.65817223198594)</f>
        <v>0.658172232</v>
      </c>
      <c r="G18" s="16">
        <f>IFERROR(__xludf.DUMMYFUNCTION("""COMPUTED_VALUE"""),0.601933216168717)</f>
        <v>0.6019332162</v>
      </c>
      <c r="H18" s="16">
        <f>IFERROR(__xludf.DUMMYFUNCTION("""COMPUTED_VALUE"""),0.503514938488576)</f>
        <v>0.5035149385</v>
      </c>
      <c r="I18" s="16">
        <f>IFERROR(__xludf.DUMMYFUNCTION("""COMPUTED_VALUE"""),0.442882249560632)</f>
        <v>0.4428822496</v>
      </c>
      <c r="J18" s="16">
        <f>IFERROR(__xludf.DUMMYFUNCTION("""COMPUTED_VALUE"""),0.361795774647887)</f>
        <v>0.3617957746</v>
      </c>
      <c r="K18" s="16">
        <f>IFERROR(__xludf.DUMMYFUNCTION("""COMPUTED_VALUE"""),0.309523809523809)</f>
        <v>0.3095238095</v>
      </c>
      <c r="L18" s="16">
        <f>IFERROR(__xludf.DUMMYFUNCTION("""COMPUTED_VALUE"""),0.275092936802974)</f>
        <v>0.2750929368</v>
      </c>
      <c r="M18" s="16">
        <f>IFERROR(__xludf.DUMMYFUNCTION("""COMPUTED_VALUE"""),0.259259259259259)</f>
        <v>0.2592592593</v>
      </c>
      <c r="N18" s="16">
        <f>IFERROR(__xludf.DUMMYFUNCTION("""COMPUTED_VALUE"""),0.233993015133876)</f>
        <v>0.2339930151</v>
      </c>
      <c r="O18" s="16">
        <f>IFERROR(__xludf.DUMMYFUNCTION("""COMPUTED_VALUE"""),0.164763458401305)</f>
        <v>0.1647634584</v>
      </c>
      <c r="P18" s="16">
        <f>IFERROR(__xludf.DUMMYFUNCTION("""COMPUTED_VALUE"""),0.112211221122112)</f>
        <v>0.1122112211</v>
      </c>
      <c r="Q18" s="16">
        <f>IFERROR(__xludf.DUMMYFUNCTION("""COMPUTED_VALUE"""),0.0387858347386172)</f>
        <v>0.03878583474</v>
      </c>
      <c r="R18" s="16">
        <f>IFERROR(__xludf.DUMMYFUNCTION("""COMPUTED_VALUE"""),0.026595744680851)</f>
        <v>0.02659574468</v>
      </c>
      <c r="S18" s="16">
        <f>IFERROR(__xludf.DUMMYFUNCTION("""COMPUTED_VALUE"""),0.0)</f>
        <v>0</v>
      </c>
      <c r="T18" s="16">
        <f>IFERROR(__xludf.DUMMYFUNCTION("""COMPUTED_VALUE"""),0.0)</f>
        <v>0</v>
      </c>
      <c r="U18" s="16">
        <f>IFERROR(__xludf.DUMMYFUNCTION("""COMPUTED_VALUE"""),0.0)</f>
        <v>0</v>
      </c>
      <c r="V18" s="16">
        <f>IFERROR(__xludf.DUMMYFUNCTION("""COMPUTED_VALUE"""),0.0)</f>
        <v>0</v>
      </c>
      <c r="W18" s="16">
        <f>IFERROR(__xludf.DUMMYFUNCTION("""COMPUTED_VALUE"""),0.0)</f>
        <v>0</v>
      </c>
      <c r="X18" s="16">
        <f>IFERROR(__xludf.DUMMYFUNCTION("""COMPUTED_VALUE"""),0.0)</f>
        <v>0</v>
      </c>
      <c r="Y18" s="16">
        <f>IFERROR(__xludf.DUMMYFUNCTION("""COMPUTED_VALUE"""),0.0)</f>
        <v>0</v>
      </c>
      <c r="Z18" s="16">
        <f>IFERROR(__xludf.DUMMYFUNCTION("""COMPUTED_VALUE"""),0.0)</f>
        <v>0</v>
      </c>
      <c r="AA18" s="16">
        <f>IFERROR(__xludf.DUMMYFUNCTION("""COMPUTED_VALUE"""),0.0)</f>
        <v>0</v>
      </c>
      <c r="AB18" s="16">
        <f>IFERROR(__xludf.DUMMYFUNCTION("""COMPUTED_VALUE"""),0.0)</f>
        <v>0</v>
      </c>
      <c r="AC18" s="16">
        <f>IFERROR(__xludf.DUMMYFUNCTION("""COMPUTED_VALUE"""),0.0)</f>
        <v>0</v>
      </c>
      <c r="AD18" s="16">
        <f>IFERROR(__xludf.DUMMYFUNCTION("""COMPUTED_VALUE"""),0.0)</f>
        <v>0</v>
      </c>
      <c r="AE18" s="16">
        <f>IFERROR(__xludf.DUMMYFUNCTION("""COMPUTED_VALUE"""),0.0)</f>
        <v>0</v>
      </c>
      <c r="AF18" s="16">
        <f>IFERROR(__xludf.DUMMYFUNCTION("""COMPUTED_VALUE"""),0.0)</f>
        <v>0</v>
      </c>
      <c r="AG18" s="16">
        <f>IFERROR(__xludf.DUMMYFUNCTION("""COMPUTED_VALUE"""),0.0)</f>
        <v>0</v>
      </c>
      <c r="AH18" s="16">
        <f>IFERROR(__xludf.DUMMYFUNCTION("""COMPUTED_VALUE"""),0.0)</f>
        <v>0</v>
      </c>
    </row>
    <row r="19">
      <c r="A19" s="16" t="str">
        <f>IFERROR(__xludf.DUMMYFUNCTION("""COMPUTED_VALUE"""),"0fadc6da7c4d814463023dc7ffd8be44c68fa457")</f>
        <v>0fadc6da7c4d814463023dc7ffd8be44c68fa457</v>
      </c>
      <c r="B19" s="16" t="str">
        <f>IFERROR(__xludf.DUMMYFUNCTION("""COMPUTED_VALUE"""),"From Ceo to Young Lord")</f>
        <v>From Ceo to Young Lord</v>
      </c>
      <c r="C19" s="16" t="str">
        <f>IFERROR(__xludf.DUMMYFUNCTION("""COMPUTED_VALUE"""),"Fantasy")</f>
        <v>Fantasy</v>
      </c>
      <c r="D19" s="16">
        <f>IFERROR(__xludf.DUMMYFUNCTION("""COMPUTED_VALUE"""),831.0)</f>
        <v>831</v>
      </c>
      <c r="E19" s="16">
        <f>IFERROR(__xludf.DUMMYFUNCTION("""COMPUTED_VALUE"""),0.96991576413959)</f>
        <v>0.9699157641</v>
      </c>
      <c r="F19" s="16">
        <f>IFERROR(__xludf.DUMMYFUNCTION("""COMPUTED_VALUE"""),0.712394705174488)</f>
        <v>0.7123947052</v>
      </c>
      <c r="G19" s="16">
        <f>IFERROR(__xludf.DUMMYFUNCTION("""COMPUTED_VALUE"""),0.672683513838748)</f>
        <v>0.6726835138</v>
      </c>
      <c r="H19" s="16">
        <f>IFERROR(__xludf.DUMMYFUNCTION("""COMPUTED_VALUE"""),0.667870036101083)</f>
        <v>0.6678700361</v>
      </c>
      <c r="I19" s="16">
        <f>IFERROR(__xludf.DUMMYFUNCTION("""COMPUTED_VALUE"""),0.632972322503008)</f>
        <v>0.6329723225</v>
      </c>
      <c r="J19" s="16">
        <f>IFERROR(__xludf.DUMMYFUNCTION("""COMPUTED_VALUE"""),0.6)</f>
        <v>0.6</v>
      </c>
      <c r="K19" s="16">
        <f>IFERROR(__xludf.DUMMYFUNCTION("""COMPUTED_VALUE"""),0.581927710843373)</f>
        <v>0.5819277108</v>
      </c>
      <c r="L19" s="16">
        <f>IFERROR(__xludf.DUMMYFUNCTION("""COMPUTED_VALUE"""),0.553679131483715)</f>
        <v>0.5536791315</v>
      </c>
      <c r="M19" s="16">
        <f>IFERROR(__xludf.DUMMYFUNCTION("""COMPUTED_VALUE"""),0.533898305084745)</f>
        <v>0.5338983051</v>
      </c>
      <c r="N19" s="16">
        <f>IFERROR(__xludf.DUMMYFUNCTION("""COMPUTED_VALUE"""),0.524848484848484)</f>
        <v>0.5248484848</v>
      </c>
      <c r="O19" s="16">
        <f>IFERROR(__xludf.DUMMYFUNCTION("""COMPUTED_VALUE"""),0.468864468864468)</f>
        <v>0.4688644689</v>
      </c>
      <c r="P19" s="16">
        <f>IFERROR(__xludf.DUMMYFUNCTION("""COMPUTED_VALUE"""),0.318965517241379)</f>
        <v>0.3189655172</v>
      </c>
      <c r="Q19" s="16">
        <f>IFERROR(__xludf.DUMMYFUNCTION("""COMPUTED_VALUE"""),0.237383177570093)</f>
        <v>0.2373831776</v>
      </c>
      <c r="R19" s="16">
        <f>IFERROR(__xludf.DUMMYFUNCTION("""COMPUTED_VALUE"""),0.131868131868131)</f>
        <v>0.1318681319</v>
      </c>
      <c r="S19" s="16">
        <f>IFERROR(__xludf.DUMMYFUNCTION("""COMPUTED_VALUE"""),0.0833333333333333)</f>
        <v>0.08333333333</v>
      </c>
      <c r="T19" s="16">
        <f>IFERROR(__xludf.DUMMYFUNCTION("""COMPUTED_VALUE"""),0.0)</f>
        <v>0</v>
      </c>
      <c r="U19" s="16">
        <f>IFERROR(__xludf.DUMMYFUNCTION("""COMPUTED_VALUE"""),0.0)</f>
        <v>0</v>
      </c>
      <c r="V19" s="16">
        <f>IFERROR(__xludf.DUMMYFUNCTION("""COMPUTED_VALUE"""),0.0)</f>
        <v>0</v>
      </c>
      <c r="W19" s="16">
        <f>IFERROR(__xludf.DUMMYFUNCTION("""COMPUTED_VALUE"""),0.0)</f>
        <v>0</v>
      </c>
      <c r="X19" s="16">
        <f>IFERROR(__xludf.DUMMYFUNCTION("""COMPUTED_VALUE"""),0.0)</f>
        <v>0</v>
      </c>
      <c r="Y19" s="16">
        <f>IFERROR(__xludf.DUMMYFUNCTION("""COMPUTED_VALUE"""),0.0)</f>
        <v>0</v>
      </c>
      <c r="Z19" s="16">
        <f>IFERROR(__xludf.DUMMYFUNCTION("""COMPUTED_VALUE"""),0.0)</f>
        <v>0</v>
      </c>
      <c r="AA19" s="16">
        <f>IFERROR(__xludf.DUMMYFUNCTION("""COMPUTED_VALUE"""),0.0)</f>
        <v>0</v>
      </c>
      <c r="AB19" s="16">
        <f>IFERROR(__xludf.DUMMYFUNCTION("""COMPUTED_VALUE"""),0.0)</f>
        <v>0</v>
      </c>
      <c r="AC19" s="16">
        <f>IFERROR(__xludf.DUMMYFUNCTION("""COMPUTED_VALUE"""),0.0)</f>
        <v>0</v>
      </c>
      <c r="AD19" s="16">
        <f>IFERROR(__xludf.DUMMYFUNCTION("""COMPUTED_VALUE"""),0.0)</f>
        <v>0</v>
      </c>
      <c r="AE19" s="16">
        <f>IFERROR(__xludf.DUMMYFUNCTION("""COMPUTED_VALUE"""),0.0)</f>
        <v>0</v>
      </c>
      <c r="AF19" s="16">
        <f>IFERROR(__xludf.DUMMYFUNCTION("""COMPUTED_VALUE"""),0.0)</f>
        <v>0</v>
      </c>
      <c r="AG19" s="16">
        <f>IFERROR(__xludf.DUMMYFUNCTION("""COMPUTED_VALUE"""),0.0)</f>
        <v>0</v>
      </c>
      <c r="AH19" s="16">
        <f>IFERROR(__xludf.DUMMYFUNCTION("""COMPUTED_VALUE"""),0.0)</f>
        <v>0</v>
      </c>
    </row>
    <row r="20">
      <c r="A20" s="16" t="str">
        <f>IFERROR(__xludf.DUMMYFUNCTION("""COMPUTED_VALUE"""),"114fed9f0540f90ccc58d03a383c7c69260baeae")</f>
        <v>114fed9f0540f90ccc58d03a383c7c69260baeae</v>
      </c>
      <c r="B20" s="16" t="str">
        <f>IFERROR(__xludf.DUMMYFUNCTION("""COMPUTED_VALUE"""),"Mother's Murder &amp; Secrets")</f>
        <v>Mother's Murder &amp; Secrets</v>
      </c>
      <c r="C20" s="16" t="str">
        <f>IFERROR(__xludf.DUMMYFUNCTION("""COMPUTED_VALUE"""),"Suspense or Thriller")</f>
        <v>Suspense or Thriller</v>
      </c>
      <c r="D20" s="16">
        <f>IFERROR(__xludf.DUMMYFUNCTION("""COMPUTED_VALUE"""),178.0)</f>
        <v>178</v>
      </c>
      <c r="E20" s="16">
        <f>IFERROR(__xludf.DUMMYFUNCTION("""COMPUTED_VALUE"""),0.99438202247191)</f>
        <v>0.9943820225</v>
      </c>
      <c r="F20" s="16">
        <f>IFERROR(__xludf.DUMMYFUNCTION("""COMPUTED_VALUE"""),0.393258426966292)</f>
        <v>0.393258427</v>
      </c>
      <c r="G20" s="16">
        <f>IFERROR(__xludf.DUMMYFUNCTION("""COMPUTED_VALUE"""),0.325842696629213)</f>
        <v>0.3258426966</v>
      </c>
      <c r="H20" s="16">
        <f>IFERROR(__xludf.DUMMYFUNCTION("""COMPUTED_VALUE"""),0.280898876404494)</f>
        <v>0.2808988764</v>
      </c>
      <c r="I20" s="16">
        <f>IFERROR(__xludf.DUMMYFUNCTION("""COMPUTED_VALUE"""),0.230337078651685)</f>
        <v>0.2303370787</v>
      </c>
      <c r="J20" s="16">
        <f>IFERROR(__xludf.DUMMYFUNCTION("""COMPUTED_VALUE"""),0.196629213483146)</f>
        <v>0.1966292135</v>
      </c>
      <c r="K20" s="16">
        <f>IFERROR(__xludf.DUMMYFUNCTION("""COMPUTED_VALUE"""),0.157303370786516)</f>
        <v>0.1573033708</v>
      </c>
      <c r="L20" s="16">
        <f>IFERROR(__xludf.DUMMYFUNCTION("""COMPUTED_VALUE"""),0.146067415730337)</f>
        <v>0.1460674157</v>
      </c>
      <c r="M20" s="16">
        <f>IFERROR(__xludf.DUMMYFUNCTION("""COMPUTED_VALUE"""),0.140449438202247)</f>
        <v>0.1404494382</v>
      </c>
      <c r="N20" s="16">
        <f>IFERROR(__xludf.DUMMYFUNCTION("""COMPUTED_VALUE"""),0.129213483146067)</f>
        <v>0.1292134831</v>
      </c>
      <c r="O20" s="16">
        <f>IFERROR(__xludf.DUMMYFUNCTION("""COMPUTED_VALUE"""),0.0847457627118644)</f>
        <v>0.08474576271</v>
      </c>
      <c r="P20" s="16">
        <f>IFERROR(__xludf.DUMMYFUNCTION("""COMPUTED_VALUE"""),0.0568181818181818)</f>
        <v>0.05681818182</v>
      </c>
      <c r="Q20" s="16">
        <f>IFERROR(__xludf.DUMMYFUNCTION("""COMPUTED_VALUE"""),0.0514285714285714)</f>
        <v>0.05142857143</v>
      </c>
      <c r="R20" s="16">
        <f>IFERROR(__xludf.DUMMYFUNCTION("""COMPUTED_VALUE"""),0.0344827586206896)</f>
        <v>0.03448275862</v>
      </c>
      <c r="S20" s="16">
        <f>IFERROR(__xludf.DUMMYFUNCTION("""COMPUTED_VALUE"""),0.0289017341040462)</f>
        <v>0.0289017341</v>
      </c>
      <c r="T20" s="16">
        <f>IFERROR(__xludf.DUMMYFUNCTION("""COMPUTED_VALUE"""),0.0125786163522012)</f>
        <v>0.01257861635</v>
      </c>
      <c r="U20" s="16">
        <f>IFERROR(__xludf.DUMMYFUNCTION("""COMPUTED_VALUE"""),0.0153846153846153)</f>
        <v>0.01538461538</v>
      </c>
      <c r="V20" s="16">
        <f>IFERROR(__xludf.DUMMYFUNCTION("""COMPUTED_VALUE"""),0.037037037037037)</f>
        <v>0.03703703704</v>
      </c>
      <c r="W20" s="16">
        <f>IFERROR(__xludf.DUMMYFUNCTION("""COMPUTED_VALUE"""),0.0)</f>
        <v>0</v>
      </c>
      <c r="X20" s="16">
        <f>IFERROR(__xludf.DUMMYFUNCTION("""COMPUTED_VALUE"""),0.0)</f>
        <v>0</v>
      </c>
      <c r="Y20" s="16">
        <f>IFERROR(__xludf.DUMMYFUNCTION("""COMPUTED_VALUE"""),0.0)</f>
        <v>0</v>
      </c>
      <c r="Z20" s="16">
        <f>IFERROR(__xludf.DUMMYFUNCTION("""COMPUTED_VALUE"""),0.0)</f>
        <v>0</v>
      </c>
      <c r="AA20" s="16">
        <f>IFERROR(__xludf.DUMMYFUNCTION("""COMPUTED_VALUE"""),0.0)</f>
        <v>0</v>
      </c>
      <c r="AB20" s="16">
        <f>IFERROR(__xludf.DUMMYFUNCTION("""COMPUTED_VALUE"""),0.0)</f>
        <v>0</v>
      </c>
      <c r="AC20" s="16">
        <f>IFERROR(__xludf.DUMMYFUNCTION("""COMPUTED_VALUE"""),0.0)</f>
        <v>0</v>
      </c>
      <c r="AD20" s="16">
        <f>IFERROR(__xludf.DUMMYFUNCTION("""COMPUTED_VALUE"""),0.0)</f>
        <v>0</v>
      </c>
      <c r="AE20" s="16">
        <f>IFERROR(__xludf.DUMMYFUNCTION("""COMPUTED_VALUE"""),0.0)</f>
        <v>0</v>
      </c>
      <c r="AF20" s="16">
        <f>IFERROR(__xludf.DUMMYFUNCTION("""COMPUTED_VALUE"""),0.0)</f>
        <v>0</v>
      </c>
      <c r="AG20" s="16">
        <f>IFERROR(__xludf.DUMMYFUNCTION("""COMPUTED_VALUE"""),0.0)</f>
        <v>0</v>
      </c>
      <c r="AH20" s="16">
        <f>IFERROR(__xludf.DUMMYFUNCTION("""COMPUTED_VALUE"""),0.0)</f>
        <v>0</v>
      </c>
    </row>
    <row r="21">
      <c r="A21" s="16" t="str">
        <f>IFERROR(__xludf.DUMMYFUNCTION("""COMPUTED_VALUE"""),"123964565c4c79c7f1a3737171a0125020300913")</f>
        <v>123964565c4c79c7f1a3737171a0125020300913</v>
      </c>
      <c r="B21" s="16" t="str">
        <f>IFERROR(__xludf.DUMMYFUNCTION("""COMPUTED_VALUE"""),"My Alien Boxing System")</f>
        <v>My Alien Boxing System</v>
      </c>
      <c r="C21" s="16" t="str">
        <f>IFERROR(__xludf.DUMMYFUNCTION("""COMPUTED_VALUE"""),"Fantasy")</f>
        <v>Fantasy</v>
      </c>
      <c r="D21" s="16">
        <f>IFERROR(__xludf.DUMMYFUNCTION("""COMPUTED_VALUE"""),481.0)</f>
        <v>481</v>
      </c>
      <c r="E21" s="16">
        <f>IFERROR(__xludf.DUMMYFUNCTION("""COMPUTED_VALUE"""),0.991683991683991)</f>
        <v>0.9916839917</v>
      </c>
      <c r="F21" s="16">
        <f>IFERROR(__xludf.DUMMYFUNCTION("""COMPUTED_VALUE"""),0.613305613305613)</f>
        <v>0.6133056133</v>
      </c>
      <c r="G21" s="16">
        <f>IFERROR(__xludf.DUMMYFUNCTION("""COMPUTED_VALUE"""),0.588357588357588)</f>
        <v>0.5883575884</v>
      </c>
      <c r="H21" s="16">
        <f>IFERROR(__xludf.DUMMYFUNCTION("""COMPUTED_VALUE"""),0.53014553014553)</f>
        <v>0.5301455301</v>
      </c>
      <c r="I21" s="16">
        <f>IFERROR(__xludf.DUMMYFUNCTION("""COMPUTED_VALUE"""),0.494802494802494)</f>
        <v>0.4948024948</v>
      </c>
      <c r="J21" s="16">
        <f>IFERROR(__xludf.DUMMYFUNCTION("""COMPUTED_VALUE"""),0.436590436590436)</f>
        <v>0.4365904366</v>
      </c>
      <c r="K21" s="16">
        <f>IFERROR(__xludf.DUMMYFUNCTION("""COMPUTED_VALUE"""),0.397916666666666)</f>
        <v>0.3979166667</v>
      </c>
      <c r="L21" s="16">
        <f>IFERROR(__xludf.DUMMYFUNCTION("""COMPUTED_VALUE"""),0.396659707724425)</f>
        <v>0.3966597077</v>
      </c>
      <c r="M21" s="16">
        <f>IFERROR(__xludf.DUMMYFUNCTION("""COMPUTED_VALUE"""),0.375782881002087)</f>
        <v>0.375782881</v>
      </c>
      <c r="N21" s="16">
        <f>IFERROR(__xludf.DUMMYFUNCTION("""COMPUTED_VALUE"""),0.335429769392033)</f>
        <v>0.3354297694</v>
      </c>
      <c r="O21" s="16">
        <f>IFERROR(__xludf.DUMMYFUNCTION("""COMPUTED_VALUE"""),0.264830508474576)</f>
        <v>0.2648305085</v>
      </c>
      <c r="P21" s="16">
        <f>IFERROR(__xludf.DUMMYFUNCTION("""COMPUTED_VALUE"""),0.1792656587473)</f>
        <v>0.1792656587</v>
      </c>
      <c r="Q21" s="16">
        <f>IFERROR(__xludf.DUMMYFUNCTION("""COMPUTED_VALUE"""),0.088235294117647)</f>
        <v>0.08823529412</v>
      </c>
      <c r="R21" s="16">
        <f>IFERROR(__xludf.DUMMYFUNCTION("""COMPUTED_VALUE"""),0.0)</f>
        <v>0</v>
      </c>
      <c r="S21" s="16">
        <f>IFERROR(__xludf.DUMMYFUNCTION("""COMPUTED_VALUE"""),0.0)</f>
        <v>0</v>
      </c>
      <c r="T21" s="16">
        <f>IFERROR(__xludf.DUMMYFUNCTION("""COMPUTED_VALUE"""),0.0)</f>
        <v>0</v>
      </c>
      <c r="U21" s="16">
        <f>IFERROR(__xludf.DUMMYFUNCTION("""COMPUTED_VALUE"""),0.0)</f>
        <v>0</v>
      </c>
      <c r="V21" s="16">
        <f>IFERROR(__xludf.DUMMYFUNCTION("""COMPUTED_VALUE"""),0.0)</f>
        <v>0</v>
      </c>
      <c r="W21" s="16">
        <f>IFERROR(__xludf.DUMMYFUNCTION("""COMPUTED_VALUE"""),0.0)</f>
        <v>0</v>
      </c>
      <c r="X21" s="16">
        <f>IFERROR(__xludf.DUMMYFUNCTION("""COMPUTED_VALUE"""),0.0)</f>
        <v>0</v>
      </c>
      <c r="Y21" s="16">
        <f>IFERROR(__xludf.DUMMYFUNCTION("""COMPUTED_VALUE"""),0.0)</f>
        <v>0</v>
      </c>
      <c r="Z21" s="16">
        <f>IFERROR(__xludf.DUMMYFUNCTION("""COMPUTED_VALUE"""),0.0)</f>
        <v>0</v>
      </c>
      <c r="AA21" s="16">
        <f>IFERROR(__xludf.DUMMYFUNCTION("""COMPUTED_VALUE"""),0.0)</f>
        <v>0</v>
      </c>
      <c r="AB21" s="16">
        <f>IFERROR(__xludf.DUMMYFUNCTION("""COMPUTED_VALUE"""),0.0)</f>
        <v>0</v>
      </c>
      <c r="AC21" s="16">
        <f>IFERROR(__xludf.DUMMYFUNCTION("""COMPUTED_VALUE"""),0.0)</f>
        <v>0</v>
      </c>
      <c r="AD21" s="16">
        <f>IFERROR(__xludf.DUMMYFUNCTION("""COMPUTED_VALUE"""),0.0)</f>
        <v>0</v>
      </c>
      <c r="AE21" s="16">
        <f>IFERROR(__xludf.DUMMYFUNCTION("""COMPUTED_VALUE"""),0.0)</f>
        <v>0</v>
      </c>
      <c r="AF21" s="16">
        <f>IFERROR(__xludf.DUMMYFUNCTION("""COMPUTED_VALUE"""),0.0)</f>
        <v>0</v>
      </c>
      <c r="AG21" s="16">
        <f>IFERROR(__xludf.DUMMYFUNCTION("""COMPUTED_VALUE"""),0.0)</f>
        <v>0</v>
      </c>
      <c r="AH21" s="16">
        <f>IFERROR(__xludf.DUMMYFUNCTION("""COMPUTED_VALUE"""),0.0)</f>
        <v>0</v>
      </c>
    </row>
    <row r="22">
      <c r="A22" s="16" t="str">
        <f>IFERROR(__xludf.DUMMYFUNCTION("""COMPUTED_VALUE"""),"158669d764d53a995f111683b8700642d7c4847c")</f>
        <v>158669d764d53a995f111683b8700642d7c4847c</v>
      </c>
      <c r="B22" s="16" t="str">
        <f>IFERROR(__xludf.DUMMYFUNCTION("""COMPUTED_VALUE"""),"The Silent Wife Strikes")</f>
        <v>The Silent Wife Strikes</v>
      </c>
      <c r="C22" s="16" t="str">
        <f>IFERROR(__xludf.DUMMYFUNCTION("""COMPUTED_VALUE"""),"Romance")</f>
        <v>Romance</v>
      </c>
      <c r="D22" s="16">
        <f>IFERROR(__xludf.DUMMYFUNCTION("""COMPUTED_VALUE"""),10.0)</f>
        <v>10</v>
      </c>
      <c r="E22" s="16">
        <f>IFERROR(__xludf.DUMMYFUNCTION("""COMPUTED_VALUE"""),0.9)</f>
        <v>0.9</v>
      </c>
      <c r="F22" s="16">
        <f>IFERROR(__xludf.DUMMYFUNCTION("""COMPUTED_VALUE"""),0.6)</f>
        <v>0.6</v>
      </c>
      <c r="G22" s="16">
        <f>IFERROR(__xludf.DUMMYFUNCTION("""COMPUTED_VALUE"""),0.5)</f>
        <v>0.5</v>
      </c>
      <c r="H22" s="16">
        <f>IFERROR(__xludf.DUMMYFUNCTION("""COMPUTED_VALUE"""),0.5)</f>
        <v>0.5</v>
      </c>
      <c r="I22" s="16">
        <f>IFERROR(__xludf.DUMMYFUNCTION("""COMPUTED_VALUE"""),0.4)</f>
        <v>0.4</v>
      </c>
      <c r="J22" s="16">
        <f>IFERROR(__xludf.DUMMYFUNCTION("""COMPUTED_VALUE"""),0.4)</f>
        <v>0.4</v>
      </c>
      <c r="K22" s="16">
        <f>IFERROR(__xludf.DUMMYFUNCTION("""COMPUTED_VALUE"""),0.5)</f>
        <v>0.5</v>
      </c>
      <c r="L22" s="16">
        <f>IFERROR(__xludf.DUMMYFUNCTION("""COMPUTED_VALUE"""),0.4)</f>
        <v>0.4</v>
      </c>
      <c r="M22" s="16">
        <f>IFERROR(__xludf.DUMMYFUNCTION("""COMPUTED_VALUE"""),0.5)</f>
        <v>0.5</v>
      </c>
      <c r="N22" s="16">
        <f>IFERROR(__xludf.DUMMYFUNCTION("""COMPUTED_VALUE"""),0.4)</f>
        <v>0.4</v>
      </c>
      <c r="O22" s="16">
        <f>IFERROR(__xludf.DUMMYFUNCTION("""COMPUTED_VALUE"""),0.444444444444444)</f>
        <v>0.4444444444</v>
      </c>
      <c r="P22" s="16">
        <f>IFERROR(__xludf.DUMMYFUNCTION("""COMPUTED_VALUE"""),0.333333333333333)</f>
        <v>0.3333333333</v>
      </c>
      <c r="Q22" s="16">
        <f>IFERROR(__xludf.DUMMYFUNCTION("""COMPUTED_VALUE"""),0.333333333333333)</f>
        <v>0.3333333333</v>
      </c>
      <c r="R22" s="16">
        <f>IFERROR(__xludf.DUMMYFUNCTION("""COMPUTED_VALUE"""),0.0)</f>
        <v>0</v>
      </c>
      <c r="S22" s="16">
        <f>IFERROR(__xludf.DUMMYFUNCTION("""COMPUTED_VALUE"""),0.0)</f>
        <v>0</v>
      </c>
      <c r="T22" s="16">
        <f>IFERROR(__xludf.DUMMYFUNCTION("""COMPUTED_VALUE"""),0.0)</f>
        <v>0</v>
      </c>
      <c r="U22" s="16">
        <f>IFERROR(__xludf.DUMMYFUNCTION("""COMPUTED_VALUE"""),0.0)</f>
        <v>0</v>
      </c>
      <c r="V22" s="16">
        <f>IFERROR(__xludf.DUMMYFUNCTION("""COMPUTED_VALUE"""),0.0)</f>
        <v>0</v>
      </c>
      <c r="W22" s="16">
        <f>IFERROR(__xludf.DUMMYFUNCTION("""COMPUTED_VALUE"""),0.0)</f>
        <v>0</v>
      </c>
      <c r="X22" s="16">
        <f>IFERROR(__xludf.DUMMYFUNCTION("""COMPUTED_VALUE"""),0.0)</f>
        <v>0</v>
      </c>
      <c r="Y22" s="16">
        <f>IFERROR(__xludf.DUMMYFUNCTION("""COMPUTED_VALUE"""),0.0)</f>
        <v>0</v>
      </c>
      <c r="Z22" s="16">
        <f>IFERROR(__xludf.DUMMYFUNCTION("""COMPUTED_VALUE"""),0.0)</f>
        <v>0</v>
      </c>
      <c r="AA22" s="16">
        <f>IFERROR(__xludf.DUMMYFUNCTION("""COMPUTED_VALUE"""),0.0)</f>
        <v>0</v>
      </c>
      <c r="AB22" s="16">
        <f>IFERROR(__xludf.DUMMYFUNCTION("""COMPUTED_VALUE"""),0.0)</f>
        <v>0</v>
      </c>
      <c r="AC22" s="16">
        <f>IFERROR(__xludf.DUMMYFUNCTION("""COMPUTED_VALUE"""),0.0)</f>
        <v>0</v>
      </c>
      <c r="AD22" s="16">
        <f>IFERROR(__xludf.DUMMYFUNCTION("""COMPUTED_VALUE"""),0.0)</f>
        <v>0</v>
      </c>
      <c r="AE22" s="16">
        <f>IFERROR(__xludf.DUMMYFUNCTION("""COMPUTED_VALUE"""),0.0)</f>
        <v>0</v>
      </c>
      <c r="AF22" s="16">
        <f>IFERROR(__xludf.DUMMYFUNCTION("""COMPUTED_VALUE"""),0.0)</f>
        <v>0</v>
      </c>
      <c r="AG22" s="16">
        <f>IFERROR(__xludf.DUMMYFUNCTION("""COMPUTED_VALUE"""),0.0)</f>
        <v>0</v>
      </c>
      <c r="AH22" s="16">
        <f>IFERROR(__xludf.DUMMYFUNCTION("""COMPUTED_VALUE"""),0.0)</f>
        <v>0</v>
      </c>
    </row>
    <row r="23">
      <c r="A23" s="16" t="str">
        <f>IFERROR(__xludf.DUMMYFUNCTION("""COMPUTED_VALUE"""),"170bf0ee514e18fe892383ebee0f53a0f634136f")</f>
        <v>170bf0ee514e18fe892383ebee0f53a0f634136f</v>
      </c>
      <c r="B23" s="16" t="str">
        <f>IFERROR(__xludf.DUMMYFUNCTION("""COMPUTED_VALUE"""),"Started From the Bottom")</f>
        <v>Started From the Bottom</v>
      </c>
      <c r="C23" s="16" t="str">
        <f>IFERROR(__xludf.DUMMYFUNCTION("""COMPUTED_VALUE"""),"Drama")</f>
        <v>Drama</v>
      </c>
      <c r="D23" s="16">
        <f>IFERROR(__xludf.DUMMYFUNCTION("""COMPUTED_VALUE"""),7.0)</f>
        <v>7</v>
      </c>
      <c r="E23" s="16">
        <f>IFERROR(__xludf.DUMMYFUNCTION("""COMPUTED_VALUE"""),1.0)</f>
        <v>1</v>
      </c>
      <c r="F23" s="16">
        <f>IFERROR(__xludf.DUMMYFUNCTION("""COMPUTED_VALUE"""),0.0)</f>
        <v>0</v>
      </c>
      <c r="G23" s="16">
        <f>IFERROR(__xludf.DUMMYFUNCTION("""COMPUTED_VALUE"""),0.0)</f>
        <v>0</v>
      </c>
      <c r="H23" s="16">
        <f>IFERROR(__xludf.DUMMYFUNCTION("""COMPUTED_VALUE"""),0.0)</f>
        <v>0</v>
      </c>
      <c r="I23" s="16">
        <f>IFERROR(__xludf.DUMMYFUNCTION("""COMPUTED_VALUE"""),0.0)</f>
        <v>0</v>
      </c>
      <c r="J23" s="16">
        <f>IFERROR(__xludf.DUMMYFUNCTION("""COMPUTED_VALUE"""),0.0)</f>
        <v>0</v>
      </c>
      <c r="K23" s="16">
        <f>IFERROR(__xludf.DUMMYFUNCTION("""COMPUTED_VALUE"""),0.0)</f>
        <v>0</v>
      </c>
      <c r="L23" s="16">
        <f>IFERROR(__xludf.DUMMYFUNCTION("""COMPUTED_VALUE"""),0.0)</f>
        <v>0</v>
      </c>
      <c r="M23" s="16">
        <f>IFERROR(__xludf.DUMMYFUNCTION("""COMPUTED_VALUE"""),0.0)</f>
        <v>0</v>
      </c>
      <c r="N23" s="16">
        <f>IFERROR(__xludf.DUMMYFUNCTION("""COMPUTED_VALUE"""),0.0)</f>
        <v>0</v>
      </c>
      <c r="O23" s="16">
        <f>IFERROR(__xludf.DUMMYFUNCTION("""COMPUTED_VALUE"""),0.0)</f>
        <v>0</v>
      </c>
      <c r="P23" s="16">
        <f>IFERROR(__xludf.DUMMYFUNCTION("""COMPUTED_VALUE"""),0.0)</f>
        <v>0</v>
      </c>
      <c r="Q23" s="16">
        <f>IFERROR(__xludf.DUMMYFUNCTION("""COMPUTED_VALUE"""),0.0)</f>
        <v>0</v>
      </c>
      <c r="R23" s="16">
        <f>IFERROR(__xludf.DUMMYFUNCTION("""COMPUTED_VALUE"""),0.0)</f>
        <v>0</v>
      </c>
      <c r="S23" s="16">
        <f>IFERROR(__xludf.DUMMYFUNCTION("""COMPUTED_VALUE"""),0.0)</f>
        <v>0</v>
      </c>
      <c r="T23" s="16">
        <f>IFERROR(__xludf.DUMMYFUNCTION("""COMPUTED_VALUE"""),0.0)</f>
        <v>0</v>
      </c>
      <c r="U23" s="16">
        <f>IFERROR(__xludf.DUMMYFUNCTION("""COMPUTED_VALUE"""),0.0)</f>
        <v>0</v>
      </c>
      <c r="V23" s="16">
        <f>IFERROR(__xludf.DUMMYFUNCTION("""COMPUTED_VALUE"""),0.0)</f>
        <v>0</v>
      </c>
      <c r="W23" s="16">
        <f>IFERROR(__xludf.DUMMYFUNCTION("""COMPUTED_VALUE"""),0.0)</f>
        <v>0</v>
      </c>
      <c r="X23" s="16">
        <f>IFERROR(__xludf.DUMMYFUNCTION("""COMPUTED_VALUE"""),0.0)</f>
        <v>0</v>
      </c>
      <c r="Y23" s="16">
        <f>IFERROR(__xludf.DUMMYFUNCTION("""COMPUTED_VALUE"""),0.0)</f>
        <v>0</v>
      </c>
      <c r="Z23" s="16">
        <f>IFERROR(__xludf.DUMMYFUNCTION("""COMPUTED_VALUE"""),0.0)</f>
        <v>0</v>
      </c>
      <c r="AA23" s="16">
        <f>IFERROR(__xludf.DUMMYFUNCTION("""COMPUTED_VALUE"""),0.0)</f>
        <v>0</v>
      </c>
      <c r="AB23" s="16">
        <f>IFERROR(__xludf.DUMMYFUNCTION("""COMPUTED_VALUE"""),0.0)</f>
        <v>0</v>
      </c>
      <c r="AC23" s="16">
        <f>IFERROR(__xludf.DUMMYFUNCTION("""COMPUTED_VALUE"""),0.0)</f>
        <v>0</v>
      </c>
      <c r="AD23" s="16">
        <f>IFERROR(__xludf.DUMMYFUNCTION("""COMPUTED_VALUE"""),0.0)</f>
        <v>0</v>
      </c>
      <c r="AE23" s="16">
        <f>IFERROR(__xludf.DUMMYFUNCTION("""COMPUTED_VALUE"""),0.0)</f>
        <v>0</v>
      </c>
      <c r="AF23" s="16">
        <f>IFERROR(__xludf.DUMMYFUNCTION("""COMPUTED_VALUE"""),0.0)</f>
        <v>0</v>
      </c>
      <c r="AG23" s="16">
        <f>IFERROR(__xludf.DUMMYFUNCTION("""COMPUTED_VALUE"""),0.0)</f>
        <v>0</v>
      </c>
      <c r="AH23" s="16">
        <f>IFERROR(__xludf.DUMMYFUNCTION("""COMPUTED_VALUE"""),0.0)</f>
        <v>0</v>
      </c>
    </row>
    <row r="24">
      <c r="A24" s="16" t="str">
        <f>IFERROR(__xludf.DUMMYFUNCTION("""COMPUTED_VALUE"""),"184b660f61809850b4478d5bf89e9d10794578ee")</f>
        <v>184b660f61809850b4478d5bf89e9d10794578ee</v>
      </c>
      <c r="B24" s="16" t="str">
        <f>IFERROR(__xludf.DUMMYFUNCTION("""COMPUTED_VALUE"""),"Playing with Fire")</f>
        <v>Playing with Fire</v>
      </c>
      <c r="C24" s="16" t="str">
        <f>IFERROR(__xludf.DUMMYFUNCTION("""COMPUTED_VALUE"""),"Romance")</f>
        <v>Romance</v>
      </c>
      <c r="D24" s="16">
        <f>IFERROR(__xludf.DUMMYFUNCTION("""COMPUTED_VALUE"""),7.0)</f>
        <v>7</v>
      </c>
      <c r="E24" s="16">
        <f>IFERROR(__xludf.DUMMYFUNCTION("""COMPUTED_VALUE"""),1.0)</f>
        <v>1</v>
      </c>
      <c r="F24" s="16">
        <f>IFERROR(__xludf.DUMMYFUNCTION("""COMPUTED_VALUE"""),0.285714285714285)</f>
        <v>0.2857142857</v>
      </c>
      <c r="G24" s="16">
        <f>IFERROR(__xludf.DUMMYFUNCTION("""COMPUTED_VALUE"""),0.285714285714285)</f>
        <v>0.2857142857</v>
      </c>
      <c r="H24" s="16">
        <f>IFERROR(__xludf.DUMMYFUNCTION("""COMPUTED_VALUE"""),0.285714285714285)</f>
        <v>0.2857142857</v>
      </c>
      <c r="I24" s="16">
        <f>IFERROR(__xludf.DUMMYFUNCTION("""COMPUTED_VALUE"""),0.285714285714285)</f>
        <v>0.2857142857</v>
      </c>
      <c r="J24" s="16">
        <f>IFERROR(__xludf.DUMMYFUNCTION("""COMPUTED_VALUE"""),0.285714285714285)</f>
        <v>0.2857142857</v>
      </c>
      <c r="K24" s="16">
        <f>IFERROR(__xludf.DUMMYFUNCTION("""COMPUTED_VALUE"""),0.333333333333333)</f>
        <v>0.3333333333</v>
      </c>
      <c r="L24" s="16">
        <f>IFERROR(__xludf.DUMMYFUNCTION("""COMPUTED_VALUE"""),0.333333333333333)</f>
        <v>0.3333333333</v>
      </c>
      <c r="M24" s="16">
        <f>IFERROR(__xludf.DUMMYFUNCTION("""COMPUTED_VALUE"""),0.166666666666666)</f>
        <v>0.1666666667</v>
      </c>
      <c r="N24" s="16">
        <f>IFERROR(__xludf.DUMMYFUNCTION("""COMPUTED_VALUE"""),0.166666666666666)</f>
        <v>0.1666666667</v>
      </c>
      <c r="O24" s="16">
        <f>IFERROR(__xludf.DUMMYFUNCTION("""COMPUTED_VALUE"""),0.0)</f>
        <v>0</v>
      </c>
      <c r="P24" s="16">
        <f>IFERROR(__xludf.DUMMYFUNCTION("""COMPUTED_VALUE"""),0.0)</f>
        <v>0</v>
      </c>
      <c r="Q24" s="16">
        <f>IFERROR(__xludf.DUMMYFUNCTION("""COMPUTED_VALUE"""),0.0)</f>
        <v>0</v>
      </c>
      <c r="R24" s="16">
        <f>IFERROR(__xludf.DUMMYFUNCTION("""COMPUTED_VALUE"""),0.0)</f>
        <v>0</v>
      </c>
      <c r="S24" s="16">
        <f>IFERROR(__xludf.DUMMYFUNCTION("""COMPUTED_VALUE"""),0.0)</f>
        <v>0</v>
      </c>
      <c r="T24" s="16">
        <f>IFERROR(__xludf.DUMMYFUNCTION("""COMPUTED_VALUE"""),0.0)</f>
        <v>0</v>
      </c>
      <c r="U24" s="16">
        <f>IFERROR(__xludf.DUMMYFUNCTION("""COMPUTED_VALUE"""),0.0)</f>
        <v>0</v>
      </c>
      <c r="V24" s="16">
        <f>IFERROR(__xludf.DUMMYFUNCTION("""COMPUTED_VALUE"""),0.0)</f>
        <v>0</v>
      </c>
      <c r="W24" s="16">
        <f>IFERROR(__xludf.DUMMYFUNCTION("""COMPUTED_VALUE"""),0.0)</f>
        <v>0</v>
      </c>
      <c r="X24" s="16">
        <f>IFERROR(__xludf.DUMMYFUNCTION("""COMPUTED_VALUE"""),0.0)</f>
        <v>0</v>
      </c>
      <c r="Y24" s="16">
        <f>IFERROR(__xludf.DUMMYFUNCTION("""COMPUTED_VALUE"""),0.0)</f>
        <v>0</v>
      </c>
      <c r="Z24" s="16">
        <f>IFERROR(__xludf.DUMMYFUNCTION("""COMPUTED_VALUE"""),0.0)</f>
        <v>0</v>
      </c>
      <c r="AA24" s="16">
        <f>IFERROR(__xludf.DUMMYFUNCTION("""COMPUTED_VALUE"""),0.0)</f>
        <v>0</v>
      </c>
      <c r="AB24" s="16">
        <f>IFERROR(__xludf.DUMMYFUNCTION("""COMPUTED_VALUE"""),0.0)</f>
        <v>0</v>
      </c>
      <c r="AC24" s="16">
        <f>IFERROR(__xludf.DUMMYFUNCTION("""COMPUTED_VALUE"""),0.0)</f>
        <v>0</v>
      </c>
      <c r="AD24" s="16">
        <f>IFERROR(__xludf.DUMMYFUNCTION("""COMPUTED_VALUE"""),0.0)</f>
        <v>0</v>
      </c>
      <c r="AE24" s="16">
        <f>IFERROR(__xludf.DUMMYFUNCTION("""COMPUTED_VALUE"""),0.0)</f>
        <v>0</v>
      </c>
      <c r="AF24" s="16">
        <f>IFERROR(__xludf.DUMMYFUNCTION("""COMPUTED_VALUE"""),0.0)</f>
        <v>0</v>
      </c>
      <c r="AG24" s="16">
        <f>IFERROR(__xludf.DUMMYFUNCTION("""COMPUTED_VALUE"""),0.0)</f>
        <v>0</v>
      </c>
      <c r="AH24" s="16">
        <f>IFERROR(__xludf.DUMMYFUNCTION("""COMPUTED_VALUE"""),0.0)</f>
        <v>0</v>
      </c>
    </row>
    <row r="25">
      <c r="A25" s="16" t="str">
        <f>IFERROR(__xludf.DUMMYFUNCTION("""COMPUTED_VALUE"""),"19153cd9dd2e137f1311235c9104db0ecba38abb")</f>
        <v>19153cd9dd2e137f1311235c9104db0ecba38abb</v>
      </c>
      <c r="B25" s="16" t="str">
        <f>IFERROR(__xludf.DUMMYFUNCTION("""COMPUTED_VALUE"""),"My Apex Trading System")</f>
        <v>My Apex Trading System</v>
      </c>
      <c r="C25" s="16" t="str">
        <f>IFERROR(__xludf.DUMMYFUNCTION("""COMPUTED_VALUE"""),"Sci-Fi")</f>
        <v>Sci-Fi</v>
      </c>
      <c r="D25" s="16">
        <f>IFERROR(__xludf.DUMMYFUNCTION("""COMPUTED_VALUE"""),489.0)</f>
        <v>489</v>
      </c>
      <c r="E25" s="16">
        <f>IFERROR(__xludf.DUMMYFUNCTION("""COMPUTED_VALUE"""),0.991820040899795)</f>
        <v>0.9918200409</v>
      </c>
      <c r="F25" s="16">
        <f>IFERROR(__xludf.DUMMYFUNCTION("""COMPUTED_VALUE"""),0.574642126789366)</f>
        <v>0.5746421268</v>
      </c>
      <c r="G25" s="16">
        <f>IFERROR(__xludf.DUMMYFUNCTION("""COMPUTED_VALUE"""),0.480572597137014)</f>
        <v>0.4805725971</v>
      </c>
      <c r="H25" s="16">
        <f>IFERROR(__xludf.DUMMYFUNCTION("""COMPUTED_VALUE"""),0.466257668711656)</f>
        <v>0.4662576687</v>
      </c>
      <c r="I25" s="16">
        <f>IFERROR(__xludf.DUMMYFUNCTION("""COMPUTED_VALUE"""),0.443762781186094)</f>
        <v>0.4437627812</v>
      </c>
      <c r="J25" s="16">
        <f>IFERROR(__xludf.DUMMYFUNCTION("""COMPUTED_VALUE"""),0.427917620137299)</f>
        <v>0.4279176201</v>
      </c>
      <c r="K25" s="16">
        <f>IFERROR(__xludf.DUMMYFUNCTION("""COMPUTED_VALUE"""),0.410579345088161)</f>
        <v>0.4105793451</v>
      </c>
      <c r="L25" s="16">
        <f>IFERROR(__xludf.DUMMYFUNCTION("""COMPUTED_VALUE"""),0.430722891566265)</f>
        <v>0.4307228916</v>
      </c>
      <c r="M25" s="16">
        <f>IFERROR(__xludf.DUMMYFUNCTION("""COMPUTED_VALUE"""),0.383435582822085)</f>
        <v>0.3834355828</v>
      </c>
      <c r="N25" s="16">
        <f>IFERROR(__xludf.DUMMYFUNCTION("""COMPUTED_VALUE"""),0.351063829787234)</f>
        <v>0.3510638298</v>
      </c>
      <c r="O25" s="16">
        <f>IFERROR(__xludf.DUMMYFUNCTION("""COMPUTED_VALUE"""),0.183006535947712)</f>
        <v>0.1830065359</v>
      </c>
      <c r="P25" s="16">
        <f>IFERROR(__xludf.DUMMYFUNCTION("""COMPUTED_VALUE"""),0.5)</f>
        <v>0.5</v>
      </c>
      <c r="Q25" s="16">
        <f>IFERROR(__xludf.DUMMYFUNCTION("""COMPUTED_VALUE"""),0.0)</f>
        <v>0</v>
      </c>
      <c r="R25" s="16">
        <f>IFERROR(__xludf.DUMMYFUNCTION("""COMPUTED_VALUE"""),0.0)</f>
        <v>0</v>
      </c>
      <c r="S25" s="16">
        <f>IFERROR(__xludf.DUMMYFUNCTION("""COMPUTED_VALUE"""),0.0)</f>
        <v>0</v>
      </c>
      <c r="T25" s="16">
        <f>IFERROR(__xludf.DUMMYFUNCTION("""COMPUTED_VALUE"""),0.0)</f>
        <v>0</v>
      </c>
      <c r="U25" s="16">
        <f>IFERROR(__xludf.DUMMYFUNCTION("""COMPUTED_VALUE"""),0.0)</f>
        <v>0</v>
      </c>
      <c r="V25" s="16">
        <f>IFERROR(__xludf.DUMMYFUNCTION("""COMPUTED_VALUE"""),0.0)</f>
        <v>0</v>
      </c>
      <c r="W25" s="16">
        <f>IFERROR(__xludf.DUMMYFUNCTION("""COMPUTED_VALUE"""),0.0)</f>
        <v>0</v>
      </c>
      <c r="X25" s="16">
        <f>IFERROR(__xludf.DUMMYFUNCTION("""COMPUTED_VALUE"""),0.0)</f>
        <v>0</v>
      </c>
      <c r="Y25" s="16">
        <f>IFERROR(__xludf.DUMMYFUNCTION("""COMPUTED_VALUE"""),0.0)</f>
        <v>0</v>
      </c>
      <c r="Z25" s="16">
        <f>IFERROR(__xludf.DUMMYFUNCTION("""COMPUTED_VALUE"""),0.0)</f>
        <v>0</v>
      </c>
      <c r="AA25" s="16">
        <f>IFERROR(__xludf.DUMMYFUNCTION("""COMPUTED_VALUE"""),0.0)</f>
        <v>0</v>
      </c>
      <c r="AB25" s="16">
        <f>IFERROR(__xludf.DUMMYFUNCTION("""COMPUTED_VALUE"""),0.0)</f>
        <v>0</v>
      </c>
      <c r="AC25" s="16">
        <f>IFERROR(__xludf.DUMMYFUNCTION("""COMPUTED_VALUE"""),0.0)</f>
        <v>0</v>
      </c>
      <c r="AD25" s="16">
        <f>IFERROR(__xludf.DUMMYFUNCTION("""COMPUTED_VALUE"""),0.0)</f>
        <v>0</v>
      </c>
      <c r="AE25" s="16">
        <f>IFERROR(__xludf.DUMMYFUNCTION("""COMPUTED_VALUE"""),0.0)</f>
        <v>0</v>
      </c>
      <c r="AF25" s="16">
        <f>IFERROR(__xludf.DUMMYFUNCTION("""COMPUTED_VALUE"""),0.0)</f>
        <v>0</v>
      </c>
      <c r="AG25" s="16">
        <f>IFERROR(__xludf.DUMMYFUNCTION("""COMPUTED_VALUE"""),0.0)</f>
        <v>0</v>
      </c>
      <c r="AH25" s="16">
        <f>IFERROR(__xludf.DUMMYFUNCTION("""COMPUTED_VALUE"""),0.0)</f>
        <v>0</v>
      </c>
    </row>
    <row r="26">
      <c r="A26" s="16" t="str">
        <f>IFERROR(__xludf.DUMMYFUNCTION("""COMPUTED_VALUE"""),"19636f24104780140ebb745525226a8989f6b562")</f>
        <v>19636f24104780140ebb745525226a8989f6b562</v>
      </c>
      <c r="B26" s="16" t="str">
        <f>IFERROR(__xludf.DUMMYFUNCTION("""COMPUTED_VALUE"""),"Billionare Revenge System")</f>
        <v>Billionare Revenge System</v>
      </c>
      <c r="C26" s="16" t="str">
        <f>IFERROR(__xludf.DUMMYFUNCTION("""COMPUTED_VALUE"""),"Fantasy")</f>
        <v>Fantasy</v>
      </c>
      <c r="D26" s="16">
        <f>IFERROR(__xludf.DUMMYFUNCTION("""COMPUTED_VALUE"""),11.0)</f>
        <v>11</v>
      </c>
      <c r="E26" s="16">
        <f>IFERROR(__xludf.DUMMYFUNCTION("""COMPUTED_VALUE"""),1.0)</f>
        <v>1</v>
      </c>
      <c r="F26" s="16">
        <f>IFERROR(__xludf.DUMMYFUNCTION("""COMPUTED_VALUE"""),0.909090909090909)</f>
        <v>0.9090909091</v>
      </c>
      <c r="G26" s="16">
        <f>IFERROR(__xludf.DUMMYFUNCTION("""COMPUTED_VALUE"""),0.909090909090909)</f>
        <v>0.9090909091</v>
      </c>
      <c r="H26" s="16">
        <f>IFERROR(__xludf.DUMMYFUNCTION("""COMPUTED_VALUE"""),0.909090909090909)</f>
        <v>0.9090909091</v>
      </c>
      <c r="I26" s="16">
        <f>IFERROR(__xludf.DUMMYFUNCTION("""COMPUTED_VALUE"""),0.909090909090909)</f>
        <v>0.9090909091</v>
      </c>
      <c r="J26" s="16">
        <f>IFERROR(__xludf.DUMMYFUNCTION("""COMPUTED_VALUE"""),0.818181818181818)</f>
        <v>0.8181818182</v>
      </c>
      <c r="K26" s="16">
        <f>IFERROR(__xludf.DUMMYFUNCTION("""COMPUTED_VALUE"""),0.727272727272727)</f>
        <v>0.7272727273</v>
      </c>
      <c r="L26" s="16">
        <f>IFERROR(__xludf.DUMMYFUNCTION("""COMPUTED_VALUE"""),0.636363636363636)</f>
        <v>0.6363636364</v>
      </c>
      <c r="M26" s="16">
        <f>IFERROR(__xludf.DUMMYFUNCTION("""COMPUTED_VALUE"""),0.545454545454545)</f>
        <v>0.5454545455</v>
      </c>
      <c r="N26" s="16">
        <f>IFERROR(__xludf.DUMMYFUNCTION("""COMPUTED_VALUE"""),0.545454545454545)</f>
        <v>0.5454545455</v>
      </c>
      <c r="O26" s="16">
        <f>IFERROR(__xludf.DUMMYFUNCTION("""COMPUTED_VALUE"""),0.454545454545454)</f>
        <v>0.4545454545</v>
      </c>
      <c r="P26" s="16">
        <f>IFERROR(__xludf.DUMMYFUNCTION("""COMPUTED_VALUE"""),0.2)</f>
        <v>0.2</v>
      </c>
      <c r="Q26" s="16">
        <f>IFERROR(__xludf.DUMMYFUNCTION("""COMPUTED_VALUE"""),0.0)</f>
        <v>0</v>
      </c>
      <c r="R26" s="16">
        <f>IFERROR(__xludf.DUMMYFUNCTION("""COMPUTED_VALUE"""),0.0)</f>
        <v>0</v>
      </c>
      <c r="S26" s="16">
        <f>IFERROR(__xludf.DUMMYFUNCTION("""COMPUTED_VALUE"""),0.0)</f>
        <v>0</v>
      </c>
      <c r="T26" s="16">
        <f>IFERROR(__xludf.DUMMYFUNCTION("""COMPUTED_VALUE"""),0.0)</f>
        <v>0</v>
      </c>
      <c r="U26" s="16">
        <f>IFERROR(__xludf.DUMMYFUNCTION("""COMPUTED_VALUE"""),0.0)</f>
        <v>0</v>
      </c>
      <c r="V26" s="16">
        <f>IFERROR(__xludf.DUMMYFUNCTION("""COMPUTED_VALUE"""),0.0)</f>
        <v>0</v>
      </c>
      <c r="W26" s="16">
        <f>IFERROR(__xludf.DUMMYFUNCTION("""COMPUTED_VALUE"""),0.0)</f>
        <v>0</v>
      </c>
      <c r="X26" s="16">
        <f>IFERROR(__xludf.DUMMYFUNCTION("""COMPUTED_VALUE"""),0.0)</f>
        <v>0</v>
      </c>
      <c r="Y26" s="16">
        <f>IFERROR(__xludf.DUMMYFUNCTION("""COMPUTED_VALUE"""),0.0)</f>
        <v>0</v>
      </c>
      <c r="Z26" s="16">
        <f>IFERROR(__xludf.DUMMYFUNCTION("""COMPUTED_VALUE"""),0.0)</f>
        <v>0</v>
      </c>
      <c r="AA26" s="16">
        <f>IFERROR(__xludf.DUMMYFUNCTION("""COMPUTED_VALUE"""),0.0)</f>
        <v>0</v>
      </c>
      <c r="AB26" s="16">
        <f>IFERROR(__xludf.DUMMYFUNCTION("""COMPUTED_VALUE"""),0.0)</f>
        <v>0</v>
      </c>
      <c r="AC26" s="16">
        <f>IFERROR(__xludf.DUMMYFUNCTION("""COMPUTED_VALUE"""),0.0)</f>
        <v>0</v>
      </c>
      <c r="AD26" s="16">
        <f>IFERROR(__xludf.DUMMYFUNCTION("""COMPUTED_VALUE"""),0.0)</f>
        <v>0</v>
      </c>
      <c r="AE26" s="16">
        <f>IFERROR(__xludf.DUMMYFUNCTION("""COMPUTED_VALUE"""),0.0)</f>
        <v>0</v>
      </c>
      <c r="AF26" s="16">
        <f>IFERROR(__xludf.DUMMYFUNCTION("""COMPUTED_VALUE"""),0.0)</f>
        <v>0</v>
      </c>
      <c r="AG26" s="16">
        <f>IFERROR(__xludf.DUMMYFUNCTION("""COMPUTED_VALUE"""),0.0)</f>
        <v>0</v>
      </c>
      <c r="AH26" s="16">
        <f>IFERROR(__xludf.DUMMYFUNCTION("""COMPUTED_VALUE"""),0.0)</f>
        <v>0</v>
      </c>
    </row>
    <row r="27">
      <c r="A27" s="16" t="str">
        <f>IFERROR(__xludf.DUMMYFUNCTION("""COMPUTED_VALUE"""),"1a5df306886a7b0e7736ec2c8efad3467507a1c6")</f>
        <v>1a5df306886a7b0e7736ec2c8efad3467507a1c6</v>
      </c>
      <c r="B27" s="16" t="str">
        <f>IFERROR(__xludf.DUMMYFUNCTION("""COMPUTED_VALUE"""),"Billionaire Bentley’s Runaway Princess")</f>
        <v>Billionaire Bentley’s Runaway Princess</v>
      </c>
      <c r="C27" s="16" t="str">
        <f>IFERROR(__xludf.DUMMYFUNCTION("""COMPUTED_VALUE"""),"Romance")</f>
        <v>Romance</v>
      </c>
      <c r="D27" s="16">
        <f>IFERROR(__xludf.DUMMYFUNCTION("""COMPUTED_VALUE"""),169.0)</f>
        <v>169</v>
      </c>
      <c r="E27" s="16">
        <f>IFERROR(__xludf.DUMMYFUNCTION("""COMPUTED_VALUE"""),0.970414201183431)</f>
        <v>0.9704142012</v>
      </c>
      <c r="F27" s="16">
        <f>IFERROR(__xludf.DUMMYFUNCTION("""COMPUTED_VALUE"""),0.550295857988165)</f>
        <v>0.550295858</v>
      </c>
      <c r="G27" s="16">
        <f>IFERROR(__xludf.DUMMYFUNCTION("""COMPUTED_VALUE"""),0.50887573964497)</f>
        <v>0.5088757396</v>
      </c>
      <c r="H27" s="16">
        <f>IFERROR(__xludf.DUMMYFUNCTION("""COMPUTED_VALUE"""),0.455621301775147)</f>
        <v>0.4556213018</v>
      </c>
      <c r="I27" s="16">
        <f>IFERROR(__xludf.DUMMYFUNCTION("""COMPUTED_VALUE"""),0.414201183431952)</f>
        <v>0.4142011834</v>
      </c>
      <c r="J27" s="16">
        <f>IFERROR(__xludf.DUMMYFUNCTION("""COMPUTED_VALUE"""),0.384615384615384)</f>
        <v>0.3846153846</v>
      </c>
      <c r="K27" s="16">
        <f>IFERROR(__xludf.DUMMYFUNCTION("""COMPUTED_VALUE"""),0.337278106508875)</f>
        <v>0.3372781065</v>
      </c>
      <c r="L27" s="16">
        <f>IFERROR(__xludf.DUMMYFUNCTION("""COMPUTED_VALUE"""),0.319526627218934)</f>
        <v>0.3195266272</v>
      </c>
      <c r="M27" s="16">
        <f>IFERROR(__xludf.DUMMYFUNCTION("""COMPUTED_VALUE"""),0.301775147928994)</f>
        <v>0.3017751479</v>
      </c>
      <c r="N27" s="16">
        <f>IFERROR(__xludf.DUMMYFUNCTION("""COMPUTED_VALUE"""),0.301775147928994)</f>
        <v>0.3017751479</v>
      </c>
      <c r="O27" s="16">
        <f>IFERROR(__xludf.DUMMYFUNCTION("""COMPUTED_VALUE"""),0.195266272189349)</f>
        <v>0.1952662722</v>
      </c>
      <c r="P27" s="16">
        <f>IFERROR(__xludf.DUMMYFUNCTION("""COMPUTED_VALUE"""),0.143712574850299)</f>
        <v>0.1437125749</v>
      </c>
      <c r="Q27" s="16">
        <f>IFERROR(__xludf.DUMMYFUNCTION("""COMPUTED_VALUE"""),0.141509433962264)</f>
        <v>0.141509434</v>
      </c>
      <c r="R27" s="16">
        <f>IFERROR(__xludf.DUMMYFUNCTION("""COMPUTED_VALUE"""),0.0)</f>
        <v>0</v>
      </c>
      <c r="S27" s="16">
        <f>IFERROR(__xludf.DUMMYFUNCTION("""COMPUTED_VALUE"""),0.0)</f>
        <v>0</v>
      </c>
      <c r="T27" s="16">
        <f>IFERROR(__xludf.DUMMYFUNCTION("""COMPUTED_VALUE"""),0.0)</f>
        <v>0</v>
      </c>
      <c r="U27" s="16">
        <f>IFERROR(__xludf.DUMMYFUNCTION("""COMPUTED_VALUE"""),0.0)</f>
        <v>0</v>
      </c>
      <c r="V27" s="16">
        <f>IFERROR(__xludf.DUMMYFUNCTION("""COMPUTED_VALUE"""),0.0)</f>
        <v>0</v>
      </c>
      <c r="W27" s="16">
        <f>IFERROR(__xludf.DUMMYFUNCTION("""COMPUTED_VALUE"""),0.0)</f>
        <v>0</v>
      </c>
      <c r="X27" s="16">
        <f>IFERROR(__xludf.DUMMYFUNCTION("""COMPUTED_VALUE"""),0.0)</f>
        <v>0</v>
      </c>
      <c r="Y27" s="16">
        <f>IFERROR(__xludf.DUMMYFUNCTION("""COMPUTED_VALUE"""),0.0)</f>
        <v>0</v>
      </c>
      <c r="Z27" s="16">
        <f>IFERROR(__xludf.DUMMYFUNCTION("""COMPUTED_VALUE"""),0.0)</f>
        <v>0</v>
      </c>
      <c r="AA27" s="16">
        <f>IFERROR(__xludf.DUMMYFUNCTION("""COMPUTED_VALUE"""),0.0)</f>
        <v>0</v>
      </c>
      <c r="AB27" s="16">
        <f>IFERROR(__xludf.DUMMYFUNCTION("""COMPUTED_VALUE"""),0.0)</f>
        <v>0</v>
      </c>
      <c r="AC27" s="16">
        <f>IFERROR(__xludf.DUMMYFUNCTION("""COMPUTED_VALUE"""),0.0)</f>
        <v>0</v>
      </c>
      <c r="AD27" s="16">
        <f>IFERROR(__xludf.DUMMYFUNCTION("""COMPUTED_VALUE"""),0.0)</f>
        <v>0</v>
      </c>
      <c r="AE27" s="16">
        <f>IFERROR(__xludf.DUMMYFUNCTION("""COMPUTED_VALUE"""),0.0)</f>
        <v>0</v>
      </c>
      <c r="AF27" s="16">
        <f>IFERROR(__xludf.DUMMYFUNCTION("""COMPUTED_VALUE"""),0.0)</f>
        <v>0</v>
      </c>
      <c r="AG27" s="16">
        <f>IFERROR(__xludf.DUMMYFUNCTION("""COMPUTED_VALUE"""),0.0)</f>
        <v>0</v>
      </c>
      <c r="AH27" s="16">
        <f>IFERROR(__xludf.DUMMYFUNCTION("""COMPUTED_VALUE"""),0.0)</f>
        <v>0</v>
      </c>
    </row>
    <row r="28">
      <c r="A28" s="16" t="str">
        <f>IFERROR(__xludf.DUMMYFUNCTION("""COMPUTED_VALUE"""),"1b5acb214bfe00156d933b176eef6987dcf9aa8c")</f>
        <v>1b5acb214bfe00156d933b176eef6987dcf9aa8c</v>
      </c>
      <c r="B28" s="16" t="str">
        <f>IFERROR(__xludf.DUMMYFUNCTION("""COMPUTED_VALUE"""),"The Night Forgotten by Us")</f>
        <v>The Night Forgotten by Us</v>
      </c>
      <c r="C28" s="16" t="str">
        <f>IFERROR(__xludf.DUMMYFUNCTION("""COMPUTED_VALUE"""),"Romance")</f>
        <v>Romance</v>
      </c>
      <c r="D28" s="16">
        <f>IFERROR(__xludf.DUMMYFUNCTION("""COMPUTED_VALUE"""),66.0)</f>
        <v>66</v>
      </c>
      <c r="E28" s="16">
        <f>IFERROR(__xludf.DUMMYFUNCTION("""COMPUTED_VALUE"""),0.969696969696969)</f>
        <v>0.9696969697</v>
      </c>
      <c r="F28" s="16">
        <f>IFERROR(__xludf.DUMMYFUNCTION("""COMPUTED_VALUE"""),0.727272727272727)</f>
        <v>0.7272727273</v>
      </c>
      <c r="G28" s="16">
        <f>IFERROR(__xludf.DUMMYFUNCTION("""COMPUTED_VALUE"""),0.606060606060606)</f>
        <v>0.6060606061</v>
      </c>
      <c r="H28" s="16">
        <f>IFERROR(__xludf.DUMMYFUNCTION("""COMPUTED_VALUE"""),0.575757575757575)</f>
        <v>0.5757575758</v>
      </c>
      <c r="I28" s="16">
        <f>IFERROR(__xludf.DUMMYFUNCTION("""COMPUTED_VALUE"""),0.53030303030303)</f>
        <v>0.5303030303</v>
      </c>
      <c r="J28" s="16">
        <f>IFERROR(__xludf.DUMMYFUNCTION("""COMPUTED_VALUE"""),0.53030303030303)</f>
        <v>0.5303030303</v>
      </c>
      <c r="K28" s="16">
        <f>IFERROR(__xludf.DUMMYFUNCTION("""COMPUTED_VALUE"""),0.515151515151515)</f>
        <v>0.5151515152</v>
      </c>
      <c r="L28" s="16">
        <f>IFERROR(__xludf.DUMMYFUNCTION("""COMPUTED_VALUE"""),0.538461538461538)</f>
        <v>0.5384615385</v>
      </c>
      <c r="M28" s="16">
        <f>IFERROR(__xludf.DUMMYFUNCTION("""COMPUTED_VALUE"""),0.492307692307692)</f>
        <v>0.4923076923</v>
      </c>
      <c r="N28" s="16">
        <f>IFERROR(__xludf.DUMMYFUNCTION("""COMPUTED_VALUE"""),0.461538461538461)</f>
        <v>0.4615384615</v>
      </c>
      <c r="O28" s="16">
        <f>IFERROR(__xludf.DUMMYFUNCTION("""COMPUTED_VALUE"""),0.446153846153846)</f>
        <v>0.4461538462</v>
      </c>
      <c r="P28" s="16">
        <f>IFERROR(__xludf.DUMMYFUNCTION("""COMPUTED_VALUE"""),0.323076923076923)</f>
        <v>0.3230769231</v>
      </c>
      <c r="Q28" s="16">
        <f>IFERROR(__xludf.DUMMYFUNCTION("""COMPUTED_VALUE"""),0.22)</f>
        <v>0.22</v>
      </c>
      <c r="R28" s="16">
        <f>IFERROR(__xludf.DUMMYFUNCTION("""COMPUTED_VALUE"""),0.0)</f>
        <v>0</v>
      </c>
      <c r="S28" s="16">
        <f>IFERROR(__xludf.DUMMYFUNCTION("""COMPUTED_VALUE"""),0.0)</f>
        <v>0</v>
      </c>
      <c r="T28" s="16">
        <f>IFERROR(__xludf.DUMMYFUNCTION("""COMPUTED_VALUE"""),0.0)</f>
        <v>0</v>
      </c>
      <c r="U28" s="16">
        <f>IFERROR(__xludf.DUMMYFUNCTION("""COMPUTED_VALUE"""),0.0)</f>
        <v>0</v>
      </c>
      <c r="V28" s="16">
        <f>IFERROR(__xludf.DUMMYFUNCTION("""COMPUTED_VALUE"""),0.0)</f>
        <v>0</v>
      </c>
      <c r="W28" s="16">
        <f>IFERROR(__xludf.DUMMYFUNCTION("""COMPUTED_VALUE"""),0.0)</f>
        <v>0</v>
      </c>
      <c r="X28" s="16">
        <f>IFERROR(__xludf.DUMMYFUNCTION("""COMPUTED_VALUE"""),0.0)</f>
        <v>0</v>
      </c>
      <c r="Y28" s="16">
        <f>IFERROR(__xludf.DUMMYFUNCTION("""COMPUTED_VALUE"""),0.0)</f>
        <v>0</v>
      </c>
      <c r="Z28" s="16">
        <f>IFERROR(__xludf.DUMMYFUNCTION("""COMPUTED_VALUE"""),0.0)</f>
        <v>0</v>
      </c>
      <c r="AA28" s="16">
        <f>IFERROR(__xludf.DUMMYFUNCTION("""COMPUTED_VALUE"""),0.0)</f>
        <v>0</v>
      </c>
      <c r="AB28" s="16">
        <f>IFERROR(__xludf.DUMMYFUNCTION("""COMPUTED_VALUE"""),0.0)</f>
        <v>0</v>
      </c>
      <c r="AC28" s="16">
        <f>IFERROR(__xludf.DUMMYFUNCTION("""COMPUTED_VALUE"""),0.0)</f>
        <v>0</v>
      </c>
      <c r="AD28" s="16">
        <f>IFERROR(__xludf.DUMMYFUNCTION("""COMPUTED_VALUE"""),0.0)</f>
        <v>0</v>
      </c>
      <c r="AE28" s="16">
        <f>IFERROR(__xludf.DUMMYFUNCTION("""COMPUTED_VALUE"""),0.0)</f>
        <v>0</v>
      </c>
      <c r="AF28" s="16">
        <f>IFERROR(__xludf.DUMMYFUNCTION("""COMPUTED_VALUE"""),0.0)</f>
        <v>0</v>
      </c>
      <c r="AG28" s="16">
        <f>IFERROR(__xludf.DUMMYFUNCTION("""COMPUTED_VALUE"""),0.0)</f>
        <v>0</v>
      </c>
      <c r="AH28" s="16">
        <f>IFERROR(__xludf.DUMMYFUNCTION("""COMPUTED_VALUE"""),0.0)</f>
        <v>0</v>
      </c>
    </row>
    <row r="29">
      <c r="A29" s="16" t="str">
        <f>IFERROR(__xludf.DUMMYFUNCTION("""COMPUTED_VALUE"""),"1b7d7de6c90d2460cfe3da014469e3c056fec830")</f>
        <v>1b7d7de6c90d2460cfe3da014469e3c056fec830</v>
      </c>
      <c r="B29" s="16" t="str">
        <f>IFERROR(__xludf.DUMMYFUNCTION("""COMPUTED_VALUE"""),"The Ceo's Secret Babies")</f>
        <v>The Ceo's Secret Babies</v>
      </c>
      <c r="C29" s="16" t="str">
        <f>IFERROR(__xludf.DUMMYFUNCTION("""COMPUTED_VALUE"""),"Romance")</f>
        <v>Romance</v>
      </c>
      <c r="D29" s="16">
        <f>IFERROR(__xludf.DUMMYFUNCTION("""COMPUTED_VALUE"""),30.0)</f>
        <v>30</v>
      </c>
      <c r="E29" s="16">
        <f>IFERROR(__xludf.DUMMYFUNCTION("""COMPUTED_VALUE"""),0.9)</f>
        <v>0.9</v>
      </c>
      <c r="F29" s="16">
        <f>IFERROR(__xludf.DUMMYFUNCTION("""COMPUTED_VALUE"""),0.666666666666666)</f>
        <v>0.6666666667</v>
      </c>
      <c r="G29" s="16">
        <f>IFERROR(__xludf.DUMMYFUNCTION("""COMPUTED_VALUE"""),0.566666666666666)</f>
        <v>0.5666666667</v>
      </c>
      <c r="H29" s="16">
        <f>IFERROR(__xludf.DUMMYFUNCTION("""COMPUTED_VALUE"""),0.6)</f>
        <v>0.6</v>
      </c>
      <c r="I29" s="16">
        <f>IFERROR(__xludf.DUMMYFUNCTION("""COMPUTED_VALUE"""),0.6)</f>
        <v>0.6</v>
      </c>
      <c r="J29" s="16">
        <f>IFERROR(__xludf.DUMMYFUNCTION("""COMPUTED_VALUE"""),0.551724137931034)</f>
        <v>0.5517241379</v>
      </c>
      <c r="K29" s="16">
        <f>IFERROR(__xludf.DUMMYFUNCTION("""COMPUTED_VALUE"""),0.517241379310344)</f>
        <v>0.5172413793</v>
      </c>
      <c r="L29" s="16">
        <f>IFERROR(__xludf.DUMMYFUNCTION("""COMPUTED_VALUE"""),0.535714285714285)</f>
        <v>0.5357142857</v>
      </c>
      <c r="M29" s="16">
        <f>IFERROR(__xludf.DUMMYFUNCTION("""COMPUTED_VALUE"""),0.535714285714285)</f>
        <v>0.5357142857</v>
      </c>
      <c r="N29" s="16">
        <f>IFERROR(__xludf.DUMMYFUNCTION("""COMPUTED_VALUE"""),0.555555555555555)</f>
        <v>0.5555555556</v>
      </c>
      <c r="O29" s="16">
        <f>IFERROR(__xludf.DUMMYFUNCTION("""COMPUTED_VALUE"""),0.384615384615384)</f>
        <v>0.3846153846</v>
      </c>
      <c r="P29" s="16">
        <f>IFERROR(__xludf.DUMMYFUNCTION("""COMPUTED_VALUE"""),0.24)</f>
        <v>0.24</v>
      </c>
      <c r="Q29" s="16">
        <f>IFERROR(__xludf.DUMMYFUNCTION("""COMPUTED_VALUE"""),0.12)</f>
        <v>0.12</v>
      </c>
      <c r="R29" s="16">
        <f>IFERROR(__xludf.DUMMYFUNCTION("""COMPUTED_VALUE"""),0.08)</f>
        <v>0.08</v>
      </c>
      <c r="S29" s="16">
        <f>IFERROR(__xludf.DUMMYFUNCTION("""COMPUTED_VALUE"""),0.05)</f>
        <v>0.05</v>
      </c>
      <c r="T29" s="16">
        <f>IFERROR(__xludf.DUMMYFUNCTION("""COMPUTED_VALUE"""),0.0)</f>
        <v>0</v>
      </c>
      <c r="U29" s="16">
        <f>IFERROR(__xludf.DUMMYFUNCTION("""COMPUTED_VALUE"""),0.0)</f>
        <v>0</v>
      </c>
      <c r="V29" s="16">
        <f>IFERROR(__xludf.DUMMYFUNCTION("""COMPUTED_VALUE"""),0.0)</f>
        <v>0</v>
      </c>
      <c r="W29" s="16">
        <f>IFERROR(__xludf.DUMMYFUNCTION("""COMPUTED_VALUE"""),0.0)</f>
        <v>0</v>
      </c>
      <c r="X29" s="16">
        <f>IFERROR(__xludf.DUMMYFUNCTION("""COMPUTED_VALUE"""),0.0)</f>
        <v>0</v>
      </c>
      <c r="Y29" s="16">
        <f>IFERROR(__xludf.DUMMYFUNCTION("""COMPUTED_VALUE"""),0.0)</f>
        <v>0</v>
      </c>
      <c r="Z29" s="16">
        <f>IFERROR(__xludf.DUMMYFUNCTION("""COMPUTED_VALUE"""),0.0)</f>
        <v>0</v>
      </c>
      <c r="AA29" s="16">
        <f>IFERROR(__xludf.DUMMYFUNCTION("""COMPUTED_VALUE"""),0.0)</f>
        <v>0</v>
      </c>
      <c r="AB29" s="16">
        <f>IFERROR(__xludf.DUMMYFUNCTION("""COMPUTED_VALUE"""),0.0)</f>
        <v>0</v>
      </c>
      <c r="AC29" s="16">
        <f>IFERROR(__xludf.DUMMYFUNCTION("""COMPUTED_VALUE"""),0.0)</f>
        <v>0</v>
      </c>
      <c r="AD29" s="16">
        <f>IFERROR(__xludf.DUMMYFUNCTION("""COMPUTED_VALUE"""),0.0)</f>
        <v>0</v>
      </c>
      <c r="AE29" s="16">
        <f>IFERROR(__xludf.DUMMYFUNCTION("""COMPUTED_VALUE"""),0.0)</f>
        <v>0</v>
      </c>
      <c r="AF29" s="16">
        <f>IFERROR(__xludf.DUMMYFUNCTION("""COMPUTED_VALUE"""),0.0)</f>
        <v>0</v>
      </c>
      <c r="AG29" s="16">
        <f>IFERROR(__xludf.DUMMYFUNCTION("""COMPUTED_VALUE"""),0.0)</f>
        <v>0</v>
      </c>
      <c r="AH29" s="16">
        <f>IFERROR(__xludf.DUMMYFUNCTION("""COMPUTED_VALUE"""),0.0)</f>
        <v>0</v>
      </c>
    </row>
    <row r="30">
      <c r="A30" s="16" t="str">
        <f>IFERROR(__xludf.DUMMYFUNCTION("""COMPUTED_VALUE"""),"1b7d89c237c133e6c5b15db13e684c2e1f3688e1")</f>
        <v>1b7d89c237c133e6c5b15db13e684c2e1f3688e1</v>
      </c>
      <c r="B30" s="16" t="str">
        <f>IFERROR(__xludf.DUMMYFUNCTION("""COMPUTED_VALUE"""),"War God of the Red Sea!")</f>
        <v>War God of the Red Sea!</v>
      </c>
      <c r="C30" s="16" t="str">
        <f>IFERROR(__xludf.DUMMYFUNCTION("""COMPUTED_VALUE"""),"Drama")</f>
        <v>Drama</v>
      </c>
      <c r="D30" s="16">
        <f>IFERROR(__xludf.DUMMYFUNCTION("""COMPUTED_VALUE"""),355.0)</f>
        <v>355</v>
      </c>
      <c r="E30" s="16">
        <f>IFERROR(__xludf.DUMMYFUNCTION("""COMPUTED_VALUE"""),0.974647887323943)</f>
        <v>0.9746478873</v>
      </c>
      <c r="F30" s="16">
        <f>IFERROR(__xludf.DUMMYFUNCTION("""COMPUTED_VALUE"""),0.526760563380281)</f>
        <v>0.5267605634</v>
      </c>
      <c r="G30" s="16">
        <f>IFERROR(__xludf.DUMMYFUNCTION("""COMPUTED_VALUE"""),0.414084507042253)</f>
        <v>0.414084507</v>
      </c>
      <c r="H30" s="16">
        <f>IFERROR(__xludf.DUMMYFUNCTION("""COMPUTED_VALUE"""),0.36056338028169)</f>
        <v>0.3605633803</v>
      </c>
      <c r="I30" s="16">
        <f>IFERROR(__xludf.DUMMYFUNCTION("""COMPUTED_VALUE"""),0.318309859154929)</f>
        <v>0.3183098592</v>
      </c>
      <c r="J30" s="16">
        <f>IFERROR(__xludf.DUMMYFUNCTION("""COMPUTED_VALUE"""),0.289156626506024)</f>
        <v>0.2891566265</v>
      </c>
      <c r="K30" s="16">
        <f>IFERROR(__xludf.DUMMYFUNCTION("""COMPUTED_VALUE"""),0.269592476489028)</f>
        <v>0.2695924765</v>
      </c>
      <c r="L30" s="16">
        <f>IFERROR(__xludf.DUMMYFUNCTION("""COMPUTED_VALUE"""),0.270833333333333)</f>
        <v>0.2708333333</v>
      </c>
      <c r="M30" s="16">
        <f>IFERROR(__xludf.DUMMYFUNCTION("""COMPUTED_VALUE"""),0.263358778625954)</f>
        <v>0.2633587786</v>
      </c>
      <c r="N30" s="16">
        <f>IFERROR(__xludf.DUMMYFUNCTION("""COMPUTED_VALUE"""),0.236111111111111)</f>
        <v>0.2361111111</v>
      </c>
      <c r="O30" s="16">
        <f>IFERROR(__xludf.DUMMYFUNCTION("""COMPUTED_VALUE"""),0.180451127819548)</f>
        <v>0.1804511278</v>
      </c>
      <c r="P30" s="16">
        <f>IFERROR(__xludf.DUMMYFUNCTION("""COMPUTED_VALUE"""),0.189189189189189)</f>
        <v>0.1891891892</v>
      </c>
      <c r="Q30" s="16">
        <f>IFERROR(__xludf.DUMMYFUNCTION("""COMPUTED_VALUE"""),0.0)</f>
        <v>0</v>
      </c>
      <c r="R30" s="16">
        <f>IFERROR(__xludf.DUMMYFUNCTION("""COMPUTED_VALUE"""),0.0)</f>
        <v>0</v>
      </c>
      <c r="S30" s="16">
        <f>IFERROR(__xludf.DUMMYFUNCTION("""COMPUTED_VALUE"""),0.0)</f>
        <v>0</v>
      </c>
      <c r="T30" s="16">
        <f>IFERROR(__xludf.DUMMYFUNCTION("""COMPUTED_VALUE"""),0.0)</f>
        <v>0</v>
      </c>
      <c r="U30" s="16">
        <f>IFERROR(__xludf.DUMMYFUNCTION("""COMPUTED_VALUE"""),0.0)</f>
        <v>0</v>
      </c>
      <c r="V30" s="16">
        <f>IFERROR(__xludf.DUMMYFUNCTION("""COMPUTED_VALUE"""),0.0)</f>
        <v>0</v>
      </c>
      <c r="W30" s="16">
        <f>IFERROR(__xludf.DUMMYFUNCTION("""COMPUTED_VALUE"""),0.0)</f>
        <v>0</v>
      </c>
      <c r="X30" s="16">
        <f>IFERROR(__xludf.DUMMYFUNCTION("""COMPUTED_VALUE"""),0.0)</f>
        <v>0</v>
      </c>
      <c r="Y30" s="16">
        <f>IFERROR(__xludf.DUMMYFUNCTION("""COMPUTED_VALUE"""),0.0)</f>
        <v>0</v>
      </c>
      <c r="Z30" s="16">
        <f>IFERROR(__xludf.DUMMYFUNCTION("""COMPUTED_VALUE"""),0.0)</f>
        <v>0</v>
      </c>
      <c r="AA30" s="16">
        <f>IFERROR(__xludf.DUMMYFUNCTION("""COMPUTED_VALUE"""),0.0)</f>
        <v>0</v>
      </c>
      <c r="AB30" s="16">
        <f>IFERROR(__xludf.DUMMYFUNCTION("""COMPUTED_VALUE"""),0.0)</f>
        <v>0</v>
      </c>
      <c r="AC30" s="16">
        <f>IFERROR(__xludf.DUMMYFUNCTION("""COMPUTED_VALUE"""),0.0)</f>
        <v>0</v>
      </c>
      <c r="AD30" s="16">
        <f>IFERROR(__xludf.DUMMYFUNCTION("""COMPUTED_VALUE"""),0.0)</f>
        <v>0</v>
      </c>
      <c r="AE30" s="16">
        <f>IFERROR(__xludf.DUMMYFUNCTION("""COMPUTED_VALUE"""),0.0)</f>
        <v>0</v>
      </c>
      <c r="AF30" s="16">
        <f>IFERROR(__xludf.DUMMYFUNCTION("""COMPUTED_VALUE"""),0.0)</f>
        <v>0</v>
      </c>
      <c r="AG30" s="16">
        <f>IFERROR(__xludf.DUMMYFUNCTION("""COMPUTED_VALUE"""),0.0)</f>
        <v>0</v>
      </c>
      <c r="AH30" s="16">
        <f>IFERROR(__xludf.DUMMYFUNCTION("""COMPUTED_VALUE"""),0.0)</f>
        <v>0</v>
      </c>
    </row>
    <row r="31">
      <c r="A31" s="16" t="str">
        <f>IFERROR(__xludf.DUMMYFUNCTION("""COMPUTED_VALUE"""),"1c56eb2cce6609cb207d235ae3464f7759d4cb84")</f>
        <v>1c56eb2cce6609cb207d235ae3464f7759d4cb84</v>
      </c>
      <c r="B31" s="16" t="str">
        <f>IFERROR(__xludf.DUMMYFUNCTION("""COMPUTED_VALUE"""),"Rage of the Heiress")</f>
        <v>Rage of the Heiress</v>
      </c>
      <c r="C31" s="16" t="str">
        <f>IFERROR(__xludf.DUMMYFUNCTION("""COMPUTED_VALUE"""),"Drama")</f>
        <v>Drama</v>
      </c>
      <c r="D31" s="16">
        <f>IFERROR(__xludf.DUMMYFUNCTION("""COMPUTED_VALUE"""),204.0)</f>
        <v>204</v>
      </c>
      <c r="E31" s="16">
        <f>IFERROR(__xludf.DUMMYFUNCTION("""COMPUTED_VALUE"""),0.965686274509803)</f>
        <v>0.9656862745</v>
      </c>
      <c r="F31" s="16">
        <f>IFERROR(__xludf.DUMMYFUNCTION("""COMPUTED_VALUE"""),0.612745098039215)</f>
        <v>0.612745098</v>
      </c>
      <c r="G31" s="16">
        <f>IFERROR(__xludf.DUMMYFUNCTION("""COMPUTED_VALUE"""),0.598039215686274)</f>
        <v>0.5980392157</v>
      </c>
      <c r="H31" s="16">
        <f>IFERROR(__xludf.DUMMYFUNCTION("""COMPUTED_VALUE"""),0.549019607843137)</f>
        <v>0.5490196078</v>
      </c>
      <c r="I31" s="16">
        <f>IFERROR(__xludf.DUMMYFUNCTION("""COMPUTED_VALUE"""),0.504901960784313)</f>
        <v>0.5049019608</v>
      </c>
      <c r="J31" s="16">
        <f>IFERROR(__xludf.DUMMYFUNCTION("""COMPUTED_VALUE"""),0.492462311557788)</f>
        <v>0.4924623116</v>
      </c>
      <c r="K31" s="16">
        <f>IFERROR(__xludf.DUMMYFUNCTION("""COMPUTED_VALUE"""),0.46938775510204)</f>
        <v>0.4693877551</v>
      </c>
      <c r="L31" s="16">
        <f>IFERROR(__xludf.DUMMYFUNCTION("""COMPUTED_VALUE"""),0.4375)</f>
        <v>0.4375</v>
      </c>
      <c r="M31" s="16">
        <f>IFERROR(__xludf.DUMMYFUNCTION("""COMPUTED_VALUE"""),0.391534391534391)</f>
        <v>0.3915343915</v>
      </c>
      <c r="N31" s="16">
        <f>IFERROR(__xludf.DUMMYFUNCTION("""COMPUTED_VALUE"""),0.402173913043478)</f>
        <v>0.402173913</v>
      </c>
      <c r="O31" s="16">
        <f>IFERROR(__xludf.DUMMYFUNCTION("""COMPUTED_VALUE"""),0.37125748502994)</f>
        <v>0.371257485</v>
      </c>
      <c r="P31" s="16">
        <f>IFERROR(__xludf.DUMMYFUNCTION("""COMPUTED_VALUE"""),0.25)</f>
        <v>0.25</v>
      </c>
      <c r="Q31" s="16">
        <f>IFERROR(__xludf.DUMMYFUNCTION("""COMPUTED_VALUE"""),0.18348623853211)</f>
        <v>0.1834862385</v>
      </c>
      <c r="R31" s="16">
        <f>IFERROR(__xludf.DUMMYFUNCTION("""COMPUTED_VALUE"""),0.161904761904761)</f>
        <v>0.1619047619</v>
      </c>
      <c r="S31" s="16">
        <f>IFERROR(__xludf.DUMMYFUNCTION("""COMPUTED_VALUE"""),0.16504854368932)</f>
        <v>0.1650485437</v>
      </c>
      <c r="T31" s="16">
        <f>IFERROR(__xludf.DUMMYFUNCTION("""COMPUTED_VALUE"""),0.134020618556701)</f>
        <v>0.1340206186</v>
      </c>
      <c r="U31" s="16">
        <f>IFERROR(__xludf.DUMMYFUNCTION("""COMPUTED_VALUE"""),0.117021276595744)</f>
        <v>0.1170212766</v>
      </c>
      <c r="V31" s="16">
        <f>IFERROR(__xludf.DUMMYFUNCTION("""COMPUTED_VALUE"""),0.0879120879120879)</f>
        <v>0.08791208791</v>
      </c>
      <c r="W31" s="16">
        <f>IFERROR(__xludf.DUMMYFUNCTION("""COMPUTED_VALUE"""),0.0)</f>
        <v>0</v>
      </c>
      <c r="X31" s="16">
        <f>IFERROR(__xludf.DUMMYFUNCTION("""COMPUTED_VALUE"""),0.0)</f>
        <v>0</v>
      </c>
      <c r="Y31" s="16">
        <f>IFERROR(__xludf.DUMMYFUNCTION("""COMPUTED_VALUE"""),0.0)</f>
        <v>0</v>
      </c>
      <c r="Z31" s="16">
        <f>IFERROR(__xludf.DUMMYFUNCTION("""COMPUTED_VALUE"""),0.0)</f>
        <v>0</v>
      </c>
      <c r="AA31" s="16">
        <f>IFERROR(__xludf.DUMMYFUNCTION("""COMPUTED_VALUE"""),0.0)</f>
        <v>0</v>
      </c>
      <c r="AB31" s="16">
        <f>IFERROR(__xludf.DUMMYFUNCTION("""COMPUTED_VALUE"""),0.0)</f>
        <v>0</v>
      </c>
      <c r="AC31" s="16">
        <f>IFERROR(__xludf.DUMMYFUNCTION("""COMPUTED_VALUE"""),0.0)</f>
        <v>0</v>
      </c>
      <c r="AD31" s="16">
        <f>IFERROR(__xludf.DUMMYFUNCTION("""COMPUTED_VALUE"""),0.0)</f>
        <v>0</v>
      </c>
      <c r="AE31" s="16">
        <f>IFERROR(__xludf.DUMMYFUNCTION("""COMPUTED_VALUE"""),0.0)</f>
        <v>0</v>
      </c>
      <c r="AF31" s="16">
        <f>IFERROR(__xludf.DUMMYFUNCTION("""COMPUTED_VALUE"""),0.0)</f>
        <v>0</v>
      </c>
      <c r="AG31" s="16">
        <f>IFERROR(__xludf.DUMMYFUNCTION("""COMPUTED_VALUE"""),0.0)</f>
        <v>0</v>
      </c>
      <c r="AH31" s="16">
        <f>IFERROR(__xludf.DUMMYFUNCTION("""COMPUTED_VALUE"""),0.0)</f>
        <v>0</v>
      </c>
    </row>
    <row r="32">
      <c r="A32" s="16" t="str">
        <f>IFERROR(__xludf.DUMMYFUNCTION("""COMPUTED_VALUE"""),"1ca4f3c3b8e200f37ec14ed7a11442df6a65f4e6")</f>
        <v>1ca4f3c3b8e200f37ec14ed7a11442df6a65f4e6</v>
      </c>
      <c r="B32" s="16" t="str">
        <f>IFERROR(__xludf.DUMMYFUNCTION("""COMPUTED_VALUE"""),"Unstoppable Cultivator")</f>
        <v>Unstoppable Cultivator</v>
      </c>
      <c r="C32" s="16" t="str">
        <f>IFERROR(__xludf.DUMMYFUNCTION("""COMPUTED_VALUE"""),"Fantasy")</f>
        <v>Fantasy</v>
      </c>
      <c r="D32" s="16">
        <f>IFERROR(__xludf.DUMMYFUNCTION("""COMPUTED_VALUE"""),489.0)</f>
        <v>489</v>
      </c>
      <c r="E32" s="16">
        <f>IFERROR(__xludf.DUMMYFUNCTION("""COMPUTED_VALUE"""),0.979550102249488)</f>
        <v>0.9795501022</v>
      </c>
      <c r="F32" s="16">
        <f>IFERROR(__xludf.DUMMYFUNCTION("""COMPUTED_VALUE"""),0.445807770961145)</f>
        <v>0.445807771</v>
      </c>
      <c r="G32" s="16">
        <f>IFERROR(__xludf.DUMMYFUNCTION("""COMPUTED_VALUE"""),0.388548057259713)</f>
        <v>0.3885480573</v>
      </c>
      <c r="H32" s="16">
        <f>IFERROR(__xludf.DUMMYFUNCTION("""COMPUTED_VALUE"""),0.351738241308793)</f>
        <v>0.3517382413</v>
      </c>
      <c r="I32" s="16">
        <f>IFERROR(__xludf.DUMMYFUNCTION("""COMPUTED_VALUE"""),0.329243353783231)</f>
        <v>0.3292433538</v>
      </c>
      <c r="J32" s="16">
        <f>IFERROR(__xludf.DUMMYFUNCTION("""COMPUTED_VALUE"""),0.299180327868852)</f>
        <v>0.2991803279</v>
      </c>
      <c r="K32" s="16">
        <f>IFERROR(__xludf.DUMMYFUNCTION("""COMPUTED_VALUE"""),0.288659793814432)</f>
        <v>0.2886597938</v>
      </c>
      <c r="L32" s="16">
        <f>IFERROR(__xludf.DUMMYFUNCTION("""COMPUTED_VALUE"""),0.28099173553719)</f>
        <v>0.2809917355</v>
      </c>
      <c r="M32" s="16">
        <f>IFERROR(__xludf.DUMMYFUNCTION("""COMPUTED_VALUE"""),0.260330578512396)</f>
        <v>0.2603305785</v>
      </c>
      <c r="N32" s="16">
        <f>IFERROR(__xludf.DUMMYFUNCTION("""COMPUTED_VALUE"""),0.240165631469979)</f>
        <v>0.2401656315</v>
      </c>
      <c r="O32" s="16">
        <f>IFERROR(__xludf.DUMMYFUNCTION("""COMPUTED_VALUE"""),0.210855949895615)</f>
        <v>0.2108559499</v>
      </c>
      <c r="P32" s="16">
        <f>IFERROR(__xludf.DUMMYFUNCTION("""COMPUTED_VALUE"""),0.117021276595744)</f>
        <v>0.1170212766</v>
      </c>
      <c r="Q32" s="16">
        <f>IFERROR(__xludf.DUMMYFUNCTION("""COMPUTED_VALUE"""),0.25)</f>
        <v>0.25</v>
      </c>
      <c r="R32" s="16">
        <f>IFERROR(__xludf.DUMMYFUNCTION("""COMPUTED_VALUE"""),0.333333333333333)</f>
        <v>0.3333333333</v>
      </c>
      <c r="S32" s="16">
        <f>IFERROR(__xludf.DUMMYFUNCTION("""COMPUTED_VALUE"""),0.0)</f>
        <v>0</v>
      </c>
      <c r="T32" s="16">
        <f>IFERROR(__xludf.DUMMYFUNCTION("""COMPUTED_VALUE"""),0.0)</f>
        <v>0</v>
      </c>
      <c r="U32" s="16">
        <f>IFERROR(__xludf.DUMMYFUNCTION("""COMPUTED_VALUE"""),0.0)</f>
        <v>0</v>
      </c>
      <c r="V32" s="16">
        <f>IFERROR(__xludf.DUMMYFUNCTION("""COMPUTED_VALUE"""),0.0)</f>
        <v>0</v>
      </c>
      <c r="W32" s="16">
        <f>IFERROR(__xludf.DUMMYFUNCTION("""COMPUTED_VALUE"""),0.0)</f>
        <v>0</v>
      </c>
      <c r="X32" s="16">
        <f>IFERROR(__xludf.DUMMYFUNCTION("""COMPUTED_VALUE"""),0.0)</f>
        <v>0</v>
      </c>
      <c r="Y32" s="16">
        <f>IFERROR(__xludf.DUMMYFUNCTION("""COMPUTED_VALUE"""),0.0)</f>
        <v>0</v>
      </c>
      <c r="Z32" s="16">
        <f>IFERROR(__xludf.DUMMYFUNCTION("""COMPUTED_VALUE"""),0.0)</f>
        <v>0</v>
      </c>
      <c r="AA32" s="16">
        <f>IFERROR(__xludf.DUMMYFUNCTION("""COMPUTED_VALUE"""),0.0)</f>
        <v>0</v>
      </c>
      <c r="AB32" s="16">
        <f>IFERROR(__xludf.DUMMYFUNCTION("""COMPUTED_VALUE"""),0.0)</f>
        <v>0</v>
      </c>
      <c r="AC32" s="16">
        <f>IFERROR(__xludf.DUMMYFUNCTION("""COMPUTED_VALUE"""),0.0)</f>
        <v>0</v>
      </c>
      <c r="AD32" s="16">
        <f>IFERROR(__xludf.DUMMYFUNCTION("""COMPUTED_VALUE"""),0.0)</f>
        <v>0</v>
      </c>
      <c r="AE32" s="16">
        <f>IFERROR(__xludf.DUMMYFUNCTION("""COMPUTED_VALUE"""),0.0)</f>
        <v>0</v>
      </c>
      <c r="AF32" s="16">
        <f>IFERROR(__xludf.DUMMYFUNCTION("""COMPUTED_VALUE"""),0.0)</f>
        <v>0</v>
      </c>
      <c r="AG32" s="16">
        <f>IFERROR(__xludf.DUMMYFUNCTION("""COMPUTED_VALUE"""),0.0)</f>
        <v>0</v>
      </c>
      <c r="AH32" s="16">
        <f>IFERROR(__xludf.DUMMYFUNCTION("""COMPUTED_VALUE"""),0.0)</f>
        <v>0</v>
      </c>
    </row>
    <row r="33">
      <c r="A33" s="16" t="str">
        <f>IFERROR(__xludf.DUMMYFUNCTION("""COMPUTED_VALUE"""),"1d8b1f39e146ede1f7528763445a7a47aad10b05")</f>
        <v>1d8b1f39e146ede1f7528763445a7a47aad10b05</v>
      </c>
      <c r="B33" s="16" t="str">
        <f>IFERROR(__xludf.DUMMYFUNCTION("""COMPUTED_VALUE"""),"Love and Heartbroken")</f>
        <v>Love and Heartbroken</v>
      </c>
      <c r="C33" s="16" t="str">
        <f>IFERROR(__xludf.DUMMYFUNCTION("""COMPUTED_VALUE"""),"System and Superpower")</f>
        <v>System and Superpower</v>
      </c>
      <c r="D33" s="16">
        <f>IFERROR(__xludf.DUMMYFUNCTION("""COMPUTED_VALUE"""),227.0)</f>
        <v>227</v>
      </c>
      <c r="E33" s="16">
        <f>IFERROR(__xludf.DUMMYFUNCTION("""COMPUTED_VALUE"""),0.973568281938326)</f>
        <v>0.9735682819</v>
      </c>
      <c r="F33" s="16">
        <f>IFERROR(__xludf.DUMMYFUNCTION("""COMPUTED_VALUE"""),0.691629955947136)</f>
        <v>0.6916299559</v>
      </c>
      <c r="G33" s="16">
        <f>IFERROR(__xludf.DUMMYFUNCTION("""COMPUTED_VALUE"""),0.647577092511013)</f>
        <v>0.6475770925</v>
      </c>
      <c r="H33" s="16">
        <f>IFERROR(__xludf.DUMMYFUNCTION("""COMPUTED_VALUE"""),0.577092511013215)</f>
        <v>0.577092511</v>
      </c>
      <c r="I33" s="16">
        <f>IFERROR(__xludf.DUMMYFUNCTION("""COMPUTED_VALUE"""),0.555066079295154)</f>
        <v>0.5550660793</v>
      </c>
      <c r="J33" s="16">
        <f>IFERROR(__xludf.DUMMYFUNCTION("""COMPUTED_VALUE"""),0.484581497797356)</f>
        <v>0.4845814978</v>
      </c>
      <c r="K33" s="16">
        <f>IFERROR(__xludf.DUMMYFUNCTION("""COMPUTED_VALUE"""),0.475770925110132)</f>
        <v>0.4757709251</v>
      </c>
      <c r="L33" s="16">
        <f>IFERROR(__xludf.DUMMYFUNCTION("""COMPUTED_VALUE"""),0.444933920704845)</f>
        <v>0.4449339207</v>
      </c>
      <c r="M33" s="16">
        <f>IFERROR(__xludf.DUMMYFUNCTION("""COMPUTED_VALUE"""),0.431718061674008)</f>
        <v>0.4317180617</v>
      </c>
      <c r="N33" s="16">
        <f>IFERROR(__xludf.DUMMYFUNCTION("""COMPUTED_VALUE"""),0.345132743362831)</f>
        <v>0.3451327434</v>
      </c>
      <c r="O33" s="16">
        <f>IFERROR(__xludf.DUMMYFUNCTION("""COMPUTED_VALUE"""),0.243362831858407)</f>
        <v>0.2433628319</v>
      </c>
      <c r="P33" s="16">
        <f>IFERROR(__xludf.DUMMYFUNCTION("""COMPUTED_VALUE"""),0.163636363636363)</f>
        <v>0.1636363636</v>
      </c>
      <c r="Q33" s="16">
        <f>IFERROR(__xludf.DUMMYFUNCTION("""COMPUTED_VALUE"""),0.11049723756906)</f>
        <v>0.1104972376</v>
      </c>
      <c r="R33" s="16">
        <f>IFERROR(__xludf.DUMMYFUNCTION("""COMPUTED_VALUE"""),0.0335195530726257)</f>
        <v>0.03351955307</v>
      </c>
      <c r="S33" s="16">
        <f>IFERROR(__xludf.DUMMYFUNCTION("""COMPUTED_VALUE"""),0.025)</f>
        <v>0.025</v>
      </c>
      <c r="T33" s="16">
        <f>IFERROR(__xludf.DUMMYFUNCTION("""COMPUTED_VALUE"""),0.0)</f>
        <v>0</v>
      </c>
      <c r="U33" s="16">
        <f>IFERROR(__xludf.DUMMYFUNCTION("""COMPUTED_VALUE"""),0.0)</f>
        <v>0</v>
      </c>
      <c r="V33" s="16">
        <f>IFERROR(__xludf.DUMMYFUNCTION("""COMPUTED_VALUE"""),0.0)</f>
        <v>0</v>
      </c>
      <c r="W33" s="16">
        <f>IFERROR(__xludf.DUMMYFUNCTION("""COMPUTED_VALUE"""),0.0)</f>
        <v>0</v>
      </c>
      <c r="X33" s="16">
        <f>IFERROR(__xludf.DUMMYFUNCTION("""COMPUTED_VALUE"""),0.0)</f>
        <v>0</v>
      </c>
      <c r="Y33" s="16">
        <f>IFERROR(__xludf.DUMMYFUNCTION("""COMPUTED_VALUE"""),0.0)</f>
        <v>0</v>
      </c>
      <c r="Z33" s="16">
        <f>IFERROR(__xludf.DUMMYFUNCTION("""COMPUTED_VALUE"""),0.0)</f>
        <v>0</v>
      </c>
      <c r="AA33" s="16">
        <f>IFERROR(__xludf.DUMMYFUNCTION("""COMPUTED_VALUE"""),0.0)</f>
        <v>0</v>
      </c>
      <c r="AB33" s="16">
        <f>IFERROR(__xludf.DUMMYFUNCTION("""COMPUTED_VALUE"""),0.0)</f>
        <v>0</v>
      </c>
      <c r="AC33" s="16">
        <f>IFERROR(__xludf.DUMMYFUNCTION("""COMPUTED_VALUE"""),0.0)</f>
        <v>0</v>
      </c>
      <c r="AD33" s="16">
        <f>IFERROR(__xludf.DUMMYFUNCTION("""COMPUTED_VALUE"""),0.0)</f>
        <v>0</v>
      </c>
      <c r="AE33" s="16">
        <f>IFERROR(__xludf.DUMMYFUNCTION("""COMPUTED_VALUE"""),0.0)</f>
        <v>0</v>
      </c>
      <c r="AF33" s="16">
        <f>IFERROR(__xludf.DUMMYFUNCTION("""COMPUTED_VALUE"""),0.0)</f>
        <v>0</v>
      </c>
      <c r="AG33" s="16">
        <f>IFERROR(__xludf.DUMMYFUNCTION("""COMPUTED_VALUE"""),0.0)</f>
        <v>0</v>
      </c>
      <c r="AH33" s="16">
        <f>IFERROR(__xludf.DUMMYFUNCTION("""COMPUTED_VALUE"""),0.0)</f>
        <v>0</v>
      </c>
    </row>
    <row r="34">
      <c r="A34" s="16" t="str">
        <f>IFERROR(__xludf.DUMMYFUNCTION("""COMPUTED_VALUE"""),"1e1205d9e93348005e7eb4b2e071c8c63b7914ca")</f>
        <v>1e1205d9e93348005e7eb4b2e071c8c63b7914ca</v>
      </c>
      <c r="B34" s="16" t="str">
        <f>IFERROR(__xludf.DUMMYFUNCTION("""COMPUTED_VALUE"""),"The Heart's Captive")</f>
        <v>The Heart's Captive</v>
      </c>
      <c r="C34" s="16" t="str">
        <f>IFERROR(__xludf.DUMMYFUNCTION("""COMPUTED_VALUE"""),"Romantasy")</f>
        <v>Romantasy</v>
      </c>
      <c r="D34" s="16">
        <f>IFERROR(__xludf.DUMMYFUNCTION("""COMPUTED_VALUE"""),7.0)</f>
        <v>7</v>
      </c>
      <c r="E34" s="16">
        <f>IFERROR(__xludf.DUMMYFUNCTION("""COMPUTED_VALUE"""),0.857142857142857)</f>
        <v>0.8571428571</v>
      </c>
      <c r="F34" s="16">
        <f>IFERROR(__xludf.DUMMYFUNCTION("""COMPUTED_VALUE"""),0.428571428571428)</f>
        <v>0.4285714286</v>
      </c>
      <c r="G34" s="16">
        <f>IFERROR(__xludf.DUMMYFUNCTION("""COMPUTED_VALUE"""),0.285714285714285)</f>
        <v>0.2857142857</v>
      </c>
      <c r="H34" s="16">
        <f>IFERROR(__xludf.DUMMYFUNCTION("""COMPUTED_VALUE"""),0.428571428571428)</f>
        <v>0.4285714286</v>
      </c>
      <c r="I34" s="16">
        <f>IFERROR(__xludf.DUMMYFUNCTION("""COMPUTED_VALUE"""),0.428571428571428)</f>
        <v>0.4285714286</v>
      </c>
      <c r="J34" s="16">
        <f>IFERROR(__xludf.DUMMYFUNCTION("""COMPUTED_VALUE"""),0.428571428571428)</f>
        <v>0.4285714286</v>
      </c>
      <c r="K34" s="16">
        <f>IFERROR(__xludf.DUMMYFUNCTION("""COMPUTED_VALUE"""),0.571428571428571)</f>
        <v>0.5714285714</v>
      </c>
      <c r="L34" s="16">
        <f>IFERROR(__xludf.DUMMYFUNCTION("""COMPUTED_VALUE"""),0.571428571428571)</f>
        <v>0.5714285714</v>
      </c>
      <c r="M34" s="16">
        <f>IFERROR(__xludf.DUMMYFUNCTION("""COMPUTED_VALUE"""),0.428571428571428)</f>
        <v>0.4285714286</v>
      </c>
      <c r="N34" s="16">
        <f>IFERROR(__xludf.DUMMYFUNCTION("""COMPUTED_VALUE"""),0.571428571428571)</f>
        <v>0.5714285714</v>
      </c>
      <c r="O34" s="16">
        <f>IFERROR(__xludf.DUMMYFUNCTION("""COMPUTED_VALUE"""),0.428571428571428)</f>
        <v>0.4285714286</v>
      </c>
      <c r="P34" s="16">
        <f>IFERROR(__xludf.DUMMYFUNCTION("""COMPUTED_VALUE"""),0.142857142857142)</f>
        <v>0.1428571429</v>
      </c>
      <c r="Q34" s="16">
        <f>IFERROR(__xludf.DUMMYFUNCTION("""COMPUTED_VALUE"""),0.142857142857142)</f>
        <v>0.1428571429</v>
      </c>
      <c r="R34" s="16">
        <f>IFERROR(__xludf.DUMMYFUNCTION("""COMPUTED_VALUE"""),0.0)</f>
        <v>0</v>
      </c>
      <c r="S34" s="16">
        <f>IFERROR(__xludf.DUMMYFUNCTION("""COMPUTED_VALUE"""),0.0)</f>
        <v>0</v>
      </c>
      <c r="T34" s="16">
        <f>IFERROR(__xludf.DUMMYFUNCTION("""COMPUTED_VALUE"""),0.0)</f>
        <v>0</v>
      </c>
      <c r="U34" s="16">
        <f>IFERROR(__xludf.DUMMYFUNCTION("""COMPUTED_VALUE"""),0.0)</f>
        <v>0</v>
      </c>
      <c r="V34" s="16">
        <f>IFERROR(__xludf.DUMMYFUNCTION("""COMPUTED_VALUE"""),0.0)</f>
        <v>0</v>
      </c>
      <c r="W34" s="16">
        <f>IFERROR(__xludf.DUMMYFUNCTION("""COMPUTED_VALUE"""),0.0)</f>
        <v>0</v>
      </c>
      <c r="X34" s="16">
        <f>IFERROR(__xludf.DUMMYFUNCTION("""COMPUTED_VALUE"""),0.0)</f>
        <v>0</v>
      </c>
      <c r="Y34" s="16">
        <f>IFERROR(__xludf.DUMMYFUNCTION("""COMPUTED_VALUE"""),0.0)</f>
        <v>0</v>
      </c>
      <c r="Z34" s="16">
        <f>IFERROR(__xludf.DUMMYFUNCTION("""COMPUTED_VALUE"""),0.0)</f>
        <v>0</v>
      </c>
      <c r="AA34" s="16">
        <f>IFERROR(__xludf.DUMMYFUNCTION("""COMPUTED_VALUE"""),0.0)</f>
        <v>0</v>
      </c>
      <c r="AB34" s="16">
        <f>IFERROR(__xludf.DUMMYFUNCTION("""COMPUTED_VALUE"""),0.0)</f>
        <v>0</v>
      </c>
      <c r="AC34" s="16">
        <f>IFERROR(__xludf.DUMMYFUNCTION("""COMPUTED_VALUE"""),0.0)</f>
        <v>0</v>
      </c>
      <c r="AD34" s="16">
        <f>IFERROR(__xludf.DUMMYFUNCTION("""COMPUTED_VALUE"""),0.0)</f>
        <v>0</v>
      </c>
      <c r="AE34" s="16">
        <f>IFERROR(__xludf.DUMMYFUNCTION("""COMPUTED_VALUE"""),0.0)</f>
        <v>0</v>
      </c>
      <c r="AF34" s="16">
        <f>IFERROR(__xludf.DUMMYFUNCTION("""COMPUTED_VALUE"""),0.0)</f>
        <v>0</v>
      </c>
      <c r="AG34" s="16">
        <f>IFERROR(__xludf.DUMMYFUNCTION("""COMPUTED_VALUE"""),0.0)</f>
        <v>0</v>
      </c>
      <c r="AH34" s="16">
        <f>IFERROR(__xludf.DUMMYFUNCTION("""COMPUTED_VALUE"""),0.0)</f>
        <v>0</v>
      </c>
    </row>
    <row r="35">
      <c r="A35" s="16" t="str">
        <f>IFERROR(__xludf.DUMMYFUNCTION("""COMPUTED_VALUE"""),"1e2b4197fd4a9f595c560bc8d4530339758b031a")</f>
        <v>1e2b4197fd4a9f595c560bc8d4530339758b031a</v>
      </c>
      <c r="B35" s="16" t="str">
        <f>IFERROR(__xludf.DUMMYFUNCTION("""COMPUTED_VALUE"""),"Becoming Garrison Green")</f>
        <v>Becoming Garrison Green</v>
      </c>
      <c r="C35" s="16" t="str">
        <f>IFERROR(__xludf.DUMMYFUNCTION("""COMPUTED_VALUE"""),"Drama")</f>
        <v>Drama</v>
      </c>
      <c r="D35" s="16">
        <f>IFERROR(__xludf.DUMMYFUNCTION("""COMPUTED_VALUE"""),570.0)</f>
        <v>570</v>
      </c>
      <c r="E35" s="16">
        <f>IFERROR(__xludf.DUMMYFUNCTION("""COMPUTED_VALUE"""),0.961403508771929)</f>
        <v>0.9614035088</v>
      </c>
      <c r="F35" s="16">
        <f>IFERROR(__xludf.DUMMYFUNCTION("""COMPUTED_VALUE"""),0.673684210526315)</f>
        <v>0.6736842105</v>
      </c>
      <c r="G35" s="16">
        <f>IFERROR(__xludf.DUMMYFUNCTION("""COMPUTED_VALUE"""),0.661403508771929)</f>
        <v>0.6614035088</v>
      </c>
      <c r="H35" s="16">
        <f>IFERROR(__xludf.DUMMYFUNCTION("""COMPUTED_VALUE"""),0.636842105263157)</f>
        <v>0.6368421053</v>
      </c>
      <c r="I35" s="16">
        <f>IFERROR(__xludf.DUMMYFUNCTION("""COMPUTED_VALUE"""),0.610526315789473)</f>
        <v>0.6105263158</v>
      </c>
      <c r="J35" s="16">
        <f>IFERROR(__xludf.DUMMYFUNCTION("""COMPUTED_VALUE"""),0.592267135325131)</f>
        <v>0.5922671353</v>
      </c>
      <c r="K35" s="16">
        <f>IFERROR(__xludf.DUMMYFUNCTION("""COMPUTED_VALUE"""),0.555360281195079)</f>
        <v>0.5553602812</v>
      </c>
      <c r="L35" s="16">
        <f>IFERROR(__xludf.DUMMYFUNCTION("""COMPUTED_VALUE"""),0.523725834797891)</f>
        <v>0.5237258348</v>
      </c>
      <c r="M35" s="16">
        <f>IFERROR(__xludf.DUMMYFUNCTION("""COMPUTED_VALUE"""),0.509666080843585)</f>
        <v>0.5096660808</v>
      </c>
      <c r="N35" s="16">
        <f>IFERROR(__xludf.DUMMYFUNCTION("""COMPUTED_VALUE"""),0.485915492957746)</f>
        <v>0.485915493</v>
      </c>
      <c r="O35" s="16">
        <f>IFERROR(__xludf.DUMMYFUNCTION("""COMPUTED_VALUE"""),0.443462897526501)</f>
        <v>0.4434628975</v>
      </c>
      <c r="P35" s="16">
        <f>IFERROR(__xludf.DUMMYFUNCTION("""COMPUTED_VALUE"""),0.311030741410488)</f>
        <v>0.3110307414</v>
      </c>
      <c r="Q35" s="16">
        <f>IFERROR(__xludf.DUMMYFUNCTION("""COMPUTED_VALUE"""),0.222222222222222)</f>
        <v>0.2222222222</v>
      </c>
      <c r="R35" s="16">
        <f>IFERROR(__xludf.DUMMYFUNCTION("""COMPUTED_VALUE"""),0.222222222222222)</f>
        <v>0.2222222222</v>
      </c>
      <c r="S35" s="16">
        <f>IFERROR(__xludf.DUMMYFUNCTION("""COMPUTED_VALUE"""),0.0)</f>
        <v>0</v>
      </c>
      <c r="T35" s="16">
        <f>IFERROR(__xludf.DUMMYFUNCTION("""COMPUTED_VALUE"""),0.0)</f>
        <v>0</v>
      </c>
      <c r="U35" s="16">
        <f>IFERROR(__xludf.DUMMYFUNCTION("""COMPUTED_VALUE"""),0.0)</f>
        <v>0</v>
      </c>
      <c r="V35" s="16">
        <f>IFERROR(__xludf.DUMMYFUNCTION("""COMPUTED_VALUE"""),0.0)</f>
        <v>0</v>
      </c>
      <c r="W35" s="16">
        <f>IFERROR(__xludf.DUMMYFUNCTION("""COMPUTED_VALUE"""),0.0)</f>
        <v>0</v>
      </c>
      <c r="X35" s="16">
        <f>IFERROR(__xludf.DUMMYFUNCTION("""COMPUTED_VALUE"""),0.0)</f>
        <v>0</v>
      </c>
      <c r="Y35" s="16">
        <f>IFERROR(__xludf.DUMMYFUNCTION("""COMPUTED_VALUE"""),0.0)</f>
        <v>0</v>
      </c>
      <c r="Z35" s="16">
        <f>IFERROR(__xludf.DUMMYFUNCTION("""COMPUTED_VALUE"""),0.0)</f>
        <v>0</v>
      </c>
      <c r="AA35" s="16">
        <f>IFERROR(__xludf.DUMMYFUNCTION("""COMPUTED_VALUE"""),0.0)</f>
        <v>0</v>
      </c>
      <c r="AB35" s="16">
        <f>IFERROR(__xludf.DUMMYFUNCTION("""COMPUTED_VALUE"""),0.0)</f>
        <v>0</v>
      </c>
      <c r="AC35" s="16">
        <f>IFERROR(__xludf.DUMMYFUNCTION("""COMPUTED_VALUE"""),0.0)</f>
        <v>0</v>
      </c>
      <c r="AD35" s="16">
        <f>IFERROR(__xludf.DUMMYFUNCTION("""COMPUTED_VALUE"""),0.0)</f>
        <v>0</v>
      </c>
      <c r="AE35" s="16">
        <f>IFERROR(__xludf.DUMMYFUNCTION("""COMPUTED_VALUE"""),0.0)</f>
        <v>0</v>
      </c>
      <c r="AF35" s="16">
        <f>IFERROR(__xludf.DUMMYFUNCTION("""COMPUTED_VALUE"""),0.0)</f>
        <v>0</v>
      </c>
      <c r="AG35" s="16">
        <f>IFERROR(__xludf.DUMMYFUNCTION("""COMPUTED_VALUE"""),0.0)</f>
        <v>0</v>
      </c>
      <c r="AH35" s="16">
        <f>IFERROR(__xludf.DUMMYFUNCTION("""COMPUTED_VALUE"""),0.0)</f>
        <v>0</v>
      </c>
    </row>
    <row r="36">
      <c r="A36" s="16" t="str">
        <f>IFERROR(__xludf.DUMMYFUNCTION("""COMPUTED_VALUE"""),"1e8c33b5d824973efcdca4b5194f961aed4ba258")</f>
        <v>1e8c33b5d824973efcdca4b5194f961aed4ba258</v>
      </c>
      <c r="B36" s="16" t="str">
        <f>IFERROR(__xludf.DUMMYFUNCTION("""COMPUTED_VALUE"""),"Mafia's Reluctant Bride")</f>
        <v>Mafia's Reluctant Bride</v>
      </c>
      <c r="C36" s="16" t="str">
        <f>IFERROR(__xludf.DUMMYFUNCTION("""COMPUTED_VALUE"""),"Romance")</f>
        <v>Romance</v>
      </c>
      <c r="D36" s="16">
        <f>IFERROR(__xludf.DUMMYFUNCTION("""COMPUTED_VALUE"""),34.0)</f>
        <v>34</v>
      </c>
      <c r="E36" s="16">
        <f>IFERROR(__xludf.DUMMYFUNCTION("""COMPUTED_VALUE"""),1.0)</f>
        <v>1</v>
      </c>
      <c r="F36" s="16">
        <f>IFERROR(__xludf.DUMMYFUNCTION("""COMPUTED_VALUE"""),0.676470588235294)</f>
        <v>0.6764705882</v>
      </c>
      <c r="G36" s="16">
        <f>IFERROR(__xludf.DUMMYFUNCTION("""COMPUTED_VALUE"""),0.617647058823529)</f>
        <v>0.6176470588</v>
      </c>
      <c r="H36" s="16">
        <f>IFERROR(__xludf.DUMMYFUNCTION("""COMPUTED_VALUE"""),0.617647058823529)</f>
        <v>0.6176470588</v>
      </c>
      <c r="I36" s="16">
        <f>IFERROR(__xludf.DUMMYFUNCTION("""COMPUTED_VALUE"""),0.5)</f>
        <v>0.5</v>
      </c>
      <c r="J36" s="16">
        <f>IFERROR(__xludf.DUMMYFUNCTION("""COMPUTED_VALUE"""),0.470588235294117)</f>
        <v>0.4705882353</v>
      </c>
      <c r="K36" s="16">
        <f>IFERROR(__xludf.DUMMYFUNCTION("""COMPUTED_VALUE"""),0.470588235294117)</f>
        <v>0.4705882353</v>
      </c>
      <c r="L36" s="16">
        <f>IFERROR(__xludf.DUMMYFUNCTION("""COMPUTED_VALUE"""),0.517241379310344)</f>
        <v>0.5172413793</v>
      </c>
      <c r="M36" s="16">
        <f>IFERROR(__xludf.DUMMYFUNCTION("""COMPUTED_VALUE"""),0.551724137931034)</f>
        <v>0.5517241379</v>
      </c>
      <c r="N36" s="16">
        <f>IFERROR(__xludf.DUMMYFUNCTION("""COMPUTED_VALUE"""),0.5)</f>
        <v>0.5</v>
      </c>
      <c r="O36" s="16">
        <f>IFERROR(__xludf.DUMMYFUNCTION("""COMPUTED_VALUE"""),0.458333333333333)</f>
        <v>0.4583333333</v>
      </c>
      <c r="P36" s="16">
        <f>IFERROR(__xludf.DUMMYFUNCTION("""COMPUTED_VALUE"""),0.4)</f>
        <v>0.4</v>
      </c>
      <c r="Q36" s="16">
        <f>IFERROR(__xludf.DUMMYFUNCTION("""COMPUTED_VALUE"""),0.0)</f>
        <v>0</v>
      </c>
      <c r="R36" s="16">
        <f>IFERROR(__xludf.DUMMYFUNCTION("""COMPUTED_VALUE"""),0.0)</f>
        <v>0</v>
      </c>
      <c r="S36" s="16">
        <f>IFERROR(__xludf.DUMMYFUNCTION("""COMPUTED_VALUE"""),0.0)</f>
        <v>0</v>
      </c>
      <c r="T36" s="16">
        <f>IFERROR(__xludf.DUMMYFUNCTION("""COMPUTED_VALUE"""),0.0)</f>
        <v>0</v>
      </c>
      <c r="U36" s="16">
        <f>IFERROR(__xludf.DUMMYFUNCTION("""COMPUTED_VALUE"""),0.0)</f>
        <v>0</v>
      </c>
      <c r="V36" s="16">
        <f>IFERROR(__xludf.DUMMYFUNCTION("""COMPUTED_VALUE"""),0.0)</f>
        <v>0</v>
      </c>
      <c r="W36" s="16">
        <f>IFERROR(__xludf.DUMMYFUNCTION("""COMPUTED_VALUE"""),0.0)</f>
        <v>0</v>
      </c>
      <c r="X36" s="16">
        <f>IFERROR(__xludf.DUMMYFUNCTION("""COMPUTED_VALUE"""),0.0)</f>
        <v>0</v>
      </c>
      <c r="Y36" s="16">
        <f>IFERROR(__xludf.DUMMYFUNCTION("""COMPUTED_VALUE"""),0.0)</f>
        <v>0</v>
      </c>
      <c r="Z36" s="16">
        <f>IFERROR(__xludf.DUMMYFUNCTION("""COMPUTED_VALUE"""),0.0)</f>
        <v>0</v>
      </c>
      <c r="AA36" s="16">
        <f>IFERROR(__xludf.DUMMYFUNCTION("""COMPUTED_VALUE"""),0.0)</f>
        <v>0</v>
      </c>
      <c r="AB36" s="16">
        <f>IFERROR(__xludf.DUMMYFUNCTION("""COMPUTED_VALUE"""),0.0)</f>
        <v>0</v>
      </c>
      <c r="AC36" s="16">
        <f>IFERROR(__xludf.DUMMYFUNCTION("""COMPUTED_VALUE"""),0.0)</f>
        <v>0</v>
      </c>
      <c r="AD36" s="16">
        <f>IFERROR(__xludf.DUMMYFUNCTION("""COMPUTED_VALUE"""),0.0)</f>
        <v>0</v>
      </c>
      <c r="AE36" s="16">
        <f>IFERROR(__xludf.DUMMYFUNCTION("""COMPUTED_VALUE"""),0.0)</f>
        <v>0</v>
      </c>
      <c r="AF36" s="16">
        <f>IFERROR(__xludf.DUMMYFUNCTION("""COMPUTED_VALUE"""),0.0)</f>
        <v>0</v>
      </c>
      <c r="AG36" s="16">
        <f>IFERROR(__xludf.DUMMYFUNCTION("""COMPUTED_VALUE"""),0.0)</f>
        <v>0</v>
      </c>
      <c r="AH36" s="16">
        <f>IFERROR(__xludf.DUMMYFUNCTION("""COMPUTED_VALUE"""),0.0)</f>
        <v>0</v>
      </c>
    </row>
    <row r="37">
      <c r="A37" s="16" t="str">
        <f>IFERROR(__xludf.DUMMYFUNCTION("""COMPUTED_VALUE"""),"1f78098e196cc2154bbadfe054e0bdd13c10fa60")</f>
        <v>1f78098e196cc2154bbadfe054e0bdd13c10fa60</v>
      </c>
      <c r="B37" s="16" t="str">
        <f>IFERROR(__xludf.DUMMYFUNCTION("""COMPUTED_VALUE"""),"The Marriage Timer")</f>
        <v>The Marriage Timer</v>
      </c>
      <c r="C37" s="16" t="str">
        <f>IFERROR(__xludf.DUMMYFUNCTION("""COMPUTED_VALUE"""),"Romance")</f>
        <v>Romance</v>
      </c>
      <c r="D37" s="16">
        <f>IFERROR(__xludf.DUMMYFUNCTION("""COMPUTED_VALUE"""),190.0)</f>
        <v>190</v>
      </c>
      <c r="E37" s="16">
        <f>IFERROR(__xludf.DUMMYFUNCTION("""COMPUTED_VALUE"""),0.989473684210526)</f>
        <v>0.9894736842</v>
      </c>
      <c r="F37" s="16">
        <f>IFERROR(__xludf.DUMMYFUNCTION("""COMPUTED_VALUE"""),0.521052631578947)</f>
        <v>0.5210526316</v>
      </c>
      <c r="G37" s="16">
        <f>IFERROR(__xludf.DUMMYFUNCTION("""COMPUTED_VALUE"""),0.410526315789473)</f>
        <v>0.4105263158</v>
      </c>
      <c r="H37" s="16">
        <f>IFERROR(__xludf.DUMMYFUNCTION("""COMPUTED_VALUE"""),0.378947368421052)</f>
        <v>0.3789473684</v>
      </c>
      <c r="I37" s="16">
        <f>IFERROR(__xludf.DUMMYFUNCTION("""COMPUTED_VALUE"""),0.363157894736842)</f>
        <v>0.3631578947</v>
      </c>
      <c r="J37" s="16">
        <f>IFERROR(__xludf.DUMMYFUNCTION("""COMPUTED_VALUE"""),0.342105263157894)</f>
        <v>0.3421052632</v>
      </c>
      <c r="K37" s="16">
        <f>IFERROR(__xludf.DUMMYFUNCTION("""COMPUTED_VALUE"""),0.321052631578947)</f>
        <v>0.3210526316</v>
      </c>
      <c r="L37" s="16">
        <f>IFERROR(__xludf.DUMMYFUNCTION("""COMPUTED_VALUE"""),0.321052631578947)</f>
        <v>0.3210526316</v>
      </c>
      <c r="M37" s="16">
        <f>IFERROR(__xludf.DUMMYFUNCTION("""COMPUTED_VALUE"""),0.3)</f>
        <v>0.3</v>
      </c>
      <c r="N37" s="16">
        <f>IFERROR(__xludf.DUMMYFUNCTION("""COMPUTED_VALUE"""),0.3)</f>
        <v>0.3</v>
      </c>
      <c r="O37" s="16">
        <f>IFERROR(__xludf.DUMMYFUNCTION("""COMPUTED_VALUE"""),0.26063829787234)</f>
        <v>0.2606382979</v>
      </c>
      <c r="P37" s="16">
        <f>IFERROR(__xludf.DUMMYFUNCTION("""COMPUTED_VALUE"""),0.124324324324324)</f>
        <v>0.1243243243</v>
      </c>
      <c r="Q37" s="16">
        <f>IFERROR(__xludf.DUMMYFUNCTION("""COMPUTED_VALUE"""),0.0666666666666666)</f>
        <v>0.06666666667</v>
      </c>
      <c r="R37" s="16">
        <f>IFERROR(__xludf.DUMMYFUNCTION("""COMPUTED_VALUE"""),0.0)</f>
        <v>0</v>
      </c>
      <c r="S37" s="16">
        <f>IFERROR(__xludf.DUMMYFUNCTION("""COMPUTED_VALUE"""),0.0)</f>
        <v>0</v>
      </c>
      <c r="T37" s="16">
        <f>IFERROR(__xludf.DUMMYFUNCTION("""COMPUTED_VALUE"""),0.0)</f>
        <v>0</v>
      </c>
      <c r="U37" s="16">
        <f>IFERROR(__xludf.DUMMYFUNCTION("""COMPUTED_VALUE"""),0.0)</f>
        <v>0</v>
      </c>
      <c r="V37" s="16">
        <f>IFERROR(__xludf.DUMMYFUNCTION("""COMPUTED_VALUE"""),0.0)</f>
        <v>0</v>
      </c>
      <c r="W37" s="16">
        <f>IFERROR(__xludf.DUMMYFUNCTION("""COMPUTED_VALUE"""),0.0)</f>
        <v>0</v>
      </c>
      <c r="X37" s="16">
        <f>IFERROR(__xludf.DUMMYFUNCTION("""COMPUTED_VALUE"""),0.0)</f>
        <v>0</v>
      </c>
      <c r="Y37" s="16">
        <f>IFERROR(__xludf.DUMMYFUNCTION("""COMPUTED_VALUE"""),0.0)</f>
        <v>0</v>
      </c>
      <c r="Z37" s="16">
        <f>IFERROR(__xludf.DUMMYFUNCTION("""COMPUTED_VALUE"""),0.0)</f>
        <v>0</v>
      </c>
      <c r="AA37" s="16">
        <f>IFERROR(__xludf.DUMMYFUNCTION("""COMPUTED_VALUE"""),0.0)</f>
        <v>0</v>
      </c>
      <c r="AB37" s="16">
        <f>IFERROR(__xludf.DUMMYFUNCTION("""COMPUTED_VALUE"""),0.0)</f>
        <v>0</v>
      </c>
      <c r="AC37" s="16">
        <f>IFERROR(__xludf.DUMMYFUNCTION("""COMPUTED_VALUE"""),0.0)</f>
        <v>0</v>
      </c>
      <c r="AD37" s="16">
        <f>IFERROR(__xludf.DUMMYFUNCTION("""COMPUTED_VALUE"""),0.0)</f>
        <v>0</v>
      </c>
      <c r="AE37" s="16">
        <f>IFERROR(__xludf.DUMMYFUNCTION("""COMPUTED_VALUE"""),0.0)</f>
        <v>0</v>
      </c>
      <c r="AF37" s="16">
        <f>IFERROR(__xludf.DUMMYFUNCTION("""COMPUTED_VALUE"""),0.0)</f>
        <v>0</v>
      </c>
      <c r="AG37" s="16">
        <f>IFERROR(__xludf.DUMMYFUNCTION("""COMPUTED_VALUE"""),0.0)</f>
        <v>0</v>
      </c>
      <c r="AH37" s="16">
        <f>IFERROR(__xludf.DUMMYFUNCTION("""COMPUTED_VALUE"""),0.0)</f>
        <v>0</v>
      </c>
    </row>
    <row r="38">
      <c r="A38" s="16" t="str">
        <f>IFERROR(__xludf.DUMMYFUNCTION("""COMPUTED_VALUE"""),"2039c770620dbd485e50118a476f0b91b4bd035b")</f>
        <v>2039c770620dbd485e50118a476f0b91b4bd035b</v>
      </c>
      <c r="B38" s="16" t="str">
        <f>IFERROR(__xludf.DUMMYFUNCTION("""COMPUTED_VALUE"""),"Princess Ebony &amp; the Silver Dragon - Remastered Edition")</f>
        <v>Princess Ebony &amp; the Silver Dragon - Remastered Edition</v>
      </c>
      <c r="C38" s="16" t="str">
        <f>IFERROR(__xludf.DUMMYFUNCTION("""COMPUTED_VALUE"""),"Fantasy")</f>
        <v>Fantasy</v>
      </c>
      <c r="D38" s="16">
        <f>IFERROR(__xludf.DUMMYFUNCTION("""COMPUTED_VALUE"""),1625.0)</f>
        <v>1625</v>
      </c>
      <c r="E38" s="16">
        <f>IFERROR(__xludf.DUMMYFUNCTION("""COMPUTED_VALUE"""),0.961846153846153)</f>
        <v>0.9618461538</v>
      </c>
      <c r="F38" s="16">
        <f>IFERROR(__xludf.DUMMYFUNCTION("""COMPUTED_VALUE"""),0.51076923076923)</f>
        <v>0.5107692308</v>
      </c>
      <c r="G38" s="16">
        <f>IFERROR(__xludf.DUMMYFUNCTION("""COMPUTED_VALUE"""),0.464615384615384)</f>
        <v>0.4646153846</v>
      </c>
      <c r="H38" s="16">
        <f>IFERROR(__xludf.DUMMYFUNCTION("""COMPUTED_VALUE"""),0.432)</f>
        <v>0.432</v>
      </c>
      <c r="I38" s="16">
        <f>IFERROR(__xludf.DUMMYFUNCTION("""COMPUTED_VALUE"""),0.410461538461538)</f>
        <v>0.4104615385</v>
      </c>
      <c r="J38" s="16">
        <f>IFERROR(__xludf.DUMMYFUNCTION("""COMPUTED_VALUE"""),0.396307692307692)</f>
        <v>0.3963076923</v>
      </c>
      <c r="K38" s="16">
        <f>IFERROR(__xludf.DUMMYFUNCTION("""COMPUTED_VALUE"""),0.384330660086366)</f>
        <v>0.3843306601</v>
      </c>
      <c r="L38" s="16">
        <f>IFERROR(__xludf.DUMMYFUNCTION("""COMPUTED_VALUE"""),0.375)</f>
        <v>0.375</v>
      </c>
      <c r="M38" s="16">
        <f>IFERROR(__xludf.DUMMYFUNCTION("""COMPUTED_VALUE"""),0.374225526641883)</f>
        <v>0.3742255266</v>
      </c>
      <c r="N38" s="16">
        <f>IFERROR(__xludf.DUMMYFUNCTION("""COMPUTED_VALUE"""),0.36944270507201)</f>
        <v>0.3694427051</v>
      </c>
      <c r="O38" s="16">
        <f>IFERROR(__xludf.DUMMYFUNCTION("""COMPUTED_VALUE"""),0.340821566110397)</f>
        <v>0.3408215661</v>
      </c>
      <c r="P38" s="16">
        <f>IFERROR(__xludf.DUMMYFUNCTION("""COMPUTED_VALUE"""),0.289738430583501)</f>
        <v>0.2897384306</v>
      </c>
      <c r="Q38" s="16">
        <f>IFERROR(__xludf.DUMMYFUNCTION("""COMPUTED_VALUE"""),0.231213872832369)</f>
        <v>0.2312138728</v>
      </c>
      <c r="R38" s="16">
        <f>IFERROR(__xludf.DUMMYFUNCTION("""COMPUTED_VALUE"""),0.163035311795642)</f>
        <v>0.1630353118</v>
      </c>
      <c r="S38" s="16">
        <f>IFERROR(__xludf.DUMMYFUNCTION("""COMPUTED_VALUE"""),0.126274509803921)</f>
        <v>0.1262745098</v>
      </c>
      <c r="T38" s="16">
        <f>IFERROR(__xludf.DUMMYFUNCTION("""COMPUTED_VALUE"""),0.0941370767960363)</f>
        <v>0.0941370768</v>
      </c>
      <c r="U38" s="16">
        <f>IFERROR(__xludf.DUMMYFUNCTION("""COMPUTED_VALUE"""),0.0764262648008611)</f>
        <v>0.0764262648</v>
      </c>
      <c r="V38" s="16">
        <f>IFERROR(__xludf.DUMMYFUNCTION("""COMPUTED_VALUE"""),0.0686274509803921)</f>
        <v>0.06862745098</v>
      </c>
      <c r="W38" s="16">
        <f>IFERROR(__xludf.DUMMYFUNCTION("""COMPUTED_VALUE"""),0.0594202898550724)</f>
        <v>0.05942028986</v>
      </c>
      <c r="X38" s="16">
        <f>IFERROR(__xludf.DUMMYFUNCTION("""COMPUTED_VALUE"""),0.0316831683168316)</f>
        <v>0.03168316832</v>
      </c>
      <c r="Y38" s="16">
        <f>IFERROR(__xludf.DUMMYFUNCTION("""COMPUTED_VALUE"""),0.0171673819742489)</f>
        <v>0.01716738197</v>
      </c>
      <c r="Z38" s="16">
        <f>IFERROR(__xludf.DUMMYFUNCTION("""COMPUTED_VALUE"""),0.0)</f>
        <v>0</v>
      </c>
      <c r="AA38" s="16">
        <f>IFERROR(__xludf.DUMMYFUNCTION("""COMPUTED_VALUE"""),0.0)</f>
        <v>0</v>
      </c>
      <c r="AB38" s="16">
        <f>IFERROR(__xludf.DUMMYFUNCTION("""COMPUTED_VALUE"""),0.0)</f>
        <v>0</v>
      </c>
      <c r="AC38" s="16">
        <f>IFERROR(__xludf.DUMMYFUNCTION("""COMPUTED_VALUE"""),0.0)</f>
        <v>0</v>
      </c>
      <c r="AD38" s="16">
        <f>IFERROR(__xludf.DUMMYFUNCTION("""COMPUTED_VALUE"""),0.0)</f>
        <v>0</v>
      </c>
      <c r="AE38" s="16">
        <f>IFERROR(__xludf.DUMMYFUNCTION("""COMPUTED_VALUE"""),0.0)</f>
        <v>0</v>
      </c>
      <c r="AF38" s="16">
        <f>IFERROR(__xludf.DUMMYFUNCTION("""COMPUTED_VALUE"""),0.0)</f>
        <v>0</v>
      </c>
      <c r="AG38" s="16">
        <f>IFERROR(__xludf.DUMMYFUNCTION("""COMPUTED_VALUE"""),0.0)</f>
        <v>0</v>
      </c>
      <c r="AH38" s="16">
        <f>IFERROR(__xludf.DUMMYFUNCTION("""COMPUTED_VALUE"""),0.0)</f>
        <v>0</v>
      </c>
    </row>
    <row r="39">
      <c r="A39" s="16" t="str">
        <f>IFERROR(__xludf.DUMMYFUNCTION("""COMPUTED_VALUE"""),"215d4622bad0b1fca5cb36bca9f92b3c41d21f7e")</f>
        <v>215d4622bad0b1fca5cb36bca9f92b3c41d21f7e</v>
      </c>
      <c r="B39" s="16" t="str">
        <f>IFERROR(__xludf.DUMMYFUNCTION("""COMPUTED_VALUE"""),"Aiden's Regression")</f>
        <v>Aiden's Regression</v>
      </c>
      <c r="C39" s="16" t="str">
        <f>IFERROR(__xludf.DUMMYFUNCTION("""COMPUTED_VALUE"""),"System and Superpower")</f>
        <v>System and Superpower</v>
      </c>
      <c r="D39" s="16">
        <f>IFERROR(__xludf.DUMMYFUNCTION("""COMPUTED_VALUE"""),512.0)</f>
        <v>512</v>
      </c>
      <c r="E39" s="16">
        <f>IFERROR(__xludf.DUMMYFUNCTION("""COMPUTED_VALUE"""),0.978515625)</f>
        <v>0.978515625</v>
      </c>
      <c r="F39" s="16">
        <f>IFERROR(__xludf.DUMMYFUNCTION("""COMPUTED_VALUE"""),0.59765625)</f>
        <v>0.59765625</v>
      </c>
      <c r="G39" s="16">
        <f>IFERROR(__xludf.DUMMYFUNCTION("""COMPUTED_VALUE"""),0.552734375)</f>
        <v>0.552734375</v>
      </c>
      <c r="H39" s="16">
        <f>IFERROR(__xludf.DUMMYFUNCTION("""COMPUTED_VALUE"""),0.53125)</f>
        <v>0.53125</v>
      </c>
      <c r="I39" s="16">
        <f>IFERROR(__xludf.DUMMYFUNCTION("""COMPUTED_VALUE"""),0.5)</f>
        <v>0.5</v>
      </c>
      <c r="J39" s="16">
        <f>IFERROR(__xludf.DUMMYFUNCTION("""COMPUTED_VALUE"""),0.478515625)</f>
        <v>0.478515625</v>
      </c>
      <c r="K39" s="16">
        <f>IFERROR(__xludf.DUMMYFUNCTION("""COMPUTED_VALUE"""),0.47358121330724)</f>
        <v>0.4735812133</v>
      </c>
      <c r="L39" s="16">
        <f>IFERROR(__xludf.DUMMYFUNCTION("""COMPUTED_VALUE"""),0.452941176470588)</f>
        <v>0.4529411765</v>
      </c>
      <c r="M39" s="16">
        <f>IFERROR(__xludf.DUMMYFUNCTION("""COMPUTED_VALUE"""),0.439215686274509)</f>
        <v>0.4392156863</v>
      </c>
      <c r="N39" s="16">
        <f>IFERROR(__xludf.DUMMYFUNCTION("""COMPUTED_VALUE"""),0.420432220039292)</f>
        <v>0.42043222</v>
      </c>
      <c r="O39" s="16">
        <f>IFERROR(__xludf.DUMMYFUNCTION("""COMPUTED_VALUE"""),0.386138613861386)</f>
        <v>0.3861386139</v>
      </c>
      <c r="P39" s="16">
        <f>IFERROR(__xludf.DUMMYFUNCTION("""COMPUTED_VALUE"""),0.269709543568464)</f>
        <v>0.2697095436</v>
      </c>
      <c r="Q39" s="16">
        <f>IFERROR(__xludf.DUMMYFUNCTION("""COMPUTED_VALUE"""),0.0)</f>
        <v>0</v>
      </c>
      <c r="R39" s="16">
        <f>IFERROR(__xludf.DUMMYFUNCTION("""COMPUTED_VALUE"""),0.0)</f>
        <v>0</v>
      </c>
      <c r="S39" s="16">
        <f>IFERROR(__xludf.DUMMYFUNCTION("""COMPUTED_VALUE"""),0.0)</f>
        <v>0</v>
      </c>
      <c r="T39" s="16">
        <f>IFERROR(__xludf.DUMMYFUNCTION("""COMPUTED_VALUE"""),0.0)</f>
        <v>0</v>
      </c>
      <c r="U39" s="16">
        <f>IFERROR(__xludf.DUMMYFUNCTION("""COMPUTED_VALUE"""),0.0)</f>
        <v>0</v>
      </c>
      <c r="V39" s="16">
        <f>IFERROR(__xludf.DUMMYFUNCTION("""COMPUTED_VALUE"""),0.0)</f>
        <v>0</v>
      </c>
      <c r="W39" s="16">
        <f>IFERROR(__xludf.DUMMYFUNCTION("""COMPUTED_VALUE"""),0.0)</f>
        <v>0</v>
      </c>
      <c r="X39" s="16">
        <f>IFERROR(__xludf.DUMMYFUNCTION("""COMPUTED_VALUE"""),0.0)</f>
        <v>0</v>
      </c>
      <c r="Y39" s="16">
        <f>IFERROR(__xludf.DUMMYFUNCTION("""COMPUTED_VALUE"""),0.0)</f>
        <v>0</v>
      </c>
      <c r="Z39" s="16">
        <f>IFERROR(__xludf.DUMMYFUNCTION("""COMPUTED_VALUE"""),0.0)</f>
        <v>0</v>
      </c>
      <c r="AA39" s="16">
        <f>IFERROR(__xludf.DUMMYFUNCTION("""COMPUTED_VALUE"""),0.0)</f>
        <v>0</v>
      </c>
      <c r="AB39" s="16">
        <f>IFERROR(__xludf.DUMMYFUNCTION("""COMPUTED_VALUE"""),0.0)</f>
        <v>0</v>
      </c>
      <c r="AC39" s="16">
        <f>IFERROR(__xludf.DUMMYFUNCTION("""COMPUTED_VALUE"""),0.0)</f>
        <v>0</v>
      </c>
      <c r="AD39" s="16">
        <f>IFERROR(__xludf.DUMMYFUNCTION("""COMPUTED_VALUE"""),0.0)</f>
        <v>0</v>
      </c>
      <c r="AE39" s="16">
        <f>IFERROR(__xludf.DUMMYFUNCTION("""COMPUTED_VALUE"""),0.0)</f>
        <v>0</v>
      </c>
      <c r="AF39" s="16">
        <f>IFERROR(__xludf.DUMMYFUNCTION("""COMPUTED_VALUE"""),0.0)</f>
        <v>0</v>
      </c>
      <c r="AG39" s="16">
        <f>IFERROR(__xludf.DUMMYFUNCTION("""COMPUTED_VALUE"""),0.0)</f>
        <v>0</v>
      </c>
      <c r="AH39" s="16">
        <f>IFERROR(__xludf.DUMMYFUNCTION("""COMPUTED_VALUE"""),0.0)</f>
        <v>0</v>
      </c>
    </row>
    <row r="40">
      <c r="A40" s="16" t="str">
        <f>IFERROR(__xludf.DUMMYFUNCTION("""COMPUTED_VALUE"""),"2217881cc8f3c05fb3e0dbf70a118129e4e12471")</f>
        <v>2217881cc8f3c05fb3e0dbf70a118129e4e12471</v>
      </c>
      <c r="B40" s="16" t="str">
        <f>IFERROR(__xludf.DUMMYFUNCTION("""COMPUTED_VALUE"""),"Sevenfold Saint's Rise")</f>
        <v>Sevenfold Saint's Rise</v>
      </c>
      <c r="C40" s="16" t="str">
        <f>IFERROR(__xludf.DUMMYFUNCTION("""COMPUTED_VALUE"""),"Fantasy")</f>
        <v>Fantasy</v>
      </c>
      <c r="D40" s="16">
        <f>IFERROR(__xludf.DUMMYFUNCTION("""COMPUTED_VALUE"""),401.0)</f>
        <v>401</v>
      </c>
      <c r="E40" s="16">
        <f>IFERROR(__xludf.DUMMYFUNCTION("""COMPUTED_VALUE"""),0.992518703241895)</f>
        <v>0.9925187032</v>
      </c>
      <c r="F40" s="16">
        <f>IFERROR(__xludf.DUMMYFUNCTION("""COMPUTED_VALUE"""),0.620947630922693)</f>
        <v>0.6209476309</v>
      </c>
      <c r="G40" s="16">
        <f>IFERROR(__xludf.DUMMYFUNCTION("""COMPUTED_VALUE"""),0.561097256857855)</f>
        <v>0.5610972569</v>
      </c>
      <c r="H40" s="16">
        <f>IFERROR(__xludf.DUMMYFUNCTION("""COMPUTED_VALUE"""),0.546134663341645)</f>
        <v>0.5461346633</v>
      </c>
      <c r="I40" s="16">
        <f>IFERROR(__xludf.DUMMYFUNCTION("""COMPUTED_VALUE"""),0.478802992518703)</f>
        <v>0.4788029925</v>
      </c>
      <c r="J40" s="16">
        <f>IFERROR(__xludf.DUMMYFUNCTION("""COMPUTED_VALUE"""),0.423558897243107)</f>
        <v>0.4235588972</v>
      </c>
      <c r="K40" s="16">
        <f>IFERROR(__xludf.DUMMYFUNCTION("""COMPUTED_VALUE"""),0.370927318295739)</f>
        <v>0.3709273183</v>
      </c>
      <c r="L40" s="16">
        <f>IFERROR(__xludf.DUMMYFUNCTION("""COMPUTED_VALUE"""),0.344221105527638)</f>
        <v>0.3442211055</v>
      </c>
      <c r="M40" s="16">
        <f>IFERROR(__xludf.DUMMYFUNCTION("""COMPUTED_VALUE"""),0.312342569269521)</f>
        <v>0.3123425693</v>
      </c>
      <c r="N40" s="16">
        <f>IFERROR(__xludf.DUMMYFUNCTION("""COMPUTED_VALUE"""),0.272727272727272)</f>
        <v>0.2727272727</v>
      </c>
      <c r="O40" s="16">
        <f>IFERROR(__xludf.DUMMYFUNCTION("""COMPUTED_VALUE"""),0.173184357541899)</f>
        <v>0.1731843575</v>
      </c>
      <c r="P40" s="16">
        <f>IFERROR(__xludf.DUMMYFUNCTION("""COMPUTED_VALUE"""),0.0)</f>
        <v>0</v>
      </c>
      <c r="Q40" s="16">
        <f>IFERROR(__xludf.DUMMYFUNCTION("""COMPUTED_VALUE"""),0.0)</f>
        <v>0</v>
      </c>
      <c r="R40" s="16">
        <f>IFERROR(__xludf.DUMMYFUNCTION("""COMPUTED_VALUE"""),0.0)</f>
        <v>0</v>
      </c>
      <c r="S40" s="16">
        <f>IFERROR(__xludf.DUMMYFUNCTION("""COMPUTED_VALUE"""),0.0)</f>
        <v>0</v>
      </c>
      <c r="T40" s="16">
        <f>IFERROR(__xludf.DUMMYFUNCTION("""COMPUTED_VALUE"""),0.0)</f>
        <v>0</v>
      </c>
      <c r="U40" s="16">
        <f>IFERROR(__xludf.DUMMYFUNCTION("""COMPUTED_VALUE"""),0.0)</f>
        <v>0</v>
      </c>
      <c r="V40" s="16">
        <f>IFERROR(__xludf.DUMMYFUNCTION("""COMPUTED_VALUE"""),0.0)</f>
        <v>0</v>
      </c>
      <c r="W40" s="16">
        <f>IFERROR(__xludf.DUMMYFUNCTION("""COMPUTED_VALUE"""),0.0)</f>
        <v>0</v>
      </c>
      <c r="X40" s="16">
        <f>IFERROR(__xludf.DUMMYFUNCTION("""COMPUTED_VALUE"""),0.0)</f>
        <v>0</v>
      </c>
      <c r="Y40" s="16">
        <f>IFERROR(__xludf.DUMMYFUNCTION("""COMPUTED_VALUE"""),0.0)</f>
        <v>0</v>
      </c>
      <c r="Z40" s="16">
        <f>IFERROR(__xludf.DUMMYFUNCTION("""COMPUTED_VALUE"""),0.0)</f>
        <v>0</v>
      </c>
      <c r="AA40" s="16">
        <f>IFERROR(__xludf.DUMMYFUNCTION("""COMPUTED_VALUE"""),0.0)</f>
        <v>0</v>
      </c>
      <c r="AB40" s="16">
        <f>IFERROR(__xludf.DUMMYFUNCTION("""COMPUTED_VALUE"""),0.0)</f>
        <v>0</v>
      </c>
      <c r="AC40" s="16">
        <f>IFERROR(__xludf.DUMMYFUNCTION("""COMPUTED_VALUE"""),0.0)</f>
        <v>0</v>
      </c>
      <c r="AD40" s="16">
        <f>IFERROR(__xludf.DUMMYFUNCTION("""COMPUTED_VALUE"""),0.0)</f>
        <v>0</v>
      </c>
      <c r="AE40" s="16">
        <f>IFERROR(__xludf.DUMMYFUNCTION("""COMPUTED_VALUE"""),0.0)</f>
        <v>0</v>
      </c>
      <c r="AF40" s="16">
        <f>IFERROR(__xludf.DUMMYFUNCTION("""COMPUTED_VALUE"""),0.0)</f>
        <v>0</v>
      </c>
      <c r="AG40" s="16">
        <f>IFERROR(__xludf.DUMMYFUNCTION("""COMPUTED_VALUE"""),0.0)</f>
        <v>0</v>
      </c>
      <c r="AH40" s="16">
        <f>IFERROR(__xludf.DUMMYFUNCTION("""COMPUTED_VALUE"""),0.0)</f>
        <v>0</v>
      </c>
    </row>
    <row r="41">
      <c r="A41" s="16" t="str">
        <f>IFERROR(__xludf.DUMMYFUNCTION("""COMPUTED_VALUE"""),"224e6f56466e098b0d6a19535a60cc9f4da7f36a")</f>
        <v>224e6f56466e098b0d6a19535a60cc9f4da7f36a</v>
      </c>
      <c r="B41" s="16" t="str">
        <f>IFERROR(__xludf.DUMMYFUNCTION("""COMPUTED_VALUE"""),"Bound by Billions")</f>
        <v>Bound by Billions</v>
      </c>
      <c r="C41" s="16" t="str">
        <f>IFERROR(__xludf.DUMMYFUNCTION("""COMPUTED_VALUE"""),"Drama")</f>
        <v>Drama</v>
      </c>
      <c r="D41" s="16">
        <f>IFERROR(__xludf.DUMMYFUNCTION("""COMPUTED_VALUE"""),944.0)</f>
        <v>944</v>
      </c>
      <c r="E41" s="16">
        <f>IFERROR(__xludf.DUMMYFUNCTION("""COMPUTED_VALUE"""),0.955508474576271)</f>
        <v>0.9555084746</v>
      </c>
      <c r="F41" s="16">
        <f>IFERROR(__xludf.DUMMYFUNCTION("""COMPUTED_VALUE"""),0.666313559322033)</f>
        <v>0.6663135593</v>
      </c>
      <c r="G41" s="16">
        <f>IFERROR(__xludf.DUMMYFUNCTION("""COMPUTED_VALUE"""),0.621822033898305)</f>
        <v>0.6218220339</v>
      </c>
      <c r="H41" s="16">
        <f>IFERROR(__xludf.DUMMYFUNCTION("""COMPUTED_VALUE"""),0.590042372881356)</f>
        <v>0.5900423729</v>
      </c>
      <c r="I41" s="16">
        <f>IFERROR(__xludf.DUMMYFUNCTION("""COMPUTED_VALUE"""),0.575211864406779)</f>
        <v>0.5752118644</v>
      </c>
      <c r="J41" s="16">
        <f>IFERROR(__xludf.DUMMYFUNCTION("""COMPUTED_VALUE"""),0.550847457627118)</f>
        <v>0.5508474576</v>
      </c>
      <c r="K41" s="16">
        <f>IFERROR(__xludf.DUMMYFUNCTION("""COMPUTED_VALUE"""),0.519067796610169)</f>
        <v>0.5190677966</v>
      </c>
      <c r="L41" s="16">
        <f>IFERROR(__xludf.DUMMYFUNCTION("""COMPUTED_VALUE"""),0.506355932203389)</f>
        <v>0.5063559322</v>
      </c>
      <c r="M41" s="16">
        <f>IFERROR(__xludf.DUMMYFUNCTION("""COMPUTED_VALUE"""),0.485169491525423)</f>
        <v>0.4851694915</v>
      </c>
      <c r="N41" s="16">
        <f>IFERROR(__xludf.DUMMYFUNCTION("""COMPUTED_VALUE"""),0.471398305084745)</f>
        <v>0.4713983051</v>
      </c>
      <c r="O41" s="16">
        <f>IFERROR(__xludf.DUMMYFUNCTION("""COMPUTED_VALUE"""),0.407838983050847)</f>
        <v>0.4078389831</v>
      </c>
      <c r="P41" s="16">
        <f>IFERROR(__xludf.DUMMYFUNCTION("""COMPUTED_VALUE"""),0.264331210191082)</f>
        <v>0.2643312102</v>
      </c>
      <c r="Q41" s="16">
        <f>IFERROR(__xludf.DUMMYFUNCTION("""COMPUTED_VALUE"""),0.173959445037353)</f>
        <v>0.173959445</v>
      </c>
      <c r="R41" s="16">
        <f>IFERROR(__xludf.DUMMYFUNCTION("""COMPUTED_VALUE"""),0.133976420150053)</f>
        <v>0.1339764202</v>
      </c>
      <c r="S41" s="16">
        <f>IFERROR(__xludf.DUMMYFUNCTION("""COMPUTED_VALUE"""),0.0989247311827957)</f>
        <v>0.09892473118</v>
      </c>
      <c r="T41" s="16">
        <f>IFERROR(__xludf.DUMMYFUNCTION("""COMPUTED_VALUE"""),0.0642673521850899)</f>
        <v>0.06426735219</v>
      </c>
      <c r="U41" s="16">
        <f>IFERROR(__xludf.DUMMYFUNCTION("""COMPUTED_VALUE"""),0.0397727272727272)</f>
        <v>0.03977272727</v>
      </c>
      <c r="V41" s="16">
        <f>IFERROR(__xludf.DUMMYFUNCTION("""COMPUTED_VALUE"""),0.032258064516129)</f>
        <v>0.03225806452</v>
      </c>
      <c r="W41" s="16">
        <f>IFERROR(__xludf.DUMMYFUNCTION("""COMPUTED_VALUE"""),0.0100502512562814)</f>
        <v>0.01005025126</v>
      </c>
      <c r="X41" s="16">
        <f>IFERROR(__xludf.DUMMYFUNCTION("""COMPUTED_VALUE"""),0.0105263157894736)</f>
        <v>0.01052631579</v>
      </c>
      <c r="Y41" s="16">
        <f>IFERROR(__xludf.DUMMYFUNCTION("""COMPUTED_VALUE"""),0.0)</f>
        <v>0</v>
      </c>
      <c r="Z41" s="16">
        <f>IFERROR(__xludf.DUMMYFUNCTION("""COMPUTED_VALUE"""),0.0222222222222222)</f>
        <v>0.02222222222</v>
      </c>
      <c r="AA41" s="16">
        <f>IFERROR(__xludf.DUMMYFUNCTION("""COMPUTED_VALUE"""),0.0263157894736842)</f>
        <v>0.02631578947</v>
      </c>
      <c r="AB41" s="16">
        <f>IFERROR(__xludf.DUMMYFUNCTION("""COMPUTED_VALUE"""),0.03125)</f>
        <v>0.03125</v>
      </c>
      <c r="AC41" s="16">
        <f>IFERROR(__xludf.DUMMYFUNCTION("""COMPUTED_VALUE"""),0.037037037037037)</f>
        <v>0.03703703704</v>
      </c>
      <c r="AD41" s="16">
        <f>IFERROR(__xludf.DUMMYFUNCTION("""COMPUTED_VALUE"""),0.0)</f>
        <v>0</v>
      </c>
      <c r="AE41" s="16">
        <f>IFERROR(__xludf.DUMMYFUNCTION("""COMPUTED_VALUE"""),0.0)</f>
        <v>0</v>
      </c>
      <c r="AF41" s="16">
        <f>IFERROR(__xludf.DUMMYFUNCTION("""COMPUTED_VALUE"""),0.0)</f>
        <v>0</v>
      </c>
      <c r="AG41" s="16">
        <f>IFERROR(__xludf.DUMMYFUNCTION("""COMPUTED_VALUE"""),0.0)</f>
        <v>0</v>
      </c>
      <c r="AH41" s="16">
        <f>IFERROR(__xludf.DUMMYFUNCTION("""COMPUTED_VALUE"""),0.0)</f>
        <v>0</v>
      </c>
    </row>
    <row r="42">
      <c r="A42" s="16" t="str">
        <f>IFERROR(__xludf.DUMMYFUNCTION("""COMPUTED_VALUE"""),"23200139c53ab123429a0f621a7519272bf21ea7")</f>
        <v>23200139c53ab123429a0f621a7519272bf21ea7</v>
      </c>
      <c r="B42" s="16" t="str">
        <f>IFERROR(__xludf.DUMMYFUNCTION("""COMPUTED_VALUE"""),"The Fae Lycan Abomination")</f>
        <v>The Fae Lycan Abomination</v>
      </c>
      <c r="C42" s="16" t="str">
        <f>IFERROR(__xludf.DUMMYFUNCTION("""COMPUTED_VALUE"""),"Fantasy")</f>
        <v>Fantasy</v>
      </c>
      <c r="D42" s="16">
        <f>IFERROR(__xludf.DUMMYFUNCTION("""COMPUTED_VALUE"""),56.0)</f>
        <v>56</v>
      </c>
      <c r="E42" s="16">
        <f>IFERROR(__xludf.DUMMYFUNCTION("""COMPUTED_VALUE"""),0.964285714285714)</f>
        <v>0.9642857143</v>
      </c>
      <c r="F42" s="16">
        <f>IFERROR(__xludf.DUMMYFUNCTION("""COMPUTED_VALUE"""),0.363636363636363)</f>
        <v>0.3636363636</v>
      </c>
      <c r="G42" s="16">
        <f>IFERROR(__xludf.DUMMYFUNCTION("""COMPUTED_VALUE"""),0.222222222222222)</f>
        <v>0.2222222222</v>
      </c>
      <c r="H42" s="16">
        <f>IFERROR(__xludf.DUMMYFUNCTION("""COMPUTED_VALUE"""),0.185185185185185)</f>
        <v>0.1851851852</v>
      </c>
      <c r="I42" s="16">
        <f>IFERROR(__xludf.DUMMYFUNCTION("""COMPUTED_VALUE"""),0.166666666666666)</f>
        <v>0.1666666667</v>
      </c>
      <c r="J42" s="16">
        <f>IFERROR(__xludf.DUMMYFUNCTION("""COMPUTED_VALUE"""),0.0980392156862745)</f>
        <v>0.09803921569</v>
      </c>
      <c r="K42" s="16">
        <f>IFERROR(__xludf.DUMMYFUNCTION("""COMPUTED_VALUE"""),0.0980392156862745)</f>
        <v>0.09803921569</v>
      </c>
      <c r="L42" s="16">
        <f>IFERROR(__xludf.DUMMYFUNCTION("""COMPUTED_VALUE"""),0.0588235294117647)</f>
        <v>0.05882352941</v>
      </c>
      <c r="M42" s="16">
        <f>IFERROR(__xludf.DUMMYFUNCTION("""COMPUTED_VALUE"""),0.04)</f>
        <v>0.04</v>
      </c>
      <c r="N42" s="16">
        <f>IFERROR(__xludf.DUMMYFUNCTION("""COMPUTED_VALUE"""),0.0238095238095238)</f>
        <v>0.02380952381</v>
      </c>
      <c r="O42" s="16">
        <f>IFERROR(__xludf.DUMMYFUNCTION("""COMPUTED_VALUE"""),0.0416666666666666)</f>
        <v>0.04166666667</v>
      </c>
      <c r="P42" s="16">
        <f>IFERROR(__xludf.DUMMYFUNCTION("""COMPUTED_VALUE"""),0.111111111111111)</f>
        <v>0.1111111111</v>
      </c>
      <c r="Q42" s="16">
        <f>IFERROR(__xludf.DUMMYFUNCTION("""COMPUTED_VALUE"""),0.0)</f>
        <v>0</v>
      </c>
      <c r="R42" s="16">
        <f>IFERROR(__xludf.DUMMYFUNCTION("""COMPUTED_VALUE"""),0.0)</f>
        <v>0</v>
      </c>
      <c r="S42" s="16">
        <f>IFERROR(__xludf.DUMMYFUNCTION("""COMPUTED_VALUE"""),0.0)</f>
        <v>0</v>
      </c>
      <c r="T42" s="16">
        <f>IFERROR(__xludf.DUMMYFUNCTION("""COMPUTED_VALUE"""),0.0)</f>
        <v>0</v>
      </c>
      <c r="U42" s="16">
        <f>IFERROR(__xludf.DUMMYFUNCTION("""COMPUTED_VALUE"""),0.0)</f>
        <v>0</v>
      </c>
      <c r="V42" s="16">
        <f>IFERROR(__xludf.DUMMYFUNCTION("""COMPUTED_VALUE"""),0.0)</f>
        <v>0</v>
      </c>
      <c r="W42" s="16">
        <f>IFERROR(__xludf.DUMMYFUNCTION("""COMPUTED_VALUE"""),0.0)</f>
        <v>0</v>
      </c>
      <c r="X42" s="16">
        <f>IFERROR(__xludf.DUMMYFUNCTION("""COMPUTED_VALUE"""),0.0)</f>
        <v>0</v>
      </c>
      <c r="Y42" s="16">
        <f>IFERROR(__xludf.DUMMYFUNCTION("""COMPUTED_VALUE"""),0.0)</f>
        <v>0</v>
      </c>
      <c r="Z42" s="16">
        <f>IFERROR(__xludf.DUMMYFUNCTION("""COMPUTED_VALUE"""),0.0)</f>
        <v>0</v>
      </c>
      <c r="AA42" s="16">
        <f>IFERROR(__xludf.DUMMYFUNCTION("""COMPUTED_VALUE"""),0.0)</f>
        <v>0</v>
      </c>
      <c r="AB42" s="16">
        <f>IFERROR(__xludf.DUMMYFUNCTION("""COMPUTED_VALUE"""),0.0)</f>
        <v>0</v>
      </c>
      <c r="AC42" s="16">
        <f>IFERROR(__xludf.DUMMYFUNCTION("""COMPUTED_VALUE"""),0.0)</f>
        <v>0</v>
      </c>
      <c r="AD42" s="16">
        <f>IFERROR(__xludf.DUMMYFUNCTION("""COMPUTED_VALUE"""),0.0)</f>
        <v>0</v>
      </c>
      <c r="AE42" s="16">
        <f>IFERROR(__xludf.DUMMYFUNCTION("""COMPUTED_VALUE"""),0.0)</f>
        <v>0</v>
      </c>
      <c r="AF42" s="16">
        <f>IFERROR(__xludf.DUMMYFUNCTION("""COMPUTED_VALUE"""),0.0)</f>
        <v>0</v>
      </c>
      <c r="AG42" s="16">
        <f>IFERROR(__xludf.DUMMYFUNCTION("""COMPUTED_VALUE"""),0.0)</f>
        <v>0</v>
      </c>
      <c r="AH42" s="16">
        <f>IFERROR(__xludf.DUMMYFUNCTION("""COMPUTED_VALUE"""),0.0)</f>
        <v>0</v>
      </c>
    </row>
    <row r="43">
      <c r="A43" s="16" t="str">
        <f>IFERROR(__xludf.DUMMYFUNCTION("""COMPUTED_VALUE"""),"234ed47144507d63e9a903acfe37512c24bc9290")</f>
        <v>234ed47144507d63e9a903acfe37512c24bc9290</v>
      </c>
      <c r="B43" s="16" t="str">
        <f>IFERROR(__xludf.DUMMYFUNCTION("""COMPUTED_VALUE"""),"Twists of Love &amp; Revenge")</f>
        <v>Twists of Love &amp; Revenge</v>
      </c>
      <c r="C43" s="16" t="str">
        <f>IFERROR(__xludf.DUMMYFUNCTION("""COMPUTED_VALUE"""),"Romantasy")</f>
        <v>Romantasy</v>
      </c>
      <c r="D43" s="16">
        <f>IFERROR(__xludf.DUMMYFUNCTION("""COMPUTED_VALUE"""),995.0)</f>
        <v>995</v>
      </c>
      <c r="E43" s="16">
        <f>IFERROR(__xludf.DUMMYFUNCTION("""COMPUTED_VALUE"""),0.950753768844221)</f>
        <v>0.9507537688</v>
      </c>
      <c r="F43" s="16">
        <f>IFERROR(__xludf.DUMMYFUNCTION("""COMPUTED_VALUE"""),0.67537688442211)</f>
        <v>0.6753768844</v>
      </c>
      <c r="G43" s="16">
        <f>IFERROR(__xludf.DUMMYFUNCTION("""COMPUTED_VALUE"""),0.633165829145728)</f>
        <v>0.6331658291</v>
      </c>
      <c r="H43" s="16">
        <f>IFERROR(__xludf.DUMMYFUNCTION("""COMPUTED_VALUE"""),0.578894472361809)</f>
        <v>0.5788944724</v>
      </c>
      <c r="I43" s="16">
        <f>IFERROR(__xludf.DUMMYFUNCTION("""COMPUTED_VALUE"""),0.558793969849246)</f>
        <v>0.5587939698</v>
      </c>
      <c r="J43" s="16">
        <f>IFERROR(__xludf.DUMMYFUNCTION("""COMPUTED_VALUE"""),0.547283702213279)</f>
        <v>0.5472837022</v>
      </c>
      <c r="K43" s="16">
        <f>IFERROR(__xludf.DUMMYFUNCTION("""COMPUTED_VALUE"""),0.530715005035246)</f>
        <v>0.530715005</v>
      </c>
      <c r="L43" s="16">
        <f>IFERROR(__xludf.DUMMYFUNCTION("""COMPUTED_VALUE"""),0.515640766902119)</f>
        <v>0.5156407669</v>
      </c>
      <c r="M43" s="16">
        <f>IFERROR(__xludf.DUMMYFUNCTION("""COMPUTED_VALUE"""),0.497477295660948)</f>
        <v>0.4974772957</v>
      </c>
      <c r="N43" s="16">
        <f>IFERROR(__xludf.DUMMYFUNCTION("""COMPUTED_VALUE"""),0.489404641775983)</f>
        <v>0.4894046418</v>
      </c>
      <c r="O43" s="16">
        <f>IFERROR(__xludf.DUMMYFUNCTION("""COMPUTED_VALUE"""),0.461071789686552)</f>
        <v>0.4610717897</v>
      </c>
      <c r="P43" s="16">
        <f>IFERROR(__xludf.DUMMYFUNCTION("""COMPUTED_VALUE"""),0.404471544715447)</f>
        <v>0.4044715447</v>
      </c>
      <c r="Q43" s="16">
        <f>IFERROR(__xludf.DUMMYFUNCTION("""COMPUTED_VALUE"""),0.326509723643807)</f>
        <v>0.3265097236</v>
      </c>
      <c r="R43" s="16">
        <f>IFERROR(__xludf.DUMMYFUNCTION("""COMPUTED_VALUE"""),0.242018537590113)</f>
        <v>0.2420185376</v>
      </c>
      <c r="S43" s="16">
        <f>IFERROR(__xludf.DUMMYFUNCTION("""COMPUTED_VALUE"""),0.216356107660455)</f>
        <v>0.2163561077</v>
      </c>
      <c r="T43" s="16">
        <f>IFERROR(__xludf.DUMMYFUNCTION("""COMPUTED_VALUE"""),0.207507820646506)</f>
        <v>0.2075078206</v>
      </c>
      <c r="U43" s="16">
        <f>IFERROR(__xludf.DUMMYFUNCTION("""COMPUTED_VALUE"""),0.182863113897596)</f>
        <v>0.1828631139</v>
      </c>
      <c r="V43" s="16">
        <f>IFERROR(__xludf.DUMMYFUNCTION("""COMPUTED_VALUE"""),0.176544766708701)</f>
        <v>0.1765447667</v>
      </c>
      <c r="W43" s="16">
        <f>IFERROR(__xludf.DUMMYFUNCTION("""COMPUTED_VALUE"""),0.17391304347826)</f>
        <v>0.1739130435</v>
      </c>
      <c r="X43" s="16">
        <f>IFERROR(__xludf.DUMMYFUNCTION("""COMPUTED_VALUE"""),0.16016713091922)</f>
        <v>0.1601671309</v>
      </c>
      <c r="Y43" s="16">
        <f>IFERROR(__xludf.DUMMYFUNCTION("""COMPUTED_VALUE"""),0.151212553495007)</f>
        <v>0.1512125535</v>
      </c>
      <c r="Z43" s="16">
        <f>IFERROR(__xludf.DUMMYFUNCTION("""COMPUTED_VALUE"""),0.137724550898203)</f>
        <v>0.1377245509</v>
      </c>
      <c r="AA43" s="16">
        <f>IFERROR(__xludf.DUMMYFUNCTION("""COMPUTED_VALUE"""),0.127692307692307)</f>
        <v>0.1276923077</v>
      </c>
      <c r="AB43" s="16">
        <f>IFERROR(__xludf.DUMMYFUNCTION("""COMPUTED_VALUE"""),0.120063191153238)</f>
        <v>0.1200631912</v>
      </c>
      <c r="AC43" s="16">
        <f>IFERROR(__xludf.DUMMYFUNCTION("""COMPUTED_VALUE"""),0.106529209621993)</f>
        <v>0.1065292096</v>
      </c>
      <c r="AD43" s="16">
        <f>IFERROR(__xludf.DUMMYFUNCTION("""COMPUTED_VALUE"""),0.0489913544668587)</f>
        <v>0.04899135447</v>
      </c>
      <c r="AE43" s="16">
        <f>IFERROR(__xludf.DUMMYFUNCTION("""COMPUTED_VALUE"""),0.0232558139534883)</f>
        <v>0.02325581395</v>
      </c>
      <c r="AF43" s="16">
        <f>IFERROR(__xludf.DUMMYFUNCTION("""COMPUTED_VALUE"""),0.0181818181818181)</f>
        <v>0.01818181818</v>
      </c>
      <c r="AG43" s="16">
        <f>IFERROR(__xludf.DUMMYFUNCTION("""COMPUTED_VALUE"""),0.0)</f>
        <v>0</v>
      </c>
      <c r="AH43" s="16">
        <f>IFERROR(__xludf.DUMMYFUNCTION("""COMPUTED_VALUE"""),0.0)</f>
        <v>0</v>
      </c>
    </row>
    <row r="44">
      <c r="A44" s="16" t="str">
        <f>IFERROR(__xludf.DUMMYFUNCTION("""COMPUTED_VALUE"""),"239987644f409ac822be4ca9051a98eb8bf7e766")</f>
        <v>239987644f409ac822be4ca9051a98eb8bf7e766</v>
      </c>
      <c r="B44" s="16" t="str">
        <f>IFERROR(__xludf.DUMMYFUNCTION("""COMPUTED_VALUE"""),"The Silent Rebirth")</f>
        <v>The Silent Rebirth</v>
      </c>
      <c r="C44" s="16" t="str">
        <f>IFERROR(__xludf.DUMMYFUNCTION("""COMPUTED_VALUE"""),"Romantasy")</f>
        <v>Romantasy</v>
      </c>
      <c r="D44" s="16">
        <f>IFERROR(__xludf.DUMMYFUNCTION("""COMPUTED_VALUE"""),1169.0)</f>
        <v>1169</v>
      </c>
      <c r="E44" s="16">
        <f>IFERROR(__xludf.DUMMYFUNCTION("""COMPUTED_VALUE"""),0.980325064157399)</f>
        <v>0.9803250642</v>
      </c>
      <c r="F44" s="16">
        <f>IFERROR(__xludf.DUMMYFUNCTION("""COMPUTED_VALUE"""),0.497861420017108)</f>
        <v>0.49786142</v>
      </c>
      <c r="G44" s="16">
        <f>IFERROR(__xludf.DUMMYFUNCTION("""COMPUTED_VALUE"""),0.436270316509837)</f>
        <v>0.4362703165</v>
      </c>
      <c r="H44" s="16">
        <f>IFERROR(__xludf.DUMMYFUNCTION("""COMPUTED_VALUE"""),0.406330196749358)</f>
        <v>0.4063301967</v>
      </c>
      <c r="I44" s="16">
        <f>IFERROR(__xludf.DUMMYFUNCTION("""COMPUTED_VALUE"""),0.388366124893071)</f>
        <v>0.3883661249</v>
      </c>
      <c r="J44" s="16">
        <f>IFERROR(__xludf.DUMMYFUNCTION("""COMPUTED_VALUE"""),0.373823781009409)</f>
        <v>0.373823781</v>
      </c>
      <c r="K44" s="16">
        <f>IFERROR(__xludf.DUMMYFUNCTION("""COMPUTED_VALUE"""),0.351582549187339)</f>
        <v>0.3515825492</v>
      </c>
      <c r="L44" s="16">
        <f>IFERROR(__xludf.DUMMYFUNCTION("""COMPUTED_VALUE"""),0.334473909324208)</f>
        <v>0.3344739093</v>
      </c>
      <c r="M44" s="16">
        <f>IFERROR(__xludf.DUMMYFUNCTION("""COMPUTED_VALUE"""),0.325064157399486)</f>
        <v>0.3250641574</v>
      </c>
      <c r="N44" s="16">
        <f>IFERROR(__xludf.DUMMYFUNCTION("""COMPUTED_VALUE"""),0.315654405474764)</f>
        <v>0.3156544055</v>
      </c>
      <c r="O44" s="16">
        <f>IFERROR(__xludf.DUMMYFUNCTION("""COMPUTED_VALUE"""),0.298545765611633)</f>
        <v>0.2985457656</v>
      </c>
      <c r="P44" s="16">
        <f>IFERROR(__xludf.DUMMYFUNCTION("""COMPUTED_VALUE"""),0.239279588336192)</f>
        <v>0.2392795883</v>
      </c>
      <c r="Q44" s="16">
        <f>IFERROR(__xludf.DUMMYFUNCTION("""COMPUTED_VALUE"""),0.156896551724137)</f>
        <v>0.1568965517</v>
      </c>
      <c r="R44" s="16">
        <f>IFERROR(__xludf.DUMMYFUNCTION("""COMPUTED_VALUE"""),0.12563323201621)</f>
        <v>0.125633232</v>
      </c>
      <c r="S44" s="16">
        <f>IFERROR(__xludf.DUMMYFUNCTION("""COMPUTED_VALUE"""),0.119170984455958)</f>
        <v>0.1191709845</v>
      </c>
      <c r="T44" s="16">
        <f>IFERROR(__xludf.DUMMYFUNCTION("""COMPUTED_VALUE"""),0.104234527687296)</f>
        <v>0.1042345277</v>
      </c>
      <c r="U44" s="16">
        <f>IFERROR(__xludf.DUMMYFUNCTION("""COMPUTED_VALUE"""),0.0817843866171003)</f>
        <v>0.08178438662</v>
      </c>
      <c r="V44" s="16">
        <f>IFERROR(__xludf.DUMMYFUNCTION("""COMPUTED_VALUE"""),0.0688775510204081)</f>
        <v>0.06887755102</v>
      </c>
      <c r="W44" s="16">
        <f>IFERROR(__xludf.DUMMYFUNCTION("""COMPUTED_VALUE"""),0.0733590733590733)</f>
        <v>0.07335907336</v>
      </c>
      <c r="X44" s="16">
        <f>IFERROR(__xludf.DUMMYFUNCTION("""COMPUTED_VALUE"""),0.0681818181818181)</f>
        <v>0.06818181818</v>
      </c>
      <c r="Y44" s="16">
        <f>IFERROR(__xludf.DUMMYFUNCTION("""COMPUTED_VALUE"""),0.0212765957446808)</f>
        <v>0.02127659574</v>
      </c>
      <c r="Z44" s="16">
        <f>IFERROR(__xludf.DUMMYFUNCTION("""COMPUTED_VALUE"""),0.0)</f>
        <v>0</v>
      </c>
      <c r="AA44" s="16">
        <f>IFERROR(__xludf.DUMMYFUNCTION("""COMPUTED_VALUE"""),0.0)</f>
        <v>0</v>
      </c>
      <c r="AB44" s="16">
        <f>IFERROR(__xludf.DUMMYFUNCTION("""COMPUTED_VALUE"""),0.0)</f>
        <v>0</v>
      </c>
      <c r="AC44" s="16">
        <f>IFERROR(__xludf.DUMMYFUNCTION("""COMPUTED_VALUE"""),0.0)</f>
        <v>0</v>
      </c>
      <c r="AD44" s="16">
        <f>IFERROR(__xludf.DUMMYFUNCTION("""COMPUTED_VALUE"""),0.0)</f>
        <v>0</v>
      </c>
      <c r="AE44" s="16">
        <f>IFERROR(__xludf.DUMMYFUNCTION("""COMPUTED_VALUE"""),0.0)</f>
        <v>0</v>
      </c>
      <c r="AF44" s="16">
        <f>IFERROR(__xludf.DUMMYFUNCTION("""COMPUTED_VALUE"""),0.0)</f>
        <v>0</v>
      </c>
      <c r="AG44" s="16">
        <f>IFERROR(__xludf.DUMMYFUNCTION("""COMPUTED_VALUE"""),0.0)</f>
        <v>0</v>
      </c>
      <c r="AH44" s="16">
        <f>IFERROR(__xludf.DUMMYFUNCTION("""COMPUTED_VALUE"""),0.0)</f>
        <v>0</v>
      </c>
    </row>
    <row r="45">
      <c r="A45" s="16" t="str">
        <f>IFERROR(__xludf.DUMMYFUNCTION("""COMPUTED_VALUE"""),"239fafc880752526fba110a11c49b101aec7192f")</f>
        <v>239fafc880752526fba110a11c49b101aec7192f</v>
      </c>
      <c r="B45" s="16" t="str">
        <f>IFERROR(__xludf.DUMMYFUNCTION("""COMPUTED_VALUE"""),"Mama's Lil Kings")</f>
        <v>Mama's Lil Kings</v>
      </c>
      <c r="C45" s="16" t="str">
        <f>IFERROR(__xludf.DUMMYFUNCTION("""COMPUTED_VALUE"""),"Drama")</f>
        <v>Drama</v>
      </c>
      <c r="D45" s="16">
        <f>IFERROR(__xludf.DUMMYFUNCTION("""COMPUTED_VALUE"""),15.0)</f>
        <v>15</v>
      </c>
      <c r="E45" s="16">
        <f>IFERROR(__xludf.DUMMYFUNCTION("""COMPUTED_VALUE"""),1.0)</f>
        <v>1</v>
      </c>
      <c r="F45" s="16">
        <f>IFERROR(__xludf.DUMMYFUNCTION("""COMPUTED_VALUE"""),0.2)</f>
        <v>0.2</v>
      </c>
      <c r="G45" s="16">
        <f>IFERROR(__xludf.DUMMYFUNCTION("""COMPUTED_VALUE"""),0.2)</f>
        <v>0.2</v>
      </c>
      <c r="H45" s="16">
        <f>IFERROR(__xludf.DUMMYFUNCTION("""COMPUTED_VALUE"""),0.133333333333333)</f>
        <v>0.1333333333</v>
      </c>
      <c r="I45" s="16">
        <f>IFERROR(__xludf.DUMMYFUNCTION("""COMPUTED_VALUE"""),0.133333333333333)</f>
        <v>0.1333333333</v>
      </c>
      <c r="J45" s="16">
        <f>IFERROR(__xludf.DUMMYFUNCTION("""COMPUTED_VALUE"""),0.133333333333333)</f>
        <v>0.1333333333</v>
      </c>
      <c r="K45" s="16">
        <f>IFERROR(__xludf.DUMMYFUNCTION("""COMPUTED_VALUE"""),0.133333333333333)</f>
        <v>0.1333333333</v>
      </c>
      <c r="L45" s="16">
        <f>IFERROR(__xludf.DUMMYFUNCTION("""COMPUTED_VALUE"""),0.133333333333333)</f>
        <v>0.1333333333</v>
      </c>
      <c r="M45" s="16">
        <f>IFERROR(__xludf.DUMMYFUNCTION("""COMPUTED_VALUE"""),0.133333333333333)</f>
        <v>0.1333333333</v>
      </c>
      <c r="N45" s="16">
        <f>IFERROR(__xludf.DUMMYFUNCTION("""COMPUTED_VALUE"""),0.133333333333333)</f>
        <v>0.1333333333</v>
      </c>
      <c r="O45" s="16">
        <f>IFERROR(__xludf.DUMMYFUNCTION("""COMPUTED_VALUE"""),0.133333333333333)</f>
        <v>0.1333333333</v>
      </c>
      <c r="P45" s="16">
        <f>IFERROR(__xludf.DUMMYFUNCTION("""COMPUTED_VALUE"""),0.133333333333333)</f>
        <v>0.1333333333</v>
      </c>
      <c r="Q45" s="16">
        <f>IFERROR(__xludf.DUMMYFUNCTION("""COMPUTED_VALUE"""),0.133333333333333)</f>
        <v>0.1333333333</v>
      </c>
      <c r="R45" s="16">
        <f>IFERROR(__xludf.DUMMYFUNCTION("""COMPUTED_VALUE"""),0.0714285714285714)</f>
        <v>0.07142857143</v>
      </c>
      <c r="S45" s="16">
        <f>IFERROR(__xludf.DUMMYFUNCTION("""COMPUTED_VALUE"""),0.0)</f>
        <v>0</v>
      </c>
      <c r="T45" s="16">
        <f>IFERROR(__xludf.DUMMYFUNCTION("""COMPUTED_VALUE"""),0.0714285714285714)</f>
        <v>0.07142857143</v>
      </c>
      <c r="U45" s="16">
        <f>IFERROR(__xludf.DUMMYFUNCTION("""COMPUTED_VALUE"""),0.0833333333333333)</f>
        <v>0.08333333333</v>
      </c>
      <c r="V45" s="16">
        <f>IFERROR(__xludf.DUMMYFUNCTION("""COMPUTED_VALUE"""),0.0909090909090909)</f>
        <v>0.09090909091</v>
      </c>
      <c r="W45" s="16">
        <f>IFERROR(__xludf.DUMMYFUNCTION("""COMPUTED_VALUE"""),0.111111111111111)</f>
        <v>0.1111111111</v>
      </c>
      <c r="X45" s="16">
        <f>IFERROR(__xludf.DUMMYFUNCTION("""COMPUTED_VALUE"""),0.111111111111111)</f>
        <v>0.1111111111</v>
      </c>
      <c r="Y45" s="16">
        <f>IFERROR(__xludf.DUMMYFUNCTION("""COMPUTED_VALUE"""),0.0)</f>
        <v>0</v>
      </c>
      <c r="Z45" s="16">
        <f>IFERROR(__xludf.DUMMYFUNCTION("""COMPUTED_VALUE"""),0.0)</f>
        <v>0</v>
      </c>
      <c r="AA45" s="16">
        <f>IFERROR(__xludf.DUMMYFUNCTION("""COMPUTED_VALUE"""),0.0)</f>
        <v>0</v>
      </c>
      <c r="AB45" s="16">
        <f>IFERROR(__xludf.DUMMYFUNCTION("""COMPUTED_VALUE"""),0.0)</f>
        <v>0</v>
      </c>
      <c r="AC45" s="16">
        <f>IFERROR(__xludf.DUMMYFUNCTION("""COMPUTED_VALUE"""),0.0)</f>
        <v>0</v>
      </c>
      <c r="AD45" s="16">
        <f>IFERROR(__xludf.DUMMYFUNCTION("""COMPUTED_VALUE"""),0.0)</f>
        <v>0</v>
      </c>
      <c r="AE45" s="16">
        <f>IFERROR(__xludf.DUMMYFUNCTION("""COMPUTED_VALUE"""),0.0)</f>
        <v>0</v>
      </c>
      <c r="AF45" s="16">
        <f>IFERROR(__xludf.DUMMYFUNCTION("""COMPUTED_VALUE"""),0.0)</f>
        <v>0</v>
      </c>
      <c r="AG45" s="16">
        <f>IFERROR(__xludf.DUMMYFUNCTION("""COMPUTED_VALUE"""),0.0)</f>
        <v>0</v>
      </c>
      <c r="AH45" s="16">
        <f>IFERROR(__xludf.DUMMYFUNCTION("""COMPUTED_VALUE"""),0.0)</f>
        <v>0</v>
      </c>
    </row>
    <row r="46">
      <c r="A46" s="16" t="str">
        <f>IFERROR(__xludf.DUMMYFUNCTION("""COMPUTED_VALUE"""),"23a0bb3d5deb8d4707bdb34175170e288d724c97")</f>
        <v>23a0bb3d5deb8d4707bdb34175170e288d724c97</v>
      </c>
      <c r="B46" s="16" t="str">
        <f>IFERROR(__xludf.DUMMYFUNCTION("""COMPUTED_VALUE"""),"System of Super Tech")</f>
        <v>System of Super Tech</v>
      </c>
      <c r="C46" s="16" t="str">
        <f>IFERROR(__xludf.DUMMYFUNCTION("""COMPUTED_VALUE"""),"System and Superpower")</f>
        <v>System and Superpower</v>
      </c>
      <c r="D46" s="16">
        <f>IFERROR(__xludf.DUMMYFUNCTION("""COMPUTED_VALUE"""),553.0)</f>
        <v>553</v>
      </c>
      <c r="E46" s="16">
        <f>IFERROR(__xludf.DUMMYFUNCTION("""COMPUTED_VALUE"""),0.983725135623869)</f>
        <v>0.9837251356</v>
      </c>
      <c r="F46" s="16">
        <f>IFERROR(__xludf.DUMMYFUNCTION("""COMPUTED_VALUE"""),0.542495479204339)</f>
        <v>0.5424954792</v>
      </c>
      <c r="G46" s="16">
        <f>IFERROR(__xludf.DUMMYFUNCTION("""COMPUTED_VALUE"""),0.446654611211573)</f>
        <v>0.4466546112</v>
      </c>
      <c r="H46" s="16">
        <f>IFERROR(__xludf.DUMMYFUNCTION("""COMPUTED_VALUE"""),0.417721518987341)</f>
        <v>0.417721519</v>
      </c>
      <c r="I46" s="16">
        <f>IFERROR(__xludf.DUMMYFUNCTION("""COMPUTED_VALUE"""),0.389492753623188)</f>
        <v>0.3894927536</v>
      </c>
      <c r="J46" s="16">
        <f>IFERROR(__xludf.DUMMYFUNCTION("""COMPUTED_VALUE"""),0.361161524500907)</f>
        <v>0.3611615245</v>
      </c>
      <c r="K46" s="16">
        <f>IFERROR(__xludf.DUMMYFUNCTION("""COMPUTED_VALUE"""),0.346642468239564)</f>
        <v>0.3466424682</v>
      </c>
      <c r="L46" s="16">
        <f>IFERROR(__xludf.DUMMYFUNCTION("""COMPUTED_VALUE"""),0.32051282051282)</f>
        <v>0.3205128205</v>
      </c>
      <c r="M46" s="16">
        <f>IFERROR(__xludf.DUMMYFUNCTION("""COMPUTED_VALUE"""),0.306422018348623)</f>
        <v>0.3064220183</v>
      </c>
      <c r="N46" s="16">
        <f>IFERROR(__xludf.DUMMYFUNCTION("""COMPUTED_VALUE"""),0.282809611829944)</f>
        <v>0.2828096118</v>
      </c>
      <c r="O46" s="16">
        <f>IFERROR(__xludf.DUMMYFUNCTION("""COMPUTED_VALUE"""),0.207920792079207)</f>
        <v>0.2079207921</v>
      </c>
      <c r="P46" s="16">
        <f>IFERROR(__xludf.DUMMYFUNCTION("""COMPUTED_VALUE"""),0.15)</f>
        <v>0.15</v>
      </c>
      <c r="Q46" s="16">
        <f>IFERROR(__xludf.DUMMYFUNCTION("""COMPUTED_VALUE"""),0.0333333333333333)</f>
        <v>0.03333333333</v>
      </c>
      <c r="R46" s="16">
        <f>IFERROR(__xludf.DUMMYFUNCTION("""COMPUTED_VALUE"""),0.0)</f>
        <v>0</v>
      </c>
      <c r="S46" s="16">
        <f>IFERROR(__xludf.DUMMYFUNCTION("""COMPUTED_VALUE"""),0.0)</f>
        <v>0</v>
      </c>
      <c r="T46" s="16">
        <f>IFERROR(__xludf.DUMMYFUNCTION("""COMPUTED_VALUE"""),0.0)</f>
        <v>0</v>
      </c>
      <c r="U46" s="16">
        <f>IFERROR(__xludf.DUMMYFUNCTION("""COMPUTED_VALUE"""),0.0)</f>
        <v>0</v>
      </c>
      <c r="V46" s="16">
        <f>IFERROR(__xludf.DUMMYFUNCTION("""COMPUTED_VALUE"""),0.0)</f>
        <v>0</v>
      </c>
      <c r="W46" s="16">
        <f>IFERROR(__xludf.DUMMYFUNCTION("""COMPUTED_VALUE"""),0.0)</f>
        <v>0</v>
      </c>
      <c r="X46" s="16">
        <f>IFERROR(__xludf.DUMMYFUNCTION("""COMPUTED_VALUE"""),0.0)</f>
        <v>0</v>
      </c>
      <c r="Y46" s="16">
        <f>IFERROR(__xludf.DUMMYFUNCTION("""COMPUTED_VALUE"""),0.0)</f>
        <v>0</v>
      </c>
      <c r="Z46" s="16">
        <f>IFERROR(__xludf.DUMMYFUNCTION("""COMPUTED_VALUE"""),0.0)</f>
        <v>0</v>
      </c>
      <c r="AA46" s="16">
        <f>IFERROR(__xludf.DUMMYFUNCTION("""COMPUTED_VALUE"""),0.0)</f>
        <v>0</v>
      </c>
      <c r="AB46" s="16">
        <f>IFERROR(__xludf.DUMMYFUNCTION("""COMPUTED_VALUE"""),0.0)</f>
        <v>0</v>
      </c>
      <c r="AC46" s="16">
        <f>IFERROR(__xludf.DUMMYFUNCTION("""COMPUTED_VALUE"""),0.0)</f>
        <v>0</v>
      </c>
      <c r="AD46" s="16">
        <f>IFERROR(__xludf.DUMMYFUNCTION("""COMPUTED_VALUE"""),0.0)</f>
        <v>0</v>
      </c>
      <c r="AE46" s="16">
        <f>IFERROR(__xludf.DUMMYFUNCTION("""COMPUTED_VALUE"""),0.0)</f>
        <v>0</v>
      </c>
      <c r="AF46" s="16">
        <f>IFERROR(__xludf.DUMMYFUNCTION("""COMPUTED_VALUE"""),0.0)</f>
        <v>0</v>
      </c>
      <c r="AG46" s="16">
        <f>IFERROR(__xludf.DUMMYFUNCTION("""COMPUTED_VALUE"""),0.0)</f>
        <v>0</v>
      </c>
      <c r="AH46" s="16">
        <f>IFERROR(__xludf.DUMMYFUNCTION("""COMPUTED_VALUE"""),0.0)</f>
        <v>0</v>
      </c>
    </row>
    <row r="47">
      <c r="A47" s="16" t="str">
        <f>IFERROR(__xludf.DUMMYFUNCTION("""COMPUTED_VALUE"""),"247dcedeaecc161909c6ddd57b599f4e38d758d8")</f>
        <v>247dcedeaecc161909c6ddd57b599f4e38d758d8</v>
      </c>
      <c r="B47" s="16" t="str">
        <f>IFERROR(__xludf.DUMMYFUNCTION("""COMPUTED_VALUE"""),"A Christmas of Betrayals")</f>
        <v>A Christmas of Betrayals</v>
      </c>
      <c r="C47" s="16" t="str">
        <f>IFERROR(__xludf.DUMMYFUNCTION("""COMPUTED_VALUE"""),"Romance")</f>
        <v>Romance</v>
      </c>
      <c r="D47" s="16">
        <f>IFERROR(__xludf.DUMMYFUNCTION("""COMPUTED_VALUE"""),28.0)</f>
        <v>28</v>
      </c>
      <c r="E47" s="16">
        <f>IFERROR(__xludf.DUMMYFUNCTION("""COMPUTED_VALUE"""),0.928571428571428)</f>
        <v>0.9285714286</v>
      </c>
      <c r="F47" s="16">
        <f>IFERROR(__xludf.DUMMYFUNCTION("""COMPUTED_VALUE"""),0.678571428571428)</f>
        <v>0.6785714286</v>
      </c>
      <c r="G47" s="16">
        <f>IFERROR(__xludf.DUMMYFUNCTION("""COMPUTED_VALUE"""),0.607142857142857)</f>
        <v>0.6071428571</v>
      </c>
      <c r="H47" s="16">
        <f>IFERROR(__xludf.DUMMYFUNCTION("""COMPUTED_VALUE"""),0.5)</f>
        <v>0.5</v>
      </c>
      <c r="I47" s="16">
        <f>IFERROR(__xludf.DUMMYFUNCTION("""COMPUTED_VALUE"""),0.428571428571428)</f>
        <v>0.4285714286</v>
      </c>
      <c r="J47" s="16">
        <f>IFERROR(__xludf.DUMMYFUNCTION("""COMPUTED_VALUE"""),0.428571428571428)</f>
        <v>0.4285714286</v>
      </c>
      <c r="K47" s="16">
        <f>IFERROR(__xludf.DUMMYFUNCTION("""COMPUTED_VALUE"""),0.428571428571428)</f>
        <v>0.4285714286</v>
      </c>
      <c r="L47" s="16">
        <f>IFERROR(__xludf.DUMMYFUNCTION("""COMPUTED_VALUE"""),0.321428571428571)</f>
        <v>0.3214285714</v>
      </c>
      <c r="M47" s="16">
        <f>IFERROR(__xludf.DUMMYFUNCTION("""COMPUTED_VALUE"""),0.285714285714285)</f>
        <v>0.2857142857</v>
      </c>
      <c r="N47" s="16">
        <f>IFERROR(__xludf.DUMMYFUNCTION("""COMPUTED_VALUE"""),0.25)</f>
        <v>0.25</v>
      </c>
      <c r="O47" s="16">
        <f>IFERROR(__xludf.DUMMYFUNCTION("""COMPUTED_VALUE"""),0.178571428571428)</f>
        <v>0.1785714286</v>
      </c>
      <c r="P47" s="16">
        <f>IFERROR(__xludf.DUMMYFUNCTION("""COMPUTED_VALUE"""),0.214285714285714)</f>
        <v>0.2142857143</v>
      </c>
      <c r="Q47" s="16">
        <f>IFERROR(__xludf.DUMMYFUNCTION("""COMPUTED_VALUE"""),0.0833333333333333)</f>
        <v>0.08333333333</v>
      </c>
      <c r="R47" s="16">
        <f>IFERROR(__xludf.DUMMYFUNCTION("""COMPUTED_VALUE"""),0.0)</f>
        <v>0</v>
      </c>
      <c r="S47" s="16">
        <f>IFERROR(__xludf.DUMMYFUNCTION("""COMPUTED_VALUE"""),0.0)</f>
        <v>0</v>
      </c>
      <c r="T47" s="16">
        <f>IFERROR(__xludf.DUMMYFUNCTION("""COMPUTED_VALUE"""),0.0)</f>
        <v>0</v>
      </c>
      <c r="U47" s="16">
        <f>IFERROR(__xludf.DUMMYFUNCTION("""COMPUTED_VALUE"""),0.0)</f>
        <v>0</v>
      </c>
      <c r="V47" s="16">
        <f>IFERROR(__xludf.DUMMYFUNCTION("""COMPUTED_VALUE"""),0.0)</f>
        <v>0</v>
      </c>
      <c r="W47" s="16">
        <f>IFERROR(__xludf.DUMMYFUNCTION("""COMPUTED_VALUE"""),0.0)</f>
        <v>0</v>
      </c>
      <c r="X47" s="16">
        <f>IFERROR(__xludf.DUMMYFUNCTION("""COMPUTED_VALUE"""),0.0)</f>
        <v>0</v>
      </c>
      <c r="Y47" s="16">
        <f>IFERROR(__xludf.DUMMYFUNCTION("""COMPUTED_VALUE"""),0.0)</f>
        <v>0</v>
      </c>
      <c r="Z47" s="16">
        <f>IFERROR(__xludf.DUMMYFUNCTION("""COMPUTED_VALUE"""),0.0)</f>
        <v>0</v>
      </c>
      <c r="AA47" s="16">
        <f>IFERROR(__xludf.DUMMYFUNCTION("""COMPUTED_VALUE"""),0.0)</f>
        <v>0</v>
      </c>
      <c r="AB47" s="16">
        <f>IFERROR(__xludf.DUMMYFUNCTION("""COMPUTED_VALUE"""),0.0)</f>
        <v>0</v>
      </c>
      <c r="AC47" s="16">
        <f>IFERROR(__xludf.DUMMYFUNCTION("""COMPUTED_VALUE"""),0.0)</f>
        <v>0</v>
      </c>
      <c r="AD47" s="16">
        <f>IFERROR(__xludf.DUMMYFUNCTION("""COMPUTED_VALUE"""),0.0)</f>
        <v>0</v>
      </c>
      <c r="AE47" s="16">
        <f>IFERROR(__xludf.DUMMYFUNCTION("""COMPUTED_VALUE"""),0.0)</f>
        <v>0</v>
      </c>
      <c r="AF47" s="16">
        <f>IFERROR(__xludf.DUMMYFUNCTION("""COMPUTED_VALUE"""),0.0)</f>
        <v>0</v>
      </c>
      <c r="AG47" s="16">
        <f>IFERROR(__xludf.DUMMYFUNCTION("""COMPUTED_VALUE"""),0.0)</f>
        <v>0</v>
      </c>
      <c r="AH47" s="16">
        <f>IFERROR(__xludf.DUMMYFUNCTION("""COMPUTED_VALUE"""),0.0)</f>
        <v>0</v>
      </c>
    </row>
    <row r="48">
      <c r="A48" s="16" t="str">
        <f>IFERROR(__xludf.DUMMYFUNCTION("""COMPUTED_VALUE"""),"248aae390e84177edc04ecc06fac6c17aed375ff")</f>
        <v>248aae390e84177edc04ecc06fac6c17aed375ff</v>
      </c>
      <c r="B48" s="16" t="str">
        <f>IFERROR(__xludf.DUMMYFUNCTION("""COMPUTED_VALUE"""),"Silver Onyx: Dragonbound")</f>
        <v>Silver Onyx: Dragonbound</v>
      </c>
      <c r="C48" s="16" t="str">
        <f>IFERROR(__xludf.DUMMYFUNCTION("""COMPUTED_VALUE"""),"Romantasy")</f>
        <v>Romantasy</v>
      </c>
      <c r="D48" s="16">
        <f>IFERROR(__xludf.DUMMYFUNCTION("""COMPUTED_VALUE"""),178.0)</f>
        <v>178</v>
      </c>
      <c r="E48" s="16">
        <f>IFERROR(__xludf.DUMMYFUNCTION("""COMPUTED_VALUE"""),0.96629213483146)</f>
        <v>0.9662921348</v>
      </c>
      <c r="F48" s="16">
        <f>IFERROR(__xludf.DUMMYFUNCTION("""COMPUTED_VALUE"""),0.617977528089887)</f>
        <v>0.6179775281</v>
      </c>
      <c r="G48" s="16">
        <f>IFERROR(__xludf.DUMMYFUNCTION("""COMPUTED_VALUE"""),0.550561797752809)</f>
        <v>0.5505617978</v>
      </c>
      <c r="H48" s="16">
        <f>IFERROR(__xludf.DUMMYFUNCTION("""COMPUTED_VALUE"""),0.528089887640449)</f>
        <v>0.5280898876</v>
      </c>
      <c r="I48" s="16">
        <f>IFERROR(__xludf.DUMMYFUNCTION("""COMPUTED_VALUE"""),0.516853932584269)</f>
        <v>0.5168539326</v>
      </c>
      <c r="J48" s="16">
        <f>IFERROR(__xludf.DUMMYFUNCTION("""COMPUTED_VALUE"""),0.511235955056179)</f>
        <v>0.5112359551</v>
      </c>
      <c r="K48" s="16">
        <f>IFERROR(__xludf.DUMMYFUNCTION("""COMPUTED_VALUE"""),0.482954545454545)</f>
        <v>0.4829545455</v>
      </c>
      <c r="L48" s="16">
        <f>IFERROR(__xludf.DUMMYFUNCTION("""COMPUTED_VALUE"""),0.482758620689655)</f>
        <v>0.4827586207</v>
      </c>
      <c r="M48" s="16">
        <f>IFERROR(__xludf.DUMMYFUNCTION("""COMPUTED_VALUE"""),0.485380116959064)</f>
        <v>0.485380117</v>
      </c>
      <c r="N48" s="16">
        <f>IFERROR(__xludf.DUMMYFUNCTION("""COMPUTED_VALUE"""),0.48170731707317)</f>
        <v>0.4817073171</v>
      </c>
      <c r="O48" s="16">
        <f>IFERROR(__xludf.DUMMYFUNCTION("""COMPUTED_VALUE"""),0.71875)</f>
        <v>0.71875</v>
      </c>
      <c r="P48" s="16">
        <f>IFERROR(__xludf.DUMMYFUNCTION("""COMPUTED_VALUE"""),0.454545454545454)</f>
        <v>0.4545454545</v>
      </c>
      <c r="Q48" s="16">
        <f>IFERROR(__xludf.DUMMYFUNCTION("""COMPUTED_VALUE"""),0.0)</f>
        <v>0</v>
      </c>
      <c r="R48" s="16">
        <f>IFERROR(__xludf.DUMMYFUNCTION("""COMPUTED_VALUE"""),0.0)</f>
        <v>0</v>
      </c>
      <c r="S48" s="16">
        <f>IFERROR(__xludf.DUMMYFUNCTION("""COMPUTED_VALUE"""),0.0)</f>
        <v>0</v>
      </c>
      <c r="T48" s="16">
        <f>IFERROR(__xludf.DUMMYFUNCTION("""COMPUTED_VALUE"""),0.0)</f>
        <v>0</v>
      </c>
      <c r="U48" s="16">
        <f>IFERROR(__xludf.DUMMYFUNCTION("""COMPUTED_VALUE"""),0.0)</f>
        <v>0</v>
      </c>
      <c r="V48" s="16">
        <f>IFERROR(__xludf.DUMMYFUNCTION("""COMPUTED_VALUE"""),0.0)</f>
        <v>0</v>
      </c>
      <c r="W48" s="16">
        <f>IFERROR(__xludf.DUMMYFUNCTION("""COMPUTED_VALUE"""),0.0)</f>
        <v>0</v>
      </c>
      <c r="X48" s="16">
        <f>IFERROR(__xludf.DUMMYFUNCTION("""COMPUTED_VALUE"""),0.0)</f>
        <v>0</v>
      </c>
      <c r="Y48" s="16">
        <f>IFERROR(__xludf.DUMMYFUNCTION("""COMPUTED_VALUE"""),0.0)</f>
        <v>0</v>
      </c>
      <c r="Z48" s="16">
        <f>IFERROR(__xludf.DUMMYFUNCTION("""COMPUTED_VALUE"""),0.0)</f>
        <v>0</v>
      </c>
      <c r="AA48" s="16">
        <f>IFERROR(__xludf.DUMMYFUNCTION("""COMPUTED_VALUE"""),0.0)</f>
        <v>0</v>
      </c>
      <c r="AB48" s="16">
        <f>IFERROR(__xludf.DUMMYFUNCTION("""COMPUTED_VALUE"""),0.0)</f>
        <v>0</v>
      </c>
      <c r="AC48" s="16">
        <f>IFERROR(__xludf.DUMMYFUNCTION("""COMPUTED_VALUE"""),0.0)</f>
        <v>0</v>
      </c>
      <c r="AD48" s="16">
        <f>IFERROR(__xludf.DUMMYFUNCTION("""COMPUTED_VALUE"""),0.0)</f>
        <v>0</v>
      </c>
      <c r="AE48" s="16">
        <f>IFERROR(__xludf.DUMMYFUNCTION("""COMPUTED_VALUE"""),0.0)</f>
        <v>0</v>
      </c>
      <c r="AF48" s="16">
        <f>IFERROR(__xludf.DUMMYFUNCTION("""COMPUTED_VALUE"""),0.0)</f>
        <v>0</v>
      </c>
      <c r="AG48" s="16">
        <f>IFERROR(__xludf.DUMMYFUNCTION("""COMPUTED_VALUE"""),0.0)</f>
        <v>0</v>
      </c>
      <c r="AH48" s="16">
        <f>IFERROR(__xludf.DUMMYFUNCTION("""COMPUTED_VALUE"""),0.0)</f>
        <v>0</v>
      </c>
    </row>
    <row r="49">
      <c r="A49" s="16" t="str">
        <f>IFERROR(__xludf.DUMMYFUNCTION("""COMPUTED_VALUE"""),"248ba0ec55862a22dd7993c8b49d5f052ce03954")</f>
        <v>248ba0ec55862a22dd7993c8b49d5f052ce03954</v>
      </c>
      <c r="B49" s="16" t="str">
        <f>IFERROR(__xludf.DUMMYFUNCTION("""COMPUTED_VALUE"""),"The Silent Sovereign")</f>
        <v>The Silent Sovereign</v>
      </c>
      <c r="C49" s="16" t="str">
        <f>IFERROR(__xludf.DUMMYFUNCTION("""COMPUTED_VALUE"""),"Fantasy")</f>
        <v>Fantasy</v>
      </c>
      <c r="D49" s="16">
        <f>IFERROR(__xludf.DUMMYFUNCTION("""COMPUTED_VALUE"""),450.0)</f>
        <v>450</v>
      </c>
      <c r="E49" s="16">
        <f>IFERROR(__xludf.DUMMYFUNCTION("""COMPUTED_VALUE"""),0.975555555555555)</f>
        <v>0.9755555556</v>
      </c>
      <c r="F49" s="16">
        <f>IFERROR(__xludf.DUMMYFUNCTION("""COMPUTED_VALUE"""),0.782222222222222)</f>
        <v>0.7822222222</v>
      </c>
      <c r="G49" s="16">
        <f>IFERROR(__xludf.DUMMYFUNCTION("""COMPUTED_VALUE"""),0.728888888888888)</f>
        <v>0.7288888889</v>
      </c>
      <c r="H49" s="16">
        <f>IFERROR(__xludf.DUMMYFUNCTION("""COMPUTED_VALUE"""),0.68)</f>
        <v>0.68</v>
      </c>
      <c r="I49" s="16">
        <f>IFERROR(__xludf.DUMMYFUNCTION("""COMPUTED_VALUE"""),0.651111111111111)</f>
        <v>0.6511111111</v>
      </c>
      <c r="J49" s="16">
        <f>IFERROR(__xludf.DUMMYFUNCTION("""COMPUTED_VALUE"""),0.630289532293986)</f>
        <v>0.6302895323</v>
      </c>
      <c r="K49" s="16">
        <f>IFERROR(__xludf.DUMMYFUNCTION("""COMPUTED_VALUE"""),0.55456570155902)</f>
        <v>0.5545657016</v>
      </c>
      <c r="L49" s="16">
        <f>IFERROR(__xludf.DUMMYFUNCTION("""COMPUTED_VALUE"""),0.522421524663677)</f>
        <v>0.5224215247</v>
      </c>
      <c r="M49" s="16">
        <f>IFERROR(__xludf.DUMMYFUNCTION("""COMPUTED_VALUE"""),0.489887640449438)</f>
        <v>0.4898876404</v>
      </c>
      <c r="N49" s="16">
        <f>IFERROR(__xludf.DUMMYFUNCTION("""COMPUTED_VALUE"""),0.464692482915717)</f>
        <v>0.4646924829</v>
      </c>
      <c r="O49" s="16">
        <f>IFERROR(__xludf.DUMMYFUNCTION("""COMPUTED_VALUE"""),0.36)</f>
        <v>0.36</v>
      </c>
      <c r="P49" s="16">
        <f>IFERROR(__xludf.DUMMYFUNCTION("""COMPUTED_VALUE"""),0.176470588235294)</f>
        <v>0.1764705882</v>
      </c>
      <c r="Q49" s="16">
        <f>IFERROR(__xludf.DUMMYFUNCTION("""COMPUTED_VALUE"""),0.181818181818181)</f>
        <v>0.1818181818</v>
      </c>
      <c r="R49" s="16">
        <f>IFERROR(__xludf.DUMMYFUNCTION("""COMPUTED_VALUE"""),0.0)</f>
        <v>0</v>
      </c>
      <c r="S49" s="16">
        <f>IFERROR(__xludf.DUMMYFUNCTION("""COMPUTED_VALUE"""),0.0)</f>
        <v>0</v>
      </c>
      <c r="T49" s="16">
        <f>IFERROR(__xludf.DUMMYFUNCTION("""COMPUTED_VALUE"""),0.0)</f>
        <v>0</v>
      </c>
      <c r="U49" s="16">
        <f>IFERROR(__xludf.DUMMYFUNCTION("""COMPUTED_VALUE"""),0.0)</f>
        <v>0</v>
      </c>
      <c r="V49" s="16">
        <f>IFERROR(__xludf.DUMMYFUNCTION("""COMPUTED_VALUE"""),0.0)</f>
        <v>0</v>
      </c>
      <c r="W49" s="16">
        <f>IFERROR(__xludf.DUMMYFUNCTION("""COMPUTED_VALUE"""),0.0)</f>
        <v>0</v>
      </c>
      <c r="X49" s="16">
        <f>IFERROR(__xludf.DUMMYFUNCTION("""COMPUTED_VALUE"""),0.0)</f>
        <v>0</v>
      </c>
      <c r="Y49" s="16">
        <f>IFERROR(__xludf.DUMMYFUNCTION("""COMPUTED_VALUE"""),0.0)</f>
        <v>0</v>
      </c>
      <c r="Z49" s="16">
        <f>IFERROR(__xludf.DUMMYFUNCTION("""COMPUTED_VALUE"""),0.0)</f>
        <v>0</v>
      </c>
      <c r="AA49" s="16">
        <f>IFERROR(__xludf.DUMMYFUNCTION("""COMPUTED_VALUE"""),0.0)</f>
        <v>0</v>
      </c>
      <c r="AB49" s="16">
        <f>IFERROR(__xludf.DUMMYFUNCTION("""COMPUTED_VALUE"""),0.0)</f>
        <v>0</v>
      </c>
      <c r="AC49" s="16">
        <f>IFERROR(__xludf.DUMMYFUNCTION("""COMPUTED_VALUE"""),0.0)</f>
        <v>0</v>
      </c>
      <c r="AD49" s="16">
        <f>IFERROR(__xludf.DUMMYFUNCTION("""COMPUTED_VALUE"""),0.0)</f>
        <v>0</v>
      </c>
      <c r="AE49" s="16">
        <f>IFERROR(__xludf.DUMMYFUNCTION("""COMPUTED_VALUE"""),0.0)</f>
        <v>0</v>
      </c>
      <c r="AF49" s="16">
        <f>IFERROR(__xludf.DUMMYFUNCTION("""COMPUTED_VALUE"""),0.0)</f>
        <v>0</v>
      </c>
      <c r="AG49" s="16">
        <f>IFERROR(__xludf.DUMMYFUNCTION("""COMPUTED_VALUE"""),0.0)</f>
        <v>0</v>
      </c>
      <c r="AH49" s="16">
        <f>IFERROR(__xludf.DUMMYFUNCTION("""COMPUTED_VALUE"""),0.0)</f>
        <v>0</v>
      </c>
    </row>
    <row r="50">
      <c r="A50" s="16" t="str">
        <f>IFERROR(__xludf.DUMMYFUNCTION("""COMPUTED_VALUE"""),"256420b150a08ae24e418a9316db10d1c7142a09")</f>
        <v>256420b150a08ae24e418a9316db10d1c7142a09</v>
      </c>
      <c r="B50" s="16" t="str">
        <f>IFERROR(__xludf.DUMMYFUNCTION("""COMPUTED_VALUE"""),"Monarch of Spirits")</f>
        <v>Monarch of Spirits</v>
      </c>
      <c r="C50" s="16" t="str">
        <f>IFERROR(__xludf.DUMMYFUNCTION("""COMPUTED_VALUE"""),"Fantasy")</f>
        <v>Fantasy</v>
      </c>
      <c r="D50" s="16">
        <f>IFERROR(__xludf.DUMMYFUNCTION("""COMPUTED_VALUE"""),559.0)</f>
        <v>559</v>
      </c>
      <c r="E50" s="16">
        <f>IFERROR(__xludf.DUMMYFUNCTION("""COMPUTED_VALUE"""),0.996422182468694)</f>
        <v>0.9964221825</v>
      </c>
      <c r="F50" s="16">
        <f>IFERROR(__xludf.DUMMYFUNCTION("""COMPUTED_VALUE"""),0.59391771019678)</f>
        <v>0.5939177102</v>
      </c>
      <c r="G50" s="16">
        <f>IFERROR(__xludf.DUMMYFUNCTION("""COMPUTED_VALUE"""),0.508050089445438)</f>
        <v>0.5080500894</v>
      </c>
      <c r="H50" s="16">
        <f>IFERROR(__xludf.DUMMYFUNCTION("""COMPUTED_VALUE"""),0.445438282647584)</f>
        <v>0.4454382826</v>
      </c>
      <c r="I50" s="16">
        <f>IFERROR(__xludf.DUMMYFUNCTION("""COMPUTED_VALUE"""),0.400715563506261)</f>
        <v>0.4007155635</v>
      </c>
      <c r="J50" s="16">
        <f>IFERROR(__xludf.DUMMYFUNCTION("""COMPUTED_VALUE"""),0.361359570661896)</f>
        <v>0.3613595707</v>
      </c>
      <c r="K50" s="16">
        <f>IFERROR(__xludf.DUMMYFUNCTION("""COMPUTED_VALUE"""),0.333333333333333)</f>
        <v>0.3333333333</v>
      </c>
      <c r="L50" s="16">
        <f>IFERROR(__xludf.DUMMYFUNCTION("""COMPUTED_VALUE"""),0.32437275985663)</f>
        <v>0.3243727599</v>
      </c>
      <c r="M50" s="16">
        <f>IFERROR(__xludf.DUMMYFUNCTION("""COMPUTED_VALUE"""),0.295698924731182)</f>
        <v>0.2956989247</v>
      </c>
      <c r="N50" s="16">
        <f>IFERROR(__xludf.DUMMYFUNCTION("""COMPUTED_VALUE"""),0.290843806104129)</f>
        <v>0.2908438061</v>
      </c>
      <c r="O50" s="16">
        <f>IFERROR(__xludf.DUMMYFUNCTION("""COMPUTED_VALUE"""),0.249547920433996)</f>
        <v>0.2495479204</v>
      </c>
      <c r="P50" s="16">
        <f>IFERROR(__xludf.DUMMYFUNCTION("""COMPUTED_VALUE"""),0.166666666666666)</f>
        <v>0.1666666667</v>
      </c>
      <c r="Q50" s="16">
        <f>IFERROR(__xludf.DUMMYFUNCTION("""COMPUTED_VALUE"""),0.100204498977505)</f>
        <v>0.100204499</v>
      </c>
      <c r="R50" s="16">
        <f>IFERROR(__xludf.DUMMYFUNCTION("""COMPUTED_VALUE"""),0.175)</f>
        <v>0.175</v>
      </c>
      <c r="S50" s="16">
        <f>IFERROR(__xludf.DUMMYFUNCTION("""COMPUTED_VALUE"""),0.194444444444444)</f>
        <v>0.1944444444</v>
      </c>
      <c r="T50" s="16">
        <f>IFERROR(__xludf.DUMMYFUNCTION("""COMPUTED_VALUE"""),0.1875)</f>
        <v>0.1875</v>
      </c>
      <c r="U50" s="16">
        <f>IFERROR(__xludf.DUMMYFUNCTION("""COMPUTED_VALUE"""),0.2)</f>
        <v>0.2</v>
      </c>
      <c r="V50" s="16">
        <f>IFERROR(__xludf.DUMMYFUNCTION("""COMPUTED_VALUE"""),0.142857142857142)</f>
        <v>0.1428571429</v>
      </c>
      <c r="W50" s="16">
        <f>IFERROR(__xludf.DUMMYFUNCTION("""COMPUTED_VALUE"""),0.125)</f>
        <v>0.125</v>
      </c>
      <c r="X50" s="16">
        <f>IFERROR(__xludf.DUMMYFUNCTION("""COMPUTED_VALUE"""),0.0909090909090909)</f>
        <v>0.09090909091</v>
      </c>
      <c r="Y50" s="16">
        <f>IFERROR(__xludf.DUMMYFUNCTION("""COMPUTED_VALUE"""),0.0)</f>
        <v>0</v>
      </c>
      <c r="Z50" s="16">
        <f>IFERROR(__xludf.DUMMYFUNCTION("""COMPUTED_VALUE"""),0.0)</f>
        <v>0</v>
      </c>
      <c r="AA50" s="16">
        <f>IFERROR(__xludf.DUMMYFUNCTION("""COMPUTED_VALUE"""),0.0)</f>
        <v>0</v>
      </c>
      <c r="AB50" s="16">
        <f>IFERROR(__xludf.DUMMYFUNCTION("""COMPUTED_VALUE"""),0.0)</f>
        <v>0</v>
      </c>
      <c r="AC50" s="16">
        <f>IFERROR(__xludf.DUMMYFUNCTION("""COMPUTED_VALUE"""),0.0)</f>
        <v>0</v>
      </c>
      <c r="AD50" s="16">
        <f>IFERROR(__xludf.DUMMYFUNCTION("""COMPUTED_VALUE"""),0.0)</f>
        <v>0</v>
      </c>
      <c r="AE50" s="16">
        <f>IFERROR(__xludf.DUMMYFUNCTION("""COMPUTED_VALUE"""),0.0)</f>
        <v>0</v>
      </c>
      <c r="AF50" s="16">
        <f>IFERROR(__xludf.DUMMYFUNCTION("""COMPUTED_VALUE"""),0.0)</f>
        <v>0</v>
      </c>
      <c r="AG50" s="16">
        <f>IFERROR(__xludf.DUMMYFUNCTION("""COMPUTED_VALUE"""),0.0)</f>
        <v>0</v>
      </c>
      <c r="AH50" s="16">
        <f>IFERROR(__xludf.DUMMYFUNCTION("""COMPUTED_VALUE"""),0.0)</f>
        <v>0</v>
      </c>
    </row>
    <row r="51">
      <c r="A51" s="16" t="str">
        <f>IFERROR(__xludf.DUMMYFUNCTION("""COMPUTED_VALUE"""),"26e1fd07be016edcad6988356011ef8b49038bd1")</f>
        <v>26e1fd07be016edcad6988356011ef8b49038bd1</v>
      </c>
      <c r="B51" s="16" t="str">
        <f>IFERROR(__xludf.DUMMYFUNCTION("""COMPUTED_VALUE"""),"The Last Anniversary Lie")</f>
        <v>The Last Anniversary Lie</v>
      </c>
      <c r="C51" s="16" t="str">
        <f>IFERROR(__xludf.DUMMYFUNCTION("""COMPUTED_VALUE"""),"Romance")</f>
        <v>Romance</v>
      </c>
      <c r="D51" s="16">
        <f>IFERROR(__xludf.DUMMYFUNCTION("""COMPUTED_VALUE"""),42.0)</f>
        <v>42</v>
      </c>
      <c r="E51" s="16">
        <f>IFERROR(__xludf.DUMMYFUNCTION("""COMPUTED_VALUE"""),0.952380952380952)</f>
        <v>0.9523809524</v>
      </c>
      <c r="F51" s="16">
        <f>IFERROR(__xludf.DUMMYFUNCTION("""COMPUTED_VALUE"""),0.571428571428571)</f>
        <v>0.5714285714</v>
      </c>
      <c r="G51" s="16">
        <f>IFERROR(__xludf.DUMMYFUNCTION("""COMPUTED_VALUE"""),0.523809523809523)</f>
        <v>0.5238095238</v>
      </c>
      <c r="H51" s="16">
        <f>IFERROR(__xludf.DUMMYFUNCTION("""COMPUTED_VALUE"""),0.5)</f>
        <v>0.5</v>
      </c>
      <c r="I51" s="16">
        <f>IFERROR(__xludf.DUMMYFUNCTION("""COMPUTED_VALUE"""),0.476190476190476)</f>
        <v>0.4761904762</v>
      </c>
      <c r="J51" s="16">
        <f>IFERROR(__xludf.DUMMYFUNCTION("""COMPUTED_VALUE"""),0.38095238095238)</f>
        <v>0.380952381</v>
      </c>
      <c r="K51" s="16">
        <f>IFERROR(__xludf.DUMMYFUNCTION("""COMPUTED_VALUE"""),0.404761904761904)</f>
        <v>0.4047619048</v>
      </c>
      <c r="L51" s="16">
        <f>IFERROR(__xludf.DUMMYFUNCTION("""COMPUTED_VALUE"""),0.38095238095238)</f>
        <v>0.380952381</v>
      </c>
      <c r="M51" s="16">
        <f>IFERROR(__xludf.DUMMYFUNCTION("""COMPUTED_VALUE"""),0.390243902439024)</f>
        <v>0.3902439024</v>
      </c>
      <c r="N51" s="16">
        <f>IFERROR(__xludf.DUMMYFUNCTION("""COMPUTED_VALUE"""),0.390243902439024)</f>
        <v>0.3902439024</v>
      </c>
      <c r="O51" s="16">
        <f>IFERROR(__xludf.DUMMYFUNCTION("""COMPUTED_VALUE"""),0.219512195121951)</f>
        <v>0.2195121951</v>
      </c>
      <c r="P51" s="16">
        <f>IFERROR(__xludf.DUMMYFUNCTION("""COMPUTED_VALUE"""),0.133333333333333)</f>
        <v>0.1333333333</v>
      </c>
      <c r="Q51" s="16">
        <f>IFERROR(__xludf.DUMMYFUNCTION("""COMPUTED_VALUE"""),0.0)</f>
        <v>0</v>
      </c>
      <c r="R51" s="16">
        <f>IFERROR(__xludf.DUMMYFUNCTION("""COMPUTED_VALUE"""),0.0)</f>
        <v>0</v>
      </c>
      <c r="S51" s="16">
        <f>IFERROR(__xludf.DUMMYFUNCTION("""COMPUTED_VALUE"""),0.0)</f>
        <v>0</v>
      </c>
      <c r="T51" s="16">
        <f>IFERROR(__xludf.DUMMYFUNCTION("""COMPUTED_VALUE"""),0.0)</f>
        <v>0</v>
      </c>
      <c r="U51" s="16">
        <f>IFERROR(__xludf.DUMMYFUNCTION("""COMPUTED_VALUE"""),0.0)</f>
        <v>0</v>
      </c>
      <c r="V51" s="16">
        <f>IFERROR(__xludf.DUMMYFUNCTION("""COMPUTED_VALUE"""),0.0)</f>
        <v>0</v>
      </c>
      <c r="W51" s="16">
        <f>IFERROR(__xludf.DUMMYFUNCTION("""COMPUTED_VALUE"""),0.0)</f>
        <v>0</v>
      </c>
      <c r="X51" s="16">
        <f>IFERROR(__xludf.DUMMYFUNCTION("""COMPUTED_VALUE"""),0.0)</f>
        <v>0</v>
      </c>
      <c r="Y51" s="16">
        <f>IFERROR(__xludf.DUMMYFUNCTION("""COMPUTED_VALUE"""),0.0)</f>
        <v>0</v>
      </c>
      <c r="Z51" s="16">
        <f>IFERROR(__xludf.DUMMYFUNCTION("""COMPUTED_VALUE"""),0.0)</f>
        <v>0</v>
      </c>
      <c r="AA51" s="16">
        <f>IFERROR(__xludf.DUMMYFUNCTION("""COMPUTED_VALUE"""),0.0)</f>
        <v>0</v>
      </c>
      <c r="AB51" s="16">
        <f>IFERROR(__xludf.DUMMYFUNCTION("""COMPUTED_VALUE"""),0.0)</f>
        <v>0</v>
      </c>
      <c r="AC51" s="16">
        <f>IFERROR(__xludf.DUMMYFUNCTION("""COMPUTED_VALUE"""),0.0)</f>
        <v>0</v>
      </c>
      <c r="AD51" s="16">
        <f>IFERROR(__xludf.DUMMYFUNCTION("""COMPUTED_VALUE"""),0.0)</f>
        <v>0</v>
      </c>
      <c r="AE51" s="16">
        <f>IFERROR(__xludf.DUMMYFUNCTION("""COMPUTED_VALUE"""),0.0)</f>
        <v>0</v>
      </c>
      <c r="AF51" s="16">
        <f>IFERROR(__xludf.DUMMYFUNCTION("""COMPUTED_VALUE"""),0.0)</f>
        <v>0</v>
      </c>
      <c r="AG51" s="16">
        <f>IFERROR(__xludf.DUMMYFUNCTION("""COMPUTED_VALUE"""),0.0)</f>
        <v>0</v>
      </c>
      <c r="AH51" s="16">
        <f>IFERROR(__xludf.DUMMYFUNCTION("""COMPUTED_VALUE"""),0.0)</f>
        <v>0</v>
      </c>
    </row>
    <row r="52">
      <c r="A52" s="16" t="str">
        <f>IFERROR(__xludf.DUMMYFUNCTION("""COMPUTED_VALUE"""),"2804c5c0d94ac97e4b67564cc852e784e64583e5")</f>
        <v>2804c5c0d94ac97e4b67564cc852e784e64583e5</v>
      </c>
      <c r="B52" s="16" t="str">
        <f>IFERROR(__xludf.DUMMYFUNCTION("""COMPUTED_VALUE"""),"Rebirth in Beauty")</f>
        <v>Rebirth in Beauty</v>
      </c>
      <c r="C52" s="16" t="str">
        <f>IFERROR(__xludf.DUMMYFUNCTION("""COMPUTED_VALUE"""),"Fantasy")</f>
        <v>Fantasy</v>
      </c>
      <c r="D52" s="16">
        <f>IFERROR(__xludf.DUMMYFUNCTION("""COMPUTED_VALUE"""),60.0)</f>
        <v>60</v>
      </c>
      <c r="E52" s="16">
        <f>IFERROR(__xludf.DUMMYFUNCTION("""COMPUTED_VALUE"""),0.983333333333333)</f>
        <v>0.9833333333</v>
      </c>
      <c r="F52" s="16">
        <f>IFERROR(__xludf.DUMMYFUNCTION("""COMPUTED_VALUE"""),0.566666666666666)</f>
        <v>0.5666666667</v>
      </c>
      <c r="G52" s="16">
        <f>IFERROR(__xludf.DUMMYFUNCTION("""COMPUTED_VALUE"""),0.483333333333333)</f>
        <v>0.4833333333</v>
      </c>
      <c r="H52" s="16">
        <f>IFERROR(__xludf.DUMMYFUNCTION("""COMPUTED_VALUE"""),0.416666666666666)</f>
        <v>0.4166666667</v>
      </c>
      <c r="I52" s="16">
        <f>IFERROR(__xludf.DUMMYFUNCTION("""COMPUTED_VALUE"""),0.4)</f>
        <v>0.4</v>
      </c>
      <c r="J52" s="16">
        <f>IFERROR(__xludf.DUMMYFUNCTION("""COMPUTED_VALUE"""),0.35593220338983)</f>
        <v>0.3559322034</v>
      </c>
      <c r="K52" s="16">
        <f>IFERROR(__xludf.DUMMYFUNCTION("""COMPUTED_VALUE"""),0.35593220338983)</f>
        <v>0.3559322034</v>
      </c>
      <c r="L52" s="16">
        <f>IFERROR(__xludf.DUMMYFUNCTION("""COMPUTED_VALUE"""),0.322033898305084)</f>
        <v>0.3220338983</v>
      </c>
      <c r="M52" s="16">
        <f>IFERROR(__xludf.DUMMYFUNCTION("""COMPUTED_VALUE"""),0.338983050847457)</f>
        <v>0.3389830508</v>
      </c>
      <c r="N52" s="16">
        <f>IFERROR(__xludf.DUMMYFUNCTION("""COMPUTED_VALUE"""),0.29090909090909)</f>
        <v>0.2909090909</v>
      </c>
      <c r="O52" s="16">
        <f>IFERROR(__xludf.DUMMYFUNCTION("""COMPUTED_VALUE"""),0.266666666666666)</f>
        <v>0.2666666667</v>
      </c>
      <c r="P52" s="16">
        <f>IFERROR(__xludf.DUMMYFUNCTION("""COMPUTED_VALUE"""),0.0)</f>
        <v>0</v>
      </c>
      <c r="Q52" s="16">
        <f>IFERROR(__xludf.DUMMYFUNCTION("""COMPUTED_VALUE"""),0.0)</f>
        <v>0</v>
      </c>
      <c r="R52" s="16">
        <f>IFERROR(__xludf.DUMMYFUNCTION("""COMPUTED_VALUE"""),0.0)</f>
        <v>0</v>
      </c>
      <c r="S52" s="16">
        <f>IFERROR(__xludf.DUMMYFUNCTION("""COMPUTED_VALUE"""),0.0)</f>
        <v>0</v>
      </c>
      <c r="T52" s="16">
        <f>IFERROR(__xludf.DUMMYFUNCTION("""COMPUTED_VALUE"""),0.0)</f>
        <v>0</v>
      </c>
      <c r="U52" s="16">
        <f>IFERROR(__xludf.DUMMYFUNCTION("""COMPUTED_VALUE"""),0.0)</f>
        <v>0</v>
      </c>
      <c r="V52" s="16">
        <f>IFERROR(__xludf.DUMMYFUNCTION("""COMPUTED_VALUE"""),0.0)</f>
        <v>0</v>
      </c>
      <c r="W52" s="16">
        <f>IFERROR(__xludf.DUMMYFUNCTION("""COMPUTED_VALUE"""),0.0)</f>
        <v>0</v>
      </c>
      <c r="X52" s="16">
        <f>IFERROR(__xludf.DUMMYFUNCTION("""COMPUTED_VALUE"""),0.0)</f>
        <v>0</v>
      </c>
      <c r="Y52" s="16">
        <f>IFERROR(__xludf.DUMMYFUNCTION("""COMPUTED_VALUE"""),0.0)</f>
        <v>0</v>
      </c>
      <c r="Z52" s="16">
        <f>IFERROR(__xludf.DUMMYFUNCTION("""COMPUTED_VALUE"""),0.0)</f>
        <v>0</v>
      </c>
      <c r="AA52" s="16">
        <f>IFERROR(__xludf.DUMMYFUNCTION("""COMPUTED_VALUE"""),0.0)</f>
        <v>0</v>
      </c>
      <c r="AB52" s="16">
        <f>IFERROR(__xludf.DUMMYFUNCTION("""COMPUTED_VALUE"""),0.0)</f>
        <v>0</v>
      </c>
      <c r="AC52" s="16">
        <f>IFERROR(__xludf.DUMMYFUNCTION("""COMPUTED_VALUE"""),0.0)</f>
        <v>0</v>
      </c>
      <c r="AD52" s="16">
        <f>IFERROR(__xludf.DUMMYFUNCTION("""COMPUTED_VALUE"""),0.0)</f>
        <v>0</v>
      </c>
      <c r="AE52" s="16">
        <f>IFERROR(__xludf.DUMMYFUNCTION("""COMPUTED_VALUE"""),0.0)</f>
        <v>0</v>
      </c>
      <c r="AF52" s="16">
        <f>IFERROR(__xludf.DUMMYFUNCTION("""COMPUTED_VALUE"""),0.0)</f>
        <v>0</v>
      </c>
      <c r="AG52" s="16">
        <f>IFERROR(__xludf.DUMMYFUNCTION("""COMPUTED_VALUE"""),0.0)</f>
        <v>0</v>
      </c>
      <c r="AH52" s="16">
        <f>IFERROR(__xludf.DUMMYFUNCTION("""COMPUTED_VALUE"""),0.0)</f>
        <v>0</v>
      </c>
    </row>
    <row r="53">
      <c r="A53" s="16" t="str">
        <f>IFERROR(__xludf.DUMMYFUNCTION("""COMPUTED_VALUE"""),"2969766ce2d0cd5c21da961666ea357622d5d073")</f>
        <v>2969766ce2d0cd5c21da961666ea357622d5d073</v>
      </c>
      <c r="B53" s="16" t="str">
        <f>IFERROR(__xludf.DUMMYFUNCTION("""COMPUTED_VALUE"""),"The Magical Mystic Master")</f>
        <v>The Magical Mystic Master</v>
      </c>
      <c r="C53" s="16" t="str">
        <f>IFERROR(__xludf.DUMMYFUNCTION("""COMPUTED_VALUE"""),"Fantasy")</f>
        <v>Fantasy</v>
      </c>
      <c r="D53" s="16">
        <f>IFERROR(__xludf.DUMMYFUNCTION("""COMPUTED_VALUE"""),648.0)</f>
        <v>648</v>
      </c>
      <c r="E53" s="16">
        <f>IFERROR(__xludf.DUMMYFUNCTION("""COMPUTED_VALUE"""),0.989197530864197)</f>
        <v>0.9891975309</v>
      </c>
      <c r="F53" s="16">
        <f>IFERROR(__xludf.DUMMYFUNCTION("""COMPUTED_VALUE"""),0.569444444444444)</f>
        <v>0.5694444444</v>
      </c>
      <c r="G53" s="16">
        <f>IFERROR(__xludf.DUMMYFUNCTION("""COMPUTED_VALUE"""),0.438271604938271)</f>
        <v>0.4382716049</v>
      </c>
      <c r="H53" s="16">
        <f>IFERROR(__xludf.DUMMYFUNCTION("""COMPUTED_VALUE"""),0.393518518518518)</f>
        <v>0.3935185185</v>
      </c>
      <c r="I53" s="16">
        <f>IFERROR(__xludf.DUMMYFUNCTION("""COMPUTED_VALUE"""),0.324074074074074)</f>
        <v>0.3240740741</v>
      </c>
      <c r="J53" s="16">
        <f>IFERROR(__xludf.DUMMYFUNCTION("""COMPUTED_VALUE"""),0.28395061728395)</f>
        <v>0.2839506173</v>
      </c>
      <c r="K53" s="16">
        <f>IFERROR(__xludf.DUMMYFUNCTION("""COMPUTED_VALUE"""),0.250778816199376)</f>
        <v>0.2507788162</v>
      </c>
      <c r="L53" s="16">
        <f>IFERROR(__xludf.DUMMYFUNCTION("""COMPUTED_VALUE"""),0.235569422776911)</f>
        <v>0.2355694228</v>
      </c>
      <c r="M53" s="16">
        <f>IFERROR(__xludf.DUMMYFUNCTION("""COMPUTED_VALUE"""),0.224648985959438)</f>
        <v>0.224648986</v>
      </c>
      <c r="N53" s="16">
        <f>IFERROR(__xludf.DUMMYFUNCTION("""COMPUTED_VALUE"""),0.2125)</f>
        <v>0.2125</v>
      </c>
      <c r="O53" s="16">
        <f>IFERROR(__xludf.DUMMYFUNCTION("""COMPUTED_VALUE"""),0.161189358372456)</f>
        <v>0.1611893584</v>
      </c>
      <c r="P53" s="16">
        <f>IFERROR(__xludf.DUMMYFUNCTION("""COMPUTED_VALUE"""),0.0914826498422713)</f>
        <v>0.09148264984</v>
      </c>
      <c r="Q53" s="16">
        <f>IFERROR(__xludf.DUMMYFUNCTION("""COMPUTED_VALUE"""),0.0744274809160305)</f>
        <v>0.07442748092</v>
      </c>
      <c r="R53" s="16">
        <f>IFERROR(__xludf.DUMMYFUNCTION("""COMPUTED_VALUE"""),0.149425287356321)</f>
        <v>0.1494252874</v>
      </c>
      <c r="S53" s="16">
        <f>IFERROR(__xludf.DUMMYFUNCTION("""COMPUTED_VALUE"""),0.0259740259740259)</f>
        <v>0.02597402597</v>
      </c>
      <c r="T53" s="16">
        <f>IFERROR(__xludf.DUMMYFUNCTION("""COMPUTED_VALUE"""),0.0)</f>
        <v>0</v>
      </c>
      <c r="U53" s="16">
        <f>IFERROR(__xludf.DUMMYFUNCTION("""COMPUTED_VALUE"""),0.0)</f>
        <v>0</v>
      </c>
      <c r="V53" s="16">
        <f>IFERROR(__xludf.DUMMYFUNCTION("""COMPUTED_VALUE"""),0.0)</f>
        <v>0</v>
      </c>
      <c r="W53" s="16">
        <f>IFERROR(__xludf.DUMMYFUNCTION("""COMPUTED_VALUE"""),0.0)</f>
        <v>0</v>
      </c>
      <c r="X53" s="16">
        <f>IFERROR(__xludf.DUMMYFUNCTION("""COMPUTED_VALUE"""),0.0)</f>
        <v>0</v>
      </c>
      <c r="Y53" s="16">
        <f>IFERROR(__xludf.DUMMYFUNCTION("""COMPUTED_VALUE"""),0.0)</f>
        <v>0</v>
      </c>
      <c r="Z53" s="16">
        <f>IFERROR(__xludf.DUMMYFUNCTION("""COMPUTED_VALUE"""),0.0)</f>
        <v>0</v>
      </c>
      <c r="AA53" s="16">
        <f>IFERROR(__xludf.DUMMYFUNCTION("""COMPUTED_VALUE"""),0.0)</f>
        <v>0</v>
      </c>
      <c r="AB53" s="16">
        <f>IFERROR(__xludf.DUMMYFUNCTION("""COMPUTED_VALUE"""),0.0)</f>
        <v>0</v>
      </c>
      <c r="AC53" s="16">
        <f>IFERROR(__xludf.DUMMYFUNCTION("""COMPUTED_VALUE"""),0.0)</f>
        <v>0</v>
      </c>
      <c r="AD53" s="16">
        <f>IFERROR(__xludf.DUMMYFUNCTION("""COMPUTED_VALUE"""),0.0)</f>
        <v>0</v>
      </c>
      <c r="AE53" s="16">
        <f>IFERROR(__xludf.DUMMYFUNCTION("""COMPUTED_VALUE"""),0.0)</f>
        <v>0</v>
      </c>
      <c r="AF53" s="16">
        <f>IFERROR(__xludf.DUMMYFUNCTION("""COMPUTED_VALUE"""),0.0)</f>
        <v>0</v>
      </c>
      <c r="AG53" s="16">
        <f>IFERROR(__xludf.DUMMYFUNCTION("""COMPUTED_VALUE"""),0.0)</f>
        <v>0</v>
      </c>
      <c r="AH53" s="16">
        <f>IFERROR(__xludf.DUMMYFUNCTION("""COMPUTED_VALUE"""),0.0)</f>
        <v>0</v>
      </c>
    </row>
    <row r="54">
      <c r="A54" s="16" t="str">
        <f>IFERROR(__xludf.DUMMYFUNCTION("""COMPUTED_VALUE"""),"29b6547143fa9e79e6e0d3e0463e7b79ac00c7fd")</f>
        <v>29b6547143fa9e79e6e0d3e0463e7b79ac00c7fd</v>
      </c>
      <c r="B54" s="16" t="str">
        <f>IFERROR(__xludf.DUMMYFUNCTION("""COMPUTED_VALUE"""),"Love, Revenge &amp; My Past")</f>
        <v>Love, Revenge &amp; My Past</v>
      </c>
      <c r="C54" s="16" t="str">
        <f>IFERROR(__xludf.DUMMYFUNCTION("""COMPUTED_VALUE"""),"Romance")</f>
        <v>Romance</v>
      </c>
      <c r="D54" s="16">
        <f>IFERROR(__xludf.DUMMYFUNCTION("""COMPUTED_VALUE"""),72.0)</f>
        <v>72</v>
      </c>
      <c r="E54" s="16">
        <f>IFERROR(__xludf.DUMMYFUNCTION("""COMPUTED_VALUE"""),0.986111111111111)</f>
        <v>0.9861111111</v>
      </c>
      <c r="F54" s="16">
        <f>IFERROR(__xludf.DUMMYFUNCTION("""COMPUTED_VALUE"""),0.361111111111111)</f>
        <v>0.3611111111</v>
      </c>
      <c r="G54" s="16">
        <f>IFERROR(__xludf.DUMMYFUNCTION("""COMPUTED_VALUE"""),0.305555555555555)</f>
        <v>0.3055555556</v>
      </c>
      <c r="H54" s="16">
        <f>IFERROR(__xludf.DUMMYFUNCTION("""COMPUTED_VALUE"""),0.305555555555555)</f>
        <v>0.3055555556</v>
      </c>
      <c r="I54" s="16">
        <f>IFERROR(__xludf.DUMMYFUNCTION("""COMPUTED_VALUE"""),0.263888888888888)</f>
        <v>0.2638888889</v>
      </c>
      <c r="J54" s="16">
        <f>IFERROR(__xludf.DUMMYFUNCTION("""COMPUTED_VALUE"""),0.222222222222222)</f>
        <v>0.2222222222</v>
      </c>
      <c r="K54" s="16">
        <f>IFERROR(__xludf.DUMMYFUNCTION("""COMPUTED_VALUE"""),0.208333333333333)</f>
        <v>0.2083333333</v>
      </c>
      <c r="L54" s="16">
        <f>IFERROR(__xludf.DUMMYFUNCTION("""COMPUTED_VALUE"""),0.194444444444444)</f>
        <v>0.1944444444</v>
      </c>
      <c r="M54" s="16">
        <f>IFERROR(__xludf.DUMMYFUNCTION("""COMPUTED_VALUE"""),0.194444444444444)</f>
        <v>0.1944444444</v>
      </c>
      <c r="N54" s="16">
        <f>IFERROR(__xludf.DUMMYFUNCTION("""COMPUTED_VALUE"""),0.180555555555555)</f>
        <v>0.1805555556</v>
      </c>
      <c r="O54" s="16">
        <f>IFERROR(__xludf.DUMMYFUNCTION("""COMPUTED_VALUE"""),0.125)</f>
        <v>0.125</v>
      </c>
      <c r="P54" s="16">
        <f>IFERROR(__xludf.DUMMYFUNCTION("""COMPUTED_VALUE"""),0.0555555555555555)</f>
        <v>0.05555555556</v>
      </c>
      <c r="Q54" s="16">
        <f>IFERROR(__xludf.DUMMYFUNCTION("""COMPUTED_VALUE"""),0.0)</f>
        <v>0</v>
      </c>
      <c r="R54" s="16">
        <f>IFERROR(__xludf.DUMMYFUNCTION("""COMPUTED_VALUE"""),0.0181818181818181)</f>
        <v>0.01818181818</v>
      </c>
      <c r="S54" s="16">
        <f>IFERROR(__xludf.DUMMYFUNCTION("""COMPUTED_VALUE"""),0.0)</f>
        <v>0</v>
      </c>
      <c r="T54" s="16">
        <f>IFERROR(__xludf.DUMMYFUNCTION("""COMPUTED_VALUE"""),0.0)</f>
        <v>0</v>
      </c>
      <c r="U54" s="16">
        <f>IFERROR(__xludf.DUMMYFUNCTION("""COMPUTED_VALUE"""),0.0)</f>
        <v>0</v>
      </c>
      <c r="V54" s="16">
        <f>IFERROR(__xludf.DUMMYFUNCTION("""COMPUTED_VALUE"""),0.0)</f>
        <v>0</v>
      </c>
      <c r="W54" s="16">
        <f>IFERROR(__xludf.DUMMYFUNCTION("""COMPUTED_VALUE"""),0.0)</f>
        <v>0</v>
      </c>
      <c r="X54" s="16">
        <f>IFERROR(__xludf.DUMMYFUNCTION("""COMPUTED_VALUE"""),0.0)</f>
        <v>0</v>
      </c>
      <c r="Y54" s="16">
        <f>IFERROR(__xludf.DUMMYFUNCTION("""COMPUTED_VALUE"""),0.0)</f>
        <v>0</v>
      </c>
      <c r="Z54" s="16">
        <f>IFERROR(__xludf.DUMMYFUNCTION("""COMPUTED_VALUE"""),0.0)</f>
        <v>0</v>
      </c>
      <c r="AA54" s="16">
        <f>IFERROR(__xludf.DUMMYFUNCTION("""COMPUTED_VALUE"""),0.0)</f>
        <v>0</v>
      </c>
      <c r="AB54" s="16">
        <f>IFERROR(__xludf.DUMMYFUNCTION("""COMPUTED_VALUE"""),0.0)</f>
        <v>0</v>
      </c>
      <c r="AC54" s="16">
        <f>IFERROR(__xludf.DUMMYFUNCTION("""COMPUTED_VALUE"""),0.0)</f>
        <v>0</v>
      </c>
      <c r="AD54" s="16">
        <f>IFERROR(__xludf.DUMMYFUNCTION("""COMPUTED_VALUE"""),0.0)</f>
        <v>0</v>
      </c>
      <c r="AE54" s="16">
        <f>IFERROR(__xludf.DUMMYFUNCTION("""COMPUTED_VALUE"""),0.0)</f>
        <v>0</v>
      </c>
      <c r="AF54" s="16">
        <f>IFERROR(__xludf.DUMMYFUNCTION("""COMPUTED_VALUE"""),0.0)</f>
        <v>0</v>
      </c>
      <c r="AG54" s="16">
        <f>IFERROR(__xludf.DUMMYFUNCTION("""COMPUTED_VALUE"""),0.0)</f>
        <v>0</v>
      </c>
      <c r="AH54" s="16">
        <f>IFERROR(__xludf.DUMMYFUNCTION("""COMPUTED_VALUE"""),0.0)</f>
        <v>0</v>
      </c>
    </row>
    <row r="55">
      <c r="A55" s="16" t="str">
        <f>IFERROR(__xludf.DUMMYFUNCTION("""COMPUTED_VALUE"""),"2a8120a20d0bebaa0f325746e4058859d5e610ee")</f>
        <v>2a8120a20d0bebaa0f325746e4058859d5e610ee</v>
      </c>
      <c r="B55" s="16" t="str">
        <f>IFERROR(__xludf.DUMMYFUNCTION("""COMPUTED_VALUE"""),"Cultivated Love")</f>
        <v>Cultivated Love</v>
      </c>
      <c r="C55" s="16" t="str">
        <f>IFERROR(__xludf.DUMMYFUNCTION("""COMPUTED_VALUE"""),"Romance")</f>
        <v>Romance</v>
      </c>
      <c r="D55" s="16">
        <f>IFERROR(__xludf.DUMMYFUNCTION("""COMPUTED_VALUE"""),18.0)</f>
        <v>18</v>
      </c>
      <c r="E55" s="16">
        <f>IFERROR(__xludf.DUMMYFUNCTION("""COMPUTED_VALUE"""),1.0)</f>
        <v>1</v>
      </c>
      <c r="F55" s="16">
        <f>IFERROR(__xludf.DUMMYFUNCTION("""COMPUTED_VALUE"""),0.166666666666666)</f>
        <v>0.1666666667</v>
      </c>
      <c r="G55" s="16">
        <f>IFERROR(__xludf.DUMMYFUNCTION("""COMPUTED_VALUE"""),0.0555555555555555)</f>
        <v>0.05555555556</v>
      </c>
      <c r="H55" s="16">
        <f>IFERROR(__xludf.DUMMYFUNCTION("""COMPUTED_VALUE"""),0.0555555555555555)</f>
        <v>0.05555555556</v>
      </c>
      <c r="I55" s="16">
        <f>IFERROR(__xludf.DUMMYFUNCTION("""COMPUTED_VALUE"""),0.0555555555555555)</f>
        <v>0.05555555556</v>
      </c>
      <c r="J55" s="16">
        <f>IFERROR(__xludf.DUMMYFUNCTION("""COMPUTED_VALUE"""),0.0555555555555555)</f>
        <v>0.05555555556</v>
      </c>
      <c r="K55" s="16">
        <f>IFERROR(__xludf.DUMMYFUNCTION("""COMPUTED_VALUE"""),0.0555555555555555)</f>
        <v>0.05555555556</v>
      </c>
      <c r="L55" s="16">
        <f>IFERROR(__xludf.DUMMYFUNCTION("""COMPUTED_VALUE"""),0.0625)</f>
        <v>0.0625</v>
      </c>
      <c r="M55" s="16">
        <f>IFERROR(__xludf.DUMMYFUNCTION("""COMPUTED_VALUE"""),0.0625)</f>
        <v>0.0625</v>
      </c>
      <c r="N55" s="16">
        <f>IFERROR(__xludf.DUMMYFUNCTION("""COMPUTED_VALUE"""),0.0625)</f>
        <v>0.0625</v>
      </c>
      <c r="O55" s="16">
        <f>IFERROR(__xludf.DUMMYFUNCTION("""COMPUTED_VALUE"""),0.0666666666666666)</f>
        <v>0.06666666667</v>
      </c>
      <c r="P55" s="16">
        <f>IFERROR(__xludf.DUMMYFUNCTION("""COMPUTED_VALUE"""),0.125)</f>
        <v>0.125</v>
      </c>
      <c r="Q55" s="16">
        <f>IFERROR(__xludf.DUMMYFUNCTION("""COMPUTED_VALUE"""),0.0)</f>
        <v>0</v>
      </c>
      <c r="R55" s="16">
        <f>IFERROR(__xludf.DUMMYFUNCTION("""COMPUTED_VALUE"""),0.0)</f>
        <v>0</v>
      </c>
      <c r="S55" s="16">
        <f>IFERROR(__xludf.DUMMYFUNCTION("""COMPUTED_VALUE"""),0.0)</f>
        <v>0</v>
      </c>
      <c r="T55" s="16">
        <f>IFERROR(__xludf.DUMMYFUNCTION("""COMPUTED_VALUE"""),0.0)</f>
        <v>0</v>
      </c>
      <c r="U55" s="16">
        <f>IFERROR(__xludf.DUMMYFUNCTION("""COMPUTED_VALUE"""),0.0)</f>
        <v>0</v>
      </c>
      <c r="V55" s="16">
        <f>IFERROR(__xludf.DUMMYFUNCTION("""COMPUTED_VALUE"""),0.0)</f>
        <v>0</v>
      </c>
      <c r="W55" s="16">
        <f>IFERROR(__xludf.DUMMYFUNCTION("""COMPUTED_VALUE"""),0.0)</f>
        <v>0</v>
      </c>
      <c r="X55" s="16">
        <f>IFERROR(__xludf.DUMMYFUNCTION("""COMPUTED_VALUE"""),0.0)</f>
        <v>0</v>
      </c>
      <c r="Y55" s="16">
        <f>IFERROR(__xludf.DUMMYFUNCTION("""COMPUTED_VALUE"""),0.0)</f>
        <v>0</v>
      </c>
      <c r="Z55" s="16">
        <f>IFERROR(__xludf.DUMMYFUNCTION("""COMPUTED_VALUE"""),0.0)</f>
        <v>0</v>
      </c>
      <c r="AA55" s="16">
        <f>IFERROR(__xludf.DUMMYFUNCTION("""COMPUTED_VALUE"""),0.0)</f>
        <v>0</v>
      </c>
      <c r="AB55" s="16">
        <f>IFERROR(__xludf.DUMMYFUNCTION("""COMPUTED_VALUE"""),0.0)</f>
        <v>0</v>
      </c>
      <c r="AC55" s="16">
        <f>IFERROR(__xludf.DUMMYFUNCTION("""COMPUTED_VALUE"""),0.0)</f>
        <v>0</v>
      </c>
      <c r="AD55" s="16">
        <f>IFERROR(__xludf.DUMMYFUNCTION("""COMPUTED_VALUE"""),0.0)</f>
        <v>0</v>
      </c>
      <c r="AE55" s="16">
        <f>IFERROR(__xludf.DUMMYFUNCTION("""COMPUTED_VALUE"""),0.0)</f>
        <v>0</v>
      </c>
      <c r="AF55" s="16">
        <f>IFERROR(__xludf.DUMMYFUNCTION("""COMPUTED_VALUE"""),0.0)</f>
        <v>0</v>
      </c>
      <c r="AG55" s="16">
        <f>IFERROR(__xludf.DUMMYFUNCTION("""COMPUTED_VALUE"""),0.0)</f>
        <v>0</v>
      </c>
      <c r="AH55" s="16">
        <f>IFERROR(__xludf.DUMMYFUNCTION("""COMPUTED_VALUE"""),0.0)</f>
        <v>0</v>
      </c>
    </row>
    <row r="56">
      <c r="A56" s="16" t="str">
        <f>IFERROR(__xludf.DUMMYFUNCTION("""COMPUTED_VALUE"""),"2b967281ca19c941aa99d03c959adaf6349da9b3")</f>
        <v>2b967281ca19c941aa99d03c959adaf6349da9b3</v>
      </c>
      <c r="B56" s="16" t="str">
        <f>IFERROR(__xludf.DUMMYFUNCTION("""COMPUTED_VALUE"""),"The Unlikely Heiress")</f>
        <v>The Unlikely Heiress</v>
      </c>
      <c r="C56" s="16" t="str">
        <f>IFERROR(__xludf.DUMMYFUNCTION("""COMPUTED_VALUE"""),"Romance")</f>
        <v>Romance</v>
      </c>
      <c r="D56" s="16">
        <f>IFERROR(__xludf.DUMMYFUNCTION("""COMPUTED_VALUE"""),768.0)</f>
        <v>768</v>
      </c>
      <c r="E56" s="16">
        <f>IFERROR(__xludf.DUMMYFUNCTION("""COMPUTED_VALUE"""),0.963541666666666)</f>
        <v>0.9635416667</v>
      </c>
      <c r="F56" s="16">
        <f>IFERROR(__xludf.DUMMYFUNCTION("""COMPUTED_VALUE"""),0.55859375)</f>
        <v>0.55859375</v>
      </c>
      <c r="G56" s="16">
        <f>IFERROR(__xludf.DUMMYFUNCTION("""COMPUTED_VALUE"""),0.532552083333333)</f>
        <v>0.5325520833</v>
      </c>
      <c r="H56" s="16">
        <f>IFERROR(__xludf.DUMMYFUNCTION("""COMPUTED_VALUE"""),0.501302083333333)</f>
        <v>0.5013020833</v>
      </c>
      <c r="I56" s="16">
        <f>IFERROR(__xludf.DUMMYFUNCTION("""COMPUTED_VALUE"""),0.484375)</f>
        <v>0.484375</v>
      </c>
      <c r="J56" s="16">
        <f>IFERROR(__xludf.DUMMYFUNCTION("""COMPUTED_VALUE"""),0.475260416666666)</f>
        <v>0.4752604167</v>
      </c>
      <c r="K56" s="16">
        <f>IFERROR(__xludf.DUMMYFUNCTION("""COMPUTED_VALUE"""),0.462239583333333)</f>
        <v>0.4622395833</v>
      </c>
      <c r="L56" s="16">
        <f>IFERROR(__xludf.DUMMYFUNCTION("""COMPUTED_VALUE"""),0.4453125)</f>
        <v>0.4453125</v>
      </c>
      <c r="M56" s="16">
        <f>IFERROR(__xludf.DUMMYFUNCTION("""COMPUTED_VALUE"""),0.424479166666666)</f>
        <v>0.4244791667</v>
      </c>
      <c r="N56" s="16">
        <f>IFERROR(__xludf.DUMMYFUNCTION("""COMPUTED_VALUE"""),0.424479166666666)</f>
        <v>0.4244791667</v>
      </c>
      <c r="O56" s="16">
        <f>IFERROR(__xludf.DUMMYFUNCTION("""COMPUTED_VALUE"""),0.371241830065359)</f>
        <v>0.3712418301</v>
      </c>
      <c r="P56" s="16">
        <f>IFERROR(__xludf.DUMMYFUNCTION("""COMPUTED_VALUE"""),0.300919842312746)</f>
        <v>0.3009198423</v>
      </c>
      <c r="Q56" s="16">
        <f>IFERROR(__xludf.DUMMYFUNCTION("""COMPUTED_VALUE"""),0.191545574636723)</f>
        <v>0.1915455746</v>
      </c>
      <c r="R56" s="16">
        <f>IFERROR(__xludf.DUMMYFUNCTION("""COMPUTED_VALUE"""),0.179521276595744)</f>
        <v>0.1795212766</v>
      </c>
      <c r="S56" s="16">
        <f>IFERROR(__xludf.DUMMYFUNCTION("""COMPUTED_VALUE"""),0.1237721021611)</f>
        <v>0.1237721022</v>
      </c>
      <c r="T56" s="16">
        <f>IFERROR(__xludf.DUMMYFUNCTION("""COMPUTED_VALUE"""),0.133333333333333)</f>
        <v>0.1333333333</v>
      </c>
      <c r="U56" s="16">
        <f>IFERROR(__xludf.DUMMYFUNCTION("""COMPUTED_VALUE"""),0.0)</f>
        <v>0</v>
      </c>
      <c r="V56" s="16">
        <f>IFERROR(__xludf.DUMMYFUNCTION("""COMPUTED_VALUE"""),0.0)</f>
        <v>0</v>
      </c>
      <c r="W56" s="16">
        <f>IFERROR(__xludf.DUMMYFUNCTION("""COMPUTED_VALUE"""),0.0)</f>
        <v>0</v>
      </c>
      <c r="X56" s="16">
        <f>IFERROR(__xludf.DUMMYFUNCTION("""COMPUTED_VALUE"""),0.0)</f>
        <v>0</v>
      </c>
      <c r="Y56" s="16">
        <f>IFERROR(__xludf.DUMMYFUNCTION("""COMPUTED_VALUE"""),0.0)</f>
        <v>0</v>
      </c>
      <c r="Z56" s="16">
        <f>IFERROR(__xludf.DUMMYFUNCTION("""COMPUTED_VALUE"""),0.0)</f>
        <v>0</v>
      </c>
      <c r="AA56" s="16">
        <f>IFERROR(__xludf.DUMMYFUNCTION("""COMPUTED_VALUE"""),0.0)</f>
        <v>0</v>
      </c>
      <c r="AB56" s="16">
        <f>IFERROR(__xludf.DUMMYFUNCTION("""COMPUTED_VALUE"""),0.0)</f>
        <v>0</v>
      </c>
      <c r="AC56" s="16">
        <f>IFERROR(__xludf.DUMMYFUNCTION("""COMPUTED_VALUE"""),0.0)</f>
        <v>0</v>
      </c>
      <c r="AD56" s="16">
        <f>IFERROR(__xludf.DUMMYFUNCTION("""COMPUTED_VALUE"""),0.0)</f>
        <v>0</v>
      </c>
      <c r="AE56" s="16">
        <f>IFERROR(__xludf.DUMMYFUNCTION("""COMPUTED_VALUE"""),0.0)</f>
        <v>0</v>
      </c>
      <c r="AF56" s="16">
        <f>IFERROR(__xludf.DUMMYFUNCTION("""COMPUTED_VALUE"""),0.0)</f>
        <v>0</v>
      </c>
      <c r="AG56" s="16">
        <f>IFERROR(__xludf.DUMMYFUNCTION("""COMPUTED_VALUE"""),0.0)</f>
        <v>0</v>
      </c>
      <c r="AH56" s="16">
        <f>IFERROR(__xludf.DUMMYFUNCTION("""COMPUTED_VALUE"""),0.0)</f>
        <v>0</v>
      </c>
    </row>
    <row r="57">
      <c r="A57" s="16" t="str">
        <f>IFERROR(__xludf.DUMMYFUNCTION("""COMPUTED_VALUE"""),"2fb79ac2c90574002aaeec2f842f6693eb8ff7c2")</f>
        <v>2fb79ac2c90574002aaeec2f842f6693eb8ff7c2</v>
      </c>
      <c r="B57" s="16" t="str">
        <f>IFERROR(__xludf.DUMMYFUNCTION("""COMPUTED_VALUE"""),"Dear Boss")</f>
        <v>Dear Boss</v>
      </c>
      <c r="C57" s="16" t="str">
        <f>IFERROR(__xludf.DUMMYFUNCTION("""COMPUTED_VALUE"""),"Romance")</f>
        <v>Romance</v>
      </c>
      <c r="D57" s="16">
        <f>IFERROR(__xludf.DUMMYFUNCTION("""COMPUTED_VALUE"""),30.0)</f>
        <v>30</v>
      </c>
      <c r="E57" s="16">
        <f>IFERROR(__xludf.DUMMYFUNCTION("""COMPUTED_VALUE"""),0.966666666666666)</f>
        <v>0.9666666667</v>
      </c>
      <c r="F57" s="16">
        <f>IFERROR(__xludf.DUMMYFUNCTION("""COMPUTED_VALUE"""),0.5)</f>
        <v>0.5</v>
      </c>
      <c r="G57" s="16">
        <f>IFERROR(__xludf.DUMMYFUNCTION("""COMPUTED_VALUE"""),0.4)</f>
        <v>0.4</v>
      </c>
      <c r="H57" s="16">
        <f>IFERROR(__xludf.DUMMYFUNCTION("""COMPUTED_VALUE"""),0.366666666666666)</f>
        <v>0.3666666667</v>
      </c>
      <c r="I57" s="16">
        <f>IFERROR(__xludf.DUMMYFUNCTION("""COMPUTED_VALUE"""),0.333333333333333)</f>
        <v>0.3333333333</v>
      </c>
      <c r="J57" s="16">
        <f>IFERROR(__xludf.DUMMYFUNCTION("""COMPUTED_VALUE"""),0.266666666666666)</f>
        <v>0.2666666667</v>
      </c>
      <c r="K57" s="16">
        <f>IFERROR(__xludf.DUMMYFUNCTION("""COMPUTED_VALUE"""),0.266666666666666)</f>
        <v>0.2666666667</v>
      </c>
      <c r="L57" s="16">
        <f>IFERROR(__xludf.DUMMYFUNCTION("""COMPUTED_VALUE"""),0.233333333333333)</f>
        <v>0.2333333333</v>
      </c>
      <c r="M57" s="16">
        <f>IFERROR(__xludf.DUMMYFUNCTION("""COMPUTED_VALUE"""),0.233333333333333)</f>
        <v>0.2333333333</v>
      </c>
      <c r="N57" s="16">
        <f>IFERROR(__xludf.DUMMYFUNCTION("""COMPUTED_VALUE"""),0.233333333333333)</f>
        <v>0.2333333333</v>
      </c>
      <c r="O57" s="16">
        <f>IFERROR(__xludf.DUMMYFUNCTION("""COMPUTED_VALUE"""),0.2)</f>
        <v>0.2</v>
      </c>
      <c r="P57" s="16">
        <f>IFERROR(__xludf.DUMMYFUNCTION("""COMPUTED_VALUE"""),0.0526315789473684)</f>
        <v>0.05263157895</v>
      </c>
      <c r="Q57" s="16">
        <f>IFERROR(__xludf.DUMMYFUNCTION("""COMPUTED_VALUE"""),0.0)</f>
        <v>0</v>
      </c>
      <c r="R57" s="16">
        <f>IFERROR(__xludf.DUMMYFUNCTION("""COMPUTED_VALUE"""),0.0)</f>
        <v>0</v>
      </c>
      <c r="S57" s="16">
        <f>IFERROR(__xludf.DUMMYFUNCTION("""COMPUTED_VALUE"""),0.0)</f>
        <v>0</v>
      </c>
      <c r="T57" s="16">
        <f>IFERROR(__xludf.DUMMYFUNCTION("""COMPUTED_VALUE"""),0.0)</f>
        <v>0</v>
      </c>
      <c r="U57" s="16">
        <f>IFERROR(__xludf.DUMMYFUNCTION("""COMPUTED_VALUE"""),0.0)</f>
        <v>0</v>
      </c>
      <c r="V57" s="16">
        <f>IFERROR(__xludf.DUMMYFUNCTION("""COMPUTED_VALUE"""),0.0)</f>
        <v>0</v>
      </c>
      <c r="W57" s="16">
        <f>IFERROR(__xludf.DUMMYFUNCTION("""COMPUTED_VALUE"""),0.0)</f>
        <v>0</v>
      </c>
      <c r="X57" s="16">
        <f>IFERROR(__xludf.DUMMYFUNCTION("""COMPUTED_VALUE"""),0.0)</f>
        <v>0</v>
      </c>
      <c r="Y57" s="16">
        <f>IFERROR(__xludf.DUMMYFUNCTION("""COMPUTED_VALUE"""),0.0)</f>
        <v>0</v>
      </c>
      <c r="Z57" s="16">
        <f>IFERROR(__xludf.DUMMYFUNCTION("""COMPUTED_VALUE"""),0.0)</f>
        <v>0</v>
      </c>
      <c r="AA57" s="16">
        <f>IFERROR(__xludf.DUMMYFUNCTION("""COMPUTED_VALUE"""),0.0)</f>
        <v>0</v>
      </c>
      <c r="AB57" s="16">
        <f>IFERROR(__xludf.DUMMYFUNCTION("""COMPUTED_VALUE"""),0.0)</f>
        <v>0</v>
      </c>
      <c r="AC57" s="16">
        <f>IFERROR(__xludf.DUMMYFUNCTION("""COMPUTED_VALUE"""),0.0)</f>
        <v>0</v>
      </c>
      <c r="AD57" s="16">
        <f>IFERROR(__xludf.DUMMYFUNCTION("""COMPUTED_VALUE"""),0.0)</f>
        <v>0</v>
      </c>
      <c r="AE57" s="16">
        <f>IFERROR(__xludf.DUMMYFUNCTION("""COMPUTED_VALUE"""),0.0)</f>
        <v>0</v>
      </c>
      <c r="AF57" s="16">
        <f>IFERROR(__xludf.DUMMYFUNCTION("""COMPUTED_VALUE"""),0.0)</f>
        <v>0</v>
      </c>
      <c r="AG57" s="16">
        <f>IFERROR(__xludf.DUMMYFUNCTION("""COMPUTED_VALUE"""),0.0)</f>
        <v>0</v>
      </c>
      <c r="AH57" s="16">
        <f>IFERROR(__xludf.DUMMYFUNCTION("""COMPUTED_VALUE"""),0.0)</f>
        <v>0</v>
      </c>
    </row>
    <row r="58">
      <c r="A58" s="16" t="str">
        <f>IFERROR(__xludf.DUMMYFUNCTION("""COMPUTED_VALUE"""),"31b86ee5ffeadf52fab3148c3add083a2f90b442")</f>
        <v>31b86ee5ffeadf52fab3148c3add083a2f90b442</v>
      </c>
      <c r="B58" s="16" t="str">
        <f>IFERROR(__xludf.DUMMYFUNCTION("""COMPUTED_VALUE"""),"Enchanted by Blood ")</f>
        <v>Enchanted by Blood </v>
      </c>
      <c r="C58" s="16" t="str">
        <f>IFERROR(__xludf.DUMMYFUNCTION("""COMPUTED_VALUE"""),"Romantasy")</f>
        <v>Romantasy</v>
      </c>
      <c r="D58" s="16">
        <f>IFERROR(__xludf.DUMMYFUNCTION("""COMPUTED_VALUE"""),4.0)</f>
        <v>4</v>
      </c>
      <c r="E58" s="16">
        <f>IFERROR(__xludf.DUMMYFUNCTION("""COMPUTED_VALUE"""),1.0)</f>
        <v>1</v>
      </c>
      <c r="F58" s="16">
        <f>IFERROR(__xludf.DUMMYFUNCTION("""COMPUTED_VALUE"""),0.5)</f>
        <v>0.5</v>
      </c>
      <c r="G58" s="16">
        <f>IFERROR(__xludf.DUMMYFUNCTION("""COMPUTED_VALUE"""),0.5)</f>
        <v>0.5</v>
      </c>
      <c r="H58" s="16">
        <f>IFERROR(__xludf.DUMMYFUNCTION("""COMPUTED_VALUE"""),0.5)</f>
        <v>0.5</v>
      </c>
      <c r="I58" s="16">
        <f>IFERROR(__xludf.DUMMYFUNCTION("""COMPUTED_VALUE"""),0.5)</f>
        <v>0.5</v>
      </c>
      <c r="J58" s="16">
        <f>IFERROR(__xludf.DUMMYFUNCTION("""COMPUTED_VALUE"""),0.5)</f>
        <v>0.5</v>
      </c>
      <c r="K58" s="16">
        <f>IFERROR(__xludf.DUMMYFUNCTION("""COMPUTED_VALUE"""),0.5)</f>
        <v>0.5</v>
      </c>
      <c r="L58" s="16">
        <f>IFERROR(__xludf.DUMMYFUNCTION("""COMPUTED_VALUE"""),0.5)</f>
        <v>0.5</v>
      </c>
      <c r="M58" s="16">
        <f>IFERROR(__xludf.DUMMYFUNCTION("""COMPUTED_VALUE"""),0.666666666666666)</f>
        <v>0.6666666667</v>
      </c>
      <c r="N58" s="16">
        <f>IFERROR(__xludf.DUMMYFUNCTION("""COMPUTED_VALUE"""),0.666666666666666)</f>
        <v>0.6666666667</v>
      </c>
      <c r="O58" s="16">
        <f>IFERROR(__xludf.DUMMYFUNCTION("""COMPUTED_VALUE"""),0.666666666666666)</f>
        <v>0.6666666667</v>
      </c>
      <c r="P58" s="16">
        <f>IFERROR(__xludf.DUMMYFUNCTION("""COMPUTED_VALUE"""),0.0)</f>
        <v>0</v>
      </c>
      <c r="Q58" s="16">
        <f>IFERROR(__xludf.DUMMYFUNCTION("""COMPUTED_VALUE"""),0.0)</f>
        <v>0</v>
      </c>
      <c r="R58" s="16">
        <f>IFERROR(__xludf.DUMMYFUNCTION("""COMPUTED_VALUE"""),0.0)</f>
        <v>0</v>
      </c>
      <c r="S58" s="16">
        <f>IFERROR(__xludf.DUMMYFUNCTION("""COMPUTED_VALUE"""),0.0)</f>
        <v>0</v>
      </c>
      <c r="T58" s="16">
        <f>IFERROR(__xludf.DUMMYFUNCTION("""COMPUTED_VALUE"""),0.0)</f>
        <v>0</v>
      </c>
      <c r="U58" s="16">
        <f>IFERROR(__xludf.DUMMYFUNCTION("""COMPUTED_VALUE"""),0.0)</f>
        <v>0</v>
      </c>
      <c r="V58" s="16">
        <f>IFERROR(__xludf.DUMMYFUNCTION("""COMPUTED_VALUE"""),0.0)</f>
        <v>0</v>
      </c>
      <c r="W58" s="16">
        <f>IFERROR(__xludf.DUMMYFUNCTION("""COMPUTED_VALUE"""),0.0)</f>
        <v>0</v>
      </c>
      <c r="X58" s="16">
        <f>IFERROR(__xludf.DUMMYFUNCTION("""COMPUTED_VALUE"""),0.0)</f>
        <v>0</v>
      </c>
      <c r="Y58" s="16">
        <f>IFERROR(__xludf.DUMMYFUNCTION("""COMPUTED_VALUE"""),0.0)</f>
        <v>0</v>
      </c>
      <c r="Z58" s="16">
        <f>IFERROR(__xludf.DUMMYFUNCTION("""COMPUTED_VALUE"""),0.0)</f>
        <v>0</v>
      </c>
      <c r="AA58" s="16">
        <f>IFERROR(__xludf.DUMMYFUNCTION("""COMPUTED_VALUE"""),0.0)</f>
        <v>0</v>
      </c>
      <c r="AB58" s="16">
        <f>IFERROR(__xludf.DUMMYFUNCTION("""COMPUTED_VALUE"""),0.0)</f>
        <v>0</v>
      </c>
      <c r="AC58" s="16">
        <f>IFERROR(__xludf.DUMMYFUNCTION("""COMPUTED_VALUE"""),0.0)</f>
        <v>0</v>
      </c>
      <c r="AD58" s="16">
        <f>IFERROR(__xludf.DUMMYFUNCTION("""COMPUTED_VALUE"""),0.0)</f>
        <v>0</v>
      </c>
      <c r="AE58" s="16">
        <f>IFERROR(__xludf.DUMMYFUNCTION("""COMPUTED_VALUE"""),0.0)</f>
        <v>0</v>
      </c>
      <c r="AF58" s="16">
        <f>IFERROR(__xludf.DUMMYFUNCTION("""COMPUTED_VALUE"""),0.0)</f>
        <v>0</v>
      </c>
      <c r="AG58" s="16">
        <f>IFERROR(__xludf.DUMMYFUNCTION("""COMPUTED_VALUE"""),0.0)</f>
        <v>0</v>
      </c>
      <c r="AH58" s="16">
        <f>IFERROR(__xludf.DUMMYFUNCTION("""COMPUTED_VALUE"""),0.0)</f>
        <v>0</v>
      </c>
    </row>
    <row r="59">
      <c r="A59" s="16" t="str">
        <f>IFERROR(__xludf.DUMMYFUNCTION("""COMPUTED_VALUE"""),"31e58f7ec421b1daaed1f4ac654ecd9eb855bc93")</f>
        <v>31e58f7ec421b1daaed1f4ac654ecd9eb855bc93</v>
      </c>
      <c r="B59" s="16" t="str">
        <f>IFERROR(__xludf.DUMMYFUNCTION("""COMPUTED_VALUE"""),"The Forsaken Path")</f>
        <v>The Forsaken Path</v>
      </c>
      <c r="C59" s="16" t="str">
        <f>IFERROR(__xludf.DUMMYFUNCTION("""COMPUTED_VALUE"""),"Fantasy")</f>
        <v>Fantasy</v>
      </c>
      <c r="D59" s="16">
        <f>IFERROR(__xludf.DUMMYFUNCTION("""COMPUTED_VALUE"""),498.0)</f>
        <v>498</v>
      </c>
      <c r="E59" s="16">
        <f>IFERROR(__xludf.DUMMYFUNCTION("""COMPUTED_VALUE"""),0.989959839357429)</f>
        <v>0.9899598394</v>
      </c>
      <c r="F59" s="16">
        <f>IFERROR(__xludf.DUMMYFUNCTION("""COMPUTED_VALUE"""),0.560240963855421)</f>
        <v>0.5602409639</v>
      </c>
      <c r="G59" s="16">
        <f>IFERROR(__xludf.DUMMYFUNCTION("""COMPUTED_VALUE"""),0.51004016064257)</f>
        <v>0.5100401606</v>
      </c>
      <c r="H59" s="16">
        <f>IFERROR(__xludf.DUMMYFUNCTION("""COMPUTED_VALUE"""),0.439759036144578)</f>
        <v>0.4397590361</v>
      </c>
      <c r="I59" s="16">
        <f>IFERROR(__xludf.DUMMYFUNCTION("""COMPUTED_VALUE"""),0.431726907630522)</f>
        <v>0.4317269076</v>
      </c>
      <c r="J59" s="16">
        <f>IFERROR(__xludf.DUMMYFUNCTION("""COMPUTED_VALUE"""),0.412955465587044)</f>
        <v>0.4129554656</v>
      </c>
      <c r="K59" s="16">
        <f>IFERROR(__xludf.DUMMYFUNCTION("""COMPUTED_VALUE"""),0.390688259109311)</f>
        <v>0.3906882591</v>
      </c>
      <c r="L59" s="16">
        <f>IFERROR(__xludf.DUMMYFUNCTION("""COMPUTED_VALUE"""),0.383367139959432)</f>
        <v>0.38336714</v>
      </c>
      <c r="M59" s="16">
        <f>IFERROR(__xludf.DUMMYFUNCTION("""COMPUTED_VALUE"""),0.369918699186991)</f>
        <v>0.3699186992</v>
      </c>
      <c r="N59" s="16">
        <f>IFERROR(__xludf.DUMMYFUNCTION("""COMPUTED_VALUE"""),0.355828220858895)</f>
        <v>0.3558282209</v>
      </c>
      <c r="O59" s="16">
        <f>IFERROR(__xludf.DUMMYFUNCTION("""COMPUTED_VALUE"""),0.27801724137931)</f>
        <v>0.2780172414</v>
      </c>
      <c r="P59" s="16">
        <f>IFERROR(__xludf.DUMMYFUNCTION("""COMPUTED_VALUE"""),0.166666666666666)</f>
        <v>0.1666666667</v>
      </c>
      <c r="Q59" s="16">
        <f>IFERROR(__xludf.DUMMYFUNCTION("""COMPUTED_VALUE"""),0.133333333333333)</f>
        <v>0.1333333333</v>
      </c>
      <c r="R59" s="16">
        <f>IFERROR(__xludf.DUMMYFUNCTION("""COMPUTED_VALUE"""),0.2)</f>
        <v>0.2</v>
      </c>
      <c r="S59" s="16">
        <f>IFERROR(__xludf.DUMMYFUNCTION("""COMPUTED_VALUE"""),0.0)</f>
        <v>0</v>
      </c>
      <c r="T59" s="16">
        <f>IFERROR(__xludf.DUMMYFUNCTION("""COMPUTED_VALUE"""),0.0)</f>
        <v>0</v>
      </c>
      <c r="U59" s="16">
        <f>IFERROR(__xludf.DUMMYFUNCTION("""COMPUTED_VALUE"""),0.0)</f>
        <v>0</v>
      </c>
      <c r="V59" s="16">
        <f>IFERROR(__xludf.DUMMYFUNCTION("""COMPUTED_VALUE"""),0.0)</f>
        <v>0</v>
      </c>
      <c r="W59" s="16">
        <f>IFERROR(__xludf.DUMMYFUNCTION("""COMPUTED_VALUE"""),0.0)</f>
        <v>0</v>
      </c>
      <c r="X59" s="16">
        <f>IFERROR(__xludf.DUMMYFUNCTION("""COMPUTED_VALUE"""),0.0)</f>
        <v>0</v>
      </c>
      <c r="Y59" s="16">
        <f>IFERROR(__xludf.DUMMYFUNCTION("""COMPUTED_VALUE"""),0.0)</f>
        <v>0</v>
      </c>
      <c r="Z59" s="16">
        <f>IFERROR(__xludf.DUMMYFUNCTION("""COMPUTED_VALUE"""),0.0)</f>
        <v>0</v>
      </c>
      <c r="AA59" s="16">
        <f>IFERROR(__xludf.DUMMYFUNCTION("""COMPUTED_VALUE"""),0.0)</f>
        <v>0</v>
      </c>
      <c r="AB59" s="16">
        <f>IFERROR(__xludf.DUMMYFUNCTION("""COMPUTED_VALUE"""),0.0)</f>
        <v>0</v>
      </c>
      <c r="AC59" s="16">
        <f>IFERROR(__xludf.DUMMYFUNCTION("""COMPUTED_VALUE"""),0.0)</f>
        <v>0</v>
      </c>
      <c r="AD59" s="16">
        <f>IFERROR(__xludf.DUMMYFUNCTION("""COMPUTED_VALUE"""),0.0)</f>
        <v>0</v>
      </c>
      <c r="AE59" s="16">
        <f>IFERROR(__xludf.DUMMYFUNCTION("""COMPUTED_VALUE"""),0.0)</f>
        <v>0</v>
      </c>
      <c r="AF59" s="16">
        <f>IFERROR(__xludf.DUMMYFUNCTION("""COMPUTED_VALUE"""),0.0)</f>
        <v>0</v>
      </c>
      <c r="AG59" s="16">
        <f>IFERROR(__xludf.DUMMYFUNCTION("""COMPUTED_VALUE"""),0.0)</f>
        <v>0</v>
      </c>
      <c r="AH59" s="16">
        <f>IFERROR(__xludf.DUMMYFUNCTION("""COMPUTED_VALUE"""),0.0)</f>
        <v>0</v>
      </c>
    </row>
    <row r="60">
      <c r="A60" s="16" t="str">
        <f>IFERROR(__xludf.DUMMYFUNCTION("""COMPUTED_VALUE"""),"328a6c95d732271bc4717aa2abf3a7c15f89a25e")</f>
        <v>328a6c95d732271bc4717aa2abf3a7c15f89a25e</v>
      </c>
      <c r="B60" s="16" t="str">
        <f>IFERROR(__xludf.DUMMYFUNCTION("""COMPUTED_VALUE"""),"Braving the Rapid Waters")</f>
        <v>Braving the Rapid Waters</v>
      </c>
      <c r="C60" s="16" t="str">
        <f>IFERROR(__xludf.DUMMYFUNCTION("""COMPUTED_VALUE"""),"Romance")</f>
        <v>Romance</v>
      </c>
      <c r="D60" s="16">
        <f>IFERROR(__xludf.DUMMYFUNCTION("""COMPUTED_VALUE"""),68.0)</f>
        <v>68</v>
      </c>
      <c r="E60" s="16">
        <f>IFERROR(__xludf.DUMMYFUNCTION("""COMPUTED_VALUE"""),0.970588235294117)</f>
        <v>0.9705882353</v>
      </c>
      <c r="F60" s="16">
        <f>IFERROR(__xludf.DUMMYFUNCTION("""COMPUTED_VALUE"""),0.558823529411764)</f>
        <v>0.5588235294</v>
      </c>
      <c r="G60" s="16">
        <f>IFERROR(__xludf.DUMMYFUNCTION("""COMPUTED_VALUE"""),0.470588235294117)</f>
        <v>0.4705882353</v>
      </c>
      <c r="H60" s="16">
        <f>IFERROR(__xludf.DUMMYFUNCTION("""COMPUTED_VALUE"""),0.455882352941176)</f>
        <v>0.4558823529</v>
      </c>
      <c r="I60" s="16">
        <f>IFERROR(__xludf.DUMMYFUNCTION("""COMPUTED_VALUE"""),0.411764705882352)</f>
        <v>0.4117647059</v>
      </c>
      <c r="J60" s="16">
        <f>IFERROR(__xludf.DUMMYFUNCTION("""COMPUTED_VALUE"""),0.397058823529411)</f>
        <v>0.3970588235</v>
      </c>
      <c r="K60" s="16">
        <f>IFERROR(__xludf.DUMMYFUNCTION("""COMPUTED_VALUE"""),0.367647058823529)</f>
        <v>0.3676470588</v>
      </c>
      <c r="L60" s="16">
        <f>IFERROR(__xludf.DUMMYFUNCTION("""COMPUTED_VALUE"""),0.367647058823529)</f>
        <v>0.3676470588</v>
      </c>
      <c r="M60" s="16">
        <f>IFERROR(__xludf.DUMMYFUNCTION("""COMPUTED_VALUE"""),0.352941176470588)</f>
        <v>0.3529411765</v>
      </c>
      <c r="N60" s="16">
        <f>IFERROR(__xludf.DUMMYFUNCTION("""COMPUTED_VALUE"""),0.338235294117647)</f>
        <v>0.3382352941</v>
      </c>
      <c r="O60" s="16">
        <f>IFERROR(__xludf.DUMMYFUNCTION("""COMPUTED_VALUE"""),0.264705882352941)</f>
        <v>0.2647058824</v>
      </c>
      <c r="P60" s="16">
        <f>IFERROR(__xludf.DUMMYFUNCTION("""COMPUTED_VALUE"""),0.176470588235294)</f>
        <v>0.1764705882</v>
      </c>
      <c r="Q60" s="16">
        <f>IFERROR(__xludf.DUMMYFUNCTION("""COMPUTED_VALUE"""),0.117647058823529)</f>
        <v>0.1176470588</v>
      </c>
      <c r="R60" s="16">
        <f>IFERROR(__xludf.DUMMYFUNCTION("""COMPUTED_VALUE"""),0.0441176470588235)</f>
        <v>0.04411764706</v>
      </c>
      <c r="S60" s="16">
        <f>IFERROR(__xludf.DUMMYFUNCTION("""COMPUTED_VALUE"""),0.0)</f>
        <v>0</v>
      </c>
      <c r="T60" s="16">
        <f>IFERROR(__xludf.DUMMYFUNCTION("""COMPUTED_VALUE"""),0.0)</f>
        <v>0</v>
      </c>
      <c r="U60" s="16">
        <f>IFERROR(__xludf.DUMMYFUNCTION("""COMPUTED_VALUE"""),0.0)</f>
        <v>0</v>
      </c>
      <c r="V60" s="16">
        <f>IFERROR(__xludf.DUMMYFUNCTION("""COMPUTED_VALUE"""),0.0)</f>
        <v>0</v>
      </c>
      <c r="W60" s="16">
        <f>IFERROR(__xludf.DUMMYFUNCTION("""COMPUTED_VALUE"""),0.0)</f>
        <v>0</v>
      </c>
      <c r="X60" s="16">
        <f>IFERROR(__xludf.DUMMYFUNCTION("""COMPUTED_VALUE"""),0.0)</f>
        <v>0</v>
      </c>
      <c r="Y60" s="16">
        <f>IFERROR(__xludf.DUMMYFUNCTION("""COMPUTED_VALUE"""),0.0)</f>
        <v>0</v>
      </c>
      <c r="Z60" s="16">
        <f>IFERROR(__xludf.DUMMYFUNCTION("""COMPUTED_VALUE"""),0.0)</f>
        <v>0</v>
      </c>
      <c r="AA60" s="16">
        <f>IFERROR(__xludf.DUMMYFUNCTION("""COMPUTED_VALUE"""),0.0)</f>
        <v>0</v>
      </c>
      <c r="AB60" s="16">
        <f>IFERROR(__xludf.DUMMYFUNCTION("""COMPUTED_VALUE"""),0.0)</f>
        <v>0</v>
      </c>
      <c r="AC60" s="16">
        <f>IFERROR(__xludf.DUMMYFUNCTION("""COMPUTED_VALUE"""),0.0)</f>
        <v>0</v>
      </c>
      <c r="AD60" s="16">
        <f>IFERROR(__xludf.DUMMYFUNCTION("""COMPUTED_VALUE"""),0.0)</f>
        <v>0</v>
      </c>
      <c r="AE60" s="16">
        <f>IFERROR(__xludf.DUMMYFUNCTION("""COMPUTED_VALUE"""),0.0)</f>
        <v>0</v>
      </c>
      <c r="AF60" s="16">
        <f>IFERROR(__xludf.DUMMYFUNCTION("""COMPUTED_VALUE"""),0.0)</f>
        <v>0</v>
      </c>
      <c r="AG60" s="16">
        <f>IFERROR(__xludf.DUMMYFUNCTION("""COMPUTED_VALUE"""),0.0)</f>
        <v>0</v>
      </c>
      <c r="AH60" s="16">
        <f>IFERROR(__xludf.DUMMYFUNCTION("""COMPUTED_VALUE"""),0.0)</f>
        <v>0</v>
      </c>
    </row>
    <row r="61">
      <c r="A61" s="16" t="str">
        <f>IFERROR(__xludf.DUMMYFUNCTION("""COMPUTED_VALUE"""),"328d4b017d5db890a886902acdade960088fb3d8")</f>
        <v>328d4b017d5db890a886902acdade960088fb3d8</v>
      </c>
      <c r="B61" s="16" t="str">
        <f>IFERROR(__xludf.DUMMYFUNCTION("""COMPUTED_VALUE"""),"Her Worthless Son-in-Law")</f>
        <v>Her Worthless Son-in-Law</v>
      </c>
      <c r="C61" s="16" t="str">
        <f>IFERROR(__xludf.DUMMYFUNCTION("""COMPUTED_VALUE"""),"System and Superpower")</f>
        <v>System and Superpower</v>
      </c>
      <c r="D61" s="16">
        <f>IFERROR(__xludf.DUMMYFUNCTION("""COMPUTED_VALUE"""),95.0)</f>
        <v>95</v>
      </c>
      <c r="E61" s="16">
        <f>IFERROR(__xludf.DUMMYFUNCTION("""COMPUTED_VALUE"""),0.894736842105263)</f>
        <v>0.8947368421</v>
      </c>
      <c r="F61" s="16">
        <f>IFERROR(__xludf.DUMMYFUNCTION("""COMPUTED_VALUE"""),0.726315789473684)</f>
        <v>0.7263157895</v>
      </c>
      <c r="G61" s="16">
        <f>IFERROR(__xludf.DUMMYFUNCTION("""COMPUTED_VALUE"""),0.684210526315789)</f>
        <v>0.6842105263</v>
      </c>
      <c r="H61" s="16">
        <f>IFERROR(__xludf.DUMMYFUNCTION("""COMPUTED_VALUE"""),0.642105263157894)</f>
        <v>0.6421052632</v>
      </c>
      <c r="I61" s="16">
        <f>IFERROR(__xludf.DUMMYFUNCTION("""COMPUTED_VALUE"""),0.631578947368421)</f>
        <v>0.6315789474</v>
      </c>
      <c r="J61" s="16">
        <f>IFERROR(__xludf.DUMMYFUNCTION("""COMPUTED_VALUE"""),0.585106382978723)</f>
        <v>0.585106383</v>
      </c>
      <c r="K61" s="16">
        <f>IFERROR(__xludf.DUMMYFUNCTION("""COMPUTED_VALUE"""),0.585106382978723)</f>
        <v>0.585106383</v>
      </c>
      <c r="L61" s="16">
        <f>IFERROR(__xludf.DUMMYFUNCTION("""COMPUTED_VALUE"""),0.559139784946236)</f>
        <v>0.5591397849</v>
      </c>
      <c r="M61" s="16">
        <f>IFERROR(__xludf.DUMMYFUNCTION("""COMPUTED_VALUE"""),0.571428571428571)</f>
        <v>0.5714285714</v>
      </c>
      <c r="N61" s="16">
        <f>IFERROR(__xludf.DUMMYFUNCTION("""COMPUTED_VALUE"""),0.5)</f>
        <v>0.5</v>
      </c>
      <c r="O61" s="16">
        <f>IFERROR(__xludf.DUMMYFUNCTION("""COMPUTED_VALUE"""),0.391304347826087)</f>
        <v>0.3913043478</v>
      </c>
      <c r="P61" s="16">
        <f>IFERROR(__xludf.DUMMYFUNCTION("""COMPUTED_VALUE"""),0.36)</f>
        <v>0.36</v>
      </c>
      <c r="Q61" s="16">
        <f>IFERROR(__xludf.DUMMYFUNCTION("""COMPUTED_VALUE"""),0.295454545454545)</f>
        <v>0.2954545455</v>
      </c>
      <c r="R61" s="16">
        <f>IFERROR(__xludf.DUMMYFUNCTION("""COMPUTED_VALUE"""),0.117647058823529)</f>
        <v>0.1176470588</v>
      </c>
      <c r="S61" s="16">
        <f>IFERROR(__xludf.DUMMYFUNCTION("""COMPUTED_VALUE"""),0.0)</f>
        <v>0</v>
      </c>
      <c r="T61" s="16">
        <f>IFERROR(__xludf.DUMMYFUNCTION("""COMPUTED_VALUE"""),0.0)</f>
        <v>0</v>
      </c>
      <c r="U61" s="16">
        <f>IFERROR(__xludf.DUMMYFUNCTION("""COMPUTED_VALUE"""),0.0)</f>
        <v>0</v>
      </c>
      <c r="V61" s="16">
        <f>IFERROR(__xludf.DUMMYFUNCTION("""COMPUTED_VALUE"""),0.0)</f>
        <v>0</v>
      </c>
      <c r="W61" s="16">
        <f>IFERROR(__xludf.DUMMYFUNCTION("""COMPUTED_VALUE"""),0.0)</f>
        <v>0</v>
      </c>
      <c r="X61" s="16">
        <f>IFERROR(__xludf.DUMMYFUNCTION("""COMPUTED_VALUE"""),0.0)</f>
        <v>0</v>
      </c>
      <c r="Y61" s="16">
        <f>IFERROR(__xludf.DUMMYFUNCTION("""COMPUTED_VALUE"""),0.0)</f>
        <v>0</v>
      </c>
      <c r="Z61" s="16">
        <f>IFERROR(__xludf.DUMMYFUNCTION("""COMPUTED_VALUE"""),0.0)</f>
        <v>0</v>
      </c>
      <c r="AA61" s="16">
        <f>IFERROR(__xludf.DUMMYFUNCTION("""COMPUTED_VALUE"""),0.0)</f>
        <v>0</v>
      </c>
      <c r="AB61" s="16">
        <f>IFERROR(__xludf.DUMMYFUNCTION("""COMPUTED_VALUE"""),0.0)</f>
        <v>0</v>
      </c>
      <c r="AC61" s="16">
        <f>IFERROR(__xludf.DUMMYFUNCTION("""COMPUTED_VALUE"""),0.0)</f>
        <v>0</v>
      </c>
      <c r="AD61" s="16">
        <f>IFERROR(__xludf.DUMMYFUNCTION("""COMPUTED_VALUE"""),0.0)</f>
        <v>0</v>
      </c>
      <c r="AE61" s="16">
        <f>IFERROR(__xludf.DUMMYFUNCTION("""COMPUTED_VALUE"""),0.0)</f>
        <v>0</v>
      </c>
      <c r="AF61" s="16">
        <f>IFERROR(__xludf.DUMMYFUNCTION("""COMPUTED_VALUE"""),0.0)</f>
        <v>0</v>
      </c>
      <c r="AG61" s="16">
        <f>IFERROR(__xludf.DUMMYFUNCTION("""COMPUTED_VALUE"""),0.0)</f>
        <v>0</v>
      </c>
      <c r="AH61" s="16">
        <f>IFERROR(__xludf.DUMMYFUNCTION("""COMPUTED_VALUE"""),0.0)</f>
        <v>0</v>
      </c>
    </row>
    <row r="62">
      <c r="A62" s="16" t="str">
        <f>IFERROR(__xludf.DUMMYFUNCTION("""COMPUTED_VALUE"""),"33e8ab0db9ae32917785af78276932f16eac10c0")</f>
        <v>33e8ab0db9ae32917785af78276932f16eac10c0</v>
      </c>
      <c r="B62" s="16" t="str">
        <f>IFERROR(__xludf.DUMMYFUNCTION("""COMPUTED_VALUE"""),"The Crowns Selection")</f>
        <v>The Crowns Selection</v>
      </c>
      <c r="C62" s="16" t="str">
        <f>IFERROR(__xludf.DUMMYFUNCTION("""COMPUTED_VALUE"""),"Romance")</f>
        <v>Romance</v>
      </c>
      <c r="D62" s="16">
        <f>IFERROR(__xludf.DUMMYFUNCTION("""COMPUTED_VALUE"""),18.0)</f>
        <v>18</v>
      </c>
      <c r="E62" s="16">
        <f>IFERROR(__xludf.DUMMYFUNCTION("""COMPUTED_VALUE"""),1.0)</f>
        <v>1</v>
      </c>
      <c r="F62" s="16">
        <f>IFERROR(__xludf.DUMMYFUNCTION("""COMPUTED_VALUE"""),0.777777777777777)</f>
        <v>0.7777777778</v>
      </c>
      <c r="G62" s="16">
        <f>IFERROR(__xludf.DUMMYFUNCTION("""COMPUTED_VALUE"""),0.777777777777777)</f>
        <v>0.7777777778</v>
      </c>
      <c r="H62" s="16">
        <f>IFERROR(__xludf.DUMMYFUNCTION("""COMPUTED_VALUE"""),0.666666666666666)</f>
        <v>0.6666666667</v>
      </c>
      <c r="I62" s="16">
        <f>IFERROR(__xludf.DUMMYFUNCTION("""COMPUTED_VALUE"""),0.555555555555555)</f>
        <v>0.5555555556</v>
      </c>
      <c r="J62" s="16">
        <f>IFERROR(__xludf.DUMMYFUNCTION("""COMPUTED_VALUE"""),0.444444444444444)</f>
        <v>0.4444444444</v>
      </c>
      <c r="K62" s="16">
        <f>IFERROR(__xludf.DUMMYFUNCTION("""COMPUTED_VALUE"""),0.444444444444444)</f>
        <v>0.4444444444</v>
      </c>
      <c r="L62" s="16">
        <f>IFERROR(__xludf.DUMMYFUNCTION("""COMPUTED_VALUE"""),0.444444444444444)</f>
        <v>0.4444444444</v>
      </c>
      <c r="M62" s="16">
        <f>IFERROR(__xludf.DUMMYFUNCTION("""COMPUTED_VALUE"""),0.444444444444444)</f>
        <v>0.4444444444</v>
      </c>
      <c r="N62" s="16">
        <f>IFERROR(__xludf.DUMMYFUNCTION("""COMPUTED_VALUE"""),0.444444444444444)</f>
        <v>0.4444444444</v>
      </c>
      <c r="O62" s="16">
        <f>IFERROR(__xludf.DUMMYFUNCTION("""COMPUTED_VALUE"""),0.538461538461538)</f>
        <v>0.5384615385</v>
      </c>
      <c r="P62" s="16">
        <f>IFERROR(__xludf.DUMMYFUNCTION("""COMPUTED_VALUE"""),0.5)</f>
        <v>0.5</v>
      </c>
      <c r="Q62" s="16">
        <f>IFERROR(__xludf.DUMMYFUNCTION("""COMPUTED_VALUE"""),1.0)</f>
        <v>1</v>
      </c>
      <c r="R62" s="16">
        <f>IFERROR(__xludf.DUMMYFUNCTION("""COMPUTED_VALUE"""),0.0)</f>
        <v>0</v>
      </c>
      <c r="S62" s="16">
        <f>IFERROR(__xludf.DUMMYFUNCTION("""COMPUTED_VALUE"""),0.0)</f>
        <v>0</v>
      </c>
      <c r="T62" s="16">
        <f>IFERROR(__xludf.DUMMYFUNCTION("""COMPUTED_VALUE"""),0.0)</f>
        <v>0</v>
      </c>
      <c r="U62" s="16">
        <f>IFERROR(__xludf.DUMMYFUNCTION("""COMPUTED_VALUE"""),0.0)</f>
        <v>0</v>
      </c>
      <c r="V62" s="16">
        <f>IFERROR(__xludf.DUMMYFUNCTION("""COMPUTED_VALUE"""),0.0)</f>
        <v>0</v>
      </c>
      <c r="W62" s="16">
        <f>IFERROR(__xludf.DUMMYFUNCTION("""COMPUTED_VALUE"""),0.0)</f>
        <v>0</v>
      </c>
      <c r="X62" s="16">
        <f>IFERROR(__xludf.DUMMYFUNCTION("""COMPUTED_VALUE"""),0.0)</f>
        <v>0</v>
      </c>
      <c r="Y62" s="16">
        <f>IFERROR(__xludf.DUMMYFUNCTION("""COMPUTED_VALUE"""),0.0)</f>
        <v>0</v>
      </c>
      <c r="Z62" s="16">
        <f>IFERROR(__xludf.DUMMYFUNCTION("""COMPUTED_VALUE"""),0.0)</f>
        <v>0</v>
      </c>
      <c r="AA62" s="16">
        <f>IFERROR(__xludf.DUMMYFUNCTION("""COMPUTED_VALUE"""),0.0)</f>
        <v>0</v>
      </c>
      <c r="AB62" s="16">
        <f>IFERROR(__xludf.DUMMYFUNCTION("""COMPUTED_VALUE"""),0.0)</f>
        <v>0</v>
      </c>
      <c r="AC62" s="16">
        <f>IFERROR(__xludf.DUMMYFUNCTION("""COMPUTED_VALUE"""),0.0)</f>
        <v>0</v>
      </c>
      <c r="AD62" s="16">
        <f>IFERROR(__xludf.DUMMYFUNCTION("""COMPUTED_VALUE"""),0.0)</f>
        <v>0</v>
      </c>
      <c r="AE62" s="16">
        <f>IFERROR(__xludf.DUMMYFUNCTION("""COMPUTED_VALUE"""),0.0)</f>
        <v>0</v>
      </c>
      <c r="AF62" s="16">
        <f>IFERROR(__xludf.DUMMYFUNCTION("""COMPUTED_VALUE"""),0.0)</f>
        <v>0</v>
      </c>
      <c r="AG62" s="16">
        <f>IFERROR(__xludf.DUMMYFUNCTION("""COMPUTED_VALUE"""),0.0)</f>
        <v>0</v>
      </c>
      <c r="AH62" s="16">
        <f>IFERROR(__xludf.DUMMYFUNCTION("""COMPUTED_VALUE"""),0.0)</f>
        <v>0</v>
      </c>
    </row>
    <row r="63">
      <c r="A63" s="16" t="str">
        <f>IFERROR(__xludf.DUMMYFUNCTION("""COMPUTED_VALUE"""),"344fcbb2ea419c5e240def842cb2949db59acee4")</f>
        <v>344fcbb2ea419c5e240def842cb2949db59acee4</v>
      </c>
      <c r="B63" s="16" t="str">
        <f>IFERROR(__xludf.DUMMYFUNCTION("""COMPUTED_VALUE"""),"Gate of Immortality")</f>
        <v>Gate of Immortality</v>
      </c>
      <c r="C63" s="16" t="str">
        <f>IFERROR(__xludf.DUMMYFUNCTION("""COMPUTED_VALUE"""),"Drama")</f>
        <v>Drama</v>
      </c>
      <c r="D63" s="16">
        <f>IFERROR(__xludf.DUMMYFUNCTION("""COMPUTED_VALUE"""),421.0)</f>
        <v>421</v>
      </c>
      <c r="E63" s="16">
        <f>IFERROR(__xludf.DUMMYFUNCTION("""COMPUTED_VALUE"""),0.990498812351543)</f>
        <v>0.9904988124</v>
      </c>
      <c r="F63" s="16">
        <f>IFERROR(__xludf.DUMMYFUNCTION("""COMPUTED_VALUE"""),0.598574821852731)</f>
        <v>0.5985748219</v>
      </c>
      <c r="G63" s="16">
        <f>IFERROR(__xludf.DUMMYFUNCTION("""COMPUTED_VALUE"""),0.539192399049881)</f>
        <v>0.539192399</v>
      </c>
      <c r="H63" s="16">
        <f>IFERROR(__xludf.DUMMYFUNCTION("""COMPUTED_VALUE"""),0.486935866983372)</f>
        <v>0.486935867</v>
      </c>
      <c r="I63" s="16">
        <f>IFERROR(__xludf.DUMMYFUNCTION("""COMPUTED_VALUE"""),0.44418052256532)</f>
        <v>0.4441805226</v>
      </c>
      <c r="J63" s="16">
        <f>IFERROR(__xludf.DUMMYFUNCTION("""COMPUTED_VALUE"""),0.413978494623655)</f>
        <v>0.4139784946</v>
      </c>
      <c r="K63" s="16">
        <f>IFERROR(__xludf.DUMMYFUNCTION("""COMPUTED_VALUE"""),0.395348837209302)</f>
        <v>0.3953488372</v>
      </c>
      <c r="L63" s="16">
        <f>IFERROR(__xludf.DUMMYFUNCTION("""COMPUTED_VALUE"""),0.373417721518987)</f>
        <v>0.3734177215</v>
      </c>
      <c r="M63" s="16">
        <f>IFERROR(__xludf.DUMMYFUNCTION("""COMPUTED_VALUE"""),0.347985347985347)</f>
        <v>0.347985348</v>
      </c>
      <c r="N63" s="16">
        <f>IFERROR(__xludf.DUMMYFUNCTION("""COMPUTED_VALUE"""),0.322727272727272)</f>
        <v>0.3227272727</v>
      </c>
      <c r="O63" s="16">
        <f>IFERROR(__xludf.DUMMYFUNCTION("""COMPUTED_VALUE"""),0.231578947368421)</f>
        <v>0.2315789474</v>
      </c>
      <c r="P63" s="16">
        <f>IFERROR(__xludf.DUMMYFUNCTION("""COMPUTED_VALUE"""),0.222222222222222)</f>
        <v>0.2222222222</v>
      </c>
      <c r="Q63" s="16">
        <f>IFERROR(__xludf.DUMMYFUNCTION("""COMPUTED_VALUE"""),0.0869565217391304)</f>
        <v>0.08695652174</v>
      </c>
      <c r="R63" s="16">
        <f>IFERROR(__xludf.DUMMYFUNCTION("""COMPUTED_VALUE"""),0.0833333333333333)</f>
        <v>0.08333333333</v>
      </c>
      <c r="S63" s="16">
        <f>IFERROR(__xludf.DUMMYFUNCTION("""COMPUTED_VALUE"""),0.0)</f>
        <v>0</v>
      </c>
      <c r="T63" s="16">
        <f>IFERROR(__xludf.DUMMYFUNCTION("""COMPUTED_VALUE"""),0.0)</f>
        <v>0</v>
      </c>
      <c r="U63" s="16">
        <f>IFERROR(__xludf.DUMMYFUNCTION("""COMPUTED_VALUE"""),0.0)</f>
        <v>0</v>
      </c>
      <c r="V63" s="16">
        <f>IFERROR(__xludf.DUMMYFUNCTION("""COMPUTED_VALUE"""),0.0)</f>
        <v>0</v>
      </c>
      <c r="W63" s="16">
        <f>IFERROR(__xludf.DUMMYFUNCTION("""COMPUTED_VALUE"""),0.0)</f>
        <v>0</v>
      </c>
      <c r="X63" s="16">
        <f>IFERROR(__xludf.DUMMYFUNCTION("""COMPUTED_VALUE"""),0.0)</f>
        <v>0</v>
      </c>
      <c r="Y63" s="16">
        <f>IFERROR(__xludf.DUMMYFUNCTION("""COMPUTED_VALUE"""),0.0)</f>
        <v>0</v>
      </c>
      <c r="Z63" s="16">
        <f>IFERROR(__xludf.DUMMYFUNCTION("""COMPUTED_VALUE"""),0.0)</f>
        <v>0</v>
      </c>
      <c r="AA63" s="16">
        <f>IFERROR(__xludf.DUMMYFUNCTION("""COMPUTED_VALUE"""),0.0)</f>
        <v>0</v>
      </c>
      <c r="AB63" s="16">
        <f>IFERROR(__xludf.DUMMYFUNCTION("""COMPUTED_VALUE"""),0.0)</f>
        <v>0</v>
      </c>
      <c r="AC63" s="16">
        <f>IFERROR(__xludf.DUMMYFUNCTION("""COMPUTED_VALUE"""),0.0)</f>
        <v>0</v>
      </c>
      <c r="AD63" s="16">
        <f>IFERROR(__xludf.DUMMYFUNCTION("""COMPUTED_VALUE"""),0.0)</f>
        <v>0</v>
      </c>
      <c r="AE63" s="16">
        <f>IFERROR(__xludf.DUMMYFUNCTION("""COMPUTED_VALUE"""),0.0)</f>
        <v>0</v>
      </c>
      <c r="AF63" s="16">
        <f>IFERROR(__xludf.DUMMYFUNCTION("""COMPUTED_VALUE"""),0.0)</f>
        <v>0</v>
      </c>
      <c r="AG63" s="16">
        <f>IFERROR(__xludf.DUMMYFUNCTION("""COMPUTED_VALUE"""),0.0)</f>
        <v>0</v>
      </c>
      <c r="AH63" s="16">
        <f>IFERROR(__xludf.DUMMYFUNCTION("""COMPUTED_VALUE"""),0.0)</f>
        <v>0</v>
      </c>
    </row>
    <row r="64">
      <c r="A64" s="16" t="str">
        <f>IFERROR(__xludf.DUMMYFUNCTION("""COMPUTED_VALUE"""),"34997bc4167305107b251e0bf8431553064ef3a5")</f>
        <v>34997bc4167305107b251e0bf8431553064ef3a5</v>
      </c>
      <c r="B64" s="16" t="str">
        <f>IFERROR(__xludf.DUMMYFUNCTION("""COMPUTED_VALUE"""),"The Ghost Heiress")</f>
        <v>The Ghost Heiress</v>
      </c>
      <c r="C64" s="16" t="str">
        <f>IFERROR(__xludf.DUMMYFUNCTION("""COMPUTED_VALUE"""),"Romance")</f>
        <v>Romance</v>
      </c>
      <c r="D64" s="16">
        <f>IFERROR(__xludf.DUMMYFUNCTION("""COMPUTED_VALUE"""),70.0)</f>
        <v>70</v>
      </c>
      <c r="E64" s="16">
        <f>IFERROR(__xludf.DUMMYFUNCTION("""COMPUTED_VALUE"""),0.971428571428571)</f>
        <v>0.9714285714</v>
      </c>
      <c r="F64" s="16">
        <f>IFERROR(__xludf.DUMMYFUNCTION("""COMPUTED_VALUE"""),0.671428571428571)</f>
        <v>0.6714285714</v>
      </c>
      <c r="G64" s="16">
        <f>IFERROR(__xludf.DUMMYFUNCTION("""COMPUTED_VALUE"""),0.585714285714285)</f>
        <v>0.5857142857</v>
      </c>
      <c r="H64" s="16">
        <f>IFERROR(__xludf.DUMMYFUNCTION("""COMPUTED_VALUE"""),0.514285714285714)</f>
        <v>0.5142857143</v>
      </c>
      <c r="I64" s="16">
        <f>IFERROR(__xludf.DUMMYFUNCTION("""COMPUTED_VALUE"""),0.485714285714285)</f>
        <v>0.4857142857</v>
      </c>
      <c r="J64" s="16">
        <f>IFERROR(__xludf.DUMMYFUNCTION("""COMPUTED_VALUE"""),0.439393939393939)</f>
        <v>0.4393939394</v>
      </c>
      <c r="K64" s="16">
        <f>IFERROR(__xludf.DUMMYFUNCTION("""COMPUTED_VALUE"""),0.317460317460317)</f>
        <v>0.3174603175</v>
      </c>
      <c r="L64" s="16">
        <f>IFERROR(__xludf.DUMMYFUNCTION("""COMPUTED_VALUE"""),0.322033898305084)</f>
        <v>0.3220338983</v>
      </c>
      <c r="M64" s="16">
        <f>IFERROR(__xludf.DUMMYFUNCTION("""COMPUTED_VALUE"""),0.403508771929824)</f>
        <v>0.4035087719</v>
      </c>
      <c r="N64" s="16">
        <f>IFERROR(__xludf.DUMMYFUNCTION("""COMPUTED_VALUE"""),0.411764705882352)</f>
        <v>0.4117647059</v>
      </c>
      <c r="O64" s="16">
        <f>IFERROR(__xludf.DUMMYFUNCTION("""COMPUTED_VALUE"""),0.321428571428571)</f>
        <v>0.3214285714</v>
      </c>
      <c r="P64" s="16">
        <f>IFERROR(__xludf.DUMMYFUNCTION("""COMPUTED_VALUE"""),0.357142857142857)</f>
        <v>0.3571428571</v>
      </c>
      <c r="Q64" s="16">
        <f>IFERROR(__xludf.DUMMYFUNCTION("""COMPUTED_VALUE"""),0.0)</f>
        <v>0</v>
      </c>
      <c r="R64" s="16">
        <f>IFERROR(__xludf.DUMMYFUNCTION("""COMPUTED_VALUE"""),0.0)</f>
        <v>0</v>
      </c>
      <c r="S64" s="16">
        <f>IFERROR(__xludf.DUMMYFUNCTION("""COMPUTED_VALUE"""),0.0)</f>
        <v>0</v>
      </c>
      <c r="T64" s="16">
        <f>IFERROR(__xludf.DUMMYFUNCTION("""COMPUTED_VALUE"""),0.0)</f>
        <v>0</v>
      </c>
      <c r="U64" s="16">
        <f>IFERROR(__xludf.DUMMYFUNCTION("""COMPUTED_VALUE"""),0.0)</f>
        <v>0</v>
      </c>
      <c r="V64" s="16">
        <f>IFERROR(__xludf.DUMMYFUNCTION("""COMPUTED_VALUE"""),0.0)</f>
        <v>0</v>
      </c>
      <c r="W64" s="16">
        <f>IFERROR(__xludf.DUMMYFUNCTION("""COMPUTED_VALUE"""),0.0)</f>
        <v>0</v>
      </c>
      <c r="X64" s="16">
        <f>IFERROR(__xludf.DUMMYFUNCTION("""COMPUTED_VALUE"""),0.0)</f>
        <v>0</v>
      </c>
      <c r="Y64" s="16">
        <f>IFERROR(__xludf.DUMMYFUNCTION("""COMPUTED_VALUE"""),0.0)</f>
        <v>0</v>
      </c>
      <c r="Z64" s="16">
        <f>IFERROR(__xludf.DUMMYFUNCTION("""COMPUTED_VALUE"""),0.0)</f>
        <v>0</v>
      </c>
      <c r="AA64" s="16">
        <f>IFERROR(__xludf.DUMMYFUNCTION("""COMPUTED_VALUE"""),0.0)</f>
        <v>0</v>
      </c>
      <c r="AB64" s="16">
        <f>IFERROR(__xludf.DUMMYFUNCTION("""COMPUTED_VALUE"""),0.0)</f>
        <v>0</v>
      </c>
      <c r="AC64" s="16">
        <f>IFERROR(__xludf.DUMMYFUNCTION("""COMPUTED_VALUE"""),0.0)</f>
        <v>0</v>
      </c>
      <c r="AD64" s="16">
        <f>IFERROR(__xludf.DUMMYFUNCTION("""COMPUTED_VALUE"""),0.0)</f>
        <v>0</v>
      </c>
      <c r="AE64" s="16">
        <f>IFERROR(__xludf.DUMMYFUNCTION("""COMPUTED_VALUE"""),0.0)</f>
        <v>0</v>
      </c>
      <c r="AF64" s="16">
        <f>IFERROR(__xludf.DUMMYFUNCTION("""COMPUTED_VALUE"""),0.0)</f>
        <v>0</v>
      </c>
      <c r="AG64" s="16">
        <f>IFERROR(__xludf.DUMMYFUNCTION("""COMPUTED_VALUE"""),0.0)</f>
        <v>0</v>
      </c>
      <c r="AH64" s="16">
        <f>IFERROR(__xludf.DUMMYFUNCTION("""COMPUTED_VALUE"""),0.0)</f>
        <v>0</v>
      </c>
    </row>
    <row r="65">
      <c r="A65" s="16" t="str">
        <f>IFERROR(__xludf.DUMMYFUNCTION("""COMPUTED_VALUE"""),"34f2f307c600eaadeadd185f5681a891034fb635")</f>
        <v>34f2f307c600eaadeadd185f5681a891034fb635</v>
      </c>
      <c r="B65" s="16" t="str">
        <f>IFERROR(__xludf.DUMMYFUNCTION("""COMPUTED_VALUE"""),"Complete Deception")</f>
        <v>Complete Deception</v>
      </c>
      <c r="C65" s="16" t="str">
        <f>IFERROR(__xludf.DUMMYFUNCTION("""COMPUTED_VALUE"""),"Romance")</f>
        <v>Romance</v>
      </c>
      <c r="D65" s="16">
        <f>IFERROR(__xludf.DUMMYFUNCTION("""COMPUTED_VALUE"""),51.0)</f>
        <v>51</v>
      </c>
      <c r="E65" s="16">
        <f>IFERROR(__xludf.DUMMYFUNCTION("""COMPUTED_VALUE"""),0.96078431372549)</f>
        <v>0.9607843137</v>
      </c>
      <c r="F65" s="16">
        <f>IFERROR(__xludf.DUMMYFUNCTION("""COMPUTED_VALUE"""),0.411764705882352)</f>
        <v>0.4117647059</v>
      </c>
      <c r="G65" s="16">
        <f>IFERROR(__xludf.DUMMYFUNCTION("""COMPUTED_VALUE"""),0.313725490196078)</f>
        <v>0.3137254902</v>
      </c>
      <c r="H65" s="16">
        <f>IFERROR(__xludf.DUMMYFUNCTION("""COMPUTED_VALUE"""),0.294117647058823)</f>
        <v>0.2941176471</v>
      </c>
      <c r="I65" s="16">
        <f>IFERROR(__xludf.DUMMYFUNCTION("""COMPUTED_VALUE"""),0.274509803921568)</f>
        <v>0.2745098039</v>
      </c>
      <c r="J65" s="16">
        <f>IFERROR(__xludf.DUMMYFUNCTION("""COMPUTED_VALUE"""),0.235294117647058)</f>
        <v>0.2352941176</v>
      </c>
      <c r="K65" s="16">
        <f>IFERROR(__xludf.DUMMYFUNCTION("""COMPUTED_VALUE"""),0.215686274509803)</f>
        <v>0.2156862745</v>
      </c>
      <c r="L65" s="16">
        <f>IFERROR(__xludf.DUMMYFUNCTION("""COMPUTED_VALUE"""),0.215686274509803)</f>
        <v>0.2156862745</v>
      </c>
      <c r="M65" s="16">
        <f>IFERROR(__xludf.DUMMYFUNCTION("""COMPUTED_VALUE"""),0.235294117647058)</f>
        <v>0.2352941176</v>
      </c>
      <c r="N65" s="16">
        <f>IFERROR(__xludf.DUMMYFUNCTION("""COMPUTED_VALUE"""),0.254901960784313)</f>
        <v>0.2549019608</v>
      </c>
      <c r="O65" s="16">
        <f>IFERROR(__xludf.DUMMYFUNCTION("""COMPUTED_VALUE"""),0.235294117647058)</f>
        <v>0.2352941176</v>
      </c>
      <c r="P65" s="16">
        <f>IFERROR(__xludf.DUMMYFUNCTION("""COMPUTED_VALUE"""),0.102564102564102)</f>
        <v>0.1025641026</v>
      </c>
      <c r="Q65" s="16">
        <f>IFERROR(__xludf.DUMMYFUNCTION("""COMPUTED_VALUE"""),0.0476190476190476)</f>
        <v>0.04761904762</v>
      </c>
      <c r="R65" s="16">
        <f>IFERROR(__xludf.DUMMYFUNCTION("""COMPUTED_VALUE"""),0.0476190476190476)</f>
        <v>0.04761904762</v>
      </c>
      <c r="S65" s="16">
        <f>IFERROR(__xludf.DUMMYFUNCTION("""COMPUTED_VALUE"""),0.0)</f>
        <v>0</v>
      </c>
      <c r="T65" s="16">
        <f>IFERROR(__xludf.DUMMYFUNCTION("""COMPUTED_VALUE"""),0.0)</f>
        <v>0</v>
      </c>
      <c r="U65" s="16">
        <f>IFERROR(__xludf.DUMMYFUNCTION("""COMPUTED_VALUE"""),0.0)</f>
        <v>0</v>
      </c>
      <c r="V65" s="16">
        <f>IFERROR(__xludf.DUMMYFUNCTION("""COMPUTED_VALUE"""),0.0)</f>
        <v>0</v>
      </c>
      <c r="W65" s="16">
        <f>IFERROR(__xludf.DUMMYFUNCTION("""COMPUTED_VALUE"""),0.0)</f>
        <v>0</v>
      </c>
      <c r="X65" s="16">
        <f>IFERROR(__xludf.DUMMYFUNCTION("""COMPUTED_VALUE"""),0.0)</f>
        <v>0</v>
      </c>
      <c r="Y65" s="16">
        <f>IFERROR(__xludf.DUMMYFUNCTION("""COMPUTED_VALUE"""),0.0)</f>
        <v>0</v>
      </c>
      <c r="Z65" s="16">
        <f>IFERROR(__xludf.DUMMYFUNCTION("""COMPUTED_VALUE"""),0.0)</f>
        <v>0</v>
      </c>
      <c r="AA65" s="16">
        <f>IFERROR(__xludf.DUMMYFUNCTION("""COMPUTED_VALUE"""),0.0)</f>
        <v>0</v>
      </c>
      <c r="AB65" s="16">
        <f>IFERROR(__xludf.DUMMYFUNCTION("""COMPUTED_VALUE"""),0.0)</f>
        <v>0</v>
      </c>
      <c r="AC65" s="16">
        <f>IFERROR(__xludf.DUMMYFUNCTION("""COMPUTED_VALUE"""),0.0)</f>
        <v>0</v>
      </c>
      <c r="AD65" s="16">
        <f>IFERROR(__xludf.DUMMYFUNCTION("""COMPUTED_VALUE"""),0.0)</f>
        <v>0</v>
      </c>
      <c r="AE65" s="16">
        <f>IFERROR(__xludf.DUMMYFUNCTION("""COMPUTED_VALUE"""),0.0)</f>
        <v>0</v>
      </c>
      <c r="AF65" s="16">
        <f>IFERROR(__xludf.DUMMYFUNCTION("""COMPUTED_VALUE"""),0.0)</f>
        <v>0</v>
      </c>
      <c r="AG65" s="16">
        <f>IFERROR(__xludf.DUMMYFUNCTION("""COMPUTED_VALUE"""),0.0)</f>
        <v>0</v>
      </c>
      <c r="AH65" s="16">
        <f>IFERROR(__xludf.DUMMYFUNCTION("""COMPUTED_VALUE"""),0.0)</f>
        <v>0</v>
      </c>
    </row>
    <row r="66">
      <c r="A66" s="16" t="str">
        <f>IFERROR(__xludf.DUMMYFUNCTION("""COMPUTED_VALUE"""),"352616a7060cd6bae27e25732ce5479dfee317f3")</f>
        <v>352616a7060cd6bae27e25732ce5479dfee317f3</v>
      </c>
      <c r="B66" s="16" t="str">
        <f>IFERROR(__xludf.DUMMYFUNCTION("""COMPUTED_VALUE"""),"D Vicious Sword Sovereign")</f>
        <v>D Vicious Sword Sovereign</v>
      </c>
      <c r="C66" s="16" t="str">
        <f>IFERROR(__xludf.DUMMYFUNCTION("""COMPUTED_VALUE"""),"Fantasy")</f>
        <v>Fantasy</v>
      </c>
      <c r="D66" s="16">
        <f>IFERROR(__xludf.DUMMYFUNCTION("""COMPUTED_VALUE"""),5.0)</f>
        <v>5</v>
      </c>
      <c r="E66" s="16">
        <f>IFERROR(__xludf.DUMMYFUNCTION("""COMPUTED_VALUE"""),1.0)</f>
        <v>1</v>
      </c>
      <c r="F66" s="16">
        <f>IFERROR(__xludf.DUMMYFUNCTION("""COMPUTED_VALUE"""),0.6)</f>
        <v>0.6</v>
      </c>
      <c r="G66" s="16">
        <f>IFERROR(__xludf.DUMMYFUNCTION("""COMPUTED_VALUE"""),0.6)</f>
        <v>0.6</v>
      </c>
      <c r="H66" s="16">
        <f>IFERROR(__xludf.DUMMYFUNCTION("""COMPUTED_VALUE"""),0.6)</f>
        <v>0.6</v>
      </c>
      <c r="I66" s="16">
        <f>IFERROR(__xludf.DUMMYFUNCTION("""COMPUTED_VALUE"""),0.6)</f>
        <v>0.6</v>
      </c>
      <c r="J66" s="16">
        <f>IFERROR(__xludf.DUMMYFUNCTION("""COMPUTED_VALUE"""),0.6)</f>
        <v>0.6</v>
      </c>
      <c r="K66" s="16">
        <f>IFERROR(__xludf.DUMMYFUNCTION("""COMPUTED_VALUE"""),0.4)</f>
        <v>0.4</v>
      </c>
      <c r="L66" s="16">
        <f>IFERROR(__xludf.DUMMYFUNCTION("""COMPUTED_VALUE"""),0.4)</f>
        <v>0.4</v>
      </c>
      <c r="M66" s="16">
        <f>IFERROR(__xludf.DUMMYFUNCTION("""COMPUTED_VALUE"""),0.2)</f>
        <v>0.2</v>
      </c>
      <c r="N66" s="16">
        <f>IFERROR(__xludf.DUMMYFUNCTION("""COMPUTED_VALUE"""),0.2)</f>
        <v>0.2</v>
      </c>
      <c r="O66" s="16">
        <f>IFERROR(__xludf.DUMMYFUNCTION("""COMPUTED_VALUE"""),0.25)</f>
        <v>0.25</v>
      </c>
      <c r="P66" s="16">
        <f>IFERROR(__xludf.DUMMYFUNCTION("""COMPUTED_VALUE"""),0.0)</f>
        <v>0</v>
      </c>
      <c r="Q66" s="16">
        <f>IFERROR(__xludf.DUMMYFUNCTION("""COMPUTED_VALUE"""),0.0)</f>
        <v>0</v>
      </c>
      <c r="R66" s="16">
        <f>IFERROR(__xludf.DUMMYFUNCTION("""COMPUTED_VALUE"""),0.0)</f>
        <v>0</v>
      </c>
      <c r="S66" s="16">
        <f>IFERROR(__xludf.DUMMYFUNCTION("""COMPUTED_VALUE"""),0.0)</f>
        <v>0</v>
      </c>
      <c r="T66" s="16">
        <f>IFERROR(__xludf.DUMMYFUNCTION("""COMPUTED_VALUE"""),0.0)</f>
        <v>0</v>
      </c>
      <c r="U66" s="16">
        <f>IFERROR(__xludf.DUMMYFUNCTION("""COMPUTED_VALUE"""),0.0)</f>
        <v>0</v>
      </c>
      <c r="V66" s="16">
        <f>IFERROR(__xludf.DUMMYFUNCTION("""COMPUTED_VALUE"""),0.0)</f>
        <v>0</v>
      </c>
      <c r="W66" s="16">
        <f>IFERROR(__xludf.DUMMYFUNCTION("""COMPUTED_VALUE"""),0.0)</f>
        <v>0</v>
      </c>
      <c r="X66" s="16">
        <f>IFERROR(__xludf.DUMMYFUNCTION("""COMPUTED_VALUE"""),0.0)</f>
        <v>0</v>
      </c>
      <c r="Y66" s="16">
        <f>IFERROR(__xludf.DUMMYFUNCTION("""COMPUTED_VALUE"""),0.0)</f>
        <v>0</v>
      </c>
      <c r="Z66" s="16">
        <f>IFERROR(__xludf.DUMMYFUNCTION("""COMPUTED_VALUE"""),0.0)</f>
        <v>0</v>
      </c>
      <c r="AA66" s="16">
        <f>IFERROR(__xludf.DUMMYFUNCTION("""COMPUTED_VALUE"""),0.0)</f>
        <v>0</v>
      </c>
      <c r="AB66" s="16">
        <f>IFERROR(__xludf.DUMMYFUNCTION("""COMPUTED_VALUE"""),0.0)</f>
        <v>0</v>
      </c>
      <c r="AC66" s="16">
        <f>IFERROR(__xludf.DUMMYFUNCTION("""COMPUTED_VALUE"""),0.0)</f>
        <v>0</v>
      </c>
      <c r="AD66" s="16">
        <f>IFERROR(__xludf.DUMMYFUNCTION("""COMPUTED_VALUE"""),0.0)</f>
        <v>0</v>
      </c>
      <c r="AE66" s="16">
        <f>IFERROR(__xludf.DUMMYFUNCTION("""COMPUTED_VALUE"""),0.0)</f>
        <v>0</v>
      </c>
      <c r="AF66" s="16">
        <f>IFERROR(__xludf.DUMMYFUNCTION("""COMPUTED_VALUE"""),0.0)</f>
        <v>0</v>
      </c>
      <c r="AG66" s="16">
        <f>IFERROR(__xludf.DUMMYFUNCTION("""COMPUTED_VALUE"""),0.0)</f>
        <v>0</v>
      </c>
      <c r="AH66" s="16">
        <f>IFERROR(__xludf.DUMMYFUNCTION("""COMPUTED_VALUE"""),0.0)</f>
        <v>0</v>
      </c>
    </row>
    <row r="67">
      <c r="A67" s="16" t="str">
        <f>IFERROR(__xludf.DUMMYFUNCTION("""COMPUTED_VALUE"""),"362902a5f0edf9862b88e64b166bdf3fa44487fc")</f>
        <v>362902a5f0edf9862b88e64b166bdf3fa44487fc</v>
      </c>
      <c r="B67" s="16" t="str">
        <f>IFERROR(__xludf.DUMMYFUNCTION("""COMPUTED_VALUE"""),"Almighty Sword Domain")</f>
        <v>Almighty Sword Domain</v>
      </c>
      <c r="C67" s="16" t="str">
        <f>IFERROR(__xludf.DUMMYFUNCTION("""COMPUTED_VALUE"""),"Fantasy")</f>
        <v>Fantasy</v>
      </c>
      <c r="D67" s="16">
        <f>IFERROR(__xludf.DUMMYFUNCTION("""COMPUTED_VALUE"""),159.0)</f>
        <v>159</v>
      </c>
      <c r="E67" s="16">
        <f>IFERROR(__xludf.DUMMYFUNCTION("""COMPUTED_VALUE"""),0.987421383647798)</f>
        <v>0.9874213836</v>
      </c>
      <c r="F67" s="16">
        <f>IFERROR(__xludf.DUMMYFUNCTION("""COMPUTED_VALUE"""),0.276729559748427)</f>
        <v>0.2767295597</v>
      </c>
      <c r="G67" s="16">
        <f>IFERROR(__xludf.DUMMYFUNCTION("""COMPUTED_VALUE"""),0.251572327044025)</f>
        <v>0.251572327</v>
      </c>
      <c r="H67" s="16">
        <f>IFERROR(__xludf.DUMMYFUNCTION("""COMPUTED_VALUE"""),0.213836477987421)</f>
        <v>0.213836478</v>
      </c>
      <c r="I67" s="16">
        <f>IFERROR(__xludf.DUMMYFUNCTION("""COMPUTED_VALUE"""),0.20125786163522)</f>
        <v>0.2012578616</v>
      </c>
      <c r="J67" s="16">
        <f>IFERROR(__xludf.DUMMYFUNCTION("""COMPUTED_VALUE"""),0.215827338129496)</f>
        <v>0.2158273381</v>
      </c>
      <c r="K67" s="16">
        <f>IFERROR(__xludf.DUMMYFUNCTION("""COMPUTED_VALUE"""),0.206349206349206)</f>
        <v>0.2063492063</v>
      </c>
      <c r="L67" s="16">
        <f>IFERROR(__xludf.DUMMYFUNCTION("""COMPUTED_VALUE"""),0.209302325581395)</f>
        <v>0.2093023256</v>
      </c>
      <c r="M67" s="16">
        <f>IFERROR(__xludf.DUMMYFUNCTION("""COMPUTED_VALUE"""),0.2)</f>
        <v>0.2</v>
      </c>
      <c r="N67" s="16">
        <f>IFERROR(__xludf.DUMMYFUNCTION("""COMPUTED_VALUE"""),0.206896551724137)</f>
        <v>0.2068965517</v>
      </c>
      <c r="O67" s="16">
        <f>IFERROR(__xludf.DUMMYFUNCTION("""COMPUTED_VALUE"""),0.307692307692307)</f>
        <v>0.3076923077</v>
      </c>
      <c r="P67" s="16">
        <f>IFERROR(__xludf.DUMMYFUNCTION("""COMPUTED_VALUE"""),0.416666666666666)</f>
        <v>0.4166666667</v>
      </c>
      <c r="Q67" s="16">
        <f>IFERROR(__xludf.DUMMYFUNCTION("""COMPUTED_VALUE"""),0.363636363636363)</f>
        <v>0.3636363636</v>
      </c>
      <c r="R67" s="16">
        <f>IFERROR(__xludf.DUMMYFUNCTION("""COMPUTED_VALUE"""),0.444444444444444)</f>
        <v>0.4444444444</v>
      </c>
      <c r="S67" s="16">
        <f>IFERROR(__xludf.DUMMYFUNCTION("""COMPUTED_VALUE"""),0.571428571428571)</f>
        <v>0.5714285714</v>
      </c>
      <c r="T67" s="16">
        <f>IFERROR(__xludf.DUMMYFUNCTION("""COMPUTED_VALUE"""),0.25)</f>
        <v>0.25</v>
      </c>
      <c r="U67" s="16">
        <f>IFERROR(__xludf.DUMMYFUNCTION("""COMPUTED_VALUE"""),0.0)</f>
        <v>0</v>
      </c>
      <c r="V67" s="16">
        <f>IFERROR(__xludf.DUMMYFUNCTION("""COMPUTED_VALUE"""),0.0)</f>
        <v>0</v>
      </c>
      <c r="W67" s="16">
        <f>IFERROR(__xludf.DUMMYFUNCTION("""COMPUTED_VALUE"""),0.0)</f>
        <v>0</v>
      </c>
      <c r="X67" s="16">
        <f>IFERROR(__xludf.DUMMYFUNCTION("""COMPUTED_VALUE"""),0.0)</f>
        <v>0</v>
      </c>
      <c r="Y67" s="16">
        <f>IFERROR(__xludf.DUMMYFUNCTION("""COMPUTED_VALUE"""),0.0)</f>
        <v>0</v>
      </c>
      <c r="Z67" s="16">
        <f>IFERROR(__xludf.DUMMYFUNCTION("""COMPUTED_VALUE"""),0.0)</f>
        <v>0</v>
      </c>
      <c r="AA67" s="16">
        <f>IFERROR(__xludf.DUMMYFUNCTION("""COMPUTED_VALUE"""),0.0)</f>
        <v>0</v>
      </c>
      <c r="AB67" s="16">
        <f>IFERROR(__xludf.DUMMYFUNCTION("""COMPUTED_VALUE"""),0.0)</f>
        <v>0</v>
      </c>
      <c r="AC67" s="16">
        <f>IFERROR(__xludf.DUMMYFUNCTION("""COMPUTED_VALUE"""),0.0)</f>
        <v>0</v>
      </c>
      <c r="AD67" s="16">
        <f>IFERROR(__xludf.DUMMYFUNCTION("""COMPUTED_VALUE"""),0.0)</f>
        <v>0</v>
      </c>
      <c r="AE67" s="16">
        <f>IFERROR(__xludf.DUMMYFUNCTION("""COMPUTED_VALUE"""),0.0)</f>
        <v>0</v>
      </c>
      <c r="AF67" s="16">
        <f>IFERROR(__xludf.DUMMYFUNCTION("""COMPUTED_VALUE"""),0.0)</f>
        <v>0</v>
      </c>
      <c r="AG67" s="16">
        <f>IFERROR(__xludf.DUMMYFUNCTION("""COMPUTED_VALUE"""),0.0)</f>
        <v>0</v>
      </c>
      <c r="AH67" s="16">
        <f>IFERROR(__xludf.DUMMYFUNCTION("""COMPUTED_VALUE"""),0.0)</f>
        <v>0</v>
      </c>
    </row>
    <row r="68">
      <c r="A68" s="16" t="str">
        <f>IFERROR(__xludf.DUMMYFUNCTION("""COMPUTED_VALUE"""),"37a4619595e440ac361cdc0df4d1bd0a9bd5d60c")</f>
        <v>37a4619595e440ac361cdc0df4d1bd0a9bd5d60c</v>
      </c>
      <c r="B68" s="16" t="str">
        <f>IFERROR(__xludf.DUMMYFUNCTION("""COMPUTED_VALUE"""),"The Bloodline Copy System")</f>
        <v>The Bloodline Copy System</v>
      </c>
      <c r="C68" s="16" t="str">
        <f>IFERROR(__xludf.DUMMYFUNCTION("""COMPUTED_VALUE"""),"System and Superpower")</f>
        <v>System and Superpower</v>
      </c>
      <c r="D68" s="16">
        <f>IFERROR(__xludf.DUMMYFUNCTION("""COMPUTED_VALUE"""),778.0)</f>
        <v>778</v>
      </c>
      <c r="E68" s="16">
        <f>IFERROR(__xludf.DUMMYFUNCTION("""COMPUTED_VALUE"""),0.983290488431876)</f>
        <v>0.9832904884</v>
      </c>
      <c r="F68" s="16">
        <f>IFERROR(__xludf.DUMMYFUNCTION("""COMPUTED_VALUE"""),0.656812339331619)</f>
        <v>0.6568123393</v>
      </c>
      <c r="G68" s="16">
        <f>IFERROR(__xludf.DUMMYFUNCTION("""COMPUTED_VALUE"""),0.593830334190231)</f>
        <v>0.5938303342</v>
      </c>
      <c r="H68" s="16">
        <f>IFERROR(__xludf.DUMMYFUNCTION("""COMPUTED_VALUE"""),0.526992287917737)</f>
        <v>0.5269922879</v>
      </c>
      <c r="I68" s="16">
        <f>IFERROR(__xludf.DUMMYFUNCTION("""COMPUTED_VALUE"""),0.494858611825192)</f>
        <v>0.4948586118</v>
      </c>
      <c r="J68" s="16">
        <f>IFERROR(__xludf.DUMMYFUNCTION("""COMPUTED_VALUE"""),0.471649484536082)</f>
        <v>0.4716494845</v>
      </c>
      <c r="K68" s="16">
        <f>IFERROR(__xludf.DUMMYFUNCTION("""COMPUTED_VALUE"""),0.450322580645161)</f>
        <v>0.4503225806</v>
      </c>
      <c r="L68" s="16">
        <f>IFERROR(__xludf.DUMMYFUNCTION("""COMPUTED_VALUE"""),0.430789133247089)</f>
        <v>0.4307891332</v>
      </c>
      <c r="M68" s="16">
        <f>IFERROR(__xludf.DUMMYFUNCTION("""COMPUTED_VALUE"""),0.417639429312581)</f>
        <v>0.4176394293</v>
      </c>
      <c r="N68" s="16">
        <f>IFERROR(__xludf.DUMMYFUNCTION("""COMPUTED_VALUE"""),0.397385620915032)</f>
        <v>0.3973856209</v>
      </c>
      <c r="O68" s="16">
        <f>IFERROR(__xludf.DUMMYFUNCTION("""COMPUTED_VALUE"""),0.353021978021978)</f>
        <v>0.353021978</v>
      </c>
      <c r="P68" s="16">
        <f>IFERROR(__xludf.DUMMYFUNCTION("""COMPUTED_VALUE"""),0.230414746543778)</f>
        <v>0.2304147465</v>
      </c>
      <c r="Q68" s="16">
        <f>IFERROR(__xludf.DUMMYFUNCTION("""COMPUTED_VALUE"""),0.125984251968503)</f>
        <v>0.125984252</v>
      </c>
      <c r="R68" s="16">
        <f>IFERROR(__xludf.DUMMYFUNCTION("""COMPUTED_VALUE"""),0.0757575757575757)</f>
        <v>0.07575757576</v>
      </c>
      <c r="S68" s="16">
        <f>IFERROR(__xludf.DUMMYFUNCTION("""COMPUTED_VALUE"""),0.074074074074074)</f>
        <v>0.07407407407</v>
      </c>
      <c r="T68" s="16">
        <f>IFERROR(__xludf.DUMMYFUNCTION("""COMPUTED_VALUE"""),0.0)</f>
        <v>0</v>
      </c>
      <c r="U68" s="16">
        <f>IFERROR(__xludf.DUMMYFUNCTION("""COMPUTED_VALUE"""),0.0)</f>
        <v>0</v>
      </c>
      <c r="V68" s="16">
        <f>IFERROR(__xludf.DUMMYFUNCTION("""COMPUTED_VALUE"""),0.0)</f>
        <v>0</v>
      </c>
      <c r="W68" s="16">
        <f>IFERROR(__xludf.DUMMYFUNCTION("""COMPUTED_VALUE"""),0.0)</f>
        <v>0</v>
      </c>
      <c r="X68" s="16">
        <f>IFERROR(__xludf.DUMMYFUNCTION("""COMPUTED_VALUE"""),0.0)</f>
        <v>0</v>
      </c>
      <c r="Y68" s="16">
        <f>IFERROR(__xludf.DUMMYFUNCTION("""COMPUTED_VALUE"""),0.0)</f>
        <v>0</v>
      </c>
      <c r="Z68" s="16">
        <f>IFERROR(__xludf.DUMMYFUNCTION("""COMPUTED_VALUE"""),0.0)</f>
        <v>0</v>
      </c>
      <c r="AA68" s="16">
        <f>IFERROR(__xludf.DUMMYFUNCTION("""COMPUTED_VALUE"""),0.0)</f>
        <v>0</v>
      </c>
      <c r="AB68" s="16">
        <f>IFERROR(__xludf.DUMMYFUNCTION("""COMPUTED_VALUE"""),0.0)</f>
        <v>0</v>
      </c>
      <c r="AC68" s="16">
        <f>IFERROR(__xludf.DUMMYFUNCTION("""COMPUTED_VALUE"""),0.0)</f>
        <v>0</v>
      </c>
      <c r="AD68" s="16">
        <f>IFERROR(__xludf.DUMMYFUNCTION("""COMPUTED_VALUE"""),0.0)</f>
        <v>0</v>
      </c>
      <c r="AE68" s="16">
        <f>IFERROR(__xludf.DUMMYFUNCTION("""COMPUTED_VALUE"""),0.0)</f>
        <v>0</v>
      </c>
      <c r="AF68" s="16">
        <f>IFERROR(__xludf.DUMMYFUNCTION("""COMPUTED_VALUE"""),0.0)</f>
        <v>0</v>
      </c>
      <c r="AG68" s="16">
        <f>IFERROR(__xludf.DUMMYFUNCTION("""COMPUTED_VALUE"""),0.0)</f>
        <v>0</v>
      </c>
      <c r="AH68" s="16">
        <f>IFERROR(__xludf.DUMMYFUNCTION("""COMPUTED_VALUE"""),0.0)</f>
        <v>0</v>
      </c>
    </row>
    <row r="69">
      <c r="A69" s="16" t="str">
        <f>IFERROR(__xludf.DUMMYFUNCTION("""COMPUTED_VALUE"""),"381f2f23cfe6043e04a4a705bfde2d0832cb6847")</f>
        <v>381f2f23cfe6043e04a4a705bfde2d0832cb6847</v>
      </c>
      <c r="B69" s="16" t="str">
        <f>IFERROR(__xludf.DUMMYFUNCTION("""COMPUTED_VALUE"""),"The Personal Maid")</f>
        <v>The Personal Maid</v>
      </c>
      <c r="C69" s="16" t="str">
        <f>IFERROR(__xludf.DUMMYFUNCTION("""COMPUTED_VALUE"""),"Romance")</f>
        <v>Romance</v>
      </c>
      <c r="D69" s="16">
        <f>IFERROR(__xludf.DUMMYFUNCTION("""COMPUTED_VALUE"""),8.0)</f>
        <v>8</v>
      </c>
      <c r="E69" s="16">
        <f>IFERROR(__xludf.DUMMYFUNCTION("""COMPUTED_VALUE"""),0.875)</f>
        <v>0.875</v>
      </c>
      <c r="F69" s="16">
        <f>IFERROR(__xludf.DUMMYFUNCTION("""COMPUTED_VALUE"""),0.5)</f>
        <v>0.5</v>
      </c>
      <c r="G69" s="16">
        <f>IFERROR(__xludf.DUMMYFUNCTION("""COMPUTED_VALUE"""),0.375)</f>
        <v>0.375</v>
      </c>
      <c r="H69" s="16">
        <f>IFERROR(__xludf.DUMMYFUNCTION("""COMPUTED_VALUE"""),0.375)</f>
        <v>0.375</v>
      </c>
      <c r="I69" s="16">
        <f>IFERROR(__xludf.DUMMYFUNCTION("""COMPUTED_VALUE"""),0.375)</f>
        <v>0.375</v>
      </c>
      <c r="J69" s="16">
        <f>IFERROR(__xludf.DUMMYFUNCTION("""COMPUTED_VALUE"""),0.375)</f>
        <v>0.375</v>
      </c>
      <c r="K69" s="16">
        <f>IFERROR(__xludf.DUMMYFUNCTION("""COMPUTED_VALUE"""),0.25)</f>
        <v>0.25</v>
      </c>
      <c r="L69" s="16">
        <f>IFERROR(__xludf.DUMMYFUNCTION("""COMPUTED_VALUE"""),0.25)</f>
        <v>0.25</v>
      </c>
      <c r="M69" s="16">
        <f>IFERROR(__xludf.DUMMYFUNCTION("""COMPUTED_VALUE"""),0.25)</f>
        <v>0.25</v>
      </c>
      <c r="N69" s="16">
        <f>IFERROR(__xludf.DUMMYFUNCTION("""COMPUTED_VALUE"""),0.25)</f>
        <v>0.25</v>
      </c>
      <c r="O69" s="16">
        <f>IFERROR(__xludf.DUMMYFUNCTION("""COMPUTED_VALUE"""),0.25)</f>
        <v>0.25</v>
      </c>
      <c r="P69" s="16">
        <f>IFERROR(__xludf.DUMMYFUNCTION("""COMPUTED_VALUE"""),0.375)</f>
        <v>0.375</v>
      </c>
      <c r="Q69" s="16">
        <f>IFERROR(__xludf.DUMMYFUNCTION("""COMPUTED_VALUE"""),0.166666666666666)</f>
        <v>0.1666666667</v>
      </c>
      <c r="R69" s="16">
        <f>IFERROR(__xludf.DUMMYFUNCTION("""COMPUTED_VALUE"""),0.0)</f>
        <v>0</v>
      </c>
      <c r="S69" s="16">
        <f>IFERROR(__xludf.DUMMYFUNCTION("""COMPUTED_VALUE"""),0.0)</f>
        <v>0</v>
      </c>
      <c r="T69" s="16">
        <f>IFERROR(__xludf.DUMMYFUNCTION("""COMPUTED_VALUE"""),0.0)</f>
        <v>0</v>
      </c>
      <c r="U69" s="16">
        <f>IFERROR(__xludf.DUMMYFUNCTION("""COMPUTED_VALUE"""),0.0)</f>
        <v>0</v>
      </c>
      <c r="V69" s="16">
        <f>IFERROR(__xludf.DUMMYFUNCTION("""COMPUTED_VALUE"""),0.0)</f>
        <v>0</v>
      </c>
      <c r="W69" s="16">
        <f>IFERROR(__xludf.DUMMYFUNCTION("""COMPUTED_VALUE"""),0.0)</f>
        <v>0</v>
      </c>
      <c r="X69" s="16">
        <f>IFERROR(__xludf.DUMMYFUNCTION("""COMPUTED_VALUE"""),0.0)</f>
        <v>0</v>
      </c>
      <c r="Y69" s="16">
        <f>IFERROR(__xludf.DUMMYFUNCTION("""COMPUTED_VALUE"""),0.0)</f>
        <v>0</v>
      </c>
      <c r="Z69" s="16">
        <f>IFERROR(__xludf.DUMMYFUNCTION("""COMPUTED_VALUE"""),0.0)</f>
        <v>0</v>
      </c>
      <c r="AA69" s="16">
        <f>IFERROR(__xludf.DUMMYFUNCTION("""COMPUTED_VALUE"""),0.0)</f>
        <v>0</v>
      </c>
      <c r="AB69" s="16">
        <f>IFERROR(__xludf.DUMMYFUNCTION("""COMPUTED_VALUE"""),0.0)</f>
        <v>0</v>
      </c>
      <c r="AC69" s="16">
        <f>IFERROR(__xludf.DUMMYFUNCTION("""COMPUTED_VALUE"""),0.0)</f>
        <v>0</v>
      </c>
      <c r="AD69" s="16">
        <f>IFERROR(__xludf.DUMMYFUNCTION("""COMPUTED_VALUE"""),0.0)</f>
        <v>0</v>
      </c>
      <c r="AE69" s="16">
        <f>IFERROR(__xludf.DUMMYFUNCTION("""COMPUTED_VALUE"""),0.0)</f>
        <v>0</v>
      </c>
      <c r="AF69" s="16">
        <f>IFERROR(__xludf.DUMMYFUNCTION("""COMPUTED_VALUE"""),0.0)</f>
        <v>0</v>
      </c>
      <c r="AG69" s="16">
        <f>IFERROR(__xludf.DUMMYFUNCTION("""COMPUTED_VALUE"""),0.0)</f>
        <v>0</v>
      </c>
      <c r="AH69" s="16">
        <f>IFERROR(__xludf.DUMMYFUNCTION("""COMPUTED_VALUE"""),0.0)</f>
        <v>0</v>
      </c>
    </row>
    <row r="70">
      <c r="A70" s="16" t="str">
        <f>IFERROR(__xludf.DUMMYFUNCTION("""COMPUTED_VALUE"""),"3a6212d18e444c9585676ce7dba35b7111dd1613")</f>
        <v>3a6212d18e444c9585676ce7dba35b7111dd1613</v>
      </c>
      <c r="B70" s="16" t="str">
        <f>IFERROR(__xludf.DUMMYFUNCTION("""COMPUTED_VALUE"""),"King of Throne")</f>
        <v>King of Throne</v>
      </c>
      <c r="C70" s="16" t="str">
        <f>IFERROR(__xludf.DUMMYFUNCTION("""COMPUTED_VALUE"""),"Fantasy")</f>
        <v>Fantasy</v>
      </c>
      <c r="D70" s="16">
        <f>IFERROR(__xludf.DUMMYFUNCTION("""COMPUTED_VALUE"""),346.0)</f>
        <v>346</v>
      </c>
      <c r="E70" s="16">
        <f>IFERROR(__xludf.DUMMYFUNCTION("""COMPUTED_VALUE"""),0.997109826589595)</f>
        <v>0.9971098266</v>
      </c>
      <c r="F70" s="16">
        <f>IFERROR(__xludf.DUMMYFUNCTION("""COMPUTED_VALUE"""),0.439306358381502)</f>
        <v>0.4393063584</v>
      </c>
      <c r="G70" s="16">
        <f>IFERROR(__xludf.DUMMYFUNCTION("""COMPUTED_VALUE"""),0.38150289017341)</f>
        <v>0.3815028902</v>
      </c>
      <c r="H70" s="16">
        <f>IFERROR(__xludf.DUMMYFUNCTION("""COMPUTED_VALUE"""),0.361271676300578)</f>
        <v>0.3612716763</v>
      </c>
      <c r="I70" s="16">
        <f>IFERROR(__xludf.DUMMYFUNCTION("""COMPUTED_VALUE"""),0.320809248554913)</f>
        <v>0.3208092486</v>
      </c>
      <c r="J70" s="16">
        <f>IFERROR(__xludf.DUMMYFUNCTION("""COMPUTED_VALUE"""),0.296187683284457)</f>
        <v>0.2961876833</v>
      </c>
      <c r="K70" s="16">
        <f>IFERROR(__xludf.DUMMYFUNCTION("""COMPUTED_VALUE"""),0.272455089820359)</f>
        <v>0.2724550898</v>
      </c>
      <c r="L70" s="16">
        <f>IFERROR(__xludf.DUMMYFUNCTION("""COMPUTED_VALUE"""),0.266447368421052)</f>
        <v>0.2664473684</v>
      </c>
      <c r="M70" s="16">
        <f>IFERROR(__xludf.DUMMYFUNCTION("""COMPUTED_VALUE"""),0.270992366412213)</f>
        <v>0.2709923664</v>
      </c>
      <c r="N70" s="16">
        <f>IFERROR(__xludf.DUMMYFUNCTION("""COMPUTED_VALUE"""),0.28395061728395)</f>
        <v>0.2839506173</v>
      </c>
      <c r="O70" s="16">
        <f>IFERROR(__xludf.DUMMYFUNCTION("""COMPUTED_VALUE"""),0.0)</f>
        <v>0</v>
      </c>
      <c r="P70" s="16">
        <f>IFERROR(__xludf.DUMMYFUNCTION("""COMPUTED_VALUE"""),0.0)</f>
        <v>0</v>
      </c>
      <c r="Q70" s="16">
        <f>IFERROR(__xludf.DUMMYFUNCTION("""COMPUTED_VALUE"""),0.0)</f>
        <v>0</v>
      </c>
      <c r="R70" s="16">
        <f>IFERROR(__xludf.DUMMYFUNCTION("""COMPUTED_VALUE"""),0.0)</f>
        <v>0</v>
      </c>
      <c r="S70" s="16">
        <f>IFERROR(__xludf.DUMMYFUNCTION("""COMPUTED_VALUE"""),0.0)</f>
        <v>0</v>
      </c>
      <c r="T70" s="16">
        <f>IFERROR(__xludf.DUMMYFUNCTION("""COMPUTED_VALUE"""),0.0)</f>
        <v>0</v>
      </c>
      <c r="U70" s="16">
        <f>IFERROR(__xludf.DUMMYFUNCTION("""COMPUTED_VALUE"""),0.0)</f>
        <v>0</v>
      </c>
      <c r="V70" s="16">
        <f>IFERROR(__xludf.DUMMYFUNCTION("""COMPUTED_VALUE"""),0.0)</f>
        <v>0</v>
      </c>
      <c r="W70" s="16">
        <f>IFERROR(__xludf.DUMMYFUNCTION("""COMPUTED_VALUE"""),0.0)</f>
        <v>0</v>
      </c>
      <c r="X70" s="16">
        <f>IFERROR(__xludf.DUMMYFUNCTION("""COMPUTED_VALUE"""),0.0)</f>
        <v>0</v>
      </c>
      <c r="Y70" s="16">
        <f>IFERROR(__xludf.DUMMYFUNCTION("""COMPUTED_VALUE"""),0.0)</f>
        <v>0</v>
      </c>
      <c r="Z70" s="16">
        <f>IFERROR(__xludf.DUMMYFUNCTION("""COMPUTED_VALUE"""),0.0)</f>
        <v>0</v>
      </c>
      <c r="AA70" s="16">
        <f>IFERROR(__xludf.DUMMYFUNCTION("""COMPUTED_VALUE"""),0.0)</f>
        <v>0</v>
      </c>
      <c r="AB70" s="16">
        <f>IFERROR(__xludf.DUMMYFUNCTION("""COMPUTED_VALUE"""),0.0)</f>
        <v>0</v>
      </c>
      <c r="AC70" s="16">
        <f>IFERROR(__xludf.DUMMYFUNCTION("""COMPUTED_VALUE"""),0.0)</f>
        <v>0</v>
      </c>
      <c r="AD70" s="16">
        <f>IFERROR(__xludf.DUMMYFUNCTION("""COMPUTED_VALUE"""),0.0)</f>
        <v>0</v>
      </c>
      <c r="AE70" s="16">
        <f>IFERROR(__xludf.DUMMYFUNCTION("""COMPUTED_VALUE"""),0.0)</f>
        <v>0</v>
      </c>
      <c r="AF70" s="16">
        <f>IFERROR(__xludf.DUMMYFUNCTION("""COMPUTED_VALUE"""),0.0)</f>
        <v>0</v>
      </c>
      <c r="AG70" s="16">
        <f>IFERROR(__xludf.DUMMYFUNCTION("""COMPUTED_VALUE"""),0.0)</f>
        <v>0</v>
      </c>
      <c r="AH70" s="16">
        <f>IFERROR(__xludf.DUMMYFUNCTION("""COMPUTED_VALUE"""),0.0)</f>
        <v>0</v>
      </c>
    </row>
    <row r="71">
      <c r="A71" s="16" t="str">
        <f>IFERROR(__xludf.DUMMYFUNCTION("""COMPUTED_VALUE"""),"3b626e0d14c34edb82f4b215f3b8d2e50455bbdd")</f>
        <v>3b626e0d14c34edb82f4b215f3b8d2e50455bbdd</v>
      </c>
      <c r="B71" s="16" t="str">
        <f>IFERROR(__xludf.DUMMYFUNCTION("""COMPUTED_VALUE"""),"His Lady Boss Is a Mafia")</f>
        <v>His Lady Boss Is a Mafia</v>
      </c>
      <c r="C71" s="16" t="str">
        <f>IFERROR(__xludf.DUMMYFUNCTION("""COMPUTED_VALUE"""),"Romance")</f>
        <v>Romance</v>
      </c>
      <c r="D71" s="16">
        <f>IFERROR(__xludf.DUMMYFUNCTION("""COMPUTED_VALUE"""),214.0)</f>
        <v>214</v>
      </c>
      <c r="E71" s="16">
        <f>IFERROR(__xludf.DUMMYFUNCTION("""COMPUTED_VALUE"""),0.953271028037383)</f>
        <v>0.953271028</v>
      </c>
      <c r="F71" s="16">
        <f>IFERROR(__xludf.DUMMYFUNCTION("""COMPUTED_VALUE"""),0.626168224299065)</f>
        <v>0.6261682243</v>
      </c>
      <c r="G71" s="16">
        <f>IFERROR(__xludf.DUMMYFUNCTION("""COMPUTED_VALUE"""),0.621495327102803)</f>
        <v>0.6214953271</v>
      </c>
      <c r="H71" s="16">
        <f>IFERROR(__xludf.DUMMYFUNCTION("""COMPUTED_VALUE"""),0.55607476635514)</f>
        <v>0.5560747664</v>
      </c>
      <c r="I71" s="16">
        <f>IFERROR(__xludf.DUMMYFUNCTION("""COMPUTED_VALUE"""),0.518691588785046)</f>
        <v>0.5186915888</v>
      </c>
      <c r="J71" s="16">
        <f>IFERROR(__xludf.DUMMYFUNCTION("""COMPUTED_VALUE"""),0.495238095238095)</f>
        <v>0.4952380952</v>
      </c>
      <c r="K71" s="16">
        <f>IFERROR(__xludf.DUMMYFUNCTION("""COMPUTED_VALUE"""),0.451456310679611)</f>
        <v>0.4514563107</v>
      </c>
      <c r="L71" s="16">
        <f>IFERROR(__xludf.DUMMYFUNCTION("""COMPUTED_VALUE"""),0.442786069651741)</f>
        <v>0.4427860697</v>
      </c>
      <c r="M71" s="16">
        <f>IFERROR(__xludf.DUMMYFUNCTION("""COMPUTED_VALUE"""),0.471794871794871)</f>
        <v>0.4717948718</v>
      </c>
      <c r="N71" s="16">
        <f>IFERROR(__xludf.DUMMYFUNCTION("""COMPUTED_VALUE"""),0.442708333333333)</f>
        <v>0.4427083333</v>
      </c>
      <c r="O71" s="16">
        <f>IFERROR(__xludf.DUMMYFUNCTION("""COMPUTED_VALUE"""),0.404494382022471)</f>
        <v>0.404494382</v>
      </c>
      <c r="P71" s="16">
        <f>IFERROR(__xludf.DUMMYFUNCTION("""COMPUTED_VALUE"""),0.325443786982248)</f>
        <v>0.325443787</v>
      </c>
      <c r="Q71" s="16">
        <f>IFERROR(__xludf.DUMMYFUNCTION("""COMPUTED_VALUE"""),0.0)</f>
        <v>0</v>
      </c>
      <c r="R71" s="16">
        <f>IFERROR(__xludf.DUMMYFUNCTION("""COMPUTED_VALUE"""),0.0)</f>
        <v>0</v>
      </c>
      <c r="S71" s="16">
        <f>IFERROR(__xludf.DUMMYFUNCTION("""COMPUTED_VALUE"""),0.0)</f>
        <v>0</v>
      </c>
      <c r="T71" s="16">
        <f>IFERROR(__xludf.DUMMYFUNCTION("""COMPUTED_VALUE"""),0.0)</f>
        <v>0</v>
      </c>
      <c r="U71" s="16">
        <f>IFERROR(__xludf.DUMMYFUNCTION("""COMPUTED_VALUE"""),0.0)</f>
        <v>0</v>
      </c>
      <c r="V71" s="16">
        <f>IFERROR(__xludf.DUMMYFUNCTION("""COMPUTED_VALUE"""),0.0)</f>
        <v>0</v>
      </c>
      <c r="W71" s="16">
        <f>IFERROR(__xludf.DUMMYFUNCTION("""COMPUTED_VALUE"""),0.0)</f>
        <v>0</v>
      </c>
      <c r="X71" s="16">
        <f>IFERROR(__xludf.DUMMYFUNCTION("""COMPUTED_VALUE"""),0.0)</f>
        <v>0</v>
      </c>
      <c r="Y71" s="16">
        <f>IFERROR(__xludf.DUMMYFUNCTION("""COMPUTED_VALUE"""),0.0)</f>
        <v>0</v>
      </c>
      <c r="Z71" s="16">
        <f>IFERROR(__xludf.DUMMYFUNCTION("""COMPUTED_VALUE"""),0.0)</f>
        <v>0</v>
      </c>
      <c r="AA71" s="16">
        <f>IFERROR(__xludf.DUMMYFUNCTION("""COMPUTED_VALUE"""),0.0)</f>
        <v>0</v>
      </c>
      <c r="AB71" s="16">
        <f>IFERROR(__xludf.DUMMYFUNCTION("""COMPUTED_VALUE"""),0.0)</f>
        <v>0</v>
      </c>
      <c r="AC71" s="16">
        <f>IFERROR(__xludf.DUMMYFUNCTION("""COMPUTED_VALUE"""),0.0)</f>
        <v>0</v>
      </c>
      <c r="AD71" s="16">
        <f>IFERROR(__xludf.DUMMYFUNCTION("""COMPUTED_VALUE"""),0.0)</f>
        <v>0</v>
      </c>
      <c r="AE71" s="16">
        <f>IFERROR(__xludf.DUMMYFUNCTION("""COMPUTED_VALUE"""),0.0)</f>
        <v>0</v>
      </c>
      <c r="AF71" s="16">
        <f>IFERROR(__xludf.DUMMYFUNCTION("""COMPUTED_VALUE"""),0.0)</f>
        <v>0</v>
      </c>
      <c r="AG71" s="16">
        <f>IFERROR(__xludf.DUMMYFUNCTION("""COMPUTED_VALUE"""),0.0)</f>
        <v>0</v>
      </c>
      <c r="AH71" s="16">
        <f>IFERROR(__xludf.DUMMYFUNCTION("""COMPUTED_VALUE"""),0.0)</f>
        <v>0</v>
      </c>
    </row>
    <row r="72">
      <c r="A72" s="16" t="str">
        <f>IFERROR(__xludf.DUMMYFUNCTION("""COMPUTED_VALUE"""),"3c57dd9bd6f929bdb36d8716aa9f261a72778e24")</f>
        <v>3c57dd9bd6f929bdb36d8716aa9f261a72778e24</v>
      </c>
      <c r="B72" s="16" t="str">
        <f>IFERROR(__xludf.DUMMYFUNCTION("""COMPUTED_VALUE"""),"Resurrected as a Secret Billionaire Liam Carson")</f>
        <v>Resurrected as a Secret Billionaire Liam Carson</v>
      </c>
      <c r="C72" s="16" t="str">
        <f>IFERROR(__xludf.DUMMYFUNCTION("""COMPUTED_VALUE"""),"Fantasy")</f>
        <v>Fantasy</v>
      </c>
      <c r="D72" s="16">
        <f>IFERROR(__xludf.DUMMYFUNCTION("""COMPUTED_VALUE"""),8029.0)</f>
        <v>8029</v>
      </c>
      <c r="E72" s="16">
        <f>IFERROR(__xludf.DUMMYFUNCTION("""COMPUTED_VALUE"""),0.932992900734836)</f>
        <v>0.9329929007</v>
      </c>
      <c r="F72" s="16">
        <f>IFERROR(__xludf.DUMMYFUNCTION("""COMPUTED_VALUE"""),0.594096400548013)</f>
        <v>0.5940964005</v>
      </c>
      <c r="G72" s="16">
        <f>IFERROR(__xludf.DUMMYFUNCTION("""COMPUTED_VALUE"""),0.551002615518744)</f>
        <v>0.5510026155</v>
      </c>
      <c r="H72" s="16">
        <f>IFERROR(__xludf.DUMMYFUNCTION("""COMPUTED_VALUE"""),0.527213849794494)</f>
        <v>0.5272138498</v>
      </c>
      <c r="I72" s="16">
        <f>IFERROR(__xludf.DUMMYFUNCTION("""COMPUTED_VALUE"""),0.509154315605928)</f>
        <v>0.5091543156</v>
      </c>
      <c r="J72" s="16">
        <f>IFERROR(__xludf.DUMMYFUNCTION("""COMPUTED_VALUE"""),0.495638085742771)</f>
        <v>0.4956380857</v>
      </c>
      <c r="K72" s="16">
        <f>IFERROR(__xludf.DUMMYFUNCTION("""COMPUTED_VALUE"""),0.490900024931438)</f>
        <v>0.4909000249</v>
      </c>
      <c r="L72" s="16">
        <f>IFERROR(__xludf.DUMMYFUNCTION("""COMPUTED_VALUE"""),0.483094198378041)</f>
        <v>0.4830941984</v>
      </c>
      <c r="M72" s="16">
        <f>IFERROR(__xludf.DUMMYFUNCTION("""COMPUTED_VALUE"""),0.476850118557344)</f>
        <v>0.4768501186</v>
      </c>
      <c r="N72" s="16">
        <f>IFERROR(__xludf.DUMMYFUNCTION("""COMPUTED_VALUE"""),0.473901098901098)</f>
        <v>0.4739010989</v>
      </c>
      <c r="O72" s="16">
        <f>IFERROR(__xludf.DUMMYFUNCTION("""COMPUTED_VALUE"""),0.455250970083865)</f>
        <v>0.4552509701</v>
      </c>
      <c r="P72" s="16">
        <f>IFERROR(__xludf.DUMMYFUNCTION("""COMPUTED_VALUE"""),0.410723254645906)</f>
        <v>0.4107232546</v>
      </c>
      <c r="Q72" s="16">
        <f>IFERROR(__xludf.DUMMYFUNCTION("""COMPUTED_VALUE"""),0.339148021741878)</f>
        <v>0.3391480217</v>
      </c>
      <c r="R72" s="16">
        <f>IFERROR(__xludf.DUMMYFUNCTION("""COMPUTED_VALUE"""),0.292454026632847)</f>
        <v>0.2924540266</v>
      </c>
      <c r="S72" s="16">
        <f>IFERROR(__xludf.DUMMYFUNCTION("""COMPUTED_VALUE"""),0.234088594704684)</f>
        <v>0.2340885947</v>
      </c>
      <c r="T72" s="16">
        <f>IFERROR(__xludf.DUMMYFUNCTION("""COMPUTED_VALUE"""),0.206848089945061)</f>
        <v>0.2068480899</v>
      </c>
      <c r="U72" s="16">
        <f>IFERROR(__xludf.DUMMYFUNCTION("""COMPUTED_VALUE"""),0.1888606918659)</f>
        <v>0.1888606919</v>
      </c>
      <c r="V72" s="16">
        <f>IFERROR(__xludf.DUMMYFUNCTION("""COMPUTED_VALUE"""),0.171408839779005)</f>
        <v>0.1714088398</v>
      </c>
      <c r="W72" s="16">
        <f>IFERROR(__xludf.DUMMYFUNCTION("""COMPUTED_VALUE"""),0.149216125419932)</f>
        <v>0.1492161254</v>
      </c>
      <c r="X72" s="16">
        <f>IFERROR(__xludf.DUMMYFUNCTION("""COMPUTED_VALUE"""),0.110973533508744)</f>
        <v>0.1109735335</v>
      </c>
      <c r="Y72" s="16">
        <f>IFERROR(__xludf.DUMMYFUNCTION("""COMPUTED_VALUE"""),0.0885840108401084)</f>
        <v>0.08858401084</v>
      </c>
      <c r="Z72" s="16">
        <f>IFERROR(__xludf.DUMMYFUNCTION("""COMPUTED_VALUE"""),0.0500381970970206)</f>
        <v>0.0500381971</v>
      </c>
      <c r="AA72" s="16">
        <f>IFERROR(__xludf.DUMMYFUNCTION("""COMPUTED_VALUE"""),0.0434125269978401)</f>
        <v>0.043412527</v>
      </c>
      <c r="AB72" s="16">
        <f>IFERROR(__xludf.DUMMYFUNCTION("""COMPUTED_VALUE"""),0.0306670074111934)</f>
        <v>0.03066700741</v>
      </c>
      <c r="AC72" s="16">
        <f>IFERROR(__xludf.DUMMYFUNCTION("""COMPUTED_VALUE"""),0.0252586731588557)</f>
        <v>0.02525867316</v>
      </c>
      <c r="AD72" s="16">
        <f>IFERROR(__xludf.DUMMYFUNCTION("""COMPUTED_VALUE"""),0.026781444285031)</f>
        <v>0.02678144429</v>
      </c>
      <c r="AE72" s="16">
        <f>IFERROR(__xludf.DUMMYFUNCTION("""COMPUTED_VALUE"""),0.0148588410104011)</f>
        <v>0.01485884101</v>
      </c>
      <c r="AF72" s="16">
        <f>IFERROR(__xludf.DUMMYFUNCTION("""COMPUTED_VALUE"""),0.0)</f>
        <v>0</v>
      </c>
      <c r="AG72" s="16">
        <f>IFERROR(__xludf.DUMMYFUNCTION("""COMPUTED_VALUE"""),0.0)</f>
        <v>0</v>
      </c>
      <c r="AH72" s="16">
        <f>IFERROR(__xludf.DUMMYFUNCTION("""COMPUTED_VALUE"""),0.0)</f>
        <v>0</v>
      </c>
    </row>
    <row r="73">
      <c r="A73" s="16" t="str">
        <f>IFERROR(__xludf.DUMMYFUNCTION("""COMPUTED_VALUE"""),"4010f733ac400156fd9f4d75852b8ebdeabe1689")</f>
        <v>4010f733ac400156fd9f4d75852b8ebdeabe1689</v>
      </c>
      <c r="B73" s="16" t="str">
        <f>IFERROR(__xludf.DUMMYFUNCTION("""COMPUTED_VALUE"""),"My Ceo Husband's Secret")</f>
        <v>My Ceo Husband's Secret</v>
      </c>
      <c r="C73" s="16" t="str">
        <f>IFERROR(__xludf.DUMMYFUNCTION("""COMPUTED_VALUE"""),"Romance")</f>
        <v>Romance</v>
      </c>
      <c r="D73" s="16">
        <f>IFERROR(__xludf.DUMMYFUNCTION("""COMPUTED_VALUE"""),69.0)</f>
        <v>69</v>
      </c>
      <c r="E73" s="16">
        <f>IFERROR(__xludf.DUMMYFUNCTION("""COMPUTED_VALUE"""),0.985507246376811)</f>
        <v>0.9855072464</v>
      </c>
      <c r="F73" s="16">
        <f>IFERROR(__xludf.DUMMYFUNCTION("""COMPUTED_VALUE"""),0.695652173913043)</f>
        <v>0.6956521739</v>
      </c>
      <c r="G73" s="16">
        <f>IFERROR(__xludf.DUMMYFUNCTION("""COMPUTED_VALUE"""),0.573529411764705)</f>
        <v>0.5735294118</v>
      </c>
      <c r="H73" s="16">
        <f>IFERROR(__xludf.DUMMYFUNCTION("""COMPUTED_VALUE"""),0.544117647058823)</f>
        <v>0.5441176471</v>
      </c>
      <c r="I73" s="16">
        <f>IFERROR(__xludf.DUMMYFUNCTION("""COMPUTED_VALUE"""),0.544117647058823)</f>
        <v>0.5441176471</v>
      </c>
      <c r="J73" s="16">
        <f>IFERROR(__xludf.DUMMYFUNCTION("""COMPUTED_VALUE"""),0.455882352941176)</f>
        <v>0.4558823529</v>
      </c>
      <c r="K73" s="16">
        <f>IFERROR(__xludf.DUMMYFUNCTION("""COMPUTED_VALUE"""),0.402985074626865)</f>
        <v>0.4029850746</v>
      </c>
      <c r="L73" s="16">
        <f>IFERROR(__xludf.DUMMYFUNCTION("""COMPUTED_VALUE"""),0.35820895522388)</f>
        <v>0.3582089552</v>
      </c>
      <c r="M73" s="16">
        <f>IFERROR(__xludf.DUMMYFUNCTION("""COMPUTED_VALUE"""),0.298507462686567)</f>
        <v>0.2985074627</v>
      </c>
      <c r="N73" s="16">
        <f>IFERROR(__xludf.DUMMYFUNCTION("""COMPUTED_VALUE"""),0.283582089552238)</f>
        <v>0.2835820896</v>
      </c>
      <c r="O73" s="16">
        <f>IFERROR(__xludf.DUMMYFUNCTION("""COMPUTED_VALUE"""),0.253731343283582)</f>
        <v>0.2537313433</v>
      </c>
      <c r="P73" s="16">
        <f>IFERROR(__xludf.DUMMYFUNCTION("""COMPUTED_VALUE"""),0.2)</f>
        <v>0.2</v>
      </c>
      <c r="Q73" s="16">
        <f>IFERROR(__xludf.DUMMYFUNCTION("""COMPUTED_VALUE"""),0.666666666666666)</f>
        <v>0.6666666667</v>
      </c>
      <c r="R73" s="16">
        <f>IFERROR(__xludf.DUMMYFUNCTION("""COMPUTED_VALUE"""),0.6)</f>
        <v>0.6</v>
      </c>
      <c r="S73" s="16">
        <f>IFERROR(__xludf.DUMMYFUNCTION("""COMPUTED_VALUE"""),0.454545454545454)</f>
        <v>0.4545454545</v>
      </c>
      <c r="T73" s="16">
        <f>IFERROR(__xludf.DUMMYFUNCTION("""COMPUTED_VALUE"""),0.0)</f>
        <v>0</v>
      </c>
      <c r="U73" s="16">
        <f>IFERROR(__xludf.DUMMYFUNCTION("""COMPUTED_VALUE"""),0.0)</f>
        <v>0</v>
      </c>
      <c r="V73" s="16">
        <f>IFERROR(__xludf.DUMMYFUNCTION("""COMPUTED_VALUE"""),0.0)</f>
        <v>0</v>
      </c>
      <c r="W73" s="16">
        <f>IFERROR(__xludf.DUMMYFUNCTION("""COMPUTED_VALUE"""),0.0)</f>
        <v>0</v>
      </c>
      <c r="X73" s="16">
        <f>IFERROR(__xludf.DUMMYFUNCTION("""COMPUTED_VALUE"""),0.0)</f>
        <v>0</v>
      </c>
      <c r="Y73" s="16">
        <f>IFERROR(__xludf.DUMMYFUNCTION("""COMPUTED_VALUE"""),0.0)</f>
        <v>0</v>
      </c>
      <c r="Z73" s="16">
        <f>IFERROR(__xludf.DUMMYFUNCTION("""COMPUTED_VALUE"""),0.0)</f>
        <v>0</v>
      </c>
      <c r="AA73" s="16">
        <f>IFERROR(__xludf.DUMMYFUNCTION("""COMPUTED_VALUE"""),0.0)</f>
        <v>0</v>
      </c>
      <c r="AB73" s="16">
        <f>IFERROR(__xludf.DUMMYFUNCTION("""COMPUTED_VALUE"""),0.0)</f>
        <v>0</v>
      </c>
      <c r="AC73" s="16">
        <f>IFERROR(__xludf.DUMMYFUNCTION("""COMPUTED_VALUE"""),0.0)</f>
        <v>0</v>
      </c>
      <c r="AD73" s="16">
        <f>IFERROR(__xludf.DUMMYFUNCTION("""COMPUTED_VALUE"""),0.0)</f>
        <v>0</v>
      </c>
      <c r="AE73" s="16">
        <f>IFERROR(__xludf.DUMMYFUNCTION("""COMPUTED_VALUE"""),0.0)</f>
        <v>0</v>
      </c>
      <c r="AF73" s="16">
        <f>IFERROR(__xludf.DUMMYFUNCTION("""COMPUTED_VALUE"""),0.0)</f>
        <v>0</v>
      </c>
      <c r="AG73" s="16">
        <f>IFERROR(__xludf.DUMMYFUNCTION("""COMPUTED_VALUE"""),0.0)</f>
        <v>0</v>
      </c>
      <c r="AH73" s="16">
        <f>IFERROR(__xludf.DUMMYFUNCTION("""COMPUTED_VALUE"""),0.0)</f>
        <v>0</v>
      </c>
    </row>
    <row r="74">
      <c r="A74" s="16" t="str">
        <f>IFERROR(__xludf.DUMMYFUNCTION("""COMPUTED_VALUE"""),"4056d8e031445adbb80d52b1fd723609be585a3b")</f>
        <v>4056d8e031445adbb80d52b1fd723609be585a3b</v>
      </c>
      <c r="B74" s="16" t="str">
        <f>IFERROR(__xludf.DUMMYFUNCTION("""COMPUTED_VALUE"""),"Only Boy on the Bus")</f>
        <v>Only Boy on the Bus</v>
      </c>
      <c r="C74" s="16" t="str">
        <f>IFERROR(__xludf.DUMMYFUNCTION("""COMPUTED_VALUE"""),"Fantasy")</f>
        <v>Fantasy</v>
      </c>
      <c r="D74" s="16">
        <f>IFERROR(__xludf.DUMMYFUNCTION("""COMPUTED_VALUE"""),481.0)</f>
        <v>481</v>
      </c>
      <c r="E74" s="16">
        <f>IFERROR(__xludf.DUMMYFUNCTION("""COMPUTED_VALUE"""),0.985446985446985)</f>
        <v>0.9854469854</v>
      </c>
      <c r="F74" s="16">
        <f>IFERROR(__xludf.DUMMYFUNCTION("""COMPUTED_VALUE"""),0.675675675675675)</f>
        <v>0.6756756757</v>
      </c>
      <c r="G74" s="16">
        <f>IFERROR(__xludf.DUMMYFUNCTION("""COMPUTED_VALUE"""),0.586278586278586)</f>
        <v>0.5862785863</v>
      </c>
      <c r="H74" s="16">
        <f>IFERROR(__xludf.DUMMYFUNCTION("""COMPUTED_VALUE"""),0.536382536382536)</f>
        <v>0.5363825364</v>
      </c>
      <c r="I74" s="16">
        <f>IFERROR(__xludf.DUMMYFUNCTION("""COMPUTED_VALUE"""),0.505197505197505)</f>
        <v>0.5051975052</v>
      </c>
      <c r="J74" s="16">
        <f>IFERROR(__xludf.DUMMYFUNCTION("""COMPUTED_VALUE"""),0.482328482328482)</f>
        <v>0.4823284823</v>
      </c>
      <c r="K74" s="16">
        <f>IFERROR(__xludf.DUMMYFUNCTION("""COMPUTED_VALUE"""),0.432432432432432)</f>
        <v>0.4324324324</v>
      </c>
      <c r="L74" s="16">
        <f>IFERROR(__xludf.DUMMYFUNCTION("""COMPUTED_VALUE"""),0.417879417879417)</f>
        <v>0.4178794179</v>
      </c>
      <c r="M74" s="16">
        <f>IFERROR(__xludf.DUMMYFUNCTION("""COMPUTED_VALUE"""),0.413721413721413)</f>
        <v>0.4137214137</v>
      </c>
      <c r="N74" s="16">
        <f>IFERROR(__xludf.DUMMYFUNCTION("""COMPUTED_VALUE"""),0.40251572327044)</f>
        <v>0.4025157233</v>
      </c>
      <c r="O74" s="16">
        <f>IFERROR(__xludf.DUMMYFUNCTION("""COMPUTED_VALUE"""),0.392405063291139)</f>
        <v>0.3924050633</v>
      </c>
      <c r="P74" s="16">
        <f>IFERROR(__xludf.DUMMYFUNCTION("""COMPUTED_VALUE"""),0.308189655172413)</f>
        <v>0.3081896552</v>
      </c>
      <c r="Q74" s="16">
        <f>IFERROR(__xludf.DUMMYFUNCTION("""COMPUTED_VALUE"""),0.0796812749003984)</f>
        <v>0.0796812749</v>
      </c>
      <c r="R74" s="16">
        <f>IFERROR(__xludf.DUMMYFUNCTION("""COMPUTED_VALUE"""),0.0)</f>
        <v>0</v>
      </c>
      <c r="S74" s="16">
        <f>IFERROR(__xludf.DUMMYFUNCTION("""COMPUTED_VALUE"""),0.0)</f>
        <v>0</v>
      </c>
      <c r="T74" s="16">
        <f>IFERROR(__xludf.DUMMYFUNCTION("""COMPUTED_VALUE"""),0.0)</f>
        <v>0</v>
      </c>
      <c r="U74" s="16">
        <f>IFERROR(__xludf.DUMMYFUNCTION("""COMPUTED_VALUE"""),0.0)</f>
        <v>0</v>
      </c>
      <c r="V74" s="16">
        <f>IFERROR(__xludf.DUMMYFUNCTION("""COMPUTED_VALUE"""),0.0)</f>
        <v>0</v>
      </c>
      <c r="W74" s="16">
        <f>IFERROR(__xludf.DUMMYFUNCTION("""COMPUTED_VALUE"""),0.0)</f>
        <v>0</v>
      </c>
      <c r="X74" s="16">
        <f>IFERROR(__xludf.DUMMYFUNCTION("""COMPUTED_VALUE"""),0.0)</f>
        <v>0</v>
      </c>
      <c r="Y74" s="16">
        <f>IFERROR(__xludf.DUMMYFUNCTION("""COMPUTED_VALUE"""),0.0)</f>
        <v>0</v>
      </c>
      <c r="Z74" s="16">
        <f>IFERROR(__xludf.DUMMYFUNCTION("""COMPUTED_VALUE"""),0.0)</f>
        <v>0</v>
      </c>
      <c r="AA74" s="16">
        <f>IFERROR(__xludf.DUMMYFUNCTION("""COMPUTED_VALUE"""),0.0)</f>
        <v>0</v>
      </c>
      <c r="AB74" s="16">
        <f>IFERROR(__xludf.DUMMYFUNCTION("""COMPUTED_VALUE"""),0.0)</f>
        <v>0</v>
      </c>
      <c r="AC74" s="16">
        <f>IFERROR(__xludf.DUMMYFUNCTION("""COMPUTED_VALUE"""),0.0)</f>
        <v>0</v>
      </c>
      <c r="AD74" s="16">
        <f>IFERROR(__xludf.DUMMYFUNCTION("""COMPUTED_VALUE"""),0.0)</f>
        <v>0</v>
      </c>
      <c r="AE74" s="16">
        <f>IFERROR(__xludf.DUMMYFUNCTION("""COMPUTED_VALUE"""),0.0)</f>
        <v>0</v>
      </c>
      <c r="AF74" s="16">
        <f>IFERROR(__xludf.DUMMYFUNCTION("""COMPUTED_VALUE"""),0.0)</f>
        <v>0</v>
      </c>
      <c r="AG74" s="16">
        <f>IFERROR(__xludf.DUMMYFUNCTION("""COMPUTED_VALUE"""),0.0)</f>
        <v>0</v>
      </c>
      <c r="AH74" s="16">
        <f>IFERROR(__xludf.DUMMYFUNCTION("""COMPUTED_VALUE"""),0.0)</f>
        <v>0</v>
      </c>
    </row>
    <row r="75">
      <c r="A75" s="16" t="str">
        <f>IFERROR(__xludf.DUMMYFUNCTION("""COMPUTED_VALUE"""),"40e06046d3679811f910f8beed9306369f59c60e")</f>
        <v>40e06046d3679811f910f8beed9306369f59c60e</v>
      </c>
      <c r="B75" s="16" t="str">
        <f>IFERROR(__xludf.DUMMYFUNCTION("""COMPUTED_VALUE"""),"Lycan Unity Academy")</f>
        <v>Lycan Unity Academy</v>
      </c>
      <c r="C75" s="16" t="str">
        <f>IFERROR(__xludf.DUMMYFUNCTION("""COMPUTED_VALUE"""),"Romantasy")</f>
        <v>Romantasy</v>
      </c>
      <c r="D75" s="16">
        <f>IFERROR(__xludf.DUMMYFUNCTION("""COMPUTED_VALUE"""),110.0)</f>
        <v>110</v>
      </c>
      <c r="E75" s="16">
        <f>IFERROR(__xludf.DUMMYFUNCTION("""COMPUTED_VALUE"""),0.990909090909091)</f>
        <v>0.9909090909</v>
      </c>
      <c r="F75" s="16">
        <f>IFERROR(__xludf.DUMMYFUNCTION("""COMPUTED_VALUE"""),0.572727272727272)</f>
        <v>0.5727272727</v>
      </c>
      <c r="G75" s="16">
        <f>IFERROR(__xludf.DUMMYFUNCTION("""COMPUTED_VALUE"""),0.481818181818181)</f>
        <v>0.4818181818</v>
      </c>
      <c r="H75" s="16">
        <f>IFERROR(__xludf.DUMMYFUNCTION("""COMPUTED_VALUE"""),0.454545454545454)</f>
        <v>0.4545454545</v>
      </c>
      <c r="I75" s="16">
        <f>IFERROR(__xludf.DUMMYFUNCTION("""COMPUTED_VALUE"""),0.418181818181818)</f>
        <v>0.4181818182</v>
      </c>
      <c r="J75" s="16">
        <f>IFERROR(__xludf.DUMMYFUNCTION("""COMPUTED_VALUE"""),0.381818181818181)</f>
        <v>0.3818181818</v>
      </c>
      <c r="K75" s="16">
        <f>IFERROR(__xludf.DUMMYFUNCTION("""COMPUTED_VALUE"""),0.416666666666666)</f>
        <v>0.4166666667</v>
      </c>
      <c r="L75" s="16">
        <f>IFERROR(__xludf.DUMMYFUNCTION("""COMPUTED_VALUE"""),0.407407407407407)</f>
        <v>0.4074074074</v>
      </c>
      <c r="M75" s="16">
        <f>IFERROR(__xludf.DUMMYFUNCTION("""COMPUTED_VALUE"""),0.342592592592592)</f>
        <v>0.3425925926</v>
      </c>
      <c r="N75" s="16">
        <f>IFERROR(__xludf.DUMMYFUNCTION("""COMPUTED_VALUE"""),0.333333333333333)</f>
        <v>0.3333333333</v>
      </c>
      <c r="O75" s="16">
        <f>IFERROR(__xludf.DUMMYFUNCTION("""COMPUTED_VALUE"""),0.268518518518518)</f>
        <v>0.2685185185</v>
      </c>
      <c r="P75" s="16">
        <f>IFERROR(__xludf.DUMMYFUNCTION("""COMPUTED_VALUE"""),0.205607476635514)</f>
        <v>0.2056074766</v>
      </c>
      <c r="Q75" s="16">
        <f>IFERROR(__xludf.DUMMYFUNCTION("""COMPUTED_VALUE"""),0.102564102564102)</f>
        <v>0.1025641026</v>
      </c>
      <c r="R75" s="16">
        <f>IFERROR(__xludf.DUMMYFUNCTION("""COMPUTED_VALUE"""),0.111111111111111)</f>
        <v>0.1111111111</v>
      </c>
      <c r="S75" s="16">
        <f>IFERROR(__xludf.DUMMYFUNCTION("""COMPUTED_VALUE"""),0.0)</f>
        <v>0</v>
      </c>
      <c r="T75" s="16">
        <f>IFERROR(__xludf.DUMMYFUNCTION("""COMPUTED_VALUE"""),0.0)</f>
        <v>0</v>
      </c>
      <c r="U75" s="16">
        <f>IFERROR(__xludf.DUMMYFUNCTION("""COMPUTED_VALUE"""),0.0)</f>
        <v>0</v>
      </c>
      <c r="V75" s="16">
        <f>IFERROR(__xludf.DUMMYFUNCTION("""COMPUTED_VALUE"""),0.0)</f>
        <v>0</v>
      </c>
      <c r="W75" s="16">
        <f>IFERROR(__xludf.DUMMYFUNCTION("""COMPUTED_VALUE"""),0.0)</f>
        <v>0</v>
      </c>
      <c r="X75" s="16">
        <f>IFERROR(__xludf.DUMMYFUNCTION("""COMPUTED_VALUE"""),0.0)</f>
        <v>0</v>
      </c>
      <c r="Y75" s="16">
        <f>IFERROR(__xludf.DUMMYFUNCTION("""COMPUTED_VALUE"""),0.0)</f>
        <v>0</v>
      </c>
      <c r="Z75" s="16">
        <f>IFERROR(__xludf.DUMMYFUNCTION("""COMPUTED_VALUE"""),0.0)</f>
        <v>0</v>
      </c>
      <c r="AA75" s="16">
        <f>IFERROR(__xludf.DUMMYFUNCTION("""COMPUTED_VALUE"""),0.0)</f>
        <v>0</v>
      </c>
      <c r="AB75" s="16">
        <f>IFERROR(__xludf.DUMMYFUNCTION("""COMPUTED_VALUE"""),0.0)</f>
        <v>0</v>
      </c>
      <c r="AC75" s="16">
        <f>IFERROR(__xludf.DUMMYFUNCTION("""COMPUTED_VALUE"""),0.0)</f>
        <v>0</v>
      </c>
      <c r="AD75" s="16">
        <f>IFERROR(__xludf.DUMMYFUNCTION("""COMPUTED_VALUE"""),0.0)</f>
        <v>0</v>
      </c>
      <c r="AE75" s="16">
        <f>IFERROR(__xludf.DUMMYFUNCTION("""COMPUTED_VALUE"""),0.0)</f>
        <v>0</v>
      </c>
      <c r="AF75" s="16">
        <f>IFERROR(__xludf.DUMMYFUNCTION("""COMPUTED_VALUE"""),0.0)</f>
        <v>0</v>
      </c>
      <c r="AG75" s="16">
        <f>IFERROR(__xludf.DUMMYFUNCTION("""COMPUTED_VALUE"""),0.0)</f>
        <v>0</v>
      </c>
      <c r="AH75" s="16">
        <f>IFERROR(__xludf.DUMMYFUNCTION("""COMPUTED_VALUE"""),0.0)</f>
        <v>0</v>
      </c>
    </row>
    <row r="76">
      <c r="A76" s="16" t="str">
        <f>IFERROR(__xludf.DUMMYFUNCTION("""COMPUTED_VALUE"""),"41afeacb4e481e249d618ae39936f1173864e026")</f>
        <v>41afeacb4e481e249d618ae39936f1173864e026</v>
      </c>
      <c r="B76" s="16" t="str">
        <f>IFERROR(__xludf.DUMMYFUNCTION("""COMPUTED_VALUE"""),"Disguised Successor")</f>
        <v>Disguised Successor</v>
      </c>
      <c r="C76" s="16" t="str">
        <f>IFERROR(__xludf.DUMMYFUNCTION("""COMPUTED_VALUE"""),"Drama")</f>
        <v>Drama</v>
      </c>
      <c r="D76" s="16">
        <f>IFERROR(__xludf.DUMMYFUNCTION("""COMPUTED_VALUE"""),400.0)</f>
        <v>400</v>
      </c>
      <c r="E76" s="16">
        <f>IFERROR(__xludf.DUMMYFUNCTION("""COMPUTED_VALUE"""),0.9675)</f>
        <v>0.9675</v>
      </c>
      <c r="F76" s="16">
        <f>IFERROR(__xludf.DUMMYFUNCTION("""COMPUTED_VALUE"""),0.73)</f>
        <v>0.73</v>
      </c>
      <c r="G76" s="16">
        <f>IFERROR(__xludf.DUMMYFUNCTION("""COMPUTED_VALUE"""),0.655)</f>
        <v>0.655</v>
      </c>
      <c r="H76" s="16">
        <f>IFERROR(__xludf.DUMMYFUNCTION("""COMPUTED_VALUE"""),0.6325)</f>
        <v>0.6325</v>
      </c>
      <c r="I76" s="16">
        <f>IFERROR(__xludf.DUMMYFUNCTION("""COMPUTED_VALUE"""),0.615)</f>
        <v>0.615</v>
      </c>
      <c r="J76" s="16">
        <f>IFERROR(__xludf.DUMMYFUNCTION("""COMPUTED_VALUE"""),0.580402010050251)</f>
        <v>0.5804020101</v>
      </c>
      <c r="K76" s="16">
        <f>IFERROR(__xludf.DUMMYFUNCTION("""COMPUTED_VALUE"""),0.53904282115869)</f>
        <v>0.5390428212</v>
      </c>
      <c r="L76" s="16">
        <f>IFERROR(__xludf.DUMMYFUNCTION("""COMPUTED_VALUE"""),0.534005037783375)</f>
        <v>0.5340050378</v>
      </c>
      <c r="M76" s="16">
        <f>IFERROR(__xludf.DUMMYFUNCTION("""COMPUTED_VALUE"""),0.496221662468513)</f>
        <v>0.4962216625</v>
      </c>
      <c r="N76" s="16">
        <f>IFERROR(__xludf.DUMMYFUNCTION("""COMPUTED_VALUE"""),0.467171717171717)</f>
        <v>0.4671717172</v>
      </c>
      <c r="O76" s="16">
        <f>IFERROR(__xludf.DUMMYFUNCTION("""COMPUTED_VALUE"""),0.398457583547557)</f>
        <v>0.3984575835</v>
      </c>
      <c r="P76" s="16">
        <f>IFERROR(__xludf.DUMMYFUNCTION("""COMPUTED_VALUE"""),0.250666666666666)</f>
        <v>0.2506666667</v>
      </c>
      <c r="Q76" s="16">
        <f>IFERROR(__xludf.DUMMYFUNCTION("""COMPUTED_VALUE"""),0.129729729729729)</f>
        <v>0.1297297297</v>
      </c>
      <c r="R76" s="16">
        <f>IFERROR(__xludf.DUMMYFUNCTION("""COMPUTED_VALUE"""),0.0773480662983425)</f>
        <v>0.0773480663</v>
      </c>
      <c r="S76" s="16">
        <f>IFERROR(__xludf.DUMMYFUNCTION("""COMPUTED_VALUE"""),0.0)</f>
        <v>0</v>
      </c>
      <c r="T76" s="16">
        <f>IFERROR(__xludf.DUMMYFUNCTION("""COMPUTED_VALUE"""),0.0)</f>
        <v>0</v>
      </c>
      <c r="U76" s="16">
        <f>IFERROR(__xludf.DUMMYFUNCTION("""COMPUTED_VALUE"""),0.0)</f>
        <v>0</v>
      </c>
      <c r="V76" s="16">
        <f>IFERROR(__xludf.DUMMYFUNCTION("""COMPUTED_VALUE"""),0.0)</f>
        <v>0</v>
      </c>
      <c r="W76" s="16">
        <f>IFERROR(__xludf.DUMMYFUNCTION("""COMPUTED_VALUE"""),0.0)</f>
        <v>0</v>
      </c>
      <c r="X76" s="16">
        <f>IFERROR(__xludf.DUMMYFUNCTION("""COMPUTED_VALUE"""),0.0)</f>
        <v>0</v>
      </c>
      <c r="Y76" s="16">
        <f>IFERROR(__xludf.DUMMYFUNCTION("""COMPUTED_VALUE"""),0.0)</f>
        <v>0</v>
      </c>
      <c r="Z76" s="16">
        <f>IFERROR(__xludf.DUMMYFUNCTION("""COMPUTED_VALUE"""),0.0)</f>
        <v>0</v>
      </c>
      <c r="AA76" s="16">
        <f>IFERROR(__xludf.DUMMYFUNCTION("""COMPUTED_VALUE"""),0.0)</f>
        <v>0</v>
      </c>
      <c r="AB76" s="16">
        <f>IFERROR(__xludf.DUMMYFUNCTION("""COMPUTED_VALUE"""),0.0)</f>
        <v>0</v>
      </c>
      <c r="AC76" s="16">
        <f>IFERROR(__xludf.DUMMYFUNCTION("""COMPUTED_VALUE"""),0.0)</f>
        <v>0</v>
      </c>
      <c r="AD76" s="16">
        <f>IFERROR(__xludf.DUMMYFUNCTION("""COMPUTED_VALUE"""),0.0)</f>
        <v>0</v>
      </c>
      <c r="AE76" s="16">
        <f>IFERROR(__xludf.DUMMYFUNCTION("""COMPUTED_VALUE"""),0.0)</f>
        <v>0</v>
      </c>
      <c r="AF76" s="16">
        <f>IFERROR(__xludf.DUMMYFUNCTION("""COMPUTED_VALUE"""),0.0)</f>
        <v>0</v>
      </c>
      <c r="AG76" s="16">
        <f>IFERROR(__xludf.DUMMYFUNCTION("""COMPUTED_VALUE"""),0.0)</f>
        <v>0</v>
      </c>
      <c r="AH76" s="16">
        <f>IFERROR(__xludf.DUMMYFUNCTION("""COMPUTED_VALUE"""),0.0)</f>
        <v>0</v>
      </c>
    </row>
    <row r="77">
      <c r="A77" s="16" t="str">
        <f>IFERROR(__xludf.DUMMYFUNCTION("""COMPUTED_VALUE"""),"41fe3152f98c34f655d93ac2fc85bf506eac3371")</f>
        <v>41fe3152f98c34f655d93ac2fc85bf506eac3371</v>
      </c>
      <c r="B77" s="16" t="str">
        <f>IFERROR(__xludf.DUMMYFUNCTION("""COMPUTED_VALUE"""),"Owen &amp; Liam")</f>
        <v>Owen &amp; Liam</v>
      </c>
      <c r="C77" s="16" t="str">
        <f>IFERROR(__xludf.DUMMYFUNCTION("""COMPUTED_VALUE"""),"Romance")</f>
        <v>Romance</v>
      </c>
      <c r="D77" s="16">
        <f>IFERROR(__xludf.DUMMYFUNCTION("""COMPUTED_VALUE"""),1186.0)</f>
        <v>1186</v>
      </c>
      <c r="E77" s="16">
        <f>IFERROR(__xludf.DUMMYFUNCTION("""COMPUTED_VALUE"""),0.967116357504215)</f>
        <v>0.9671163575</v>
      </c>
      <c r="F77" s="16">
        <f>IFERROR(__xludf.DUMMYFUNCTION("""COMPUTED_VALUE"""),0.504215851602023)</f>
        <v>0.5042158516</v>
      </c>
      <c r="G77" s="16">
        <f>IFERROR(__xludf.DUMMYFUNCTION("""COMPUTED_VALUE"""),0.403878583473861)</f>
        <v>0.4038785835</v>
      </c>
      <c r="H77" s="16">
        <f>IFERROR(__xludf.DUMMYFUNCTION("""COMPUTED_VALUE"""),0.358347386172006)</f>
        <v>0.3583473862</v>
      </c>
      <c r="I77" s="16">
        <f>IFERROR(__xludf.DUMMYFUNCTION("""COMPUTED_VALUE"""),0.327150084317032)</f>
        <v>0.3271500843</v>
      </c>
      <c r="J77" s="16">
        <f>IFERROR(__xludf.DUMMYFUNCTION("""COMPUTED_VALUE"""),0.308600337268128)</f>
        <v>0.3086003373</v>
      </c>
      <c r="K77" s="16">
        <f>IFERROR(__xludf.DUMMYFUNCTION("""COMPUTED_VALUE"""),0.292580101180438)</f>
        <v>0.2925801012</v>
      </c>
      <c r="L77" s="16">
        <f>IFERROR(__xludf.DUMMYFUNCTION("""COMPUTED_VALUE"""),0.279089376053962)</f>
        <v>0.2790893761</v>
      </c>
      <c r="M77" s="16">
        <f>IFERROR(__xludf.DUMMYFUNCTION("""COMPUTED_VALUE"""),0.263069139966273)</f>
        <v>0.26306914</v>
      </c>
      <c r="N77" s="16">
        <f>IFERROR(__xludf.DUMMYFUNCTION("""COMPUTED_VALUE"""),0.254637436762225)</f>
        <v>0.2546374368</v>
      </c>
      <c r="O77" s="16">
        <f>IFERROR(__xludf.DUMMYFUNCTION("""COMPUTED_VALUE"""),0.229342327150084)</f>
        <v>0.2293423272</v>
      </c>
      <c r="P77" s="16">
        <f>IFERROR(__xludf.DUMMYFUNCTION("""COMPUTED_VALUE"""),0.172151898734177)</f>
        <v>0.1721518987</v>
      </c>
      <c r="Q77" s="16">
        <f>IFERROR(__xludf.DUMMYFUNCTION("""COMPUTED_VALUE"""),0.143003064351378)</f>
        <v>0.1430030644</v>
      </c>
      <c r="R77" s="16">
        <f>IFERROR(__xludf.DUMMYFUNCTION("""COMPUTED_VALUE"""),0.113387978142076)</f>
        <v>0.1133879781</v>
      </c>
      <c r="S77" s="16">
        <f>IFERROR(__xludf.DUMMYFUNCTION("""COMPUTED_VALUE"""),0.119246861924686)</f>
        <v>0.1192468619</v>
      </c>
      <c r="T77" s="16">
        <f>IFERROR(__xludf.DUMMYFUNCTION("""COMPUTED_VALUE"""),0.117166212534059)</f>
        <v>0.1171662125</v>
      </c>
      <c r="U77" s="16">
        <f>IFERROR(__xludf.DUMMYFUNCTION("""COMPUTED_VALUE"""),0.103244837758112)</f>
        <v>0.1032448378</v>
      </c>
      <c r="V77" s="16">
        <f>IFERROR(__xludf.DUMMYFUNCTION("""COMPUTED_VALUE"""),0.104234527687296)</f>
        <v>0.1042345277</v>
      </c>
      <c r="W77" s="16">
        <f>IFERROR(__xludf.DUMMYFUNCTION("""COMPUTED_VALUE"""),0.0869565217391304)</f>
        <v>0.08695652174</v>
      </c>
      <c r="X77" s="16">
        <f>IFERROR(__xludf.DUMMYFUNCTION("""COMPUTED_VALUE"""),0.0916334661354581)</f>
        <v>0.09163346614</v>
      </c>
      <c r="Y77" s="16">
        <f>IFERROR(__xludf.DUMMYFUNCTION("""COMPUTED_VALUE"""),0.0662650602409638)</f>
        <v>0.06626506024</v>
      </c>
      <c r="Z77" s="16">
        <f>IFERROR(__xludf.DUMMYFUNCTION("""COMPUTED_VALUE"""),0.0309278350515463)</f>
        <v>0.03092783505</v>
      </c>
      <c r="AA77" s="16">
        <f>IFERROR(__xludf.DUMMYFUNCTION("""COMPUTED_VALUE"""),0.0298507462686567)</f>
        <v>0.02985074627</v>
      </c>
      <c r="AB77" s="16">
        <f>IFERROR(__xludf.DUMMYFUNCTION("""COMPUTED_VALUE"""),0.117647058823529)</f>
        <v>0.1176470588</v>
      </c>
      <c r="AC77" s="16">
        <f>IFERROR(__xludf.DUMMYFUNCTION("""COMPUTED_VALUE"""),0.285714285714285)</f>
        <v>0.2857142857</v>
      </c>
      <c r="AD77" s="16">
        <f>IFERROR(__xludf.DUMMYFUNCTION("""COMPUTED_VALUE"""),1.0)</f>
        <v>1</v>
      </c>
      <c r="AE77" s="16">
        <f>IFERROR(__xludf.DUMMYFUNCTION("""COMPUTED_VALUE"""),0.0)</f>
        <v>0</v>
      </c>
      <c r="AF77" s="16">
        <f>IFERROR(__xludf.DUMMYFUNCTION("""COMPUTED_VALUE"""),0.0)</f>
        <v>0</v>
      </c>
      <c r="AG77" s="16">
        <f>IFERROR(__xludf.DUMMYFUNCTION("""COMPUTED_VALUE"""),0.0)</f>
        <v>0</v>
      </c>
      <c r="AH77" s="16">
        <f>IFERROR(__xludf.DUMMYFUNCTION("""COMPUTED_VALUE"""),0.0)</f>
        <v>0</v>
      </c>
    </row>
    <row r="78">
      <c r="A78" s="16" t="str">
        <f>IFERROR(__xludf.DUMMYFUNCTION("""COMPUTED_VALUE"""),"424b450dc35cc4bf4fc088069830e978aa97884a")</f>
        <v>424b450dc35cc4bf4fc088069830e978aa97884a</v>
      </c>
      <c r="B78" s="16" t="str">
        <f>IFERROR(__xludf.DUMMYFUNCTION("""COMPUTED_VALUE"""),"The Alpha's Witch")</f>
        <v>The Alpha's Witch</v>
      </c>
      <c r="C78" s="16" t="str">
        <f>IFERROR(__xludf.DUMMYFUNCTION("""COMPUTED_VALUE"""),"Romantasy")</f>
        <v>Romantasy</v>
      </c>
      <c r="D78" s="16">
        <f>IFERROR(__xludf.DUMMYFUNCTION("""COMPUTED_VALUE"""),124.0)</f>
        <v>124</v>
      </c>
      <c r="E78" s="16">
        <f>IFERROR(__xludf.DUMMYFUNCTION("""COMPUTED_VALUE"""),0.975806451612903)</f>
        <v>0.9758064516</v>
      </c>
      <c r="F78" s="16">
        <f>IFERROR(__xludf.DUMMYFUNCTION("""COMPUTED_VALUE"""),0.612903225806451)</f>
        <v>0.6129032258</v>
      </c>
      <c r="G78" s="16">
        <f>IFERROR(__xludf.DUMMYFUNCTION("""COMPUTED_VALUE"""),0.5)</f>
        <v>0.5</v>
      </c>
      <c r="H78" s="16">
        <f>IFERROR(__xludf.DUMMYFUNCTION("""COMPUTED_VALUE"""),0.451612903225806)</f>
        <v>0.4516129032</v>
      </c>
      <c r="I78" s="16">
        <f>IFERROR(__xludf.DUMMYFUNCTION("""COMPUTED_VALUE"""),0.427419354838709)</f>
        <v>0.4274193548</v>
      </c>
      <c r="J78" s="16">
        <f>IFERROR(__xludf.DUMMYFUNCTION("""COMPUTED_VALUE"""),0.419354838709677)</f>
        <v>0.4193548387</v>
      </c>
      <c r="K78" s="16">
        <f>IFERROR(__xludf.DUMMYFUNCTION("""COMPUTED_VALUE"""),0.379032258064516)</f>
        <v>0.3790322581</v>
      </c>
      <c r="L78" s="16">
        <f>IFERROR(__xludf.DUMMYFUNCTION("""COMPUTED_VALUE"""),0.379032258064516)</f>
        <v>0.3790322581</v>
      </c>
      <c r="M78" s="16">
        <f>IFERROR(__xludf.DUMMYFUNCTION("""COMPUTED_VALUE"""),0.373983739837398)</f>
        <v>0.3739837398</v>
      </c>
      <c r="N78" s="16">
        <f>IFERROR(__xludf.DUMMYFUNCTION("""COMPUTED_VALUE"""),0.333333333333333)</f>
        <v>0.3333333333</v>
      </c>
      <c r="O78" s="16">
        <f>IFERROR(__xludf.DUMMYFUNCTION("""COMPUTED_VALUE"""),0.181818181818181)</f>
        <v>0.1818181818</v>
      </c>
      <c r="P78" s="16">
        <f>IFERROR(__xludf.DUMMYFUNCTION("""COMPUTED_VALUE"""),0.144067796610169)</f>
        <v>0.1440677966</v>
      </c>
      <c r="Q78" s="16">
        <f>IFERROR(__xludf.DUMMYFUNCTION("""COMPUTED_VALUE"""),0.0884955752212389)</f>
        <v>0.08849557522</v>
      </c>
      <c r="R78" s="16">
        <f>IFERROR(__xludf.DUMMYFUNCTION("""COMPUTED_VALUE"""),0.104477611940298)</f>
        <v>0.1044776119</v>
      </c>
      <c r="S78" s="16">
        <f>IFERROR(__xludf.DUMMYFUNCTION("""COMPUTED_VALUE"""),0.0)</f>
        <v>0</v>
      </c>
      <c r="T78" s="16">
        <f>IFERROR(__xludf.DUMMYFUNCTION("""COMPUTED_VALUE"""),0.0)</f>
        <v>0</v>
      </c>
      <c r="U78" s="16">
        <f>IFERROR(__xludf.DUMMYFUNCTION("""COMPUTED_VALUE"""),0.0)</f>
        <v>0</v>
      </c>
      <c r="V78" s="16">
        <f>IFERROR(__xludf.DUMMYFUNCTION("""COMPUTED_VALUE"""),0.0)</f>
        <v>0</v>
      </c>
      <c r="W78" s="16">
        <f>IFERROR(__xludf.DUMMYFUNCTION("""COMPUTED_VALUE"""),0.0)</f>
        <v>0</v>
      </c>
      <c r="X78" s="16">
        <f>IFERROR(__xludf.DUMMYFUNCTION("""COMPUTED_VALUE"""),0.0)</f>
        <v>0</v>
      </c>
      <c r="Y78" s="16">
        <f>IFERROR(__xludf.DUMMYFUNCTION("""COMPUTED_VALUE"""),0.0)</f>
        <v>0</v>
      </c>
      <c r="Z78" s="16">
        <f>IFERROR(__xludf.DUMMYFUNCTION("""COMPUTED_VALUE"""),0.0)</f>
        <v>0</v>
      </c>
      <c r="AA78" s="16">
        <f>IFERROR(__xludf.DUMMYFUNCTION("""COMPUTED_VALUE"""),0.0)</f>
        <v>0</v>
      </c>
      <c r="AB78" s="16">
        <f>IFERROR(__xludf.DUMMYFUNCTION("""COMPUTED_VALUE"""),0.0)</f>
        <v>0</v>
      </c>
      <c r="AC78" s="16">
        <f>IFERROR(__xludf.DUMMYFUNCTION("""COMPUTED_VALUE"""),0.0)</f>
        <v>0</v>
      </c>
      <c r="AD78" s="16">
        <f>IFERROR(__xludf.DUMMYFUNCTION("""COMPUTED_VALUE"""),0.0)</f>
        <v>0</v>
      </c>
      <c r="AE78" s="16">
        <f>IFERROR(__xludf.DUMMYFUNCTION("""COMPUTED_VALUE"""),0.0)</f>
        <v>0</v>
      </c>
      <c r="AF78" s="16">
        <f>IFERROR(__xludf.DUMMYFUNCTION("""COMPUTED_VALUE"""),0.0)</f>
        <v>0</v>
      </c>
      <c r="AG78" s="16">
        <f>IFERROR(__xludf.DUMMYFUNCTION("""COMPUTED_VALUE"""),0.0)</f>
        <v>0</v>
      </c>
      <c r="AH78" s="16">
        <f>IFERROR(__xludf.DUMMYFUNCTION("""COMPUTED_VALUE"""),0.0)</f>
        <v>0</v>
      </c>
    </row>
    <row r="79">
      <c r="A79" s="16" t="str">
        <f>IFERROR(__xludf.DUMMYFUNCTION("""COMPUTED_VALUE"""),"42515091e7b47b7b2d2381d7512fdb9f9866aa1e")</f>
        <v>42515091e7b47b7b2d2381d7512fdb9f9866aa1e</v>
      </c>
      <c r="B79" s="16" t="str">
        <f>IFERROR(__xludf.DUMMYFUNCTION("""COMPUTED_VALUE"""),"The Tomboy Love Story")</f>
        <v>The Tomboy Love Story</v>
      </c>
      <c r="C79" s="16" t="str">
        <f>IFERROR(__xludf.DUMMYFUNCTION("""COMPUTED_VALUE"""),"Romance")</f>
        <v>Romance</v>
      </c>
      <c r="D79" s="16">
        <f>IFERROR(__xludf.DUMMYFUNCTION("""COMPUTED_VALUE"""),76.0)</f>
        <v>76</v>
      </c>
      <c r="E79" s="16">
        <f>IFERROR(__xludf.DUMMYFUNCTION("""COMPUTED_VALUE"""),0.934210526315789)</f>
        <v>0.9342105263</v>
      </c>
      <c r="F79" s="16">
        <f>IFERROR(__xludf.DUMMYFUNCTION("""COMPUTED_VALUE"""),0.539473684210526)</f>
        <v>0.5394736842</v>
      </c>
      <c r="G79" s="16">
        <f>IFERROR(__xludf.DUMMYFUNCTION("""COMPUTED_VALUE"""),0.486842105263157)</f>
        <v>0.4868421053</v>
      </c>
      <c r="H79" s="16">
        <f>IFERROR(__xludf.DUMMYFUNCTION("""COMPUTED_VALUE"""),0.453333333333333)</f>
        <v>0.4533333333</v>
      </c>
      <c r="I79" s="16">
        <f>IFERROR(__xludf.DUMMYFUNCTION("""COMPUTED_VALUE"""),0.44)</f>
        <v>0.44</v>
      </c>
      <c r="J79" s="16">
        <f>IFERROR(__xludf.DUMMYFUNCTION("""COMPUTED_VALUE"""),0.438356164383561)</f>
        <v>0.4383561644</v>
      </c>
      <c r="K79" s="16">
        <f>IFERROR(__xludf.DUMMYFUNCTION("""COMPUTED_VALUE"""),0.383561643835616)</f>
        <v>0.3835616438</v>
      </c>
      <c r="L79" s="16">
        <f>IFERROR(__xludf.DUMMYFUNCTION("""COMPUTED_VALUE"""),0.388888888888888)</f>
        <v>0.3888888889</v>
      </c>
      <c r="M79" s="16">
        <f>IFERROR(__xludf.DUMMYFUNCTION("""COMPUTED_VALUE"""),0.388888888888888)</f>
        <v>0.3888888889</v>
      </c>
      <c r="N79" s="16">
        <f>IFERROR(__xludf.DUMMYFUNCTION("""COMPUTED_VALUE"""),0.388888888888888)</f>
        <v>0.3888888889</v>
      </c>
      <c r="O79" s="16">
        <f>IFERROR(__xludf.DUMMYFUNCTION("""COMPUTED_VALUE"""),0.347222222222222)</f>
        <v>0.3472222222</v>
      </c>
      <c r="P79" s="16">
        <f>IFERROR(__xludf.DUMMYFUNCTION("""COMPUTED_VALUE"""),0.275362318840579)</f>
        <v>0.2753623188</v>
      </c>
      <c r="Q79" s="16">
        <f>IFERROR(__xludf.DUMMYFUNCTION("""COMPUTED_VALUE"""),0.203125)</f>
        <v>0.203125</v>
      </c>
      <c r="R79" s="16">
        <f>IFERROR(__xludf.DUMMYFUNCTION("""COMPUTED_VALUE"""),0.135593220338983)</f>
        <v>0.1355932203</v>
      </c>
      <c r="S79" s="16">
        <f>IFERROR(__xludf.DUMMYFUNCTION("""COMPUTED_VALUE"""),0.0888888888888888)</f>
        <v>0.08888888889</v>
      </c>
      <c r="T79" s="16">
        <f>IFERROR(__xludf.DUMMYFUNCTION("""COMPUTED_VALUE"""),0.0)</f>
        <v>0</v>
      </c>
      <c r="U79" s="16">
        <f>IFERROR(__xludf.DUMMYFUNCTION("""COMPUTED_VALUE"""),0.0)</f>
        <v>0</v>
      </c>
      <c r="V79" s="16">
        <f>IFERROR(__xludf.DUMMYFUNCTION("""COMPUTED_VALUE"""),0.0)</f>
        <v>0</v>
      </c>
      <c r="W79" s="16">
        <f>IFERROR(__xludf.DUMMYFUNCTION("""COMPUTED_VALUE"""),0.0)</f>
        <v>0</v>
      </c>
      <c r="X79" s="16">
        <f>IFERROR(__xludf.DUMMYFUNCTION("""COMPUTED_VALUE"""),0.0)</f>
        <v>0</v>
      </c>
      <c r="Y79" s="16">
        <f>IFERROR(__xludf.DUMMYFUNCTION("""COMPUTED_VALUE"""),0.0)</f>
        <v>0</v>
      </c>
      <c r="Z79" s="16">
        <f>IFERROR(__xludf.DUMMYFUNCTION("""COMPUTED_VALUE"""),0.0)</f>
        <v>0</v>
      </c>
      <c r="AA79" s="16">
        <f>IFERROR(__xludf.DUMMYFUNCTION("""COMPUTED_VALUE"""),0.0)</f>
        <v>0</v>
      </c>
      <c r="AB79" s="16">
        <f>IFERROR(__xludf.DUMMYFUNCTION("""COMPUTED_VALUE"""),0.0)</f>
        <v>0</v>
      </c>
      <c r="AC79" s="16">
        <f>IFERROR(__xludf.DUMMYFUNCTION("""COMPUTED_VALUE"""),0.0)</f>
        <v>0</v>
      </c>
      <c r="AD79" s="16">
        <f>IFERROR(__xludf.DUMMYFUNCTION("""COMPUTED_VALUE"""),0.0)</f>
        <v>0</v>
      </c>
      <c r="AE79" s="16">
        <f>IFERROR(__xludf.DUMMYFUNCTION("""COMPUTED_VALUE"""),0.0)</f>
        <v>0</v>
      </c>
      <c r="AF79" s="16">
        <f>IFERROR(__xludf.DUMMYFUNCTION("""COMPUTED_VALUE"""),0.0)</f>
        <v>0</v>
      </c>
      <c r="AG79" s="16">
        <f>IFERROR(__xludf.DUMMYFUNCTION("""COMPUTED_VALUE"""),0.0)</f>
        <v>0</v>
      </c>
      <c r="AH79" s="16">
        <f>IFERROR(__xludf.DUMMYFUNCTION("""COMPUTED_VALUE"""),0.0)</f>
        <v>0</v>
      </c>
    </row>
    <row r="80">
      <c r="A80" s="16" t="str">
        <f>IFERROR(__xludf.DUMMYFUNCTION("""COMPUTED_VALUE"""),"4335258b71733375cbccc0fbf7ce0bf0975b095d")</f>
        <v>4335258b71733375cbccc0fbf7ce0bf0975b095d</v>
      </c>
      <c r="B80" s="16" t="str">
        <f>IFERROR(__xludf.DUMMYFUNCTION("""COMPUTED_VALUE"""),"Alex &amp; the Prison System")</f>
        <v>Alex &amp; the Prison System</v>
      </c>
      <c r="C80" s="16" t="str">
        <f>IFERROR(__xludf.DUMMYFUNCTION("""COMPUTED_VALUE"""),"System and Superpower")</f>
        <v>System and Superpower</v>
      </c>
      <c r="D80" s="16">
        <f>IFERROR(__xludf.DUMMYFUNCTION("""COMPUTED_VALUE"""),978.0)</f>
        <v>978</v>
      </c>
      <c r="E80" s="16">
        <f>IFERROR(__xludf.DUMMYFUNCTION("""COMPUTED_VALUE"""),0.973415132924335)</f>
        <v>0.9734151329</v>
      </c>
      <c r="F80" s="16">
        <f>IFERROR(__xludf.DUMMYFUNCTION("""COMPUTED_VALUE"""),0.730061349693251)</f>
        <v>0.7300613497</v>
      </c>
      <c r="G80" s="16">
        <f>IFERROR(__xludf.DUMMYFUNCTION("""COMPUTED_VALUE"""),0.67280163599182)</f>
        <v>0.672801636</v>
      </c>
      <c r="H80" s="16">
        <f>IFERROR(__xludf.DUMMYFUNCTION("""COMPUTED_VALUE"""),0.652351738241308)</f>
        <v>0.6523517382</v>
      </c>
      <c r="I80" s="16">
        <f>IFERROR(__xludf.DUMMYFUNCTION("""COMPUTED_VALUE"""),0.629856850715746)</f>
        <v>0.6298568507</v>
      </c>
      <c r="J80" s="16">
        <f>IFERROR(__xludf.DUMMYFUNCTION("""COMPUTED_VALUE"""),0.619242579324462)</f>
        <v>0.6192425793</v>
      </c>
      <c r="K80" s="16">
        <f>IFERROR(__xludf.DUMMYFUNCTION("""COMPUTED_VALUE"""),0.607581967213114)</f>
        <v>0.6075819672</v>
      </c>
      <c r="L80" s="16">
        <f>IFERROR(__xludf.DUMMYFUNCTION("""COMPUTED_VALUE"""),0.595482546201232)</f>
        <v>0.5954825462</v>
      </c>
      <c r="M80" s="16">
        <f>IFERROR(__xludf.DUMMYFUNCTION("""COMPUTED_VALUE"""),0.583761562178828)</f>
        <v>0.5837615622</v>
      </c>
      <c r="N80" s="16">
        <f>IFERROR(__xludf.DUMMYFUNCTION("""COMPUTED_VALUE"""),0.559095580678314)</f>
        <v>0.5590955807</v>
      </c>
      <c r="O80" s="16">
        <f>IFERROR(__xludf.DUMMYFUNCTION("""COMPUTED_VALUE"""),0.455114822546972)</f>
        <v>0.4551148225</v>
      </c>
      <c r="P80" s="16">
        <f>IFERROR(__xludf.DUMMYFUNCTION("""COMPUTED_VALUE"""),0.320212765957446)</f>
        <v>0.320212766</v>
      </c>
      <c r="Q80" s="16">
        <f>IFERROR(__xludf.DUMMYFUNCTION("""COMPUTED_VALUE"""),0.256972111553784)</f>
        <v>0.2569721116</v>
      </c>
      <c r="R80" s="16">
        <f>IFERROR(__xludf.DUMMYFUNCTION("""COMPUTED_VALUE"""),0.25)</f>
        <v>0.25</v>
      </c>
      <c r="S80" s="16">
        <f>IFERROR(__xludf.DUMMYFUNCTION("""COMPUTED_VALUE"""),0.2)</f>
        <v>0.2</v>
      </c>
      <c r="T80" s="16">
        <f>IFERROR(__xludf.DUMMYFUNCTION("""COMPUTED_VALUE"""),0.0)</f>
        <v>0</v>
      </c>
      <c r="U80" s="16">
        <f>IFERROR(__xludf.DUMMYFUNCTION("""COMPUTED_VALUE"""),0.0)</f>
        <v>0</v>
      </c>
      <c r="V80" s="16">
        <f>IFERROR(__xludf.DUMMYFUNCTION("""COMPUTED_VALUE"""),0.0)</f>
        <v>0</v>
      </c>
      <c r="W80" s="16">
        <f>IFERROR(__xludf.DUMMYFUNCTION("""COMPUTED_VALUE"""),0.0)</f>
        <v>0</v>
      </c>
      <c r="X80" s="16">
        <f>IFERROR(__xludf.DUMMYFUNCTION("""COMPUTED_VALUE"""),0.0)</f>
        <v>0</v>
      </c>
      <c r="Y80" s="16">
        <f>IFERROR(__xludf.DUMMYFUNCTION("""COMPUTED_VALUE"""),0.0)</f>
        <v>0</v>
      </c>
      <c r="Z80" s="16">
        <f>IFERROR(__xludf.DUMMYFUNCTION("""COMPUTED_VALUE"""),0.0)</f>
        <v>0</v>
      </c>
      <c r="AA80" s="16">
        <f>IFERROR(__xludf.DUMMYFUNCTION("""COMPUTED_VALUE"""),0.0)</f>
        <v>0</v>
      </c>
      <c r="AB80" s="16">
        <f>IFERROR(__xludf.DUMMYFUNCTION("""COMPUTED_VALUE"""),0.0)</f>
        <v>0</v>
      </c>
      <c r="AC80" s="16">
        <f>IFERROR(__xludf.DUMMYFUNCTION("""COMPUTED_VALUE"""),0.0)</f>
        <v>0</v>
      </c>
      <c r="AD80" s="16">
        <f>IFERROR(__xludf.DUMMYFUNCTION("""COMPUTED_VALUE"""),0.0)</f>
        <v>0</v>
      </c>
      <c r="AE80" s="16">
        <f>IFERROR(__xludf.DUMMYFUNCTION("""COMPUTED_VALUE"""),0.0)</f>
        <v>0</v>
      </c>
      <c r="AF80" s="16">
        <f>IFERROR(__xludf.DUMMYFUNCTION("""COMPUTED_VALUE"""),0.0)</f>
        <v>0</v>
      </c>
      <c r="AG80" s="16">
        <f>IFERROR(__xludf.DUMMYFUNCTION("""COMPUTED_VALUE"""),0.0)</f>
        <v>0</v>
      </c>
      <c r="AH80" s="16">
        <f>IFERROR(__xludf.DUMMYFUNCTION("""COMPUTED_VALUE"""),0.0)</f>
        <v>0</v>
      </c>
    </row>
    <row r="81">
      <c r="A81" s="16" t="str">
        <f>IFERROR(__xludf.DUMMYFUNCTION("""COMPUTED_VALUE"""),"43de49339ed40a2c4d8acef5644870ce292f541e")</f>
        <v>43de49339ed40a2c4d8acef5644870ce292f541e</v>
      </c>
      <c r="B81" s="16" t="str">
        <f>IFERROR(__xludf.DUMMYFUNCTION("""COMPUTED_VALUE"""),"Second Chances: Reborn to Be a CEO’s Wife")</f>
        <v>Second Chances: Reborn to Be a CEO’s Wife</v>
      </c>
      <c r="C81" s="16" t="str">
        <f>IFERROR(__xludf.DUMMYFUNCTION("""COMPUTED_VALUE"""),"Romance")</f>
        <v>Romance</v>
      </c>
      <c r="D81" s="16">
        <f>IFERROR(__xludf.DUMMYFUNCTION("""COMPUTED_VALUE"""),105.0)</f>
        <v>105</v>
      </c>
      <c r="E81" s="16">
        <f>IFERROR(__xludf.DUMMYFUNCTION("""COMPUTED_VALUE"""),0.961904761904761)</f>
        <v>0.9619047619</v>
      </c>
      <c r="F81" s="16">
        <f>IFERROR(__xludf.DUMMYFUNCTION("""COMPUTED_VALUE"""),0.609523809523809)</f>
        <v>0.6095238095</v>
      </c>
      <c r="G81" s="16">
        <f>IFERROR(__xludf.DUMMYFUNCTION("""COMPUTED_VALUE"""),0.533333333333333)</f>
        <v>0.5333333333</v>
      </c>
      <c r="H81" s="16">
        <f>IFERROR(__xludf.DUMMYFUNCTION("""COMPUTED_VALUE"""),0.457142857142857)</f>
        <v>0.4571428571</v>
      </c>
      <c r="I81" s="16">
        <f>IFERROR(__xludf.DUMMYFUNCTION("""COMPUTED_VALUE"""),0.438095238095238)</f>
        <v>0.4380952381</v>
      </c>
      <c r="J81" s="16">
        <f>IFERROR(__xludf.DUMMYFUNCTION("""COMPUTED_VALUE"""),0.38095238095238)</f>
        <v>0.380952381</v>
      </c>
      <c r="K81" s="16">
        <f>IFERROR(__xludf.DUMMYFUNCTION("""COMPUTED_VALUE"""),0.352380952380952)</f>
        <v>0.3523809524</v>
      </c>
      <c r="L81" s="16">
        <f>IFERROR(__xludf.DUMMYFUNCTION("""COMPUTED_VALUE"""),0.342857142857142)</f>
        <v>0.3428571429</v>
      </c>
      <c r="M81" s="16">
        <f>IFERROR(__xludf.DUMMYFUNCTION("""COMPUTED_VALUE"""),0.333333333333333)</f>
        <v>0.3333333333</v>
      </c>
      <c r="N81" s="16">
        <f>IFERROR(__xludf.DUMMYFUNCTION("""COMPUTED_VALUE"""),0.314285714285714)</f>
        <v>0.3142857143</v>
      </c>
      <c r="O81" s="16">
        <f>IFERROR(__xludf.DUMMYFUNCTION("""COMPUTED_VALUE"""),0.276190476190476)</f>
        <v>0.2761904762</v>
      </c>
      <c r="P81" s="16">
        <f>IFERROR(__xludf.DUMMYFUNCTION("""COMPUTED_VALUE"""),0.087378640776699)</f>
        <v>0.08737864078</v>
      </c>
      <c r="Q81" s="16">
        <f>IFERROR(__xludf.DUMMYFUNCTION("""COMPUTED_VALUE"""),0.0099009900990099)</f>
        <v>0.009900990099</v>
      </c>
      <c r="R81" s="16">
        <f>IFERROR(__xludf.DUMMYFUNCTION("""COMPUTED_VALUE"""),0.0)</f>
        <v>0</v>
      </c>
      <c r="S81" s="16">
        <f>IFERROR(__xludf.DUMMYFUNCTION("""COMPUTED_VALUE"""),0.0)</f>
        <v>0</v>
      </c>
      <c r="T81" s="16">
        <f>IFERROR(__xludf.DUMMYFUNCTION("""COMPUTED_VALUE"""),0.0)</f>
        <v>0</v>
      </c>
      <c r="U81" s="16">
        <f>IFERROR(__xludf.DUMMYFUNCTION("""COMPUTED_VALUE"""),0.0)</f>
        <v>0</v>
      </c>
      <c r="V81" s="16">
        <f>IFERROR(__xludf.DUMMYFUNCTION("""COMPUTED_VALUE"""),0.0)</f>
        <v>0</v>
      </c>
      <c r="W81" s="16">
        <f>IFERROR(__xludf.DUMMYFUNCTION("""COMPUTED_VALUE"""),0.0)</f>
        <v>0</v>
      </c>
      <c r="X81" s="16">
        <f>IFERROR(__xludf.DUMMYFUNCTION("""COMPUTED_VALUE"""),0.0)</f>
        <v>0</v>
      </c>
      <c r="Y81" s="16">
        <f>IFERROR(__xludf.DUMMYFUNCTION("""COMPUTED_VALUE"""),0.0)</f>
        <v>0</v>
      </c>
      <c r="Z81" s="16">
        <f>IFERROR(__xludf.DUMMYFUNCTION("""COMPUTED_VALUE"""),0.0)</f>
        <v>0</v>
      </c>
      <c r="AA81" s="16">
        <f>IFERROR(__xludf.DUMMYFUNCTION("""COMPUTED_VALUE"""),0.0)</f>
        <v>0</v>
      </c>
      <c r="AB81" s="16">
        <f>IFERROR(__xludf.DUMMYFUNCTION("""COMPUTED_VALUE"""),0.0)</f>
        <v>0</v>
      </c>
      <c r="AC81" s="16">
        <f>IFERROR(__xludf.DUMMYFUNCTION("""COMPUTED_VALUE"""),0.0)</f>
        <v>0</v>
      </c>
      <c r="AD81" s="16">
        <f>IFERROR(__xludf.DUMMYFUNCTION("""COMPUTED_VALUE"""),0.0)</f>
        <v>0</v>
      </c>
      <c r="AE81" s="16">
        <f>IFERROR(__xludf.DUMMYFUNCTION("""COMPUTED_VALUE"""),0.0)</f>
        <v>0</v>
      </c>
      <c r="AF81" s="16">
        <f>IFERROR(__xludf.DUMMYFUNCTION("""COMPUTED_VALUE"""),0.0)</f>
        <v>0</v>
      </c>
      <c r="AG81" s="16">
        <f>IFERROR(__xludf.DUMMYFUNCTION("""COMPUTED_VALUE"""),0.0)</f>
        <v>0</v>
      </c>
      <c r="AH81" s="16">
        <f>IFERROR(__xludf.DUMMYFUNCTION("""COMPUTED_VALUE"""),0.0)</f>
        <v>0</v>
      </c>
    </row>
    <row r="82">
      <c r="A82" s="16" t="str">
        <f>IFERROR(__xludf.DUMMYFUNCTION("""COMPUTED_VALUE"""),"442d4dce8ca376c2bb4438209980daa53b761b51")</f>
        <v>442d4dce8ca376c2bb4438209980daa53b761b51</v>
      </c>
      <c r="B82" s="16" t="str">
        <f>IFERROR(__xludf.DUMMYFUNCTION("""COMPUTED_VALUE"""),"Rejected and Craved")</f>
        <v>Rejected and Craved</v>
      </c>
      <c r="C82" s="16" t="str">
        <f>IFERROR(__xludf.DUMMYFUNCTION("""COMPUTED_VALUE"""),"Romantasy")</f>
        <v>Romantasy</v>
      </c>
      <c r="D82" s="16">
        <f>IFERROR(__xludf.DUMMYFUNCTION("""COMPUTED_VALUE"""),43.0)</f>
        <v>43</v>
      </c>
      <c r="E82" s="16">
        <f>IFERROR(__xludf.DUMMYFUNCTION("""COMPUTED_VALUE"""),1.0)</f>
        <v>1</v>
      </c>
      <c r="F82" s="16">
        <f>IFERROR(__xludf.DUMMYFUNCTION("""COMPUTED_VALUE"""),0.604651162790697)</f>
        <v>0.6046511628</v>
      </c>
      <c r="G82" s="16">
        <f>IFERROR(__xludf.DUMMYFUNCTION("""COMPUTED_VALUE"""),0.511627906976744)</f>
        <v>0.511627907</v>
      </c>
      <c r="H82" s="16">
        <f>IFERROR(__xludf.DUMMYFUNCTION("""COMPUTED_VALUE"""),0.41860465116279)</f>
        <v>0.4186046512</v>
      </c>
      <c r="I82" s="16">
        <f>IFERROR(__xludf.DUMMYFUNCTION("""COMPUTED_VALUE"""),0.441860465116279)</f>
        <v>0.4418604651</v>
      </c>
      <c r="J82" s="16">
        <f>IFERROR(__xludf.DUMMYFUNCTION("""COMPUTED_VALUE"""),0.41860465116279)</f>
        <v>0.4186046512</v>
      </c>
      <c r="K82" s="16">
        <f>IFERROR(__xludf.DUMMYFUNCTION("""COMPUTED_VALUE"""),0.395348837209302)</f>
        <v>0.3953488372</v>
      </c>
      <c r="L82" s="16">
        <f>IFERROR(__xludf.DUMMYFUNCTION("""COMPUTED_VALUE"""),0.372093023255813)</f>
        <v>0.3720930233</v>
      </c>
      <c r="M82" s="16">
        <f>IFERROR(__xludf.DUMMYFUNCTION("""COMPUTED_VALUE"""),0.372093023255813)</f>
        <v>0.3720930233</v>
      </c>
      <c r="N82" s="16">
        <f>IFERROR(__xludf.DUMMYFUNCTION("""COMPUTED_VALUE"""),0.395348837209302)</f>
        <v>0.3953488372</v>
      </c>
      <c r="O82" s="16">
        <f>IFERROR(__xludf.DUMMYFUNCTION("""COMPUTED_VALUE"""),0.325)</f>
        <v>0.325</v>
      </c>
      <c r="P82" s="16">
        <f>IFERROR(__xludf.DUMMYFUNCTION("""COMPUTED_VALUE"""),0.153846153846153)</f>
        <v>0.1538461538</v>
      </c>
      <c r="Q82" s="16">
        <f>IFERROR(__xludf.DUMMYFUNCTION("""COMPUTED_VALUE"""),0.0)</f>
        <v>0</v>
      </c>
      <c r="R82" s="16">
        <f>IFERROR(__xludf.DUMMYFUNCTION("""COMPUTED_VALUE"""),0.0)</f>
        <v>0</v>
      </c>
      <c r="S82" s="16">
        <f>IFERROR(__xludf.DUMMYFUNCTION("""COMPUTED_VALUE"""),0.0)</f>
        <v>0</v>
      </c>
      <c r="T82" s="16">
        <f>IFERROR(__xludf.DUMMYFUNCTION("""COMPUTED_VALUE"""),0.0)</f>
        <v>0</v>
      </c>
      <c r="U82" s="16">
        <f>IFERROR(__xludf.DUMMYFUNCTION("""COMPUTED_VALUE"""),0.0)</f>
        <v>0</v>
      </c>
      <c r="V82" s="16">
        <f>IFERROR(__xludf.DUMMYFUNCTION("""COMPUTED_VALUE"""),0.0)</f>
        <v>0</v>
      </c>
      <c r="W82" s="16">
        <f>IFERROR(__xludf.DUMMYFUNCTION("""COMPUTED_VALUE"""),0.0)</f>
        <v>0</v>
      </c>
      <c r="X82" s="16">
        <f>IFERROR(__xludf.DUMMYFUNCTION("""COMPUTED_VALUE"""),0.0)</f>
        <v>0</v>
      </c>
      <c r="Y82" s="16">
        <f>IFERROR(__xludf.DUMMYFUNCTION("""COMPUTED_VALUE"""),0.0)</f>
        <v>0</v>
      </c>
      <c r="Z82" s="16">
        <f>IFERROR(__xludf.DUMMYFUNCTION("""COMPUTED_VALUE"""),0.0)</f>
        <v>0</v>
      </c>
      <c r="AA82" s="16">
        <f>IFERROR(__xludf.DUMMYFUNCTION("""COMPUTED_VALUE"""),0.0)</f>
        <v>0</v>
      </c>
      <c r="AB82" s="16">
        <f>IFERROR(__xludf.DUMMYFUNCTION("""COMPUTED_VALUE"""),0.0)</f>
        <v>0</v>
      </c>
      <c r="AC82" s="16">
        <f>IFERROR(__xludf.DUMMYFUNCTION("""COMPUTED_VALUE"""),0.0)</f>
        <v>0</v>
      </c>
      <c r="AD82" s="16">
        <f>IFERROR(__xludf.DUMMYFUNCTION("""COMPUTED_VALUE"""),0.0)</f>
        <v>0</v>
      </c>
      <c r="AE82" s="16">
        <f>IFERROR(__xludf.DUMMYFUNCTION("""COMPUTED_VALUE"""),0.0)</f>
        <v>0</v>
      </c>
      <c r="AF82" s="16">
        <f>IFERROR(__xludf.DUMMYFUNCTION("""COMPUTED_VALUE"""),0.0)</f>
        <v>0</v>
      </c>
      <c r="AG82" s="16">
        <f>IFERROR(__xludf.DUMMYFUNCTION("""COMPUTED_VALUE"""),0.0)</f>
        <v>0</v>
      </c>
      <c r="AH82" s="16">
        <f>IFERROR(__xludf.DUMMYFUNCTION("""COMPUTED_VALUE"""),0.0)</f>
        <v>0</v>
      </c>
    </row>
    <row r="83">
      <c r="A83" s="16" t="str">
        <f>IFERROR(__xludf.DUMMYFUNCTION("""COMPUTED_VALUE"""),"446d5769edafce0d5daf04c6cfc40515f289004f")</f>
        <v>446d5769edafce0d5daf04c6cfc40515f289004f</v>
      </c>
      <c r="B83" s="16" t="str">
        <f>IFERROR(__xludf.DUMMYFUNCTION("""COMPUTED_VALUE"""),"The Cloaked Mogul")</f>
        <v>The Cloaked Mogul</v>
      </c>
      <c r="C83" s="16" t="str">
        <f>IFERROR(__xludf.DUMMYFUNCTION("""COMPUTED_VALUE"""),"Drama")</f>
        <v>Drama</v>
      </c>
      <c r="D83" s="16">
        <f>IFERROR(__xludf.DUMMYFUNCTION("""COMPUTED_VALUE"""),2437.0)</f>
        <v>2437</v>
      </c>
      <c r="E83" s="16">
        <f>IFERROR(__xludf.DUMMYFUNCTION("""COMPUTED_VALUE"""),0.934345506770619)</f>
        <v>0.9343455068</v>
      </c>
      <c r="F83" s="16">
        <f>IFERROR(__xludf.DUMMYFUNCTION("""COMPUTED_VALUE"""),0.61879359868691)</f>
        <v>0.6187935987</v>
      </c>
      <c r="G83" s="16">
        <f>IFERROR(__xludf.DUMMYFUNCTION("""COMPUTED_VALUE"""),0.580631924497332)</f>
        <v>0.5806319245</v>
      </c>
      <c r="H83" s="16">
        <f>IFERROR(__xludf.DUMMYFUNCTION("""COMPUTED_VALUE"""),0.557652851867049)</f>
        <v>0.5576528519</v>
      </c>
      <c r="I83" s="16">
        <f>IFERROR(__xludf.DUMMYFUNCTION("""COMPUTED_VALUE"""),0.543701272055806)</f>
        <v>0.5437012721</v>
      </c>
      <c r="J83" s="16">
        <f>IFERROR(__xludf.DUMMYFUNCTION("""COMPUTED_VALUE"""),0.53141683778234)</f>
        <v>0.5314168378</v>
      </c>
      <c r="K83" s="16">
        <f>IFERROR(__xludf.DUMMYFUNCTION("""COMPUTED_VALUE"""),0.521828665568369)</f>
        <v>0.5218286656</v>
      </c>
      <c r="L83" s="16">
        <f>IFERROR(__xludf.DUMMYFUNCTION("""COMPUTED_VALUE"""),0.510936855138258)</f>
        <v>0.5109368551</v>
      </c>
      <c r="M83" s="16">
        <f>IFERROR(__xludf.DUMMYFUNCTION("""COMPUTED_VALUE"""),0.507024793388429)</f>
        <v>0.5070247934</v>
      </c>
      <c r="N83" s="16">
        <f>IFERROR(__xludf.DUMMYFUNCTION("""COMPUTED_VALUE"""),0.492135761589404)</f>
        <v>0.4921357616</v>
      </c>
      <c r="O83" s="16">
        <f>IFERROR(__xludf.DUMMYFUNCTION("""COMPUTED_VALUE"""),0.459707724425887)</f>
        <v>0.4597077244</v>
      </c>
      <c r="P83" s="16">
        <f>IFERROR(__xludf.DUMMYFUNCTION("""COMPUTED_VALUE"""),0.412905946857865)</f>
        <v>0.4129059469</v>
      </c>
      <c r="Q83" s="16">
        <f>IFERROR(__xludf.DUMMYFUNCTION("""COMPUTED_VALUE"""),0.307758620689655)</f>
        <v>0.3077586207</v>
      </c>
      <c r="R83" s="16">
        <f>IFERROR(__xludf.DUMMYFUNCTION("""COMPUTED_VALUE"""),0.185760171306209)</f>
        <v>0.1857601713</v>
      </c>
      <c r="S83" s="16">
        <f>IFERROR(__xludf.DUMMYFUNCTION("""COMPUTED_VALUE"""),0.160655737704918)</f>
        <v>0.1606557377</v>
      </c>
      <c r="T83" s="16">
        <f>IFERROR(__xludf.DUMMYFUNCTION("""COMPUTED_VALUE"""),0.134228187919463)</f>
        <v>0.1342281879</v>
      </c>
      <c r="U83" s="16">
        <f>IFERROR(__xludf.DUMMYFUNCTION("""COMPUTED_VALUE"""),0.114142139267767)</f>
        <v>0.1141421393</v>
      </c>
      <c r="V83" s="16">
        <f>IFERROR(__xludf.DUMMYFUNCTION("""COMPUTED_VALUE"""),0.101185770750988)</f>
        <v>0.1011857708</v>
      </c>
      <c r="W83" s="16">
        <f>IFERROR(__xludf.DUMMYFUNCTION("""COMPUTED_VALUE"""),0.0462046204620462)</f>
        <v>0.04620462046</v>
      </c>
      <c r="X83" s="16">
        <f>IFERROR(__xludf.DUMMYFUNCTION("""COMPUTED_VALUE"""),0.0)</f>
        <v>0</v>
      </c>
      <c r="Y83" s="16">
        <f>IFERROR(__xludf.DUMMYFUNCTION("""COMPUTED_VALUE"""),0.0)</f>
        <v>0</v>
      </c>
      <c r="Z83" s="16">
        <f>IFERROR(__xludf.DUMMYFUNCTION("""COMPUTED_VALUE"""),0.0)</f>
        <v>0</v>
      </c>
      <c r="AA83" s="16">
        <f>IFERROR(__xludf.DUMMYFUNCTION("""COMPUTED_VALUE"""),0.0)</f>
        <v>0</v>
      </c>
      <c r="AB83" s="16">
        <f>IFERROR(__xludf.DUMMYFUNCTION("""COMPUTED_VALUE"""),0.0)</f>
        <v>0</v>
      </c>
      <c r="AC83" s="16">
        <f>IFERROR(__xludf.DUMMYFUNCTION("""COMPUTED_VALUE"""),0.0)</f>
        <v>0</v>
      </c>
      <c r="AD83" s="16">
        <f>IFERROR(__xludf.DUMMYFUNCTION("""COMPUTED_VALUE"""),0.0)</f>
        <v>0</v>
      </c>
      <c r="AE83" s="16">
        <f>IFERROR(__xludf.DUMMYFUNCTION("""COMPUTED_VALUE"""),0.0)</f>
        <v>0</v>
      </c>
      <c r="AF83" s="16">
        <f>IFERROR(__xludf.DUMMYFUNCTION("""COMPUTED_VALUE"""),0.0)</f>
        <v>0</v>
      </c>
      <c r="AG83" s="16">
        <f>IFERROR(__xludf.DUMMYFUNCTION("""COMPUTED_VALUE"""),0.0)</f>
        <v>0</v>
      </c>
      <c r="AH83" s="16">
        <f>IFERROR(__xludf.DUMMYFUNCTION("""COMPUTED_VALUE"""),0.0)</f>
        <v>0</v>
      </c>
    </row>
    <row r="84">
      <c r="A84" s="16" t="str">
        <f>IFERROR(__xludf.DUMMYFUNCTION("""COMPUTED_VALUE"""),"44c616c59b6b2cd7fcb80263ece968b250ad9dbe")</f>
        <v>44c616c59b6b2cd7fcb80263ece968b250ad9dbe</v>
      </c>
      <c r="B84" s="16" t="str">
        <f>IFERROR(__xludf.DUMMYFUNCTION("""COMPUTED_VALUE"""),"Supreme Miracle Doctor")</f>
        <v>Supreme Miracle Doctor</v>
      </c>
      <c r="C84" s="16" t="str">
        <f>IFERROR(__xludf.DUMMYFUNCTION("""COMPUTED_VALUE"""),"Drama")</f>
        <v>Drama</v>
      </c>
      <c r="D84" s="16">
        <f>IFERROR(__xludf.DUMMYFUNCTION("""COMPUTED_VALUE"""),229.0)</f>
        <v>229</v>
      </c>
      <c r="E84" s="16">
        <f>IFERROR(__xludf.DUMMYFUNCTION("""COMPUTED_VALUE"""),0.986899563318777)</f>
        <v>0.9868995633</v>
      </c>
      <c r="F84" s="16">
        <f>IFERROR(__xludf.DUMMYFUNCTION("""COMPUTED_VALUE"""),0.59825327510917)</f>
        <v>0.5982532751</v>
      </c>
      <c r="G84" s="16">
        <f>IFERROR(__xludf.DUMMYFUNCTION("""COMPUTED_VALUE"""),0.537117903930131)</f>
        <v>0.5371179039</v>
      </c>
      <c r="H84" s="16">
        <f>IFERROR(__xludf.DUMMYFUNCTION("""COMPUTED_VALUE"""),0.502183406113537)</f>
        <v>0.5021834061</v>
      </c>
      <c r="I84" s="16">
        <f>IFERROR(__xludf.DUMMYFUNCTION("""COMPUTED_VALUE"""),0.462882096069869)</f>
        <v>0.4628820961</v>
      </c>
      <c r="J84" s="16">
        <f>IFERROR(__xludf.DUMMYFUNCTION("""COMPUTED_VALUE"""),0.416289592760181)</f>
        <v>0.4162895928</v>
      </c>
      <c r="K84" s="16">
        <f>IFERROR(__xludf.DUMMYFUNCTION("""COMPUTED_VALUE"""),0.384615384615384)</f>
        <v>0.3846153846</v>
      </c>
      <c r="L84" s="16">
        <f>IFERROR(__xludf.DUMMYFUNCTION("""COMPUTED_VALUE"""),0.373056994818652)</f>
        <v>0.3730569948</v>
      </c>
      <c r="M84" s="16">
        <f>IFERROR(__xludf.DUMMYFUNCTION("""COMPUTED_VALUE"""),0.33879781420765)</f>
        <v>0.3387978142</v>
      </c>
      <c r="N84" s="16">
        <f>IFERROR(__xludf.DUMMYFUNCTION("""COMPUTED_VALUE"""),0.319277108433734)</f>
        <v>0.3192771084</v>
      </c>
      <c r="O84" s="16">
        <f>IFERROR(__xludf.DUMMYFUNCTION("""COMPUTED_VALUE"""),0.304347826086956)</f>
        <v>0.3043478261</v>
      </c>
      <c r="P84" s="16">
        <f>IFERROR(__xludf.DUMMYFUNCTION("""COMPUTED_VALUE"""),0.272727272727272)</f>
        <v>0.2727272727</v>
      </c>
      <c r="Q84" s="16">
        <f>IFERROR(__xludf.DUMMYFUNCTION("""COMPUTED_VALUE"""),0.0)</f>
        <v>0</v>
      </c>
      <c r="R84" s="16">
        <f>IFERROR(__xludf.DUMMYFUNCTION("""COMPUTED_VALUE"""),0.0)</f>
        <v>0</v>
      </c>
      <c r="S84" s="16">
        <f>IFERROR(__xludf.DUMMYFUNCTION("""COMPUTED_VALUE"""),0.0)</f>
        <v>0</v>
      </c>
      <c r="T84" s="16">
        <f>IFERROR(__xludf.DUMMYFUNCTION("""COMPUTED_VALUE"""),0.0)</f>
        <v>0</v>
      </c>
      <c r="U84" s="16">
        <f>IFERROR(__xludf.DUMMYFUNCTION("""COMPUTED_VALUE"""),0.0)</f>
        <v>0</v>
      </c>
      <c r="V84" s="16">
        <f>IFERROR(__xludf.DUMMYFUNCTION("""COMPUTED_VALUE"""),0.0)</f>
        <v>0</v>
      </c>
      <c r="W84" s="16">
        <f>IFERROR(__xludf.DUMMYFUNCTION("""COMPUTED_VALUE"""),0.0)</f>
        <v>0</v>
      </c>
      <c r="X84" s="16">
        <f>IFERROR(__xludf.DUMMYFUNCTION("""COMPUTED_VALUE"""),0.0)</f>
        <v>0</v>
      </c>
      <c r="Y84" s="16">
        <f>IFERROR(__xludf.DUMMYFUNCTION("""COMPUTED_VALUE"""),0.0)</f>
        <v>0</v>
      </c>
      <c r="Z84" s="16">
        <f>IFERROR(__xludf.DUMMYFUNCTION("""COMPUTED_VALUE"""),0.0)</f>
        <v>0</v>
      </c>
      <c r="AA84" s="16">
        <f>IFERROR(__xludf.DUMMYFUNCTION("""COMPUTED_VALUE"""),0.0)</f>
        <v>0</v>
      </c>
      <c r="AB84" s="16">
        <f>IFERROR(__xludf.DUMMYFUNCTION("""COMPUTED_VALUE"""),0.0)</f>
        <v>0</v>
      </c>
      <c r="AC84" s="16">
        <f>IFERROR(__xludf.DUMMYFUNCTION("""COMPUTED_VALUE"""),0.0)</f>
        <v>0</v>
      </c>
      <c r="AD84" s="16">
        <f>IFERROR(__xludf.DUMMYFUNCTION("""COMPUTED_VALUE"""),0.0)</f>
        <v>0</v>
      </c>
      <c r="AE84" s="16">
        <f>IFERROR(__xludf.DUMMYFUNCTION("""COMPUTED_VALUE"""),0.0)</f>
        <v>0</v>
      </c>
      <c r="AF84" s="16">
        <f>IFERROR(__xludf.DUMMYFUNCTION("""COMPUTED_VALUE"""),0.0)</f>
        <v>0</v>
      </c>
      <c r="AG84" s="16">
        <f>IFERROR(__xludf.DUMMYFUNCTION("""COMPUTED_VALUE"""),0.0)</f>
        <v>0</v>
      </c>
      <c r="AH84" s="16">
        <f>IFERROR(__xludf.DUMMYFUNCTION("""COMPUTED_VALUE"""),0.0)</f>
        <v>0</v>
      </c>
    </row>
    <row r="85">
      <c r="A85" s="16" t="str">
        <f>IFERROR(__xludf.DUMMYFUNCTION("""COMPUTED_VALUE"""),"44f5a6fb4876567a5eec3722df1d0a3d436d8bdf")</f>
        <v>44f5a6fb4876567a5eec3722df1d0a3d436d8bdf</v>
      </c>
      <c r="B85" s="16" t="str">
        <f>IFERROR(__xludf.DUMMYFUNCTION("""COMPUTED_VALUE"""),"Alpha Kyros")</f>
        <v>Alpha Kyros</v>
      </c>
      <c r="C85" s="16" t="str">
        <f>IFERROR(__xludf.DUMMYFUNCTION("""COMPUTED_VALUE"""),"Romantasy")</f>
        <v>Romantasy</v>
      </c>
      <c r="D85" s="16">
        <f>IFERROR(__xludf.DUMMYFUNCTION("""COMPUTED_VALUE"""),427.0)</f>
        <v>427</v>
      </c>
      <c r="E85" s="16">
        <f>IFERROR(__xludf.DUMMYFUNCTION("""COMPUTED_VALUE"""),0.983606557377049)</f>
        <v>0.9836065574</v>
      </c>
      <c r="F85" s="16">
        <f>IFERROR(__xludf.DUMMYFUNCTION("""COMPUTED_VALUE"""),0.611241217798594)</f>
        <v>0.6112412178</v>
      </c>
      <c r="G85" s="16">
        <f>IFERROR(__xludf.DUMMYFUNCTION("""COMPUTED_VALUE"""),0.576112412177985)</f>
        <v>0.5761124122</v>
      </c>
      <c r="H85" s="16">
        <f>IFERROR(__xludf.DUMMYFUNCTION("""COMPUTED_VALUE"""),0.545667447306791)</f>
        <v>0.5456674473</v>
      </c>
      <c r="I85" s="16">
        <f>IFERROR(__xludf.DUMMYFUNCTION("""COMPUTED_VALUE"""),0.524590163934426)</f>
        <v>0.5245901639</v>
      </c>
      <c r="J85" s="16">
        <f>IFERROR(__xludf.DUMMYFUNCTION("""COMPUTED_VALUE"""),0.512880562060889)</f>
        <v>0.5128805621</v>
      </c>
      <c r="K85" s="16">
        <f>IFERROR(__xludf.DUMMYFUNCTION("""COMPUTED_VALUE"""),0.508196721311475)</f>
        <v>0.5081967213</v>
      </c>
      <c r="L85" s="16">
        <f>IFERROR(__xludf.DUMMYFUNCTION("""COMPUTED_VALUE"""),0.494145199063231)</f>
        <v>0.4941451991</v>
      </c>
      <c r="M85" s="16">
        <f>IFERROR(__xludf.DUMMYFUNCTION("""COMPUTED_VALUE"""),0.48711943793911)</f>
        <v>0.4871194379</v>
      </c>
      <c r="N85" s="16">
        <f>IFERROR(__xludf.DUMMYFUNCTION("""COMPUTED_VALUE"""),0.460093896713615)</f>
        <v>0.4600938967</v>
      </c>
      <c r="O85" s="16">
        <f>IFERROR(__xludf.DUMMYFUNCTION("""COMPUTED_VALUE"""),0.4)</f>
        <v>0.4</v>
      </c>
      <c r="P85" s="16">
        <f>IFERROR(__xludf.DUMMYFUNCTION("""COMPUTED_VALUE"""),0.316037735849056)</f>
        <v>0.3160377358</v>
      </c>
      <c r="Q85" s="16">
        <f>IFERROR(__xludf.DUMMYFUNCTION("""COMPUTED_VALUE"""),0.168888888888888)</f>
        <v>0.1688888889</v>
      </c>
      <c r="R85" s="16">
        <f>IFERROR(__xludf.DUMMYFUNCTION("""COMPUTED_VALUE"""),0.0526315789473684)</f>
        <v>0.05263157895</v>
      </c>
      <c r="S85" s="16">
        <f>IFERROR(__xludf.DUMMYFUNCTION("""COMPUTED_VALUE"""),0.0)</f>
        <v>0</v>
      </c>
      <c r="T85" s="16">
        <f>IFERROR(__xludf.DUMMYFUNCTION("""COMPUTED_VALUE"""),0.0)</f>
        <v>0</v>
      </c>
      <c r="U85" s="16">
        <f>IFERROR(__xludf.DUMMYFUNCTION("""COMPUTED_VALUE"""),0.0)</f>
        <v>0</v>
      </c>
      <c r="V85" s="16">
        <f>IFERROR(__xludf.DUMMYFUNCTION("""COMPUTED_VALUE"""),0.0)</f>
        <v>0</v>
      </c>
      <c r="W85" s="16">
        <f>IFERROR(__xludf.DUMMYFUNCTION("""COMPUTED_VALUE"""),0.0)</f>
        <v>0</v>
      </c>
      <c r="X85" s="16">
        <f>IFERROR(__xludf.DUMMYFUNCTION("""COMPUTED_VALUE"""),0.0)</f>
        <v>0</v>
      </c>
      <c r="Y85" s="16">
        <f>IFERROR(__xludf.DUMMYFUNCTION("""COMPUTED_VALUE"""),0.0)</f>
        <v>0</v>
      </c>
      <c r="Z85" s="16">
        <f>IFERROR(__xludf.DUMMYFUNCTION("""COMPUTED_VALUE"""),0.0)</f>
        <v>0</v>
      </c>
      <c r="AA85" s="16">
        <f>IFERROR(__xludf.DUMMYFUNCTION("""COMPUTED_VALUE"""),0.0)</f>
        <v>0</v>
      </c>
      <c r="AB85" s="16">
        <f>IFERROR(__xludf.DUMMYFUNCTION("""COMPUTED_VALUE"""),0.0)</f>
        <v>0</v>
      </c>
      <c r="AC85" s="16">
        <f>IFERROR(__xludf.DUMMYFUNCTION("""COMPUTED_VALUE"""),0.0)</f>
        <v>0</v>
      </c>
      <c r="AD85" s="16">
        <f>IFERROR(__xludf.DUMMYFUNCTION("""COMPUTED_VALUE"""),0.0)</f>
        <v>0</v>
      </c>
      <c r="AE85" s="16">
        <f>IFERROR(__xludf.DUMMYFUNCTION("""COMPUTED_VALUE"""),0.0)</f>
        <v>0</v>
      </c>
      <c r="AF85" s="16">
        <f>IFERROR(__xludf.DUMMYFUNCTION("""COMPUTED_VALUE"""),0.0)</f>
        <v>0</v>
      </c>
      <c r="AG85" s="16">
        <f>IFERROR(__xludf.DUMMYFUNCTION("""COMPUTED_VALUE"""),0.0)</f>
        <v>0</v>
      </c>
      <c r="AH85" s="16">
        <f>IFERROR(__xludf.DUMMYFUNCTION("""COMPUTED_VALUE"""),0.0)</f>
        <v>0</v>
      </c>
    </row>
    <row r="86">
      <c r="A86" s="16" t="str">
        <f>IFERROR(__xludf.DUMMYFUNCTION("""COMPUTED_VALUE"""),"462b561ac0c6d238fc5ed6d8ce632a9e6a2152d9")</f>
        <v>462b561ac0c6d238fc5ed6d8ce632a9e6a2152d9</v>
      </c>
      <c r="B86" s="16" t="str">
        <f>IFERROR(__xludf.DUMMYFUNCTION("""COMPUTED_VALUE"""),"My Billionaire System")</f>
        <v>My Billionaire System</v>
      </c>
      <c r="C86" s="16" t="str">
        <f>IFERROR(__xludf.DUMMYFUNCTION("""COMPUTED_VALUE"""),"System and Superpower")</f>
        <v>System and Superpower</v>
      </c>
      <c r="D86" s="16">
        <f>IFERROR(__xludf.DUMMYFUNCTION("""COMPUTED_VALUE"""),555.0)</f>
        <v>555</v>
      </c>
      <c r="E86" s="16">
        <f>IFERROR(__xludf.DUMMYFUNCTION("""COMPUTED_VALUE"""),0.985585585585585)</f>
        <v>0.9855855856</v>
      </c>
      <c r="F86" s="16">
        <f>IFERROR(__xludf.DUMMYFUNCTION("""COMPUTED_VALUE"""),0.628828828828828)</f>
        <v>0.6288288288</v>
      </c>
      <c r="G86" s="16">
        <f>IFERROR(__xludf.DUMMYFUNCTION("""COMPUTED_VALUE"""),0.538738738738738)</f>
        <v>0.5387387387</v>
      </c>
      <c r="H86" s="16">
        <f>IFERROR(__xludf.DUMMYFUNCTION("""COMPUTED_VALUE"""),0.464864864864864)</f>
        <v>0.4648648649</v>
      </c>
      <c r="I86" s="16">
        <f>IFERROR(__xludf.DUMMYFUNCTION("""COMPUTED_VALUE"""),0.419819819819819)</f>
        <v>0.4198198198</v>
      </c>
      <c r="J86" s="16">
        <f>IFERROR(__xludf.DUMMYFUNCTION("""COMPUTED_VALUE"""),0.384754990925589)</f>
        <v>0.3847549909</v>
      </c>
      <c r="K86" s="16">
        <f>IFERROR(__xludf.DUMMYFUNCTION("""COMPUTED_VALUE"""),0.329090909090909)</f>
        <v>0.3290909091</v>
      </c>
      <c r="L86" s="16">
        <f>IFERROR(__xludf.DUMMYFUNCTION("""COMPUTED_VALUE"""),0.302919708029197)</f>
        <v>0.302919708</v>
      </c>
      <c r="M86" s="16">
        <f>IFERROR(__xludf.DUMMYFUNCTION("""COMPUTED_VALUE"""),0.28860294117647)</f>
        <v>0.2886029412</v>
      </c>
      <c r="N86" s="16">
        <f>IFERROR(__xludf.DUMMYFUNCTION("""COMPUTED_VALUE"""),0.262476894639556)</f>
        <v>0.2624768946</v>
      </c>
      <c r="O86" s="16">
        <f>IFERROR(__xludf.DUMMYFUNCTION("""COMPUTED_VALUE"""),0.224899598393574)</f>
        <v>0.2248995984</v>
      </c>
      <c r="P86" s="16">
        <f>IFERROR(__xludf.DUMMYFUNCTION("""COMPUTED_VALUE"""),0.4)</f>
        <v>0.4</v>
      </c>
      <c r="Q86" s="16">
        <f>IFERROR(__xludf.DUMMYFUNCTION("""COMPUTED_VALUE"""),0.0)</f>
        <v>0</v>
      </c>
      <c r="R86" s="16">
        <f>IFERROR(__xludf.DUMMYFUNCTION("""COMPUTED_VALUE"""),0.0)</f>
        <v>0</v>
      </c>
      <c r="S86" s="16">
        <f>IFERROR(__xludf.DUMMYFUNCTION("""COMPUTED_VALUE"""),0.0)</f>
        <v>0</v>
      </c>
      <c r="T86" s="16">
        <f>IFERROR(__xludf.DUMMYFUNCTION("""COMPUTED_VALUE"""),0.0)</f>
        <v>0</v>
      </c>
      <c r="U86" s="16">
        <f>IFERROR(__xludf.DUMMYFUNCTION("""COMPUTED_VALUE"""),0.0)</f>
        <v>0</v>
      </c>
      <c r="V86" s="16">
        <f>IFERROR(__xludf.DUMMYFUNCTION("""COMPUTED_VALUE"""),0.0)</f>
        <v>0</v>
      </c>
      <c r="W86" s="16">
        <f>IFERROR(__xludf.DUMMYFUNCTION("""COMPUTED_VALUE"""),0.0)</f>
        <v>0</v>
      </c>
      <c r="X86" s="16">
        <f>IFERROR(__xludf.DUMMYFUNCTION("""COMPUTED_VALUE"""),0.0)</f>
        <v>0</v>
      </c>
      <c r="Y86" s="16">
        <f>IFERROR(__xludf.DUMMYFUNCTION("""COMPUTED_VALUE"""),0.0)</f>
        <v>0</v>
      </c>
      <c r="Z86" s="16">
        <f>IFERROR(__xludf.DUMMYFUNCTION("""COMPUTED_VALUE"""),0.0)</f>
        <v>0</v>
      </c>
      <c r="AA86" s="16">
        <f>IFERROR(__xludf.DUMMYFUNCTION("""COMPUTED_VALUE"""),0.0)</f>
        <v>0</v>
      </c>
      <c r="AB86" s="16">
        <f>IFERROR(__xludf.DUMMYFUNCTION("""COMPUTED_VALUE"""),0.0)</f>
        <v>0</v>
      </c>
      <c r="AC86" s="16">
        <f>IFERROR(__xludf.DUMMYFUNCTION("""COMPUTED_VALUE"""),0.0)</f>
        <v>0</v>
      </c>
      <c r="AD86" s="16">
        <f>IFERROR(__xludf.DUMMYFUNCTION("""COMPUTED_VALUE"""),0.0)</f>
        <v>0</v>
      </c>
      <c r="AE86" s="16">
        <f>IFERROR(__xludf.DUMMYFUNCTION("""COMPUTED_VALUE"""),0.0)</f>
        <v>0</v>
      </c>
      <c r="AF86" s="16">
        <f>IFERROR(__xludf.DUMMYFUNCTION("""COMPUTED_VALUE"""),0.0)</f>
        <v>0</v>
      </c>
      <c r="AG86" s="16">
        <f>IFERROR(__xludf.DUMMYFUNCTION("""COMPUTED_VALUE"""),0.0)</f>
        <v>0</v>
      </c>
      <c r="AH86" s="16">
        <f>IFERROR(__xludf.DUMMYFUNCTION("""COMPUTED_VALUE"""),0.0)</f>
        <v>0</v>
      </c>
    </row>
    <row r="87">
      <c r="A87" s="16" t="str">
        <f>IFERROR(__xludf.DUMMYFUNCTION("""COMPUTED_VALUE"""),"46b27558432dbda1475a912729ae1e1dee8ac6fa")</f>
        <v>46b27558432dbda1475a912729ae1e1dee8ac6fa</v>
      </c>
      <c r="B87" s="16" t="str">
        <f>IFERROR(__xludf.DUMMYFUNCTION("""COMPUTED_VALUE"""),"Secrets of Thunder Eyes ")</f>
        <v>Secrets of Thunder Eyes </v>
      </c>
      <c r="C87" s="16" t="str">
        <f>IFERROR(__xludf.DUMMYFUNCTION("""COMPUTED_VALUE"""),"Fantasy")</f>
        <v>Fantasy</v>
      </c>
      <c r="D87" s="16">
        <f>IFERROR(__xludf.DUMMYFUNCTION("""COMPUTED_VALUE"""),280.0)</f>
        <v>280</v>
      </c>
      <c r="E87" s="16">
        <f>IFERROR(__xludf.DUMMYFUNCTION("""COMPUTED_VALUE"""),0.996428571428571)</f>
        <v>0.9964285714</v>
      </c>
      <c r="F87" s="16">
        <f>IFERROR(__xludf.DUMMYFUNCTION("""COMPUTED_VALUE"""),0.303571428571428)</f>
        <v>0.3035714286</v>
      </c>
      <c r="G87" s="16">
        <f>IFERROR(__xludf.DUMMYFUNCTION("""COMPUTED_VALUE"""),0.217857142857142)</f>
        <v>0.2178571429</v>
      </c>
      <c r="H87" s="16">
        <f>IFERROR(__xludf.DUMMYFUNCTION("""COMPUTED_VALUE"""),0.185714285714285)</f>
        <v>0.1857142857</v>
      </c>
      <c r="I87" s="16">
        <f>IFERROR(__xludf.DUMMYFUNCTION("""COMPUTED_VALUE"""),0.157142857142857)</f>
        <v>0.1571428571</v>
      </c>
      <c r="J87" s="16">
        <f>IFERROR(__xludf.DUMMYFUNCTION("""COMPUTED_VALUE"""),0.132)</f>
        <v>0.132</v>
      </c>
      <c r="K87" s="16">
        <f>IFERROR(__xludf.DUMMYFUNCTION("""COMPUTED_VALUE"""),0.103305785123966)</f>
        <v>0.1033057851</v>
      </c>
      <c r="L87" s="16">
        <f>IFERROR(__xludf.DUMMYFUNCTION("""COMPUTED_VALUE"""),0.0869565217391304)</f>
        <v>0.08695652174</v>
      </c>
      <c r="M87" s="16">
        <f>IFERROR(__xludf.DUMMYFUNCTION("""COMPUTED_VALUE"""),0.091324200913242)</f>
        <v>0.09132420091</v>
      </c>
      <c r="N87" s="16">
        <f>IFERROR(__xludf.DUMMYFUNCTION("""COMPUTED_VALUE"""),0.0792079207920792)</f>
        <v>0.07920792079</v>
      </c>
      <c r="O87" s="16">
        <f>IFERROR(__xludf.DUMMYFUNCTION("""COMPUTED_VALUE"""),0.0576923076923076)</f>
        <v>0.05769230769</v>
      </c>
      <c r="P87" s="16">
        <f>IFERROR(__xludf.DUMMYFUNCTION("""COMPUTED_VALUE"""),0.0571428571428571)</f>
        <v>0.05714285714</v>
      </c>
      <c r="Q87" s="16">
        <f>IFERROR(__xludf.DUMMYFUNCTION("""COMPUTED_VALUE"""),0.0606060606060606)</f>
        <v>0.06060606061</v>
      </c>
      <c r="R87" s="16">
        <f>IFERROR(__xludf.DUMMYFUNCTION("""COMPUTED_VALUE"""),0.0303030303030303)</f>
        <v>0.0303030303</v>
      </c>
      <c r="S87" s="16">
        <f>IFERROR(__xludf.DUMMYFUNCTION("""COMPUTED_VALUE"""),0.0303030303030303)</f>
        <v>0.0303030303</v>
      </c>
      <c r="T87" s="16">
        <f>IFERROR(__xludf.DUMMYFUNCTION("""COMPUTED_VALUE"""),0.03125)</f>
        <v>0.03125</v>
      </c>
      <c r="U87" s="16">
        <f>IFERROR(__xludf.DUMMYFUNCTION("""COMPUTED_VALUE"""),0.0384615384615384)</f>
        <v>0.03846153846</v>
      </c>
      <c r="V87" s="16">
        <f>IFERROR(__xludf.DUMMYFUNCTION("""COMPUTED_VALUE"""),0.0)</f>
        <v>0</v>
      </c>
      <c r="W87" s="16">
        <f>IFERROR(__xludf.DUMMYFUNCTION("""COMPUTED_VALUE"""),0.0)</f>
        <v>0</v>
      </c>
      <c r="X87" s="16">
        <f>IFERROR(__xludf.DUMMYFUNCTION("""COMPUTED_VALUE"""),0.0)</f>
        <v>0</v>
      </c>
      <c r="Y87" s="16">
        <f>IFERROR(__xludf.DUMMYFUNCTION("""COMPUTED_VALUE"""),0.0)</f>
        <v>0</v>
      </c>
      <c r="Z87" s="16">
        <f>IFERROR(__xludf.DUMMYFUNCTION("""COMPUTED_VALUE"""),0.0)</f>
        <v>0</v>
      </c>
      <c r="AA87" s="16">
        <f>IFERROR(__xludf.DUMMYFUNCTION("""COMPUTED_VALUE"""),0.0)</f>
        <v>0</v>
      </c>
      <c r="AB87" s="16">
        <f>IFERROR(__xludf.DUMMYFUNCTION("""COMPUTED_VALUE"""),0.0)</f>
        <v>0</v>
      </c>
      <c r="AC87" s="16">
        <f>IFERROR(__xludf.DUMMYFUNCTION("""COMPUTED_VALUE"""),0.0)</f>
        <v>0</v>
      </c>
      <c r="AD87" s="16">
        <f>IFERROR(__xludf.DUMMYFUNCTION("""COMPUTED_VALUE"""),0.0)</f>
        <v>0</v>
      </c>
      <c r="AE87" s="16">
        <f>IFERROR(__xludf.DUMMYFUNCTION("""COMPUTED_VALUE"""),0.0)</f>
        <v>0</v>
      </c>
      <c r="AF87" s="16">
        <f>IFERROR(__xludf.DUMMYFUNCTION("""COMPUTED_VALUE"""),0.0)</f>
        <v>0</v>
      </c>
      <c r="AG87" s="16">
        <f>IFERROR(__xludf.DUMMYFUNCTION("""COMPUTED_VALUE"""),0.0)</f>
        <v>0</v>
      </c>
      <c r="AH87" s="16">
        <f>IFERROR(__xludf.DUMMYFUNCTION("""COMPUTED_VALUE"""),0.0)</f>
        <v>0</v>
      </c>
    </row>
    <row r="88">
      <c r="A88" s="16" t="str">
        <f>IFERROR(__xludf.DUMMYFUNCTION("""COMPUTED_VALUE"""),"48b422f2dbf0dc909fde9fadad832fde3d20f4a4")</f>
        <v>48b422f2dbf0dc909fde9fadad832fde3d20f4a4</v>
      </c>
      <c r="B88" s="16" t="str">
        <f>IFERROR(__xludf.DUMMYFUNCTION("""COMPUTED_VALUE"""),"Bride of the Ice Ceo")</f>
        <v>Bride of the Ice Ceo</v>
      </c>
      <c r="C88" s="16" t="str">
        <f>IFERROR(__xludf.DUMMYFUNCTION("""COMPUTED_VALUE"""),"Romance")</f>
        <v>Romance</v>
      </c>
      <c r="D88" s="16">
        <f>IFERROR(__xludf.DUMMYFUNCTION("""COMPUTED_VALUE"""),71.0)</f>
        <v>71</v>
      </c>
      <c r="E88" s="16">
        <f>IFERROR(__xludf.DUMMYFUNCTION("""COMPUTED_VALUE"""),0.971830985915493)</f>
        <v>0.9718309859</v>
      </c>
      <c r="F88" s="16">
        <f>IFERROR(__xludf.DUMMYFUNCTION("""COMPUTED_VALUE"""),0.690140845070422)</f>
        <v>0.6901408451</v>
      </c>
      <c r="G88" s="16">
        <f>IFERROR(__xludf.DUMMYFUNCTION("""COMPUTED_VALUE"""),0.647887323943662)</f>
        <v>0.6478873239</v>
      </c>
      <c r="H88" s="16">
        <f>IFERROR(__xludf.DUMMYFUNCTION("""COMPUTED_VALUE"""),0.605633802816901)</f>
        <v>0.6056338028</v>
      </c>
      <c r="I88" s="16">
        <f>IFERROR(__xludf.DUMMYFUNCTION("""COMPUTED_VALUE"""),0.549295774647887)</f>
        <v>0.5492957746</v>
      </c>
      <c r="J88" s="16">
        <f>IFERROR(__xludf.DUMMYFUNCTION("""COMPUTED_VALUE"""),0.535211267605633)</f>
        <v>0.5352112676</v>
      </c>
      <c r="K88" s="16">
        <f>IFERROR(__xludf.DUMMYFUNCTION("""COMPUTED_VALUE"""),0.492957746478873)</f>
        <v>0.4929577465</v>
      </c>
      <c r="L88" s="16">
        <f>IFERROR(__xludf.DUMMYFUNCTION("""COMPUTED_VALUE"""),0.492957746478873)</f>
        <v>0.4929577465</v>
      </c>
      <c r="M88" s="16">
        <f>IFERROR(__xludf.DUMMYFUNCTION("""COMPUTED_VALUE"""),0.464788732394366)</f>
        <v>0.4647887324</v>
      </c>
      <c r="N88" s="16">
        <f>IFERROR(__xludf.DUMMYFUNCTION("""COMPUTED_VALUE"""),0.464788732394366)</f>
        <v>0.4647887324</v>
      </c>
      <c r="O88" s="16">
        <f>IFERROR(__xludf.DUMMYFUNCTION("""COMPUTED_VALUE"""),0.338028169014084)</f>
        <v>0.338028169</v>
      </c>
      <c r="P88" s="16">
        <f>IFERROR(__xludf.DUMMYFUNCTION("""COMPUTED_VALUE"""),0.217391304347826)</f>
        <v>0.2173913043</v>
      </c>
      <c r="Q88" s="16">
        <f>IFERROR(__xludf.DUMMYFUNCTION("""COMPUTED_VALUE"""),0.0967741935483871)</f>
        <v>0.09677419355</v>
      </c>
      <c r="R88" s="16">
        <f>IFERROR(__xludf.DUMMYFUNCTION("""COMPUTED_VALUE"""),0.0666666666666666)</f>
        <v>0.06666666667</v>
      </c>
      <c r="S88" s="16">
        <f>IFERROR(__xludf.DUMMYFUNCTION("""COMPUTED_VALUE"""),0.0)</f>
        <v>0</v>
      </c>
      <c r="T88" s="16">
        <f>IFERROR(__xludf.DUMMYFUNCTION("""COMPUTED_VALUE"""),0.0)</f>
        <v>0</v>
      </c>
      <c r="U88" s="16">
        <f>IFERROR(__xludf.DUMMYFUNCTION("""COMPUTED_VALUE"""),0.0)</f>
        <v>0</v>
      </c>
      <c r="V88" s="16">
        <f>IFERROR(__xludf.DUMMYFUNCTION("""COMPUTED_VALUE"""),0.0)</f>
        <v>0</v>
      </c>
      <c r="W88" s="16">
        <f>IFERROR(__xludf.DUMMYFUNCTION("""COMPUTED_VALUE"""),0.0)</f>
        <v>0</v>
      </c>
      <c r="X88" s="16">
        <f>IFERROR(__xludf.DUMMYFUNCTION("""COMPUTED_VALUE"""),0.0)</f>
        <v>0</v>
      </c>
      <c r="Y88" s="16">
        <f>IFERROR(__xludf.DUMMYFUNCTION("""COMPUTED_VALUE"""),0.0)</f>
        <v>0</v>
      </c>
      <c r="Z88" s="16">
        <f>IFERROR(__xludf.DUMMYFUNCTION("""COMPUTED_VALUE"""),0.0)</f>
        <v>0</v>
      </c>
      <c r="AA88" s="16">
        <f>IFERROR(__xludf.DUMMYFUNCTION("""COMPUTED_VALUE"""),0.0)</f>
        <v>0</v>
      </c>
      <c r="AB88" s="16">
        <f>IFERROR(__xludf.DUMMYFUNCTION("""COMPUTED_VALUE"""),0.0)</f>
        <v>0</v>
      </c>
      <c r="AC88" s="16">
        <f>IFERROR(__xludf.DUMMYFUNCTION("""COMPUTED_VALUE"""),0.0)</f>
        <v>0</v>
      </c>
      <c r="AD88" s="16">
        <f>IFERROR(__xludf.DUMMYFUNCTION("""COMPUTED_VALUE"""),0.0)</f>
        <v>0</v>
      </c>
      <c r="AE88" s="16">
        <f>IFERROR(__xludf.DUMMYFUNCTION("""COMPUTED_VALUE"""),0.0)</f>
        <v>0</v>
      </c>
      <c r="AF88" s="16">
        <f>IFERROR(__xludf.DUMMYFUNCTION("""COMPUTED_VALUE"""),0.0)</f>
        <v>0</v>
      </c>
      <c r="AG88" s="16">
        <f>IFERROR(__xludf.DUMMYFUNCTION("""COMPUTED_VALUE"""),0.0)</f>
        <v>0</v>
      </c>
      <c r="AH88" s="16">
        <f>IFERROR(__xludf.DUMMYFUNCTION("""COMPUTED_VALUE"""),0.0)</f>
        <v>0</v>
      </c>
    </row>
    <row r="89">
      <c r="A89" s="16" t="str">
        <f>IFERROR(__xludf.DUMMYFUNCTION("""COMPUTED_VALUE"""),"4a310051c4c56c2fab46c3a7f528a09901399ecd")</f>
        <v>4a310051c4c56c2fab46c3a7f528a09901399ecd</v>
      </c>
      <c r="B89" s="16" t="str">
        <f>IFERROR(__xludf.DUMMYFUNCTION("""COMPUTED_VALUE"""),"Strongest Warlock ")</f>
        <v>Strongest Warlock </v>
      </c>
      <c r="C89" s="16" t="str">
        <f>IFERROR(__xludf.DUMMYFUNCTION("""COMPUTED_VALUE"""),"Fantasy")</f>
        <v>Fantasy</v>
      </c>
      <c r="D89" s="16">
        <f>IFERROR(__xludf.DUMMYFUNCTION("""COMPUTED_VALUE"""),26189.0)</f>
        <v>26189</v>
      </c>
      <c r="E89" s="16">
        <f>IFERROR(__xludf.DUMMYFUNCTION("""COMPUTED_VALUE"""),0.952155485127343)</f>
        <v>0.9521554851</v>
      </c>
      <c r="F89" s="16">
        <f>IFERROR(__xludf.DUMMYFUNCTION("""COMPUTED_VALUE"""),0.585551185612279)</f>
        <v>0.5855511856</v>
      </c>
      <c r="G89" s="16">
        <f>IFERROR(__xludf.DUMMYFUNCTION("""COMPUTED_VALUE"""),0.538928557791439)</f>
        <v>0.5389285578</v>
      </c>
      <c r="H89" s="16">
        <f>IFERROR(__xludf.DUMMYFUNCTION("""COMPUTED_VALUE"""),0.508801405170109)</f>
        <v>0.5088014052</v>
      </c>
      <c r="I89" s="16">
        <f>IFERROR(__xludf.DUMMYFUNCTION("""COMPUTED_VALUE"""),0.490587651303982)</f>
        <v>0.4905876513</v>
      </c>
      <c r="J89" s="16">
        <f>IFERROR(__xludf.DUMMYFUNCTION("""COMPUTED_VALUE"""),0.475)</f>
        <v>0.475</v>
      </c>
      <c r="K89" s="16">
        <f>IFERROR(__xludf.DUMMYFUNCTION("""COMPUTED_VALUE"""),0.458757364756293)</f>
        <v>0.4587573648</v>
      </c>
      <c r="L89" s="16">
        <f>IFERROR(__xludf.DUMMYFUNCTION("""COMPUTED_VALUE"""),0.45013993789058)</f>
        <v>0.4501399379</v>
      </c>
      <c r="M89" s="16">
        <f>IFERROR(__xludf.DUMMYFUNCTION("""COMPUTED_VALUE"""),0.441805134502475)</f>
        <v>0.4418051345</v>
      </c>
      <c r="N89" s="16">
        <f>IFERROR(__xludf.DUMMYFUNCTION("""COMPUTED_VALUE"""),0.434418032156319)</f>
        <v>0.4344180322</v>
      </c>
      <c r="O89" s="16">
        <f>IFERROR(__xludf.DUMMYFUNCTION("""COMPUTED_VALUE"""),0.406036092097075)</f>
        <v>0.4060360921</v>
      </c>
      <c r="P89" s="16">
        <f>IFERROR(__xludf.DUMMYFUNCTION("""COMPUTED_VALUE"""),0.365355878883208)</f>
        <v>0.3653558789</v>
      </c>
      <c r="Q89" s="16">
        <f>IFERROR(__xludf.DUMMYFUNCTION("""COMPUTED_VALUE"""),0.301602641539824)</f>
        <v>0.3016026415</v>
      </c>
      <c r="R89" s="16">
        <f>IFERROR(__xludf.DUMMYFUNCTION("""COMPUTED_VALUE"""),0.263793385723641)</f>
        <v>0.2637933857</v>
      </c>
      <c r="S89" s="16">
        <f>IFERROR(__xludf.DUMMYFUNCTION("""COMPUTED_VALUE"""),0.231304420280798)</f>
        <v>0.2313044203</v>
      </c>
      <c r="T89" s="16">
        <f>IFERROR(__xludf.DUMMYFUNCTION("""COMPUTED_VALUE"""),0.209205197435032)</f>
        <v>0.2092051974</v>
      </c>
      <c r="U89" s="16">
        <f>IFERROR(__xludf.DUMMYFUNCTION("""COMPUTED_VALUE"""),0.193450472403916)</f>
        <v>0.1934504724</v>
      </c>
      <c r="V89" s="16">
        <f>IFERROR(__xludf.DUMMYFUNCTION("""COMPUTED_VALUE"""),0.179523747785124)</f>
        <v>0.1795237478</v>
      </c>
      <c r="W89" s="16">
        <f>IFERROR(__xludf.DUMMYFUNCTION("""COMPUTED_VALUE"""),0.168968531468531)</f>
        <v>0.1689685315</v>
      </c>
      <c r="X89" s="16">
        <f>IFERROR(__xludf.DUMMYFUNCTION("""COMPUTED_VALUE"""),0.147151129381602)</f>
        <v>0.1471511294</v>
      </c>
      <c r="Y89" s="16">
        <f>IFERROR(__xludf.DUMMYFUNCTION("""COMPUTED_VALUE"""),0.13162705667276)</f>
        <v>0.1316270567</v>
      </c>
      <c r="Z89" s="16">
        <f>IFERROR(__xludf.DUMMYFUNCTION("""COMPUTED_VALUE"""),0.111161015046036)</f>
        <v>0.111161015</v>
      </c>
      <c r="AA89" s="16">
        <f>IFERROR(__xludf.DUMMYFUNCTION("""COMPUTED_VALUE"""),0.093581310954865)</f>
        <v>0.09358131095</v>
      </c>
      <c r="AB89" s="16">
        <f>IFERROR(__xludf.DUMMYFUNCTION("""COMPUTED_VALUE"""),0.0148433205057724)</f>
        <v>0.01484332051</v>
      </c>
      <c r="AC89" s="16">
        <f>IFERROR(__xludf.DUMMYFUNCTION("""COMPUTED_VALUE"""),0.0061931678545097)</f>
        <v>0.006193167855</v>
      </c>
      <c r="AD89" s="16">
        <f>IFERROR(__xludf.DUMMYFUNCTION("""COMPUTED_VALUE"""),0.0)</f>
        <v>0</v>
      </c>
      <c r="AE89" s="16">
        <f>IFERROR(__xludf.DUMMYFUNCTION("""COMPUTED_VALUE"""),0.0)</f>
        <v>0</v>
      </c>
      <c r="AF89" s="16">
        <f>IFERROR(__xludf.DUMMYFUNCTION("""COMPUTED_VALUE"""),0.0)</f>
        <v>0</v>
      </c>
      <c r="AG89" s="16">
        <f>IFERROR(__xludf.DUMMYFUNCTION("""COMPUTED_VALUE"""),0.0)</f>
        <v>0</v>
      </c>
      <c r="AH89" s="16">
        <f>IFERROR(__xludf.DUMMYFUNCTION("""COMPUTED_VALUE"""),0.0)</f>
        <v>0</v>
      </c>
    </row>
    <row r="90">
      <c r="A90" s="16" t="str">
        <f>IFERROR(__xludf.DUMMYFUNCTION("""COMPUTED_VALUE"""),"4b2d918a2f639175cf29754151e058356b36f273")</f>
        <v>4b2d918a2f639175cf29754151e058356b36f273</v>
      </c>
      <c r="B90" s="16" t="str">
        <f>IFERROR(__xludf.DUMMYFUNCTION("""COMPUTED_VALUE"""),"Surviving Zombies Rising")</f>
        <v>Surviving Zombies Rising</v>
      </c>
      <c r="C90" s="16" t="str">
        <f>IFERROR(__xludf.DUMMYFUNCTION("""COMPUTED_VALUE"""),"Sci-Fi")</f>
        <v>Sci-Fi</v>
      </c>
      <c r="D90" s="16">
        <f>IFERROR(__xludf.DUMMYFUNCTION("""COMPUTED_VALUE"""),161.0)</f>
        <v>161</v>
      </c>
      <c r="E90" s="16">
        <f>IFERROR(__xludf.DUMMYFUNCTION("""COMPUTED_VALUE"""),0.987577639751552)</f>
        <v>0.9875776398</v>
      </c>
      <c r="F90" s="16">
        <f>IFERROR(__xludf.DUMMYFUNCTION("""COMPUTED_VALUE"""),0.422360248447205)</f>
        <v>0.4223602484</v>
      </c>
      <c r="G90" s="16">
        <f>IFERROR(__xludf.DUMMYFUNCTION("""COMPUTED_VALUE"""),0.364779874213836)</f>
        <v>0.3647798742</v>
      </c>
      <c r="H90" s="16">
        <f>IFERROR(__xludf.DUMMYFUNCTION("""COMPUTED_VALUE"""),0.283018867924528)</f>
        <v>0.2830188679</v>
      </c>
      <c r="I90" s="16">
        <f>IFERROR(__xludf.DUMMYFUNCTION("""COMPUTED_VALUE"""),0.264150943396226)</f>
        <v>0.2641509434</v>
      </c>
      <c r="J90" s="16">
        <f>IFERROR(__xludf.DUMMYFUNCTION("""COMPUTED_VALUE"""),0.253246753246753)</f>
        <v>0.2532467532</v>
      </c>
      <c r="K90" s="16">
        <f>IFERROR(__xludf.DUMMYFUNCTION("""COMPUTED_VALUE"""),0.23841059602649)</f>
        <v>0.238410596</v>
      </c>
      <c r="L90" s="16">
        <f>IFERROR(__xludf.DUMMYFUNCTION("""COMPUTED_VALUE"""),0.192857142857142)</f>
        <v>0.1928571429</v>
      </c>
      <c r="M90" s="16">
        <f>IFERROR(__xludf.DUMMYFUNCTION("""COMPUTED_VALUE"""),0.191176470588235)</f>
        <v>0.1911764706</v>
      </c>
      <c r="N90" s="16">
        <f>IFERROR(__xludf.DUMMYFUNCTION("""COMPUTED_VALUE"""),0.190082644628099)</f>
        <v>0.1900826446</v>
      </c>
      <c r="O90" s="16">
        <f>IFERROR(__xludf.DUMMYFUNCTION("""COMPUTED_VALUE"""),0.185185185185185)</f>
        <v>0.1851851852</v>
      </c>
      <c r="P90" s="16">
        <f>IFERROR(__xludf.DUMMYFUNCTION("""COMPUTED_VALUE"""),0.12087912087912)</f>
        <v>0.1208791209</v>
      </c>
      <c r="Q90" s="16">
        <f>IFERROR(__xludf.DUMMYFUNCTION("""COMPUTED_VALUE"""),0.0704225352112676)</f>
        <v>0.07042253521</v>
      </c>
      <c r="R90" s="16">
        <f>IFERROR(__xludf.DUMMYFUNCTION("""COMPUTED_VALUE"""),0.0)</f>
        <v>0</v>
      </c>
      <c r="S90" s="16">
        <f>IFERROR(__xludf.DUMMYFUNCTION("""COMPUTED_VALUE"""),0.0)</f>
        <v>0</v>
      </c>
      <c r="T90" s="16">
        <f>IFERROR(__xludf.DUMMYFUNCTION("""COMPUTED_VALUE"""),0.0)</f>
        <v>0</v>
      </c>
      <c r="U90" s="16">
        <f>IFERROR(__xludf.DUMMYFUNCTION("""COMPUTED_VALUE"""),0.0)</f>
        <v>0</v>
      </c>
      <c r="V90" s="16">
        <f>IFERROR(__xludf.DUMMYFUNCTION("""COMPUTED_VALUE"""),0.0)</f>
        <v>0</v>
      </c>
      <c r="W90" s="16">
        <f>IFERROR(__xludf.DUMMYFUNCTION("""COMPUTED_VALUE"""),0.0)</f>
        <v>0</v>
      </c>
      <c r="X90" s="16">
        <f>IFERROR(__xludf.DUMMYFUNCTION("""COMPUTED_VALUE"""),0.0)</f>
        <v>0</v>
      </c>
      <c r="Y90" s="16">
        <f>IFERROR(__xludf.DUMMYFUNCTION("""COMPUTED_VALUE"""),0.0)</f>
        <v>0</v>
      </c>
      <c r="Z90" s="16">
        <f>IFERROR(__xludf.DUMMYFUNCTION("""COMPUTED_VALUE"""),0.0)</f>
        <v>0</v>
      </c>
      <c r="AA90" s="16">
        <f>IFERROR(__xludf.DUMMYFUNCTION("""COMPUTED_VALUE"""),0.0)</f>
        <v>0</v>
      </c>
      <c r="AB90" s="16">
        <f>IFERROR(__xludf.DUMMYFUNCTION("""COMPUTED_VALUE"""),0.0)</f>
        <v>0</v>
      </c>
      <c r="AC90" s="16">
        <f>IFERROR(__xludf.DUMMYFUNCTION("""COMPUTED_VALUE"""),0.0)</f>
        <v>0</v>
      </c>
      <c r="AD90" s="16">
        <f>IFERROR(__xludf.DUMMYFUNCTION("""COMPUTED_VALUE"""),0.0)</f>
        <v>0</v>
      </c>
      <c r="AE90" s="16">
        <f>IFERROR(__xludf.DUMMYFUNCTION("""COMPUTED_VALUE"""),0.0)</f>
        <v>0</v>
      </c>
      <c r="AF90" s="16">
        <f>IFERROR(__xludf.DUMMYFUNCTION("""COMPUTED_VALUE"""),0.0)</f>
        <v>0</v>
      </c>
      <c r="AG90" s="16">
        <f>IFERROR(__xludf.DUMMYFUNCTION("""COMPUTED_VALUE"""),0.0)</f>
        <v>0</v>
      </c>
      <c r="AH90" s="16">
        <f>IFERROR(__xludf.DUMMYFUNCTION("""COMPUTED_VALUE"""),0.0)</f>
        <v>0</v>
      </c>
    </row>
    <row r="91">
      <c r="A91" s="16" t="str">
        <f>IFERROR(__xludf.DUMMYFUNCTION("""COMPUTED_VALUE"""),"4bb85319b3dd3ab4ec654bdd13098e3f37cb3e3b")</f>
        <v>4bb85319b3dd3ab4ec654bdd13098e3f37cb3e3b</v>
      </c>
      <c r="B91" s="16" t="str">
        <f>IFERROR(__xludf.DUMMYFUNCTION("""COMPUTED_VALUE"""),"Shadowed Wealth")</f>
        <v>Shadowed Wealth</v>
      </c>
      <c r="C91" s="16" t="str">
        <f>IFERROR(__xludf.DUMMYFUNCTION("""COMPUTED_VALUE"""),"System and Superpower")</f>
        <v>System and Superpower</v>
      </c>
      <c r="D91" s="16">
        <f>IFERROR(__xludf.DUMMYFUNCTION("""COMPUTED_VALUE"""),119.0)</f>
        <v>119</v>
      </c>
      <c r="E91" s="16">
        <f>IFERROR(__xludf.DUMMYFUNCTION("""COMPUTED_VALUE"""),0.941176470588235)</f>
        <v>0.9411764706</v>
      </c>
      <c r="F91" s="16">
        <f>IFERROR(__xludf.DUMMYFUNCTION("""COMPUTED_VALUE"""),0.747899159663865)</f>
        <v>0.7478991597</v>
      </c>
      <c r="G91" s="16">
        <f>IFERROR(__xludf.DUMMYFUNCTION("""COMPUTED_VALUE"""),0.705882352941176)</f>
        <v>0.7058823529</v>
      </c>
      <c r="H91" s="16">
        <f>IFERROR(__xludf.DUMMYFUNCTION("""COMPUTED_VALUE"""),0.638655462184873)</f>
        <v>0.6386554622</v>
      </c>
      <c r="I91" s="16">
        <f>IFERROR(__xludf.DUMMYFUNCTION("""COMPUTED_VALUE"""),0.504201680672268)</f>
        <v>0.5042016807</v>
      </c>
      <c r="J91" s="16">
        <f>IFERROR(__xludf.DUMMYFUNCTION("""COMPUTED_VALUE"""),0.436974789915966)</f>
        <v>0.4369747899</v>
      </c>
      <c r="K91" s="16">
        <f>IFERROR(__xludf.DUMMYFUNCTION("""COMPUTED_VALUE"""),0.445378151260504)</f>
        <v>0.4453781513</v>
      </c>
      <c r="L91" s="16">
        <f>IFERROR(__xludf.DUMMYFUNCTION("""COMPUTED_VALUE"""),0.428571428571428)</f>
        <v>0.4285714286</v>
      </c>
      <c r="M91" s="16">
        <f>IFERROR(__xludf.DUMMYFUNCTION("""COMPUTED_VALUE"""),0.428571428571428)</f>
        <v>0.4285714286</v>
      </c>
      <c r="N91" s="16">
        <f>IFERROR(__xludf.DUMMYFUNCTION("""COMPUTED_VALUE"""),0.411764705882352)</f>
        <v>0.4117647059</v>
      </c>
      <c r="O91" s="16">
        <f>IFERROR(__xludf.DUMMYFUNCTION("""COMPUTED_VALUE"""),0.330508474576271)</f>
        <v>0.3305084746</v>
      </c>
      <c r="P91" s="16">
        <f>IFERROR(__xludf.DUMMYFUNCTION("""COMPUTED_VALUE"""),0.184210526315789)</f>
        <v>0.1842105263</v>
      </c>
      <c r="Q91" s="16">
        <f>IFERROR(__xludf.DUMMYFUNCTION("""COMPUTED_VALUE"""),0.0442477876106194)</f>
        <v>0.04424778761</v>
      </c>
      <c r="R91" s="16">
        <f>IFERROR(__xludf.DUMMYFUNCTION("""COMPUTED_VALUE"""),0.0)</f>
        <v>0</v>
      </c>
      <c r="S91" s="16">
        <f>IFERROR(__xludf.DUMMYFUNCTION("""COMPUTED_VALUE"""),0.0)</f>
        <v>0</v>
      </c>
      <c r="T91" s="16">
        <f>IFERROR(__xludf.DUMMYFUNCTION("""COMPUTED_VALUE"""),0.0)</f>
        <v>0</v>
      </c>
      <c r="U91" s="16">
        <f>IFERROR(__xludf.DUMMYFUNCTION("""COMPUTED_VALUE"""),0.0)</f>
        <v>0</v>
      </c>
      <c r="V91" s="16">
        <f>IFERROR(__xludf.DUMMYFUNCTION("""COMPUTED_VALUE"""),0.0)</f>
        <v>0</v>
      </c>
      <c r="W91" s="16">
        <f>IFERROR(__xludf.DUMMYFUNCTION("""COMPUTED_VALUE"""),0.0)</f>
        <v>0</v>
      </c>
      <c r="X91" s="16">
        <f>IFERROR(__xludf.DUMMYFUNCTION("""COMPUTED_VALUE"""),0.0)</f>
        <v>0</v>
      </c>
      <c r="Y91" s="16">
        <f>IFERROR(__xludf.DUMMYFUNCTION("""COMPUTED_VALUE"""),0.0)</f>
        <v>0</v>
      </c>
      <c r="Z91" s="16">
        <f>IFERROR(__xludf.DUMMYFUNCTION("""COMPUTED_VALUE"""),0.0)</f>
        <v>0</v>
      </c>
      <c r="AA91" s="16">
        <f>IFERROR(__xludf.DUMMYFUNCTION("""COMPUTED_VALUE"""),0.0)</f>
        <v>0</v>
      </c>
      <c r="AB91" s="16">
        <f>IFERROR(__xludf.DUMMYFUNCTION("""COMPUTED_VALUE"""),0.0)</f>
        <v>0</v>
      </c>
      <c r="AC91" s="16">
        <f>IFERROR(__xludf.DUMMYFUNCTION("""COMPUTED_VALUE"""),0.0)</f>
        <v>0</v>
      </c>
      <c r="AD91" s="16">
        <f>IFERROR(__xludf.DUMMYFUNCTION("""COMPUTED_VALUE"""),0.0)</f>
        <v>0</v>
      </c>
      <c r="AE91" s="16">
        <f>IFERROR(__xludf.DUMMYFUNCTION("""COMPUTED_VALUE"""),0.0)</f>
        <v>0</v>
      </c>
      <c r="AF91" s="16">
        <f>IFERROR(__xludf.DUMMYFUNCTION("""COMPUTED_VALUE"""),0.0)</f>
        <v>0</v>
      </c>
      <c r="AG91" s="16">
        <f>IFERROR(__xludf.DUMMYFUNCTION("""COMPUTED_VALUE"""),0.0)</f>
        <v>0</v>
      </c>
      <c r="AH91" s="16">
        <f>IFERROR(__xludf.DUMMYFUNCTION("""COMPUTED_VALUE"""),0.0)</f>
        <v>0</v>
      </c>
    </row>
    <row r="92">
      <c r="A92" s="16" t="str">
        <f>IFERROR(__xludf.DUMMYFUNCTION("""COMPUTED_VALUE"""),"4c43207d3f7885c90d8aaafbb8952de80561f21d")</f>
        <v>4c43207d3f7885c90d8aaafbb8952de80561f21d</v>
      </c>
      <c r="B92" s="16" t="str">
        <f>IFERROR(__xludf.DUMMYFUNCTION("""COMPUTED_VALUE"""),"The Boss &amp; His Fake Wife")</f>
        <v>The Boss &amp; His Fake Wife</v>
      </c>
      <c r="C92" s="16" t="str">
        <f>IFERROR(__xludf.DUMMYFUNCTION("""COMPUTED_VALUE"""),"Romance")</f>
        <v>Romance</v>
      </c>
      <c r="D92" s="16">
        <f>IFERROR(__xludf.DUMMYFUNCTION("""COMPUTED_VALUE"""),16.0)</f>
        <v>16</v>
      </c>
      <c r="E92" s="16">
        <f>IFERROR(__xludf.DUMMYFUNCTION("""COMPUTED_VALUE"""),1.0)</f>
        <v>1</v>
      </c>
      <c r="F92" s="16">
        <f>IFERROR(__xludf.DUMMYFUNCTION("""COMPUTED_VALUE"""),0.8125)</f>
        <v>0.8125</v>
      </c>
      <c r="G92" s="16">
        <f>IFERROR(__xludf.DUMMYFUNCTION("""COMPUTED_VALUE"""),0.8125)</f>
        <v>0.8125</v>
      </c>
      <c r="H92" s="16">
        <f>IFERROR(__xludf.DUMMYFUNCTION("""COMPUTED_VALUE"""),0.8125)</f>
        <v>0.8125</v>
      </c>
      <c r="I92" s="16">
        <f>IFERROR(__xludf.DUMMYFUNCTION("""COMPUTED_VALUE"""),0.8125)</f>
        <v>0.8125</v>
      </c>
      <c r="J92" s="16">
        <f>IFERROR(__xludf.DUMMYFUNCTION("""COMPUTED_VALUE"""),0.8125)</f>
        <v>0.8125</v>
      </c>
      <c r="K92" s="16">
        <f>IFERROR(__xludf.DUMMYFUNCTION("""COMPUTED_VALUE"""),0.785714285714285)</f>
        <v>0.7857142857</v>
      </c>
      <c r="L92" s="16">
        <f>IFERROR(__xludf.DUMMYFUNCTION("""COMPUTED_VALUE"""),0.75)</f>
        <v>0.75</v>
      </c>
      <c r="M92" s="16">
        <f>IFERROR(__xludf.DUMMYFUNCTION("""COMPUTED_VALUE"""),0.75)</f>
        <v>0.75</v>
      </c>
      <c r="N92" s="16">
        <f>IFERROR(__xludf.DUMMYFUNCTION("""COMPUTED_VALUE"""),0.75)</f>
        <v>0.75</v>
      </c>
      <c r="O92" s="16">
        <f>IFERROR(__xludf.DUMMYFUNCTION("""COMPUTED_VALUE"""),0.571428571428571)</f>
        <v>0.5714285714</v>
      </c>
      <c r="P92" s="16">
        <f>IFERROR(__xludf.DUMMYFUNCTION("""COMPUTED_VALUE"""),1.0)</f>
        <v>1</v>
      </c>
      <c r="Q92" s="16">
        <f>IFERROR(__xludf.DUMMYFUNCTION("""COMPUTED_VALUE"""),0.0)</f>
        <v>0</v>
      </c>
      <c r="R92" s="16">
        <f>IFERROR(__xludf.DUMMYFUNCTION("""COMPUTED_VALUE"""),0.0)</f>
        <v>0</v>
      </c>
      <c r="S92" s="16">
        <f>IFERROR(__xludf.DUMMYFUNCTION("""COMPUTED_VALUE"""),0.0)</f>
        <v>0</v>
      </c>
      <c r="T92" s="16">
        <f>IFERROR(__xludf.DUMMYFUNCTION("""COMPUTED_VALUE"""),0.0)</f>
        <v>0</v>
      </c>
      <c r="U92" s="16">
        <f>IFERROR(__xludf.DUMMYFUNCTION("""COMPUTED_VALUE"""),0.0)</f>
        <v>0</v>
      </c>
      <c r="V92" s="16">
        <f>IFERROR(__xludf.DUMMYFUNCTION("""COMPUTED_VALUE"""),0.0)</f>
        <v>0</v>
      </c>
      <c r="W92" s="16">
        <f>IFERROR(__xludf.DUMMYFUNCTION("""COMPUTED_VALUE"""),0.0)</f>
        <v>0</v>
      </c>
      <c r="X92" s="16">
        <f>IFERROR(__xludf.DUMMYFUNCTION("""COMPUTED_VALUE"""),0.0)</f>
        <v>0</v>
      </c>
      <c r="Y92" s="16">
        <f>IFERROR(__xludf.DUMMYFUNCTION("""COMPUTED_VALUE"""),0.0)</f>
        <v>0</v>
      </c>
      <c r="Z92" s="16">
        <f>IFERROR(__xludf.DUMMYFUNCTION("""COMPUTED_VALUE"""),0.0)</f>
        <v>0</v>
      </c>
      <c r="AA92" s="16">
        <f>IFERROR(__xludf.DUMMYFUNCTION("""COMPUTED_VALUE"""),0.0)</f>
        <v>0</v>
      </c>
      <c r="AB92" s="16">
        <f>IFERROR(__xludf.DUMMYFUNCTION("""COMPUTED_VALUE"""),0.0)</f>
        <v>0</v>
      </c>
      <c r="AC92" s="16">
        <f>IFERROR(__xludf.DUMMYFUNCTION("""COMPUTED_VALUE"""),0.0)</f>
        <v>0</v>
      </c>
      <c r="AD92" s="16">
        <f>IFERROR(__xludf.DUMMYFUNCTION("""COMPUTED_VALUE"""),0.0)</f>
        <v>0</v>
      </c>
      <c r="AE92" s="16">
        <f>IFERROR(__xludf.DUMMYFUNCTION("""COMPUTED_VALUE"""),0.0)</f>
        <v>0</v>
      </c>
      <c r="AF92" s="16">
        <f>IFERROR(__xludf.DUMMYFUNCTION("""COMPUTED_VALUE"""),0.0)</f>
        <v>0</v>
      </c>
      <c r="AG92" s="16">
        <f>IFERROR(__xludf.DUMMYFUNCTION("""COMPUTED_VALUE"""),0.0)</f>
        <v>0</v>
      </c>
      <c r="AH92" s="16">
        <f>IFERROR(__xludf.DUMMYFUNCTION("""COMPUTED_VALUE"""),0.0)</f>
        <v>0</v>
      </c>
    </row>
    <row r="93">
      <c r="A93" s="16" t="str">
        <f>IFERROR(__xludf.DUMMYFUNCTION("""COMPUTED_VALUE"""),"4d01d84cdfff217f33b380cdb07a2a1c706749ea")</f>
        <v>4d01d84cdfff217f33b380cdb07a2a1c706749ea</v>
      </c>
      <c r="B93" s="16" t="str">
        <f>IFERROR(__xludf.DUMMYFUNCTION("""COMPUTED_VALUE"""),"The Fifth Bride")</f>
        <v>The Fifth Bride</v>
      </c>
      <c r="C93" s="16" t="str">
        <f>IFERROR(__xludf.DUMMYFUNCTION("""COMPUTED_VALUE"""),"Suspense or Thriller")</f>
        <v>Suspense or Thriller</v>
      </c>
      <c r="D93" s="16">
        <f>IFERROR(__xludf.DUMMYFUNCTION("""COMPUTED_VALUE"""),21.0)</f>
        <v>21</v>
      </c>
      <c r="E93" s="16">
        <f>IFERROR(__xludf.DUMMYFUNCTION("""COMPUTED_VALUE"""),0.904761904761904)</f>
        <v>0.9047619048</v>
      </c>
      <c r="F93" s="16">
        <f>IFERROR(__xludf.DUMMYFUNCTION("""COMPUTED_VALUE"""),0.523809523809523)</f>
        <v>0.5238095238</v>
      </c>
      <c r="G93" s="16">
        <f>IFERROR(__xludf.DUMMYFUNCTION("""COMPUTED_VALUE"""),0.476190476190476)</f>
        <v>0.4761904762</v>
      </c>
      <c r="H93" s="16">
        <f>IFERROR(__xludf.DUMMYFUNCTION("""COMPUTED_VALUE"""),0.428571428571428)</f>
        <v>0.4285714286</v>
      </c>
      <c r="I93" s="16">
        <f>IFERROR(__xludf.DUMMYFUNCTION("""COMPUTED_VALUE"""),0.333333333333333)</f>
        <v>0.3333333333</v>
      </c>
      <c r="J93" s="16">
        <f>IFERROR(__xludf.DUMMYFUNCTION("""COMPUTED_VALUE"""),0.333333333333333)</f>
        <v>0.3333333333</v>
      </c>
      <c r="K93" s="16">
        <f>IFERROR(__xludf.DUMMYFUNCTION("""COMPUTED_VALUE"""),0.38095238095238)</f>
        <v>0.380952381</v>
      </c>
      <c r="L93" s="16">
        <f>IFERROR(__xludf.DUMMYFUNCTION("""COMPUTED_VALUE"""),0.285714285714285)</f>
        <v>0.2857142857</v>
      </c>
      <c r="M93" s="16">
        <f>IFERROR(__xludf.DUMMYFUNCTION("""COMPUTED_VALUE"""),0.333333333333333)</f>
        <v>0.3333333333</v>
      </c>
      <c r="N93" s="16">
        <f>IFERROR(__xludf.DUMMYFUNCTION("""COMPUTED_VALUE"""),0.285714285714285)</f>
        <v>0.2857142857</v>
      </c>
      <c r="O93" s="16">
        <f>IFERROR(__xludf.DUMMYFUNCTION("""COMPUTED_VALUE"""),0.238095238095238)</f>
        <v>0.2380952381</v>
      </c>
      <c r="P93" s="16">
        <f>IFERROR(__xludf.DUMMYFUNCTION("""COMPUTED_VALUE"""),0.142857142857142)</f>
        <v>0.1428571429</v>
      </c>
      <c r="Q93" s="16">
        <f>IFERROR(__xludf.DUMMYFUNCTION("""COMPUTED_VALUE"""),0.0)</f>
        <v>0</v>
      </c>
      <c r="R93" s="16">
        <f>IFERROR(__xludf.DUMMYFUNCTION("""COMPUTED_VALUE"""),0.0)</f>
        <v>0</v>
      </c>
      <c r="S93" s="16">
        <f>IFERROR(__xludf.DUMMYFUNCTION("""COMPUTED_VALUE"""),0.0)</f>
        <v>0</v>
      </c>
      <c r="T93" s="16">
        <f>IFERROR(__xludf.DUMMYFUNCTION("""COMPUTED_VALUE"""),0.0)</f>
        <v>0</v>
      </c>
      <c r="U93" s="16">
        <f>IFERROR(__xludf.DUMMYFUNCTION("""COMPUTED_VALUE"""),0.0)</f>
        <v>0</v>
      </c>
      <c r="V93" s="16">
        <f>IFERROR(__xludf.DUMMYFUNCTION("""COMPUTED_VALUE"""),0.0)</f>
        <v>0</v>
      </c>
      <c r="W93" s="16">
        <f>IFERROR(__xludf.DUMMYFUNCTION("""COMPUTED_VALUE"""),0.0)</f>
        <v>0</v>
      </c>
      <c r="X93" s="16">
        <f>IFERROR(__xludf.DUMMYFUNCTION("""COMPUTED_VALUE"""),0.0)</f>
        <v>0</v>
      </c>
      <c r="Y93" s="16">
        <f>IFERROR(__xludf.DUMMYFUNCTION("""COMPUTED_VALUE"""),0.0)</f>
        <v>0</v>
      </c>
      <c r="Z93" s="16">
        <f>IFERROR(__xludf.DUMMYFUNCTION("""COMPUTED_VALUE"""),0.0)</f>
        <v>0</v>
      </c>
      <c r="AA93" s="16">
        <f>IFERROR(__xludf.DUMMYFUNCTION("""COMPUTED_VALUE"""),0.0)</f>
        <v>0</v>
      </c>
      <c r="AB93" s="16">
        <f>IFERROR(__xludf.DUMMYFUNCTION("""COMPUTED_VALUE"""),0.0)</f>
        <v>0</v>
      </c>
      <c r="AC93" s="16">
        <f>IFERROR(__xludf.DUMMYFUNCTION("""COMPUTED_VALUE"""),0.0)</f>
        <v>0</v>
      </c>
      <c r="AD93" s="16">
        <f>IFERROR(__xludf.DUMMYFUNCTION("""COMPUTED_VALUE"""),0.0)</f>
        <v>0</v>
      </c>
      <c r="AE93" s="16">
        <f>IFERROR(__xludf.DUMMYFUNCTION("""COMPUTED_VALUE"""),0.0)</f>
        <v>0</v>
      </c>
      <c r="AF93" s="16">
        <f>IFERROR(__xludf.DUMMYFUNCTION("""COMPUTED_VALUE"""),0.0)</f>
        <v>0</v>
      </c>
      <c r="AG93" s="16">
        <f>IFERROR(__xludf.DUMMYFUNCTION("""COMPUTED_VALUE"""),0.0)</f>
        <v>0</v>
      </c>
      <c r="AH93" s="16">
        <f>IFERROR(__xludf.DUMMYFUNCTION("""COMPUTED_VALUE"""),0.0)</f>
        <v>0</v>
      </c>
    </row>
    <row r="94">
      <c r="A94" s="16" t="str">
        <f>IFERROR(__xludf.DUMMYFUNCTION("""COMPUTED_VALUE"""),"4d887dec2a071a00150fdcd6417f16bcaf5f02b0")</f>
        <v>4d887dec2a071a00150fdcd6417f16bcaf5f02b0</v>
      </c>
      <c r="B94" s="16" t="str">
        <f>IFERROR(__xludf.DUMMYFUNCTION("""COMPUTED_VALUE"""),"Loving Nathaniel Hawthorne: The Billionaire Playboy")</f>
        <v>Loving Nathaniel Hawthorne: The Billionaire Playboy</v>
      </c>
      <c r="C94" s="16" t="str">
        <f>IFERROR(__xludf.DUMMYFUNCTION("""COMPUTED_VALUE"""),"Romance")</f>
        <v>Romance</v>
      </c>
      <c r="D94" s="16">
        <f>IFERROR(__xludf.DUMMYFUNCTION("""COMPUTED_VALUE"""),698.0)</f>
        <v>698</v>
      </c>
      <c r="E94" s="16">
        <f>IFERROR(__xludf.DUMMYFUNCTION("""COMPUTED_VALUE"""),0.908309455587392)</f>
        <v>0.9083094556</v>
      </c>
      <c r="F94" s="16">
        <f>IFERROR(__xludf.DUMMYFUNCTION("""COMPUTED_VALUE"""),0.472779369627507)</f>
        <v>0.4727793696</v>
      </c>
      <c r="G94" s="16">
        <f>IFERROR(__xludf.DUMMYFUNCTION("""COMPUTED_VALUE"""),0.434097421203438)</f>
        <v>0.4340974212</v>
      </c>
      <c r="H94" s="16">
        <f>IFERROR(__xludf.DUMMYFUNCTION("""COMPUTED_VALUE"""),0.411174785100286)</f>
        <v>0.4111747851</v>
      </c>
      <c r="I94" s="16">
        <f>IFERROR(__xludf.DUMMYFUNCTION("""COMPUTED_VALUE"""),0.398280802292263)</f>
        <v>0.3982808023</v>
      </c>
      <c r="J94" s="16">
        <f>IFERROR(__xludf.DUMMYFUNCTION("""COMPUTED_VALUE"""),0.382521489971346)</f>
        <v>0.38252149</v>
      </c>
      <c r="K94" s="16">
        <f>IFERROR(__xludf.DUMMYFUNCTION("""COMPUTED_VALUE"""),0.369627507163323)</f>
        <v>0.3696275072</v>
      </c>
      <c r="L94" s="16">
        <f>IFERROR(__xludf.DUMMYFUNCTION("""COMPUTED_VALUE"""),0.37106017191977)</f>
        <v>0.3710601719</v>
      </c>
      <c r="M94" s="16">
        <f>IFERROR(__xludf.DUMMYFUNCTION("""COMPUTED_VALUE"""),0.368194842406876)</f>
        <v>0.3681948424</v>
      </c>
      <c r="N94" s="16">
        <f>IFERROR(__xludf.DUMMYFUNCTION("""COMPUTED_VALUE"""),0.361031518624641)</f>
        <v>0.3610315186</v>
      </c>
      <c r="O94" s="16">
        <f>IFERROR(__xludf.DUMMYFUNCTION("""COMPUTED_VALUE"""),0.335243553008596)</f>
        <v>0.335243553</v>
      </c>
      <c r="P94" s="16">
        <f>IFERROR(__xludf.DUMMYFUNCTION("""COMPUTED_VALUE"""),0.265042979942693)</f>
        <v>0.2650429799</v>
      </c>
      <c r="Q94" s="16">
        <f>IFERROR(__xludf.DUMMYFUNCTION("""COMPUTED_VALUE"""),0.197707736389684)</f>
        <v>0.1977077364</v>
      </c>
      <c r="R94" s="16">
        <f>IFERROR(__xludf.DUMMYFUNCTION("""COMPUTED_VALUE"""),0.16546762589928)</f>
        <v>0.1654676259</v>
      </c>
      <c r="S94" s="16">
        <f>IFERROR(__xludf.DUMMYFUNCTION("""COMPUTED_VALUE"""),0.139568345323741)</f>
        <v>0.1395683453</v>
      </c>
      <c r="T94" s="16">
        <f>IFERROR(__xludf.DUMMYFUNCTION("""COMPUTED_VALUE"""),0.125541125541125)</f>
        <v>0.1255411255</v>
      </c>
      <c r="U94" s="16">
        <f>IFERROR(__xludf.DUMMYFUNCTION("""COMPUTED_VALUE"""),0.109668109668109)</f>
        <v>0.1096681097</v>
      </c>
      <c r="V94" s="16">
        <f>IFERROR(__xludf.DUMMYFUNCTION("""COMPUTED_VALUE"""),0.105022831050228)</f>
        <v>0.1050228311</v>
      </c>
      <c r="W94" s="16">
        <f>IFERROR(__xludf.DUMMYFUNCTION("""COMPUTED_VALUE"""),0.099644128113879)</f>
        <v>0.09964412811</v>
      </c>
      <c r="X94" s="16">
        <f>IFERROR(__xludf.DUMMYFUNCTION("""COMPUTED_VALUE"""),0.085972850678733)</f>
        <v>0.08597285068</v>
      </c>
      <c r="Y94" s="16">
        <f>IFERROR(__xludf.DUMMYFUNCTION("""COMPUTED_VALUE"""),0.0951008645533141)</f>
        <v>0.09510086455</v>
      </c>
      <c r="Z94" s="16">
        <f>IFERROR(__xludf.DUMMYFUNCTION("""COMPUTED_VALUE"""),0.0683453237410072)</f>
        <v>0.06834532374</v>
      </c>
      <c r="AA94" s="16">
        <f>IFERROR(__xludf.DUMMYFUNCTION("""COMPUTED_VALUE"""),0.0643776824034334)</f>
        <v>0.0643776824</v>
      </c>
      <c r="AB94" s="16">
        <f>IFERROR(__xludf.DUMMYFUNCTION("""COMPUTED_VALUE"""),0.0416666666666666)</f>
        <v>0.04166666667</v>
      </c>
      <c r="AC94" s="16">
        <f>IFERROR(__xludf.DUMMYFUNCTION("""COMPUTED_VALUE"""),0.0)</f>
        <v>0</v>
      </c>
      <c r="AD94" s="16">
        <f>IFERROR(__xludf.DUMMYFUNCTION("""COMPUTED_VALUE"""),0.0)</f>
        <v>0</v>
      </c>
      <c r="AE94" s="16">
        <f>IFERROR(__xludf.DUMMYFUNCTION("""COMPUTED_VALUE"""),0.0)</f>
        <v>0</v>
      </c>
      <c r="AF94" s="16">
        <f>IFERROR(__xludf.DUMMYFUNCTION("""COMPUTED_VALUE"""),0.0)</f>
        <v>0</v>
      </c>
      <c r="AG94" s="16">
        <f>IFERROR(__xludf.DUMMYFUNCTION("""COMPUTED_VALUE"""),0.0)</f>
        <v>0</v>
      </c>
      <c r="AH94" s="16">
        <f>IFERROR(__xludf.DUMMYFUNCTION("""COMPUTED_VALUE"""),0.0)</f>
        <v>0</v>
      </c>
    </row>
    <row r="95">
      <c r="A95" s="16" t="str">
        <f>IFERROR(__xludf.DUMMYFUNCTION("""COMPUTED_VALUE"""),"4e3bbfc86993cf8c574bdebca34a49627f4a386a")</f>
        <v>4e3bbfc86993cf8c574bdebca34a49627f4a386a</v>
      </c>
      <c r="B95" s="16" t="str">
        <f>IFERROR(__xludf.DUMMYFUNCTION("""COMPUTED_VALUE"""),"Our Beloved Villains ")</f>
        <v>Our Beloved Villains </v>
      </c>
      <c r="C95" s="16" t="str">
        <f>IFERROR(__xludf.DUMMYFUNCTION("""COMPUTED_VALUE"""),"Fantasy")</f>
        <v>Fantasy</v>
      </c>
      <c r="D95" s="16">
        <f>IFERROR(__xludf.DUMMYFUNCTION("""COMPUTED_VALUE"""),57.0)</f>
        <v>57</v>
      </c>
      <c r="E95" s="16">
        <f>IFERROR(__xludf.DUMMYFUNCTION("""COMPUTED_VALUE"""),0.982456140350877)</f>
        <v>0.9824561404</v>
      </c>
      <c r="F95" s="16">
        <f>IFERROR(__xludf.DUMMYFUNCTION("""COMPUTED_VALUE"""),0.473684210526315)</f>
        <v>0.4736842105</v>
      </c>
      <c r="G95" s="16">
        <f>IFERROR(__xludf.DUMMYFUNCTION("""COMPUTED_VALUE"""),0.368421052631578)</f>
        <v>0.3684210526</v>
      </c>
      <c r="H95" s="16">
        <f>IFERROR(__xludf.DUMMYFUNCTION("""COMPUTED_VALUE"""),0.280701754385964)</f>
        <v>0.2807017544</v>
      </c>
      <c r="I95" s="16">
        <f>IFERROR(__xludf.DUMMYFUNCTION("""COMPUTED_VALUE"""),0.210526315789473)</f>
        <v>0.2105263158</v>
      </c>
      <c r="J95" s="16">
        <f>IFERROR(__xludf.DUMMYFUNCTION("""COMPUTED_VALUE"""),0.210526315789473)</f>
        <v>0.2105263158</v>
      </c>
      <c r="K95" s="16">
        <f>IFERROR(__xludf.DUMMYFUNCTION("""COMPUTED_VALUE"""),0.157894736842105)</f>
        <v>0.1578947368</v>
      </c>
      <c r="L95" s="16">
        <f>IFERROR(__xludf.DUMMYFUNCTION("""COMPUTED_VALUE"""),0.157894736842105)</f>
        <v>0.1578947368</v>
      </c>
      <c r="M95" s="16">
        <f>IFERROR(__xludf.DUMMYFUNCTION("""COMPUTED_VALUE"""),0.157894736842105)</f>
        <v>0.1578947368</v>
      </c>
      <c r="N95" s="16">
        <f>IFERROR(__xludf.DUMMYFUNCTION("""COMPUTED_VALUE"""),0.145454545454545)</f>
        <v>0.1454545455</v>
      </c>
      <c r="O95" s="16">
        <f>IFERROR(__xludf.DUMMYFUNCTION("""COMPUTED_VALUE"""),0.0576923076923076)</f>
        <v>0.05769230769</v>
      </c>
      <c r="P95" s="16">
        <f>IFERROR(__xludf.DUMMYFUNCTION("""COMPUTED_VALUE"""),0.0204081632653061)</f>
        <v>0.02040816327</v>
      </c>
      <c r="Q95" s="16">
        <f>IFERROR(__xludf.DUMMYFUNCTION("""COMPUTED_VALUE"""),0.0)</f>
        <v>0</v>
      </c>
      <c r="R95" s="16">
        <f>IFERROR(__xludf.DUMMYFUNCTION("""COMPUTED_VALUE"""),0.0)</f>
        <v>0</v>
      </c>
      <c r="S95" s="16">
        <f>IFERROR(__xludf.DUMMYFUNCTION("""COMPUTED_VALUE"""),0.0)</f>
        <v>0</v>
      </c>
      <c r="T95" s="16">
        <f>IFERROR(__xludf.DUMMYFUNCTION("""COMPUTED_VALUE"""),0.0)</f>
        <v>0</v>
      </c>
      <c r="U95" s="16">
        <f>IFERROR(__xludf.DUMMYFUNCTION("""COMPUTED_VALUE"""),0.0)</f>
        <v>0</v>
      </c>
      <c r="V95" s="16">
        <f>IFERROR(__xludf.DUMMYFUNCTION("""COMPUTED_VALUE"""),0.0)</f>
        <v>0</v>
      </c>
      <c r="W95" s="16">
        <f>IFERROR(__xludf.DUMMYFUNCTION("""COMPUTED_VALUE"""),0.0)</f>
        <v>0</v>
      </c>
      <c r="X95" s="16">
        <f>IFERROR(__xludf.DUMMYFUNCTION("""COMPUTED_VALUE"""),0.0)</f>
        <v>0</v>
      </c>
      <c r="Y95" s="16">
        <f>IFERROR(__xludf.DUMMYFUNCTION("""COMPUTED_VALUE"""),0.0)</f>
        <v>0</v>
      </c>
      <c r="Z95" s="16">
        <f>IFERROR(__xludf.DUMMYFUNCTION("""COMPUTED_VALUE"""),0.0)</f>
        <v>0</v>
      </c>
      <c r="AA95" s="16">
        <f>IFERROR(__xludf.DUMMYFUNCTION("""COMPUTED_VALUE"""),0.0)</f>
        <v>0</v>
      </c>
      <c r="AB95" s="16">
        <f>IFERROR(__xludf.DUMMYFUNCTION("""COMPUTED_VALUE"""),0.0)</f>
        <v>0</v>
      </c>
      <c r="AC95" s="16">
        <f>IFERROR(__xludf.DUMMYFUNCTION("""COMPUTED_VALUE"""),0.0)</f>
        <v>0</v>
      </c>
      <c r="AD95" s="16">
        <f>IFERROR(__xludf.DUMMYFUNCTION("""COMPUTED_VALUE"""),0.0)</f>
        <v>0</v>
      </c>
      <c r="AE95" s="16">
        <f>IFERROR(__xludf.DUMMYFUNCTION("""COMPUTED_VALUE"""),0.0)</f>
        <v>0</v>
      </c>
      <c r="AF95" s="16">
        <f>IFERROR(__xludf.DUMMYFUNCTION("""COMPUTED_VALUE"""),0.0)</f>
        <v>0</v>
      </c>
      <c r="AG95" s="16">
        <f>IFERROR(__xludf.DUMMYFUNCTION("""COMPUTED_VALUE"""),0.0)</f>
        <v>0</v>
      </c>
      <c r="AH95" s="16">
        <f>IFERROR(__xludf.DUMMYFUNCTION("""COMPUTED_VALUE"""),0.0)</f>
        <v>0</v>
      </c>
    </row>
    <row r="96">
      <c r="A96" s="16" t="str">
        <f>IFERROR(__xludf.DUMMYFUNCTION("""COMPUTED_VALUE"""),"4e767fe3eae1eb30991fabcb73be16e9925ab124")</f>
        <v>4e767fe3eae1eb30991fabcb73be16e9925ab124</v>
      </c>
      <c r="B96" s="16" t="str">
        <f>IFERROR(__xludf.DUMMYFUNCTION("""COMPUTED_VALUE"""),"The Ill-Fated Aristocrat")</f>
        <v>The Ill-Fated Aristocrat</v>
      </c>
      <c r="C96" s="16" t="str">
        <f>IFERROR(__xludf.DUMMYFUNCTION("""COMPUTED_VALUE"""),"Romance")</f>
        <v>Romance</v>
      </c>
      <c r="D96" s="16">
        <f>IFERROR(__xludf.DUMMYFUNCTION("""COMPUTED_VALUE"""),54.0)</f>
        <v>54</v>
      </c>
      <c r="E96" s="16">
        <f>IFERROR(__xludf.DUMMYFUNCTION("""COMPUTED_VALUE"""),0.981481481481481)</f>
        <v>0.9814814815</v>
      </c>
      <c r="F96" s="16">
        <f>IFERROR(__xludf.DUMMYFUNCTION("""COMPUTED_VALUE"""),0.629629629629629)</f>
        <v>0.6296296296</v>
      </c>
      <c r="G96" s="16">
        <f>IFERROR(__xludf.DUMMYFUNCTION("""COMPUTED_VALUE"""),0.555555555555555)</f>
        <v>0.5555555556</v>
      </c>
      <c r="H96" s="16">
        <f>IFERROR(__xludf.DUMMYFUNCTION("""COMPUTED_VALUE"""),0.518518518518518)</f>
        <v>0.5185185185</v>
      </c>
      <c r="I96" s="16">
        <f>IFERROR(__xludf.DUMMYFUNCTION("""COMPUTED_VALUE"""),0.444444444444444)</f>
        <v>0.4444444444</v>
      </c>
      <c r="J96" s="16">
        <f>IFERROR(__xludf.DUMMYFUNCTION("""COMPUTED_VALUE"""),0.433962264150943)</f>
        <v>0.4339622642</v>
      </c>
      <c r="K96" s="16">
        <f>IFERROR(__xludf.DUMMYFUNCTION("""COMPUTED_VALUE"""),0.433962264150943)</f>
        <v>0.4339622642</v>
      </c>
      <c r="L96" s="16">
        <f>IFERROR(__xludf.DUMMYFUNCTION("""COMPUTED_VALUE"""),0.415094339622641)</f>
        <v>0.4150943396</v>
      </c>
      <c r="M96" s="16">
        <f>IFERROR(__xludf.DUMMYFUNCTION("""COMPUTED_VALUE"""),0.396226415094339)</f>
        <v>0.3962264151</v>
      </c>
      <c r="N96" s="16">
        <f>IFERROR(__xludf.DUMMYFUNCTION("""COMPUTED_VALUE"""),0.384615384615384)</f>
        <v>0.3846153846</v>
      </c>
      <c r="O96" s="16">
        <f>IFERROR(__xludf.DUMMYFUNCTION("""COMPUTED_VALUE"""),0.384615384615384)</f>
        <v>0.3846153846</v>
      </c>
      <c r="P96" s="16">
        <f>IFERROR(__xludf.DUMMYFUNCTION("""COMPUTED_VALUE"""),0.288461538461538)</f>
        <v>0.2884615385</v>
      </c>
      <c r="Q96" s="16">
        <f>IFERROR(__xludf.DUMMYFUNCTION("""COMPUTED_VALUE"""),0.219512195121951)</f>
        <v>0.2195121951</v>
      </c>
      <c r="R96" s="16">
        <f>IFERROR(__xludf.DUMMYFUNCTION("""COMPUTED_VALUE"""),0.0256410256410256)</f>
        <v>0.02564102564</v>
      </c>
      <c r="S96" s="16">
        <f>IFERROR(__xludf.DUMMYFUNCTION("""COMPUTED_VALUE"""),0.0)</f>
        <v>0</v>
      </c>
      <c r="T96" s="16">
        <f>IFERROR(__xludf.DUMMYFUNCTION("""COMPUTED_VALUE"""),0.0)</f>
        <v>0</v>
      </c>
      <c r="U96" s="16">
        <f>IFERROR(__xludf.DUMMYFUNCTION("""COMPUTED_VALUE"""),0.0)</f>
        <v>0</v>
      </c>
      <c r="V96" s="16">
        <f>IFERROR(__xludf.DUMMYFUNCTION("""COMPUTED_VALUE"""),0.0)</f>
        <v>0</v>
      </c>
      <c r="W96" s="16">
        <f>IFERROR(__xludf.DUMMYFUNCTION("""COMPUTED_VALUE"""),0.0)</f>
        <v>0</v>
      </c>
      <c r="X96" s="16">
        <f>IFERROR(__xludf.DUMMYFUNCTION("""COMPUTED_VALUE"""),0.0)</f>
        <v>0</v>
      </c>
      <c r="Y96" s="16">
        <f>IFERROR(__xludf.DUMMYFUNCTION("""COMPUTED_VALUE"""),0.0)</f>
        <v>0</v>
      </c>
      <c r="Z96" s="16">
        <f>IFERROR(__xludf.DUMMYFUNCTION("""COMPUTED_VALUE"""),0.0)</f>
        <v>0</v>
      </c>
      <c r="AA96" s="16">
        <f>IFERROR(__xludf.DUMMYFUNCTION("""COMPUTED_VALUE"""),0.0)</f>
        <v>0</v>
      </c>
      <c r="AB96" s="16">
        <f>IFERROR(__xludf.DUMMYFUNCTION("""COMPUTED_VALUE"""),0.0)</f>
        <v>0</v>
      </c>
      <c r="AC96" s="16">
        <f>IFERROR(__xludf.DUMMYFUNCTION("""COMPUTED_VALUE"""),0.0)</f>
        <v>0</v>
      </c>
      <c r="AD96" s="16">
        <f>IFERROR(__xludf.DUMMYFUNCTION("""COMPUTED_VALUE"""),0.0)</f>
        <v>0</v>
      </c>
      <c r="AE96" s="16">
        <f>IFERROR(__xludf.DUMMYFUNCTION("""COMPUTED_VALUE"""),0.0)</f>
        <v>0</v>
      </c>
      <c r="AF96" s="16">
        <f>IFERROR(__xludf.DUMMYFUNCTION("""COMPUTED_VALUE"""),0.0)</f>
        <v>0</v>
      </c>
      <c r="AG96" s="16">
        <f>IFERROR(__xludf.DUMMYFUNCTION("""COMPUTED_VALUE"""),0.0)</f>
        <v>0</v>
      </c>
      <c r="AH96" s="16">
        <f>IFERROR(__xludf.DUMMYFUNCTION("""COMPUTED_VALUE"""),0.0)</f>
        <v>0</v>
      </c>
    </row>
    <row r="97">
      <c r="A97" s="16" t="str">
        <f>IFERROR(__xludf.DUMMYFUNCTION("""COMPUTED_VALUE"""),"4e82e5be987e78daa5bb2bb67006b68256170925")</f>
        <v>4e82e5be987e78daa5bb2bb67006b68256170925</v>
      </c>
      <c r="B97" s="16" t="str">
        <f>IFERROR(__xludf.DUMMYFUNCTION("""COMPUTED_VALUE"""),"Machine Invasion")</f>
        <v>Machine Invasion</v>
      </c>
      <c r="C97" s="16" t="str">
        <f>IFERROR(__xludf.DUMMYFUNCTION("""COMPUTED_VALUE"""),"System and Superpower")</f>
        <v>System and Superpower</v>
      </c>
      <c r="D97" s="16">
        <f>IFERROR(__xludf.DUMMYFUNCTION("""COMPUTED_VALUE"""),1284.0)</f>
        <v>1284</v>
      </c>
      <c r="E97" s="16">
        <f>IFERROR(__xludf.DUMMYFUNCTION("""COMPUTED_VALUE"""),0.978193146417445)</f>
        <v>0.9781931464</v>
      </c>
      <c r="F97" s="16">
        <f>IFERROR(__xludf.DUMMYFUNCTION("""COMPUTED_VALUE"""),0.686915887850467)</f>
        <v>0.6869158879</v>
      </c>
      <c r="G97" s="16">
        <f>IFERROR(__xludf.DUMMYFUNCTION("""COMPUTED_VALUE"""),0.638629283489096)</f>
        <v>0.6386292835</v>
      </c>
      <c r="H97" s="16">
        <f>IFERROR(__xludf.DUMMYFUNCTION("""COMPUTED_VALUE"""),0.605919003115264)</f>
        <v>0.6059190031</v>
      </c>
      <c r="I97" s="16">
        <f>IFERROR(__xludf.DUMMYFUNCTION("""COMPUTED_VALUE"""),0.584890965732087)</f>
        <v>0.5848909657</v>
      </c>
      <c r="J97" s="16">
        <f>IFERROR(__xludf.DUMMYFUNCTION("""COMPUTED_VALUE"""),0.55962587685113)</f>
        <v>0.5596258769</v>
      </c>
      <c r="K97" s="16">
        <f>IFERROR(__xludf.DUMMYFUNCTION("""COMPUTED_VALUE"""),0.544037412314887)</f>
        <v>0.5440374123</v>
      </c>
      <c r="L97" s="16">
        <f>IFERROR(__xludf.DUMMYFUNCTION("""COMPUTED_VALUE"""),0.507404520654715)</f>
        <v>0.5074045207</v>
      </c>
      <c r="M97" s="16">
        <f>IFERROR(__xludf.DUMMYFUNCTION("""COMPUTED_VALUE"""),0.502732240437158)</f>
        <v>0.5027322404</v>
      </c>
      <c r="N97" s="16">
        <f>IFERROR(__xludf.DUMMYFUNCTION("""COMPUTED_VALUE"""),0.494145199063231)</f>
        <v>0.4941451991</v>
      </c>
      <c r="O97" s="16">
        <f>IFERROR(__xludf.DUMMYFUNCTION("""COMPUTED_VALUE"""),0.453865336658354)</f>
        <v>0.4538653367</v>
      </c>
      <c r="P97" s="16">
        <f>IFERROR(__xludf.DUMMYFUNCTION("""COMPUTED_VALUE"""),0.371084337349397)</f>
        <v>0.3710843373</v>
      </c>
      <c r="Q97" s="16">
        <f>IFERROR(__xludf.DUMMYFUNCTION("""COMPUTED_VALUE"""),0.284848484848484)</f>
        <v>0.2848484848</v>
      </c>
      <c r="R97" s="16">
        <f>IFERROR(__xludf.DUMMYFUNCTION("""COMPUTED_VALUE"""),0.0)</f>
        <v>0</v>
      </c>
      <c r="S97" s="16">
        <f>IFERROR(__xludf.DUMMYFUNCTION("""COMPUTED_VALUE"""),0.0)</f>
        <v>0</v>
      </c>
      <c r="T97" s="16">
        <f>IFERROR(__xludf.DUMMYFUNCTION("""COMPUTED_VALUE"""),0.0)</f>
        <v>0</v>
      </c>
      <c r="U97" s="16">
        <f>IFERROR(__xludf.DUMMYFUNCTION("""COMPUTED_VALUE"""),0.0)</f>
        <v>0</v>
      </c>
      <c r="V97" s="16">
        <f>IFERROR(__xludf.DUMMYFUNCTION("""COMPUTED_VALUE"""),0.0)</f>
        <v>0</v>
      </c>
      <c r="W97" s="16">
        <f>IFERROR(__xludf.DUMMYFUNCTION("""COMPUTED_VALUE"""),0.0)</f>
        <v>0</v>
      </c>
      <c r="X97" s="16">
        <f>IFERROR(__xludf.DUMMYFUNCTION("""COMPUTED_VALUE"""),0.0)</f>
        <v>0</v>
      </c>
      <c r="Y97" s="16">
        <f>IFERROR(__xludf.DUMMYFUNCTION("""COMPUTED_VALUE"""),0.0)</f>
        <v>0</v>
      </c>
      <c r="Z97" s="16">
        <f>IFERROR(__xludf.DUMMYFUNCTION("""COMPUTED_VALUE"""),0.0)</f>
        <v>0</v>
      </c>
      <c r="AA97" s="16">
        <f>IFERROR(__xludf.DUMMYFUNCTION("""COMPUTED_VALUE"""),0.0)</f>
        <v>0</v>
      </c>
      <c r="AB97" s="16">
        <f>IFERROR(__xludf.DUMMYFUNCTION("""COMPUTED_VALUE"""),0.0)</f>
        <v>0</v>
      </c>
      <c r="AC97" s="16">
        <f>IFERROR(__xludf.DUMMYFUNCTION("""COMPUTED_VALUE"""),0.0)</f>
        <v>0</v>
      </c>
      <c r="AD97" s="16">
        <f>IFERROR(__xludf.DUMMYFUNCTION("""COMPUTED_VALUE"""),0.0)</f>
        <v>0</v>
      </c>
      <c r="AE97" s="16">
        <f>IFERROR(__xludf.DUMMYFUNCTION("""COMPUTED_VALUE"""),0.0)</f>
        <v>0</v>
      </c>
      <c r="AF97" s="16">
        <f>IFERROR(__xludf.DUMMYFUNCTION("""COMPUTED_VALUE"""),0.0)</f>
        <v>0</v>
      </c>
      <c r="AG97" s="16">
        <f>IFERROR(__xludf.DUMMYFUNCTION("""COMPUTED_VALUE"""),0.0)</f>
        <v>0</v>
      </c>
      <c r="AH97" s="16">
        <f>IFERROR(__xludf.DUMMYFUNCTION("""COMPUTED_VALUE"""),0.0)</f>
        <v>0</v>
      </c>
    </row>
    <row r="98">
      <c r="A98" s="16" t="str">
        <f>IFERROR(__xludf.DUMMYFUNCTION("""COMPUTED_VALUE"""),"4e8fc1ec90ca0e70f873bdd45aea984fc56b5c89")</f>
        <v>4e8fc1ec90ca0e70f873bdd45aea984fc56b5c89</v>
      </c>
      <c r="B98" s="16" t="str">
        <f>IFERROR(__xludf.DUMMYFUNCTION("""COMPUTED_VALUE"""),"When Strangers Say I Do")</f>
        <v>When Strangers Say I Do</v>
      </c>
      <c r="C98" s="16" t="str">
        <f>IFERROR(__xludf.DUMMYFUNCTION("""COMPUTED_VALUE"""),"Drama")</f>
        <v>Drama</v>
      </c>
      <c r="D98" s="16">
        <f>IFERROR(__xludf.DUMMYFUNCTION("""COMPUTED_VALUE"""),166.0)</f>
        <v>166</v>
      </c>
      <c r="E98" s="16">
        <f>IFERROR(__xludf.DUMMYFUNCTION("""COMPUTED_VALUE"""),0.993975903614457)</f>
        <v>0.9939759036</v>
      </c>
      <c r="F98" s="16">
        <f>IFERROR(__xludf.DUMMYFUNCTION("""COMPUTED_VALUE"""),0.487951807228915)</f>
        <v>0.4879518072</v>
      </c>
      <c r="G98" s="16">
        <f>IFERROR(__xludf.DUMMYFUNCTION("""COMPUTED_VALUE"""),0.355421686746987)</f>
        <v>0.3554216867</v>
      </c>
      <c r="H98" s="16">
        <f>IFERROR(__xludf.DUMMYFUNCTION("""COMPUTED_VALUE"""),0.271084337349397)</f>
        <v>0.2710843373</v>
      </c>
      <c r="I98" s="16">
        <f>IFERROR(__xludf.DUMMYFUNCTION("""COMPUTED_VALUE"""),0.228915662650602)</f>
        <v>0.2289156627</v>
      </c>
      <c r="J98" s="16">
        <f>IFERROR(__xludf.DUMMYFUNCTION("""COMPUTED_VALUE"""),0.182926829268292)</f>
        <v>0.1829268293</v>
      </c>
      <c r="K98" s="16">
        <f>IFERROR(__xludf.DUMMYFUNCTION("""COMPUTED_VALUE"""),0.177914110429447)</f>
        <v>0.1779141104</v>
      </c>
      <c r="L98" s="16">
        <f>IFERROR(__xludf.DUMMYFUNCTION("""COMPUTED_VALUE"""),0.172839506172839)</f>
        <v>0.1728395062</v>
      </c>
      <c r="M98" s="16">
        <f>IFERROR(__xludf.DUMMYFUNCTION("""COMPUTED_VALUE"""),0.148148148148148)</f>
        <v>0.1481481481</v>
      </c>
      <c r="N98" s="16">
        <f>IFERROR(__xludf.DUMMYFUNCTION("""COMPUTED_VALUE"""),0.127388535031847)</f>
        <v>0.127388535</v>
      </c>
      <c r="O98" s="16">
        <f>IFERROR(__xludf.DUMMYFUNCTION("""COMPUTED_VALUE"""),0.0743243243243243)</f>
        <v>0.07432432432</v>
      </c>
      <c r="P98" s="16">
        <f>IFERROR(__xludf.DUMMYFUNCTION("""COMPUTED_VALUE"""),0.0212765957446808)</f>
        <v>0.02127659574</v>
      </c>
      <c r="Q98" s="16">
        <f>IFERROR(__xludf.DUMMYFUNCTION("""COMPUTED_VALUE"""),0.0)</f>
        <v>0</v>
      </c>
      <c r="R98" s="16">
        <f>IFERROR(__xludf.DUMMYFUNCTION("""COMPUTED_VALUE"""),0.0)</f>
        <v>0</v>
      </c>
      <c r="S98" s="16">
        <f>IFERROR(__xludf.DUMMYFUNCTION("""COMPUTED_VALUE"""),0.0)</f>
        <v>0</v>
      </c>
      <c r="T98" s="16">
        <f>IFERROR(__xludf.DUMMYFUNCTION("""COMPUTED_VALUE"""),0.0)</f>
        <v>0</v>
      </c>
      <c r="U98" s="16">
        <f>IFERROR(__xludf.DUMMYFUNCTION("""COMPUTED_VALUE"""),0.0)</f>
        <v>0</v>
      </c>
      <c r="V98" s="16">
        <f>IFERROR(__xludf.DUMMYFUNCTION("""COMPUTED_VALUE"""),0.0)</f>
        <v>0</v>
      </c>
      <c r="W98" s="16">
        <f>IFERROR(__xludf.DUMMYFUNCTION("""COMPUTED_VALUE"""),0.0)</f>
        <v>0</v>
      </c>
      <c r="X98" s="16">
        <f>IFERROR(__xludf.DUMMYFUNCTION("""COMPUTED_VALUE"""),0.0)</f>
        <v>0</v>
      </c>
      <c r="Y98" s="16">
        <f>IFERROR(__xludf.DUMMYFUNCTION("""COMPUTED_VALUE"""),0.0)</f>
        <v>0</v>
      </c>
      <c r="Z98" s="16">
        <f>IFERROR(__xludf.DUMMYFUNCTION("""COMPUTED_VALUE"""),0.0)</f>
        <v>0</v>
      </c>
      <c r="AA98" s="16">
        <f>IFERROR(__xludf.DUMMYFUNCTION("""COMPUTED_VALUE"""),0.0)</f>
        <v>0</v>
      </c>
      <c r="AB98" s="16">
        <f>IFERROR(__xludf.DUMMYFUNCTION("""COMPUTED_VALUE"""),0.0)</f>
        <v>0</v>
      </c>
      <c r="AC98" s="16">
        <f>IFERROR(__xludf.DUMMYFUNCTION("""COMPUTED_VALUE"""),0.0)</f>
        <v>0</v>
      </c>
      <c r="AD98" s="16">
        <f>IFERROR(__xludf.DUMMYFUNCTION("""COMPUTED_VALUE"""),0.0)</f>
        <v>0</v>
      </c>
      <c r="AE98" s="16">
        <f>IFERROR(__xludf.DUMMYFUNCTION("""COMPUTED_VALUE"""),0.0)</f>
        <v>0</v>
      </c>
      <c r="AF98" s="16">
        <f>IFERROR(__xludf.DUMMYFUNCTION("""COMPUTED_VALUE"""),0.0)</f>
        <v>0</v>
      </c>
      <c r="AG98" s="16">
        <f>IFERROR(__xludf.DUMMYFUNCTION("""COMPUTED_VALUE"""),0.0)</f>
        <v>0</v>
      </c>
      <c r="AH98" s="16">
        <f>IFERROR(__xludf.DUMMYFUNCTION("""COMPUTED_VALUE"""),0.0)</f>
        <v>0</v>
      </c>
    </row>
    <row r="99">
      <c r="A99" s="16" t="str">
        <f>IFERROR(__xludf.DUMMYFUNCTION("""COMPUTED_VALUE"""),"4ef829b74ddfb2f550d1c5ceb22a6d68f5936dff")</f>
        <v>4ef829b74ddfb2f550d1c5ceb22a6d68f5936dff</v>
      </c>
      <c r="B99" s="16" t="str">
        <f>IFERROR(__xludf.DUMMYFUNCTION("""COMPUTED_VALUE"""),"The Mad Alpha’s True Luna")</f>
        <v>The Mad Alpha’s True Luna</v>
      </c>
      <c r="C99" s="16" t="str">
        <f>IFERROR(__xludf.DUMMYFUNCTION("""COMPUTED_VALUE"""),"Romantasy")</f>
        <v>Romantasy</v>
      </c>
      <c r="D99" s="16">
        <f>IFERROR(__xludf.DUMMYFUNCTION("""COMPUTED_VALUE"""),47.0)</f>
        <v>47</v>
      </c>
      <c r="E99" s="16">
        <f>IFERROR(__xludf.DUMMYFUNCTION("""COMPUTED_VALUE"""),0.978723404255319)</f>
        <v>0.9787234043</v>
      </c>
      <c r="F99" s="16">
        <f>IFERROR(__xludf.DUMMYFUNCTION("""COMPUTED_VALUE"""),0.680851063829787)</f>
        <v>0.6808510638</v>
      </c>
      <c r="G99" s="16">
        <f>IFERROR(__xludf.DUMMYFUNCTION("""COMPUTED_VALUE"""),0.574468085106383)</f>
        <v>0.5744680851</v>
      </c>
      <c r="H99" s="16">
        <f>IFERROR(__xludf.DUMMYFUNCTION("""COMPUTED_VALUE"""),0.553191489361702)</f>
        <v>0.5531914894</v>
      </c>
      <c r="I99" s="16">
        <f>IFERROR(__xludf.DUMMYFUNCTION("""COMPUTED_VALUE"""),0.531914893617021)</f>
        <v>0.5319148936</v>
      </c>
      <c r="J99" s="16">
        <f>IFERROR(__xludf.DUMMYFUNCTION("""COMPUTED_VALUE"""),0.51063829787234)</f>
        <v>0.5106382979</v>
      </c>
      <c r="K99" s="16">
        <f>IFERROR(__xludf.DUMMYFUNCTION("""COMPUTED_VALUE"""),0.489361702127659)</f>
        <v>0.4893617021</v>
      </c>
      <c r="L99" s="16">
        <f>IFERROR(__xludf.DUMMYFUNCTION("""COMPUTED_VALUE"""),0.564102564102564)</f>
        <v>0.5641025641</v>
      </c>
      <c r="M99" s="16">
        <f>IFERROR(__xludf.DUMMYFUNCTION("""COMPUTED_VALUE"""),0.4)</f>
        <v>0.4</v>
      </c>
      <c r="N99" s="16">
        <f>IFERROR(__xludf.DUMMYFUNCTION("""COMPUTED_VALUE"""),0.444444444444444)</f>
        <v>0.4444444444</v>
      </c>
      <c r="O99" s="16">
        <f>IFERROR(__xludf.DUMMYFUNCTION("""COMPUTED_VALUE"""),0.166666666666666)</f>
        <v>0.1666666667</v>
      </c>
      <c r="P99" s="16">
        <f>IFERROR(__xludf.DUMMYFUNCTION("""COMPUTED_VALUE"""),0.166666666666666)</f>
        <v>0.1666666667</v>
      </c>
      <c r="Q99" s="16">
        <f>IFERROR(__xludf.DUMMYFUNCTION("""COMPUTED_VALUE"""),0.0)</f>
        <v>0</v>
      </c>
      <c r="R99" s="16">
        <f>IFERROR(__xludf.DUMMYFUNCTION("""COMPUTED_VALUE"""),0.0)</f>
        <v>0</v>
      </c>
      <c r="S99" s="16">
        <f>IFERROR(__xludf.DUMMYFUNCTION("""COMPUTED_VALUE"""),0.0)</f>
        <v>0</v>
      </c>
      <c r="T99" s="16">
        <f>IFERROR(__xludf.DUMMYFUNCTION("""COMPUTED_VALUE"""),0.0)</f>
        <v>0</v>
      </c>
      <c r="U99" s="16">
        <f>IFERROR(__xludf.DUMMYFUNCTION("""COMPUTED_VALUE"""),0.0)</f>
        <v>0</v>
      </c>
      <c r="V99" s="16">
        <f>IFERROR(__xludf.DUMMYFUNCTION("""COMPUTED_VALUE"""),0.0)</f>
        <v>0</v>
      </c>
      <c r="W99" s="16">
        <f>IFERROR(__xludf.DUMMYFUNCTION("""COMPUTED_VALUE"""),0.0)</f>
        <v>0</v>
      </c>
      <c r="X99" s="16">
        <f>IFERROR(__xludf.DUMMYFUNCTION("""COMPUTED_VALUE"""),0.0)</f>
        <v>0</v>
      </c>
      <c r="Y99" s="16">
        <f>IFERROR(__xludf.DUMMYFUNCTION("""COMPUTED_VALUE"""),0.0)</f>
        <v>0</v>
      </c>
      <c r="Z99" s="16">
        <f>IFERROR(__xludf.DUMMYFUNCTION("""COMPUTED_VALUE"""),0.0)</f>
        <v>0</v>
      </c>
      <c r="AA99" s="16">
        <f>IFERROR(__xludf.DUMMYFUNCTION("""COMPUTED_VALUE"""),0.0)</f>
        <v>0</v>
      </c>
      <c r="AB99" s="16">
        <f>IFERROR(__xludf.DUMMYFUNCTION("""COMPUTED_VALUE"""),0.0)</f>
        <v>0</v>
      </c>
      <c r="AC99" s="16">
        <f>IFERROR(__xludf.DUMMYFUNCTION("""COMPUTED_VALUE"""),0.0)</f>
        <v>0</v>
      </c>
      <c r="AD99" s="16">
        <f>IFERROR(__xludf.DUMMYFUNCTION("""COMPUTED_VALUE"""),0.0)</f>
        <v>0</v>
      </c>
      <c r="AE99" s="16">
        <f>IFERROR(__xludf.DUMMYFUNCTION("""COMPUTED_VALUE"""),0.0)</f>
        <v>0</v>
      </c>
      <c r="AF99" s="16">
        <f>IFERROR(__xludf.DUMMYFUNCTION("""COMPUTED_VALUE"""),0.0)</f>
        <v>0</v>
      </c>
      <c r="AG99" s="16">
        <f>IFERROR(__xludf.DUMMYFUNCTION("""COMPUTED_VALUE"""),0.0)</f>
        <v>0</v>
      </c>
      <c r="AH99" s="16">
        <f>IFERROR(__xludf.DUMMYFUNCTION("""COMPUTED_VALUE"""),0.0)</f>
        <v>0</v>
      </c>
    </row>
    <row r="100">
      <c r="A100" s="16" t="str">
        <f>IFERROR(__xludf.DUMMYFUNCTION("""COMPUTED_VALUE"""),"4fed71af64877bcaf79252f171bf022a3b80e926")</f>
        <v>4fed71af64877bcaf79252f171bf022a3b80e926</v>
      </c>
      <c r="B100" s="16" t="str">
        <f>IFERROR(__xludf.DUMMYFUNCTION("""COMPUTED_VALUE"""),"Doomsday Hoarder")</f>
        <v>Doomsday Hoarder</v>
      </c>
      <c r="C100" s="16" t="str">
        <f>IFERROR(__xludf.DUMMYFUNCTION("""COMPUTED_VALUE"""),"Fantasy")</f>
        <v>Fantasy</v>
      </c>
      <c r="D100" s="16">
        <f>IFERROR(__xludf.DUMMYFUNCTION("""COMPUTED_VALUE"""),17.0)</f>
        <v>17</v>
      </c>
      <c r="E100" s="16">
        <f>IFERROR(__xludf.DUMMYFUNCTION("""COMPUTED_VALUE"""),1.0)</f>
        <v>1</v>
      </c>
      <c r="F100" s="16">
        <f>IFERROR(__xludf.DUMMYFUNCTION("""COMPUTED_VALUE"""),0.647058823529411)</f>
        <v>0.6470588235</v>
      </c>
      <c r="G100" s="16">
        <f>IFERROR(__xludf.DUMMYFUNCTION("""COMPUTED_VALUE"""),0.588235294117647)</f>
        <v>0.5882352941</v>
      </c>
      <c r="H100" s="16">
        <f>IFERROR(__xludf.DUMMYFUNCTION("""COMPUTED_VALUE"""),0.588235294117647)</f>
        <v>0.5882352941</v>
      </c>
      <c r="I100" s="16">
        <f>IFERROR(__xludf.DUMMYFUNCTION("""COMPUTED_VALUE"""),0.588235294117647)</f>
        <v>0.5882352941</v>
      </c>
      <c r="J100" s="16">
        <f>IFERROR(__xludf.DUMMYFUNCTION("""COMPUTED_VALUE"""),0.588235294117647)</f>
        <v>0.5882352941</v>
      </c>
      <c r="K100" s="16">
        <f>IFERROR(__xludf.DUMMYFUNCTION("""COMPUTED_VALUE"""),0.588235294117647)</f>
        <v>0.5882352941</v>
      </c>
      <c r="L100" s="16">
        <f>IFERROR(__xludf.DUMMYFUNCTION("""COMPUTED_VALUE"""),0.529411764705882)</f>
        <v>0.5294117647</v>
      </c>
      <c r="M100" s="16">
        <f>IFERROR(__xludf.DUMMYFUNCTION("""COMPUTED_VALUE"""),0.529411764705882)</f>
        <v>0.5294117647</v>
      </c>
      <c r="N100" s="16">
        <f>IFERROR(__xludf.DUMMYFUNCTION("""COMPUTED_VALUE"""),0.470588235294117)</f>
        <v>0.4705882353</v>
      </c>
      <c r="O100" s="16">
        <f>IFERROR(__xludf.DUMMYFUNCTION("""COMPUTED_VALUE"""),0.352941176470588)</f>
        <v>0.3529411765</v>
      </c>
      <c r="P100" s="16">
        <f>IFERROR(__xludf.DUMMYFUNCTION("""COMPUTED_VALUE"""),0.352941176470588)</f>
        <v>0.3529411765</v>
      </c>
      <c r="Q100" s="16">
        <f>IFERROR(__xludf.DUMMYFUNCTION("""COMPUTED_VALUE"""),0.235294117647058)</f>
        <v>0.2352941176</v>
      </c>
      <c r="R100" s="16">
        <f>IFERROR(__xludf.DUMMYFUNCTION("""COMPUTED_VALUE"""),0.0)</f>
        <v>0</v>
      </c>
      <c r="S100" s="16">
        <f>IFERROR(__xludf.DUMMYFUNCTION("""COMPUTED_VALUE"""),0.0)</f>
        <v>0</v>
      </c>
      <c r="T100" s="16">
        <f>IFERROR(__xludf.DUMMYFUNCTION("""COMPUTED_VALUE"""),0.0)</f>
        <v>0</v>
      </c>
      <c r="U100" s="16">
        <f>IFERROR(__xludf.DUMMYFUNCTION("""COMPUTED_VALUE"""),0.0)</f>
        <v>0</v>
      </c>
      <c r="V100" s="16">
        <f>IFERROR(__xludf.DUMMYFUNCTION("""COMPUTED_VALUE"""),0.0)</f>
        <v>0</v>
      </c>
      <c r="W100" s="16">
        <f>IFERROR(__xludf.DUMMYFUNCTION("""COMPUTED_VALUE"""),0.0)</f>
        <v>0</v>
      </c>
      <c r="X100" s="16">
        <f>IFERROR(__xludf.DUMMYFUNCTION("""COMPUTED_VALUE"""),0.0)</f>
        <v>0</v>
      </c>
      <c r="Y100" s="16">
        <f>IFERROR(__xludf.DUMMYFUNCTION("""COMPUTED_VALUE"""),0.0)</f>
        <v>0</v>
      </c>
      <c r="Z100" s="16">
        <f>IFERROR(__xludf.DUMMYFUNCTION("""COMPUTED_VALUE"""),0.0)</f>
        <v>0</v>
      </c>
      <c r="AA100" s="16">
        <f>IFERROR(__xludf.DUMMYFUNCTION("""COMPUTED_VALUE"""),0.0)</f>
        <v>0</v>
      </c>
      <c r="AB100" s="16">
        <f>IFERROR(__xludf.DUMMYFUNCTION("""COMPUTED_VALUE"""),0.0)</f>
        <v>0</v>
      </c>
      <c r="AC100" s="16">
        <f>IFERROR(__xludf.DUMMYFUNCTION("""COMPUTED_VALUE"""),0.0)</f>
        <v>0</v>
      </c>
      <c r="AD100" s="16">
        <f>IFERROR(__xludf.DUMMYFUNCTION("""COMPUTED_VALUE"""),0.0)</f>
        <v>0</v>
      </c>
      <c r="AE100" s="16">
        <f>IFERROR(__xludf.DUMMYFUNCTION("""COMPUTED_VALUE"""),0.0)</f>
        <v>0</v>
      </c>
      <c r="AF100" s="16">
        <f>IFERROR(__xludf.DUMMYFUNCTION("""COMPUTED_VALUE"""),0.0)</f>
        <v>0</v>
      </c>
      <c r="AG100" s="16">
        <f>IFERROR(__xludf.DUMMYFUNCTION("""COMPUTED_VALUE"""),0.0)</f>
        <v>0</v>
      </c>
      <c r="AH100" s="16">
        <f>IFERROR(__xludf.DUMMYFUNCTION("""COMPUTED_VALUE"""),0.0)</f>
        <v>0</v>
      </c>
    </row>
    <row r="101">
      <c r="A101" s="16" t="str">
        <f>IFERROR(__xludf.DUMMYFUNCTION("""COMPUTED_VALUE"""),"514efd834428337923e640a1254ea9d7477b18b3")</f>
        <v>514efd834428337923e640a1254ea9d7477b18b3</v>
      </c>
      <c r="B101" s="16" t="str">
        <f>IFERROR(__xludf.DUMMYFUNCTION("""COMPUTED_VALUE"""),"Bride of a Dragon")</f>
        <v>Bride of a Dragon</v>
      </c>
      <c r="C101" s="16" t="str">
        <f>IFERROR(__xludf.DUMMYFUNCTION("""COMPUTED_VALUE"""),"Romantasy")</f>
        <v>Romantasy</v>
      </c>
      <c r="D101" s="16">
        <f>IFERROR(__xludf.DUMMYFUNCTION("""COMPUTED_VALUE"""),369.0)</f>
        <v>369</v>
      </c>
      <c r="E101" s="16">
        <f>IFERROR(__xludf.DUMMYFUNCTION("""COMPUTED_VALUE"""),0.959349593495935)</f>
        <v>0.9593495935</v>
      </c>
      <c r="F101" s="16">
        <f>IFERROR(__xludf.DUMMYFUNCTION("""COMPUTED_VALUE"""),0.607046070460704)</f>
        <v>0.6070460705</v>
      </c>
      <c r="G101" s="16">
        <f>IFERROR(__xludf.DUMMYFUNCTION("""COMPUTED_VALUE"""),0.56910569105691)</f>
        <v>0.5691056911</v>
      </c>
      <c r="H101" s="16">
        <f>IFERROR(__xludf.DUMMYFUNCTION("""COMPUTED_VALUE"""),0.525745257452574)</f>
        <v>0.5257452575</v>
      </c>
      <c r="I101" s="16">
        <f>IFERROR(__xludf.DUMMYFUNCTION("""COMPUTED_VALUE"""),0.490514905149051)</f>
        <v>0.4905149051</v>
      </c>
      <c r="J101" s="16">
        <f>IFERROR(__xludf.DUMMYFUNCTION("""COMPUTED_VALUE"""),0.457994579945799)</f>
        <v>0.4579945799</v>
      </c>
      <c r="K101" s="16">
        <f>IFERROR(__xludf.DUMMYFUNCTION("""COMPUTED_VALUE"""),0.445652173913043)</f>
        <v>0.4456521739</v>
      </c>
      <c r="L101" s="16">
        <f>IFERROR(__xludf.DUMMYFUNCTION("""COMPUTED_VALUE"""),0.423497267759562)</f>
        <v>0.4234972678</v>
      </c>
      <c r="M101" s="16">
        <f>IFERROR(__xludf.DUMMYFUNCTION("""COMPUTED_VALUE"""),0.408219178082191)</f>
        <v>0.4082191781</v>
      </c>
      <c r="N101" s="16">
        <f>IFERROR(__xludf.DUMMYFUNCTION("""COMPUTED_VALUE"""),0.403846153846153)</f>
        <v>0.4038461538</v>
      </c>
      <c r="O101" s="16">
        <f>IFERROR(__xludf.DUMMYFUNCTION("""COMPUTED_VALUE"""),0.35)</f>
        <v>0.35</v>
      </c>
      <c r="P101" s="16">
        <f>IFERROR(__xludf.DUMMYFUNCTION("""COMPUTED_VALUE"""),0.338935574229691)</f>
        <v>0.3389355742</v>
      </c>
      <c r="Q101" s="16">
        <f>IFERROR(__xludf.DUMMYFUNCTION("""COMPUTED_VALUE"""),0.307971014492753)</f>
        <v>0.3079710145</v>
      </c>
      <c r="R101" s="16">
        <f>IFERROR(__xludf.DUMMYFUNCTION("""COMPUTED_VALUE"""),0.414285714285714)</f>
        <v>0.4142857143</v>
      </c>
      <c r="S101" s="16">
        <f>IFERROR(__xludf.DUMMYFUNCTION("""COMPUTED_VALUE"""),0.387096774193548)</f>
        <v>0.3870967742</v>
      </c>
      <c r="T101" s="16">
        <f>IFERROR(__xludf.DUMMYFUNCTION("""COMPUTED_VALUE"""),0.241379310344827)</f>
        <v>0.2413793103</v>
      </c>
      <c r="U101" s="16">
        <f>IFERROR(__xludf.DUMMYFUNCTION("""COMPUTED_VALUE"""),0.0)</f>
        <v>0</v>
      </c>
      <c r="V101" s="16">
        <f>IFERROR(__xludf.DUMMYFUNCTION("""COMPUTED_VALUE"""),0.0)</f>
        <v>0</v>
      </c>
      <c r="W101" s="16">
        <f>IFERROR(__xludf.DUMMYFUNCTION("""COMPUTED_VALUE"""),0.0)</f>
        <v>0</v>
      </c>
      <c r="X101" s="16">
        <f>IFERROR(__xludf.DUMMYFUNCTION("""COMPUTED_VALUE"""),0.0)</f>
        <v>0</v>
      </c>
      <c r="Y101" s="16">
        <f>IFERROR(__xludf.DUMMYFUNCTION("""COMPUTED_VALUE"""),0.0)</f>
        <v>0</v>
      </c>
      <c r="Z101" s="16">
        <f>IFERROR(__xludf.DUMMYFUNCTION("""COMPUTED_VALUE"""),0.0)</f>
        <v>0</v>
      </c>
      <c r="AA101" s="16">
        <f>IFERROR(__xludf.DUMMYFUNCTION("""COMPUTED_VALUE"""),0.0)</f>
        <v>0</v>
      </c>
      <c r="AB101" s="16">
        <f>IFERROR(__xludf.DUMMYFUNCTION("""COMPUTED_VALUE"""),0.0)</f>
        <v>0</v>
      </c>
      <c r="AC101" s="16">
        <f>IFERROR(__xludf.DUMMYFUNCTION("""COMPUTED_VALUE"""),0.0)</f>
        <v>0</v>
      </c>
      <c r="AD101" s="16">
        <f>IFERROR(__xludf.DUMMYFUNCTION("""COMPUTED_VALUE"""),0.0)</f>
        <v>0</v>
      </c>
      <c r="AE101" s="16">
        <f>IFERROR(__xludf.DUMMYFUNCTION("""COMPUTED_VALUE"""),0.0)</f>
        <v>0</v>
      </c>
      <c r="AF101" s="16">
        <f>IFERROR(__xludf.DUMMYFUNCTION("""COMPUTED_VALUE"""),0.0)</f>
        <v>0</v>
      </c>
      <c r="AG101" s="16">
        <f>IFERROR(__xludf.DUMMYFUNCTION("""COMPUTED_VALUE"""),0.0)</f>
        <v>0</v>
      </c>
      <c r="AH101" s="16">
        <f>IFERROR(__xludf.DUMMYFUNCTION("""COMPUTED_VALUE"""),0.0)</f>
        <v>0</v>
      </c>
    </row>
    <row r="102">
      <c r="A102" s="16" t="str">
        <f>IFERROR(__xludf.DUMMYFUNCTION("""COMPUTED_VALUE"""),"5269f35d5665dd7c25aa81eac9fa9e452b693897")</f>
        <v>5269f35d5665dd7c25aa81eac9fa9e452b693897</v>
      </c>
      <c r="B102" s="16" t="str">
        <f>IFERROR(__xludf.DUMMYFUNCTION("""COMPUTED_VALUE"""),"Her Royal Vampire")</f>
        <v>Her Royal Vampire</v>
      </c>
      <c r="C102" s="16" t="str">
        <f>IFERROR(__xludf.DUMMYFUNCTION("""COMPUTED_VALUE"""),"Romantasy")</f>
        <v>Romantasy</v>
      </c>
      <c r="D102" s="16">
        <f>IFERROR(__xludf.DUMMYFUNCTION("""COMPUTED_VALUE"""),107.0)</f>
        <v>107</v>
      </c>
      <c r="E102" s="16">
        <f>IFERROR(__xludf.DUMMYFUNCTION("""COMPUTED_VALUE"""),0.943925233644859)</f>
        <v>0.9439252336</v>
      </c>
      <c r="F102" s="16">
        <f>IFERROR(__xludf.DUMMYFUNCTION("""COMPUTED_VALUE"""),0.560747663551401)</f>
        <v>0.5607476636</v>
      </c>
      <c r="G102" s="16">
        <f>IFERROR(__xludf.DUMMYFUNCTION("""COMPUTED_VALUE"""),0.495327102803738)</f>
        <v>0.4953271028</v>
      </c>
      <c r="H102" s="16">
        <f>IFERROR(__xludf.DUMMYFUNCTION("""COMPUTED_VALUE"""),0.429906542056074)</f>
        <v>0.4299065421</v>
      </c>
      <c r="I102" s="16">
        <f>IFERROR(__xludf.DUMMYFUNCTION("""COMPUTED_VALUE"""),0.411214953271028)</f>
        <v>0.4112149533</v>
      </c>
      <c r="J102" s="16">
        <f>IFERROR(__xludf.DUMMYFUNCTION("""COMPUTED_VALUE"""),0.373831775700934)</f>
        <v>0.3738317757</v>
      </c>
      <c r="K102" s="16">
        <f>IFERROR(__xludf.DUMMYFUNCTION("""COMPUTED_VALUE"""),0.364485981308411)</f>
        <v>0.3644859813</v>
      </c>
      <c r="L102" s="16">
        <f>IFERROR(__xludf.DUMMYFUNCTION("""COMPUTED_VALUE"""),0.327102803738317)</f>
        <v>0.3271028037</v>
      </c>
      <c r="M102" s="16">
        <f>IFERROR(__xludf.DUMMYFUNCTION("""COMPUTED_VALUE"""),0.327102803738317)</f>
        <v>0.3271028037</v>
      </c>
      <c r="N102" s="16">
        <f>IFERROR(__xludf.DUMMYFUNCTION("""COMPUTED_VALUE"""),0.308411214953271)</f>
        <v>0.308411215</v>
      </c>
      <c r="O102" s="16">
        <f>IFERROR(__xludf.DUMMYFUNCTION("""COMPUTED_VALUE"""),0.233009708737864)</f>
        <v>0.2330097087</v>
      </c>
      <c r="P102" s="16">
        <f>IFERROR(__xludf.DUMMYFUNCTION("""COMPUTED_VALUE"""),0.191919191919191)</f>
        <v>0.1919191919</v>
      </c>
      <c r="Q102" s="16">
        <f>IFERROR(__xludf.DUMMYFUNCTION("""COMPUTED_VALUE"""),0.212121212121212)</f>
        <v>0.2121212121</v>
      </c>
      <c r="R102" s="16">
        <f>IFERROR(__xludf.DUMMYFUNCTION("""COMPUTED_VALUE"""),0.186440677966101)</f>
        <v>0.186440678</v>
      </c>
      <c r="S102" s="16">
        <f>IFERROR(__xludf.DUMMYFUNCTION("""COMPUTED_VALUE"""),0.0666666666666666)</f>
        <v>0.06666666667</v>
      </c>
      <c r="T102" s="16">
        <f>IFERROR(__xludf.DUMMYFUNCTION("""COMPUTED_VALUE"""),0.0714285714285714)</f>
        <v>0.07142857143</v>
      </c>
      <c r="U102" s="16">
        <f>IFERROR(__xludf.DUMMYFUNCTION("""COMPUTED_VALUE"""),0.0)</f>
        <v>0</v>
      </c>
      <c r="V102" s="16">
        <f>IFERROR(__xludf.DUMMYFUNCTION("""COMPUTED_VALUE"""),0.0)</f>
        <v>0</v>
      </c>
      <c r="W102" s="16">
        <f>IFERROR(__xludf.DUMMYFUNCTION("""COMPUTED_VALUE"""),0.0)</f>
        <v>0</v>
      </c>
      <c r="X102" s="16">
        <f>IFERROR(__xludf.DUMMYFUNCTION("""COMPUTED_VALUE"""),0.0)</f>
        <v>0</v>
      </c>
      <c r="Y102" s="16">
        <f>IFERROR(__xludf.DUMMYFUNCTION("""COMPUTED_VALUE"""),0.0)</f>
        <v>0</v>
      </c>
      <c r="Z102" s="16">
        <f>IFERROR(__xludf.DUMMYFUNCTION("""COMPUTED_VALUE"""),0.0)</f>
        <v>0</v>
      </c>
      <c r="AA102" s="16">
        <f>IFERROR(__xludf.DUMMYFUNCTION("""COMPUTED_VALUE"""),0.0)</f>
        <v>0</v>
      </c>
      <c r="AB102" s="16">
        <f>IFERROR(__xludf.DUMMYFUNCTION("""COMPUTED_VALUE"""),0.0)</f>
        <v>0</v>
      </c>
      <c r="AC102" s="16">
        <f>IFERROR(__xludf.DUMMYFUNCTION("""COMPUTED_VALUE"""),0.0)</f>
        <v>0</v>
      </c>
      <c r="AD102" s="16">
        <f>IFERROR(__xludf.DUMMYFUNCTION("""COMPUTED_VALUE"""),0.0)</f>
        <v>0</v>
      </c>
      <c r="AE102" s="16">
        <f>IFERROR(__xludf.DUMMYFUNCTION("""COMPUTED_VALUE"""),0.0)</f>
        <v>0</v>
      </c>
      <c r="AF102" s="16">
        <f>IFERROR(__xludf.DUMMYFUNCTION("""COMPUTED_VALUE"""),0.0)</f>
        <v>0</v>
      </c>
      <c r="AG102" s="16">
        <f>IFERROR(__xludf.DUMMYFUNCTION("""COMPUTED_VALUE"""),0.0)</f>
        <v>0</v>
      </c>
      <c r="AH102" s="16">
        <f>IFERROR(__xludf.DUMMYFUNCTION("""COMPUTED_VALUE"""),0.0)</f>
        <v>0</v>
      </c>
    </row>
    <row r="103">
      <c r="A103" s="16" t="str">
        <f>IFERROR(__xludf.DUMMYFUNCTION("""COMPUTED_VALUE"""),"5276da779c8fe48836102d34eea2143d4421865c")</f>
        <v>5276da779c8fe48836102d34eea2143d4421865c</v>
      </c>
      <c r="B103" s="16" t="str">
        <f>IFERROR(__xludf.DUMMYFUNCTION("""COMPUTED_VALUE"""),"The Single Father's Surrender")</f>
        <v>The Single Father's Surrender</v>
      </c>
      <c r="C103" s="16" t="str">
        <f>IFERROR(__xludf.DUMMYFUNCTION("""COMPUTED_VALUE"""),"Romance")</f>
        <v>Romance</v>
      </c>
      <c r="D103" s="16">
        <f>IFERROR(__xludf.DUMMYFUNCTION("""COMPUTED_VALUE"""),46.0)</f>
        <v>46</v>
      </c>
      <c r="E103" s="16">
        <f>IFERROR(__xludf.DUMMYFUNCTION("""COMPUTED_VALUE"""),0.978260869565217)</f>
        <v>0.9782608696</v>
      </c>
      <c r="F103" s="16">
        <f>IFERROR(__xludf.DUMMYFUNCTION("""COMPUTED_VALUE"""),0.695652173913043)</f>
        <v>0.6956521739</v>
      </c>
      <c r="G103" s="16">
        <f>IFERROR(__xludf.DUMMYFUNCTION("""COMPUTED_VALUE"""),0.565217391304347)</f>
        <v>0.5652173913</v>
      </c>
      <c r="H103" s="16">
        <f>IFERROR(__xludf.DUMMYFUNCTION("""COMPUTED_VALUE"""),0.565217391304347)</f>
        <v>0.5652173913</v>
      </c>
      <c r="I103" s="16">
        <f>IFERROR(__xludf.DUMMYFUNCTION("""COMPUTED_VALUE"""),0.521739130434782)</f>
        <v>0.5217391304</v>
      </c>
      <c r="J103" s="16">
        <f>IFERROR(__xludf.DUMMYFUNCTION("""COMPUTED_VALUE"""),0.521739130434782)</f>
        <v>0.5217391304</v>
      </c>
      <c r="K103" s="16">
        <f>IFERROR(__xludf.DUMMYFUNCTION("""COMPUTED_VALUE"""),0.5)</f>
        <v>0.5</v>
      </c>
      <c r="L103" s="16">
        <f>IFERROR(__xludf.DUMMYFUNCTION("""COMPUTED_VALUE"""),0.5)</f>
        <v>0.5</v>
      </c>
      <c r="M103" s="16">
        <f>IFERROR(__xludf.DUMMYFUNCTION("""COMPUTED_VALUE"""),0.5)</f>
        <v>0.5</v>
      </c>
      <c r="N103" s="16">
        <f>IFERROR(__xludf.DUMMYFUNCTION("""COMPUTED_VALUE"""),0.465116279069767)</f>
        <v>0.4651162791</v>
      </c>
      <c r="O103" s="16">
        <f>IFERROR(__xludf.DUMMYFUNCTION("""COMPUTED_VALUE"""),0.216216216216216)</f>
        <v>0.2162162162</v>
      </c>
      <c r="P103" s="16">
        <f>IFERROR(__xludf.DUMMYFUNCTION("""COMPUTED_VALUE"""),0.5)</f>
        <v>0.5</v>
      </c>
      <c r="Q103" s="16">
        <f>IFERROR(__xludf.DUMMYFUNCTION("""COMPUTED_VALUE"""),0.5)</f>
        <v>0.5</v>
      </c>
      <c r="R103" s="16">
        <f>IFERROR(__xludf.DUMMYFUNCTION("""COMPUTED_VALUE"""),0.0)</f>
        <v>0</v>
      </c>
      <c r="S103" s="16">
        <f>IFERROR(__xludf.DUMMYFUNCTION("""COMPUTED_VALUE"""),0.0)</f>
        <v>0</v>
      </c>
      <c r="T103" s="16">
        <f>IFERROR(__xludf.DUMMYFUNCTION("""COMPUTED_VALUE"""),0.0)</f>
        <v>0</v>
      </c>
      <c r="U103" s="16">
        <f>IFERROR(__xludf.DUMMYFUNCTION("""COMPUTED_VALUE"""),0.0)</f>
        <v>0</v>
      </c>
      <c r="V103" s="16">
        <f>IFERROR(__xludf.DUMMYFUNCTION("""COMPUTED_VALUE"""),0.0)</f>
        <v>0</v>
      </c>
      <c r="W103" s="16">
        <f>IFERROR(__xludf.DUMMYFUNCTION("""COMPUTED_VALUE"""),0.0)</f>
        <v>0</v>
      </c>
      <c r="X103" s="16">
        <f>IFERROR(__xludf.DUMMYFUNCTION("""COMPUTED_VALUE"""),0.0)</f>
        <v>0</v>
      </c>
      <c r="Y103" s="16">
        <f>IFERROR(__xludf.DUMMYFUNCTION("""COMPUTED_VALUE"""),0.0)</f>
        <v>0</v>
      </c>
      <c r="Z103" s="16">
        <f>IFERROR(__xludf.DUMMYFUNCTION("""COMPUTED_VALUE"""),0.0)</f>
        <v>0</v>
      </c>
      <c r="AA103" s="16">
        <f>IFERROR(__xludf.DUMMYFUNCTION("""COMPUTED_VALUE"""),0.0)</f>
        <v>0</v>
      </c>
      <c r="AB103" s="16">
        <f>IFERROR(__xludf.DUMMYFUNCTION("""COMPUTED_VALUE"""),0.0)</f>
        <v>0</v>
      </c>
      <c r="AC103" s="16">
        <f>IFERROR(__xludf.DUMMYFUNCTION("""COMPUTED_VALUE"""),0.0)</f>
        <v>0</v>
      </c>
      <c r="AD103" s="16">
        <f>IFERROR(__xludf.DUMMYFUNCTION("""COMPUTED_VALUE"""),0.0)</f>
        <v>0</v>
      </c>
      <c r="AE103" s="16">
        <f>IFERROR(__xludf.DUMMYFUNCTION("""COMPUTED_VALUE"""),0.0)</f>
        <v>0</v>
      </c>
      <c r="AF103" s="16">
        <f>IFERROR(__xludf.DUMMYFUNCTION("""COMPUTED_VALUE"""),0.0)</f>
        <v>0</v>
      </c>
      <c r="AG103" s="16">
        <f>IFERROR(__xludf.DUMMYFUNCTION("""COMPUTED_VALUE"""),0.0)</f>
        <v>0</v>
      </c>
      <c r="AH103" s="16">
        <f>IFERROR(__xludf.DUMMYFUNCTION("""COMPUTED_VALUE"""),0.0)</f>
        <v>0</v>
      </c>
    </row>
    <row r="104">
      <c r="A104" s="16" t="str">
        <f>IFERROR(__xludf.DUMMYFUNCTION("""COMPUTED_VALUE"""),"53bd90147df4228136243c0a218345e3a338b8c1")</f>
        <v>53bd90147df4228136243c0a218345e3a338b8c1</v>
      </c>
      <c r="B104" s="16" t="str">
        <f>IFERROR(__xludf.DUMMYFUNCTION("""COMPUTED_VALUE"""),"His Abandoned Wife")</f>
        <v>His Abandoned Wife</v>
      </c>
      <c r="C104" s="16" t="str">
        <f>IFERROR(__xludf.DUMMYFUNCTION("""COMPUTED_VALUE"""),"Romance")</f>
        <v>Romance</v>
      </c>
      <c r="D104" s="16">
        <f>IFERROR(__xludf.DUMMYFUNCTION("""COMPUTED_VALUE"""),3.0)</f>
        <v>3</v>
      </c>
      <c r="E104" s="16">
        <f>IFERROR(__xludf.DUMMYFUNCTION("""COMPUTED_VALUE"""),1.0)</f>
        <v>1</v>
      </c>
      <c r="F104" s="16">
        <f>IFERROR(__xludf.DUMMYFUNCTION("""COMPUTED_VALUE"""),0.666666666666666)</f>
        <v>0.6666666667</v>
      </c>
      <c r="G104" s="16">
        <f>IFERROR(__xludf.DUMMYFUNCTION("""COMPUTED_VALUE"""),0.666666666666666)</f>
        <v>0.6666666667</v>
      </c>
      <c r="H104" s="16">
        <f>IFERROR(__xludf.DUMMYFUNCTION("""COMPUTED_VALUE"""),0.666666666666666)</f>
        <v>0.6666666667</v>
      </c>
      <c r="I104" s="16">
        <f>IFERROR(__xludf.DUMMYFUNCTION("""COMPUTED_VALUE"""),0.666666666666666)</f>
        <v>0.6666666667</v>
      </c>
      <c r="J104" s="16">
        <f>IFERROR(__xludf.DUMMYFUNCTION("""COMPUTED_VALUE"""),0.666666666666666)</f>
        <v>0.6666666667</v>
      </c>
      <c r="K104" s="16">
        <f>IFERROR(__xludf.DUMMYFUNCTION("""COMPUTED_VALUE"""),0.666666666666666)</f>
        <v>0.6666666667</v>
      </c>
      <c r="L104" s="16">
        <f>IFERROR(__xludf.DUMMYFUNCTION("""COMPUTED_VALUE"""),0.5)</f>
        <v>0.5</v>
      </c>
      <c r="M104" s="16">
        <f>IFERROR(__xludf.DUMMYFUNCTION("""COMPUTED_VALUE"""),0.5)</f>
        <v>0.5</v>
      </c>
      <c r="N104" s="16">
        <f>IFERROR(__xludf.DUMMYFUNCTION("""COMPUTED_VALUE"""),0.0)</f>
        <v>0</v>
      </c>
      <c r="O104" s="16">
        <f>IFERROR(__xludf.DUMMYFUNCTION("""COMPUTED_VALUE"""),0.0)</f>
        <v>0</v>
      </c>
      <c r="P104" s="16">
        <f>IFERROR(__xludf.DUMMYFUNCTION("""COMPUTED_VALUE"""),0.0)</f>
        <v>0</v>
      </c>
      <c r="Q104" s="16">
        <f>IFERROR(__xludf.DUMMYFUNCTION("""COMPUTED_VALUE"""),0.0)</f>
        <v>0</v>
      </c>
      <c r="R104" s="16">
        <f>IFERROR(__xludf.DUMMYFUNCTION("""COMPUTED_VALUE"""),0.0)</f>
        <v>0</v>
      </c>
      <c r="S104" s="16">
        <f>IFERROR(__xludf.DUMMYFUNCTION("""COMPUTED_VALUE"""),0.0)</f>
        <v>0</v>
      </c>
      <c r="T104" s="16">
        <f>IFERROR(__xludf.DUMMYFUNCTION("""COMPUTED_VALUE"""),0.0)</f>
        <v>0</v>
      </c>
      <c r="U104" s="16">
        <f>IFERROR(__xludf.DUMMYFUNCTION("""COMPUTED_VALUE"""),0.0)</f>
        <v>0</v>
      </c>
      <c r="V104" s="16">
        <f>IFERROR(__xludf.DUMMYFUNCTION("""COMPUTED_VALUE"""),0.0)</f>
        <v>0</v>
      </c>
      <c r="W104" s="16">
        <f>IFERROR(__xludf.DUMMYFUNCTION("""COMPUTED_VALUE"""),0.0)</f>
        <v>0</v>
      </c>
      <c r="X104" s="16">
        <f>IFERROR(__xludf.DUMMYFUNCTION("""COMPUTED_VALUE"""),0.0)</f>
        <v>0</v>
      </c>
      <c r="Y104" s="16">
        <f>IFERROR(__xludf.DUMMYFUNCTION("""COMPUTED_VALUE"""),0.0)</f>
        <v>0</v>
      </c>
      <c r="Z104" s="16">
        <f>IFERROR(__xludf.DUMMYFUNCTION("""COMPUTED_VALUE"""),0.0)</f>
        <v>0</v>
      </c>
      <c r="AA104" s="16">
        <f>IFERROR(__xludf.DUMMYFUNCTION("""COMPUTED_VALUE"""),0.0)</f>
        <v>0</v>
      </c>
      <c r="AB104" s="16">
        <f>IFERROR(__xludf.DUMMYFUNCTION("""COMPUTED_VALUE"""),0.0)</f>
        <v>0</v>
      </c>
      <c r="AC104" s="16">
        <f>IFERROR(__xludf.DUMMYFUNCTION("""COMPUTED_VALUE"""),0.0)</f>
        <v>0</v>
      </c>
      <c r="AD104" s="16">
        <f>IFERROR(__xludf.DUMMYFUNCTION("""COMPUTED_VALUE"""),0.0)</f>
        <v>0</v>
      </c>
      <c r="AE104" s="16">
        <f>IFERROR(__xludf.DUMMYFUNCTION("""COMPUTED_VALUE"""),0.0)</f>
        <v>0</v>
      </c>
      <c r="AF104" s="16">
        <f>IFERROR(__xludf.DUMMYFUNCTION("""COMPUTED_VALUE"""),0.0)</f>
        <v>0</v>
      </c>
      <c r="AG104" s="16">
        <f>IFERROR(__xludf.DUMMYFUNCTION("""COMPUTED_VALUE"""),0.0)</f>
        <v>0</v>
      </c>
      <c r="AH104" s="16">
        <f>IFERROR(__xludf.DUMMYFUNCTION("""COMPUTED_VALUE"""),0.0)</f>
        <v>0</v>
      </c>
    </row>
    <row r="105">
      <c r="A105" s="16" t="str">
        <f>IFERROR(__xludf.DUMMYFUNCTION("""COMPUTED_VALUE"""),"54a2cb963cd2e93491b9f03d9cf379ed72d3271f")</f>
        <v>54a2cb963cd2e93491b9f03d9cf379ed72d3271f</v>
      </c>
      <c r="B105" s="16" t="str">
        <f>IFERROR(__xludf.DUMMYFUNCTION("""COMPUTED_VALUE"""),"The One He Can't Break")</f>
        <v>The One He Can't Break</v>
      </c>
      <c r="C105" s="16" t="str">
        <f>IFERROR(__xludf.DUMMYFUNCTION("""COMPUTED_VALUE"""),"Romance")</f>
        <v>Romance</v>
      </c>
      <c r="D105" s="16">
        <f>IFERROR(__xludf.DUMMYFUNCTION("""COMPUTED_VALUE"""),63.0)</f>
        <v>63</v>
      </c>
      <c r="E105" s="16">
        <f>IFERROR(__xludf.DUMMYFUNCTION("""COMPUTED_VALUE"""),0.936507936507936)</f>
        <v>0.9365079365</v>
      </c>
      <c r="F105" s="16">
        <f>IFERROR(__xludf.DUMMYFUNCTION("""COMPUTED_VALUE"""),0.587301587301587)</f>
        <v>0.5873015873</v>
      </c>
      <c r="G105" s="16">
        <f>IFERROR(__xludf.DUMMYFUNCTION("""COMPUTED_VALUE"""),0.507936507936507)</f>
        <v>0.5079365079</v>
      </c>
      <c r="H105" s="16">
        <f>IFERROR(__xludf.DUMMYFUNCTION("""COMPUTED_VALUE"""),0.492063492063492)</f>
        <v>0.4920634921</v>
      </c>
      <c r="I105" s="16">
        <f>IFERROR(__xludf.DUMMYFUNCTION("""COMPUTED_VALUE"""),0.46031746031746)</f>
        <v>0.4603174603</v>
      </c>
      <c r="J105" s="16">
        <f>IFERROR(__xludf.DUMMYFUNCTION("""COMPUTED_VALUE"""),0.412698412698412)</f>
        <v>0.4126984127</v>
      </c>
      <c r="K105" s="16">
        <f>IFERROR(__xludf.DUMMYFUNCTION("""COMPUTED_VALUE"""),0.412698412698412)</f>
        <v>0.4126984127</v>
      </c>
      <c r="L105" s="16">
        <f>IFERROR(__xludf.DUMMYFUNCTION("""COMPUTED_VALUE"""),0.349206349206349)</f>
        <v>0.3492063492</v>
      </c>
      <c r="M105" s="16">
        <f>IFERROR(__xludf.DUMMYFUNCTION("""COMPUTED_VALUE"""),0.365079365079365)</f>
        <v>0.3650793651</v>
      </c>
      <c r="N105" s="16">
        <f>IFERROR(__xludf.DUMMYFUNCTION("""COMPUTED_VALUE"""),0.317460317460317)</f>
        <v>0.3174603175</v>
      </c>
      <c r="O105" s="16">
        <f>IFERROR(__xludf.DUMMYFUNCTION("""COMPUTED_VALUE"""),0.245614035087719)</f>
        <v>0.2456140351</v>
      </c>
      <c r="P105" s="16">
        <f>IFERROR(__xludf.DUMMYFUNCTION("""COMPUTED_VALUE"""),0.153846153846153)</f>
        <v>0.1538461538</v>
      </c>
      <c r="Q105" s="16">
        <f>IFERROR(__xludf.DUMMYFUNCTION("""COMPUTED_VALUE"""),0.0454545454545454)</f>
        <v>0.04545454545</v>
      </c>
      <c r="R105" s="16">
        <f>IFERROR(__xludf.DUMMYFUNCTION("""COMPUTED_VALUE"""),0.125)</f>
        <v>0.125</v>
      </c>
      <c r="S105" s="16">
        <f>IFERROR(__xludf.DUMMYFUNCTION("""COMPUTED_VALUE"""),0.0)</f>
        <v>0</v>
      </c>
      <c r="T105" s="16">
        <f>IFERROR(__xludf.DUMMYFUNCTION("""COMPUTED_VALUE"""),0.0)</f>
        <v>0</v>
      </c>
      <c r="U105" s="16">
        <f>IFERROR(__xludf.DUMMYFUNCTION("""COMPUTED_VALUE"""),0.0)</f>
        <v>0</v>
      </c>
      <c r="V105" s="16">
        <f>IFERROR(__xludf.DUMMYFUNCTION("""COMPUTED_VALUE"""),0.0)</f>
        <v>0</v>
      </c>
      <c r="W105" s="16">
        <f>IFERROR(__xludf.DUMMYFUNCTION("""COMPUTED_VALUE"""),0.0)</f>
        <v>0</v>
      </c>
      <c r="X105" s="16">
        <f>IFERROR(__xludf.DUMMYFUNCTION("""COMPUTED_VALUE"""),0.0)</f>
        <v>0</v>
      </c>
      <c r="Y105" s="16">
        <f>IFERROR(__xludf.DUMMYFUNCTION("""COMPUTED_VALUE"""),0.0)</f>
        <v>0</v>
      </c>
      <c r="Z105" s="16">
        <f>IFERROR(__xludf.DUMMYFUNCTION("""COMPUTED_VALUE"""),0.0)</f>
        <v>0</v>
      </c>
      <c r="AA105" s="16">
        <f>IFERROR(__xludf.DUMMYFUNCTION("""COMPUTED_VALUE"""),0.0)</f>
        <v>0</v>
      </c>
      <c r="AB105" s="16">
        <f>IFERROR(__xludf.DUMMYFUNCTION("""COMPUTED_VALUE"""),0.0)</f>
        <v>0</v>
      </c>
      <c r="AC105" s="16">
        <f>IFERROR(__xludf.DUMMYFUNCTION("""COMPUTED_VALUE"""),0.0)</f>
        <v>0</v>
      </c>
      <c r="AD105" s="16">
        <f>IFERROR(__xludf.DUMMYFUNCTION("""COMPUTED_VALUE"""),0.0)</f>
        <v>0</v>
      </c>
      <c r="AE105" s="16">
        <f>IFERROR(__xludf.DUMMYFUNCTION("""COMPUTED_VALUE"""),0.0)</f>
        <v>0</v>
      </c>
      <c r="AF105" s="16">
        <f>IFERROR(__xludf.DUMMYFUNCTION("""COMPUTED_VALUE"""),0.0)</f>
        <v>0</v>
      </c>
      <c r="AG105" s="16">
        <f>IFERROR(__xludf.DUMMYFUNCTION("""COMPUTED_VALUE"""),0.0)</f>
        <v>0</v>
      </c>
      <c r="AH105" s="16">
        <f>IFERROR(__xludf.DUMMYFUNCTION("""COMPUTED_VALUE"""),0.0)</f>
        <v>0</v>
      </c>
    </row>
    <row r="106">
      <c r="A106" s="16" t="str">
        <f>IFERROR(__xludf.DUMMYFUNCTION("""COMPUTED_VALUE"""),"55254a77c40862bb825ededf69a85438157d664f")</f>
        <v>55254a77c40862bb825ededf69a85438157d664f</v>
      </c>
      <c r="B106" s="16" t="str">
        <f>IFERROR(__xludf.DUMMYFUNCTION("""COMPUTED_VALUE"""),"The Billionaire With Mask")</f>
        <v>The Billionaire With Mask</v>
      </c>
      <c r="C106" s="16" t="str">
        <f>IFERROR(__xludf.DUMMYFUNCTION("""COMPUTED_VALUE"""),"Drama")</f>
        <v>Drama</v>
      </c>
      <c r="D106" s="16">
        <f>IFERROR(__xludf.DUMMYFUNCTION("""COMPUTED_VALUE"""),48.0)</f>
        <v>48</v>
      </c>
      <c r="E106" s="16">
        <f>IFERROR(__xludf.DUMMYFUNCTION("""COMPUTED_VALUE"""),0.979166666666666)</f>
        <v>0.9791666667</v>
      </c>
      <c r="F106" s="16">
        <f>IFERROR(__xludf.DUMMYFUNCTION("""COMPUTED_VALUE"""),0.666666666666666)</f>
        <v>0.6666666667</v>
      </c>
      <c r="G106" s="16">
        <f>IFERROR(__xludf.DUMMYFUNCTION("""COMPUTED_VALUE"""),0.583333333333333)</f>
        <v>0.5833333333</v>
      </c>
      <c r="H106" s="16">
        <f>IFERROR(__xludf.DUMMYFUNCTION("""COMPUTED_VALUE"""),0.5625)</f>
        <v>0.5625</v>
      </c>
      <c r="I106" s="16">
        <f>IFERROR(__xludf.DUMMYFUNCTION("""COMPUTED_VALUE"""),0.541666666666666)</f>
        <v>0.5416666667</v>
      </c>
      <c r="J106" s="16">
        <f>IFERROR(__xludf.DUMMYFUNCTION("""COMPUTED_VALUE"""),0.585365853658536)</f>
        <v>0.5853658537</v>
      </c>
      <c r="K106" s="16">
        <f>IFERROR(__xludf.DUMMYFUNCTION("""COMPUTED_VALUE"""),0.578947368421052)</f>
        <v>0.5789473684</v>
      </c>
      <c r="L106" s="16">
        <f>IFERROR(__xludf.DUMMYFUNCTION("""COMPUTED_VALUE"""),0.578947368421052)</f>
        <v>0.5789473684</v>
      </c>
      <c r="M106" s="16">
        <f>IFERROR(__xludf.DUMMYFUNCTION("""COMPUTED_VALUE"""),0.552631578947368)</f>
        <v>0.5526315789</v>
      </c>
      <c r="N106" s="16">
        <f>IFERROR(__xludf.DUMMYFUNCTION("""COMPUTED_VALUE"""),0.526315789473684)</f>
        <v>0.5263157895</v>
      </c>
      <c r="O106" s="16">
        <f>IFERROR(__xludf.DUMMYFUNCTION("""COMPUTED_VALUE"""),0.5)</f>
        <v>0.5</v>
      </c>
      <c r="P106" s="16">
        <f>IFERROR(__xludf.DUMMYFUNCTION("""COMPUTED_VALUE"""),0.514285714285714)</f>
        <v>0.5142857143</v>
      </c>
      <c r="Q106" s="16">
        <f>IFERROR(__xludf.DUMMYFUNCTION("""COMPUTED_VALUE"""),0.318181818181818)</f>
        <v>0.3181818182</v>
      </c>
      <c r="R106" s="16">
        <f>IFERROR(__xludf.DUMMYFUNCTION("""COMPUTED_VALUE"""),0.222222222222222)</f>
        <v>0.2222222222</v>
      </c>
      <c r="S106" s="16">
        <f>IFERROR(__xludf.DUMMYFUNCTION("""COMPUTED_VALUE"""),0.2)</f>
        <v>0.2</v>
      </c>
      <c r="T106" s="16">
        <f>IFERROR(__xludf.DUMMYFUNCTION("""COMPUTED_VALUE"""),0.0)</f>
        <v>0</v>
      </c>
      <c r="U106" s="16">
        <f>IFERROR(__xludf.DUMMYFUNCTION("""COMPUTED_VALUE"""),0.0)</f>
        <v>0</v>
      </c>
      <c r="V106" s="16">
        <f>IFERROR(__xludf.DUMMYFUNCTION("""COMPUTED_VALUE"""),0.0)</f>
        <v>0</v>
      </c>
      <c r="W106" s="16">
        <f>IFERROR(__xludf.DUMMYFUNCTION("""COMPUTED_VALUE"""),0.0)</f>
        <v>0</v>
      </c>
      <c r="X106" s="16">
        <f>IFERROR(__xludf.DUMMYFUNCTION("""COMPUTED_VALUE"""),0.0)</f>
        <v>0</v>
      </c>
      <c r="Y106" s="16">
        <f>IFERROR(__xludf.DUMMYFUNCTION("""COMPUTED_VALUE"""),0.0)</f>
        <v>0</v>
      </c>
      <c r="Z106" s="16">
        <f>IFERROR(__xludf.DUMMYFUNCTION("""COMPUTED_VALUE"""),0.0)</f>
        <v>0</v>
      </c>
      <c r="AA106" s="16">
        <f>IFERROR(__xludf.DUMMYFUNCTION("""COMPUTED_VALUE"""),0.0)</f>
        <v>0</v>
      </c>
      <c r="AB106" s="16">
        <f>IFERROR(__xludf.DUMMYFUNCTION("""COMPUTED_VALUE"""),0.0)</f>
        <v>0</v>
      </c>
      <c r="AC106" s="16">
        <f>IFERROR(__xludf.DUMMYFUNCTION("""COMPUTED_VALUE"""),0.0)</f>
        <v>0</v>
      </c>
      <c r="AD106" s="16">
        <f>IFERROR(__xludf.DUMMYFUNCTION("""COMPUTED_VALUE"""),0.0)</f>
        <v>0</v>
      </c>
      <c r="AE106" s="16">
        <f>IFERROR(__xludf.DUMMYFUNCTION("""COMPUTED_VALUE"""),0.0)</f>
        <v>0</v>
      </c>
      <c r="AF106" s="16">
        <f>IFERROR(__xludf.DUMMYFUNCTION("""COMPUTED_VALUE"""),0.0)</f>
        <v>0</v>
      </c>
      <c r="AG106" s="16">
        <f>IFERROR(__xludf.DUMMYFUNCTION("""COMPUTED_VALUE"""),0.0)</f>
        <v>0</v>
      </c>
      <c r="AH106" s="16">
        <f>IFERROR(__xludf.DUMMYFUNCTION("""COMPUTED_VALUE"""),0.0)</f>
        <v>0</v>
      </c>
    </row>
    <row r="107">
      <c r="A107" s="16" t="str">
        <f>IFERROR(__xludf.DUMMYFUNCTION("""COMPUTED_VALUE"""),"559db21e99cf5bc0720a814784386a0617e020b9")</f>
        <v>559db21e99cf5bc0720a814784386a0617e020b9</v>
      </c>
      <c r="B107" s="16" t="str">
        <f>IFERROR(__xludf.DUMMYFUNCTION("""COMPUTED_VALUE"""),"The Reborn Sovereign")</f>
        <v>The Reborn Sovereign</v>
      </c>
      <c r="C107" s="16" t="str">
        <f>IFERROR(__xludf.DUMMYFUNCTION("""COMPUTED_VALUE"""),"Fantasy")</f>
        <v>Fantasy</v>
      </c>
      <c r="D107" s="16">
        <f>IFERROR(__xludf.DUMMYFUNCTION("""COMPUTED_VALUE"""),1316.0)</f>
        <v>1316</v>
      </c>
      <c r="E107" s="16">
        <f>IFERROR(__xludf.DUMMYFUNCTION("""COMPUTED_VALUE"""),0.964285714285714)</f>
        <v>0.9642857143</v>
      </c>
      <c r="F107" s="16">
        <f>IFERROR(__xludf.DUMMYFUNCTION("""COMPUTED_VALUE"""),0.743920972644377)</f>
        <v>0.7439209726</v>
      </c>
      <c r="G107" s="16">
        <f>IFERROR(__xludf.DUMMYFUNCTION("""COMPUTED_VALUE"""),0.711246200607902)</f>
        <v>0.7112462006</v>
      </c>
      <c r="H107" s="16">
        <f>IFERROR(__xludf.DUMMYFUNCTION("""COMPUTED_VALUE"""),0.688212927756654)</f>
        <v>0.6882129278</v>
      </c>
      <c r="I107" s="16">
        <f>IFERROR(__xludf.DUMMYFUNCTION("""COMPUTED_VALUE"""),0.672243346007604)</f>
        <v>0.672243346</v>
      </c>
      <c r="J107" s="16">
        <f>IFERROR(__xludf.DUMMYFUNCTION("""COMPUTED_VALUE"""),0.660392156862745)</f>
        <v>0.6603921569</v>
      </c>
      <c r="K107" s="16">
        <f>IFERROR(__xludf.DUMMYFUNCTION("""COMPUTED_VALUE"""),0.651576394502829)</f>
        <v>0.6515763945</v>
      </c>
      <c r="L107" s="16">
        <f>IFERROR(__xludf.DUMMYFUNCTION("""COMPUTED_VALUE"""),0.649046793760831)</f>
        <v>0.6490467938</v>
      </c>
      <c r="M107" s="16">
        <f>IFERROR(__xludf.DUMMYFUNCTION("""COMPUTED_VALUE"""),0.648401826484018)</f>
        <v>0.6484018265</v>
      </c>
      <c r="N107" s="16">
        <f>IFERROR(__xludf.DUMMYFUNCTION("""COMPUTED_VALUE"""),0.652)</f>
        <v>0.652</v>
      </c>
      <c r="O107" s="16">
        <f>IFERROR(__xludf.DUMMYFUNCTION("""COMPUTED_VALUE"""),0.601851851851851)</f>
        <v>0.6018518519</v>
      </c>
      <c r="P107" s="16">
        <f>IFERROR(__xludf.DUMMYFUNCTION("""COMPUTED_VALUE"""),0.474226804123711)</f>
        <v>0.4742268041</v>
      </c>
      <c r="Q107" s="16">
        <f>IFERROR(__xludf.DUMMYFUNCTION("""COMPUTED_VALUE"""),0.355182926829268)</f>
        <v>0.3551829268</v>
      </c>
      <c r="R107" s="16">
        <f>IFERROR(__xludf.DUMMYFUNCTION("""COMPUTED_VALUE"""),0.261217948717948)</f>
        <v>0.2612179487</v>
      </c>
      <c r="S107" s="16">
        <f>IFERROR(__xludf.DUMMYFUNCTION("""COMPUTED_VALUE"""),0.187285223367697)</f>
        <v>0.1872852234</v>
      </c>
      <c r="T107" s="16">
        <f>IFERROR(__xludf.DUMMYFUNCTION("""COMPUTED_VALUE"""),0.0)</f>
        <v>0</v>
      </c>
      <c r="U107" s="16">
        <f>IFERROR(__xludf.DUMMYFUNCTION("""COMPUTED_VALUE"""),0.0)</f>
        <v>0</v>
      </c>
      <c r="V107" s="16">
        <f>IFERROR(__xludf.DUMMYFUNCTION("""COMPUTED_VALUE"""),0.0)</f>
        <v>0</v>
      </c>
      <c r="W107" s="16">
        <f>IFERROR(__xludf.DUMMYFUNCTION("""COMPUTED_VALUE"""),0.0)</f>
        <v>0</v>
      </c>
      <c r="X107" s="16">
        <f>IFERROR(__xludf.DUMMYFUNCTION("""COMPUTED_VALUE"""),0.0)</f>
        <v>0</v>
      </c>
      <c r="Y107" s="16">
        <f>IFERROR(__xludf.DUMMYFUNCTION("""COMPUTED_VALUE"""),0.0)</f>
        <v>0</v>
      </c>
      <c r="Z107" s="16">
        <f>IFERROR(__xludf.DUMMYFUNCTION("""COMPUTED_VALUE"""),0.0)</f>
        <v>0</v>
      </c>
      <c r="AA107" s="16">
        <f>IFERROR(__xludf.DUMMYFUNCTION("""COMPUTED_VALUE"""),0.0)</f>
        <v>0</v>
      </c>
      <c r="AB107" s="16">
        <f>IFERROR(__xludf.DUMMYFUNCTION("""COMPUTED_VALUE"""),0.0)</f>
        <v>0</v>
      </c>
      <c r="AC107" s="16">
        <f>IFERROR(__xludf.DUMMYFUNCTION("""COMPUTED_VALUE"""),0.0)</f>
        <v>0</v>
      </c>
      <c r="AD107" s="16">
        <f>IFERROR(__xludf.DUMMYFUNCTION("""COMPUTED_VALUE"""),0.0)</f>
        <v>0</v>
      </c>
      <c r="AE107" s="16">
        <f>IFERROR(__xludf.DUMMYFUNCTION("""COMPUTED_VALUE"""),0.0)</f>
        <v>0</v>
      </c>
      <c r="AF107" s="16">
        <f>IFERROR(__xludf.DUMMYFUNCTION("""COMPUTED_VALUE"""),0.0)</f>
        <v>0</v>
      </c>
      <c r="AG107" s="16">
        <f>IFERROR(__xludf.DUMMYFUNCTION("""COMPUTED_VALUE"""),0.0)</f>
        <v>0</v>
      </c>
      <c r="AH107" s="16">
        <f>IFERROR(__xludf.DUMMYFUNCTION("""COMPUTED_VALUE"""),0.0)</f>
        <v>0</v>
      </c>
    </row>
    <row r="108">
      <c r="A108" s="16" t="str">
        <f>IFERROR(__xludf.DUMMYFUNCTION("""COMPUTED_VALUE"""),"562f725dcc83392df0b3d429b6d1ff538f81e71b")</f>
        <v>562f725dcc83392df0b3d429b6d1ff538f81e71b</v>
      </c>
      <c r="B108" s="16" t="str">
        <f>IFERROR(__xludf.DUMMYFUNCTION("""COMPUTED_VALUE"""),"Their Contracted Hearts")</f>
        <v>Their Contracted Hearts</v>
      </c>
      <c r="C108" s="16" t="str">
        <f>IFERROR(__xludf.DUMMYFUNCTION("""COMPUTED_VALUE"""),"Romance")</f>
        <v>Romance</v>
      </c>
      <c r="D108" s="16">
        <f>IFERROR(__xludf.DUMMYFUNCTION("""COMPUTED_VALUE"""),61.0)</f>
        <v>61</v>
      </c>
      <c r="E108" s="16">
        <f>IFERROR(__xludf.DUMMYFUNCTION("""COMPUTED_VALUE"""),0.983606557377049)</f>
        <v>0.9836065574</v>
      </c>
      <c r="F108" s="16">
        <f>IFERROR(__xludf.DUMMYFUNCTION("""COMPUTED_VALUE"""),0.622950819672131)</f>
        <v>0.6229508197</v>
      </c>
      <c r="G108" s="16">
        <f>IFERROR(__xludf.DUMMYFUNCTION("""COMPUTED_VALUE"""),0.573770491803278)</f>
        <v>0.5737704918</v>
      </c>
      <c r="H108" s="16">
        <f>IFERROR(__xludf.DUMMYFUNCTION("""COMPUTED_VALUE"""),0.524590163934426)</f>
        <v>0.5245901639</v>
      </c>
      <c r="I108" s="16">
        <f>IFERROR(__xludf.DUMMYFUNCTION("""COMPUTED_VALUE"""),0.508196721311475)</f>
        <v>0.5081967213</v>
      </c>
      <c r="J108" s="16">
        <f>IFERROR(__xludf.DUMMYFUNCTION("""COMPUTED_VALUE"""),0.508196721311475)</f>
        <v>0.5081967213</v>
      </c>
      <c r="K108" s="16">
        <f>IFERROR(__xludf.DUMMYFUNCTION("""COMPUTED_VALUE"""),0.442622950819672)</f>
        <v>0.4426229508</v>
      </c>
      <c r="L108" s="16">
        <f>IFERROR(__xludf.DUMMYFUNCTION("""COMPUTED_VALUE"""),0.426229508196721)</f>
        <v>0.4262295082</v>
      </c>
      <c r="M108" s="16">
        <f>IFERROR(__xludf.DUMMYFUNCTION("""COMPUTED_VALUE"""),0.393442622950819)</f>
        <v>0.393442623</v>
      </c>
      <c r="N108" s="16">
        <f>IFERROR(__xludf.DUMMYFUNCTION("""COMPUTED_VALUE"""),0.360655737704918)</f>
        <v>0.3606557377</v>
      </c>
      <c r="O108" s="16">
        <f>IFERROR(__xludf.DUMMYFUNCTION("""COMPUTED_VALUE"""),0.229508196721311)</f>
        <v>0.2295081967</v>
      </c>
      <c r="P108" s="16">
        <f>IFERROR(__xludf.DUMMYFUNCTION("""COMPUTED_VALUE"""),0.147540983606557)</f>
        <v>0.1475409836</v>
      </c>
      <c r="Q108" s="16">
        <f>IFERROR(__xludf.DUMMYFUNCTION("""COMPUTED_VALUE"""),0.0909090909090909)</f>
        <v>0.09090909091</v>
      </c>
      <c r="R108" s="16">
        <f>IFERROR(__xludf.DUMMYFUNCTION("""COMPUTED_VALUE"""),0.25)</f>
        <v>0.25</v>
      </c>
      <c r="S108" s="16">
        <f>IFERROR(__xludf.DUMMYFUNCTION("""COMPUTED_VALUE"""),0.0)</f>
        <v>0</v>
      </c>
      <c r="T108" s="16">
        <f>IFERROR(__xludf.DUMMYFUNCTION("""COMPUTED_VALUE"""),0.0)</f>
        <v>0</v>
      </c>
      <c r="U108" s="16">
        <f>IFERROR(__xludf.DUMMYFUNCTION("""COMPUTED_VALUE"""),0.0)</f>
        <v>0</v>
      </c>
      <c r="V108" s="16">
        <f>IFERROR(__xludf.DUMMYFUNCTION("""COMPUTED_VALUE"""),0.0)</f>
        <v>0</v>
      </c>
      <c r="W108" s="16">
        <f>IFERROR(__xludf.DUMMYFUNCTION("""COMPUTED_VALUE"""),0.0)</f>
        <v>0</v>
      </c>
      <c r="X108" s="16">
        <f>IFERROR(__xludf.DUMMYFUNCTION("""COMPUTED_VALUE"""),0.0)</f>
        <v>0</v>
      </c>
      <c r="Y108" s="16">
        <f>IFERROR(__xludf.DUMMYFUNCTION("""COMPUTED_VALUE"""),0.0)</f>
        <v>0</v>
      </c>
      <c r="Z108" s="16">
        <f>IFERROR(__xludf.DUMMYFUNCTION("""COMPUTED_VALUE"""),0.0)</f>
        <v>0</v>
      </c>
      <c r="AA108" s="16">
        <f>IFERROR(__xludf.DUMMYFUNCTION("""COMPUTED_VALUE"""),0.0)</f>
        <v>0</v>
      </c>
      <c r="AB108" s="16">
        <f>IFERROR(__xludf.DUMMYFUNCTION("""COMPUTED_VALUE"""),0.0)</f>
        <v>0</v>
      </c>
      <c r="AC108" s="16">
        <f>IFERROR(__xludf.DUMMYFUNCTION("""COMPUTED_VALUE"""),0.0)</f>
        <v>0</v>
      </c>
      <c r="AD108" s="16">
        <f>IFERROR(__xludf.DUMMYFUNCTION("""COMPUTED_VALUE"""),0.0)</f>
        <v>0</v>
      </c>
      <c r="AE108" s="16">
        <f>IFERROR(__xludf.DUMMYFUNCTION("""COMPUTED_VALUE"""),0.0)</f>
        <v>0</v>
      </c>
      <c r="AF108" s="16">
        <f>IFERROR(__xludf.DUMMYFUNCTION("""COMPUTED_VALUE"""),0.0)</f>
        <v>0</v>
      </c>
      <c r="AG108" s="16">
        <f>IFERROR(__xludf.DUMMYFUNCTION("""COMPUTED_VALUE"""),0.0)</f>
        <v>0</v>
      </c>
      <c r="AH108" s="16">
        <f>IFERROR(__xludf.DUMMYFUNCTION("""COMPUTED_VALUE"""),0.0)</f>
        <v>0</v>
      </c>
    </row>
    <row r="109">
      <c r="A109" s="16" t="str">
        <f>IFERROR(__xludf.DUMMYFUNCTION("""COMPUTED_VALUE"""),"56fd2f13dbccca0c55f9b02f7334d302737ec3df")</f>
        <v>56fd2f13dbccca0c55f9b02f7334d302737ec3df</v>
      </c>
      <c r="B109" s="16" t="str">
        <f>IFERROR(__xludf.DUMMYFUNCTION("""COMPUTED_VALUE"""),"Heaven-Shaking Doctor")</f>
        <v>Heaven-Shaking Doctor</v>
      </c>
      <c r="C109" s="16" t="str">
        <f>IFERROR(__xludf.DUMMYFUNCTION("""COMPUTED_VALUE"""),"Drama")</f>
        <v>Drama</v>
      </c>
      <c r="D109" s="16">
        <f>IFERROR(__xludf.DUMMYFUNCTION("""COMPUTED_VALUE"""),384.0)</f>
        <v>384</v>
      </c>
      <c r="E109" s="16">
        <f>IFERROR(__xludf.DUMMYFUNCTION("""COMPUTED_VALUE"""),0.9921875)</f>
        <v>0.9921875</v>
      </c>
      <c r="F109" s="16">
        <f>IFERROR(__xludf.DUMMYFUNCTION("""COMPUTED_VALUE"""),0.6171875)</f>
        <v>0.6171875</v>
      </c>
      <c r="G109" s="16">
        <f>IFERROR(__xludf.DUMMYFUNCTION("""COMPUTED_VALUE"""),0.484375)</f>
        <v>0.484375</v>
      </c>
      <c r="H109" s="16">
        <f>IFERROR(__xludf.DUMMYFUNCTION("""COMPUTED_VALUE"""),0.40625)</f>
        <v>0.40625</v>
      </c>
      <c r="I109" s="16">
        <f>IFERROR(__xludf.DUMMYFUNCTION("""COMPUTED_VALUE"""),0.328125)</f>
        <v>0.328125</v>
      </c>
      <c r="J109" s="16">
        <f>IFERROR(__xludf.DUMMYFUNCTION("""COMPUTED_VALUE"""),0.283854166666666)</f>
        <v>0.2838541667</v>
      </c>
      <c r="K109" s="16">
        <f>IFERROR(__xludf.DUMMYFUNCTION("""COMPUTED_VALUE"""),0.263020833333333)</f>
        <v>0.2630208333</v>
      </c>
      <c r="L109" s="16">
        <f>IFERROR(__xludf.DUMMYFUNCTION("""COMPUTED_VALUE"""),0.221354166666666)</f>
        <v>0.2213541667</v>
      </c>
      <c r="M109" s="16">
        <f>IFERROR(__xludf.DUMMYFUNCTION("""COMPUTED_VALUE"""),0.190600522193211)</f>
        <v>0.1906005222</v>
      </c>
      <c r="N109" s="16">
        <f>IFERROR(__xludf.DUMMYFUNCTION("""COMPUTED_VALUE"""),0.182767624020887)</f>
        <v>0.182767624</v>
      </c>
      <c r="O109" s="16">
        <f>IFERROR(__xludf.DUMMYFUNCTION("""COMPUTED_VALUE"""),0.123036649214659)</f>
        <v>0.1230366492</v>
      </c>
      <c r="P109" s="16">
        <f>IFERROR(__xludf.DUMMYFUNCTION("""COMPUTED_VALUE"""),0.0687830687830687)</f>
        <v>0.06878306878</v>
      </c>
      <c r="Q109" s="16">
        <f>IFERROR(__xludf.DUMMYFUNCTION("""COMPUTED_VALUE"""),0.0299145299145299)</f>
        <v>0.02991452991</v>
      </c>
      <c r="R109" s="16">
        <f>IFERROR(__xludf.DUMMYFUNCTION("""COMPUTED_VALUE"""),0.0)</f>
        <v>0</v>
      </c>
      <c r="S109" s="16">
        <f>IFERROR(__xludf.DUMMYFUNCTION("""COMPUTED_VALUE"""),0.0)</f>
        <v>0</v>
      </c>
      <c r="T109" s="16">
        <f>IFERROR(__xludf.DUMMYFUNCTION("""COMPUTED_VALUE"""),0.0)</f>
        <v>0</v>
      </c>
      <c r="U109" s="16">
        <f>IFERROR(__xludf.DUMMYFUNCTION("""COMPUTED_VALUE"""),0.0)</f>
        <v>0</v>
      </c>
      <c r="V109" s="16">
        <f>IFERROR(__xludf.DUMMYFUNCTION("""COMPUTED_VALUE"""),0.0)</f>
        <v>0</v>
      </c>
      <c r="W109" s="16">
        <f>IFERROR(__xludf.DUMMYFUNCTION("""COMPUTED_VALUE"""),0.0)</f>
        <v>0</v>
      </c>
      <c r="X109" s="16">
        <f>IFERROR(__xludf.DUMMYFUNCTION("""COMPUTED_VALUE"""),0.0)</f>
        <v>0</v>
      </c>
      <c r="Y109" s="16">
        <f>IFERROR(__xludf.DUMMYFUNCTION("""COMPUTED_VALUE"""),0.0)</f>
        <v>0</v>
      </c>
      <c r="Z109" s="16">
        <f>IFERROR(__xludf.DUMMYFUNCTION("""COMPUTED_VALUE"""),0.0)</f>
        <v>0</v>
      </c>
      <c r="AA109" s="16">
        <f>IFERROR(__xludf.DUMMYFUNCTION("""COMPUTED_VALUE"""),0.0)</f>
        <v>0</v>
      </c>
      <c r="AB109" s="16">
        <f>IFERROR(__xludf.DUMMYFUNCTION("""COMPUTED_VALUE"""),0.0)</f>
        <v>0</v>
      </c>
      <c r="AC109" s="16">
        <f>IFERROR(__xludf.DUMMYFUNCTION("""COMPUTED_VALUE"""),0.0)</f>
        <v>0</v>
      </c>
      <c r="AD109" s="16">
        <f>IFERROR(__xludf.DUMMYFUNCTION("""COMPUTED_VALUE"""),0.0)</f>
        <v>0</v>
      </c>
      <c r="AE109" s="16">
        <f>IFERROR(__xludf.DUMMYFUNCTION("""COMPUTED_VALUE"""),0.0)</f>
        <v>0</v>
      </c>
      <c r="AF109" s="16">
        <f>IFERROR(__xludf.DUMMYFUNCTION("""COMPUTED_VALUE"""),0.0)</f>
        <v>0</v>
      </c>
      <c r="AG109" s="16">
        <f>IFERROR(__xludf.DUMMYFUNCTION("""COMPUTED_VALUE"""),0.0)</f>
        <v>0</v>
      </c>
      <c r="AH109" s="16">
        <f>IFERROR(__xludf.DUMMYFUNCTION("""COMPUTED_VALUE"""),0.0)</f>
        <v>0</v>
      </c>
    </row>
    <row r="110">
      <c r="A110" s="16" t="str">
        <f>IFERROR(__xludf.DUMMYFUNCTION("""COMPUTED_VALUE"""),"5710ee62e2cd01947d8f11e6bcaaa653fd1281b2")</f>
        <v>5710ee62e2cd01947d8f11e6bcaaa653fd1281b2</v>
      </c>
      <c r="B110" s="16" t="str">
        <f>IFERROR(__xludf.DUMMYFUNCTION("""COMPUTED_VALUE"""),"The Greatest Son-in-Law")</f>
        <v>The Greatest Son-in-Law</v>
      </c>
      <c r="C110" s="16" t="str">
        <f>IFERROR(__xludf.DUMMYFUNCTION("""COMPUTED_VALUE"""),"Drama")</f>
        <v>Drama</v>
      </c>
      <c r="D110" s="16">
        <f>IFERROR(__xludf.DUMMYFUNCTION("""COMPUTED_VALUE"""),422.0)</f>
        <v>422</v>
      </c>
      <c r="E110" s="16">
        <f>IFERROR(__xludf.DUMMYFUNCTION("""COMPUTED_VALUE"""),0.981042654028436)</f>
        <v>0.981042654</v>
      </c>
      <c r="F110" s="16">
        <f>IFERROR(__xludf.DUMMYFUNCTION("""COMPUTED_VALUE"""),0.566350710900474)</f>
        <v>0.5663507109</v>
      </c>
      <c r="G110" s="16">
        <f>IFERROR(__xludf.DUMMYFUNCTION("""COMPUTED_VALUE"""),0.459715639810426)</f>
        <v>0.4597156398</v>
      </c>
      <c r="H110" s="16">
        <f>IFERROR(__xludf.DUMMYFUNCTION("""COMPUTED_VALUE"""),0.40521327014218)</f>
        <v>0.4052132701</v>
      </c>
      <c r="I110" s="16">
        <f>IFERROR(__xludf.DUMMYFUNCTION("""COMPUTED_VALUE"""),0.341232227488151)</f>
        <v>0.3412322275</v>
      </c>
      <c r="J110" s="16">
        <f>IFERROR(__xludf.DUMMYFUNCTION("""COMPUTED_VALUE"""),0.289786223277909)</f>
        <v>0.2897862233</v>
      </c>
      <c r="K110" s="16">
        <f>IFERROR(__xludf.DUMMYFUNCTION("""COMPUTED_VALUE"""),0.261904761904761)</f>
        <v>0.2619047619</v>
      </c>
      <c r="L110" s="16">
        <f>IFERROR(__xludf.DUMMYFUNCTION("""COMPUTED_VALUE"""),0.250596658711217)</f>
        <v>0.2505966587</v>
      </c>
      <c r="M110" s="16">
        <f>IFERROR(__xludf.DUMMYFUNCTION("""COMPUTED_VALUE"""),0.227272727272727)</f>
        <v>0.2272727273</v>
      </c>
      <c r="N110" s="16">
        <f>IFERROR(__xludf.DUMMYFUNCTION("""COMPUTED_VALUE"""),0.216346153846153)</f>
        <v>0.2163461538</v>
      </c>
      <c r="O110" s="16">
        <f>IFERROR(__xludf.DUMMYFUNCTION("""COMPUTED_VALUE"""),0.166023166023166)</f>
        <v>0.166023166</v>
      </c>
      <c r="P110" s="16">
        <f>IFERROR(__xludf.DUMMYFUNCTION("""COMPUTED_VALUE"""),0.2)</f>
        <v>0.2</v>
      </c>
      <c r="Q110" s="16">
        <f>IFERROR(__xludf.DUMMYFUNCTION("""COMPUTED_VALUE"""),0.142857142857142)</f>
        <v>0.1428571429</v>
      </c>
      <c r="R110" s="16">
        <f>IFERROR(__xludf.DUMMYFUNCTION("""COMPUTED_VALUE"""),0.0)</f>
        <v>0</v>
      </c>
      <c r="S110" s="16">
        <f>IFERROR(__xludf.DUMMYFUNCTION("""COMPUTED_VALUE"""),0.0)</f>
        <v>0</v>
      </c>
      <c r="T110" s="16">
        <f>IFERROR(__xludf.DUMMYFUNCTION("""COMPUTED_VALUE"""),0.0)</f>
        <v>0</v>
      </c>
      <c r="U110" s="16">
        <f>IFERROR(__xludf.DUMMYFUNCTION("""COMPUTED_VALUE"""),0.0)</f>
        <v>0</v>
      </c>
      <c r="V110" s="16">
        <f>IFERROR(__xludf.DUMMYFUNCTION("""COMPUTED_VALUE"""),0.0)</f>
        <v>0</v>
      </c>
      <c r="W110" s="16">
        <f>IFERROR(__xludf.DUMMYFUNCTION("""COMPUTED_VALUE"""),0.0)</f>
        <v>0</v>
      </c>
      <c r="X110" s="16">
        <f>IFERROR(__xludf.DUMMYFUNCTION("""COMPUTED_VALUE"""),0.0)</f>
        <v>0</v>
      </c>
      <c r="Y110" s="16">
        <f>IFERROR(__xludf.DUMMYFUNCTION("""COMPUTED_VALUE"""),0.0)</f>
        <v>0</v>
      </c>
      <c r="Z110" s="16">
        <f>IFERROR(__xludf.DUMMYFUNCTION("""COMPUTED_VALUE"""),0.0)</f>
        <v>0</v>
      </c>
      <c r="AA110" s="16">
        <f>IFERROR(__xludf.DUMMYFUNCTION("""COMPUTED_VALUE"""),0.0)</f>
        <v>0</v>
      </c>
      <c r="AB110" s="16">
        <f>IFERROR(__xludf.DUMMYFUNCTION("""COMPUTED_VALUE"""),0.0)</f>
        <v>0</v>
      </c>
      <c r="AC110" s="16">
        <f>IFERROR(__xludf.DUMMYFUNCTION("""COMPUTED_VALUE"""),0.0)</f>
        <v>0</v>
      </c>
      <c r="AD110" s="16">
        <f>IFERROR(__xludf.DUMMYFUNCTION("""COMPUTED_VALUE"""),0.0)</f>
        <v>0</v>
      </c>
      <c r="AE110" s="16">
        <f>IFERROR(__xludf.DUMMYFUNCTION("""COMPUTED_VALUE"""),0.0)</f>
        <v>0</v>
      </c>
      <c r="AF110" s="16">
        <f>IFERROR(__xludf.DUMMYFUNCTION("""COMPUTED_VALUE"""),0.0)</f>
        <v>0</v>
      </c>
      <c r="AG110" s="16">
        <f>IFERROR(__xludf.DUMMYFUNCTION("""COMPUTED_VALUE"""),0.0)</f>
        <v>0</v>
      </c>
      <c r="AH110" s="16">
        <f>IFERROR(__xludf.DUMMYFUNCTION("""COMPUTED_VALUE"""),0.0)</f>
        <v>0</v>
      </c>
    </row>
    <row r="111">
      <c r="A111" s="16" t="str">
        <f>IFERROR(__xludf.DUMMYFUNCTION("""COMPUTED_VALUE"""),"57c4ad36d88c94c3d6132c931c371b08f21ab0e1")</f>
        <v>57c4ad36d88c94c3d6132c931c371b08f21ab0e1</v>
      </c>
      <c r="B111" s="16" t="str">
        <f>IFERROR(__xludf.DUMMYFUNCTION("""COMPUTED_VALUE"""),"Warlord of the Frozen Daw")</f>
        <v>Warlord of the Frozen Daw</v>
      </c>
      <c r="C111" s="16" t="str">
        <f>IFERROR(__xludf.DUMMYFUNCTION("""COMPUTED_VALUE"""),"Drama")</f>
        <v>Drama</v>
      </c>
      <c r="D111" s="16">
        <f>IFERROR(__xludf.DUMMYFUNCTION("""COMPUTED_VALUE"""),6.0)</f>
        <v>6</v>
      </c>
      <c r="E111" s="16">
        <f>IFERROR(__xludf.DUMMYFUNCTION("""COMPUTED_VALUE"""),1.0)</f>
        <v>1</v>
      </c>
      <c r="F111" s="16">
        <f>IFERROR(__xludf.DUMMYFUNCTION("""COMPUTED_VALUE"""),0.666666666666666)</f>
        <v>0.6666666667</v>
      </c>
      <c r="G111" s="16">
        <f>IFERROR(__xludf.DUMMYFUNCTION("""COMPUTED_VALUE"""),0.666666666666666)</f>
        <v>0.6666666667</v>
      </c>
      <c r="H111" s="16">
        <f>IFERROR(__xludf.DUMMYFUNCTION("""COMPUTED_VALUE"""),0.666666666666666)</f>
        <v>0.6666666667</v>
      </c>
      <c r="I111" s="16">
        <f>IFERROR(__xludf.DUMMYFUNCTION("""COMPUTED_VALUE"""),0.666666666666666)</f>
        <v>0.6666666667</v>
      </c>
      <c r="J111" s="16">
        <f>IFERROR(__xludf.DUMMYFUNCTION("""COMPUTED_VALUE"""),0.6)</f>
        <v>0.6</v>
      </c>
      <c r="K111" s="16">
        <f>IFERROR(__xludf.DUMMYFUNCTION("""COMPUTED_VALUE"""),0.6)</f>
        <v>0.6</v>
      </c>
      <c r="L111" s="16">
        <f>IFERROR(__xludf.DUMMYFUNCTION("""COMPUTED_VALUE"""),0.4)</f>
        <v>0.4</v>
      </c>
      <c r="M111" s="16">
        <f>IFERROR(__xludf.DUMMYFUNCTION("""COMPUTED_VALUE"""),0.4)</f>
        <v>0.4</v>
      </c>
      <c r="N111" s="16">
        <f>IFERROR(__xludf.DUMMYFUNCTION("""COMPUTED_VALUE"""),0.4)</f>
        <v>0.4</v>
      </c>
      <c r="O111" s="16">
        <f>IFERROR(__xludf.DUMMYFUNCTION("""COMPUTED_VALUE"""),0.25)</f>
        <v>0.25</v>
      </c>
      <c r="P111" s="16">
        <f>IFERROR(__xludf.DUMMYFUNCTION("""COMPUTED_VALUE"""),0.333333333333333)</f>
        <v>0.3333333333</v>
      </c>
      <c r="Q111" s="16">
        <f>IFERROR(__xludf.DUMMYFUNCTION("""COMPUTED_VALUE"""),0.333333333333333)</f>
        <v>0.3333333333</v>
      </c>
      <c r="R111" s="16">
        <f>IFERROR(__xludf.DUMMYFUNCTION("""COMPUTED_VALUE"""),0.0)</f>
        <v>0</v>
      </c>
      <c r="S111" s="16">
        <f>IFERROR(__xludf.DUMMYFUNCTION("""COMPUTED_VALUE"""),0.0)</f>
        <v>0</v>
      </c>
      <c r="T111" s="16">
        <f>IFERROR(__xludf.DUMMYFUNCTION("""COMPUTED_VALUE"""),0.0)</f>
        <v>0</v>
      </c>
      <c r="U111" s="16">
        <f>IFERROR(__xludf.DUMMYFUNCTION("""COMPUTED_VALUE"""),0.0)</f>
        <v>0</v>
      </c>
      <c r="V111" s="16">
        <f>IFERROR(__xludf.DUMMYFUNCTION("""COMPUTED_VALUE"""),0.0)</f>
        <v>0</v>
      </c>
      <c r="W111" s="16">
        <f>IFERROR(__xludf.DUMMYFUNCTION("""COMPUTED_VALUE"""),0.0)</f>
        <v>0</v>
      </c>
      <c r="X111" s="16">
        <f>IFERROR(__xludf.DUMMYFUNCTION("""COMPUTED_VALUE"""),0.0)</f>
        <v>0</v>
      </c>
      <c r="Y111" s="16">
        <f>IFERROR(__xludf.DUMMYFUNCTION("""COMPUTED_VALUE"""),0.0)</f>
        <v>0</v>
      </c>
      <c r="Z111" s="16">
        <f>IFERROR(__xludf.DUMMYFUNCTION("""COMPUTED_VALUE"""),0.0)</f>
        <v>0</v>
      </c>
      <c r="AA111" s="16">
        <f>IFERROR(__xludf.DUMMYFUNCTION("""COMPUTED_VALUE"""),0.0)</f>
        <v>0</v>
      </c>
      <c r="AB111" s="16">
        <f>IFERROR(__xludf.DUMMYFUNCTION("""COMPUTED_VALUE"""),0.0)</f>
        <v>0</v>
      </c>
      <c r="AC111" s="16">
        <f>IFERROR(__xludf.DUMMYFUNCTION("""COMPUTED_VALUE"""),0.0)</f>
        <v>0</v>
      </c>
      <c r="AD111" s="16">
        <f>IFERROR(__xludf.DUMMYFUNCTION("""COMPUTED_VALUE"""),0.0)</f>
        <v>0</v>
      </c>
      <c r="AE111" s="16">
        <f>IFERROR(__xludf.DUMMYFUNCTION("""COMPUTED_VALUE"""),0.0)</f>
        <v>0</v>
      </c>
      <c r="AF111" s="16">
        <f>IFERROR(__xludf.DUMMYFUNCTION("""COMPUTED_VALUE"""),0.0)</f>
        <v>0</v>
      </c>
      <c r="AG111" s="16">
        <f>IFERROR(__xludf.DUMMYFUNCTION("""COMPUTED_VALUE"""),0.0)</f>
        <v>0</v>
      </c>
      <c r="AH111" s="16">
        <f>IFERROR(__xludf.DUMMYFUNCTION("""COMPUTED_VALUE"""),0.0)</f>
        <v>0</v>
      </c>
    </row>
    <row r="112">
      <c r="A112" s="16" t="str">
        <f>IFERROR(__xludf.DUMMYFUNCTION("""COMPUTED_VALUE"""),"57e670da35fed12abf270953b1cf3cf942fc89e1")</f>
        <v>57e670da35fed12abf270953b1cf3cf942fc89e1</v>
      </c>
      <c r="B112" s="16" t="str">
        <f>IFERROR(__xludf.DUMMYFUNCTION("""COMPUTED_VALUE"""),"You Are Mine Alone, Love")</f>
        <v>You Are Mine Alone, Love</v>
      </c>
      <c r="C112" s="16" t="str">
        <f>IFERROR(__xludf.DUMMYFUNCTION("""COMPUTED_VALUE"""),"Romance")</f>
        <v>Romance</v>
      </c>
      <c r="D112" s="16">
        <f>IFERROR(__xludf.DUMMYFUNCTION("""COMPUTED_VALUE"""),18.0)</f>
        <v>18</v>
      </c>
      <c r="E112" s="16">
        <f>IFERROR(__xludf.DUMMYFUNCTION("""COMPUTED_VALUE"""),1.0)</f>
        <v>1</v>
      </c>
      <c r="F112" s="16">
        <f>IFERROR(__xludf.DUMMYFUNCTION("""COMPUTED_VALUE"""),0.444444444444444)</f>
        <v>0.4444444444</v>
      </c>
      <c r="G112" s="16">
        <f>IFERROR(__xludf.DUMMYFUNCTION("""COMPUTED_VALUE"""),0.444444444444444)</f>
        <v>0.4444444444</v>
      </c>
      <c r="H112" s="16">
        <f>IFERROR(__xludf.DUMMYFUNCTION("""COMPUTED_VALUE"""),0.333333333333333)</f>
        <v>0.3333333333</v>
      </c>
      <c r="I112" s="16">
        <f>IFERROR(__xludf.DUMMYFUNCTION("""COMPUTED_VALUE"""),0.333333333333333)</f>
        <v>0.3333333333</v>
      </c>
      <c r="J112" s="16">
        <f>IFERROR(__xludf.DUMMYFUNCTION("""COMPUTED_VALUE"""),0.333333333333333)</f>
        <v>0.3333333333</v>
      </c>
      <c r="K112" s="16">
        <f>IFERROR(__xludf.DUMMYFUNCTION("""COMPUTED_VALUE"""),0.333333333333333)</f>
        <v>0.3333333333</v>
      </c>
      <c r="L112" s="16">
        <f>IFERROR(__xludf.DUMMYFUNCTION("""COMPUTED_VALUE"""),0.277777777777777)</f>
        <v>0.2777777778</v>
      </c>
      <c r="M112" s="16">
        <f>IFERROR(__xludf.DUMMYFUNCTION("""COMPUTED_VALUE"""),0.277777777777777)</f>
        <v>0.2777777778</v>
      </c>
      <c r="N112" s="16">
        <f>IFERROR(__xludf.DUMMYFUNCTION("""COMPUTED_VALUE"""),0.25)</f>
        <v>0.25</v>
      </c>
      <c r="O112" s="16">
        <f>IFERROR(__xludf.DUMMYFUNCTION("""COMPUTED_VALUE"""),0.0)</f>
        <v>0</v>
      </c>
      <c r="P112" s="16">
        <f>IFERROR(__xludf.DUMMYFUNCTION("""COMPUTED_VALUE"""),0.0)</f>
        <v>0</v>
      </c>
      <c r="Q112" s="16">
        <f>IFERROR(__xludf.DUMMYFUNCTION("""COMPUTED_VALUE"""),0.0)</f>
        <v>0</v>
      </c>
      <c r="R112" s="16">
        <f>IFERROR(__xludf.DUMMYFUNCTION("""COMPUTED_VALUE"""),0.0)</f>
        <v>0</v>
      </c>
      <c r="S112" s="16">
        <f>IFERROR(__xludf.DUMMYFUNCTION("""COMPUTED_VALUE"""),0.0)</f>
        <v>0</v>
      </c>
      <c r="T112" s="16">
        <f>IFERROR(__xludf.DUMMYFUNCTION("""COMPUTED_VALUE"""),0.0)</f>
        <v>0</v>
      </c>
      <c r="U112" s="16">
        <f>IFERROR(__xludf.DUMMYFUNCTION("""COMPUTED_VALUE"""),0.0)</f>
        <v>0</v>
      </c>
      <c r="V112" s="16">
        <f>IFERROR(__xludf.DUMMYFUNCTION("""COMPUTED_VALUE"""),0.0)</f>
        <v>0</v>
      </c>
      <c r="W112" s="16">
        <f>IFERROR(__xludf.DUMMYFUNCTION("""COMPUTED_VALUE"""),0.0)</f>
        <v>0</v>
      </c>
      <c r="X112" s="16">
        <f>IFERROR(__xludf.DUMMYFUNCTION("""COMPUTED_VALUE"""),0.0)</f>
        <v>0</v>
      </c>
      <c r="Y112" s="16">
        <f>IFERROR(__xludf.DUMMYFUNCTION("""COMPUTED_VALUE"""),0.0)</f>
        <v>0</v>
      </c>
      <c r="Z112" s="16">
        <f>IFERROR(__xludf.DUMMYFUNCTION("""COMPUTED_VALUE"""),0.0)</f>
        <v>0</v>
      </c>
      <c r="AA112" s="16">
        <f>IFERROR(__xludf.DUMMYFUNCTION("""COMPUTED_VALUE"""),0.0)</f>
        <v>0</v>
      </c>
      <c r="AB112" s="16">
        <f>IFERROR(__xludf.DUMMYFUNCTION("""COMPUTED_VALUE"""),0.0)</f>
        <v>0</v>
      </c>
      <c r="AC112" s="16">
        <f>IFERROR(__xludf.DUMMYFUNCTION("""COMPUTED_VALUE"""),0.0)</f>
        <v>0</v>
      </c>
      <c r="AD112" s="16">
        <f>IFERROR(__xludf.DUMMYFUNCTION("""COMPUTED_VALUE"""),0.0)</f>
        <v>0</v>
      </c>
      <c r="AE112" s="16">
        <f>IFERROR(__xludf.DUMMYFUNCTION("""COMPUTED_VALUE"""),0.0)</f>
        <v>0</v>
      </c>
      <c r="AF112" s="16">
        <f>IFERROR(__xludf.DUMMYFUNCTION("""COMPUTED_VALUE"""),0.0)</f>
        <v>0</v>
      </c>
      <c r="AG112" s="16">
        <f>IFERROR(__xludf.DUMMYFUNCTION("""COMPUTED_VALUE"""),0.0)</f>
        <v>0</v>
      </c>
      <c r="AH112" s="16">
        <f>IFERROR(__xludf.DUMMYFUNCTION("""COMPUTED_VALUE"""),0.0)</f>
        <v>0</v>
      </c>
    </row>
    <row r="113">
      <c r="A113" s="16" t="str">
        <f>IFERROR(__xludf.DUMMYFUNCTION("""COMPUTED_VALUE"""),"57ebfa5b58a3257a521a5b9c12c5af19771e4403")</f>
        <v>57ebfa5b58a3257a521a5b9c12c5af19771e4403</v>
      </c>
      <c r="B113" s="16" t="str">
        <f>IFERROR(__xludf.DUMMYFUNCTION("""COMPUTED_VALUE"""),"Unmasking the Bride")</f>
        <v>Unmasking the Bride</v>
      </c>
      <c r="C113" s="16" t="str">
        <f>IFERROR(__xludf.DUMMYFUNCTION("""COMPUTED_VALUE"""),"Romance")</f>
        <v>Romance</v>
      </c>
      <c r="D113" s="16">
        <f>IFERROR(__xludf.DUMMYFUNCTION("""COMPUTED_VALUE"""),5.0)</f>
        <v>5</v>
      </c>
      <c r="E113" s="16">
        <f>IFERROR(__xludf.DUMMYFUNCTION("""COMPUTED_VALUE"""),1.0)</f>
        <v>1</v>
      </c>
      <c r="F113" s="16">
        <f>IFERROR(__xludf.DUMMYFUNCTION("""COMPUTED_VALUE"""),0.8)</f>
        <v>0.8</v>
      </c>
      <c r="G113" s="16">
        <f>IFERROR(__xludf.DUMMYFUNCTION("""COMPUTED_VALUE"""),0.6)</f>
        <v>0.6</v>
      </c>
      <c r="H113" s="16">
        <f>IFERROR(__xludf.DUMMYFUNCTION("""COMPUTED_VALUE"""),0.6)</f>
        <v>0.6</v>
      </c>
      <c r="I113" s="16">
        <f>IFERROR(__xludf.DUMMYFUNCTION("""COMPUTED_VALUE"""),0.4)</f>
        <v>0.4</v>
      </c>
      <c r="J113" s="16">
        <f>IFERROR(__xludf.DUMMYFUNCTION("""COMPUTED_VALUE"""),0.2)</f>
        <v>0.2</v>
      </c>
      <c r="K113" s="16">
        <f>IFERROR(__xludf.DUMMYFUNCTION("""COMPUTED_VALUE"""),0.2)</f>
        <v>0.2</v>
      </c>
      <c r="L113" s="16">
        <f>IFERROR(__xludf.DUMMYFUNCTION("""COMPUTED_VALUE"""),0.4)</f>
        <v>0.4</v>
      </c>
      <c r="M113" s="16">
        <f>IFERROR(__xludf.DUMMYFUNCTION("""COMPUTED_VALUE"""),0.4)</f>
        <v>0.4</v>
      </c>
      <c r="N113" s="16">
        <f>IFERROR(__xludf.DUMMYFUNCTION("""COMPUTED_VALUE"""),0.2)</f>
        <v>0.2</v>
      </c>
      <c r="O113" s="16">
        <f>IFERROR(__xludf.DUMMYFUNCTION("""COMPUTED_VALUE"""),0.4)</f>
        <v>0.4</v>
      </c>
      <c r="P113" s="16">
        <f>IFERROR(__xludf.DUMMYFUNCTION("""COMPUTED_VALUE"""),0.4)</f>
        <v>0.4</v>
      </c>
      <c r="Q113" s="16">
        <f>IFERROR(__xludf.DUMMYFUNCTION("""COMPUTED_VALUE"""),0.25)</f>
        <v>0.25</v>
      </c>
      <c r="R113" s="16">
        <f>IFERROR(__xludf.DUMMYFUNCTION("""COMPUTED_VALUE"""),0.0)</f>
        <v>0</v>
      </c>
      <c r="S113" s="16">
        <f>IFERROR(__xludf.DUMMYFUNCTION("""COMPUTED_VALUE"""),0.0)</f>
        <v>0</v>
      </c>
      <c r="T113" s="16">
        <f>IFERROR(__xludf.DUMMYFUNCTION("""COMPUTED_VALUE"""),0.0)</f>
        <v>0</v>
      </c>
      <c r="U113" s="16">
        <f>IFERROR(__xludf.DUMMYFUNCTION("""COMPUTED_VALUE"""),0.0)</f>
        <v>0</v>
      </c>
      <c r="V113" s="16">
        <f>IFERROR(__xludf.DUMMYFUNCTION("""COMPUTED_VALUE"""),0.0)</f>
        <v>0</v>
      </c>
      <c r="W113" s="16">
        <f>IFERROR(__xludf.DUMMYFUNCTION("""COMPUTED_VALUE"""),0.0)</f>
        <v>0</v>
      </c>
      <c r="X113" s="16">
        <f>IFERROR(__xludf.DUMMYFUNCTION("""COMPUTED_VALUE"""),0.0)</f>
        <v>0</v>
      </c>
      <c r="Y113" s="16">
        <f>IFERROR(__xludf.DUMMYFUNCTION("""COMPUTED_VALUE"""),0.0)</f>
        <v>0</v>
      </c>
      <c r="Z113" s="16">
        <f>IFERROR(__xludf.DUMMYFUNCTION("""COMPUTED_VALUE"""),0.0)</f>
        <v>0</v>
      </c>
      <c r="AA113" s="16">
        <f>IFERROR(__xludf.DUMMYFUNCTION("""COMPUTED_VALUE"""),0.0)</f>
        <v>0</v>
      </c>
      <c r="AB113" s="16">
        <f>IFERROR(__xludf.DUMMYFUNCTION("""COMPUTED_VALUE"""),0.0)</f>
        <v>0</v>
      </c>
      <c r="AC113" s="16">
        <f>IFERROR(__xludf.DUMMYFUNCTION("""COMPUTED_VALUE"""),0.0)</f>
        <v>0</v>
      </c>
      <c r="AD113" s="16">
        <f>IFERROR(__xludf.DUMMYFUNCTION("""COMPUTED_VALUE"""),0.0)</f>
        <v>0</v>
      </c>
      <c r="AE113" s="16">
        <f>IFERROR(__xludf.DUMMYFUNCTION("""COMPUTED_VALUE"""),0.0)</f>
        <v>0</v>
      </c>
      <c r="AF113" s="16">
        <f>IFERROR(__xludf.DUMMYFUNCTION("""COMPUTED_VALUE"""),0.0)</f>
        <v>0</v>
      </c>
      <c r="AG113" s="16">
        <f>IFERROR(__xludf.DUMMYFUNCTION("""COMPUTED_VALUE"""),0.0)</f>
        <v>0</v>
      </c>
      <c r="AH113" s="16">
        <f>IFERROR(__xludf.DUMMYFUNCTION("""COMPUTED_VALUE"""),0.0)</f>
        <v>0</v>
      </c>
    </row>
    <row r="114">
      <c r="A114" s="16" t="str">
        <f>IFERROR(__xludf.DUMMYFUNCTION("""COMPUTED_VALUE"""),"5843f25ac24c8ba34301e2cfe9e73ddc0bfd8fc7")</f>
        <v>5843f25ac24c8ba34301e2cfe9e73ddc0bfd8fc7</v>
      </c>
      <c r="B114" s="16" t="str">
        <f>IFERROR(__xludf.DUMMYFUNCTION("""COMPUTED_VALUE"""),"The Fire Reborn Xavier")</f>
        <v>The Fire Reborn Xavier</v>
      </c>
      <c r="C114" s="16" t="str">
        <f>IFERROR(__xludf.DUMMYFUNCTION("""COMPUTED_VALUE"""),"System and Superpower")</f>
        <v>System and Superpower</v>
      </c>
      <c r="D114" s="16">
        <f>IFERROR(__xludf.DUMMYFUNCTION("""COMPUTED_VALUE"""),499.0)</f>
        <v>499</v>
      </c>
      <c r="E114" s="16">
        <f>IFERROR(__xludf.DUMMYFUNCTION("""COMPUTED_VALUE"""),0.987975951903807)</f>
        <v>0.9879759519</v>
      </c>
      <c r="F114" s="16">
        <f>IFERROR(__xludf.DUMMYFUNCTION("""COMPUTED_VALUE"""),0.519038076152304)</f>
        <v>0.5190380762</v>
      </c>
      <c r="G114" s="16">
        <f>IFERROR(__xludf.DUMMYFUNCTION("""COMPUTED_VALUE"""),0.45691382765531)</f>
        <v>0.4569138277</v>
      </c>
      <c r="H114" s="16">
        <f>IFERROR(__xludf.DUMMYFUNCTION("""COMPUTED_VALUE"""),0.402805611222444)</f>
        <v>0.4028056112</v>
      </c>
      <c r="I114" s="16">
        <f>IFERROR(__xludf.DUMMYFUNCTION("""COMPUTED_VALUE"""),0.380761523046092)</f>
        <v>0.380761523</v>
      </c>
      <c r="J114" s="16">
        <f>IFERROR(__xludf.DUMMYFUNCTION("""COMPUTED_VALUE"""),0.356713426853707)</f>
        <v>0.3567134269</v>
      </c>
      <c r="K114" s="16">
        <f>IFERROR(__xludf.DUMMYFUNCTION("""COMPUTED_VALUE"""),0.334669338677354)</f>
        <v>0.3346693387</v>
      </c>
      <c r="L114" s="16">
        <f>IFERROR(__xludf.DUMMYFUNCTION("""COMPUTED_VALUE"""),0.325301204819277)</f>
        <v>0.3253012048</v>
      </c>
      <c r="M114" s="16">
        <f>IFERROR(__xludf.DUMMYFUNCTION("""COMPUTED_VALUE"""),0.298989898989899)</f>
        <v>0.298989899</v>
      </c>
      <c r="N114" s="16">
        <f>IFERROR(__xludf.DUMMYFUNCTION("""COMPUTED_VALUE"""),0.286868686868686)</f>
        <v>0.2868686869</v>
      </c>
      <c r="O114" s="16">
        <f>IFERROR(__xludf.DUMMYFUNCTION("""COMPUTED_VALUE"""),0.212121212121212)</f>
        <v>0.2121212121</v>
      </c>
      <c r="P114" s="16">
        <f>IFERROR(__xludf.DUMMYFUNCTION("""COMPUTED_VALUE"""),0.268041237113402)</f>
        <v>0.2680412371</v>
      </c>
      <c r="Q114" s="16">
        <f>IFERROR(__xludf.DUMMYFUNCTION("""COMPUTED_VALUE"""),0.2)</f>
        <v>0.2</v>
      </c>
      <c r="R114" s="16">
        <f>IFERROR(__xludf.DUMMYFUNCTION("""COMPUTED_VALUE"""),0.123287671232876)</f>
        <v>0.1232876712</v>
      </c>
      <c r="S114" s="16">
        <f>IFERROR(__xludf.DUMMYFUNCTION("""COMPUTED_VALUE"""),0.0892857142857142)</f>
        <v>0.08928571429</v>
      </c>
      <c r="T114" s="16">
        <f>IFERROR(__xludf.DUMMYFUNCTION("""COMPUTED_VALUE"""),0.0)</f>
        <v>0</v>
      </c>
      <c r="U114" s="16">
        <f>IFERROR(__xludf.DUMMYFUNCTION("""COMPUTED_VALUE"""),0.0)</f>
        <v>0</v>
      </c>
      <c r="V114" s="16">
        <f>IFERROR(__xludf.DUMMYFUNCTION("""COMPUTED_VALUE"""),0.0)</f>
        <v>0</v>
      </c>
      <c r="W114" s="16">
        <f>IFERROR(__xludf.DUMMYFUNCTION("""COMPUTED_VALUE"""),0.0)</f>
        <v>0</v>
      </c>
      <c r="X114" s="16">
        <f>IFERROR(__xludf.DUMMYFUNCTION("""COMPUTED_VALUE"""),0.0)</f>
        <v>0</v>
      </c>
      <c r="Y114" s="16">
        <f>IFERROR(__xludf.DUMMYFUNCTION("""COMPUTED_VALUE"""),0.0)</f>
        <v>0</v>
      </c>
      <c r="Z114" s="16">
        <f>IFERROR(__xludf.DUMMYFUNCTION("""COMPUTED_VALUE"""),0.0)</f>
        <v>0</v>
      </c>
      <c r="AA114" s="16">
        <f>IFERROR(__xludf.DUMMYFUNCTION("""COMPUTED_VALUE"""),0.0)</f>
        <v>0</v>
      </c>
      <c r="AB114" s="16">
        <f>IFERROR(__xludf.DUMMYFUNCTION("""COMPUTED_VALUE"""),0.0)</f>
        <v>0</v>
      </c>
      <c r="AC114" s="16">
        <f>IFERROR(__xludf.DUMMYFUNCTION("""COMPUTED_VALUE"""),0.0)</f>
        <v>0</v>
      </c>
      <c r="AD114" s="16">
        <f>IFERROR(__xludf.DUMMYFUNCTION("""COMPUTED_VALUE"""),0.0)</f>
        <v>0</v>
      </c>
      <c r="AE114" s="16">
        <f>IFERROR(__xludf.DUMMYFUNCTION("""COMPUTED_VALUE"""),0.0)</f>
        <v>0</v>
      </c>
      <c r="AF114" s="16">
        <f>IFERROR(__xludf.DUMMYFUNCTION("""COMPUTED_VALUE"""),0.0)</f>
        <v>0</v>
      </c>
      <c r="AG114" s="16">
        <f>IFERROR(__xludf.DUMMYFUNCTION("""COMPUTED_VALUE"""),0.0)</f>
        <v>0</v>
      </c>
      <c r="AH114" s="16">
        <f>IFERROR(__xludf.DUMMYFUNCTION("""COMPUTED_VALUE"""),0.0)</f>
        <v>0</v>
      </c>
    </row>
    <row r="115">
      <c r="A115" s="16" t="str">
        <f>IFERROR(__xludf.DUMMYFUNCTION("""COMPUTED_VALUE"""),"596d213162507bbf543b3c2a618f8bb54acd4623")</f>
        <v>596d213162507bbf543b3c2a618f8bb54acd4623</v>
      </c>
      <c r="B115" s="16" t="str">
        <f>IFERROR(__xludf.DUMMYFUNCTION("""COMPUTED_VALUE"""),"Echoes of Regrets")</f>
        <v>Echoes of Regrets</v>
      </c>
      <c r="C115" s="16" t="str">
        <f>IFERROR(__xludf.DUMMYFUNCTION("""COMPUTED_VALUE"""),"Romance")</f>
        <v>Romance</v>
      </c>
      <c r="D115" s="16">
        <f>IFERROR(__xludf.DUMMYFUNCTION("""COMPUTED_VALUE"""),22.0)</f>
        <v>22</v>
      </c>
      <c r="E115" s="16">
        <f>IFERROR(__xludf.DUMMYFUNCTION("""COMPUTED_VALUE"""),1.0)</f>
        <v>1</v>
      </c>
      <c r="F115" s="16">
        <f>IFERROR(__xludf.DUMMYFUNCTION("""COMPUTED_VALUE"""),0.636363636363636)</f>
        <v>0.6363636364</v>
      </c>
      <c r="G115" s="16">
        <f>IFERROR(__xludf.DUMMYFUNCTION("""COMPUTED_VALUE"""),0.409090909090909)</f>
        <v>0.4090909091</v>
      </c>
      <c r="H115" s="16">
        <f>IFERROR(__xludf.DUMMYFUNCTION("""COMPUTED_VALUE"""),0.409090909090909)</f>
        <v>0.4090909091</v>
      </c>
      <c r="I115" s="16">
        <f>IFERROR(__xludf.DUMMYFUNCTION("""COMPUTED_VALUE"""),0.363636363636363)</f>
        <v>0.3636363636</v>
      </c>
      <c r="J115" s="16">
        <f>IFERROR(__xludf.DUMMYFUNCTION("""COMPUTED_VALUE"""),0.238095238095238)</f>
        <v>0.2380952381</v>
      </c>
      <c r="K115" s="16">
        <f>IFERROR(__xludf.DUMMYFUNCTION("""COMPUTED_VALUE"""),0.238095238095238)</f>
        <v>0.2380952381</v>
      </c>
      <c r="L115" s="16">
        <f>IFERROR(__xludf.DUMMYFUNCTION("""COMPUTED_VALUE"""),0.2)</f>
        <v>0.2</v>
      </c>
      <c r="M115" s="16">
        <f>IFERROR(__xludf.DUMMYFUNCTION("""COMPUTED_VALUE"""),0.210526315789473)</f>
        <v>0.2105263158</v>
      </c>
      <c r="N115" s="16">
        <f>IFERROR(__xludf.DUMMYFUNCTION("""COMPUTED_VALUE"""),0.176470588235294)</f>
        <v>0.1764705882</v>
      </c>
      <c r="O115" s="16">
        <f>IFERROR(__xludf.DUMMYFUNCTION("""COMPUTED_VALUE"""),0.125)</f>
        <v>0.125</v>
      </c>
      <c r="P115" s="16">
        <f>IFERROR(__xludf.DUMMYFUNCTION("""COMPUTED_VALUE"""),0.166666666666666)</f>
        <v>0.1666666667</v>
      </c>
      <c r="Q115" s="16">
        <f>IFERROR(__xludf.DUMMYFUNCTION("""COMPUTED_VALUE"""),0.0)</f>
        <v>0</v>
      </c>
      <c r="R115" s="16">
        <f>IFERROR(__xludf.DUMMYFUNCTION("""COMPUTED_VALUE"""),0.0)</f>
        <v>0</v>
      </c>
      <c r="S115" s="16">
        <f>IFERROR(__xludf.DUMMYFUNCTION("""COMPUTED_VALUE"""),0.0)</f>
        <v>0</v>
      </c>
      <c r="T115" s="16">
        <f>IFERROR(__xludf.DUMMYFUNCTION("""COMPUTED_VALUE"""),0.0)</f>
        <v>0</v>
      </c>
      <c r="U115" s="16">
        <f>IFERROR(__xludf.DUMMYFUNCTION("""COMPUTED_VALUE"""),0.0)</f>
        <v>0</v>
      </c>
      <c r="V115" s="16">
        <f>IFERROR(__xludf.DUMMYFUNCTION("""COMPUTED_VALUE"""),0.0)</f>
        <v>0</v>
      </c>
      <c r="W115" s="16">
        <f>IFERROR(__xludf.DUMMYFUNCTION("""COMPUTED_VALUE"""),0.0)</f>
        <v>0</v>
      </c>
      <c r="X115" s="16">
        <f>IFERROR(__xludf.DUMMYFUNCTION("""COMPUTED_VALUE"""),0.0)</f>
        <v>0</v>
      </c>
      <c r="Y115" s="16">
        <f>IFERROR(__xludf.DUMMYFUNCTION("""COMPUTED_VALUE"""),0.0)</f>
        <v>0</v>
      </c>
      <c r="Z115" s="16">
        <f>IFERROR(__xludf.DUMMYFUNCTION("""COMPUTED_VALUE"""),0.0)</f>
        <v>0</v>
      </c>
      <c r="AA115" s="16">
        <f>IFERROR(__xludf.DUMMYFUNCTION("""COMPUTED_VALUE"""),0.0)</f>
        <v>0</v>
      </c>
      <c r="AB115" s="16">
        <f>IFERROR(__xludf.DUMMYFUNCTION("""COMPUTED_VALUE"""),0.0)</f>
        <v>0</v>
      </c>
      <c r="AC115" s="16">
        <f>IFERROR(__xludf.DUMMYFUNCTION("""COMPUTED_VALUE"""),0.0)</f>
        <v>0</v>
      </c>
      <c r="AD115" s="16">
        <f>IFERROR(__xludf.DUMMYFUNCTION("""COMPUTED_VALUE"""),0.0)</f>
        <v>0</v>
      </c>
      <c r="AE115" s="16">
        <f>IFERROR(__xludf.DUMMYFUNCTION("""COMPUTED_VALUE"""),0.0)</f>
        <v>0</v>
      </c>
      <c r="AF115" s="16">
        <f>IFERROR(__xludf.DUMMYFUNCTION("""COMPUTED_VALUE"""),0.0)</f>
        <v>0</v>
      </c>
      <c r="AG115" s="16">
        <f>IFERROR(__xludf.DUMMYFUNCTION("""COMPUTED_VALUE"""),0.0)</f>
        <v>0</v>
      </c>
      <c r="AH115" s="16">
        <f>IFERROR(__xludf.DUMMYFUNCTION("""COMPUTED_VALUE"""),0.0)</f>
        <v>0</v>
      </c>
    </row>
    <row r="116">
      <c r="A116" s="16" t="str">
        <f>IFERROR(__xludf.DUMMYFUNCTION("""COMPUTED_VALUE"""),"5c0a4a3bda3c16a4ed94c8945bade52e165a2848")</f>
        <v>5c0a4a3bda3c16a4ed94c8945bade52e165a2848</v>
      </c>
      <c r="B116" s="16" t="str">
        <f>IFERROR(__xludf.DUMMYFUNCTION("""COMPUTED_VALUE"""),"Bound to Reclusive Alpha")</f>
        <v>Bound to Reclusive Alpha</v>
      </c>
      <c r="C116" s="16" t="str">
        <f>IFERROR(__xludf.DUMMYFUNCTION("""COMPUTED_VALUE"""),"Fantasy")</f>
        <v>Fantasy</v>
      </c>
      <c r="D116" s="16">
        <f>IFERROR(__xludf.DUMMYFUNCTION("""COMPUTED_VALUE"""),45.0)</f>
        <v>45</v>
      </c>
      <c r="E116" s="16">
        <f>IFERROR(__xludf.DUMMYFUNCTION("""COMPUTED_VALUE"""),0.977777777777777)</f>
        <v>0.9777777778</v>
      </c>
      <c r="F116" s="16">
        <f>IFERROR(__xludf.DUMMYFUNCTION("""COMPUTED_VALUE"""),0.488888888888888)</f>
        <v>0.4888888889</v>
      </c>
      <c r="G116" s="16">
        <f>IFERROR(__xludf.DUMMYFUNCTION("""COMPUTED_VALUE"""),0.377777777777777)</f>
        <v>0.3777777778</v>
      </c>
      <c r="H116" s="16">
        <f>IFERROR(__xludf.DUMMYFUNCTION("""COMPUTED_VALUE"""),0.377777777777777)</f>
        <v>0.3777777778</v>
      </c>
      <c r="I116" s="16">
        <f>IFERROR(__xludf.DUMMYFUNCTION("""COMPUTED_VALUE"""),0.377777777777777)</f>
        <v>0.3777777778</v>
      </c>
      <c r="J116" s="16">
        <f>IFERROR(__xludf.DUMMYFUNCTION("""COMPUTED_VALUE"""),0.355555555555555)</f>
        <v>0.3555555556</v>
      </c>
      <c r="K116" s="16">
        <f>IFERROR(__xludf.DUMMYFUNCTION("""COMPUTED_VALUE"""),0.333333333333333)</f>
        <v>0.3333333333</v>
      </c>
      <c r="L116" s="16">
        <f>IFERROR(__xludf.DUMMYFUNCTION("""COMPUTED_VALUE"""),0.333333333333333)</f>
        <v>0.3333333333</v>
      </c>
      <c r="M116" s="16">
        <f>IFERROR(__xludf.DUMMYFUNCTION("""COMPUTED_VALUE"""),0.318181818181818)</f>
        <v>0.3181818182</v>
      </c>
      <c r="N116" s="16">
        <f>IFERROR(__xludf.DUMMYFUNCTION("""COMPUTED_VALUE"""),0.318181818181818)</f>
        <v>0.3181818182</v>
      </c>
      <c r="O116" s="16">
        <f>IFERROR(__xludf.DUMMYFUNCTION("""COMPUTED_VALUE"""),0.210526315789473)</f>
        <v>0.2105263158</v>
      </c>
      <c r="P116" s="16">
        <f>IFERROR(__xludf.DUMMYFUNCTION("""COMPUTED_VALUE"""),0.121212121212121)</f>
        <v>0.1212121212</v>
      </c>
      <c r="Q116" s="16">
        <f>IFERROR(__xludf.DUMMYFUNCTION("""COMPUTED_VALUE"""),0.0)</f>
        <v>0</v>
      </c>
      <c r="R116" s="16">
        <f>IFERROR(__xludf.DUMMYFUNCTION("""COMPUTED_VALUE"""),0.0)</f>
        <v>0</v>
      </c>
      <c r="S116" s="16">
        <f>IFERROR(__xludf.DUMMYFUNCTION("""COMPUTED_VALUE"""),0.0)</f>
        <v>0</v>
      </c>
      <c r="T116" s="16">
        <f>IFERROR(__xludf.DUMMYFUNCTION("""COMPUTED_VALUE"""),0.0)</f>
        <v>0</v>
      </c>
      <c r="U116" s="16">
        <f>IFERROR(__xludf.DUMMYFUNCTION("""COMPUTED_VALUE"""),0.0)</f>
        <v>0</v>
      </c>
      <c r="V116" s="16">
        <f>IFERROR(__xludf.DUMMYFUNCTION("""COMPUTED_VALUE"""),0.0)</f>
        <v>0</v>
      </c>
      <c r="W116" s="16">
        <f>IFERROR(__xludf.DUMMYFUNCTION("""COMPUTED_VALUE"""),0.0)</f>
        <v>0</v>
      </c>
      <c r="X116" s="16">
        <f>IFERROR(__xludf.DUMMYFUNCTION("""COMPUTED_VALUE"""),0.0)</f>
        <v>0</v>
      </c>
      <c r="Y116" s="16">
        <f>IFERROR(__xludf.DUMMYFUNCTION("""COMPUTED_VALUE"""),0.0)</f>
        <v>0</v>
      </c>
      <c r="Z116" s="16">
        <f>IFERROR(__xludf.DUMMYFUNCTION("""COMPUTED_VALUE"""),0.0)</f>
        <v>0</v>
      </c>
      <c r="AA116" s="16">
        <f>IFERROR(__xludf.DUMMYFUNCTION("""COMPUTED_VALUE"""),0.0)</f>
        <v>0</v>
      </c>
      <c r="AB116" s="16">
        <f>IFERROR(__xludf.DUMMYFUNCTION("""COMPUTED_VALUE"""),0.0)</f>
        <v>0</v>
      </c>
      <c r="AC116" s="16">
        <f>IFERROR(__xludf.DUMMYFUNCTION("""COMPUTED_VALUE"""),0.0)</f>
        <v>0</v>
      </c>
      <c r="AD116" s="16">
        <f>IFERROR(__xludf.DUMMYFUNCTION("""COMPUTED_VALUE"""),0.0)</f>
        <v>0</v>
      </c>
      <c r="AE116" s="16">
        <f>IFERROR(__xludf.DUMMYFUNCTION("""COMPUTED_VALUE"""),0.0)</f>
        <v>0</v>
      </c>
      <c r="AF116" s="16">
        <f>IFERROR(__xludf.DUMMYFUNCTION("""COMPUTED_VALUE"""),0.0)</f>
        <v>0</v>
      </c>
      <c r="AG116" s="16">
        <f>IFERROR(__xludf.DUMMYFUNCTION("""COMPUTED_VALUE"""),0.0)</f>
        <v>0</v>
      </c>
      <c r="AH116" s="16">
        <f>IFERROR(__xludf.DUMMYFUNCTION("""COMPUTED_VALUE"""),0.0)</f>
        <v>0</v>
      </c>
    </row>
    <row r="117">
      <c r="A117" s="16" t="str">
        <f>IFERROR(__xludf.DUMMYFUNCTION("""COMPUTED_VALUE"""),"5cf4b46f18d6bb7294440595874ef70922a2b9a3")</f>
        <v>5cf4b46f18d6bb7294440595874ef70922a2b9a3</v>
      </c>
      <c r="B117" s="16" t="str">
        <f>IFERROR(__xludf.DUMMYFUNCTION("""COMPUTED_VALUE"""),"Alabama Royal")</f>
        <v>Alabama Royal</v>
      </c>
      <c r="C117" s="16" t="str">
        <f>IFERROR(__xludf.DUMMYFUNCTION("""COMPUTED_VALUE"""),"Romance")</f>
        <v>Romance</v>
      </c>
      <c r="D117" s="16">
        <f>IFERROR(__xludf.DUMMYFUNCTION("""COMPUTED_VALUE"""),74.0)</f>
        <v>74</v>
      </c>
      <c r="E117" s="16">
        <f>IFERROR(__xludf.DUMMYFUNCTION("""COMPUTED_VALUE"""),1.0)</f>
        <v>1</v>
      </c>
      <c r="F117" s="16">
        <f>IFERROR(__xludf.DUMMYFUNCTION("""COMPUTED_VALUE"""),0.472972972972972)</f>
        <v>0.472972973</v>
      </c>
      <c r="G117" s="16">
        <f>IFERROR(__xludf.DUMMYFUNCTION("""COMPUTED_VALUE"""),0.391891891891891)</f>
        <v>0.3918918919</v>
      </c>
      <c r="H117" s="16">
        <f>IFERROR(__xludf.DUMMYFUNCTION("""COMPUTED_VALUE"""),0.351351351351351)</f>
        <v>0.3513513514</v>
      </c>
      <c r="I117" s="16">
        <f>IFERROR(__xludf.DUMMYFUNCTION("""COMPUTED_VALUE"""),0.337837837837837)</f>
        <v>0.3378378378</v>
      </c>
      <c r="J117" s="16">
        <f>IFERROR(__xludf.DUMMYFUNCTION("""COMPUTED_VALUE"""),0.337837837837837)</f>
        <v>0.3378378378</v>
      </c>
      <c r="K117" s="16">
        <f>IFERROR(__xludf.DUMMYFUNCTION("""COMPUTED_VALUE"""),0.337837837837837)</f>
        <v>0.3378378378</v>
      </c>
      <c r="L117" s="16">
        <f>IFERROR(__xludf.DUMMYFUNCTION("""COMPUTED_VALUE"""),0.337837837837837)</f>
        <v>0.3378378378</v>
      </c>
      <c r="M117" s="16">
        <f>IFERROR(__xludf.DUMMYFUNCTION("""COMPUTED_VALUE"""),0.31081081081081)</f>
        <v>0.3108108108</v>
      </c>
      <c r="N117" s="16">
        <f>IFERROR(__xludf.DUMMYFUNCTION("""COMPUTED_VALUE"""),0.31081081081081)</f>
        <v>0.3108108108</v>
      </c>
      <c r="O117" s="16">
        <f>IFERROR(__xludf.DUMMYFUNCTION("""COMPUTED_VALUE"""),0.27027027027027)</f>
        <v>0.2702702703</v>
      </c>
      <c r="P117" s="16">
        <f>IFERROR(__xludf.DUMMYFUNCTION("""COMPUTED_VALUE"""),0.216216216216216)</f>
        <v>0.2162162162</v>
      </c>
      <c r="Q117" s="16">
        <f>IFERROR(__xludf.DUMMYFUNCTION("""COMPUTED_VALUE"""),0.136363636363636)</f>
        <v>0.1363636364</v>
      </c>
      <c r="R117" s="16">
        <f>IFERROR(__xludf.DUMMYFUNCTION("""COMPUTED_VALUE"""),0.0)</f>
        <v>0</v>
      </c>
      <c r="S117" s="16">
        <f>IFERROR(__xludf.DUMMYFUNCTION("""COMPUTED_VALUE"""),0.0)</f>
        <v>0</v>
      </c>
      <c r="T117" s="16">
        <f>IFERROR(__xludf.DUMMYFUNCTION("""COMPUTED_VALUE"""),0.0)</f>
        <v>0</v>
      </c>
      <c r="U117" s="16">
        <f>IFERROR(__xludf.DUMMYFUNCTION("""COMPUTED_VALUE"""),0.0)</f>
        <v>0</v>
      </c>
      <c r="V117" s="16">
        <f>IFERROR(__xludf.DUMMYFUNCTION("""COMPUTED_VALUE"""),0.0)</f>
        <v>0</v>
      </c>
      <c r="W117" s="16">
        <f>IFERROR(__xludf.DUMMYFUNCTION("""COMPUTED_VALUE"""),0.0)</f>
        <v>0</v>
      </c>
      <c r="X117" s="16">
        <f>IFERROR(__xludf.DUMMYFUNCTION("""COMPUTED_VALUE"""),0.0)</f>
        <v>0</v>
      </c>
      <c r="Y117" s="16">
        <f>IFERROR(__xludf.DUMMYFUNCTION("""COMPUTED_VALUE"""),0.0)</f>
        <v>0</v>
      </c>
      <c r="Z117" s="16">
        <f>IFERROR(__xludf.DUMMYFUNCTION("""COMPUTED_VALUE"""),0.0)</f>
        <v>0</v>
      </c>
      <c r="AA117" s="16">
        <f>IFERROR(__xludf.DUMMYFUNCTION("""COMPUTED_VALUE"""),0.0)</f>
        <v>0</v>
      </c>
      <c r="AB117" s="16">
        <f>IFERROR(__xludf.DUMMYFUNCTION("""COMPUTED_VALUE"""),0.0)</f>
        <v>0</v>
      </c>
      <c r="AC117" s="16">
        <f>IFERROR(__xludf.DUMMYFUNCTION("""COMPUTED_VALUE"""),0.0)</f>
        <v>0</v>
      </c>
      <c r="AD117" s="16">
        <f>IFERROR(__xludf.DUMMYFUNCTION("""COMPUTED_VALUE"""),0.0)</f>
        <v>0</v>
      </c>
      <c r="AE117" s="16">
        <f>IFERROR(__xludf.DUMMYFUNCTION("""COMPUTED_VALUE"""),0.0)</f>
        <v>0</v>
      </c>
      <c r="AF117" s="16">
        <f>IFERROR(__xludf.DUMMYFUNCTION("""COMPUTED_VALUE"""),0.0)</f>
        <v>0</v>
      </c>
      <c r="AG117" s="16">
        <f>IFERROR(__xludf.DUMMYFUNCTION("""COMPUTED_VALUE"""),0.0)</f>
        <v>0</v>
      </c>
      <c r="AH117" s="16">
        <f>IFERROR(__xludf.DUMMYFUNCTION("""COMPUTED_VALUE"""),0.0)</f>
        <v>0</v>
      </c>
    </row>
    <row r="118">
      <c r="A118" s="16" t="str">
        <f>IFERROR(__xludf.DUMMYFUNCTION("""COMPUTED_VALUE"""),"5d4e7e8696e74e383e0ea0e4f4f535ba9758496a")</f>
        <v>5d4e7e8696e74e383e0ea0e4f4f535ba9758496a</v>
      </c>
      <c r="B118" s="16" t="str">
        <f>IFERROR(__xludf.DUMMYFUNCTION("""COMPUTED_VALUE"""),"Who Fathered My Twins")</f>
        <v>Who Fathered My Twins</v>
      </c>
      <c r="C118" s="16" t="str">
        <f>IFERROR(__xludf.DUMMYFUNCTION("""COMPUTED_VALUE"""),"Romance")</f>
        <v>Romance</v>
      </c>
      <c r="D118" s="16">
        <f>IFERROR(__xludf.DUMMYFUNCTION("""COMPUTED_VALUE"""),9.0)</f>
        <v>9</v>
      </c>
      <c r="E118" s="16">
        <f>IFERROR(__xludf.DUMMYFUNCTION("""COMPUTED_VALUE"""),1.0)</f>
        <v>1</v>
      </c>
      <c r="F118" s="16">
        <f>IFERROR(__xludf.DUMMYFUNCTION("""COMPUTED_VALUE"""),0.666666666666666)</f>
        <v>0.6666666667</v>
      </c>
      <c r="G118" s="16">
        <f>IFERROR(__xludf.DUMMYFUNCTION("""COMPUTED_VALUE"""),0.666666666666666)</f>
        <v>0.6666666667</v>
      </c>
      <c r="H118" s="16">
        <f>IFERROR(__xludf.DUMMYFUNCTION("""COMPUTED_VALUE"""),0.555555555555555)</f>
        <v>0.5555555556</v>
      </c>
      <c r="I118" s="16">
        <f>IFERROR(__xludf.DUMMYFUNCTION("""COMPUTED_VALUE"""),0.555555555555555)</f>
        <v>0.5555555556</v>
      </c>
      <c r="J118" s="16">
        <f>IFERROR(__xludf.DUMMYFUNCTION("""COMPUTED_VALUE"""),0.555555555555555)</f>
        <v>0.5555555556</v>
      </c>
      <c r="K118" s="16">
        <f>IFERROR(__xludf.DUMMYFUNCTION("""COMPUTED_VALUE"""),0.555555555555555)</f>
        <v>0.5555555556</v>
      </c>
      <c r="L118" s="16">
        <f>IFERROR(__xludf.DUMMYFUNCTION("""COMPUTED_VALUE"""),0.555555555555555)</f>
        <v>0.5555555556</v>
      </c>
      <c r="M118" s="16">
        <f>IFERROR(__xludf.DUMMYFUNCTION("""COMPUTED_VALUE"""),0.444444444444444)</f>
        <v>0.4444444444</v>
      </c>
      <c r="N118" s="16">
        <f>IFERROR(__xludf.DUMMYFUNCTION("""COMPUTED_VALUE"""),0.444444444444444)</f>
        <v>0.4444444444</v>
      </c>
      <c r="O118" s="16">
        <f>IFERROR(__xludf.DUMMYFUNCTION("""COMPUTED_VALUE"""),0.333333333333333)</f>
        <v>0.3333333333</v>
      </c>
      <c r="P118" s="16">
        <f>IFERROR(__xludf.DUMMYFUNCTION("""COMPUTED_VALUE"""),0.166666666666666)</f>
        <v>0.1666666667</v>
      </c>
      <c r="Q118" s="16">
        <f>IFERROR(__xludf.DUMMYFUNCTION("""COMPUTED_VALUE"""),0.0)</f>
        <v>0</v>
      </c>
      <c r="R118" s="16">
        <f>IFERROR(__xludf.DUMMYFUNCTION("""COMPUTED_VALUE"""),0.0)</f>
        <v>0</v>
      </c>
      <c r="S118" s="16">
        <f>IFERROR(__xludf.DUMMYFUNCTION("""COMPUTED_VALUE"""),0.0)</f>
        <v>0</v>
      </c>
      <c r="T118" s="16">
        <f>IFERROR(__xludf.DUMMYFUNCTION("""COMPUTED_VALUE"""),0.0)</f>
        <v>0</v>
      </c>
      <c r="U118" s="16">
        <f>IFERROR(__xludf.DUMMYFUNCTION("""COMPUTED_VALUE"""),0.0)</f>
        <v>0</v>
      </c>
      <c r="V118" s="16">
        <f>IFERROR(__xludf.DUMMYFUNCTION("""COMPUTED_VALUE"""),0.0)</f>
        <v>0</v>
      </c>
      <c r="W118" s="16">
        <f>IFERROR(__xludf.DUMMYFUNCTION("""COMPUTED_VALUE"""),0.0)</f>
        <v>0</v>
      </c>
      <c r="X118" s="16">
        <f>IFERROR(__xludf.DUMMYFUNCTION("""COMPUTED_VALUE"""),0.0)</f>
        <v>0</v>
      </c>
      <c r="Y118" s="16">
        <f>IFERROR(__xludf.DUMMYFUNCTION("""COMPUTED_VALUE"""),0.0)</f>
        <v>0</v>
      </c>
      <c r="Z118" s="16">
        <f>IFERROR(__xludf.DUMMYFUNCTION("""COMPUTED_VALUE"""),0.0)</f>
        <v>0</v>
      </c>
      <c r="AA118" s="16">
        <f>IFERROR(__xludf.DUMMYFUNCTION("""COMPUTED_VALUE"""),0.0)</f>
        <v>0</v>
      </c>
      <c r="AB118" s="16">
        <f>IFERROR(__xludf.DUMMYFUNCTION("""COMPUTED_VALUE"""),0.0)</f>
        <v>0</v>
      </c>
      <c r="AC118" s="16">
        <f>IFERROR(__xludf.DUMMYFUNCTION("""COMPUTED_VALUE"""),0.0)</f>
        <v>0</v>
      </c>
      <c r="AD118" s="16">
        <f>IFERROR(__xludf.DUMMYFUNCTION("""COMPUTED_VALUE"""),0.0)</f>
        <v>0</v>
      </c>
      <c r="AE118" s="16">
        <f>IFERROR(__xludf.DUMMYFUNCTION("""COMPUTED_VALUE"""),0.0)</f>
        <v>0</v>
      </c>
      <c r="AF118" s="16">
        <f>IFERROR(__xludf.DUMMYFUNCTION("""COMPUTED_VALUE"""),0.0)</f>
        <v>0</v>
      </c>
      <c r="AG118" s="16">
        <f>IFERROR(__xludf.DUMMYFUNCTION("""COMPUTED_VALUE"""),0.0)</f>
        <v>0</v>
      </c>
      <c r="AH118" s="16">
        <f>IFERROR(__xludf.DUMMYFUNCTION("""COMPUTED_VALUE"""),0.0)</f>
        <v>0</v>
      </c>
    </row>
    <row r="119">
      <c r="A119" s="16" t="str">
        <f>IFERROR(__xludf.DUMMYFUNCTION("""COMPUTED_VALUE"""),"5e570d3fccfb5029774b4d9f9669429f580d0791")</f>
        <v>5e570d3fccfb5029774b4d9f9669429f580d0791</v>
      </c>
      <c r="B119" s="16" t="str">
        <f>IFERROR(__xludf.DUMMYFUNCTION("""COMPUTED_VALUE"""),"Princess Ebony &amp; the Silver Dragon")</f>
        <v>Princess Ebony &amp; the Silver Dragon</v>
      </c>
      <c r="C119" s="16" t="str">
        <f>IFERROR(__xludf.DUMMYFUNCTION("""COMPUTED_VALUE"""),"Fantasy")</f>
        <v>Fantasy</v>
      </c>
      <c r="D119" s="16">
        <f>IFERROR(__xludf.DUMMYFUNCTION("""COMPUTED_VALUE"""),585.0)</f>
        <v>585</v>
      </c>
      <c r="E119" s="16">
        <f>IFERROR(__xludf.DUMMYFUNCTION("""COMPUTED_VALUE"""),0.921367521367521)</f>
        <v>0.9213675214</v>
      </c>
      <c r="F119" s="16">
        <f>IFERROR(__xludf.DUMMYFUNCTION("""COMPUTED_VALUE"""),0.517948717948718)</f>
        <v>0.5179487179</v>
      </c>
      <c r="G119" s="16">
        <f>IFERROR(__xludf.DUMMYFUNCTION("""COMPUTED_VALUE"""),0.471794871794871)</f>
        <v>0.4717948718</v>
      </c>
      <c r="H119" s="16">
        <f>IFERROR(__xludf.DUMMYFUNCTION("""COMPUTED_VALUE"""),0.447863247863247)</f>
        <v>0.4478632479</v>
      </c>
      <c r="I119" s="16">
        <f>IFERROR(__xludf.DUMMYFUNCTION("""COMPUTED_VALUE"""),0.429059829059829)</f>
        <v>0.4290598291</v>
      </c>
      <c r="J119" s="16">
        <f>IFERROR(__xludf.DUMMYFUNCTION("""COMPUTED_VALUE"""),0.412671232876712)</f>
        <v>0.4126712329</v>
      </c>
      <c r="K119" s="16">
        <f>IFERROR(__xludf.DUMMYFUNCTION("""COMPUTED_VALUE"""),0.395547945205479)</f>
        <v>0.3955479452</v>
      </c>
      <c r="L119" s="16">
        <f>IFERROR(__xludf.DUMMYFUNCTION("""COMPUTED_VALUE"""),0.390410958904109)</f>
        <v>0.3904109589</v>
      </c>
      <c r="M119" s="16">
        <f>IFERROR(__xludf.DUMMYFUNCTION("""COMPUTED_VALUE"""),0.388698630136986)</f>
        <v>0.3886986301</v>
      </c>
      <c r="N119" s="16">
        <f>IFERROR(__xludf.DUMMYFUNCTION("""COMPUTED_VALUE"""),0.376712328767123)</f>
        <v>0.3767123288</v>
      </c>
      <c r="O119" s="16">
        <f>IFERROR(__xludf.DUMMYFUNCTION("""COMPUTED_VALUE"""),0.335616438356164)</f>
        <v>0.3356164384</v>
      </c>
      <c r="P119" s="16">
        <f>IFERROR(__xludf.DUMMYFUNCTION("""COMPUTED_VALUE"""),0.285958904109589)</f>
        <v>0.2859589041</v>
      </c>
      <c r="Q119" s="16">
        <f>IFERROR(__xludf.DUMMYFUNCTION("""COMPUTED_VALUE"""),0.238013698630137)</f>
        <v>0.2380136986</v>
      </c>
      <c r="R119" s="16">
        <f>IFERROR(__xludf.DUMMYFUNCTION("""COMPUTED_VALUE"""),0.196917808219178)</f>
        <v>0.1969178082</v>
      </c>
      <c r="S119" s="16">
        <f>IFERROR(__xludf.DUMMYFUNCTION("""COMPUTED_VALUE"""),0.174657534246575)</f>
        <v>0.1746575342</v>
      </c>
      <c r="T119" s="16">
        <f>IFERROR(__xludf.DUMMYFUNCTION("""COMPUTED_VALUE"""),0.147260273972602)</f>
        <v>0.147260274</v>
      </c>
      <c r="U119" s="16">
        <f>IFERROR(__xludf.DUMMYFUNCTION("""COMPUTED_VALUE"""),0.0985915492957746)</f>
        <v>0.0985915493</v>
      </c>
      <c r="V119" s="16">
        <f>IFERROR(__xludf.DUMMYFUNCTION("""COMPUTED_VALUE"""),0.0738255033557047)</f>
        <v>0.07382550336</v>
      </c>
      <c r="W119" s="16">
        <f>IFERROR(__xludf.DUMMYFUNCTION("""COMPUTED_VALUE"""),0.0875)</f>
        <v>0.0875</v>
      </c>
      <c r="X119" s="16">
        <f>IFERROR(__xludf.DUMMYFUNCTION("""COMPUTED_VALUE"""),0.0188679245283018)</f>
        <v>0.01886792453</v>
      </c>
      <c r="Y119" s="16">
        <f>IFERROR(__xludf.DUMMYFUNCTION("""COMPUTED_VALUE"""),0.0)</f>
        <v>0</v>
      </c>
      <c r="Z119" s="16">
        <f>IFERROR(__xludf.DUMMYFUNCTION("""COMPUTED_VALUE"""),0.0)</f>
        <v>0</v>
      </c>
      <c r="AA119" s="16">
        <f>IFERROR(__xludf.DUMMYFUNCTION("""COMPUTED_VALUE"""),0.0)</f>
        <v>0</v>
      </c>
      <c r="AB119" s="16">
        <f>IFERROR(__xludf.DUMMYFUNCTION("""COMPUTED_VALUE"""),0.0)</f>
        <v>0</v>
      </c>
      <c r="AC119" s="16">
        <f>IFERROR(__xludf.DUMMYFUNCTION("""COMPUTED_VALUE"""),0.0)</f>
        <v>0</v>
      </c>
      <c r="AD119" s="16">
        <f>IFERROR(__xludf.DUMMYFUNCTION("""COMPUTED_VALUE"""),0.0)</f>
        <v>0</v>
      </c>
      <c r="AE119" s="16">
        <f>IFERROR(__xludf.DUMMYFUNCTION("""COMPUTED_VALUE"""),0.0)</f>
        <v>0</v>
      </c>
      <c r="AF119" s="16">
        <f>IFERROR(__xludf.DUMMYFUNCTION("""COMPUTED_VALUE"""),0.0)</f>
        <v>0</v>
      </c>
      <c r="AG119" s="16">
        <f>IFERROR(__xludf.DUMMYFUNCTION("""COMPUTED_VALUE"""),0.0)</f>
        <v>0</v>
      </c>
      <c r="AH119" s="16">
        <f>IFERROR(__xludf.DUMMYFUNCTION("""COMPUTED_VALUE"""),0.0)</f>
        <v>0</v>
      </c>
    </row>
    <row r="120">
      <c r="A120" s="16" t="str">
        <f>IFERROR(__xludf.DUMMYFUNCTION("""COMPUTED_VALUE"""),"600fd3dce36442cc62b42d3dc874d91d13e1d8e4")</f>
        <v>600fd3dce36442cc62b42d3dc874d91d13e1d8e4</v>
      </c>
      <c r="B120" s="16" t="str">
        <f>IFERROR(__xludf.DUMMYFUNCTION("""COMPUTED_VALUE"""),"Solo Leveling Respawn")</f>
        <v>Solo Leveling Respawn</v>
      </c>
      <c r="C120" s="16" t="str">
        <f>IFERROR(__xludf.DUMMYFUNCTION("""COMPUTED_VALUE"""),"System and Superpower")</f>
        <v>System and Superpower</v>
      </c>
      <c r="D120" s="16">
        <f>IFERROR(__xludf.DUMMYFUNCTION("""COMPUTED_VALUE"""),61.0)</f>
        <v>61</v>
      </c>
      <c r="E120" s="16">
        <f>IFERROR(__xludf.DUMMYFUNCTION("""COMPUTED_VALUE"""),0.983606557377049)</f>
        <v>0.9836065574</v>
      </c>
      <c r="F120" s="16">
        <f>IFERROR(__xludf.DUMMYFUNCTION("""COMPUTED_VALUE"""),0.508196721311475)</f>
        <v>0.5081967213</v>
      </c>
      <c r="G120" s="16">
        <f>IFERROR(__xludf.DUMMYFUNCTION("""COMPUTED_VALUE"""),0.344262295081967)</f>
        <v>0.3442622951</v>
      </c>
      <c r="H120" s="16">
        <f>IFERROR(__xludf.DUMMYFUNCTION("""COMPUTED_VALUE"""),0.278688524590163)</f>
        <v>0.2786885246</v>
      </c>
      <c r="I120" s="16">
        <f>IFERROR(__xludf.DUMMYFUNCTION("""COMPUTED_VALUE"""),0.245901639344262)</f>
        <v>0.2459016393</v>
      </c>
      <c r="J120" s="16">
        <f>IFERROR(__xludf.DUMMYFUNCTION("""COMPUTED_VALUE"""),0.21311475409836)</f>
        <v>0.2131147541</v>
      </c>
      <c r="K120" s="16">
        <f>IFERROR(__xludf.DUMMYFUNCTION("""COMPUTED_VALUE"""),0.163934426229508)</f>
        <v>0.1639344262</v>
      </c>
      <c r="L120" s="16">
        <f>IFERROR(__xludf.DUMMYFUNCTION("""COMPUTED_VALUE"""),0.163934426229508)</f>
        <v>0.1639344262</v>
      </c>
      <c r="M120" s="16">
        <f>IFERROR(__xludf.DUMMYFUNCTION("""COMPUTED_VALUE"""),0.147540983606557)</f>
        <v>0.1475409836</v>
      </c>
      <c r="N120" s="16">
        <f>IFERROR(__xludf.DUMMYFUNCTION("""COMPUTED_VALUE"""),0.114754098360655)</f>
        <v>0.1147540984</v>
      </c>
      <c r="O120" s="16">
        <f>IFERROR(__xludf.DUMMYFUNCTION("""COMPUTED_VALUE"""),0.122807017543859)</f>
        <v>0.1228070175</v>
      </c>
      <c r="P120" s="16">
        <f>IFERROR(__xludf.DUMMYFUNCTION("""COMPUTED_VALUE"""),0.125)</f>
        <v>0.125</v>
      </c>
      <c r="Q120" s="16">
        <f>IFERROR(__xludf.DUMMYFUNCTION("""COMPUTED_VALUE"""),0.0588235294117647)</f>
        <v>0.05882352941</v>
      </c>
      <c r="R120" s="16">
        <f>IFERROR(__xludf.DUMMYFUNCTION("""COMPUTED_VALUE"""),0.0208333333333333)</f>
        <v>0.02083333333</v>
      </c>
      <c r="S120" s="16">
        <f>IFERROR(__xludf.DUMMYFUNCTION("""COMPUTED_VALUE"""),0.0465116279069767)</f>
        <v>0.04651162791</v>
      </c>
      <c r="T120" s="16">
        <f>IFERROR(__xludf.DUMMYFUNCTION("""COMPUTED_VALUE"""),0.0277777777777777)</f>
        <v>0.02777777778</v>
      </c>
      <c r="U120" s="16">
        <f>IFERROR(__xludf.DUMMYFUNCTION("""COMPUTED_VALUE"""),0.0294117647058823)</f>
        <v>0.02941176471</v>
      </c>
      <c r="V120" s="16">
        <f>IFERROR(__xludf.DUMMYFUNCTION("""COMPUTED_VALUE"""),0.0)</f>
        <v>0</v>
      </c>
      <c r="W120" s="16">
        <f>IFERROR(__xludf.DUMMYFUNCTION("""COMPUTED_VALUE"""),0.0)</f>
        <v>0</v>
      </c>
      <c r="X120" s="16">
        <f>IFERROR(__xludf.DUMMYFUNCTION("""COMPUTED_VALUE"""),0.0)</f>
        <v>0</v>
      </c>
      <c r="Y120" s="16">
        <f>IFERROR(__xludf.DUMMYFUNCTION("""COMPUTED_VALUE"""),0.0)</f>
        <v>0</v>
      </c>
      <c r="Z120" s="16">
        <f>IFERROR(__xludf.DUMMYFUNCTION("""COMPUTED_VALUE"""),0.0)</f>
        <v>0</v>
      </c>
      <c r="AA120" s="16">
        <f>IFERROR(__xludf.DUMMYFUNCTION("""COMPUTED_VALUE"""),0.0)</f>
        <v>0</v>
      </c>
      <c r="AB120" s="16">
        <f>IFERROR(__xludf.DUMMYFUNCTION("""COMPUTED_VALUE"""),0.0)</f>
        <v>0</v>
      </c>
      <c r="AC120" s="16">
        <f>IFERROR(__xludf.DUMMYFUNCTION("""COMPUTED_VALUE"""),0.0)</f>
        <v>0</v>
      </c>
      <c r="AD120" s="16">
        <f>IFERROR(__xludf.DUMMYFUNCTION("""COMPUTED_VALUE"""),0.0)</f>
        <v>0</v>
      </c>
      <c r="AE120" s="16">
        <f>IFERROR(__xludf.DUMMYFUNCTION("""COMPUTED_VALUE"""),0.0)</f>
        <v>0</v>
      </c>
      <c r="AF120" s="16">
        <f>IFERROR(__xludf.DUMMYFUNCTION("""COMPUTED_VALUE"""),0.0)</f>
        <v>0</v>
      </c>
      <c r="AG120" s="16">
        <f>IFERROR(__xludf.DUMMYFUNCTION("""COMPUTED_VALUE"""),0.0)</f>
        <v>0</v>
      </c>
      <c r="AH120" s="16">
        <f>IFERROR(__xludf.DUMMYFUNCTION("""COMPUTED_VALUE"""),0.0)</f>
        <v>0</v>
      </c>
    </row>
    <row r="121">
      <c r="A121" s="16" t="str">
        <f>IFERROR(__xludf.DUMMYFUNCTION("""COMPUTED_VALUE"""),"607c0f609185406d26ef53f75ec53702dfb292d7")</f>
        <v>607c0f609185406d26ef53f75ec53702dfb292d7</v>
      </c>
      <c r="B121" s="16" t="str">
        <f>IFERROR(__xludf.DUMMYFUNCTION("""COMPUTED_VALUE"""),"The Chaosborn Child")</f>
        <v>The Chaosborn Child</v>
      </c>
      <c r="C121" s="16" t="str">
        <f>IFERROR(__xludf.DUMMYFUNCTION("""COMPUTED_VALUE"""),"Fantasy")</f>
        <v>Fantasy</v>
      </c>
      <c r="D121" s="16">
        <f>IFERROR(__xludf.DUMMYFUNCTION("""COMPUTED_VALUE"""),29.0)</f>
        <v>29</v>
      </c>
      <c r="E121" s="16">
        <f>IFERROR(__xludf.DUMMYFUNCTION("""COMPUTED_VALUE"""),0.96551724137931)</f>
        <v>0.9655172414</v>
      </c>
      <c r="F121" s="16">
        <f>IFERROR(__xludf.DUMMYFUNCTION("""COMPUTED_VALUE"""),0.482758620689655)</f>
        <v>0.4827586207</v>
      </c>
      <c r="G121" s="16">
        <f>IFERROR(__xludf.DUMMYFUNCTION("""COMPUTED_VALUE"""),0.448275862068965)</f>
        <v>0.4482758621</v>
      </c>
      <c r="H121" s="16">
        <f>IFERROR(__xludf.DUMMYFUNCTION("""COMPUTED_VALUE"""),0.482758620689655)</f>
        <v>0.4827586207</v>
      </c>
      <c r="I121" s="16">
        <f>IFERROR(__xludf.DUMMYFUNCTION("""COMPUTED_VALUE"""),0.448275862068965)</f>
        <v>0.4482758621</v>
      </c>
      <c r="J121" s="16">
        <f>IFERROR(__xludf.DUMMYFUNCTION("""COMPUTED_VALUE"""),0.413793103448275)</f>
        <v>0.4137931034</v>
      </c>
      <c r="K121" s="16">
        <f>IFERROR(__xludf.DUMMYFUNCTION("""COMPUTED_VALUE"""),0.413793103448275)</f>
        <v>0.4137931034</v>
      </c>
      <c r="L121" s="16">
        <f>IFERROR(__xludf.DUMMYFUNCTION("""COMPUTED_VALUE"""),0.379310344827586)</f>
        <v>0.3793103448</v>
      </c>
      <c r="M121" s="16">
        <f>IFERROR(__xludf.DUMMYFUNCTION("""COMPUTED_VALUE"""),0.392857142857142)</f>
        <v>0.3928571429</v>
      </c>
      <c r="N121" s="16">
        <f>IFERROR(__xludf.DUMMYFUNCTION("""COMPUTED_VALUE"""),0.357142857142857)</f>
        <v>0.3571428571</v>
      </c>
      <c r="O121" s="16">
        <f>IFERROR(__xludf.DUMMYFUNCTION("""COMPUTED_VALUE"""),0.333333333333333)</f>
        <v>0.3333333333</v>
      </c>
      <c r="P121" s="16">
        <f>IFERROR(__xludf.DUMMYFUNCTION("""COMPUTED_VALUE"""),0.25)</f>
        <v>0.25</v>
      </c>
      <c r="Q121" s="16">
        <f>IFERROR(__xludf.DUMMYFUNCTION("""COMPUTED_VALUE"""),0.1)</f>
        <v>0.1</v>
      </c>
      <c r="R121" s="16">
        <f>IFERROR(__xludf.DUMMYFUNCTION("""COMPUTED_VALUE"""),0.0)</f>
        <v>0</v>
      </c>
      <c r="S121" s="16">
        <f>IFERROR(__xludf.DUMMYFUNCTION("""COMPUTED_VALUE"""),0.0)</f>
        <v>0</v>
      </c>
      <c r="T121" s="16">
        <f>IFERROR(__xludf.DUMMYFUNCTION("""COMPUTED_VALUE"""),0.0)</f>
        <v>0</v>
      </c>
      <c r="U121" s="16">
        <f>IFERROR(__xludf.DUMMYFUNCTION("""COMPUTED_VALUE"""),0.0)</f>
        <v>0</v>
      </c>
      <c r="V121" s="16">
        <f>IFERROR(__xludf.DUMMYFUNCTION("""COMPUTED_VALUE"""),0.0)</f>
        <v>0</v>
      </c>
      <c r="W121" s="16">
        <f>IFERROR(__xludf.DUMMYFUNCTION("""COMPUTED_VALUE"""),0.0)</f>
        <v>0</v>
      </c>
      <c r="X121" s="16">
        <f>IFERROR(__xludf.DUMMYFUNCTION("""COMPUTED_VALUE"""),0.0)</f>
        <v>0</v>
      </c>
      <c r="Y121" s="16">
        <f>IFERROR(__xludf.DUMMYFUNCTION("""COMPUTED_VALUE"""),0.0)</f>
        <v>0</v>
      </c>
      <c r="Z121" s="16">
        <f>IFERROR(__xludf.DUMMYFUNCTION("""COMPUTED_VALUE"""),0.0)</f>
        <v>0</v>
      </c>
      <c r="AA121" s="16">
        <f>IFERROR(__xludf.DUMMYFUNCTION("""COMPUTED_VALUE"""),0.0)</f>
        <v>0</v>
      </c>
      <c r="AB121" s="16">
        <f>IFERROR(__xludf.DUMMYFUNCTION("""COMPUTED_VALUE"""),0.0)</f>
        <v>0</v>
      </c>
      <c r="AC121" s="16">
        <f>IFERROR(__xludf.DUMMYFUNCTION("""COMPUTED_VALUE"""),0.0)</f>
        <v>0</v>
      </c>
      <c r="AD121" s="16">
        <f>IFERROR(__xludf.DUMMYFUNCTION("""COMPUTED_VALUE"""),0.0)</f>
        <v>0</v>
      </c>
      <c r="AE121" s="16">
        <f>IFERROR(__xludf.DUMMYFUNCTION("""COMPUTED_VALUE"""),0.0)</f>
        <v>0</v>
      </c>
      <c r="AF121" s="16">
        <f>IFERROR(__xludf.DUMMYFUNCTION("""COMPUTED_VALUE"""),0.0)</f>
        <v>0</v>
      </c>
      <c r="AG121" s="16">
        <f>IFERROR(__xludf.DUMMYFUNCTION("""COMPUTED_VALUE"""),0.0)</f>
        <v>0</v>
      </c>
      <c r="AH121" s="16">
        <f>IFERROR(__xludf.DUMMYFUNCTION("""COMPUTED_VALUE"""),0.0)</f>
        <v>0</v>
      </c>
    </row>
    <row r="122">
      <c r="A122" s="16" t="str">
        <f>IFERROR(__xludf.DUMMYFUNCTION("""COMPUTED_VALUE"""),"616431aa030a50bfb34a59a1919f5a8db0c29017")</f>
        <v>616431aa030a50bfb34a59a1919f5a8db0c29017</v>
      </c>
      <c r="B122" s="16" t="str">
        <f>IFERROR(__xludf.DUMMYFUNCTION("""COMPUTED_VALUE"""),"She Came Back Fabulous")</f>
        <v>She Came Back Fabulous</v>
      </c>
      <c r="C122" s="16" t="str">
        <f>IFERROR(__xludf.DUMMYFUNCTION("""COMPUTED_VALUE"""),"Romance")</f>
        <v>Romance</v>
      </c>
      <c r="D122" s="16">
        <f>IFERROR(__xludf.DUMMYFUNCTION("""COMPUTED_VALUE"""),48.0)</f>
        <v>48</v>
      </c>
      <c r="E122" s="16">
        <f>IFERROR(__xludf.DUMMYFUNCTION("""COMPUTED_VALUE"""),1.0)</f>
        <v>1</v>
      </c>
      <c r="F122" s="16">
        <f>IFERROR(__xludf.DUMMYFUNCTION("""COMPUTED_VALUE"""),0.6875)</f>
        <v>0.6875</v>
      </c>
      <c r="G122" s="16">
        <f>IFERROR(__xludf.DUMMYFUNCTION("""COMPUTED_VALUE"""),0.583333333333333)</f>
        <v>0.5833333333</v>
      </c>
      <c r="H122" s="16">
        <f>IFERROR(__xludf.DUMMYFUNCTION("""COMPUTED_VALUE"""),0.5)</f>
        <v>0.5</v>
      </c>
      <c r="I122" s="16">
        <f>IFERROR(__xludf.DUMMYFUNCTION("""COMPUTED_VALUE"""),0.479166666666666)</f>
        <v>0.4791666667</v>
      </c>
      <c r="J122" s="16">
        <f>IFERROR(__xludf.DUMMYFUNCTION("""COMPUTED_VALUE"""),0.446808510638297)</f>
        <v>0.4468085106</v>
      </c>
      <c r="K122" s="16">
        <f>IFERROR(__xludf.DUMMYFUNCTION("""COMPUTED_VALUE"""),0.391304347826087)</f>
        <v>0.3913043478</v>
      </c>
      <c r="L122" s="16">
        <f>IFERROR(__xludf.DUMMYFUNCTION("""COMPUTED_VALUE"""),0.333333333333333)</f>
        <v>0.3333333333</v>
      </c>
      <c r="M122" s="16">
        <f>IFERROR(__xludf.DUMMYFUNCTION("""COMPUTED_VALUE"""),0.311111111111111)</f>
        <v>0.3111111111</v>
      </c>
      <c r="N122" s="16">
        <f>IFERROR(__xludf.DUMMYFUNCTION("""COMPUTED_VALUE"""),0.3)</f>
        <v>0.3</v>
      </c>
      <c r="O122" s="16">
        <f>IFERROR(__xludf.DUMMYFUNCTION("""COMPUTED_VALUE"""),0.290322580645161)</f>
        <v>0.2903225806</v>
      </c>
      <c r="P122" s="16">
        <f>IFERROR(__xludf.DUMMYFUNCTION("""COMPUTED_VALUE"""),0.166666666666666)</f>
        <v>0.1666666667</v>
      </c>
      <c r="Q122" s="16">
        <f>IFERROR(__xludf.DUMMYFUNCTION("""COMPUTED_VALUE"""),0.0)</f>
        <v>0</v>
      </c>
      <c r="R122" s="16">
        <f>IFERROR(__xludf.DUMMYFUNCTION("""COMPUTED_VALUE"""),0.0)</f>
        <v>0</v>
      </c>
      <c r="S122" s="16">
        <f>IFERROR(__xludf.DUMMYFUNCTION("""COMPUTED_VALUE"""),0.0)</f>
        <v>0</v>
      </c>
      <c r="T122" s="16">
        <f>IFERROR(__xludf.DUMMYFUNCTION("""COMPUTED_VALUE"""),0.0)</f>
        <v>0</v>
      </c>
      <c r="U122" s="16">
        <f>IFERROR(__xludf.DUMMYFUNCTION("""COMPUTED_VALUE"""),0.0)</f>
        <v>0</v>
      </c>
      <c r="V122" s="16">
        <f>IFERROR(__xludf.DUMMYFUNCTION("""COMPUTED_VALUE"""),0.0)</f>
        <v>0</v>
      </c>
      <c r="W122" s="16">
        <f>IFERROR(__xludf.DUMMYFUNCTION("""COMPUTED_VALUE"""),0.0)</f>
        <v>0</v>
      </c>
      <c r="X122" s="16">
        <f>IFERROR(__xludf.DUMMYFUNCTION("""COMPUTED_VALUE"""),0.0)</f>
        <v>0</v>
      </c>
      <c r="Y122" s="16">
        <f>IFERROR(__xludf.DUMMYFUNCTION("""COMPUTED_VALUE"""),0.0)</f>
        <v>0</v>
      </c>
      <c r="Z122" s="16">
        <f>IFERROR(__xludf.DUMMYFUNCTION("""COMPUTED_VALUE"""),0.0)</f>
        <v>0</v>
      </c>
      <c r="AA122" s="16">
        <f>IFERROR(__xludf.DUMMYFUNCTION("""COMPUTED_VALUE"""),0.0)</f>
        <v>0</v>
      </c>
      <c r="AB122" s="16">
        <f>IFERROR(__xludf.DUMMYFUNCTION("""COMPUTED_VALUE"""),0.0)</f>
        <v>0</v>
      </c>
      <c r="AC122" s="16">
        <f>IFERROR(__xludf.DUMMYFUNCTION("""COMPUTED_VALUE"""),0.0)</f>
        <v>0</v>
      </c>
      <c r="AD122" s="16">
        <f>IFERROR(__xludf.DUMMYFUNCTION("""COMPUTED_VALUE"""),0.0)</f>
        <v>0</v>
      </c>
      <c r="AE122" s="16">
        <f>IFERROR(__xludf.DUMMYFUNCTION("""COMPUTED_VALUE"""),0.0)</f>
        <v>0</v>
      </c>
      <c r="AF122" s="16">
        <f>IFERROR(__xludf.DUMMYFUNCTION("""COMPUTED_VALUE"""),0.0)</f>
        <v>0</v>
      </c>
      <c r="AG122" s="16">
        <f>IFERROR(__xludf.DUMMYFUNCTION("""COMPUTED_VALUE"""),0.0)</f>
        <v>0</v>
      </c>
      <c r="AH122" s="16">
        <f>IFERROR(__xludf.DUMMYFUNCTION("""COMPUTED_VALUE"""),0.0)</f>
        <v>0</v>
      </c>
    </row>
    <row r="123">
      <c r="A123" s="16" t="str">
        <f>IFERROR(__xludf.DUMMYFUNCTION("""COMPUTED_VALUE"""),"6214ecac2801afde28aa63c555faf06203321c85")</f>
        <v>6214ecac2801afde28aa63c555faf06203321c85</v>
      </c>
      <c r="B123" s="16" t="str">
        <f>IFERROR(__xludf.DUMMYFUNCTION("""COMPUTED_VALUE"""),"Love Behind the Screen")</f>
        <v>Love Behind the Screen</v>
      </c>
      <c r="C123" s="16" t="str">
        <f>IFERROR(__xludf.DUMMYFUNCTION("""COMPUTED_VALUE"""),"Romance")</f>
        <v>Romance</v>
      </c>
      <c r="D123" s="16">
        <f>IFERROR(__xludf.DUMMYFUNCTION("""COMPUTED_VALUE"""),60.0)</f>
        <v>60</v>
      </c>
      <c r="E123" s="16">
        <f>IFERROR(__xludf.DUMMYFUNCTION("""COMPUTED_VALUE"""),0.95)</f>
        <v>0.95</v>
      </c>
      <c r="F123" s="16">
        <f>IFERROR(__xludf.DUMMYFUNCTION("""COMPUTED_VALUE"""),0.516666666666666)</f>
        <v>0.5166666667</v>
      </c>
      <c r="G123" s="16">
        <f>IFERROR(__xludf.DUMMYFUNCTION("""COMPUTED_VALUE"""),0.466666666666666)</f>
        <v>0.4666666667</v>
      </c>
      <c r="H123" s="16">
        <f>IFERROR(__xludf.DUMMYFUNCTION("""COMPUTED_VALUE"""),0.416666666666666)</f>
        <v>0.4166666667</v>
      </c>
      <c r="I123" s="16">
        <f>IFERROR(__xludf.DUMMYFUNCTION("""COMPUTED_VALUE"""),0.366666666666666)</f>
        <v>0.3666666667</v>
      </c>
      <c r="J123" s="16">
        <f>IFERROR(__xludf.DUMMYFUNCTION("""COMPUTED_VALUE"""),0.366666666666666)</f>
        <v>0.3666666667</v>
      </c>
      <c r="K123" s="16">
        <f>IFERROR(__xludf.DUMMYFUNCTION("""COMPUTED_VALUE"""),0.333333333333333)</f>
        <v>0.3333333333</v>
      </c>
      <c r="L123" s="16">
        <f>IFERROR(__xludf.DUMMYFUNCTION("""COMPUTED_VALUE"""),0.3)</f>
        <v>0.3</v>
      </c>
      <c r="M123" s="16">
        <f>IFERROR(__xludf.DUMMYFUNCTION("""COMPUTED_VALUE"""),0.266666666666666)</f>
        <v>0.2666666667</v>
      </c>
      <c r="N123" s="16">
        <f>IFERROR(__xludf.DUMMYFUNCTION("""COMPUTED_VALUE"""),0.266666666666666)</f>
        <v>0.2666666667</v>
      </c>
      <c r="O123" s="16">
        <f>IFERROR(__xludf.DUMMYFUNCTION("""COMPUTED_VALUE"""),0.271186440677966)</f>
        <v>0.2711864407</v>
      </c>
      <c r="P123" s="16">
        <f>IFERROR(__xludf.DUMMYFUNCTION("""COMPUTED_VALUE"""),0.129629629629629)</f>
        <v>0.1296296296</v>
      </c>
      <c r="Q123" s="16">
        <f>IFERROR(__xludf.DUMMYFUNCTION("""COMPUTED_VALUE"""),0.105263157894736)</f>
        <v>0.1052631579</v>
      </c>
      <c r="R123" s="16">
        <f>IFERROR(__xludf.DUMMYFUNCTION("""COMPUTED_VALUE"""),0.0789473684210526)</f>
        <v>0.07894736842</v>
      </c>
      <c r="S123" s="16">
        <f>IFERROR(__xludf.DUMMYFUNCTION("""COMPUTED_VALUE"""),0.032258064516129)</f>
        <v>0.03225806452</v>
      </c>
      <c r="T123" s="16">
        <f>IFERROR(__xludf.DUMMYFUNCTION("""COMPUTED_VALUE"""),0.0)</f>
        <v>0</v>
      </c>
      <c r="U123" s="16">
        <f>IFERROR(__xludf.DUMMYFUNCTION("""COMPUTED_VALUE"""),0.0)</f>
        <v>0</v>
      </c>
      <c r="V123" s="16">
        <f>IFERROR(__xludf.DUMMYFUNCTION("""COMPUTED_VALUE"""),0.0)</f>
        <v>0</v>
      </c>
      <c r="W123" s="16">
        <f>IFERROR(__xludf.DUMMYFUNCTION("""COMPUTED_VALUE"""),0.0)</f>
        <v>0</v>
      </c>
      <c r="X123" s="16">
        <f>IFERROR(__xludf.DUMMYFUNCTION("""COMPUTED_VALUE"""),0.0)</f>
        <v>0</v>
      </c>
      <c r="Y123" s="16">
        <f>IFERROR(__xludf.DUMMYFUNCTION("""COMPUTED_VALUE"""),0.0)</f>
        <v>0</v>
      </c>
      <c r="Z123" s="16">
        <f>IFERROR(__xludf.DUMMYFUNCTION("""COMPUTED_VALUE"""),0.0)</f>
        <v>0</v>
      </c>
      <c r="AA123" s="16">
        <f>IFERROR(__xludf.DUMMYFUNCTION("""COMPUTED_VALUE"""),0.0)</f>
        <v>0</v>
      </c>
      <c r="AB123" s="16">
        <f>IFERROR(__xludf.DUMMYFUNCTION("""COMPUTED_VALUE"""),0.0)</f>
        <v>0</v>
      </c>
      <c r="AC123" s="16">
        <f>IFERROR(__xludf.DUMMYFUNCTION("""COMPUTED_VALUE"""),0.0)</f>
        <v>0</v>
      </c>
      <c r="AD123" s="16">
        <f>IFERROR(__xludf.DUMMYFUNCTION("""COMPUTED_VALUE"""),0.0)</f>
        <v>0</v>
      </c>
      <c r="AE123" s="16">
        <f>IFERROR(__xludf.DUMMYFUNCTION("""COMPUTED_VALUE"""),0.0)</f>
        <v>0</v>
      </c>
      <c r="AF123" s="16">
        <f>IFERROR(__xludf.DUMMYFUNCTION("""COMPUTED_VALUE"""),0.0)</f>
        <v>0</v>
      </c>
      <c r="AG123" s="16">
        <f>IFERROR(__xludf.DUMMYFUNCTION("""COMPUTED_VALUE"""),0.0)</f>
        <v>0</v>
      </c>
      <c r="AH123" s="16">
        <f>IFERROR(__xludf.DUMMYFUNCTION("""COMPUTED_VALUE"""),0.0)</f>
        <v>0</v>
      </c>
    </row>
    <row r="124">
      <c r="A124" s="16" t="str">
        <f>IFERROR(__xludf.DUMMYFUNCTION("""COMPUTED_VALUE"""),"622c96a576425047d6bff8447205921132d7f61c")</f>
        <v>622c96a576425047d6bff8447205921132d7f61c</v>
      </c>
      <c r="B124" s="16" t="str">
        <f>IFERROR(__xludf.DUMMYFUNCTION("""COMPUTED_VALUE"""),"The Exit Nobody Expected")</f>
        <v>The Exit Nobody Expected</v>
      </c>
      <c r="C124" s="16" t="str">
        <f>IFERROR(__xludf.DUMMYFUNCTION("""COMPUTED_VALUE"""),"Suspense or Thriller")</f>
        <v>Suspense or Thriller</v>
      </c>
      <c r="D124" s="16">
        <f>IFERROR(__xludf.DUMMYFUNCTION("""COMPUTED_VALUE"""),11.0)</f>
        <v>11</v>
      </c>
      <c r="E124" s="16">
        <f>IFERROR(__xludf.DUMMYFUNCTION("""COMPUTED_VALUE"""),1.0)</f>
        <v>1</v>
      </c>
      <c r="F124" s="16">
        <f>IFERROR(__xludf.DUMMYFUNCTION("""COMPUTED_VALUE"""),0.181818181818181)</f>
        <v>0.1818181818</v>
      </c>
      <c r="G124" s="16">
        <f>IFERROR(__xludf.DUMMYFUNCTION("""COMPUTED_VALUE"""),0.181818181818181)</f>
        <v>0.1818181818</v>
      </c>
      <c r="H124" s="16">
        <f>IFERROR(__xludf.DUMMYFUNCTION("""COMPUTED_VALUE"""),0.181818181818181)</f>
        <v>0.1818181818</v>
      </c>
      <c r="I124" s="16">
        <f>IFERROR(__xludf.DUMMYFUNCTION("""COMPUTED_VALUE"""),0.181818181818181)</f>
        <v>0.1818181818</v>
      </c>
      <c r="J124" s="16">
        <f>IFERROR(__xludf.DUMMYFUNCTION("""COMPUTED_VALUE"""),0.222222222222222)</f>
        <v>0.2222222222</v>
      </c>
      <c r="K124" s="16">
        <f>IFERROR(__xludf.DUMMYFUNCTION("""COMPUTED_VALUE"""),0.111111111111111)</f>
        <v>0.1111111111</v>
      </c>
      <c r="L124" s="16">
        <f>IFERROR(__xludf.DUMMYFUNCTION("""COMPUTED_VALUE"""),0.0)</f>
        <v>0</v>
      </c>
      <c r="M124" s="16">
        <f>IFERROR(__xludf.DUMMYFUNCTION("""COMPUTED_VALUE"""),0.0)</f>
        <v>0</v>
      </c>
      <c r="N124" s="16">
        <f>IFERROR(__xludf.DUMMYFUNCTION("""COMPUTED_VALUE"""),0.0)</f>
        <v>0</v>
      </c>
      <c r="O124" s="16">
        <f>IFERROR(__xludf.DUMMYFUNCTION("""COMPUTED_VALUE"""),0.0)</f>
        <v>0</v>
      </c>
      <c r="P124" s="16">
        <f>IFERROR(__xludf.DUMMYFUNCTION("""COMPUTED_VALUE"""),0.0)</f>
        <v>0</v>
      </c>
      <c r="Q124" s="16">
        <f>IFERROR(__xludf.DUMMYFUNCTION("""COMPUTED_VALUE"""),0.0)</f>
        <v>0</v>
      </c>
      <c r="R124" s="16">
        <f>IFERROR(__xludf.DUMMYFUNCTION("""COMPUTED_VALUE"""),0.0)</f>
        <v>0</v>
      </c>
      <c r="S124" s="16">
        <f>IFERROR(__xludf.DUMMYFUNCTION("""COMPUTED_VALUE"""),0.0)</f>
        <v>0</v>
      </c>
      <c r="T124" s="16">
        <f>IFERROR(__xludf.DUMMYFUNCTION("""COMPUTED_VALUE"""),0.0)</f>
        <v>0</v>
      </c>
      <c r="U124" s="16">
        <f>IFERROR(__xludf.DUMMYFUNCTION("""COMPUTED_VALUE"""),0.0)</f>
        <v>0</v>
      </c>
      <c r="V124" s="16">
        <f>IFERROR(__xludf.DUMMYFUNCTION("""COMPUTED_VALUE"""),0.0)</f>
        <v>0</v>
      </c>
      <c r="W124" s="16">
        <f>IFERROR(__xludf.DUMMYFUNCTION("""COMPUTED_VALUE"""),0.0)</f>
        <v>0</v>
      </c>
      <c r="X124" s="16">
        <f>IFERROR(__xludf.DUMMYFUNCTION("""COMPUTED_VALUE"""),0.0)</f>
        <v>0</v>
      </c>
      <c r="Y124" s="16">
        <f>IFERROR(__xludf.DUMMYFUNCTION("""COMPUTED_VALUE"""),0.0)</f>
        <v>0</v>
      </c>
      <c r="Z124" s="16">
        <f>IFERROR(__xludf.DUMMYFUNCTION("""COMPUTED_VALUE"""),0.0)</f>
        <v>0</v>
      </c>
      <c r="AA124" s="16">
        <f>IFERROR(__xludf.DUMMYFUNCTION("""COMPUTED_VALUE"""),0.0)</f>
        <v>0</v>
      </c>
      <c r="AB124" s="16">
        <f>IFERROR(__xludf.DUMMYFUNCTION("""COMPUTED_VALUE"""),0.0)</f>
        <v>0</v>
      </c>
      <c r="AC124" s="16">
        <f>IFERROR(__xludf.DUMMYFUNCTION("""COMPUTED_VALUE"""),0.0)</f>
        <v>0</v>
      </c>
      <c r="AD124" s="16">
        <f>IFERROR(__xludf.DUMMYFUNCTION("""COMPUTED_VALUE"""),0.0)</f>
        <v>0</v>
      </c>
      <c r="AE124" s="16">
        <f>IFERROR(__xludf.DUMMYFUNCTION("""COMPUTED_VALUE"""),0.0)</f>
        <v>0</v>
      </c>
      <c r="AF124" s="16">
        <f>IFERROR(__xludf.DUMMYFUNCTION("""COMPUTED_VALUE"""),0.0)</f>
        <v>0</v>
      </c>
      <c r="AG124" s="16">
        <f>IFERROR(__xludf.DUMMYFUNCTION("""COMPUTED_VALUE"""),0.0)</f>
        <v>0</v>
      </c>
      <c r="AH124" s="16">
        <f>IFERROR(__xludf.DUMMYFUNCTION("""COMPUTED_VALUE"""),0.0)</f>
        <v>0</v>
      </c>
    </row>
    <row r="125">
      <c r="A125" s="16" t="str">
        <f>IFERROR(__xludf.DUMMYFUNCTION("""COMPUTED_VALUE"""),"6346e154f10078de4f17cbc6268066519b02789f")</f>
        <v>6346e154f10078de4f17cbc6268066519b02789f</v>
      </c>
      <c r="B125" s="16" t="str">
        <f>IFERROR(__xludf.DUMMYFUNCTION("""COMPUTED_VALUE"""),"Doctor Young")</f>
        <v>Doctor Young</v>
      </c>
      <c r="C125" s="16" t="str">
        <f>IFERROR(__xludf.DUMMYFUNCTION("""COMPUTED_VALUE"""),"Suspense or Thriller")</f>
        <v>Suspense or Thriller</v>
      </c>
      <c r="D125" s="16">
        <f>IFERROR(__xludf.DUMMYFUNCTION("""COMPUTED_VALUE"""),129.0)</f>
        <v>129</v>
      </c>
      <c r="E125" s="16">
        <f>IFERROR(__xludf.DUMMYFUNCTION("""COMPUTED_VALUE"""),0.953488372093023)</f>
        <v>0.9534883721</v>
      </c>
      <c r="F125" s="16">
        <f>IFERROR(__xludf.DUMMYFUNCTION("""COMPUTED_VALUE"""),0.534883720930232)</f>
        <v>0.5348837209</v>
      </c>
      <c r="G125" s="16">
        <f>IFERROR(__xludf.DUMMYFUNCTION("""COMPUTED_VALUE"""),0.441860465116279)</f>
        <v>0.4418604651</v>
      </c>
      <c r="H125" s="16">
        <f>IFERROR(__xludf.DUMMYFUNCTION("""COMPUTED_VALUE"""),0.403100775193798)</f>
        <v>0.4031007752</v>
      </c>
      <c r="I125" s="16">
        <f>IFERROR(__xludf.DUMMYFUNCTION("""COMPUTED_VALUE"""),0.372093023255813)</f>
        <v>0.3720930233</v>
      </c>
      <c r="J125" s="16">
        <f>IFERROR(__xludf.DUMMYFUNCTION("""COMPUTED_VALUE"""),0.3515625)</f>
        <v>0.3515625</v>
      </c>
      <c r="K125" s="16">
        <f>IFERROR(__xludf.DUMMYFUNCTION("""COMPUTED_VALUE"""),0.333333333333333)</f>
        <v>0.3333333333</v>
      </c>
      <c r="L125" s="16">
        <f>IFERROR(__xludf.DUMMYFUNCTION("""COMPUTED_VALUE"""),0.282258064516129)</f>
        <v>0.2822580645</v>
      </c>
      <c r="M125" s="16">
        <f>IFERROR(__xludf.DUMMYFUNCTION("""COMPUTED_VALUE"""),0.24390243902439)</f>
        <v>0.243902439</v>
      </c>
      <c r="N125" s="16">
        <f>IFERROR(__xludf.DUMMYFUNCTION("""COMPUTED_VALUE"""),0.235294117647058)</f>
        <v>0.2352941176</v>
      </c>
      <c r="O125" s="16">
        <f>IFERROR(__xludf.DUMMYFUNCTION("""COMPUTED_VALUE"""),0.1875)</f>
        <v>0.1875</v>
      </c>
      <c r="P125" s="16">
        <f>IFERROR(__xludf.DUMMYFUNCTION("""COMPUTED_VALUE"""),0.17391304347826)</f>
        <v>0.1739130435</v>
      </c>
      <c r="Q125" s="16">
        <f>IFERROR(__xludf.DUMMYFUNCTION("""COMPUTED_VALUE"""),0.134146341463414)</f>
        <v>0.1341463415</v>
      </c>
      <c r="R125" s="16">
        <f>IFERROR(__xludf.DUMMYFUNCTION("""COMPUTED_VALUE"""),0.125)</f>
        <v>0.125</v>
      </c>
      <c r="S125" s="16">
        <f>IFERROR(__xludf.DUMMYFUNCTION("""COMPUTED_VALUE"""),0.0)</f>
        <v>0</v>
      </c>
      <c r="T125" s="16">
        <f>IFERROR(__xludf.DUMMYFUNCTION("""COMPUTED_VALUE"""),0.0)</f>
        <v>0</v>
      </c>
      <c r="U125" s="16">
        <f>IFERROR(__xludf.DUMMYFUNCTION("""COMPUTED_VALUE"""),0.0)</f>
        <v>0</v>
      </c>
      <c r="V125" s="16">
        <f>IFERROR(__xludf.DUMMYFUNCTION("""COMPUTED_VALUE"""),0.0)</f>
        <v>0</v>
      </c>
      <c r="W125" s="16">
        <f>IFERROR(__xludf.DUMMYFUNCTION("""COMPUTED_VALUE"""),0.0)</f>
        <v>0</v>
      </c>
      <c r="X125" s="16">
        <f>IFERROR(__xludf.DUMMYFUNCTION("""COMPUTED_VALUE"""),0.0)</f>
        <v>0</v>
      </c>
      <c r="Y125" s="16">
        <f>IFERROR(__xludf.DUMMYFUNCTION("""COMPUTED_VALUE"""),0.0)</f>
        <v>0</v>
      </c>
      <c r="Z125" s="16">
        <f>IFERROR(__xludf.DUMMYFUNCTION("""COMPUTED_VALUE"""),0.0)</f>
        <v>0</v>
      </c>
      <c r="AA125" s="16">
        <f>IFERROR(__xludf.DUMMYFUNCTION("""COMPUTED_VALUE"""),0.0)</f>
        <v>0</v>
      </c>
      <c r="AB125" s="16">
        <f>IFERROR(__xludf.DUMMYFUNCTION("""COMPUTED_VALUE"""),0.0)</f>
        <v>0</v>
      </c>
      <c r="AC125" s="16">
        <f>IFERROR(__xludf.DUMMYFUNCTION("""COMPUTED_VALUE"""),0.0)</f>
        <v>0</v>
      </c>
      <c r="AD125" s="16">
        <f>IFERROR(__xludf.DUMMYFUNCTION("""COMPUTED_VALUE"""),0.0)</f>
        <v>0</v>
      </c>
      <c r="AE125" s="16">
        <f>IFERROR(__xludf.DUMMYFUNCTION("""COMPUTED_VALUE"""),0.0)</f>
        <v>0</v>
      </c>
      <c r="AF125" s="16">
        <f>IFERROR(__xludf.DUMMYFUNCTION("""COMPUTED_VALUE"""),0.0)</f>
        <v>0</v>
      </c>
      <c r="AG125" s="16">
        <f>IFERROR(__xludf.DUMMYFUNCTION("""COMPUTED_VALUE"""),0.0)</f>
        <v>0</v>
      </c>
      <c r="AH125" s="16">
        <f>IFERROR(__xludf.DUMMYFUNCTION("""COMPUTED_VALUE"""),0.0)</f>
        <v>0</v>
      </c>
    </row>
    <row r="126">
      <c r="A126" s="16" t="str">
        <f>IFERROR(__xludf.DUMMYFUNCTION("""COMPUTED_VALUE"""),"646112abf2d6a5c232155a853f029ad1737b504e")</f>
        <v>646112abf2d6a5c232155a853f029ad1737b504e</v>
      </c>
      <c r="B126" s="16" t="str">
        <f>IFERROR(__xludf.DUMMYFUNCTION("""COMPUTED_VALUE"""),"Gatebreak")</f>
        <v>Gatebreak</v>
      </c>
      <c r="C126" s="16" t="str">
        <f>IFERROR(__xludf.DUMMYFUNCTION("""COMPUTED_VALUE"""),"Fantasy")</f>
        <v>Fantasy</v>
      </c>
      <c r="D126" s="16">
        <f>IFERROR(__xludf.DUMMYFUNCTION("""COMPUTED_VALUE"""),656.0)</f>
        <v>656</v>
      </c>
      <c r="E126" s="16">
        <f>IFERROR(__xludf.DUMMYFUNCTION("""COMPUTED_VALUE"""),0.967987804878048)</f>
        <v>0.9679878049</v>
      </c>
      <c r="F126" s="16">
        <f>IFERROR(__xludf.DUMMYFUNCTION("""COMPUTED_VALUE"""),0.684451219512195)</f>
        <v>0.6844512195</v>
      </c>
      <c r="G126" s="16">
        <f>IFERROR(__xludf.DUMMYFUNCTION("""COMPUTED_VALUE"""),0.641768292682926)</f>
        <v>0.6417682927</v>
      </c>
      <c r="H126" s="16">
        <f>IFERROR(__xludf.DUMMYFUNCTION("""COMPUTED_VALUE"""),0.60670731707317)</f>
        <v>0.6067073171</v>
      </c>
      <c r="I126" s="16">
        <f>IFERROR(__xludf.DUMMYFUNCTION("""COMPUTED_VALUE"""),0.586890243902439)</f>
        <v>0.5868902439</v>
      </c>
      <c r="J126" s="16">
        <f>IFERROR(__xludf.DUMMYFUNCTION("""COMPUTED_VALUE"""),0.570992366412213)</f>
        <v>0.5709923664</v>
      </c>
      <c r="K126" s="16">
        <f>IFERROR(__xludf.DUMMYFUNCTION("""COMPUTED_VALUE"""),0.567938931297709)</f>
        <v>0.5679389313</v>
      </c>
      <c r="L126" s="16">
        <f>IFERROR(__xludf.DUMMYFUNCTION("""COMPUTED_VALUE"""),0.558778625954198)</f>
        <v>0.558778626</v>
      </c>
      <c r="M126" s="16">
        <f>IFERROR(__xludf.DUMMYFUNCTION("""COMPUTED_VALUE"""),0.545871559633027)</f>
        <v>0.5458715596</v>
      </c>
      <c r="N126" s="16">
        <f>IFERROR(__xludf.DUMMYFUNCTION("""COMPUTED_VALUE"""),0.542944785276073)</f>
        <v>0.5429447853</v>
      </c>
      <c r="O126" s="16">
        <f>IFERROR(__xludf.DUMMYFUNCTION("""COMPUTED_VALUE"""),0.479938271604938)</f>
        <v>0.4799382716</v>
      </c>
      <c r="P126" s="16">
        <f>IFERROR(__xludf.DUMMYFUNCTION("""COMPUTED_VALUE"""),0.356807511737089)</f>
        <v>0.3568075117</v>
      </c>
      <c r="Q126" s="16">
        <f>IFERROR(__xludf.DUMMYFUNCTION("""COMPUTED_VALUE"""),0.256493506493506)</f>
        <v>0.2564935065</v>
      </c>
      <c r="R126" s="16">
        <f>IFERROR(__xludf.DUMMYFUNCTION("""COMPUTED_VALUE"""),0.175409836065573)</f>
        <v>0.1754098361</v>
      </c>
      <c r="S126" s="16">
        <f>IFERROR(__xludf.DUMMYFUNCTION("""COMPUTED_VALUE"""),0.131447587354409)</f>
        <v>0.1314475874</v>
      </c>
      <c r="T126" s="16">
        <f>IFERROR(__xludf.DUMMYFUNCTION("""COMPUTED_VALUE"""),0.125423728813559)</f>
        <v>0.1254237288</v>
      </c>
      <c r="U126" s="16">
        <f>IFERROR(__xludf.DUMMYFUNCTION("""COMPUTED_VALUE"""),0.191780821917808)</f>
        <v>0.1917808219</v>
      </c>
      <c r="V126" s="16">
        <f>IFERROR(__xludf.DUMMYFUNCTION("""COMPUTED_VALUE"""),0.0)</f>
        <v>0</v>
      </c>
      <c r="W126" s="16">
        <f>IFERROR(__xludf.DUMMYFUNCTION("""COMPUTED_VALUE"""),0.0)</f>
        <v>0</v>
      </c>
      <c r="X126" s="16">
        <f>IFERROR(__xludf.DUMMYFUNCTION("""COMPUTED_VALUE"""),0.0)</f>
        <v>0</v>
      </c>
      <c r="Y126" s="16">
        <f>IFERROR(__xludf.DUMMYFUNCTION("""COMPUTED_VALUE"""),0.0)</f>
        <v>0</v>
      </c>
      <c r="Z126" s="16">
        <f>IFERROR(__xludf.DUMMYFUNCTION("""COMPUTED_VALUE"""),0.0)</f>
        <v>0</v>
      </c>
      <c r="AA126" s="16">
        <f>IFERROR(__xludf.DUMMYFUNCTION("""COMPUTED_VALUE"""),0.0)</f>
        <v>0</v>
      </c>
      <c r="AB126" s="16">
        <f>IFERROR(__xludf.DUMMYFUNCTION("""COMPUTED_VALUE"""),0.0)</f>
        <v>0</v>
      </c>
      <c r="AC126" s="16">
        <f>IFERROR(__xludf.DUMMYFUNCTION("""COMPUTED_VALUE"""),0.0)</f>
        <v>0</v>
      </c>
      <c r="AD126" s="16">
        <f>IFERROR(__xludf.DUMMYFUNCTION("""COMPUTED_VALUE"""),0.0)</f>
        <v>0</v>
      </c>
      <c r="AE126" s="16">
        <f>IFERROR(__xludf.DUMMYFUNCTION("""COMPUTED_VALUE"""),0.0)</f>
        <v>0</v>
      </c>
      <c r="AF126" s="16">
        <f>IFERROR(__xludf.DUMMYFUNCTION("""COMPUTED_VALUE"""),0.0)</f>
        <v>0</v>
      </c>
      <c r="AG126" s="16">
        <f>IFERROR(__xludf.DUMMYFUNCTION("""COMPUTED_VALUE"""),0.0)</f>
        <v>0</v>
      </c>
      <c r="AH126" s="16">
        <f>IFERROR(__xludf.DUMMYFUNCTION("""COMPUTED_VALUE"""),0.0)</f>
        <v>0</v>
      </c>
    </row>
    <row r="127">
      <c r="A127" s="16" t="str">
        <f>IFERROR(__xludf.DUMMYFUNCTION("""COMPUTED_VALUE"""),"6537ebcf99ebb2572c378cc92edd07b6d165b13b")</f>
        <v>6537ebcf99ebb2572c378cc92edd07b6d165b13b</v>
      </c>
      <c r="B127" s="16" t="str">
        <f>IFERROR(__xludf.DUMMYFUNCTION("""COMPUTED_VALUE"""),"The Legendary Beast Archi")</f>
        <v>The Legendary Beast Archi</v>
      </c>
      <c r="C127" s="16" t="str">
        <f>IFERROR(__xludf.DUMMYFUNCTION("""COMPUTED_VALUE"""),"Fantasy")</f>
        <v>Fantasy</v>
      </c>
      <c r="D127" s="16">
        <f>IFERROR(__xludf.DUMMYFUNCTION("""COMPUTED_VALUE"""),460.0)</f>
        <v>460</v>
      </c>
      <c r="E127" s="16">
        <f>IFERROR(__xludf.DUMMYFUNCTION("""COMPUTED_VALUE"""),0.993478260869565)</f>
        <v>0.9934782609</v>
      </c>
      <c r="F127" s="16">
        <f>IFERROR(__xludf.DUMMYFUNCTION("""COMPUTED_VALUE"""),0.602173913043478)</f>
        <v>0.602173913</v>
      </c>
      <c r="G127" s="16">
        <f>IFERROR(__xludf.DUMMYFUNCTION("""COMPUTED_VALUE"""),0.547826086956521)</f>
        <v>0.547826087</v>
      </c>
      <c r="H127" s="16">
        <f>IFERROR(__xludf.DUMMYFUNCTION("""COMPUTED_VALUE"""),0.508695652173913)</f>
        <v>0.5086956522</v>
      </c>
      <c r="I127" s="16">
        <f>IFERROR(__xludf.DUMMYFUNCTION("""COMPUTED_VALUE"""),0.476086956521739)</f>
        <v>0.4760869565</v>
      </c>
      <c r="J127" s="16">
        <f>IFERROR(__xludf.DUMMYFUNCTION("""COMPUTED_VALUE"""),0.430434782608695)</f>
        <v>0.4304347826</v>
      </c>
      <c r="K127" s="16">
        <f>IFERROR(__xludf.DUMMYFUNCTION("""COMPUTED_VALUE"""),0.419565217391304)</f>
        <v>0.4195652174</v>
      </c>
      <c r="L127" s="16">
        <f>IFERROR(__xludf.DUMMYFUNCTION("""COMPUTED_VALUE"""),0.388157894736842)</f>
        <v>0.3881578947</v>
      </c>
      <c r="M127" s="16">
        <f>IFERROR(__xludf.DUMMYFUNCTION("""COMPUTED_VALUE"""),0.368421052631578)</f>
        <v>0.3684210526</v>
      </c>
      <c r="N127" s="16">
        <f>IFERROR(__xludf.DUMMYFUNCTION("""COMPUTED_VALUE"""),0.350877192982456)</f>
        <v>0.350877193</v>
      </c>
      <c r="O127" s="16">
        <f>IFERROR(__xludf.DUMMYFUNCTION("""COMPUTED_VALUE"""),0.291066282420749)</f>
        <v>0.2910662824</v>
      </c>
      <c r="P127" s="16">
        <f>IFERROR(__xludf.DUMMYFUNCTION("""COMPUTED_VALUE"""),0.0)</f>
        <v>0</v>
      </c>
      <c r="Q127" s="16">
        <f>IFERROR(__xludf.DUMMYFUNCTION("""COMPUTED_VALUE"""),0.0)</f>
        <v>0</v>
      </c>
      <c r="R127" s="16">
        <f>IFERROR(__xludf.DUMMYFUNCTION("""COMPUTED_VALUE"""),0.0)</f>
        <v>0</v>
      </c>
      <c r="S127" s="16">
        <f>IFERROR(__xludf.DUMMYFUNCTION("""COMPUTED_VALUE"""),0.0)</f>
        <v>0</v>
      </c>
      <c r="T127" s="16">
        <f>IFERROR(__xludf.DUMMYFUNCTION("""COMPUTED_VALUE"""),0.0)</f>
        <v>0</v>
      </c>
      <c r="U127" s="16">
        <f>IFERROR(__xludf.DUMMYFUNCTION("""COMPUTED_VALUE"""),0.0)</f>
        <v>0</v>
      </c>
      <c r="V127" s="16">
        <f>IFERROR(__xludf.DUMMYFUNCTION("""COMPUTED_VALUE"""),0.0)</f>
        <v>0</v>
      </c>
      <c r="W127" s="16">
        <f>IFERROR(__xludf.DUMMYFUNCTION("""COMPUTED_VALUE"""),0.0)</f>
        <v>0</v>
      </c>
      <c r="X127" s="16">
        <f>IFERROR(__xludf.DUMMYFUNCTION("""COMPUTED_VALUE"""),0.0)</f>
        <v>0</v>
      </c>
      <c r="Y127" s="16">
        <f>IFERROR(__xludf.DUMMYFUNCTION("""COMPUTED_VALUE"""),0.0)</f>
        <v>0</v>
      </c>
      <c r="Z127" s="16">
        <f>IFERROR(__xludf.DUMMYFUNCTION("""COMPUTED_VALUE"""),0.0)</f>
        <v>0</v>
      </c>
      <c r="AA127" s="16">
        <f>IFERROR(__xludf.DUMMYFUNCTION("""COMPUTED_VALUE"""),0.0)</f>
        <v>0</v>
      </c>
      <c r="AB127" s="16">
        <f>IFERROR(__xludf.DUMMYFUNCTION("""COMPUTED_VALUE"""),0.0)</f>
        <v>0</v>
      </c>
      <c r="AC127" s="16">
        <f>IFERROR(__xludf.DUMMYFUNCTION("""COMPUTED_VALUE"""),0.0)</f>
        <v>0</v>
      </c>
      <c r="AD127" s="16">
        <f>IFERROR(__xludf.DUMMYFUNCTION("""COMPUTED_VALUE"""),0.0)</f>
        <v>0</v>
      </c>
      <c r="AE127" s="16">
        <f>IFERROR(__xludf.DUMMYFUNCTION("""COMPUTED_VALUE"""),0.0)</f>
        <v>0</v>
      </c>
      <c r="AF127" s="16">
        <f>IFERROR(__xludf.DUMMYFUNCTION("""COMPUTED_VALUE"""),0.0)</f>
        <v>0</v>
      </c>
      <c r="AG127" s="16">
        <f>IFERROR(__xludf.DUMMYFUNCTION("""COMPUTED_VALUE"""),0.0)</f>
        <v>0</v>
      </c>
      <c r="AH127" s="16">
        <f>IFERROR(__xludf.DUMMYFUNCTION("""COMPUTED_VALUE"""),0.0)</f>
        <v>0</v>
      </c>
    </row>
    <row r="128">
      <c r="A128" s="16" t="str">
        <f>IFERROR(__xludf.DUMMYFUNCTION("""COMPUTED_VALUE"""),"66e5597d741c6d87c2bc8e35ec83065242c0e34d")</f>
        <v>66e5597d741c6d87c2bc8e35ec83065242c0e34d</v>
      </c>
      <c r="B128" s="16" t="str">
        <f>IFERROR(__xludf.DUMMYFUNCTION("""COMPUTED_VALUE"""),"Sky Lord")</f>
        <v>Sky Lord</v>
      </c>
      <c r="C128" s="16" t="str">
        <f>IFERROR(__xludf.DUMMYFUNCTION("""COMPUTED_VALUE"""),"Fantasy")</f>
        <v>Fantasy</v>
      </c>
      <c r="D128" s="16">
        <f>IFERROR(__xludf.DUMMYFUNCTION("""COMPUTED_VALUE"""),533.0)</f>
        <v>533</v>
      </c>
      <c r="E128" s="16">
        <f>IFERROR(__xludf.DUMMYFUNCTION("""COMPUTED_VALUE"""),0.97748592870544)</f>
        <v>0.9774859287</v>
      </c>
      <c r="F128" s="16">
        <f>IFERROR(__xludf.DUMMYFUNCTION("""COMPUTED_VALUE"""),0.699812382739212)</f>
        <v>0.6998123827</v>
      </c>
      <c r="G128" s="16">
        <f>IFERROR(__xludf.DUMMYFUNCTION("""COMPUTED_VALUE"""),0.656660412757973)</f>
        <v>0.6566604128</v>
      </c>
      <c r="H128" s="16">
        <f>IFERROR(__xludf.DUMMYFUNCTION("""COMPUTED_VALUE"""),0.641651031894934)</f>
        <v>0.6416510319</v>
      </c>
      <c r="I128" s="16">
        <f>IFERROR(__xludf.DUMMYFUNCTION("""COMPUTED_VALUE"""),0.583489681050656)</f>
        <v>0.5834896811</v>
      </c>
      <c r="J128" s="16">
        <f>IFERROR(__xludf.DUMMYFUNCTION("""COMPUTED_VALUE"""),0.553470919324577)</f>
        <v>0.5534709193</v>
      </c>
      <c r="K128" s="16">
        <f>IFERROR(__xludf.DUMMYFUNCTION("""COMPUTED_VALUE"""),0.520676691729323)</f>
        <v>0.5206766917</v>
      </c>
      <c r="L128" s="16">
        <f>IFERROR(__xludf.DUMMYFUNCTION("""COMPUTED_VALUE"""),0.487666034155597)</f>
        <v>0.4876660342</v>
      </c>
      <c r="M128" s="16">
        <f>IFERROR(__xludf.DUMMYFUNCTION("""COMPUTED_VALUE"""),0.474383301707779)</f>
        <v>0.4743833017</v>
      </c>
      <c r="N128" s="16">
        <f>IFERROR(__xludf.DUMMYFUNCTION("""COMPUTED_VALUE"""),0.454022988505747)</f>
        <v>0.4540229885</v>
      </c>
      <c r="O128" s="16">
        <f>IFERROR(__xludf.DUMMYFUNCTION("""COMPUTED_VALUE"""),0.406882591093117)</f>
        <v>0.4068825911</v>
      </c>
      <c r="P128" s="16">
        <f>IFERROR(__xludf.DUMMYFUNCTION("""COMPUTED_VALUE"""),0.3)</f>
        <v>0.3</v>
      </c>
      <c r="Q128" s="16">
        <f>IFERROR(__xludf.DUMMYFUNCTION("""COMPUTED_VALUE"""),0.0)</f>
        <v>0</v>
      </c>
      <c r="R128" s="16">
        <f>IFERROR(__xludf.DUMMYFUNCTION("""COMPUTED_VALUE"""),0.0)</f>
        <v>0</v>
      </c>
      <c r="S128" s="16">
        <f>IFERROR(__xludf.DUMMYFUNCTION("""COMPUTED_VALUE"""),0.0)</f>
        <v>0</v>
      </c>
      <c r="T128" s="16">
        <f>IFERROR(__xludf.DUMMYFUNCTION("""COMPUTED_VALUE"""),0.0)</f>
        <v>0</v>
      </c>
      <c r="U128" s="16">
        <f>IFERROR(__xludf.DUMMYFUNCTION("""COMPUTED_VALUE"""),0.0)</f>
        <v>0</v>
      </c>
      <c r="V128" s="16">
        <f>IFERROR(__xludf.DUMMYFUNCTION("""COMPUTED_VALUE"""),0.0)</f>
        <v>0</v>
      </c>
      <c r="W128" s="16">
        <f>IFERROR(__xludf.DUMMYFUNCTION("""COMPUTED_VALUE"""),0.0)</f>
        <v>0</v>
      </c>
      <c r="X128" s="16">
        <f>IFERROR(__xludf.DUMMYFUNCTION("""COMPUTED_VALUE"""),0.0)</f>
        <v>0</v>
      </c>
      <c r="Y128" s="16">
        <f>IFERROR(__xludf.DUMMYFUNCTION("""COMPUTED_VALUE"""),0.0)</f>
        <v>0</v>
      </c>
      <c r="Z128" s="16">
        <f>IFERROR(__xludf.DUMMYFUNCTION("""COMPUTED_VALUE"""),0.0)</f>
        <v>0</v>
      </c>
      <c r="AA128" s="16">
        <f>IFERROR(__xludf.DUMMYFUNCTION("""COMPUTED_VALUE"""),0.0)</f>
        <v>0</v>
      </c>
      <c r="AB128" s="16">
        <f>IFERROR(__xludf.DUMMYFUNCTION("""COMPUTED_VALUE"""),0.0)</f>
        <v>0</v>
      </c>
      <c r="AC128" s="16">
        <f>IFERROR(__xludf.DUMMYFUNCTION("""COMPUTED_VALUE"""),0.0)</f>
        <v>0</v>
      </c>
      <c r="AD128" s="16">
        <f>IFERROR(__xludf.DUMMYFUNCTION("""COMPUTED_VALUE"""),0.0)</f>
        <v>0</v>
      </c>
      <c r="AE128" s="16">
        <f>IFERROR(__xludf.DUMMYFUNCTION("""COMPUTED_VALUE"""),0.0)</f>
        <v>0</v>
      </c>
      <c r="AF128" s="16">
        <f>IFERROR(__xludf.DUMMYFUNCTION("""COMPUTED_VALUE"""),0.0)</f>
        <v>0</v>
      </c>
      <c r="AG128" s="16">
        <f>IFERROR(__xludf.DUMMYFUNCTION("""COMPUTED_VALUE"""),0.0)</f>
        <v>0</v>
      </c>
      <c r="AH128" s="16">
        <f>IFERROR(__xludf.DUMMYFUNCTION("""COMPUTED_VALUE"""),0.0)</f>
        <v>0</v>
      </c>
    </row>
    <row r="129">
      <c r="A129" s="16" t="str">
        <f>IFERROR(__xludf.DUMMYFUNCTION("""COMPUTED_VALUE"""),"69e29d606b65c300fffe9a9af149d4b81b170a78")</f>
        <v>69e29d606b65c300fffe9a9af149d4b81b170a78</v>
      </c>
      <c r="B129" s="16" t="str">
        <f>IFERROR(__xludf.DUMMYFUNCTION("""COMPUTED_VALUE"""),"Unexpectedly Entwined")</f>
        <v>Unexpectedly Entwined</v>
      </c>
      <c r="C129" s="16" t="str">
        <f>IFERROR(__xludf.DUMMYFUNCTION("""COMPUTED_VALUE"""),"Romance")</f>
        <v>Romance</v>
      </c>
      <c r="D129" s="16">
        <f>IFERROR(__xludf.DUMMYFUNCTION("""COMPUTED_VALUE"""),15.0)</f>
        <v>15</v>
      </c>
      <c r="E129" s="16">
        <f>IFERROR(__xludf.DUMMYFUNCTION("""COMPUTED_VALUE"""),1.0)</f>
        <v>1</v>
      </c>
      <c r="F129" s="16">
        <f>IFERROR(__xludf.DUMMYFUNCTION("""COMPUTED_VALUE"""),0.666666666666666)</f>
        <v>0.6666666667</v>
      </c>
      <c r="G129" s="16">
        <f>IFERROR(__xludf.DUMMYFUNCTION("""COMPUTED_VALUE"""),0.6)</f>
        <v>0.6</v>
      </c>
      <c r="H129" s="16">
        <f>IFERROR(__xludf.DUMMYFUNCTION("""COMPUTED_VALUE"""),0.4)</f>
        <v>0.4</v>
      </c>
      <c r="I129" s="16">
        <f>IFERROR(__xludf.DUMMYFUNCTION("""COMPUTED_VALUE"""),0.4)</f>
        <v>0.4</v>
      </c>
      <c r="J129" s="16">
        <f>IFERROR(__xludf.DUMMYFUNCTION("""COMPUTED_VALUE"""),0.266666666666666)</f>
        <v>0.2666666667</v>
      </c>
      <c r="K129" s="16">
        <f>IFERROR(__xludf.DUMMYFUNCTION("""COMPUTED_VALUE"""),0.333333333333333)</f>
        <v>0.3333333333</v>
      </c>
      <c r="L129" s="16">
        <f>IFERROR(__xludf.DUMMYFUNCTION("""COMPUTED_VALUE"""),0.333333333333333)</f>
        <v>0.3333333333</v>
      </c>
      <c r="M129" s="16">
        <f>IFERROR(__xludf.DUMMYFUNCTION("""COMPUTED_VALUE"""),0.333333333333333)</f>
        <v>0.3333333333</v>
      </c>
      <c r="N129" s="16">
        <f>IFERROR(__xludf.DUMMYFUNCTION("""COMPUTED_VALUE"""),0.4)</f>
        <v>0.4</v>
      </c>
      <c r="O129" s="16">
        <f>IFERROR(__xludf.DUMMYFUNCTION("""COMPUTED_VALUE"""),0.266666666666666)</f>
        <v>0.2666666667</v>
      </c>
      <c r="P129" s="16">
        <f>IFERROR(__xludf.DUMMYFUNCTION("""COMPUTED_VALUE"""),0.2)</f>
        <v>0.2</v>
      </c>
      <c r="Q129" s="16">
        <f>IFERROR(__xludf.DUMMYFUNCTION("""COMPUTED_VALUE"""),0.0769230769230769)</f>
        <v>0.07692307692</v>
      </c>
      <c r="R129" s="16">
        <f>IFERROR(__xludf.DUMMYFUNCTION("""COMPUTED_VALUE"""),0.1)</f>
        <v>0.1</v>
      </c>
      <c r="S129" s="16">
        <f>IFERROR(__xludf.DUMMYFUNCTION("""COMPUTED_VALUE"""),0.125)</f>
        <v>0.125</v>
      </c>
      <c r="T129" s="16">
        <f>IFERROR(__xludf.DUMMYFUNCTION("""COMPUTED_VALUE"""),0.0)</f>
        <v>0</v>
      </c>
      <c r="U129" s="16">
        <f>IFERROR(__xludf.DUMMYFUNCTION("""COMPUTED_VALUE"""),0.0)</f>
        <v>0</v>
      </c>
      <c r="V129" s="16">
        <f>IFERROR(__xludf.DUMMYFUNCTION("""COMPUTED_VALUE"""),0.0)</f>
        <v>0</v>
      </c>
      <c r="W129" s="16">
        <f>IFERROR(__xludf.DUMMYFUNCTION("""COMPUTED_VALUE"""),0.0)</f>
        <v>0</v>
      </c>
      <c r="X129" s="16">
        <f>IFERROR(__xludf.DUMMYFUNCTION("""COMPUTED_VALUE"""),0.0)</f>
        <v>0</v>
      </c>
      <c r="Y129" s="16">
        <f>IFERROR(__xludf.DUMMYFUNCTION("""COMPUTED_VALUE"""),0.0)</f>
        <v>0</v>
      </c>
      <c r="Z129" s="16">
        <f>IFERROR(__xludf.DUMMYFUNCTION("""COMPUTED_VALUE"""),0.0)</f>
        <v>0</v>
      </c>
      <c r="AA129" s="16">
        <f>IFERROR(__xludf.DUMMYFUNCTION("""COMPUTED_VALUE"""),0.0)</f>
        <v>0</v>
      </c>
      <c r="AB129" s="16">
        <f>IFERROR(__xludf.DUMMYFUNCTION("""COMPUTED_VALUE"""),0.0)</f>
        <v>0</v>
      </c>
      <c r="AC129" s="16">
        <f>IFERROR(__xludf.DUMMYFUNCTION("""COMPUTED_VALUE"""),0.0)</f>
        <v>0</v>
      </c>
      <c r="AD129" s="16">
        <f>IFERROR(__xludf.DUMMYFUNCTION("""COMPUTED_VALUE"""),0.0)</f>
        <v>0</v>
      </c>
      <c r="AE129" s="16">
        <f>IFERROR(__xludf.DUMMYFUNCTION("""COMPUTED_VALUE"""),0.0)</f>
        <v>0</v>
      </c>
      <c r="AF129" s="16">
        <f>IFERROR(__xludf.DUMMYFUNCTION("""COMPUTED_VALUE"""),0.0)</f>
        <v>0</v>
      </c>
      <c r="AG129" s="16">
        <f>IFERROR(__xludf.DUMMYFUNCTION("""COMPUTED_VALUE"""),0.0)</f>
        <v>0</v>
      </c>
      <c r="AH129" s="16">
        <f>IFERROR(__xludf.DUMMYFUNCTION("""COMPUTED_VALUE"""),0.0)</f>
        <v>0</v>
      </c>
    </row>
    <row r="130">
      <c r="A130" s="16" t="str">
        <f>IFERROR(__xludf.DUMMYFUNCTION("""COMPUTED_VALUE"""),"69e2eb3772b49e749fed57ae96a86147dde154cb")</f>
        <v>69e2eb3772b49e749fed57ae96a86147dde154cb</v>
      </c>
      <c r="B130" s="16" t="str">
        <f>IFERROR(__xludf.DUMMYFUNCTION("""COMPUTED_VALUE"""),"The Alpha She Chose")</f>
        <v>The Alpha She Chose</v>
      </c>
      <c r="C130" s="16" t="str">
        <f>IFERROR(__xludf.DUMMYFUNCTION("""COMPUTED_VALUE"""),"Romantasy")</f>
        <v>Romantasy</v>
      </c>
      <c r="D130" s="16">
        <f>IFERROR(__xludf.DUMMYFUNCTION("""COMPUTED_VALUE"""),45.0)</f>
        <v>45</v>
      </c>
      <c r="E130" s="16">
        <f>IFERROR(__xludf.DUMMYFUNCTION("""COMPUTED_VALUE"""),0.977777777777777)</f>
        <v>0.9777777778</v>
      </c>
      <c r="F130" s="16">
        <f>IFERROR(__xludf.DUMMYFUNCTION("""COMPUTED_VALUE"""),0.688888888888888)</f>
        <v>0.6888888889</v>
      </c>
      <c r="G130" s="16">
        <f>IFERROR(__xludf.DUMMYFUNCTION("""COMPUTED_VALUE"""),0.622222222222222)</f>
        <v>0.6222222222</v>
      </c>
      <c r="H130" s="16">
        <f>IFERROR(__xludf.DUMMYFUNCTION("""COMPUTED_VALUE"""),0.533333333333333)</f>
        <v>0.5333333333</v>
      </c>
      <c r="I130" s="16">
        <f>IFERROR(__xludf.DUMMYFUNCTION("""COMPUTED_VALUE"""),0.533333333333333)</f>
        <v>0.5333333333</v>
      </c>
      <c r="J130" s="16">
        <f>IFERROR(__xludf.DUMMYFUNCTION("""COMPUTED_VALUE"""),0.488888888888888)</f>
        <v>0.4888888889</v>
      </c>
      <c r="K130" s="16">
        <f>IFERROR(__xludf.DUMMYFUNCTION("""COMPUTED_VALUE"""),0.511111111111111)</f>
        <v>0.5111111111</v>
      </c>
      <c r="L130" s="16">
        <f>IFERROR(__xludf.DUMMYFUNCTION("""COMPUTED_VALUE"""),0.466666666666666)</f>
        <v>0.4666666667</v>
      </c>
      <c r="M130" s="16">
        <f>IFERROR(__xludf.DUMMYFUNCTION("""COMPUTED_VALUE"""),0.444444444444444)</f>
        <v>0.4444444444</v>
      </c>
      <c r="N130" s="16">
        <f>IFERROR(__xludf.DUMMYFUNCTION("""COMPUTED_VALUE"""),0.422222222222222)</f>
        <v>0.4222222222</v>
      </c>
      <c r="O130" s="16">
        <f>IFERROR(__xludf.DUMMYFUNCTION("""COMPUTED_VALUE"""),0.355555555555555)</f>
        <v>0.3555555556</v>
      </c>
      <c r="P130" s="16">
        <f>IFERROR(__xludf.DUMMYFUNCTION("""COMPUTED_VALUE"""),0.302325581395348)</f>
        <v>0.3023255814</v>
      </c>
      <c r="Q130" s="16">
        <f>IFERROR(__xludf.DUMMYFUNCTION("""COMPUTED_VALUE"""),0.2)</f>
        <v>0.2</v>
      </c>
      <c r="R130" s="16">
        <f>IFERROR(__xludf.DUMMYFUNCTION("""COMPUTED_VALUE"""),0.108108108108108)</f>
        <v>0.1081081081</v>
      </c>
      <c r="S130" s="16">
        <f>IFERROR(__xludf.DUMMYFUNCTION("""COMPUTED_VALUE"""),0.0)</f>
        <v>0</v>
      </c>
      <c r="T130" s="16">
        <f>IFERROR(__xludf.DUMMYFUNCTION("""COMPUTED_VALUE"""),0.0)</f>
        <v>0</v>
      </c>
      <c r="U130" s="16">
        <f>IFERROR(__xludf.DUMMYFUNCTION("""COMPUTED_VALUE"""),0.0)</f>
        <v>0</v>
      </c>
      <c r="V130" s="16">
        <f>IFERROR(__xludf.DUMMYFUNCTION("""COMPUTED_VALUE"""),0.0)</f>
        <v>0</v>
      </c>
      <c r="W130" s="16">
        <f>IFERROR(__xludf.DUMMYFUNCTION("""COMPUTED_VALUE"""),0.0)</f>
        <v>0</v>
      </c>
      <c r="X130" s="16">
        <f>IFERROR(__xludf.DUMMYFUNCTION("""COMPUTED_VALUE"""),0.0)</f>
        <v>0</v>
      </c>
      <c r="Y130" s="16">
        <f>IFERROR(__xludf.DUMMYFUNCTION("""COMPUTED_VALUE"""),0.0)</f>
        <v>0</v>
      </c>
      <c r="Z130" s="16">
        <f>IFERROR(__xludf.DUMMYFUNCTION("""COMPUTED_VALUE"""),0.0)</f>
        <v>0</v>
      </c>
      <c r="AA130" s="16">
        <f>IFERROR(__xludf.DUMMYFUNCTION("""COMPUTED_VALUE"""),0.0)</f>
        <v>0</v>
      </c>
      <c r="AB130" s="16">
        <f>IFERROR(__xludf.DUMMYFUNCTION("""COMPUTED_VALUE"""),0.0)</f>
        <v>0</v>
      </c>
      <c r="AC130" s="16">
        <f>IFERROR(__xludf.DUMMYFUNCTION("""COMPUTED_VALUE"""),0.0)</f>
        <v>0</v>
      </c>
      <c r="AD130" s="16">
        <f>IFERROR(__xludf.DUMMYFUNCTION("""COMPUTED_VALUE"""),0.0)</f>
        <v>0</v>
      </c>
      <c r="AE130" s="16">
        <f>IFERROR(__xludf.DUMMYFUNCTION("""COMPUTED_VALUE"""),0.0)</f>
        <v>0</v>
      </c>
      <c r="AF130" s="16">
        <f>IFERROR(__xludf.DUMMYFUNCTION("""COMPUTED_VALUE"""),0.0)</f>
        <v>0</v>
      </c>
      <c r="AG130" s="16">
        <f>IFERROR(__xludf.DUMMYFUNCTION("""COMPUTED_VALUE"""),0.0)</f>
        <v>0</v>
      </c>
      <c r="AH130" s="16">
        <f>IFERROR(__xludf.DUMMYFUNCTION("""COMPUTED_VALUE"""),0.0)</f>
        <v>0</v>
      </c>
    </row>
    <row r="131">
      <c r="A131" s="16" t="str">
        <f>IFERROR(__xludf.DUMMYFUNCTION("""COMPUTED_VALUE"""),"6c13ac0e01a86e60a2d75bbcee5bb8f9be472700")</f>
        <v>6c13ac0e01a86e60a2d75bbcee5bb8f9be472700</v>
      </c>
      <c r="B131" s="16" t="str">
        <f>IFERROR(__xludf.DUMMYFUNCTION("""COMPUTED_VALUE"""),"Fated to You")</f>
        <v>Fated to You</v>
      </c>
      <c r="C131" s="16" t="str">
        <f>IFERROR(__xludf.DUMMYFUNCTION("""COMPUTED_VALUE"""),"Romance")</f>
        <v>Romance</v>
      </c>
      <c r="D131" s="16">
        <f>IFERROR(__xludf.DUMMYFUNCTION("""COMPUTED_VALUE"""),12.0)</f>
        <v>12</v>
      </c>
      <c r="E131" s="16">
        <f>IFERROR(__xludf.DUMMYFUNCTION("""COMPUTED_VALUE"""),0.75)</f>
        <v>0.75</v>
      </c>
      <c r="F131" s="16">
        <f>IFERROR(__xludf.DUMMYFUNCTION("""COMPUTED_VALUE"""),0.583333333333333)</f>
        <v>0.5833333333</v>
      </c>
      <c r="G131" s="16">
        <f>IFERROR(__xludf.DUMMYFUNCTION("""COMPUTED_VALUE"""),0.5)</f>
        <v>0.5</v>
      </c>
      <c r="H131" s="16">
        <f>IFERROR(__xludf.DUMMYFUNCTION("""COMPUTED_VALUE"""),0.5)</f>
        <v>0.5</v>
      </c>
      <c r="I131" s="16">
        <f>IFERROR(__xludf.DUMMYFUNCTION("""COMPUTED_VALUE"""),0.25)</f>
        <v>0.25</v>
      </c>
      <c r="J131" s="16">
        <f>IFERROR(__xludf.DUMMYFUNCTION("""COMPUTED_VALUE"""),0.25)</f>
        <v>0.25</v>
      </c>
      <c r="K131" s="16">
        <f>IFERROR(__xludf.DUMMYFUNCTION("""COMPUTED_VALUE"""),0.333333333333333)</f>
        <v>0.3333333333</v>
      </c>
      <c r="L131" s="16">
        <f>IFERROR(__xludf.DUMMYFUNCTION("""COMPUTED_VALUE"""),0.333333333333333)</f>
        <v>0.3333333333</v>
      </c>
      <c r="M131" s="16">
        <f>IFERROR(__xludf.DUMMYFUNCTION("""COMPUTED_VALUE"""),0.25)</f>
        <v>0.25</v>
      </c>
      <c r="N131" s="16">
        <f>IFERROR(__xludf.DUMMYFUNCTION("""COMPUTED_VALUE"""),0.333333333333333)</f>
        <v>0.3333333333</v>
      </c>
      <c r="O131" s="16">
        <f>IFERROR(__xludf.DUMMYFUNCTION("""COMPUTED_VALUE"""),0.166666666666666)</f>
        <v>0.1666666667</v>
      </c>
      <c r="P131" s="16">
        <f>IFERROR(__xludf.DUMMYFUNCTION("""COMPUTED_VALUE"""),0.272727272727272)</f>
        <v>0.2727272727</v>
      </c>
      <c r="Q131" s="16">
        <f>IFERROR(__xludf.DUMMYFUNCTION("""COMPUTED_VALUE"""),0.0909090909090909)</f>
        <v>0.09090909091</v>
      </c>
      <c r="R131" s="16">
        <f>IFERROR(__xludf.DUMMYFUNCTION("""COMPUTED_VALUE"""),0.0)</f>
        <v>0</v>
      </c>
      <c r="S131" s="16">
        <f>IFERROR(__xludf.DUMMYFUNCTION("""COMPUTED_VALUE"""),0.0)</f>
        <v>0</v>
      </c>
      <c r="T131" s="16">
        <f>IFERROR(__xludf.DUMMYFUNCTION("""COMPUTED_VALUE"""),0.0)</f>
        <v>0</v>
      </c>
      <c r="U131" s="16">
        <f>IFERROR(__xludf.DUMMYFUNCTION("""COMPUTED_VALUE"""),0.0)</f>
        <v>0</v>
      </c>
      <c r="V131" s="16">
        <f>IFERROR(__xludf.DUMMYFUNCTION("""COMPUTED_VALUE"""),0.0)</f>
        <v>0</v>
      </c>
      <c r="W131" s="16">
        <f>IFERROR(__xludf.DUMMYFUNCTION("""COMPUTED_VALUE"""),0.0)</f>
        <v>0</v>
      </c>
      <c r="X131" s="16">
        <f>IFERROR(__xludf.DUMMYFUNCTION("""COMPUTED_VALUE"""),0.0)</f>
        <v>0</v>
      </c>
      <c r="Y131" s="16">
        <f>IFERROR(__xludf.DUMMYFUNCTION("""COMPUTED_VALUE"""),0.0)</f>
        <v>0</v>
      </c>
      <c r="Z131" s="16">
        <f>IFERROR(__xludf.DUMMYFUNCTION("""COMPUTED_VALUE"""),0.0)</f>
        <v>0</v>
      </c>
      <c r="AA131" s="16">
        <f>IFERROR(__xludf.DUMMYFUNCTION("""COMPUTED_VALUE"""),0.0)</f>
        <v>0</v>
      </c>
      <c r="AB131" s="16">
        <f>IFERROR(__xludf.DUMMYFUNCTION("""COMPUTED_VALUE"""),0.0)</f>
        <v>0</v>
      </c>
      <c r="AC131" s="16">
        <f>IFERROR(__xludf.DUMMYFUNCTION("""COMPUTED_VALUE"""),0.0)</f>
        <v>0</v>
      </c>
      <c r="AD131" s="16">
        <f>IFERROR(__xludf.DUMMYFUNCTION("""COMPUTED_VALUE"""),0.0)</f>
        <v>0</v>
      </c>
      <c r="AE131" s="16">
        <f>IFERROR(__xludf.DUMMYFUNCTION("""COMPUTED_VALUE"""),0.0)</f>
        <v>0</v>
      </c>
      <c r="AF131" s="16">
        <f>IFERROR(__xludf.DUMMYFUNCTION("""COMPUTED_VALUE"""),0.0)</f>
        <v>0</v>
      </c>
      <c r="AG131" s="16">
        <f>IFERROR(__xludf.DUMMYFUNCTION("""COMPUTED_VALUE"""),0.0)</f>
        <v>0</v>
      </c>
      <c r="AH131" s="16">
        <f>IFERROR(__xludf.DUMMYFUNCTION("""COMPUTED_VALUE"""),0.0)</f>
        <v>0</v>
      </c>
    </row>
    <row r="132">
      <c r="A132" s="16" t="str">
        <f>IFERROR(__xludf.DUMMYFUNCTION("""COMPUTED_VALUE"""),"6e9cd8b5ce597e73f12a6a180c18888a89f8aac3")</f>
        <v>6e9cd8b5ce597e73f12a6a180c18888a89f8aac3</v>
      </c>
      <c r="B132" s="16" t="str">
        <f>IFERROR(__xludf.DUMMYFUNCTION("""COMPUTED_VALUE"""),"Sovereign Retribution")</f>
        <v>Sovereign Retribution</v>
      </c>
      <c r="C132" s="16" t="str">
        <f>IFERROR(__xludf.DUMMYFUNCTION("""COMPUTED_VALUE"""),"Drama")</f>
        <v>Drama</v>
      </c>
      <c r="D132" s="16">
        <f>IFERROR(__xludf.DUMMYFUNCTION("""COMPUTED_VALUE"""),527.0)</f>
        <v>527</v>
      </c>
      <c r="E132" s="16">
        <f>IFERROR(__xludf.DUMMYFUNCTION("""COMPUTED_VALUE"""),0.971537001897533)</f>
        <v>0.9715370019</v>
      </c>
      <c r="F132" s="16">
        <f>IFERROR(__xludf.DUMMYFUNCTION("""COMPUTED_VALUE"""),0.815939278937381)</f>
        <v>0.8159392789</v>
      </c>
      <c r="G132" s="16">
        <f>IFERROR(__xludf.DUMMYFUNCTION("""COMPUTED_VALUE"""),0.783681214421252)</f>
        <v>0.7836812144</v>
      </c>
      <c r="H132" s="16">
        <f>IFERROR(__xludf.DUMMYFUNCTION("""COMPUTED_VALUE"""),0.759013282732447)</f>
        <v>0.7590132827</v>
      </c>
      <c r="I132" s="16">
        <f>IFERROR(__xludf.DUMMYFUNCTION("""COMPUTED_VALUE"""),0.732447817836812)</f>
        <v>0.7324478178</v>
      </c>
      <c r="J132" s="16">
        <f>IFERROR(__xludf.DUMMYFUNCTION("""COMPUTED_VALUE"""),0.719165085388994)</f>
        <v>0.7191650854</v>
      </c>
      <c r="K132" s="16">
        <f>IFERROR(__xludf.DUMMYFUNCTION("""COMPUTED_VALUE"""),0.709677419354838)</f>
        <v>0.7096774194</v>
      </c>
      <c r="L132" s="16">
        <f>IFERROR(__xludf.DUMMYFUNCTION("""COMPUTED_VALUE"""),0.686311787072243)</f>
        <v>0.6863117871</v>
      </c>
      <c r="M132" s="16">
        <f>IFERROR(__xludf.DUMMYFUNCTION("""COMPUTED_VALUE"""),0.675572519083969)</f>
        <v>0.6755725191</v>
      </c>
      <c r="N132" s="16">
        <f>IFERROR(__xludf.DUMMYFUNCTION("""COMPUTED_VALUE"""),0.671755725190839)</f>
        <v>0.6717557252</v>
      </c>
      <c r="O132" s="16">
        <f>IFERROR(__xludf.DUMMYFUNCTION("""COMPUTED_VALUE"""),0.610894941634241)</f>
        <v>0.6108949416</v>
      </c>
      <c r="P132" s="16">
        <f>IFERROR(__xludf.DUMMYFUNCTION("""COMPUTED_VALUE"""),0.478260869565217)</f>
        <v>0.4782608696</v>
      </c>
      <c r="Q132" s="16">
        <f>IFERROR(__xludf.DUMMYFUNCTION("""COMPUTED_VALUE"""),0.302600472813238)</f>
        <v>0.3026004728</v>
      </c>
      <c r="R132" s="16">
        <f>IFERROR(__xludf.DUMMYFUNCTION("""COMPUTED_VALUE"""),0.294117647058823)</f>
        <v>0.2941176471</v>
      </c>
      <c r="S132" s="16">
        <f>IFERROR(__xludf.DUMMYFUNCTION("""COMPUTED_VALUE"""),0.181818181818181)</f>
        <v>0.1818181818</v>
      </c>
      <c r="T132" s="16">
        <f>IFERROR(__xludf.DUMMYFUNCTION("""COMPUTED_VALUE"""),0.0)</f>
        <v>0</v>
      </c>
      <c r="U132" s="16">
        <f>IFERROR(__xludf.DUMMYFUNCTION("""COMPUTED_VALUE"""),0.0)</f>
        <v>0</v>
      </c>
      <c r="V132" s="16">
        <f>IFERROR(__xludf.DUMMYFUNCTION("""COMPUTED_VALUE"""),0.0)</f>
        <v>0</v>
      </c>
      <c r="W132" s="16">
        <f>IFERROR(__xludf.DUMMYFUNCTION("""COMPUTED_VALUE"""),0.0)</f>
        <v>0</v>
      </c>
      <c r="X132" s="16">
        <f>IFERROR(__xludf.DUMMYFUNCTION("""COMPUTED_VALUE"""),0.0)</f>
        <v>0</v>
      </c>
      <c r="Y132" s="16">
        <f>IFERROR(__xludf.DUMMYFUNCTION("""COMPUTED_VALUE"""),0.0)</f>
        <v>0</v>
      </c>
      <c r="Z132" s="16">
        <f>IFERROR(__xludf.DUMMYFUNCTION("""COMPUTED_VALUE"""),0.0)</f>
        <v>0</v>
      </c>
      <c r="AA132" s="16">
        <f>IFERROR(__xludf.DUMMYFUNCTION("""COMPUTED_VALUE"""),0.0)</f>
        <v>0</v>
      </c>
      <c r="AB132" s="16">
        <f>IFERROR(__xludf.DUMMYFUNCTION("""COMPUTED_VALUE"""),0.0)</f>
        <v>0</v>
      </c>
      <c r="AC132" s="16">
        <f>IFERROR(__xludf.DUMMYFUNCTION("""COMPUTED_VALUE"""),0.0)</f>
        <v>0</v>
      </c>
      <c r="AD132" s="16">
        <f>IFERROR(__xludf.DUMMYFUNCTION("""COMPUTED_VALUE"""),0.0)</f>
        <v>0</v>
      </c>
      <c r="AE132" s="16">
        <f>IFERROR(__xludf.DUMMYFUNCTION("""COMPUTED_VALUE"""),0.0)</f>
        <v>0</v>
      </c>
      <c r="AF132" s="16">
        <f>IFERROR(__xludf.DUMMYFUNCTION("""COMPUTED_VALUE"""),0.0)</f>
        <v>0</v>
      </c>
      <c r="AG132" s="16">
        <f>IFERROR(__xludf.DUMMYFUNCTION("""COMPUTED_VALUE"""),0.0)</f>
        <v>0</v>
      </c>
      <c r="AH132" s="16">
        <f>IFERROR(__xludf.DUMMYFUNCTION("""COMPUTED_VALUE"""),0.0)</f>
        <v>0</v>
      </c>
    </row>
    <row r="133">
      <c r="A133" s="16" t="str">
        <f>IFERROR(__xludf.DUMMYFUNCTION("""COMPUTED_VALUE"""),"6f82cdfa2792a89aec9172918610c124246ad8bd")</f>
        <v>6f82cdfa2792a89aec9172918610c124246ad8bd</v>
      </c>
      <c r="B133" s="16" t="str">
        <f>IFERROR(__xludf.DUMMYFUNCTION("""COMPUTED_VALUE"""),"Hector's Rise to Power")</f>
        <v>Hector's Rise to Power</v>
      </c>
      <c r="C133" s="16" t="str">
        <f>IFERROR(__xludf.DUMMYFUNCTION("""COMPUTED_VALUE"""),"Drama")</f>
        <v>Drama</v>
      </c>
      <c r="D133" s="16">
        <f>IFERROR(__xludf.DUMMYFUNCTION("""COMPUTED_VALUE"""),59.0)</f>
        <v>59</v>
      </c>
      <c r="E133" s="16">
        <f>IFERROR(__xludf.DUMMYFUNCTION("""COMPUTED_VALUE"""),0.949152542372881)</f>
        <v>0.9491525424</v>
      </c>
      <c r="F133" s="16">
        <f>IFERROR(__xludf.DUMMYFUNCTION("""COMPUTED_VALUE"""),0.830508474576271)</f>
        <v>0.8305084746</v>
      </c>
      <c r="G133" s="16">
        <f>IFERROR(__xludf.DUMMYFUNCTION("""COMPUTED_VALUE"""),0.610169491525423)</f>
        <v>0.6101694915</v>
      </c>
      <c r="H133" s="16">
        <f>IFERROR(__xludf.DUMMYFUNCTION("""COMPUTED_VALUE"""),0.576271186440678)</f>
        <v>0.5762711864</v>
      </c>
      <c r="I133" s="16">
        <f>IFERROR(__xludf.DUMMYFUNCTION("""COMPUTED_VALUE"""),0.457627118644067)</f>
        <v>0.4576271186</v>
      </c>
      <c r="J133" s="16">
        <f>IFERROR(__xludf.DUMMYFUNCTION("""COMPUTED_VALUE"""),0.473684210526315)</f>
        <v>0.4736842105</v>
      </c>
      <c r="K133" s="16">
        <f>IFERROR(__xludf.DUMMYFUNCTION("""COMPUTED_VALUE"""),0.418181818181818)</f>
        <v>0.4181818182</v>
      </c>
      <c r="L133" s="16">
        <f>IFERROR(__xludf.DUMMYFUNCTION("""COMPUTED_VALUE"""),0.4)</f>
        <v>0.4</v>
      </c>
      <c r="M133" s="16">
        <f>IFERROR(__xludf.DUMMYFUNCTION("""COMPUTED_VALUE"""),0.363636363636363)</f>
        <v>0.3636363636</v>
      </c>
      <c r="N133" s="16">
        <f>IFERROR(__xludf.DUMMYFUNCTION("""COMPUTED_VALUE"""),0.327272727272727)</f>
        <v>0.3272727273</v>
      </c>
      <c r="O133" s="16">
        <f>IFERROR(__xludf.DUMMYFUNCTION("""COMPUTED_VALUE"""),0.24074074074074)</f>
        <v>0.2407407407</v>
      </c>
      <c r="P133" s="16">
        <f>IFERROR(__xludf.DUMMYFUNCTION("""COMPUTED_VALUE"""),0.176470588235294)</f>
        <v>0.1764705882</v>
      </c>
      <c r="Q133" s="16">
        <f>IFERROR(__xludf.DUMMYFUNCTION("""COMPUTED_VALUE"""),0.103448275862068)</f>
        <v>0.1034482759</v>
      </c>
      <c r="R133" s="16">
        <f>IFERROR(__xludf.DUMMYFUNCTION("""COMPUTED_VALUE"""),0.0)</f>
        <v>0</v>
      </c>
      <c r="S133" s="16">
        <f>IFERROR(__xludf.DUMMYFUNCTION("""COMPUTED_VALUE"""),0.0)</f>
        <v>0</v>
      </c>
      <c r="T133" s="16">
        <f>IFERROR(__xludf.DUMMYFUNCTION("""COMPUTED_VALUE"""),0.0)</f>
        <v>0</v>
      </c>
      <c r="U133" s="16">
        <f>IFERROR(__xludf.DUMMYFUNCTION("""COMPUTED_VALUE"""),0.0)</f>
        <v>0</v>
      </c>
      <c r="V133" s="16">
        <f>IFERROR(__xludf.DUMMYFUNCTION("""COMPUTED_VALUE"""),0.0)</f>
        <v>0</v>
      </c>
      <c r="W133" s="16">
        <f>IFERROR(__xludf.DUMMYFUNCTION("""COMPUTED_VALUE"""),0.0)</f>
        <v>0</v>
      </c>
      <c r="X133" s="16">
        <f>IFERROR(__xludf.DUMMYFUNCTION("""COMPUTED_VALUE"""),0.0)</f>
        <v>0</v>
      </c>
      <c r="Y133" s="16">
        <f>IFERROR(__xludf.DUMMYFUNCTION("""COMPUTED_VALUE"""),0.0)</f>
        <v>0</v>
      </c>
      <c r="Z133" s="16">
        <f>IFERROR(__xludf.DUMMYFUNCTION("""COMPUTED_VALUE"""),0.0)</f>
        <v>0</v>
      </c>
      <c r="AA133" s="16">
        <f>IFERROR(__xludf.DUMMYFUNCTION("""COMPUTED_VALUE"""),0.0)</f>
        <v>0</v>
      </c>
      <c r="AB133" s="16">
        <f>IFERROR(__xludf.DUMMYFUNCTION("""COMPUTED_VALUE"""),0.0)</f>
        <v>0</v>
      </c>
      <c r="AC133" s="16">
        <f>IFERROR(__xludf.DUMMYFUNCTION("""COMPUTED_VALUE"""),0.0)</f>
        <v>0</v>
      </c>
      <c r="AD133" s="16">
        <f>IFERROR(__xludf.DUMMYFUNCTION("""COMPUTED_VALUE"""),0.0)</f>
        <v>0</v>
      </c>
      <c r="AE133" s="16">
        <f>IFERROR(__xludf.DUMMYFUNCTION("""COMPUTED_VALUE"""),0.0)</f>
        <v>0</v>
      </c>
      <c r="AF133" s="16">
        <f>IFERROR(__xludf.DUMMYFUNCTION("""COMPUTED_VALUE"""),0.0)</f>
        <v>0</v>
      </c>
      <c r="AG133" s="16">
        <f>IFERROR(__xludf.DUMMYFUNCTION("""COMPUTED_VALUE"""),0.0)</f>
        <v>0</v>
      </c>
      <c r="AH133" s="16">
        <f>IFERROR(__xludf.DUMMYFUNCTION("""COMPUTED_VALUE"""),0.0)</f>
        <v>0</v>
      </c>
    </row>
    <row r="134">
      <c r="A134" s="16" t="str">
        <f>IFERROR(__xludf.DUMMYFUNCTION("""COMPUTED_VALUE"""),"6f907f1e2ab28d03dcc8246bf380f11b97d00c06")</f>
        <v>6f907f1e2ab28d03dcc8246bf380f11b97d00c06</v>
      </c>
      <c r="B134" s="16" t="str">
        <f>IFERROR(__xludf.DUMMYFUNCTION("""COMPUTED_VALUE"""),"CEO Inherited Bride ")</f>
        <v>CEO Inherited Bride </v>
      </c>
      <c r="C134" s="16" t="str">
        <f>IFERROR(__xludf.DUMMYFUNCTION("""COMPUTED_VALUE"""),"Romance")</f>
        <v>Romance</v>
      </c>
      <c r="D134" s="16">
        <f>IFERROR(__xludf.DUMMYFUNCTION("""COMPUTED_VALUE"""),10.0)</f>
        <v>10</v>
      </c>
      <c r="E134" s="16">
        <f>IFERROR(__xludf.DUMMYFUNCTION("""COMPUTED_VALUE"""),1.0)</f>
        <v>1</v>
      </c>
      <c r="F134" s="16">
        <f>IFERROR(__xludf.DUMMYFUNCTION("""COMPUTED_VALUE"""),0.7)</f>
        <v>0.7</v>
      </c>
      <c r="G134" s="16">
        <f>IFERROR(__xludf.DUMMYFUNCTION("""COMPUTED_VALUE"""),0.7)</f>
        <v>0.7</v>
      </c>
      <c r="H134" s="16">
        <f>IFERROR(__xludf.DUMMYFUNCTION("""COMPUTED_VALUE"""),0.6)</f>
        <v>0.6</v>
      </c>
      <c r="I134" s="16">
        <f>IFERROR(__xludf.DUMMYFUNCTION("""COMPUTED_VALUE"""),0.6)</f>
        <v>0.6</v>
      </c>
      <c r="J134" s="16">
        <f>IFERROR(__xludf.DUMMYFUNCTION("""COMPUTED_VALUE"""),0.6)</f>
        <v>0.6</v>
      </c>
      <c r="K134" s="16">
        <f>IFERROR(__xludf.DUMMYFUNCTION("""COMPUTED_VALUE"""),0.6)</f>
        <v>0.6</v>
      </c>
      <c r="L134" s="16">
        <f>IFERROR(__xludf.DUMMYFUNCTION("""COMPUTED_VALUE"""),0.5)</f>
        <v>0.5</v>
      </c>
      <c r="M134" s="16">
        <f>IFERROR(__xludf.DUMMYFUNCTION("""COMPUTED_VALUE"""),0.5)</f>
        <v>0.5</v>
      </c>
      <c r="N134" s="16">
        <f>IFERROR(__xludf.DUMMYFUNCTION("""COMPUTED_VALUE"""),0.5)</f>
        <v>0.5</v>
      </c>
      <c r="O134" s="16">
        <f>IFERROR(__xludf.DUMMYFUNCTION("""COMPUTED_VALUE"""),0.3)</f>
        <v>0.3</v>
      </c>
      <c r="P134" s="16">
        <f>IFERROR(__xludf.DUMMYFUNCTION("""COMPUTED_VALUE"""),0.3)</f>
        <v>0.3</v>
      </c>
      <c r="Q134" s="16">
        <f>IFERROR(__xludf.DUMMYFUNCTION("""COMPUTED_VALUE"""),0.222222222222222)</f>
        <v>0.2222222222</v>
      </c>
      <c r="R134" s="16">
        <f>IFERROR(__xludf.DUMMYFUNCTION("""COMPUTED_VALUE"""),0.111111111111111)</f>
        <v>0.1111111111</v>
      </c>
      <c r="S134" s="16">
        <f>IFERROR(__xludf.DUMMYFUNCTION("""COMPUTED_VALUE"""),0.0)</f>
        <v>0</v>
      </c>
      <c r="T134" s="16">
        <f>IFERROR(__xludf.DUMMYFUNCTION("""COMPUTED_VALUE"""),0.0)</f>
        <v>0</v>
      </c>
      <c r="U134" s="16">
        <f>IFERROR(__xludf.DUMMYFUNCTION("""COMPUTED_VALUE"""),0.0)</f>
        <v>0</v>
      </c>
      <c r="V134" s="16">
        <f>IFERROR(__xludf.DUMMYFUNCTION("""COMPUTED_VALUE"""),0.0)</f>
        <v>0</v>
      </c>
      <c r="W134" s="16">
        <f>IFERROR(__xludf.DUMMYFUNCTION("""COMPUTED_VALUE"""),0.0)</f>
        <v>0</v>
      </c>
      <c r="X134" s="16">
        <f>IFERROR(__xludf.DUMMYFUNCTION("""COMPUTED_VALUE"""),0.0)</f>
        <v>0</v>
      </c>
      <c r="Y134" s="16">
        <f>IFERROR(__xludf.DUMMYFUNCTION("""COMPUTED_VALUE"""),0.0)</f>
        <v>0</v>
      </c>
      <c r="Z134" s="16">
        <f>IFERROR(__xludf.DUMMYFUNCTION("""COMPUTED_VALUE"""),0.0)</f>
        <v>0</v>
      </c>
      <c r="AA134" s="16">
        <f>IFERROR(__xludf.DUMMYFUNCTION("""COMPUTED_VALUE"""),0.0)</f>
        <v>0</v>
      </c>
      <c r="AB134" s="16">
        <f>IFERROR(__xludf.DUMMYFUNCTION("""COMPUTED_VALUE"""),0.0)</f>
        <v>0</v>
      </c>
      <c r="AC134" s="16">
        <f>IFERROR(__xludf.DUMMYFUNCTION("""COMPUTED_VALUE"""),0.0)</f>
        <v>0</v>
      </c>
      <c r="AD134" s="16">
        <f>IFERROR(__xludf.DUMMYFUNCTION("""COMPUTED_VALUE"""),0.0)</f>
        <v>0</v>
      </c>
      <c r="AE134" s="16">
        <f>IFERROR(__xludf.DUMMYFUNCTION("""COMPUTED_VALUE"""),0.0)</f>
        <v>0</v>
      </c>
      <c r="AF134" s="16">
        <f>IFERROR(__xludf.DUMMYFUNCTION("""COMPUTED_VALUE"""),0.0)</f>
        <v>0</v>
      </c>
      <c r="AG134" s="16">
        <f>IFERROR(__xludf.DUMMYFUNCTION("""COMPUTED_VALUE"""),0.0)</f>
        <v>0</v>
      </c>
      <c r="AH134" s="16">
        <f>IFERROR(__xludf.DUMMYFUNCTION("""COMPUTED_VALUE"""),0.0)</f>
        <v>0</v>
      </c>
    </row>
    <row r="135">
      <c r="A135" s="16" t="str">
        <f>IFERROR(__xludf.DUMMYFUNCTION("""COMPUTED_VALUE"""),"71bfacd374965f4c980894477e36ea695b41c609")</f>
        <v>71bfacd374965f4c980894477e36ea695b41c609</v>
      </c>
      <c r="B135" s="16" t="str">
        <f>IFERROR(__xludf.DUMMYFUNCTION("""COMPUTED_VALUE"""),"Bride Who Didn't Want Him")</f>
        <v>Bride Who Didn't Want Him</v>
      </c>
      <c r="C135" s="16" t="str">
        <f>IFERROR(__xludf.DUMMYFUNCTION("""COMPUTED_VALUE"""),"Romance")</f>
        <v>Romance</v>
      </c>
      <c r="D135" s="16">
        <f>IFERROR(__xludf.DUMMYFUNCTION("""COMPUTED_VALUE"""),62.0)</f>
        <v>62</v>
      </c>
      <c r="E135" s="16">
        <f>IFERROR(__xludf.DUMMYFUNCTION("""COMPUTED_VALUE"""),0.983870967741935)</f>
        <v>0.9838709677</v>
      </c>
      <c r="F135" s="16">
        <f>IFERROR(__xludf.DUMMYFUNCTION("""COMPUTED_VALUE"""),0.661290322580645)</f>
        <v>0.6612903226</v>
      </c>
      <c r="G135" s="16">
        <f>IFERROR(__xludf.DUMMYFUNCTION("""COMPUTED_VALUE"""),0.596774193548387)</f>
        <v>0.5967741935</v>
      </c>
      <c r="H135" s="16">
        <f>IFERROR(__xludf.DUMMYFUNCTION("""COMPUTED_VALUE"""),0.564516129032258)</f>
        <v>0.564516129</v>
      </c>
      <c r="I135" s="16">
        <f>IFERROR(__xludf.DUMMYFUNCTION("""COMPUTED_VALUE"""),0.483870967741935)</f>
        <v>0.4838709677</v>
      </c>
      <c r="J135" s="16">
        <f>IFERROR(__xludf.DUMMYFUNCTION("""COMPUTED_VALUE"""),0.5)</f>
        <v>0.5</v>
      </c>
      <c r="K135" s="16">
        <f>IFERROR(__xludf.DUMMYFUNCTION("""COMPUTED_VALUE"""),0.483870967741935)</f>
        <v>0.4838709677</v>
      </c>
      <c r="L135" s="16">
        <f>IFERROR(__xludf.DUMMYFUNCTION("""COMPUTED_VALUE"""),0.483870967741935)</f>
        <v>0.4838709677</v>
      </c>
      <c r="M135" s="16">
        <f>IFERROR(__xludf.DUMMYFUNCTION("""COMPUTED_VALUE"""),0.419354838709677)</f>
        <v>0.4193548387</v>
      </c>
      <c r="N135" s="16">
        <f>IFERROR(__xludf.DUMMYFUNCTION("""COMPUTED_VALUE"""),0.435483870967741)</f>
        <v>0.435483871</v>
      </c>
      <c r="O135" s="16">
        <f>IFERROR(__xludf.DUMMYFUNCTION("""COMPUTED_VALUE"""),0.370967741935483)</f>
        <v>0.3709677419</v>
      </c>
      <c r="P135" s="16">
        <f>IFERROR(__xludf.DUMMYFUNCTION("""COMPUTED_VALUE"""),0.262295081967213)</f>
        <v>0.262295082</v>
      </c>
      <c r="Q135" s="16">
        <f>IFERROR(__xludf.DUMMYFUNCTION("""COMPUTED_VALUE"""),0.120689655172413)</f>
        <v>0.1206896552</v>
      </c>
      <c r="R135" s="16">
        <f>IFERROR(__xludf.DUMMYFUNCTION("""COMPUTED_VALUE"""),0.0)</f>
        <v>0</v>
      </c>
      <c r="S135" s="16">
        <f>IFERROR(__xludf.DUMMYFUNCTION("""COMPUTED_VALUE"""),0.0)</f>
        <v>0</v>
      </c>
      <c r="T135" s="16">
        <f>IFERROR(__xludf.DUMMYFUNCTION("""COMPUTED_VALUE"""),0.0)</f>
        <v>0</v>
      </c>
      <c r="U135" s="16">
        <f>IFERROR(__xludf.DUMMYFUNCTION("""COMPUTED_VALUE"""),0.0)</f>
        <v>0</v>
      </c>
      <c r="V135" s="16">
        <f>IFERROR(__xludf.DUMMYFUNCTION("""COMPUTED_VALUE"""),0.0)</f>
        <v>0</v>
      </c>
      <c r="W135" s="16">
        <f>IFERROR(__xludf.DUMMYFUNCTION("""COMPUTED_VALUE"""),0.0)</f>
        <v>0</v>
      </c>
      <c r="X135" s="16">
        <f>IFERROR(__xludf.DUMMYFUNCTION("""COMPUTED_VALUE"""),0.0)</f>
        <v>0</v>
      </c>
      <c r="Y135" s="16">
        <f>IFERROR(__xludf.DUMMYFUNCTION("""COMPUTED_VALUE"""),0.0)</f>
        <v>0</v>
      </c>
      <c r="Z135" s="16">
        <f>IFERROR(__xludf.DUMMYFUNCTION("""COMPUTED_VALUE"""),0.0)</f>
        <v>0</v>
      </c>
      <c r="AA135" s="16">
        <f>IFERROR(__xludf.DUMMYFUNCTION("""COMPUTED_VALUE"""),0.0)</f>
        <v>0</v>
      </c>
      <c r="AB135" s="16">
        <f>IFERROR(__xludf.DUMMYFUNCTION("""COMPUTED_VALUE"""),0.0)</f>
        <v>0</v>
      </c>
      <c r="AC135" s="16">
        <f>IFERROR(__xludf.DUMMYFUNCTION("""COMPUTED_VALUE"""),0.0)</f>
        <v>0</v>
      </c>
      <c r="AD135" s="16">
        <f>IFERROR(__xludf.DUMMYFUNCTION("""COMPUTED_VALUE"""),0.0)</f>
        <v>0</v>
      </c>
      <c r="AE135" s="16">
        <f>IFERROR(__xludf.DUMMYFUNCTION("""COMPUTED_VALUE"""),0.0)</f>
        <v>0</v>
      </c>
      <c r="AF135" s="16">
        <f>IFERROR(__xludf.DUMMYFUNCTION("""COMPUTED_VALUE"""),0.0)</f>
        <v>0</v>
      </c>
      <c r="AG135" s="16">
        <f>IFERROR(__xludf.DUMMYFUNCTION("""COMPUTED_VALUE"""),0.0)</f>
        <v>0</v>
      </c>
      <c r="AH135" s="16">
        <f>IFERROR(__xludf.DUMMYFUNCTION("""COMPUTED_VALUE"""),0.0)</f>
        <v>0</v>
      </c>
    </row>
    <row r="136">
      <c r="A136" s="16" t="str">
        <f>IFERROR(__xludf.DUMMYFUNCTION("""COMPUTED_VALUE"""),"730a3d0d6b094f151aed0a3dff6794a1d2fedee3")</f>
        <v>730a3d0d6b094f151aed0a3dff6794a1d2fedee3</v>
      </c>
      <c r="B136" s="16" t="str">
        <f>IFERROR(__xludf.DUMMYFUNCTION("""COMPUTED_VALUE"""),"Her Beauty Is Reborn")</f>
        <v>Her Beauty Is Reborn</v>
      </c>
      <c r="C136" s="16" t="str">
        <f>IFERROR(__xludf.DUMMYFUNCTION("""COMPUTED_VALUE"""),"Romance")</f>
        <v>Romance</v>
      </c>
      <c r="D136" s="16">
        <f>IFERROR(__xludf.DUMMYFUNCTION("""COMPUTED_VALUE"""),555.0)</f>
        <v>555</v>
      </c>
      <c r="E136" s="16">
        <f>IFERROR(__xludf.DUMMYFUNCTION("""COMPUTED_VALUE"""),0.954954954954955)</f>
        <v>0.954954955</v>
      </c>
      <c r="F136" s="16">
        <f>IFERROR(__xludf.DUMMYFUNCTION("""COMPUTED_VALUE"""),0.576576576576576)</f>
        <v>0.5765765766</v>
      </c>
      <c r="G136" s="16">
        <f>IFERROR(__xludf.DUMMYFUNCTION("""COMPUTED_VALUE"""),0.529729729729729)</f>
        <v>0.5297297297</v>
      </c>
      <c r="H136" s="16">
        <f>IFERROR(__xludf.DUMMYFUNCTION("""COMPUTED_VALUE"""),0.504504504504504)</f>
        <v>0.5045045045</v>
      </c>
      <c r="I136" s="16">
        <f>IFERROR(__xludf.DUMMYFUNCTION("""COMPUTED_VALUE"""),0.486486486486486)</f>
        <v>0.4864864865</v>
      </c>
      <c r="J136" s="16">
        <f>IFERROR(__xludf.DUMMYFUNCTION("""COMPUTED_VALUE"""),0.466666666666666)</f>
        <v>0.4666666667</v>
      </c>
      <c r="K136" s="16">
        <f>IFERROR(__xludf.DUMMYFUNCTION("""COMPUTED_VALUE"""),0.452252252252252)</f>
        <v>0.4522522523</v>
      </c>
      <c r="L136" s="16">
        <f>IFERROR(__xludf.DUMMYFUNCTION("""COMPUTED_VALUE"""),0.43063063063063)</f>
        <v>0.4306306306</v>
      </c>
      <c r="M136" s="16">
        <f>IFERROR(__xludf.DUMMYFUNCTION("""COMPUTED_VALUE"""),0.425225225225225)</f>
        <v>0.4252252252</v>
      </c>
      <c r="N136" s="16">
        <f>IFERROR(__xludf.DUMMYFUNCTION("""COMPUTED_VALUE"""),0.414414414414414)</f>
        <v>0.4144144144</v>
      </c>
      <c r="O136" s="16">
        <f>IFERROR(__xludf.DUMMYFUNCTION("""COMPUTED_VALUE"""),0.368231046931407)</f>
        <v>0.3682310469</v>
      </c>
      <c r="P136" s="16">
        <f>IFERROR(__xludf.DUMMYFUNCTION("""COMPUTED_VALUE"""),0.301989150090415)</f>
        <v>0.3019891501</v>
      </c>
      <c r="Q136" s="16">
        <f>IFERROR(__xludf.DUMMYFUNCTION("""COMPUTED_VALUE"""),0.25)</f>
        <v>0.25</v>
      </c>
      <c r="R136" s="16">
        <f>IFERROR(__xludf.DUMMYFUNCTION("""COMPUTED_VALUE"""),0.210666666666666)</f>
        <v>0.2106666667</v>
      </c>
      <c r="S136" s="16">
        <f>IFERROR(__xludf.DUMMYFUNCTION("""COMPUTED_VALUE"""),0.206405693950177)</f>
        <v>0.206405694</v>
      </c>
      <c r="T136" s="16">
        <f>IFERROR(__xludf.DUMMYFUNCTION("""COMPUTED_VALUE"""),0.182572614107883)</f>
        <v>0.1825726141</v>
      </c>
      <c r="U136" s="16">
        <f>IFERROR(__xludf.DUMMYFUNCTION("""COMPUTED_VALUE"""),0.148648648648648)</f>
        <v>0.1486486486</v>
      </c>
      <c r="V136" s="16">
        <f>IFERROR(__xludf.DUMMYFUNCTION("""COMPUTED_VALUE"""),0.109243697478991)</f>
        <v>0.1092436975</v>
      </c>
      <c r="W136" s="16">
        <f>IFERROR(__xludf.DUMMYFUNCTION("""COMPUTED_VALUE"""),0.0980392156862745)</f>
        <v>0.09803921569</v>
      </c>
      <c r="X136" s="16">
        <f>IFERROR(__xludf.DUMMYFUNCTION("""COMPUTED_VALUE"""),0.0823529411764705)</f>
        <v>0.08235294118</v>
      </c>
      <c r="Y136" s="16">
        <f>IFERROR(__xludf.DUMMYFUNCTION("""COMPUTED_VALUE"""),0.0757575757575757)</f>
        <v>0.07575757576</v>
      </c>
      <c r="Z136" s="16">
        <f>IFERROR(__xludf.DUMMYFUNCTION("""COMPUTED_VALUE"""),0.0)</f>
        <v>0</v>
      </c>
      <c r="AA136" s="16">
        <f>IFERROR(__xludf.DUMMYFUNCTION("""COMPUTED_VALUE"""),0.0)</f>
        <v>0</v>
      </c>
      <c r="AB136" s="16">
        <f>IFERROR(__xludf.DUMMYFUNCTION("""COMPUTED_VALUE"""),0.0)</f>
        <v>0</v>
      </c>
      <c r="AC136" s="16">
        <f>IFERROR(__xludf.DUMMYFUNCTION("""COMPUTED_VALUE"""),0.0)</f>
        <v>0</v>
      </c>
      <c r="AD136" s="16">
        <f>IFERROR(__xludf.DUMMYFUNCTION("""COMPUTED_VALUE"""),0.0)</f>
        <v>0</v>
      </c>
      <c r="AE136" s="16">
        <f>IFERROR(__xludf.DUMMYFUNCTION("""COMPUTED_VALUE"""),0.0)</f>
        <v>0</v>
      </c>
      <c r="AF136" s="16">
        <f>IFERROR(__xludf.DUMMYFUNCTION("""COMPUTED_VALUE"""),0.0)</f>
        <v>0</v>
      </c>
      <c r="AG136" s="16">
        <f>IFERROR(__xludf.DUMMYFUNCTION("""COMPUTED_VALUE"""),0.0)</f>
        <v>0</v>
      </c>
      <c r="AH136" s="16">
        <f>IFERROR(__xludf.DUMMYFUNCTION("""COMPUTED_VALUE"""),0.0)</f>
        <v>0</v>
      </c>
    </row>
    <row r="137">
      <c r="A137" s="16" t="str">
        <f>IFERROR(__xludf.DUMMYFUNCTION("""COMPUTED_VALUE"""),"7315dca13e406894d8407cd6d050c5d3b69eec10")</f>
        <v>7315dca13e406894d8407cd6d050c5d3b69eec10</v>
      </c>
      <c r="B137" s="16" t="str">
        <f>IFERROR(__xludf.DUMMYFUNCTION("""COMPUTED_VALUE"""),"The Uncle Who Chose Me")</f>
        <v>The Uncle Who Chose Me</v>
      </c>
      <c r="C137" s="16" t="str">
        <f>IFERROR(__xludf.DUMMYFUNCTION("""COMPUTED_VALUE"""),"Romance")</f>
        <v>Romance</v>
      </c>
      <c r="D137" s="16">
        <f>IFERROR(__xludf.DUMMYFUNCTION("""COMPUTED_VALUE"""),51.0)</f>
        <v>51</v>
      </c>
      <c r="E137" s="16">
        <f>IFERROR(__xludf.DUMMYFUNCTION("""COMPUTED_VALUE"""),0.980392156862745)</f>
        <v>0.9803921569</v>
      </c>
      <c r="F137" s="16">
        <f>IFERROR(__xludf.DUMMYFUNCTION("""COMPUTED_VALUE"""),0.568627450980392)</f>
        <v>0.568627451</v>
      </c>
      <c r="G137" s="16">
        <f>IFERROR(__xludf.DUMMYFUNCTION("""COMPUTED_VALUE"""),0.431372549019607)</f>
        <v>0.431372549</v>
      </c>
      <c r="H137" s="16">
        <f>IFERROR(__xludf.DUMMYFUNCTION("""COMPUTED_VALUE"""),0.352941176470588)</f>
        <v>0.3529411765</v>
      </c>
      <c r="I137" s="16">
        <f>IFERROR(__xludf.DUMMYFUNCTION("""COMPUTED_VALUE"""),0.333333333333333)</f>
        <v>0.3333333333</v>
      </c>
      <c r="J137" s="16">
        <f>IFERROR(__xludf.DUMMYFUNCTION("""COMPUTED_VALUE"""),0.333333333333333)</f>
        <v>0.3333333333</v>
      </c>
      <c r="K137" s="16">
        <f>IFERROR(__xludf.DUMMYFUNCTION("""COMPUTED_VALUE"""),0.333333333333333)</f>
        <v>0.3333333333</v>
      </c>
      <c r="L137" s="16">
        <f>IFERROR(__xludf.DUMMYFUNCTION("""COMPUTED_VALUE"""),0.333333333333333)</f>
        <v>0.3333333333</v>
      </c>
      <c r="M137" s="16">
        <f>IFERROR(__xludf.DUMMYFUNCTION("""COMPUTED_VALUE"""),0.333333333333333)</f>
        <v>0.3333333333</v>
      </c>
      <c r="N137" s="16">
        <f>IFERROR(__xludf.DUMMYFUNCTION("""COMPUTED_VALUE"""),0.294117647058823)</f>
        <v>0.2941176471</v>
      </c>
      <c r="O137" s="16">
        <f>IFERROR(__xludf.DUMMYFUNCTION("""COMPUTED_VALUE"""),0.176470588235294)</f>
        <v>0.1764705882</v>
      </c>
      <c r="P137" s="16">
        <f>IFERROR(__xludf.DUMMYFUNCTION("""COMPUTED_VALUE"""),0.1)</f>
        <v>0.1</v>
      </c>
      <c r="Q137" s="16">
        <f>IFERROR(__xludf.DUMMYFUNCTION("""COMPUTED_VALUE"""),0.0)</f>
        <v>0</v>
      </c>
      <c r="R137" s="16">
        <f>IFERROR(__xludf.DUMMYFUNCTION("""COMPUTED_VALUE"""),0.0)</f>
        <v>0</v>
      </c>
      <c r="S137" s="16">
        <f>IFERROR(__xludf.DUMMYFUNCTION("""COMPUTED_VALUE"""),0.0)</f>
        <v>0</v>
      </c>
      <c r="T137" s="16">
        <f>IFERROR(__xludf.DUMMYFUNCTION("""COMPUTED_VALUE"""),0.0)</f>
        <v>0</v>
      </c>
      <c r="U137" s="16">
        <f>IFERROR(__xludf.DUMMYFUNCTION("""COMPUTED_VALUE"""),0.0)</f>
        <v>0</v>
      </c>
      <c r="V137" s="16">
        <f>IFERROR(__xludf.DUMMYFUNCTION("""COMPUTED_VALUE"""),0.0)</f>
        <v>0</v>
      </c>
      <c r="W137" s="16">
        <f>IFERROR(__xludf.DUMMYFUNCTION("""COMPUTED_VALUE"""),0.0)</f>
        <v>0</v>
      </c>
      <c r="X137" s="16">
        <f>IFERROR(__xludf.DUMMYFUNCTION("""COMPUTED_VALUE"""),0.0)</f>
        <v>0</v>
      </c>
      <c r="Y137" s="16">
        <f>IFERROR(__xludf.DUMMYFUNCTION("""COMPUTED_VALUE"""),0.0)</f>
        <v>0</v>
      </c>
      <c r="Z137" s="16">
        <f>IFERROR(__xludf.DUMMYFUNCTION("""COMPUTED_VALUE"""),0.0)</f>
        <v>0</v>
      </c>
      <c r="AA137" s="16">
        <f>IFERROR(__xludf.DUMMYFUNCTION("""COMPUTED_VALUE"""),0.0)</f>
        <v>0</v>
      </c>
      <c r="AB137" s="16">
        <f>IFERROR(__xludf.DUMMYFUNCTION("""COMPUTED_VALUE"""),0.0)</f>
        <v>0</v>
      </c>
      <c r="AC137" s="16">
        <f>IFERROR(__xludf.DUMMYFUNCTION("""COMPUTED_VALUE"""),0.0)</f>
        <v>0</v>
      </c>
      <c r="AD137" s="16">
        <f>IFERROR(__xludf.DUMMYFUNCTION("""COMPUTED_VALUE"""),0.0)</f>
        <v>0</v>
      </c>
      <c r="AE137" s="16">
        <f>IFERROR(__xludf.DUMMYFUNCTION("""COMPUTED_VALUE"""),0.0)</f>
        <v>0</v>
      </c>
      <c r="AF137" s="16">
        <f>IFERROR(__xludf.DUMMYFUNCTION("""COMPUTED_VALUE"""),0.0)</f>
        <v>0</v>
      </c>
      <c r="AG137" s="16">
        <f>IFERROR(__xludf.DUMMYFUNCTION("""COMPUTED_VALUE"""),0.0)</f>
        <v>0</v>
      </c>
      <c r="AH137" s="16">
        <f>IFERROR(__xludf.DUMMYFUNCTION("""COMPUTED_VALUE"""),0.0)</f>
        <v>0</v>
      </c>
    </row>
    <row r="138">
      <c r="A138" s="16" t="str">
        <f>IFERROR(__xludf.DUMMYFUNCTION("""COMPUTED_VALUE"""),"749524eadbd429949b1a44242bd8fb3559f3626c")</f>
        <v>749524eadbd429949b1a44242bd8fb3559f3626c</v>
      </c>
      <c r="B138" s="16" t="str">
        <f>IFERROR(__xludf.DUMMYFUNCTION("""COMPUTED_VALUE"""),"Monarch of His Shadows")</f>
        <v>Monarch of His Shadows</v>
      </c>
      <c r="C138" s="16" t="str">
        <f>IFERROR(__xludf.DUMMYFUNCTION("""COMPUTED_VALUE"""),"Fantasy")</f>
        <v>Fantasy</v>
      </c>
      <c r="D138" s="16">
        <f>IFERROR(__xludf.DUMMYFUNCTION("""COMPUTED_VALUE"""),62.0)</f>
        <v>62</v>
      </c>
      <c r="E138" s="16">
        <f>IFERROR(__xludf.DUMMYFUNCTION("""COMPUTED_VALUE"""),0.935483870967741)</f>
        <v>0.935483871</v>
      </c>
      <c r="F138" s="16">
        <f>IFERROR(__xludf.DUMMYFUNCTION("""COMPUTED_VALUE"""),0.564516129032258)</f>
        <v>0.564516129</v>
      </c>
      <c r="G138" s="16">
        <f>IFERROR(__xludf.DUMMYFUNCTION("""COMPUTED_VALUE"""),0.5)</f>
        <v>0.5</v>
      </c>
      <c r="H138" s="16">
        <f>IFERROR(__xludf.DUMMYFUNCTION("""COMPUTED_VALUE"""),0.5)</f>
        <v>0.5</v>
      </c>
      <c r="I138" s="16">
        <f>IFERROR(__xludf.DUMMYFUNCTION("""COMPUTED_VALUE"""),0.419354838709677)</f>
        <v>0.4193548387</v>
      </c>
      <c r="J138" s="16">
        <f>IFERROR(__xludf.DUMMYFUNCTION("""COMPUTED_VALUE"""),0.435483870967741)</f>
        <v>0.435483871</v>
      </c>
      <c r="K138" s="16">
        <f>IFERROR(__xludf.DUMMYFUNCTION("""COMPUTED_VALUE"""),0.426229508196721)</f>
        <v>0.4262295082</v>
      </c>
      <c r="L138" s="16">
        <f>IFERROR(__xludf.DUMMYFUNCTION("""COMPUTED_VALUE"""),0.393442622950819)</f>
        <v>0.393442623</v>
      </c>
      <c r="M138" s="16">
        <f>IFERROR(__xludf.DUMMYFUNCTION("""COMPUTED_VALUE"""),0.360655737704918)</f>
        <v>0.3606557377</v>
      </c>
      <c r="N138" s="16">
        <f>IFERROR(__xludf.DUMMYFUNCTION("""COMPUTED_VALUE"""),0.360655737704918)</f>
        <v>0.3606557377</v>
      </c>
      <c r="O138" s="16">
        <f>IFERROR(__xludf.DUMMYFUNCTION("""COMPUTED_VALUE"""),0.271186440677966)</f>
        <v>0.2711864407</v>
      </c>
      <c r="P138" s="16">
        <f>IFERROR(__xludf.DUMMYFUNCTION("""COMPUTED_VALUE"""),0.137931034482758)</f>
        <v>0.1379310345</v>
      </c>
      <c r="Q138" s="16">
        <f>IFERROR(__xludf.DUMMYFUNCTION("""COMPUTED_VALUE"""),0.0285714285714285)</f>
        <v>0.02857142857</v>
      </c>
      <c r="R138" s="16">
        <f>IFERROR(__xludf.DUMMYFUNCTION("""COMPUTED_VALUE"""),0.0)</f>
        <v>0</v>
      </c>
      <c r="S138" s="16">
        <f>IFERROR(__xludf.DUMMYFUNCTION("""COMPUTED_VALUE"""),0.0)</f>
        <v>0</v>
      </c>
      <c r="T138" s="16">
        <f>IFERROR(__xludf.DUMMYFUNCTION("""COMPUTED_VALUE"""),0.0)</f>
        <v>0</v>
      </c>
      <c r="U138" s="16">
        <f>IFERROR(__xludf.DUMMYFUNCTION("""COMPUTED_VALUE"""),0.0)</f>
        <v>0</v>
      </c>
      <c r="V138" s="16">
        <f>IFERROR(__xludf.DUMMYFUNCTION("""COMPUTED_VALUE"""),0.0)</f>
        <v>0</v>
      </c>
      <c r="W138" s="16">
        <f>IFERROR(__xludf.DUMMYFUNCTION("""COMPUTED_VALUE"""),0.0)</f>
        <v>0</v>
      </c>
      <c r="X138" s="16">
        <f>IFERROR(__xludf.DUMMYFUNCTION("""COMPUTED_VALUE"""),0.0)</f>
        <v>0</v>
      </c>
      <c r="Y138" s="16">
        <f>IFERROR(__xludf.DUMMYFUNCTION("""COMPUTED_VALUE"""),0.0)</f>
        <v>0</v>
      </c>
      <c r="Z138" s="16">
        <f>IFERROR(__xludf.DUMMYFUNCTION("""COMPUTED_VALUE"""),0.0)</f>
        <v>0</v>
      </c>
      <c r="AA138" s="16">
        <f>IFERROR(__xludf.DUMMYFUNCTION("""COMPUTED_VALUE"""),0.0)</f>
        <v>0</v>
      </c>
      <c r="AB138" s="16">
        <f>IFERROR(__xludf.DUMMYFUNCTION("""COMPUTED_VALUE"""),0.0)</f>
        <v>0</v>
      </c>
      <c r="AC138" s="16">
        <f>IFERROR(__xludf.DUMMYFUNCTION("""COMPUTED_VALUE"""),0.0)</f>
        <v>0</v>
      </c>
      <c r="AD138" s="16">
        <f>IFERROR(__xludf.DUMMYFUNCTION("""COMPUTED_VALUE"""),0.0)</f>
        <v>0</v>
      </c>
      <c r="AE138" s="16">
        <f>IFERROR(__xludf.DUMMYFUNCTION("""COMPUTED_VALUE"""),0.0)</f>
        <v>0</v>
      </c>
      <c r="AF138" s="16">
        <f>IFERROR(__xludf.DUMMYFUNCTION("""COMPUTED_VALUE"""),0.0)</f>
        <v>0</v>
      </c>
      <c r="AG138" s="16">
        <f>IFERROR(__xludf.DUMMYFUNCTION("""COMPUTED_VALUE"""),0.0)</f>
        <v>0</v>
      </c>
      <c r="AH138" s="16">
        <f>IFERROR(__xludf.DUMMYFUNCTION("""COMPUTED_VALUE"""),0.0)</f>
        <v>0</v>
      </c>
    </row>
    <row r="139">
      <c r="A139" s="16" t="str">
        <f>IFERROR(__xludf.DUMMYFUNCTION("""COMPUTED_VALUE"""),"75537e31c1c79bdbb6ca1cd286c8e6bcb2697a51")</f>
        <v>75537e31c1c79bdbb6ca1cd286c8e6bcb2697a51</v>
      </c>
      <c r="B139" s="16" t="str">
        <f>IFERROR(__xludf.DUMMYFUNCTION("""COMPUTED_VALUE"""),"The Story of the CEO and the Heiress")</f>
        <v>The Story of the CEO and the Heiress</v>
      </c>
      <c r="C139" s="16" t="str">
        <f>IFERROR(__xludf.DUMMYFUNCTION("""COMPUTED_VALUE"""),"Romance")</f>
        <v>Romance</v>
      </c>
      <c r="D139" s="16">
        <f>IFERROR(__xludf.DUMMYFUNCTION("""COMPUTED_VALUE"""),958.0)</f>
        <v>958</v>
      </c>
      <c r="E139" s="16">
        <f>IFERROR(__xludf.DUMMYFUNCTION("""COMPUTED_VALUE"""),0.964509394572025)</f>
        <v>0.9645093946</v>
      </c>
      <c r="F139" s="16">
        <f>IFERROR(__xludf.DUMMYFUNCTION("""COMPUTED_VALUE"""),0.506263048016701)</f>
        <v>0.506263048</v>
      </c>
      <c r="G139" s="16">
        <f>IFERROR(__xludf.DUMMYFUNCTION("""COMPUTED_VALUE"""),0.431106471816283)</f>
        <v>0.4311064718</v>
      </c>
      <c r="H139" s="16">
        <f>IFERROR(__xludf.DUMMYFUNCTION("""COMPUTED_VALUE"""),0.395615866388309)</f>
        <v>0.3956158664</v>
      </c>
      <c r="I139" s="16">
        <f>IFERROR(__xludf.DUMMYFUNCTION("""COMPUTED_VALUE"""),0.36116910229645)</f>
        <v>0.3611691023</v>
      </c>
      <c r="J139" s="16">
        <f>IFERROR(__xludf.DUMMYFUNCTION("""COMPUTED_VALUE"""),0.342379958246346)</f>
        <v>0.3423799582</v>
      </c>
      <c r="K139" s="16">
        <f>IFERROR(__xludf.DUMMYFUNCTION("""COMPUTED_VALUE"""),0.333333333333333)</f>
        <v>0.3333333333</v>
      </c>
      <c r="L139" s="16">
        <f>IFERROR(__xludf.DUMMYFUNCTION("""COMPUTED_VALUE"""),0.324973876698014)</f>
        <v>0.3249738767</v>
      </c>
      <c r="M139" s="16">
        <f>IFERROR(__xludf.DUMMYFUNCTION("""COMPUTED_VALUE"""),0.320083682008368)</f>
        <v>0.320083682</v>
      </c>
      <c r="N139" s="16">
        <f>IFERROR(__xludf.DUMMYFUNCTION("""COMPUTED_VALUE"""),0.30439330543933)</f>
        <v>0.3043933054</v>
      </c>
      <c r="O139" s="16">
        <f>IFERROR(__xludf.DUMMYFUNCTION("""COMPUTED_VALUE"""),0.288865546218487)</f>
        <v>0.2888655462</v>
      </c>
      <c r="P139" s="16">
        <f>IFERROR(__xludf.DUMMYFUNCTION("""COMPUTED_VALUE"""),0.247619047619047)</f>
        <v>0.2476190476</v>
      </c>
      <c r="Q139" s="16">
        <f>IFERROR(__xludf.DUMMYFUNCTION("""COMPUTED_VALUE"""),0.207889125799573)</f>
        <v>0.2078891258</v>
      </c>
      <c r="R139" s="16">
        <f>IFERROR(__xludf.DUMMYFUNCTION("""COMPUTED_VALUE"""),0.164163090128755)</f>
        <v>0.1641630901</v>
      </c>
      <c r="S139" s="16">
        <f>IFERROR(__xludf.DUMMYFUNCTION("""COMPUTED_VALUE"""),0.144396551724137)</f>
        <v>0.1443965517</v>
      </c>
      <c r="T139" s="16">
        <f>IFERROR(__xludf.DUMMYFUNCTION("""COMPUTED_VALUE"""),0.0725388601036269)</f>
        <v>0.0725388601</v>
      </c>
      <c r="U139" s="16">
        <f>IFERROR(__xludf.DUMMYFUNCTION("""COMPUTED_VALUE"""),0.0620155038759689)</f>
        <v>0.06201550388</v>
      </c>
      <c r="V139" s="16">
        <f>IFERROR(__xludf.DUMMYFUNCTION("""COMPUTED_VALUE"""),0.0348101265822784)</f>
        <v>0.03481012658</v>
      </c>
      <c r="W139" s="16">
        <f>IFERROR(__xludf.DUMMYFUNCTION("""COMPUTED_VALUE"""),0.0172413793103448)</f>
        <v>0.01724137931</v>
      </c>
      <c r="X139" s="16">
        <f>IFERROR(__xludf.DUMMYFUNCTION("""COMPUTED_VALUE"""),0.0)</f>
        <v>0</v>
      </c>
      <c r="Y139" s="16">
        <f>IFERROR(__xludf.DUMMYFUNCTION("""COMPUTED_VALUE"""),0.0)</f>
        <v>0</v>
      </c>
      <c r="Z139" s="16">
        <f>IFERROR(__xludf.DUMMYFUNCTION("""COMPUTED_VALUE"""),0.0)</f>
        <v>0</v>
      </c>
      <c r="AA139" s="16">
        <f>IFERROR(__xludf.DUMMYFUNCTION("""COMPUTED_VALUE"""),0.0)</f>
        <v>0</v>
      </c>
      <c r="AB139" s="16">
        <f>IFERROR(__xludf.DUMMYFUNCTION("""COMPUTED_VALUE"""),0.0)</f>
        <v>0</v>
      </c>
      <c r="AC139" s="16">
        <f>IFERROR(__xludf.DUMMYFUNCTION("""COMPUTED_VALUE"""),0.0)</f>
        <v>0</v>
      </c>
      <c r="AD139" s="16">
        <f>IFERROR(__xludf.DUMMYFUNCTION("""COMPUTED_VALUE"""),0.0)</f>
        <v>0</v>
      </c>
      <c r="AE139" s="16">
        <f>IFERROR(__xludf.DUMMYFUNCTION("""COMPUTED_VALUE"""),0.0)</f>
        <v>0</v>
      </c>
      <c r="AF139" s="16">
        <f>IFERROR(__xludf.DUMMYFUNCTION("""COMPUTED_VALUE"""),0.0)</f>
        <v>0</v>
      </c>
      <c r="AG139" s="16">
        <f>IFERROR(__xludf.DUMMYFUNCTION("""COMPUTED_VALUE"""),0.0)</f>
        <v>0</v>
      </c>
      <c r="AH139" s="16">
        <f>IFERROR(__xludf.DUMMYFUNCTION("""COMPUTED_VALUE"""),0.0)</f>
        <v>0</v>
      </c>
    </row>
    <row r="140">
      <c r="A140" s="16" t="str">
        <f>IFERROR(__xludf.DUMMYFUNCTION("""COMPUTED_VALUE"""),"767e135d338072c6a947db01691ead3f3174c6e1")</f>
        <v>767e135d338072c6a947db01691ead3f3174c6e1</v>
      </c>
      <c r="B140" s="16" t="str">
        <f>IFERROR(__xludf.DUMMYFUNCTION("""COMPUTED_VALUE"""),"The Hidden Heir Returns")</f>
        <v>The Hidden Heir Returns</v>
      </c>
      <c r="C140" s="16" t="str">
        <f>IFERROR(__xludf.DUMMYFUNCTION("""COMPUTED_VALUE"""),"Drama")</f>
        <v>Drama</v>
      </c>
      <c r="D140" s="16">
        <f>IFERROR(__xludf.DUMMYFUNCTION("""COMPUTED_VALUE"""),2460.0)</f>
        <v>2460</v>
      </c>
      <c r="E140" s="16">
        <f>IFERROR(__xludf.DUMMYFUNCTION("""COMPUTED_VALUE"""),0.85650406504065)</f>
        <v>0.856504065</v>
      </c>
      <c r="F140" s="16">
        <f>IFERROR(__xludf.DUMMYFUNCTION("""COMPUTED_VALUE"""),0.496341463414634)</f>
        <v>0.4963414634</v>
      </c>
      <c r="G140" s="16">
        <f>IFERROR(__xludf.DUMMYFUNCTION("""COMPUTED_VALUE"""),0.459349593495934)</f>
        <v>0.4593495935</v>
      </c>
      <c r="H140" s="16">
        <f>IFERROR(__xludf.DUMMYFUNCTION("""COMPUTED_VALUE"""),0.419918699186991)</f>
        <v>0.4199186992</v>
      </c>
      <c r="I140" s="16">
        <f>IFERROR(__xludf.DUMMYFUNCTION("""COMPUTED_VALUE"""),0.388617886178861)</f>
        <v>0.3886178862</v>
      </c>
      <c r="J140" s="16">
        <f>IFERROR(__xludf.DUMMYFUNCTION("""COMPUTED_VALUE"""),0.368892508143322)</f>
        <v>0.3688925081</v>
      </c>
      <c r="K140" s="16">
        <f>IFERROR(__xludf.DUMMYFUNCTION("""COMPUTED_VALUE"""),0.355890746025275)</f>
        <v>0.355890746</v>
      </c>
      <c r="L140" s="16">
        <f>IFERROR(__xludf.DUMMYFUNCTION("""COMPUTED_VALUE"""),0.337428337428337)</f>
        <v>0.3374283374</v>
      </c>
      <c r="M140" s="16">
        <f>IFERROR(__xludf.DUMMYFUNCTION("""COMPUTED_VALUE"""),0.326765188834154)</f>
        <v>0.3267651888</v>
      </c>
      <c r="N140" s="16">
        <f>IFERROR(__xludf.DUMMYFUNCTION("""COMPUTED_VALUE"""),0.3099173553719)</f>
        <v>0.3099173554</v>
      </c>
      <c r="O140" s="16">
        <f>IFERROR(__xludf.DUMMYFUNCTION("""COMPUTED_VALUE"""),0.276748104465037)</f>
        <v>0.2767481045</v>
      </c>
      <c r="P140" s="16">
        <f>IFERROR(__xludf.DUMMYFUNCTION("""COMPUTED_VALUE"""),0.248597324126025)</f>
        <v>0.2485973241</v>
      </c>
      <c r="Q140" s="16">
        <f>IFERROR(__xludf.DUMMYFUNCTION("""COMPUTED_VALUE"""),0.183130356337392)</f>
        <v>0.1831303563</v>
      </c>
      <c r="R140" s="16">
        <f>IFERROR(__xludf.DUMMYFUNCTION("""COMPUTED_VALUE"""),0.12891344383057)</f>
        <v>0.1289134438</v>
      </c>
      <c r="S140" s="16">
        <f>IFERROR(__xludf.DUMMYFUNCTION("""COMPUTED_VALUE"""),0.0963172804532577)</f>
        <v>0.09631728045</v>
      </c>
      <c r="T140" s="16">
        <f>IFERROR(__xludf.DUMMYFUNCTION("""COMPUTED_VALUE"""),0.0778588807785888)</f>
        <v>0.07785888078</v>
      </c>
      <c r="U140" s="16">
        <f>IFERROR(__xludf.DUMMYFUNCTION("""COMPUTED_VALUE"""),0.0678642714570858)</f>
        <v>0.06786427146</v>
      </c>
      <c r="V140" s="16">
        <f>IFERROR(__xludf.DUMMYFUNCTION("""COMPUTED_VALUE"""),0.0617860851505711)</f>
        <v>0.06178608515</v>
      </c>
      <c r="W140" s="16">
        <f>IFERROR(__xludf.DUMMYFUNCTION("""COMPUTED_VALUE"""),0.0544959128065395)</f>
        <v>0.05449591281</v>
      </c>
      <c r="X140" s="16">
        <f>IFERROR(__xludf.DUMMYFUNCTION("""COMPUTED_VALUE"""),0.0494252873563218)</f>
        <v>0.04942528736</v>
      </c>
      <c r="Y140" s="16">
        <f>IFERROR(__xludf.DUMMYFUNCTION("""COMPUTED_VALUE"""),0.0508474576271186)</f>
        <v>0.05084745763</v>
      </c>
      <c r="Z140" s="16">
        <f>IFERROR(__xludf.DUMMYFUNCTION("""COMPUTED_VALUE"""),0.048955223880597)</f>
        <v>0.04895522388</v>
      </c>
      <c r="AA140" s="16">
        <f>IFERROR(__xludf.DUMMYFUNCTION("""COMPUTED_VALUE"""),0.0430239704978488)</f>
        <v>0.0430239705</v>
      </c>
      <c r="AB140" s="16">
        <f>IFERROR(__xludf.DUMMYFUNCTION("""COMPUTED_VALUE"""),0.041087231352718)</f>
        <v>0.04108723135</v>
      </c>
      <c r="AC140" s="16">
        <f>IFERROR(__xludf.DUMMYFUNCTION("""COMPUTED_VALUE"""),0.0343709468223086)</f>
        <v>0.03437094682</v>
      </c>
      <c r="AD140" s="16">
        <f>IFERROR(__xludf.DUMMYFUNCTION("""COMPUTED_VALUE"""),0.0304798962386511)</f>
        <v>0.03047989624</v>
      </c>
      <c r="AE140" s="16">
        <f>IFERROR(__xludf.DUMMYFUNCTION("""COMPUTED_VALUE"""),0.0233463035019455)</f>
        <v>0.0233463035</v>
      </c>
      <c r="AF140" s="16">
        <f>IFERROR(__xludf.DUMMYFUNCTION("""COMPUTED_VALUE"""),0.0214007782101167)</f>
        <v>0.02140077821</v>
      </c>
      <c r="AG140" s="16">
        <f>IFERROR(__xludf.DUMMYFUNCTION("""COMPUTED_VALUE"""),0.0178448867536032)</f>
        <v>0.01784488675</v>
      </c>
      <c r="AH140" s="16">
        <f>IFERROR(__xludf.DUMMYFUNCTION("""COMPUTED_VALUE"""),7.6745970836531E-4)</f>
        <v>0.0007674597084</v>
      </c>
    </row>
    <row r="141">
      <c r="A141" s="16" t="str">
        <f>IFERROR(__xludf.DUMMYFUNCTION("""COMPUTED_VALUE"""),"778663539ccabc8ee781b66d2bf6ff6a7f527163")</f>
        <v>778663539ccabc8ee781b66d2bf6ff6a7f527163</v>
      </c>
      <c r="B141" s="16" t="str">
        <f>IFERROR(__xludf.DUMMYFUNCTION("""COMPUTED_VALUE"""),"The Lazuras Engine System")</f>
        <v>The Lazuras Engine System</v>
      </c>
      <c r="C141" s="16" t="str">
        <f>IFERROR(__xludf.DUMMYFUNCTION("""COMPUTED_VALUE"""),"System and Superpower")</f>
        <v>System and Superpower</v>
      </c>
      <c r="D141" s="16">
        <f>IFERROR(__xludf.DUMMYFUNCTION("""COMPUTED_VALUE"""),44.0)</f>
        <v>44</v>
      </c>
      <c r="E141" s="16">
        <f>IFERROR(__xludf.DUMMYFUNCTION("""COMPUTED_VALUE"""),0.909090909090909)</f>
        <v>0.9090909091</v>
      </c>
      <c r="F141" s="16">
        <f>IFERROR(__xludf.DUMMYFUNCTION("""COMPUTED_VALUE"""),0.477272727272727)</f>
        <v>0.4772727273</v>
      </c>
      <c r="G141" s="16">
        <f>IFERROR(__xludf.DUMMYFUNCTION("""COMPUTED_VALUE"""),0.431818181818181)</f>
        <v>0.4318181818</v>
      </c>
      <c r="H141" s="16">
        <f>IFERROR(__xludf.DUMMYFUNCTION("""COMPUTED_VALUE"""),0.34090909090909)</f>
        <v>0.3409090909</v>
      </c>
      <c r="I141" s="16">
        <f>IFERROR(__xludf.DUMMYFUNCTION("""COMPUTED_VALUE"""),0.34090909090909)</f>
        <v>0.3409090909</v>
      </c>
      <c r="J141" s="16">
        <f>IFERROR(__xludf.DUMMYFUNCTION("""COMPUTED_VALUE"""),0.318181818181818)</f>
        <v>0.3181818182</v>
      </c>
      <c r="K141" s="16">
        <f>IFERROR(__xludf.DUMMYFUNCTION("""COMPUTED_VALUE"""),0.318181818181818)</f>
        <v>0.3181818182</v>
      </c>
      <c r="L141" s="16">
        <f>IFERROR(__xludf.DUMMYFUNCTION("""COMPUTED_VALUE"""),0.318181818181818)</f>
        <v>0.3181818182</v>
      </c>
      <c r="M141" s="16">
        <f>IFERROR(__xludf.DUMMYFUNCTION("""COMPUTED_VALUE"""),0.272727272727272)</f>
        <v>0.2727272727</v>
      </c>
      <c r="N141" s="16">
        <f>IFERROR(__xludf.DUMMYFUNCTION("""COMPUTED_VALUE"""),0.25)</f>
        <v>0.25</v>
      </c>
      <c r="O141" s="16">
        <f>IFERROR(__xludf.DUMMYFUNCTION("""COMPUTED_VALUE"""),0.142857142857142)</f>
        <v>0.1428571429</v>
      </c>
      <c r="P141" s="16">
        <f>IFERROR(__xludf.DUMMYFUNCTION("""COMPUTED_VALUE"""),0.0857142857142857)</f>
        <v>0.08571428571</v>
      </c>
      <c r="Q141" s="16">
        <f>IFERROR(__xludf.DUMMYFUNCTION("""COMPUTED_VALUE"""),0.0)</f>
        <v>0</v>
      </c>
      <c r="R141" s="16">
        <f>IFERROR(__xludf.DUMMYFUNCTION("""COMPUTED_VALUE"""),0.0)</f>
        <v>0</v>
      </c>
      <c r="S141" s="16">
        <f>IFERROR(__xludf.DUMMYFUNCTION("""COMPUTED_VALUE"""),0.0)</f>
        <v>0</v>
      </c>
      <c r="T141" s="16">
        <f>IFERROR(__xludf.DUMMYFUNCTION("""COMPUTED_VALUE"""),0.0)</f>
        <v>0</v>
      </c>
      <c r="U141" s="16">
        <f>IFERROR(__xludf.DUMMYFUNCTION("""COMPUTED_VALUE"""),0.0)</f>
        <v>0</v>
      </c>
      <c r="V141" s="16">
        <f>IFERROR(__xludf.DUMMYFUNCTION("""COMPUTED_VALUE"""),0.0)</f>
        <v>0</v>
      </c>
      <c r="W141" s="16">
        <f>IFERROR(__xludf.DUMMYFUNCTION("""COMPUTED_VALUE"""),0.0)</f>
        <v>0</v>
      </c>
      <c r="X141" s="16">
        <f>IFERROR(__xludf.DUMMYFUNCTION("""COMPUTED_VALUE"""),0.0)</f>
        <v>0</v>
      </c>
      <c r="Y141" s="16">
        <f>IFERROR(__xludf.DUMMYFUNCTION("""COMPUTED_VALUE"""),0.0)</f>
        <v>0</v>
      </c>
      <c r="Z141" s="16">
        <f>IFERROR(__xludf.DUMMYFUNCTION("""COMPUTED_VALUE"""),0.0)</f>
        <v>0</v>
      </c>
      <c r="AA141" s="16">
        <f>IFERROR(__xludf.DUMMYFUNCTION("""COMPUTED_VALUE"""),0.0)</f>
        <v>0</v>
      </c>
      <c r="AB141" s="16">
        <f>IFERROR(__xludf.DUMMYFUNCTION("""COMPUTED_VALUE"""),0.0)</f>
        <v>0</v>
      </c>
      <c r="AC141" s="16">
        <f>IFERROR(__xludf.DUMMYFUNCTION("""COMPUTED_VALUE"""),0.0)</f>
        <v>0</v>
      </c>
      <c r="AD141" s="16">
        <f>IFERROR(__xludf.DUMMYFUNCTION("""COMPUTED_VALUE"""),0.0)</f>
        <v>0</v>
      </c>
      <c r="AE141" s="16">
        <f>IFERROR(__xludf.DUMMYFUNCTION("""COMPUTED_VALUE"""),0.0)</f>
        <v>0</v>
      </c>
      <c r="AF141" s="16">
        <f>IFERROR(__xludf.DUMMYFUNCTION("""COMPUTED_VALUE"""),0.0)</f>
        <v>0</v>
      </c>
      <c r="AG141" s="16">
        <f>IFERROR(__xludf.DUMMYFUNCTION("""COMPUTED_VALUE"""),0.0)</f>
        <v>0</v>
      </c>
      <c r="AH141" s="16">
        <f>IFERROR(__xludf.DUMMYFUNCTION("""COMPUTED_VALUE"""),0.0)</f>
        <v>0</v>
      </c>
    </row>
    <row r="142">
      <c r="A142" s="16" t="str">
        <f>IFERROR(__xludf.DUMMYFUNCTION("""COMPUTED_VALUE"""),"77c25fc29116ebc88dff5390f311fed0e9b28cf4")</f>
        <v>77c25fc29116ebc88dff5390f311fed0e9b28cf4</v>
      </c>
      <c r="B142" s="16" t="str">
        <f>IFERROR(__xludf.DUMMYFUNCTION("""COMPUTED_VALUE"""),"Zaaynn: Birth of a Kingg")</f>
        <v>Zaaynn: Birth of a Kingg</v>
      </c>
      <c r="C142" s="16" t="str">
        <f>IFERROR(__xludf.DUMMYFUNCTION("""COMPUTED_VALUE"""),"Fantasy")</f>
        <v>Fantasy</v>
      </c>
      <c r="D142" s="16">
        <f>IFERROR(__xludf.DUMMYFUNCTION("""COMPUTED_VALUE"""),11.0)</f>
        <v>11</v>
      </c>
      <c r="E142" s="16">
        <f>IFERROR(__xludf.DUMMYFUNCTION("""COMPUTED_VALUE"""),0.909090909090909)</f>
        <v>0.9090909091</v>
      </c>
      <c r="F142" s="16">
        <f>IFERROR(__xludf.DUMMYFUNCTION("""COMPUTED_VALUE"""),0.363636363636363)</f>
        <v>0.3636363636</v>
      </c>
      <c r="G142" s="16">
        <f>IFERROR(__xludf.DUMMYFUNCTION("""COMPUTED_VALUE"""),0.272727272727272)</f>
        <v>0.2727272727</v>
      </c>
      <c r="H142" s="16">
        <f>IFERROR(__xludf.DUMMYFUNCTION("""COMPUTED_VALUE"""),0.272727272727272)</f>
        <v>0.2727272727</v>
      </c>
      <c r="I142" s="16">
        <f>IFERROR(__xludf.DUMMYFUNCTION("""COMPUTED_VALUE"""),0.181818181818181)</f>
        <v>0.1818181818</v>
      </c>
      <c r="J142" s="16">
        <f>IFERROR(__xludf.DUMMYFUNCTION("""COMPUTED_VALUE"""),0.272727272727272)</f>
        <v>0.2727272727</v>
      </c>
      <c r="K142" s="16">
        <f>IFERROR(__xludf.DUMMYFUNCTION("""COMPUTED_VALUE"""),0.181818181818181)</f>
        <v>0.1818181818</v>
      </c>
      <c r="L142" s="16">
        <f>IFERROR(__xludf.DUMMYFUNCTION("""COMPUTED_VALUE"""),0.181818181818181)</f>
        <v>0.1818181818</v>
      </c>
      <c r="M142" s="16">
        <f>IFERROR(__xludf.DUMMYFUNCTION("""COMPUTED_VALUE"""),0.181818181818181)</f>
        <v>0.1818181818</v>
      </c>
      <c r="N142" s="16">
        <f>IFERROR(__xludf.DUMMYFUNCTION("""COMPUTED_VALUE"""),0.272727272727272)</f>
        <v>0.2727272727</v>
      </c>
      <c r="O142" s="16">
        <f>IFERROR(__xludf.DUMMYFUNCTION("""COMPUTED_VALUE"""),0.2)</f>
        <v>0.2</v>
      </c>
      <c r="P142" s="16">
        <f>IFERROR(__xludf.DUMMYFUNCTION("""COMPUTED_VALUE"""),0.166666666666666)</f>
        <v>0.1666666667</v>
      </c>
      <c r="Q142" s="16">
        <f>IFERROR(__xludf.DUMMYFUNCTION("""COMPUTED_VALUE"""),0.0)</f>
        <v>0</v>
      </c>
      <c r="R142" s="16">
        <f>IFERROR(__xludf.DUMMYFUNCTION("""COMPUTED_VALUE"""),0.0)</f>
        <v>0</v>
      </c>
      <c r="S142" s="16">
        <f>IFERROR(__xludf.DUMMYFUNCTION("""COMPUTED_VALUE"""),0.0)</f>
        <v>0</v>
      </c>
      <c r="T142" s="16">
        <f>IFERROR(__xludf.DUMMYFUNCTION("""COMPUTED_VALUE"""),0.0)</f>
        <v>0</v>
      </c>
      <c r="U142" s="16">
        <f>IFERROR(__xludf.DUMMYFUNCTION("""COMPUTED_VALUE"""),0.0)</f>
        <v>0</v>
      </c>
      <c r="V142" s="16">
        <f>IFERROR(__xludf.DUMMYFUNCTION("""COMPUTED_VALUE"""),0.0)</f>
        <v>0</v>
      </c>
      <c r="W142" s="16">
        <f>IFERROR(__xludf.DUMMYFUNCTION("""COMPUTED_VALUE"""),0.0)</f>
        <v>0</v>
      </c>
      <c r="X142" s="16">
        <f>IFERROR(__xludf.DUMMYFUNCTION("""COMPUTED_VALUE"""),0.0)</f>
        <v>0</v>
      </c>
      <c r="Y142" s="16">
        <f>IFERROR(__xludf.DUMMYFUNCTION("""COMPUTED_VALUE"""),0.0)</f>
        <v>0</v>
      </c>
      <c r="Z142" s="16">
        <f>IFERROR(__xludf.DUMMYFUNCTION("""COMPUTED_VALUE"""),0.0)</f>
        <v>0</v>
      </c>
      <c r="AA142" s="16">
        <f>IFERROR(__xludf.DUMMYFUNCTION("""COMPUTED_VALUE"""),0.0)</f>
        <v>0</v>
      </c>
      <c r="AB142" s="16">
        <f>IFERROR(__xludf.DUMMYFUNCTION("""COMPUTED_VALUE"""),0.0)</f>
        <v>0</v>
      </c>
      <c r="AC142" s="16">
        <f>IFERROR(__xludf.DUMMYFUNCTION("""COMPUTED_VALUE"""),0.0)</f>
        <v>0</v>
      </c>
      <c r="AD142" s="16">
        <f>IFERROR(__xludf.DUMMYFUNCTION("""COMPUTED_VALUE"""),0.0)</f>
        <v>0</v>
      </c>
      <c r="AE142" s="16">
        <f>IFERROR(__xludf.DUMMYFUNCTION("""COMPUTED_VALUE"""),0.0)</f>
        <v>0</v>
      </c>
      <c r="AF142" s="16">
        <f>IFERROR(__xludf.DUMMYFUNCTION("""COMPUTED_VALUE"""),0.0)</f>
        <v>0</v>
      </c>
      <c r="AG142" s="16">
        <f>IFERROR(__xludf.DUMMYFUNCTION("""COMPUTED_VALUE"""),0.0)</f>
        <v>0</v>
      </c>
      <c r="AH142" s="16">
        <f>IFERROR(__xludf.DUMMYFUNCTION("""COMPUTED_VALUE"""),0.0)</f>
        <v>0</v>
      </c>
    </row>
    <row r="143">
      <c r="A143" s="16" t="str">
        <f>IFERROR(__xludf.DUMMYFUNCTION("""COMPUTED_VALUE"""),"7b3a625b0f5bbaa9080a6795b2d70e994716f8a5")</f>
        <v>7b3a625b0f5bbaa9080a6795b2d70e994716f8a5</v>
      </c>
      <c r="B143" s="16" t="str">
        <f>IFERROR(__xludf.DUMMYFUNCTION("""COMPUTED_VALUE"""),"Unexpectedly Yours")</f>
        <v>Unexpectedly Yours</v>
      </c>
      <c r="C143" s="16" t="str">
        <f>IFERROR(__xludf.DUMMYFUNCTION("""COMPUTED_VALUE"""),"Romance")</f>
        <v>Romance</v>
      </c>
      <c r="D143" s="16">
        <f>IFERROR(__xludf.DUMMYFUNCTION("""COMPUTED_VALUE"""),22.0)</f>
        <v>22</v>
      </c>
      <c r="E143" s="16">
        <f>IFERROR(__xludf.DUMMYFUNCTION("""COMPUTED_VALUE"""),0.954545454545454)</f>
        <v>0.9545454545</v>
      </c>
      <c r="F143" s="16">
        <f>IFERROR(__xludf.DUMMYFUNCTION("""COMPUTED_VALUE"""),0.454545454545454)</f>
        <v>0.4545454545</v>
      </c>
      <c r="G143" s="16">
        <f>IFERROR(__xludf.DUMMYFUNCTION("""COMPUTED_VALUE"""),0.409090909090909)</f>
        <v>0.4090909091</v>
      </c>
      <c r="H143" s="16">
        <f>IFERROR(__xludf.DUMMYFUNCTION("""COMPUTED_VALUE"""),0.363636363636363)</f>
        <v>0.3636363636</v>
      </c>
      <c r="I143" s="16">
        <f>IFERROR(__xludf.DUMMYFUNCTION("""COMPUTED_VALUE"""),0.363636363636363)</f>
        <v>0.3636363636</v>
      </c>
      <c r="J143" s="16">
        <f>IFERROR(__xludf.DUMMYFUNCTION("""COMPUTED_VALUE"""),0.25)</f>
        <v>0.25</v>
      </c>
      <c r="K143" s="16">
        <f>IFERROR(__xludf.DUMMYFUNCTION("""COMPUTED_VALUE"""),0.3)</f>
        <v>0.3</v>
      </c>
      <c r="L143" s="16">
        <f>IFERROR(__xludf.DUMMYFUNCTION("""COMPUTED_VALUE"""),0.352941176470588)</f>
        <v>0.3529411765</v>
      </c>
      <c r="M143" s="16">
        <f>IFERROR(__xludf.DUMMYFUNCTION("""COMPUTED_VALUE"""),0.266666666666666)</f>
        <v>0.2666666667</v>
      </c>
      <c r="N143" s="16">
        <f>IFERROR(__xludf.DUMMYFUNCTION("""COMPUTED_VALUE"""),0.272727272727272)</f>
        <v>0.2727272727</v>
      </c>
      <c r="O143" s="16">
        <f>IFERROR(__xludf.DUMMYFUNCTION("""COMPUTED_VALUE"""),0.0)</f>
        <v>0</v>
      </c>
      <c r="P143" s="16">
        <f>IFERROR(__xludf.DUMMYFUNCTION("""COMPUTED_VALUE"""),0.0)</f>
        <v>0</v>
      </c>
      <c r="Q143" s="16">
        <f>IFERROR(__xludf.DUMMYFUNCTION("""COMPUTED_VALUE"""),0.0)</f>
        <v>0</v>
      </c>
      <c r="R143" s="16">
        <f>IFERROR(__xludf.DUMMYFUNCTION("""COMPUTED_VALUE"""),0.0)</f>
        <v>0</v>
      </c>
      <c r="S143" s="16">
        <f>IFERROR(__xludf.DUMMYFUNCTION("""COMPUTED_VALUE"""),0.0)</f>
        <v>0</v>
      </c>
      <c r="T143" s="16">
        <f>IFERROR(__xludf.DUMMYFUNCTION("""COMPUTED_VALUE"""),0.0)</f>
        <v>0</v>
      </c>
      <c r="U143" s="16">
        <f>IFERROR(__xludf.DUMMYFUNCTION("""COMPUTED_VALUE"""),0.0)</f>
        <v>0</v>
      </c>
      <c r="V143" s="16">
        <f>IFERROR(__xludf.DUMMYFUNCTION("""COMPUTED_VALUE"""),0.0)</f>
        <v>0</v>
      </c>
      <c r="W143" s="16">
        <f>IFERROR(__xludf.DUMMYFUNCTION("""COMPUTED_VALUE"""),0.0)</f>
        <v>0</v>
      </c>
      <c r="X143" s="16">
        <f>IFERROR(__xludf.DUMMYFUNCTION("""COMPUTED_VALUE"""),0.0)</f>
        <v>0</v>
      </c>
      <c r="Y143" s="16">
        <f>IFERROR(__xludf.DUMMYFUNCTION("""COMPUTED_VALUE"""),0.0)</f>
        <v>0</v>
      </c>
      <c r="Z143" s="16">
        <f>IFERROR(__xludf.DUMMYFUNCTION("""COMPUTED_VALUE"""),0.0)</f>
        <v>0</v>
      </c>
      <c r="AA143" s="16">
        <f>IFERROR(__xludf.DUMMYFUNCTION("""COMPUTED_VALUE"""),0.0)</f>
        <v>0</v>
      </c>
      <c r="AB143" s="16">
        <f>IFERROR(__xludf.DUMMYFUNCTION("""COMPUTED_VALUE"""),0.0)</f>
        <v>0</v>
      </c>
      <c r="AC143" s="16">
        <f>IFERROR(__xludf.DUMMYFUNCTION("""COMPUTED_VALUE"""),0.0)</f>
        <v>0</v>
      </c>
      <c r="AD143" s="16">
        <f>IFERROR(__xludf.DUMMYFUNCTION("""COMPUTED_VALUE"""),0.0)</f>
        <v>0</v>
      </c>
      <c r="AE143" s="16">
        <f>IFERROR(__xludf.DUMMYFUNCTION("""COMPUTED_VALUE"""),0.0)</f>
        <v>0</v>
      </c>
      <c r="AF143" s="16">
        <f>IFERROR(__xludf.DUMMYFUNCTION("""COMPUTED_VALUE"""),0.0)</f>
        <v>0</v>
      </c>
      <c r="AG143" s="16">
        <f>IFERROR(__xludf.DUMMYFUNCTION("""COMPUTED_VALUE"""),0.0)</f>
        <v>0</v>
      </c>
      <c r="AH143" s="16">
        <f>IFERROR(__xludf.DUMMYFUNCTION("""COMPUTED_VALUE"""),0.0)</f>
        <v>0</v>
      </c>
    </row>
    <row r="144">
      <c r="A144" s="16" t="str">
        <f>IFERROR(__xludf.DUMMYFUNCTION("""COMPUTED_VALUE"""),"7c9e3c835e58a5ec8e21381910eaaf785ea5ddfc")</f>
        <v>7c9e3c835e58a5ec8e21381910eaaf785ea5ddfc</v>
      </c>
      <c r="B144" s="16" t="str">
        <f>IFERROR(__xludf.DUMMYFUNCTION("""COMPUTED_VALUE"""),"I Do ... Or Do I? ")</f>
        <v>I Do ... Or Do I? </v>
      </c>
      <c r="C144" s="16" t="str">
        <f>IFERROR(__xludf.DUMMYFUNCTION("""COMPUTED_VALUE"""),"Romance")</f>
        <v>Romance</v>
      </c>
      <c r="D144" s="16">
        <f>IFERROR(__xludf.DUMMYFUNCTION("""COMPUTED_VALUE"""),18.0)</f>
        <v>18</v>
      </c>
      <c r="E144" s="16">
        <f>IFERROR(__xludf.DUMMYFUNCTION("""COMPUTED_VALUE"""),1.0)</f>
        <v>1</v>
      </c>
      <c r="F144" s="16">
        <f>IFERROR(__xludf.DUMMYFUNCTION("""COMPUTED_VALUE"""),0.555555555555555)</f>
        <v>0.5555555556</v>
      </c>
      <c r="G144" s="16">
        <f>IFERROR(__xludf.DUMMYFUNCTION("""COMPUTED_VALUE"""),0.5)</f>
        <v>0.5</v>
      </c>
      <c r="H144" s="16">
        <f>IFERROR(__xludf.DUMMYFUNCTION("""COMPUTED_VALUE"""),0.5)</f>
        <v>0.5</v>
      </c>
      <c r="I144" s="16">
        <f>IFERROR(__xludf.DUMMYFUNCTION("""COMPUTED_VALUE"""),0.444444444444444)</f>
        <v>0.4444444444</v>
      </c>
      <c r="J144" s="16">
        <f>IFERROR(__xludf.DUMMYFUNCTION("""COMPUTED_VALUE"""),0.444444444444444)</f>
        <v>0.4444444444</v>
      </c>
      <c r="K144" s="16">
        <f>IFERROR(__xludf.DUMMYFUNCTION("""COMPUTED_VALUE"""),0.444444444444444)</f>
        <v>0.4444444444</v>
      </c>
      <c r="L144" s="16">
        <f>IFERROR(__xludf.DUMMYFUNCTION("""COMPUTED_VALUE"""),0.388888888888888)</f>
        <v>0.3888888889</v>
      </c>
      <c r="M144" s="16">
        <f>IFERROR(__xludf.DUMMYFUNCTION("""COMPUTED_VALUE"""),0.352941176470588)</f>
        <v>0.3529411765</v>
      </c>
      <c r="N144" s="16">
        <f>IFERROR(__xludf.DUMMYFUNCTION("""COMPUTED_VALUE"""),0.333333333333333)</f>
        <v>0.3333333333</v>
      </c>
      <c r="O144" s="16">
        <f>IFERROR(__xludf.DUMMYFUNCTION("""COMPUTED_VALUE"""),0.2)</f>
        <v>0.2</v>
      </c>
      <c r="P144" s="16">
        <f>IFERROR(__xludf.DUMMYFUNCTION("""COMPUTED_VALUE"""),1.0)</f>
        <v>1</v>
      </c>
      <c r="Q144" s="16">
        <f>IFERROR(__xludf.DUMMYFUNCTION("""COMPUTED_VALUE"""),1.0)</f>
        <v>1</v>
      </c>
      <c r="R144" s="16">
        <f>IFERROR(__xludf.DUMMYFUNCTION("""COMPUTED_VALUE"""),0.0)</f>
        <v>0</v>
      </c>
      <c r="S144" s="16">
        <f>IFERROR(__xludf.DUMMYFUNCTION("""COMPUTED_VALUE"""),0.0)</f>
        <v>0</v>
      </c>
      <c r="T144" s="16">
        <f>IFERROR(__xludf.DUMMYFUNCTION("""COMPUTED_VALUE"""),0.0)</f>
        <v>0</v>
      </c>
      <c r="U144" s="16">
        <f>IFERROR(__xludf.DUMMYFUNCTION("""COMPUTED_VALUE"""),0.0)</f>
        <v>0</v>
      </c>
      <c r="V144" s="16">
        <f>IFERROR(__xludf.DUMMYFUNCTION("""COMPUTED_VALUE"""),0.0)</f>
        <v>0</v>
      </c>
      <c r="W144" s="16">
        <f>IFERROR(__xludf.DUMMYFUNCTION("""COMPUTED_VALUE"""),0.0)</f>
        <v>0</v>
      </c>
      <c r="X144" s="16">
        <f>IFERROR(__xludf.DUMMYFUNCTION("""COMPUTED_VALUE"""),0.0)</f>
        <v>0</v>
      </c>
      <c r="Y144" s="16">
        <f>IFERROR(__xludf.DUMMYFUNCTION("""COMPUTED_VALUE"""),0.0)</f>
        <v>0</v>
      </c>
      <c r="Z144" s="16">
        <f>IFERROR(__xludf.DUMMYFUNCTION("""COMPUTED_VALUE"""),0.0)</f>
        <v>0</v>
      </c>
      <c r="AA144" s="16">
        <f>IFERROR(__xludf.DUMMYFUNCTION("""COMPUTED_VALUE"""),0.0)</f>
        <v>0</v>
      </c>
      <c r="AB144" s="16">
        <f>IFERROR(__xludf.DUMMYFUNCTION("""COMPUTED_VALUE"""),0.0)</f>
        <v>0</v>
      </c>
      <c r="AC144" s="16">
        <f>IFERROR(__xludf.DUMMYFUNCTION("""COMPUTED_VALUE"""),0.0)</f>
        <v>0</v>
      </c>
      <c r="AD144" s="16">
        <f>IFERROR(__xludf.DUMMYFUNCTION("""COMPUTED_VALUE"""),0.0)</f>
        <v>0</v>
      </c>
      <c r="AE144" s="16">
        <f>IFERROR(__xludf.DUMMYFUNCTION("""COMPUTED_VALUE"""),0.0)</f>
        <v>0</v>
      </c>
      <c r="AF144" s="16">
        <f>IFERROR(__xludf.DUMMYFUNCTION("""COMPUTED_VALUE"""),0.0)</f>
        <v>0</v>
      </c>
      <c r="AG144" s="16">
        <f>IFERROR(__xludf.DUMMYFUNCTION("""COMPUTED_VALUE"""),0.0)</f>
        <v>0</v>
      </c>
      <c r="AH144" s="16">
        <f>IFERROR(__xludf.DUMMYFUNCTION("""COMPUTED_VALUE"""),0.0)</f>
        <v>0</v>
      </c>
    </row>
    <row r="145">
      <c r="A145" s="16" t="str">
        <f>IFERROR(__xludf.DUMMYFUNCTION("""COMPUTED_VALUE"""),"7d18c26c9a61af0d543d74280e7328e01a907988")</f>
        <v>7d18c26c9a61af0d543d74280e7328e01a907988</v>
      </c>
      <c r="B145" s="16" t="str">
        <f>IFERROR(__xludf.DUMMYFUNCTION("""COMPUTED_VALUE"""),"Empire of Love and War")</f>
        <v>Empire of Love and War</v>
      </c>
      <c r="C145" s="16" t="str">
        <f>IFERROR(__xludf.DUMMYFUNCTION("""COMPUTED_VALUE"""),"Romance")</f>
        <v>Romance</v>
      </c>
      <c r="D145" s="16">
        <f>IFERROR(__xludf.DUMMYFUNCTION("""COMPUTED_VALUE"""),73.0)</f>
        <v>73</v>
      </c>
      <c r="E145" s="16">
        <f>IFERROR(__xludf.DUMMYFUNCTION("""COMPUTED_VALUE"""),0.931506849315068)</f>
        <v>0.9315068493</v>
      </c>
      <c r="F145" s="16">
        <f>IFERROR(__xludf.DUMMYFUNCTION("""COMPUTED_VALUE"""),0.630136986301369)</f>
        <v>0.6301369863</v>
      </c>
      <c r="G145" s="16">
        <f>IFERROR(__xludf.DUMMYFUNCTION("""COMPUTED_VALUE"""),0.575342465753424)</f>
        <v>0.5753424658</v>
      </c>
      <c r="H145" s="16">
        <f>IFERROR(__xludf.DUMMYFUNCTION("""COMPUTED_VALUE"""),0.520547945205479)</f>
        <v>0.5205479452</v>
      </c>
      <c r="I145" s="16">
        <f>IFERROR(__xludf.DUMMYFUNCTION("""COMPUTED_VALUE"""),0.493150684931506)</f>
        <v>0.4931506849</v>
      </c>
      <c r="J145" s="16">
        <f>IFERROR(__xludf.DUMMYFUNCTION("""COMPUTED_VALUE"""),0.52112676056338)</f>
        <v>0.5211267606</v>
      </c>
      <c r="K145" s="16">
        <f>IFERROR(__xludf.DUMMYFUNCTION("""COMPUTED_VALUE"""),0.478873239436619)</f>
        <v>0.4788732394</v>
      </c>
      <c r="L145" s="16">
        <f>IFERROR(__xludf.DUMMYFUNCTION("""COMPUTED_VALUE"""),0.44776119402985)</f>
        <v>0.447761194</v>
      </c>
      <c r="M145" s="16">
        <f>IFERROR(__xludf.DUMMYFUNCTION("""COMPUTED_VALUE"""),0.402985074626865)</f>
        <v>0.4029850746</v>
      </c>
      <c r="N145" s="16">
        <f>IFERROR(__xludf.DUMMYFUNCTION("""COMPUTED_VALUE"""),0.387096774193548)</f>
        <v>0.3870967742</v>
      </c>
      <c r="O145" s="16">
        <f>IFERROR(__xludf.DUMMYFUNCTION("""COMPUTED_VALUE"""),0.260869565217391)</f>
        <v>0.2608695652</v>
      </c>
      <c r="P145" s="16">
        <f>IFERROR(__xludf.DUMMYFUNCTION("""COMPUTED_VALUE"""),0.3)</f>
        <v>0.3</v>
      </c>
      <c r="Q145" s="16">
        <f>IFERROR(__xludf.DUMMYFUNCTION("""COMPUTED_VALUE"""),0.142857142857142)</f>
        <v>0.1428571429</v>
      </c>
      <c r="R145" s="16">
        <f>IFERROR(__xludf.DUMMYFUNCTION("""COMPUTED_VALUE"""),0.0)</f>
        <v>0</v>
      </c>
      <c r="S145" s="16">
        <f>IFERROR(__xludf.DUMMYFUNCTION("""COMPUTED_VALUE"""),0.0)</f>
        <v>0</v>
      </c>
      <c r="T145" s="16">
        <f>IFERROR(__xludf.DUMMYFUNCTION("""COMPUTED_VALUE"""),0.0)</f>
        <v>0</v>
      </c>
      <c r="U145" s="16">
        <f>IFERROR(__xludf.DUMMYFUNCTION("""COMPUTED_VALUE"""),0.0)</f>
        <v>0</v>
      </c>
      <c r="V145" s="16">
        <f>IFERROR(__xludf.DUMMYFUNCTION("""COMPUTED_VALUE"""),0.0)</f>
        <v>0</v>
      </c>
      <c r="W145" s="16">
        <f>IFERROR(__xludf.DUMMYFUNCTION("""COMPUTED_VALUE"""),0.0)</f>
        <v>0</v>
      </c>
      <c r="X145" s="16">
        <f>IFERROR(__xludf.DUMMYFUNCTION("""COMPUTED_VALUE"""),0.0)</f>
        <v>0</v>
      </c>
      <c r="Y145" s="16">
        <f>IFERROR(__xludf.DUMMYFUNCTION("""COMPUTED_VALUE"""),0.0)</f>
        <v>0</v>
      </c>
      <c r="Z145" s="16">
        <f>IFERROR(__xludf.DUMMYFUNCTION("""COMPUTED_VALUE"""),0.0)</f>
        <v>0</v>
      </c>
      <c r="AA145" s="16">
        <f>IFERROR(__xludf.DUMMYFUNCTION("""COMPUTED_VALUE"""),0.0)</f>
        <v>0</v>
      </c>
      <c r="AB145" s="16">
        <f>IFERROR(__xludf.DUMMYFUNCTION("""COMPUTED_VALUE"""),0.0)</f>
        <v>0</v>
      </c>
      <c r="AC145" s="16">
        <f>IFERROR(__xludf.DUMMYFUNCTION("""COMPUTED_VALUE"""),0.0)</f>
        <v>0</v>
      </c>
      <c r="AD145" s="16">
        <f>IFERROR(__xludf.DUMMYFUNCTION("""COMPUTED_VALUE"""),0.0)</f>
        <v>0</v>
      </c>
      <c r="AE145" s="16">
        <f>IFERROR(__xludf.DUMMYFUNCTION("""COMPUTED_VALUE"""),0.0)</f>
        <v>0</v>
      </c>
      <c r="AF145" s="16">
        <f>IFERROR(__xludf.DUMMYFUNCTION("""COMPUTED_VALUE"""),0.0)</f>
        <v>0</v>
      </c>
      <c r="AG145" s="16">
        <f>IFERROR(__xludf.DUMMYFUNCTION("""COMPUTED_VALUE"""),0.0)</f>
        <v>0</v>
      </c>
      <c r="AH145" s="16">
        <f>IFERROR(__xludf.DUMMYFUNCTION("""COMPUTED_VALUE"""),0.0)</f>
        <v>0</v>
      </c>
    </row>
    <row r="146">
      <c r="A146" s="16" t="str">
        <f>IFERROR(__xludf.DUMMYFUNCTION("""COMPUTED_VALUE"""),"7dcd0d4c632448440b17285c811990532a31efec")</f>
        <v>7dcd0d4c632448440b17285c811990532a31efec</v>
      </c>
      <c r="B146" s="16" t="str">
        <f>IFERROR(__xludf.DUMMYFUNCTION("""COMPUTED_VALUE"""),"The Scentless Luna")</f>
        <v>The Scentless Luna</v>
      </c>
      <c r="C146" s="16" t="str">
        <f>IFERROR(__xludf.DUMMYFUNCTION("""COMPUTED_VALUE"""),"Romantasy")</f>
        <v>Romantasy</v>
      </c>
      <c r="D146" s="16">
        <f>IFERROR(__xludf.DUMMYFUNCTION("""COMPUTED_VALUE"""),32.0)</f>
        <v>32</v>
      </c>
      <c r="E146" s="16">
        <f>IFERROR(__xludf.DUMMYFUNCTION("""COMPUTED_VALUE"""),1.0)</f>
        <v>1</v>
      </c>
      <c r="F146" s="16">
        <f>IFERROR(__xludf.DUMMYFUNCTION("""COMPUTED_VALUE"""),0.5)</f>
        <v>0.5</v>
      </c>
      <c r="G146" s="16">
        <f>IFERROR(__xludf.DUMMYFUNCTION("""COMPUTED_VALUE"""),0.375)</f>
        <v>0.375</v>
      </c>
      <c r="H146" s="16">
        <f>IFERROR(__xludf.DUMMYFUNCTION("""COMPUTED_VALUE"""),0.3125)</f>
        <v>0.3125</v>
      </c>
      <c r="I146" s="16">
        <f>IFERROR(__xludf.DUMMYFUNCTION("""COMPUTED_VALUE"""),0.21875)</f>
        <v>0.21875</v>
      </c>
      <c r="J146" s="16">
        <f>IFERROR(__xludf.DUMMYFUNCTION("""COMPUTED_VALUE"""),0.241379310344827)</f>
        <v>0.2413793103</v>
      </c>
      <c r="K146" s="16">
        <f>IFERROR(__xludf.DUMMYFUNCTION("""COMPUTED_VALUE"""),0.241379310344827)</f>
        <v>0.2413793103</v>
      </c>
      <c r="L146" s="16">
        <f>IFERROR(__xludf.DUMMYFUNCTION("""COMPUTED_VALUE"""),0.166666666666666)</f>
        <v>0.1666666667</v>
      </c>
      <c r="M146" s="16">
        <f>IFERROR(__xludf.DUMMYFUNCTION("""COMPUTED_VALUE"""),0.0714285714285714)</f>
        <v>0.07142857143</v>
      </c>
      <c r="N146" s="16">
        <f>IFERROR(__xludf.DUMMYFUNCTION("""COMPUTED_VALUE"""),0.0)</f>
        <v>0</v>
      </c>
      <c r="O146" s="16">
        <f>IFERROR(__xludf.DUMMYFUNCTION("""COMPUTED_VALUE"""),0.1)</f>
        <v>0.1</v>
      </c>
      <c r="P146" s="16">
        <f>IFERROR(__xludf.DUMMYFUNCTION("""COMPUTED_VALUE"""),0.1)</f>
        <v>0.1</v>
      </c>
      <c r="Q146" s="16">
        <f>IFERROR(__xludf.DUMMYFUNCTION("""COMPUTED_VALUE"""),0.0)</f>
        <v>0</v>
      </c>
      <c r="R146" s="16">
        <f>IFERROR(__xludf.DUMMYFUNCTION("""COMPUTED_VALUE"""),0.0)</f>
        <v>0</v>
      </c>
      <c r="S146" s="16">
        <f>IFERROR(__xludf.DUMMYFUNCTION("""COMPUTED_VALUE"""),0.0)</f>
        <v>0</v>
      </c>
      <c r="T146" s="16">
        <f>IFERROR(__xludf.DUMMYFUNCTION("""COMPUTED_VALUE"""),0.0)</f>
        <v>0</v>
      </c>
      <c r="U146" s="16">
        <f>IFERROR(__xludf.DUMMYFUNCTION("""COMPUTED_VALUE"""),0.0)</f>
        <v>0</v>
      </c>
      <c r="V146" s="16">
        <f>IFERROR(__xludf.DUMMYFUNCTION("""COMPUTED_VALUE"""),0.0)</f>
        <v>0</v>
      </c>
      <c r="W146" s="16">
        <f>IFERROR(__xludf.DUMMYFUNCTION("""COMPUTED_VALUE"""),0.0)</f>
        <v>0</v>
      </c>
      <c r="X146" s="16">
        <f>IFERROR(__xludf.DUMMYFUNCTION("""COMPUTED_VALUE"""),0.0)</f>
        <v>0</v>
      </c>
      <c r="Y146" s="16">
        <f>IFERROR(__xludf.DUMMYFUNCTION("""COMPUTED_VALUE"""),0.0)</f>
        <v>0</v>
      </c>
      <c r="Z146" s="16">
        <f>IFERROR(__xludf.DUMMYFUNCTION("""COMPUTED_VALUE"""),0.0)</f>
        <v>0</v>
      </c>
      <c r="AA146" s="16">
        <f>IFERROR(__xludf.DUMMYFUNCTION("""COMPUTED_VALUE"""),0.0)</f>
        <v>0</v>
      </c>
      <c r="AB146" s="16">
        <f>IFERROR(__xludf.DUMMYFUNCTION("""COMPUTED_VALUE"""),0.0)</f>
        <v>0</v>
      </c>
      <c r="AC146" s="16">
        <f>IFERROR(__xludf.DUMMYFUNCTION("""COMPUTED_VALUE"""),0.0)</f>
        <v>0</v>
      </c>
      <c r="AD146" s="16">
        <f>IFERROR(__xludf.DUMMYFUNCTION("""COMPUTED_VALUE"""),0.0)</f>
        <v>0</v>
      </c>
      <c r="AE146" s="16">
        <f>IFERROR(__xludf.DUMMYFUNCTION("""COMPUTED_VALUE"""),0.0)</f>
        <v>0</v>
      </c>
      <c r="AF146" s="16">
        <f>IFERROR(__xludf.DUMMYFUNCTION("""COMPUTED_VALUE"""),0.0)</f>
        <v>0</v>
      </c>
      <c r="AG146" s="16">
        <f>IFERROR(__xludf.DUMMYFUNCTION("""COMPUTED_VALUE"""),0.0)</f>
        <v>0</v>
      </c>
      <c r="AH146" s="16">
        <f>IFERROR(__xludf.DUMMYFUNCTION("""COMPUTED_VALUE"""),0.0)</f>
        <v>0</v>
      </c>
    </row>
    <row r="147">
      <c r="A147" s="16" t="str">
        <f>IFERROR(__xludf.DUMMYFUNCTION("""COMPUTED_VALUE"""),"7fb3b080b1ad8976195f7a18e1df497bc23037fa")</f>
        <v>7fb3b080b1ad8976195f7a18e1df497bc23037fa</v>
      </c>
      <c r="B147" s="16" t="str">
        <f>IFERROR(__xludf.DUMMYFUNCTION("""COMPUTED_VALUE"""),"The Ghostwalker")</f>
        <v>The Ghostwalker</v>
      </c>
      <c r="C147" s="16" t="str">
        <f>IFERROR(__xludf.DUMMYFUNCTION("""COMPUTED_VALUE"""),"Suspense or Thriller")</f>
        <v>Suspense or Thriller</v>
      </c>
      <c r="D147" s="16">
        <f>IFERROR(__xludf.DUMMYFUNCTION("""COMPUTED_VALUE"""),484.0)</f>
        <v>484</v>
      </c>
      <c r="E147" s="16">
        <f>IFERROR(__xludf.DUMMYFUNCTION("""COMPUTED_VALUE"""),0.987603305785124)</f>
        <v>0.9876033058</v>
      </c>
      <c r="F147" s="16">
        <f>IFERROR(__xludf.DUMMYFUNCTION("""COMPUTED_VALUE"""),0.471074380165289)</f>
        <v>0.4710743802</v>
      </c>
      <c r="G147" s="16">
        <f>IFERROR(__xludf.DUMMYFUNCTION("""COMPUTED_VALUE"""),0.357438016528925)</f>
        <v>0.3574380165</v>
      </c>
      <c r="H147" s="16">
        <f>IFERROR(__xludf.DUMMYFUNCTION("""COMPUTED_VALUE"""),0.31198347107438)</f>
        <v>0.3119834711</v>
      </c>
      <c r="I147" s="16">
        <f>IFERROR(__xludf.DUMMYFUNCTION("""COMPUTED_VALUE"""),0.287190082644628)</f>
        <v>0.2871900826</v>
      </c>
      <c r="J147" s="16">
        <f>IFERROR(__xludf.DUMMYFUNCTION("""COMPUTED_VALUE"""),0.252587991718426)</f>
        <v>0.2525879917</v>
      </c>
      <c r="K147" s="16">
        <f>IFERROR(__xludf.DUMMYFUNCTION("""COMPUTED_VALUE"""),0.223602484472049)</f>
        <v>0.2236024845</v>
      </c>
      <c r="L147" s="16">
        <f>IFERROR(__xludf.DUMMYFUNCTION("""COMPUTED_VALUE"""),0.207468879668049)</f>
        <v>0.2074688797</v>
      </c>
      <c r="M147" s="16">
        <f>IFERROR(__xludf.DUMMYFUNCTION("""COMPUTED_VALUE"""),0.190871369294605)</f>
        <v>0.1908713693</v>
      </c>
      <c r="N147" s="16">
        <f>IFERROR(__xludf.DUMMYFUNCTION("""COMPUTED_VALUE"""),0.180672268907563)</f>
        <v>0.1806722689</v>
      </c>
      <c r="O147" s="16">
        <f>IFERROR(__xludf.DUMMYFUNCTION("""COMPUTED_VALUE"""),0.13126491646778)</f>
        <v>0.1312649165</v>
      </c>
      <c r="P147" s="16">
        <f>IFERROR(__xludf.DUMMYFUNCTION("""COMPUTED_VALUE"""),0.148148148148148)</f>
        <v>0.1481481481</v>
      </c>
      <c r="Q147" s="16">
        <f>IFERROR(__xludf.DUMMYFUNCTION("""COMPUTED_VALUE"""),0.0)</f>
        <v>0</v>
      </c>
      <c r="R147" s="16">
        <f>IFERROR(__xludf.DUMMYFUNCTION("""COMPUTED_VALUE"""),0.0)</f>
        <v>0</v>
      </c>
      <c r="S147" s="16">
        <f>IFERROR(__xludf.DUMMYFUNCTION("""COMPUTED_VALUE"""),0.0)</f>
        <v>0</v>
      </c>
      <c r="T147" s="16">
        <f>IFERROR(__xludf.DUMMYFUNCTION("""COMPUTED_VALUE"""),0.0)</f>
        <v>0</v>
      </c>
      <c r="U147" s="16">
        <f>IFERROR(__xludf.DUMMYFUNCTION("""COMPUTED_VALUE"""),0.0)</f>
        <v>0</v>
      </c>
      <c r="V147" s="16">
        <f>IFERROR(__xludf.DUMMYFUNCTION("""COMPUTED_VALUE"""),0.0)</f>
        <v>0</v>
      </c>
      <c r="W147" s="16">
        <f>IFERROR(__xludf.DUMMYFUNCTION("""COMPUTED_VALUE"""),0.0)</f>
        <v>0</v>
      </c>
      <c r="X147" s="16">
        <f>IFERROR(__xludf.DUMMYFUNCTION("""COMPUTED_VALUE"""),0.0)</f>
        <v>0</v>
      </c>
      <c r="Y147" s="16">
        <f>IFERROR(__xludf.DUMMYFUNCTION("""COMPUTED_VALUE"""),0.0)</f>
        <v>0</v>
      </c>
      <c r="Z147" s="16">
        <f>IFERROR(__xludf.DUMMYFUNCTION("""COMPUTED_VALUE"""),0.0)</f>
        <v>0</v>
      </c>
      <c r="AA147" s="16">
        <f>IFERROR(__xludf.DUMMYFUNCTION("""COMPUTED_VALUE"""),0.0)</f>
        <v>0</v>
      </c>
      <c r="AB147" s="16">
        <f>IFERROR(__xludf.DUMMYFUNCTION("""COMPUTED_VALUE"""),0.0)</f>
        <v>0</v>
      </c>
      <c r="AC147" s="16">
        <f>IFERROR(__xludf.DUMMYFUNCTION("""COMPUTED_VALUE"""),0.0)</f>
        <v>0</v>
      </c>
      <c r="AD147" s="16">
        <f>IFERROR(__xludf.DUMMYFUNCTION("""COMPUTED_VALUE"""),0.0)</f>
        <v>0</v>
      </c>
      <c r="AE147" s="16">
        <f>IFERROR(__xludf.DUMMYFUNCTION("""COMPUTED_VALUE"""),0.0)</f>
        <v>0</v>
      </c>
      <c r="AF147" s="16">
        <f>IFERROR(__xludf.DUMMYFUNCTION("""COMPUTED_VALUE"""),0.0)</f>
        <v>0</v>
      </c>
      <c r="AG147" s="16">
        <f>IFERROR(__xludf.DUMMYFUNCTION("""COMPUTED_VALUE"""),0.0)</f>
        <v>0</v>
      </c>
      <c r="AH147" s="16">
        <f>IFERROR(__xludf.DUMMYFUNCTION("""COMPUTED_VALUE"""),0.0)</f>
        <v>0</v>
      </c>
    </row>
    <row r="148">
      <c r="A148" s="16" t="str">
        <f>IFERROR(__xludf.DUMMYFUNCTION("""COMPUTED_VALUE"""),"7fd747e6520471a8653824ad1a2ba2ad33b91835")</f>
        <v>7fd747e6520471a8653824ad1a2ba2ad33b91835</v>
      </c>
      <c r="B148" s="16" t="str">
        <f>IFERROR(__xludf.DUMMYFUNCTION("""COMPUTED_VALUE"""),"Evolution Online")</f>
        <v>Evolution Online</v>
      </c>
      <c r="C148" s="16" t="str">
        <f>IFERROR(__xludf.DUMMYFUNCTION("""COMPUTED_VALUE"""),"Fantasy")</f>
        <v>Fantasy</v>
      </c>
      <c r="D148" s="16">
        <f>IFERROR(__xludf.DUMMYFUNCTION("""COMPUTED_VALUE"""),42.0)</f>
        <v>42</v>
      </c>
      <c r="E148" s="16">
        <f>IFERROR(__xludf.DUMMYFUNCTION("""COMPUTED_VALUE"""),0.976190476190476)</f>
        <v>0.9761904762</v>
      </c>
      <c r="F148" s="16">
        <f>IFERROR(__xludf.DUMMYFUNCTION("""COMPUTED_VALUE"""),0.571428571428571)</f>
        <v>0.5714285714</v>
      </c>
      <c r="G148" s="16">
        <f>IFERROR(__xludf.DUMMYFUNCTION("""COMPUTED_VALUE"""),0.404761904761904)</f>
        <v>0.4047619048</v>
      </c>
      <c r="H148" s="16">
        <f>IFERROR(__xludf.DUMMYFUNCTION("""COMPUTED_VALUE"""),0.38095238095238)</f>
        <v>0.380952381</v>
      </c>
      <c r="I148" s="16">
        <f>IFERROR(__xludf.DUMMYFUNCTION("""COMPUTED_VALUE"""),0.38095238095238)</f>
        <v>0.380952381</v>
      </c>
      <c r="J148" s="16">
        <f>IFERROR(__xludf.DUMMYFUNCTION("""COMPUTED_VALUE"""),0.357142857142857)</f>
        <v>0.3571428571</v>
      </c>
      <c r="K148" s="16">
        <f>IFERROR(__xludf.DUMMYFUNCTION("""COMPUTED_VALUE"""),0.333333333333333)</f>
        <v>0.3333333333</v>
      </c>
      <c r="L148" s="16">
        <f>IFERROR(__xludf.DUMMYFUNCTION("""COMPUTED_VALUE"""),0.275)</f>
        <v>0.275</v>
      </c>
      <c r="M148" s="16">
        <f>IFERROR(__xludf.DUMMYFUNCTION("""COMPUTED_VALUE"""),0.25)</f>
        <v>0.25</v>
      </c>
      <c r="N148" s="16">
        <f>IFERROR(__xludf.DUMMYFUNCTION("""COMPUTED_VALUE"""),0.225)</f>
        <v>0.225</v>
      </c>
      <c r="O148" s="16">
        <f>IFERROR(__xludf.DUMMYFUNCTION("""COMPUTED_VALUE"""),0.153846153846153)</f>
        <v>0.1538461538</v>
      </c>
      <c r="P148" s="16">
        <f>IFERROR(__xludf.DUMMYFUNCTION("""COMPUTED_VALUE"""),0.102564102564102)</f>
        <v>0.1025641026</v>
      </c>
      <c r="Q148" s="16">
        <f>IFERROR(__xludf.DUMMYFUNCTION("""COMPUTED_VALUE"""),0.111111111111111)</f>
        <v>0.1111111111</v>
      </c>
      <c r="R148" s="16">
        <f>IFERROR(__xludf.DUMMYFUNCTION("""COMPUTED_VALUE"""),0.0)</f>
        <v>0</v>
      </c>
      <c r="S148" s="16">
        <f>IFERROR(__xludf.DUMMYFUNCTION("""COMPUTED_VALUE"""),0.0)</f>
        <v>0</v>
      </c>
      <c r="T148" s="16">
        <f>IFERROR(__xludf.DUMMYFUNCTION("""COMPUTED_VALUE"""),0.0)</f>
        <v>0</v>
      </c>
      <c r="U148" s="16">
        <f>IFERROR(__xludf.DUMMYFUNCTION("""COMPUTED_VALUE"""),0.0)</f>
        <v>0</v>
      </c>
      <c r="V148" s="16">
        <f>IFERROR(__xludf.DUMMYFUNCTION("""COMPUTED_VALUE"""),0.0)</f>
        <v>0</v>
      </c>
      <c r="W148" s="16">
        <f>IFERROR(__xludf.DUMMYFUNCTION("""COMPUTED_VALUE"""),0.0)</f>
        <v>0</v>
      </c>
      <c r="X148" s="16">
        <f>IFERROR(__xludf.DUMMYFUNCTION("""COMPUTED_VALUE"""),0.0)</f>
        <v>0</v>
      </c>
      <c r="Y148" s="16">
        <f>IFERROR(__xludf.DUMMYFUNCTION("""COMPUTED_VALUE"""),0.0)</f>
        <v>0</v>
      </c>
      <c r="Z148" s="16">
        <f>IFERROR(__xludf.DUMMYFUNCTION("""COMPUTED_VALUE"""),0.0)</f>
        <v>0</v>
      </c>
      <c r="AA148" s="16">
        <f>IFERROR(__xludf.DUMMYFUNCTION("""COMPUTED_VALUE"""),0.0)</f>
        <v>0</v>
      </c>
      <c r="AB148" s="16">
        <f>IFERROR(__xludf.DUMMYFUNCTION("""COMPUTED_VALUE"""),0.0)</f>
        <v>0</v>
      </c>
      <c r="AC148" s="16">
        <f>IFERROR(__xludf.DUMMYFUNCTION("""COMPUTED_VALUE"""),0.0)</f>
        <v>0</v>
      </c>
      <c r="AD148" s="16">
        <f>IFERROR(__xludf.DUMMYFUNCTION("""COMPUTED_VALUE"""),0.0)</f>
        <v>0</v>
      </c>
      <c r="AE148" s="16">
        <f>IFERROR(__xludf.DUMMYFUNCTION("""COMPUTED_VALUE"""),0.0)</f>
        <v>0</v>
      </c>
      <c r="AF148" s="16">
        <f>IFERROR(__xludf.DUMMYFUNCTION("""COMPUTED_VALUE"""),0.0)</f>
        <v>0</v>
      </c>
      <c r="AG148" s="16">
        <f>IFERROR(__xludf.DUMMYFUNCTION("""COMPUTED_VALUE"""),0.0)</f>
        <v>0</v>
      </c>
      <c r="AH148" s="16">
        <f>IFERROR(__xludf.DUMMYFUNCTION("""COMPUTED_VALUE"""),0.0)</f>
        <v>0</v>
      </c>
    </row>
    <row r="149">
      <c r="A149" s="16" t="str">
        <f>IFERROR(__xludf.DUMMYFUNCTION("""COMPUTED_VALUE"""),"80e6be6f7d165552c60a2fc7cbf39746d2ab2466")</f>
        <v>80e6be6f7d165552c60a2fc7cbf39746d2ab2466</v>
      </c>
      <c r="B149" s="16" t="str">
        <f>IFERROR(__xludf.DUMMYFUNCTION("""COMPUTED_VALUE"""),"Marked by Him: True Mate")</f>
        <v>Marked by Him: True Mate</v>
      </c>
      <c r="C149" s="16" t="str">
        <f>IFERROR(__xludf.DUMMYFUNCTION("""COMPUTED_VALUE"""),"Romantasy")</f>
        <v>Romantasy</v>
      </c>
      <c r="D149" s="16">
        <f>IFERROR(__xludf.DUMMYFUNCTION("""COMPUTED_VALUE"""),79.0)</f>
        <v>79</v>
      </c>
      <c r="E149" s="16">
        <f>IFERROR(__xludf.DUMMYFUNCTION("""COMPUTED_VALUE"""),0.924050632911392)</f>
        <v>0.9240506329</v>
      </c>
      <c r="F149" s="16">
        <f>IFERROR(__xludf.DUMMYFUNCTION("""COMPUTED_VALUE"""),0.582278481012658)</f>
        <v>0.582278481</v>
      </c>
      <c r="G149" s="16">
        <f>IFERROR(__xludf.DUMMYFUNCTION("""COMPUTED_VALUE"""),0.569620253164557)</f>
        <v>0.5696202532</v>
      </c>
      <c r="H149" s="16">
        <f>IFERROR(__xludf.DUMMYFUNCTION("""COMPUTED_VALUE"""),0.556962025316455)</f>
        <v>0.5569620253</v>
      </c>
      <c r="I149" s="16">
        <f>IFERROR(__xludf.DUMMYFUNCTION("""COMPUTED_VALUE"""),0.556962025316455)</f>
        <v>0.5569620253</v>
      </c>
      <c r="J149" s="16">
        <f>IFERROR(__xludf.DUMMYFUNCTION("""COMPUTED_VALUE"""),0.518987341772151)</f>
        <v>0.5189873418</v>
      </c>
      <c r="K149" s="16">
        <f>IFERROR(__xludf.DUMMYFUNCTION("""COMPUTED_VALUE"""),0.544303797468354)</f>
        <v>0.5443037975</v>
      </c>
      <c r="L149" s="16">
        <f>IFERROR(__xludf.DUMMYFUNCTION("""COMPUTED_VALUE"""),0.512820512820512)</f>
        <v>0.5128205128</v>
      </c>
      <c r="M149" s="16">
        <f>IFERROR(__xludf.DUMMYFUNCTION("""COMPUTED_VALUE"""),0.525641025641025)</f>
        <v>0.5256410256</v>
      </c>
      <c r="N149" s="16">
        <f>IFERROR(__xludf.DUMMYFUNCTION("""COMPUTED_VALUE"""),0.512820512820512)</f>
        <v>0.5128205128</v>
      </c>
      <c r="O149" s="16">
        <f>IFERROR(__xludf.DUMMYFUNCTION("""COMPUTED_VALUE"""),0.526315789473684)</f>
        <v>0.5263157895</v>
      </c>
      <c r="P149" s="16">
        <f>IFERROR(__xludf.DUMMYFUNCTION("""COMPUTED_VALUE"""),0.5)</f>
        <v>0.5</v>
      </c>
      <c r="Q149" s="16">
        <f>IFERROR(__xludf.DUMMYFUNCTION("""COMPUTED_VALUE"""),0.34090909090909)</f>
        <v>0.3409090909</v>
      </c>
      <c r="R149" s="16">
        <f>IFERROR(__xludf.DUMMYFUNCTION("""COMPUTED_VALUE"""),0.0)</f>
        <v>0</v>
      </c>
      <c r="S149" s="16">
        <f>IFERROR(__xludf.DUMMYFUNCTION("""COMPUTED_VALUE"""),0.0)</f>
        <v>0</v>
      </c>
      <c r="T149" s="16">
        <f>IFERROR(__xludf.DUMMYFUNCTION("""COMPUTED_VALUE"""),0.0)</f>
        <v>0</v>
      </c>
      <c r="U149" s="16">
        <f>IFERROR(__xludf.DUMMYFUNCTION("""COMPUTED_VALUE"""),0.0)</f>
        <v>0</v>
      </c>
      <c r="V149" s="16">
        <f>IFERROR(__xludf.DUMMYFUNCTION("""COMPUTED_VALUE"""),0.0)</f>
        <v>0</v>
      </c>
      <c r="W149" s="16">
        <f>IFERROR(__xludf.DUMMYFUNCTION("""COMPUTED_VALUE"""),0.0)</f>
        <v>0</v>
      </c>
      <c r="X149" s="16">
        <f>IFERROR(__xludf.DUMMYFUNCTION("""COMPUTED_VALUE"""),0.0)</f>
        <v>0</v>
      </c>
      <c r="Y149" s="16">
        <f>IFERROR(__xludf.DUMMYFUNCTION("""COMPUTED_VALUE"""),0.0)</f>
        <v>0</v>
      </c>
      <c r="Z149" s="16">
        <f>IFERROR(__xludf.DUMMYFUNCTION("""COMPUTED_VALUE"""),0.0)</f>
        <v>0</v>
      </c>
      <c r="AA149" s="16">
        <f>IFERROR(__xludf.DUMMYFUNCTION("""COMPUTED_VALUE"""),0.0)</f>
        <v>0</v>
      </c>
      <c r="AB149" s="16">
        <f>IFERROR(__xludf.DUMMYFUNCTION("""COMPUTED_VALUE"""),0.0)</f>
        <v>0</v>
      </c>
      <c r="AC149" s="16">
        <f>IFERROR(__xludf.DUMMYFUNCTION("""COMPUTED_VALUE"""),0.0)</f>
        <v>0</v>
      </c>
      <c r="AD149" s="16">
        <f>IFERROR(__xludf.DUMMYFUNCTION("""COMPUTED_VALUE"""),0.0)</f>
        <v>0</v>
      </c>
      <c r="AE149" s="16">
        <f>IFERROR(__xludf.DUMMYFUNCTION("""COMPUTED_VALUE"""),0.0)</f>
        <v>0</v>
      </c>
      <c r="AF149" s="16">
        <f>IFERROR(__xludf.DUMMYFUNCTION("""COMPUTED_VALUE"""),0.0)</f>
        <v>0</v>
      </c>
      <c r="AG149" s="16">
        <f>IFERROR(__xludf.DUMMYFUNCTION("""COMPUTED_VALUE"""),0.0)</f>
        <v>0</v>
      </c>
      <c r="AH149" s="16">
        <f>IFERROR(__xludf.DUMMYFUNCTION("""COMPUTED_VALUE"""),0.0)</f>
        <v>0</v>
      </c>
    </row>
    <row r="150">
      <c r="A150" s="16" t="str">
        <f>IFERROR(__xludf.DUMMYFUNCTION("""COMPUTED_VALUE"""),"81f38c054e274dae5e400ec6c2c582118338c065")</f>
        <v>81f38c054e274dae5e400ec6c2c582118338c065</v>
      </c>
      <c r="B150" s="16" t="str">
        <f>IFERROR(__xludf.DUMMYFUNCTION("""COMPUTED_VALUE"""),"Authority System")</f>
        <v>Authority System</v>
      </c>
      <c r="C150" s="16" t="str">
        <f>IFERROR(__xludf.DUMMYFUNCTION("""COMPUTED_VALUE"""),"Fantasy")</f>
        <v>Fantasy</v>
      </c>
      <c r="D150" s="16">
        <f>IFERROR(__xludf.DUMMYFUNCTION("""COMPUTED_VALUE"""),17.0)</f>
        <v>17</v>
      </c>
      <c r="E150" s="16">
        <f>IFERROR(__xludf.DUMMYFUNCTION("""COMPUTED_VALUE"""),1.0)</f>
        <v>1</v>
      </c>
      <c r="F150" s="16">
        <f>IFERROR(__xludf.DUMMYFUNCTION("""COMPUTED_VALUE"""),0.411764705882352)</f>
        <v>0.4117647059</v>
      </c>
      <c r="G150" s="16">
        <f>IFERROR(__xludf.DUMMYFUNCTION("""COMPUTED_VALUE"""),0.352941176470588)</f>
        <v>0.3529411765</v>
      </c>
      <c r="H150" s="16">
        <f>IFERROR(__xludf.DUMMYFUNCTION("""COMPUTED_VALUE"""),0.352941176470588)</f>
        <v>0.3529411765</v>
      </c>
      <c r="I150" s="16">
        <f>IFERROR(__xludf.DUMMYFUNCTION("""COMPUTED_VALUE"""),0.352941176470588)</f>
        <v>0.3529411765</v>
      </c>
      <c r="J150" s="16">
        <f>IFERROR(__xludf.DUMMYFUNCTION("""COMPUTED_VALUE"""),0.375)</f>
        <v>0.375</v>
      </c>
      <c r="K150" s="16">
        <f>IFERROR(__xludf.DUMMYFUNCTION("""COMPUTED_VALUE"""),0.375)</f>
        <v>0.375</v>
      </c>
      <c r="L150" s="16">
        <f>IFERROR(__xludf.DUMMYFUNCTION("""COMPUTED_VALUE"""),0.375)</f>
        <v>0.375</v>
      </c>
      <c r="M150" s="16">
        <f>IFERROR(__xludf.DUMMYFUNCTION("""COMPUTED_VALUE"""),0.375)</f>
        <v>0.375</v>
      </c>
      <c r="N150" s="16">
        <f>IFERROR(__xludf.DUMMYFUNCTION("""COMPUTED_VALUE"""),0.375)</f>
        <v>0.375</v>
      </c>
      <c r="O150" s="16">
        <f>IFERROR(__xludf.DUMMYFUNCTION("""COMPUTED_VALUE"""),0.428571428571428)</f>
        <v>0.4285714286</v>
      </c>
      <c r="P150" s="16">
        <f>IFERROR(__xludf.DUMMYFUNCTION("""COMPUTED_VALUE"""),0.5)</f>
        <v>0.5</v>
      </c>
      <c r="Q150" s="16">
        <f>IFERROR(__xludf.DUMMYFUNCTION("""COMPUTED_VALUE"""),0.0)</f>
        <v>0</v>
      </c>
      <c r="R150" s="16">
        <f>IFERROR(__xludf.DUMMYFUNCTION("""COMPUTED_VALUE"""),0.0)</f>
        <v>0</v>
      </c>
      <c r="S150" s="16">
        <f>IFERROR(__xludf.DUMMYFUNCTION("""COMPUTED_VALUE"""),0.0)</f>
        <v>0</v>
      </c>
      <c r="T150" s="16">
        <f>IFERROR(__xludf.DUMMYFUNCTION("""COMPUTED_VALUE"""),0.0)</f>
        <v>0</v>
      </c>
      <c r="U150" s="16">
        <f>IFERROR(__xludf.DUMMYFUNCTION("""COMPUTED_VALUE"""),0.0)</f>
        <v>0</v>
      </c>
      <c r="V150" s="16">
        <f>IFERROR(__xludf.DUMMYFUNCTION("""COMPUTED_VALUE"""),0.0)</f>
        <v>0</v>
      </c>
      <c r="W150" s="16">
        <f>IFERROR(__xludf.DUMMYFUNCTION("""COMPUTED_VALUE"""),0.0)</f>
        <v>0</v>
      </c>
      <c r="X150" s="16">
        <f>IFERROR(__xludf.DUMMYFUNCTION("""COMPUTED_VALUE"""),0.0)</f>
        <v>0</v>
      </c>
      <c r="Y150" s="16">
        <f>IFERROR(__xludf.DUMMYFUNCTION("""COMPUTED_VALUE"""),0.0)</f>
        <v>0</v>
      </c>
      <c r="Z150" s="16">
        <f>IFERROR(__xludf.DUMMYFUNCTION("""COMPUTED_VALUE"""),0.0)</f>
        <v>0</v>
      </c>
      <c r="AA150" s="16">
        <f>IFERROR(__xludf.DUMMYFUNCTION("""COMPUTED_VALUE"""),0.0)</f>
        <v>0</v>
      </c>
      <c r="AB150" s="16">
        <f>IFERROR(__xludf.DUMMYFUNCTION("""COMPUTED_VALUE"""),0.0)</f>
        <v>0</v>
      </c>
      <c r="AC150" s="16">
        <f>IFERROR(__xludf.DUMMYFUNCTION("""COMPUTED_VALUE"""),0.0)</f>
        <v>0</v>
      </c>
      <c r="AD150" s="16">
        <f>IFERROR(__xludf.DUMMYFUNCTION("""COMPUTED_VALUE"""),0.0)</f>
        <v>0</v>
      </c>
      <c r="AE150" s="16">
        <f>IFERROR(__xludf.DUMMYFUNCTION("""COMPUTED_VALUE"""),0.0)</f>
        <v>0</v>
      </c>
      <c r="AF150" s="16">
        <f>IFERROR(__xludf.DUMMYFUNCTION("""COMPUTED_VALUE"""),0.0)</f>
        <v>0</v>
      </c>
      <c r="AG150" s="16">
        <f>IFERROR(__xludf.DUMMYFUNCTION("""COMPUTED_VALUE"""),0.0)</f>
        <v>0</v>
      </c>
      <c r="AH150" s="16">
        <f>IFERROR(__xludf.DUMMYFUNCTION("""COMPUTED_VALUE"""),0.0)</f>
        <v>0</v>
      </c>
    </row>
    <row r="151">
      <c r="A151" s="16" t="str">
        <f>IFERROR(__xludf.DUMMYFUNCTION("""COMPUTED_VALUE"""),"820e3a2951adfcd3997c3ea5696cb62bc975f0a0")</f>
        <v>820e3a2951adfcd3997c3ea5696cb62bc975f0a0</v>
      </c>
      <c r="B151" s="16" t="str">
        <f>IFERROR(__xludf.DUMMYFUNCTION("""COMPUTED_VALUE"""),"The Return of Master ")</f>
        <v>The Return of Master </v>
      </c>
      <c r="C151" s="16" t="str">
        <f>IFERROR(__xludf.DUMMYFUNCTION("""COMPUTED_VALUE"""),"Fantasy")</f>
        <v>Fantasy</v>
      </c>
      <c r="D151" s="16">
        <f>IFERROR(__xludf.DUMMYFUNCTION("""COMPUTED_VALUE"""),18.0)</f>
        <v>18</v>
      </c>
      <c r="E151" s="16">
        <f>IFERROR(__xludf.DUMMYFUNCTION("""COMPUTED_VALUE"""),1.0)</f>
        <v>1</v>
      </c>
      <c r="F151" s="16">
        <f>IFERROR(__xludf.DUMMYFUNCTION("""COMPUTED_VALUE"""),0.888888888888888)</f>
        <v>0.8888888889</v>
      </c>
      <c r="G151" s="16">
        <f>IFERROR(__xludf.DUMMYFUNCTION("""COMPUTED_VALUE"""),0.833333333333333)</f>
        <v>0.8333333333</v>
      </c>
      <c r="H151" s="16">
        <f>IFERROR(__xludf.DUMMYFUNCTION("""COMPUTED_VALUE"""),0.666666666666666)</f>
        <v>0.6666666667</v>
      </c>
      <c r="I151" s="16">
        <f>IFERROR(__xludf.DUMMYFUNCTION("""COMPUTED_VALUE"""),0.666666666666666)</f>
        <v>0.6666666667</v>
      </c>
      <c r="J151" s="16">
        <f>IFERROR(__xludf.DUMMYFUNCTION("""COMPUTED_VALUE"""),0.666666666666666)</f>
        <v>0.6666666667</v>
      </c>
      <c r="K151" s="16">
        <f>IFERROR(__xludf.DUMMYFUNCTION("""COMPUTED_VALUE"""),0.666666666666666)</f>
        <v>0.6666666667</v>
      </c>
      <c r="L151" s="16">
        <f>IFERROR(__xludf.DUMMYFUNCTION("""COMPUTED_VALUE"""),0.666666666666666)</f>
        <v>0.6666666667</v>
      </c>
      <c r="M151" s="16">
        <f>IFERROR(__xludf.DUMMYFUNCTION("""COMPUTED_VALUE"""),0.611111111111111)</f>
        <v>0.6111111111</v>
      </c>
      <c r="N151" s="16">
        <f>IFERROR(__xludf.DUMMYFUNCTION("""COMPUTED_VALUE"""),0.666666666666666)</f>
        <v>0.6666666667</v>
      </c>
      <c r="O151" s="16">
        <f>IFERROR(__xludf.DUMMYFUNCTION("""COMPUTED_VALUE"""),0.388888888888888)</f>
        <v>0.3888888889</v>
      </c>
      <c r="P151" s="16">
        <f>IFERROR(__xludf.DUMMYFUNCTION("""COMPUTED_VALUE"""),0.176470588235294)</f>
        <v>0.1764705882</v>
      </c>
      <c r="Q151" s="16">
        <f>IFERROR(__xludf.DUMMYFUNCTION("""COMPUTED_VALUE"""),0.0)</f>
        <v>0</v>
      </c>
      <c r="R151" s="16">
        <f>IFERROR(__xludf.DUMMYFUNCTION("""COMPUTED_VALUE"""),0.0)</f>
        <v>0</v>
      </c>
      <c r="S151" s="16">
        <f>IFERROR(__xludf.DUMMYFUNCTION("""COMPUTED_VALUE"""),0.0)</f>
        <v>0</v>
      </c>
      <c r="T151" s="16">
        <f>IFERROR(__xludf.DUMMYFUNCTION("""COMPUTED_VALUE"""),0.0)</f>
        <v>0</v>
      </c>
      <c r="U151" s="16">
        <f>IFERROR(__xludf.DUMMYFUNCTION("""COMPUTED_VALUE"""),0.0)</f>
        <v>0</v>
      </c>
      <c r="V151" s="16">
        <f>IFERROR(__xludf.DUMMYFUNCTION("""COMPUTED_VALUE"""),0.0)</f>
        <v>0</v>
      </c>
      <c r="W151" s="16">
        <f>IFERROR(__xludf.DUMMYFUNCTION("""COMPUTED_VALUE"""),0.0)</f>
        <v>0</v>
      </c>
      <c r="X151" s="16">
        <f>IFERROR(__xludf.DUMMYFUNCTION("""COMPUTED_VALUE"""),0.0)</f>
        <v>0</v>
      </c>
      <c r="Y151" s="16">
        <f>IFERROR(__xludf.DUMMYFUNCTION("""COMPUTED_VALUE"""),0.0)</f>
        <v>0</v>
      </c>
      <c r="Z151" s="16">
        <f>IFERROR(__xludf.DUMMYFUNCTION("""COMPUTED_VALUE"""),0.0)</f>
        <v>0</v>
      </c>
      <c r="AA151" s="16">
        <f>IFERROR(__xludf.DUMMYFUNCTION("""COMPUTED_VALUE"""),0.0)</f>
        <v>0</v>
      </c>
      <c r="AB151" s="16">
        <f>IFERROR(__xludf.DUMMYFUNCTION("""COMPUTED_VALUE"""),0.0)</f>
        <v>0</v>
      </c>
      <c r="AC151" s="16">
        <f>IFERROR(__xludf.DUMMYFUNCTION("""COMPUTED_VALUE"""),0.0)</f>
        <v>0</v>
      </c>
      <c r="AD151" s="16">
        <f>IFERROR(__xludf.DUMMYFUNCTION("""COMPUTED_VALUE"""),0.0)</f>
        <v>0</v>
      </c>
      <c r="AE151" s="16">
        <f>IFERROR(__xludf.DUMMYFUNCTION("""COMPUTED_VALUE"""),0.0)</f>
        <v>0</v>
      </c>
      <c r="AF151" s="16">
        <f>IFERROR(__xludf.DUMMYFUNCTION("""COMPUTED_VALUE"""),0.0)</f>
        <v>0</v>
      </c>
      <c r="AG151" s="16">
        <f>IFERROR(__xludf.DUMMYFUNCTION("""COMPUTED_VALUE"""),0.0)</f>
        <v>0</v>
      </c>
      <c r="AH151" s="16">
        <f>IFERROR(__xludf.DUMMYFUNCTION("""COMPUTED_VALUE"""),0.0)</f>
        <v>0</v>
      </c>
    </row>
    <row r="152">
      <c r="A152" s="16" t="str">
        <f>IFERROR(__xludf.DUMMYFUNCTION("""COMPUTED_VALUE"""),"82ff8ba01d1e1fbcea7c734b687b1a9ff858733d")</f>
        <v>82ff8ba01d1e1fbcea7c734b687b1a9ff858733d</v>
      </c>
      <c r="B152" s="16" t="str">
        <f>IFERROR(__xludf.DUMMYFUNCTION("""COMPUTED_VALUE"""),"Twin Realms Traveler")</f>
        <v>Twin Realms Traveler</v>
      </c>
      <c r="C152" s="16" t="str">
        <f>IFERROR(__xludf.DUMMYFUNCTION("""COMPUTED_VALUE"""),"System and Superpower")</f>
        <v>System and Superpower</v>
      </c>
      <c r="D152" s="16">
        <f>IFERROR(__xludf.DUMMYFUNCTION("""COMPUTED_VALUE"""),9.0)</f>
        <v>9</v>
      </c>
      <c r="E152" s="16">
        <f>IFERROR(__xludf.DUMMYFUNCTION("""COMPUTED_VALUE"""),1.0)</f>
        <v>1</v>
      </c>
      <c r="F152" s="16">
        <f>IFERROR(__xludf.DUMMYFUNCTION("""COMPUTED_VALUE"""),0.222222222222222)</f>
        <v>0.2222222222</v>
      </c>
      <c r="G152" s="16">
        <f>IFERROR(__xludf.DUMMYFUNCTION("""COMPUTED_VALUE"""),0.222222222222222)</f>
        <v>0.2222222222</v>
      </c>
      <c r="H152" s="16">
        <f>IFERROR(__xludf.DUMMYFUNCTION("""COMPUTED_VALUE"""),0.222222222222222)</f>
        <v>0.2222222222</v>
      </c>
      <c r="I152" s="16">
        <f>IFERROR(__xludf.DUMMYFUNCTION("""COMPUTED_VALUE"""),0.222222222222222)</f>
        <v>0.2222222222</v>
      </c>
      <c r="J152" s="16">
        <f>IFERROR(__xludf.DUMMYFUNCTION("""COMPUTED_VALUE"""),0.222222222222222)</f>
        <v>0.2222222222</v>
      </c>
      <c r="K152" s="16">
        <f>IFERROR(__xludf.DUMMYFUNCTION("""COMPUTED_VALUE"""),0.222222222222222)</f>
        <v>0.2222222222</v>
      </c>
      <c r="L152" s="16">
        <f>IFERROR(__xludf.DUMMYFUNCTION("""COMPUTED_VALUE"""),0.222222222222222)</f>
        <v>0.2222222222</v>
      </c>
      <c r="M152" s="16">
        <f>IFERROR(__xludf.DUMMYFUNCTION("""COMPUTED_VALUE"""),0.222222222222222)</f>
        <v>0.2222222222</v>
      </c>
      <c r="N152" s="16">
        <f>IFERROR(__xludf.DUMMYFUNCTION("""COMPUTED_VALUE"""),0.25)</f>
        <v>0.25</v>
      </c>
      <c r="O152" s="16">
        <f>IFERROR(__xludf.DUMMYFUNCTION("""COMPUTED_VALUE"""),0.25)</f>
        <v>0.25</v>
      </c>
      <c r="P152" s="16">
        <f>IFERROR(__xludf.DUMMYFUNCTION("""COMPUTED_VALUE"""),0.25)</f>
        <v>0.25</v>
      </c>
      <c r="Q152" s="16">
        <f>IFERROR(__xludf.DUMMYFUNCTION("""COMPUTED_VALUE"""),0.285714285714285)</f>
        <v>0.2857142857</v>
      </c>
      <c r="R152" s="16">
        <f>IFERROR(__xludf.DUMMYFUNCTION("""COMPUTED_VALUE"""),0.333333333333333)</f>
        <v>0.3333333333</v>
      </c>
      <c r="S152" s="16">
        <f>IFERROR(__xludf.DUMMYFUNCTION("""COMPUTED_VALUE"""),0.4)</f>
        <v>0.4</v>
      </c>
      <c r="T152" s="16">
        <f>IFERROR(__xludf.DUMMYFUNCTION("""COMPUTED_VALUE"""),0.4)</f>
        <v>0.4</v>
      </c>
      <c r="U152" s="16">
        <f>IFERROR(__xludf.DUMMYFUNCTION("""COMPUTED_VALUE"""),0.5)</f>
        <v>0.5</v>
      </c>
      <c r="V152" s="16">
        <f>IFERROR(__xludf.DUMMYFUNCTION("""COMPUTED_VALUE"""),0.0)</f>
        <v>0</v>
      </c>
      <c r="W152" s="16">
        <f>IFERROR(__xludf.DUMMYFUNCTION("""COMPUTED_VALUE"""),0.0)</f>
        <v>0</v>
      </c>
      <c r="X152" s="16">
        <f>IFERROR(__xludf.DUMMYFUNCTION("""COMPUTED_VALUE"""),0.0)</f>
        <v>0</v>
      </c>
      <c r="Y152" s="16">
        <f>IFERROR(__xludf.DUMMYFUNCTION("""COMPUTED_VALUE"""),0.0)</f>
        <v>0</v>
      </c>
      <c r="Z152" s="16">
        <f>IFERROR(__xludf.DUMMYFUNCTION("""COMPUTED_VALUE"""),0.0)</f>
        <v>0</v>
      </c>
      <c r="AA152" s="16">
        <f>IFERROR(__xludf.DUMMYFUNCTION("""COMPUTED_VALUE"""),0.0)</f>
        <v>0</v>
      </c>
      <c r="AB152" s="16">
        <f>IFERROR(__xludf.DUMMYFUNCTION("""COMPUTED_VALUE"""),0.0)</f>
        <v>0</v>
      </c>
      <c r="AC152" s="16">
        <f>IFERROR(__xludf.DUMMYFUNCTION("""COMPUTED_VALUE"""),0.0)</f>
        <v>0</v>
      </c>
      <c r="AD152" s="16">
        <f>IFERROR(__xludf.DUMMYFUNCTION("""COMPUTED_VALUE"""),0.0)</f>
        <v>0</v>
      </c>
      <c r="AE152" s="16">
        <f>IFERROR(__xludf.DUMMYFUNCTION("""COMPUTED_VALUE"""),0.0)</f>
        <v>0</v>
      </c>
      <c r="AF152" s="16">
        <f>IFERROR(__xludf.DUMMYFUNCTION("""COMPUTED_VALUE"""),0.0)</f>
        <v>0</v>
      </c>
      <c r="AG152" s="16">
        <f>IFERROR(__xludf.DUMMYFUNCTION("""COMPUTED_VALUE"""),0.0)</f>
        <v>0</v>
      </c>
      <c r="AH152" s="16">
        <f>IFERROR(__xludf.DUMMYFUNCTION("""COMPUTED_VALUE"""),0.0)</f>
        <v>0</v>
      </c>
    </row>
    <row r="153">
      <c r="A153" s="16" t="str">
        <f>IFERROR(__xludf.DUMMYFUNCTION("""COMPUTED_VALUE"""),"84289ce4a2b527c3aa47651760eaff877da6adad")</f>
        <v>84289ce4a2b527c3aa47651760eaff877da6adad</v>
      </c>
      <c r="B153" s="16" t="str">
        <f>IFERROR(__xludf.DUMMYFUNCTION("""COMPUTED_VALUE"""),"Contracted by Love")</f>
        <v>Contracted by Love</v>
      </c>
      <c r="C153" s="16" t="str">
        <f>IFERROR(__xludf.DUMMYFUNCTION("""COMPUTED_VALUE"""),"Romance")</f>
        <v>Romance</v>
      </c>
      <c r="D153" s="16">
        <f>IFERROR(__xludf.DUMMYFUNCTION("""COMPUTED_VALUE"""),40.0)</f>
        <v>40</v>
      </c>
      <c r="E153" s="16">
        <f>IFERROR(__xludf.DUMMYFUNCTION("""COMPUTED_VALUE"""),1.0)</f>
        <v>1</v>
      </c>
      <c r="F153" s="16">
        <f>IFERROR(__xludf.DUMMYFUNCTION("""COMPUTED_VALUE"""),0.6)</f>
        <v>0.6</v>
      </c>
      <c r="G153" s="16">
        <f>IFERROR(__xludf.DUMMYFUNCTION("""COMPUTED_VALUE"""),0.5)</f>
        <v>0.5</v>
      </c>
      <c r="H153" s="16">
        <f>IFERROR(__xludf.DUMMYFUNCTION("""COMPUTED_VALUE"""),0.45)</f>
        <v>0.45</v>
      </c>
      <c r="I153" s="16">
        <f>IFERROR(__xludf.DUMMYFUNCTION("""COMPUTED_VALUE"""),0.4)</f>
        <v>0.4</v>
      </c>
      <c r="J153" s="16">
        <f>IFERROR(__xludf.DUMMYFUNCTION("""COMPUTED_VALUE"""),0.35)</f>
        <v>0.35</v>
      </c>
      <c r="K153" s="16">
        <f>IFERROR(__xludf.DUMMYFUNCTION("""COMPUTED_VALUE"""),0.3)</f>
        <v>0.3</v>
      </c>
      <c r="L153" s="16">
        <f>IFERROR(__xludf.DUMMYFUNCTION("""COMPUTED_VALUE"""),0.275)</f>
        <v>0.275</v>
      </c>
      <c r="M153" s="16">
        <f>IFERROR(__xludf.DUMMYFUNCTION("""COMPUTED_VALUE"""),0.225)</f>
        <v>0.225</v>
      </c>
      <c r="N153" s="16">
        <f>IFERROR(__xludf.DUMMYFUNCTION("""COMPUTED_VALUE"""),0.225)</f>
        <v>0.225</v>
      </c>
      <c r="O153" s="16">
        <f>IFERROR(__xludf.DUMMYFUNCTION("""COMPUTED_VALUE"""),0.2)</f>
        <v>0.2</v>
      </c>
      <c r="P153" s="16">
        <f>IFERROR(__xludf.DUMMYFUNCTION("""COMPUTED_VALUE"""),0.285714285714285)</f>
        <v>0.2857142857</v>
      </c>
      <c r="Q153" s="16">
        <f>IFERROR(__xludf.DUMMYFUNCTION("""COMPUTED_VALUE"""),0.0)</f>
        <v>0</v>
      </c>
      <c r="R153" s="16">
        <f>IFERROR(__xludf.DUMMYFUNCTION("""COMPUTED_VALUE"""),0.0)</f>
        <v>0</v>
      </c>
      <c r="S153" s="16">
        <f>IFERROR(__xludf.DUMMYFUNCTION("""COMPUTED_VALUE"""),0.0)</f>
        <v>0</v>
      </c>
      <c r="T153" s="16">
        <f>IFERROR(__xludf.DUMMYFUNCTION("""COMPUTED_VALUE"""),0.0)</f>
        <v>0</v>
      </c>
      <c r="U153" s="16">
        <f>IFERROR(__xludf.DUMMYFUNCTION("""COMPUTED_VALUE"""),0.0)</f>
        <v>0</v>
      </c>
      <c r="V153" s="16">
        <f>IFERROR(__xludf.DUMMYFUNCTION("""COMPUTED_VALUE"""),0.0)</f>
        <v>0</v>
      </c>
      <c r="W153" s="16">
        <f>IFERROR(__xludf.DUMMYFUNCTION("""COMPUTED_VALUE"""),0.0)</f>
        <v>0</v>
      </c>
      <c r="X153" s="16">
        <f>IFERROR(__xludf.DUMMYFUNCTION("""COMPUTED_VALUE"""),0.0)</f>
        <v>0</v>
      </c>
      <c r="Y153" s="16">
        <f>IFERROR(__xludf.DUMMYFUNCTION("""COMPUTED_VALUE"""),0.0)</f>
        <v>0</v>
      </c>
      <c r="Z153" s="16">
        <f>IFERROR(__xludf.DUMMYFUNCTION("""COMPUTED_VALUE"""),0.0)</f>
        <v>0</v>
      </c>
      <c r="AA153" s="16">
        <f>IFERROR(__xludf.DUMMYFUNCTION("""COMPUTED_VALUE"""),0.0)</f>
        <v>0</v>
      </c>
      <c r="AB153" s="16">
        <f>IFERROR(__xludf.DUMMYFUNCTION("""COMPUTED_VALUE"""),0.0)</f>
        <v>0</v>
      </c>
      <c r="AC153" s="16">
        <f>IFERROR(__xludf.DUMMYFUNCTION("""COMPUTED_VALUE"""),0.0)</f>
        <v>0</v>
      </c>
      <c r="AD153" s="16">
        <f>IFERROR(__xludf.DUMMYFUNCTION("""COMPUTED_VALUE"""),0.0)</f>
        <v>0</v>
      </c>
      <c r="AE153" s="16">
        <f>IFERROR(__xludf.DUMMYFUNCTION("""COMPUTED_VALUE"""),0.0)</f>
        <v>0</v>
      </c>
      <c r="AF153" s="16">
        <f>IFERROR(__xludf.DUMMYFUNCTION("""COMPUTED_VALUE"""),0.0)</f>
        <v>0</v>
      </c>
      <c r="AG153" s="16">
        <f>IFERROR(__xludf.DUMMYFUNCTION("""COMPUTED_VALUE"""),0.0)</f>
        <v>0</v>
      </c>
      <c r="AH153" s="16">
        <f>IFERROR(__xludf.DUMMYFUNCTION("""COMPUTED_VALUE"""),0.0)</f>
        <v>0</v>
      </c>
    </row>
    <row r="154">
      <c r="A154" s="16" t="str">
        <f>IFERROR(__xludf.DUMMYFUNCTION("""COMPUTED_VALUE"""),"87b65acb9b6fcd4bc45f30d46f017fa847a0ce3c")</f>
        <v>87b65acb9b6fcd4bc45f30d46f017fa847a0ce3c</v>
      </c>
      <c r="B154" s="16" t="str">
        <f>IFERROR(__xludf.DUMMYFUNCTION("""COMPUTED_VALUE"""),"The Wife's Sweet Revenge")</f>
        <v>The Wife's Sweet Revenge</v>
      </c>
      <c r="C154" s="16" t="str">
        <f>IFERROR(__xludf.DUMMYFUNCTION("""COMPUTED_VALUE"""),"Romance")</f>
        <v>Romance</v>
      </c>
      <c r="D154" s="16">
        <f>IFERROR(__xludf.DUMMYFUNCTION("""COMPUTED_VALUE"""),11.0)</f>
        <v>11</v>
      </c>
      <c r="E154" s="16">
        <f>IFERROR(__xludf.DUMMYFUNCTION("""COMPUTED_VALUE"""),1.0)</f>
        <v>1</v>
      </c>
      <c r="F154" s="16">
        <f>IFERROR(__xludf.DUMMYFUNCTION("""COMPUTED_VALUE"""),0.909090909090909)</f>
        <v>0.9090909091</v>
      </c>
      <c r="G154" s="16">
        <f>IFERROR(__xludf.DUMMYFUNCTION("""COMPUTED_VALUE"""),0.818181818181818)</f>
        <v>0.8181818182</v>
      </c>
      <c r="H154" s="16">
        <f>IFERROR(__xludf.DUMMYFUNCTION("""COMPUTED_VALUE"""),0.545454545454545)</f>
        <v>0.5454545455</v>
      </c>
      <c r="I154" s="16">
        <f>IFERROR(__xludf.DUMMYFUNCTION("""COMPUTED_VALUE"""),0.454545454545454)</f>
        <v>0.4545454545</v>
      </c>
      <c r="J154" s="16">
        <f>IFERROR(__xludf.DUMMYFUNCTION("""COMPUTED_VALUE"""),0.5)</f>
        <v>0.5</v>
      </c>
      <c r="K154" s="16">
        <f>IFERROR(__xludf.DUMMYFUNCTION("""COMPUTED_VALUE"""),0.5)</f>
        <v>0.5</v>
      </c>
      <c r="L154" s="16">
        <f>IFERROR(__xludf.DUMMYFUNCTION("""COMPUTED_VALUE"""),1.0)</f>
        <v>1</v>
      </c>
      <c r="M154" s="16">
        <f>IFERROR(__xludf.DUMMYFUNCTION("""COMPUTED_VALUE"""),1.0)</f>
        <v>1</v>
      </c>
      <c r="N154" s="16">
        <f>IFERROR(__xludf.DUMMYFUNCTION("""COMPUTED_VALUE"""),1.0)</f>
        <v>1</v>
      </c>
      <c r="O154" s="16">
        <f>IFERROR(__xludf.DUMMYFUNCTION("""COMPUTED_VALUE"""),0.0)</f>
        <v>0</v>
      </c>
      <c r="P154" s="16">
        <f>IFERROR(__xludf.DUMMYFUNCTION("""COMPUTED_VALUE"""),0.0)</f>
        <v>0</v>
      </c>
      <c r="Q154" s="16">
        <f>IFERROR(__xludf.DUMMYFUNCTION("""COMPUTED_VALUE"""),0.0)</f>
        <v>0</v>
      </c>
      <c r="R154" s="16">
        <f>IFERROR(__xludf.DUMMYFUNCTION("""COMPUTED_VALUE"""),0.0)</f>
        <v>0</v>
      </c>
      <c r="S154" s="16">
        <f>IFERROR(__xludf.DUMMYFUNCTION("""COMPUTED_VALUE"""),0.0)</f>
        <v>0</v>
      </c>
      <c r="T154" s="16">
        <f>IFERROR(__xludf.DUMMYFUNCTION("""COMPUTED_VALUE"""),0.0)</f>
        <v>0</v>
      </c>
      <c r="U154" s="16">
        <f>IFERROR(__xludf.DUMMYFUNCTION("""COMPUTED_VALUE"""),0.0)</f>
        <v>0</v>
      </c>
      <c r="V154" s="16">
        <f>IFERROR(__xludf.DUMMYFUNCTION("""COMPUTED_VALUE"""),0.0)</f>
        <v>0</v>
      </c>
      <c r="W154" s="16">
        <f>IFERROR(__xludf.DUMMYFUNCTION("""COMPUTED_VALUE"""),0.0)</f>
        <v>0</v>
      </c>
      <c r="X154" s="16">
        <f>IFERROR(__xludf.DUMMYFUNCTION("""COMPUTED_VALUE"""),0.0)</f>
        <v>0</v>
      </c>
      <c r="Y154" s="16">
        <f>IFERROR(__xludf.DUMMYFUNCTION("""COMPUTED_VALUE"""),0.0)</f>
        <v>0</v>
      </c>
      <c r="Z154" s="16">
        <f>IFERROR(__xludf.DUMMYFUNCTION("""COMPUTED_VALUE"""),0.0)</f>
        <v>0</v>
      </c>
      <c r="AA154" s="16">
        <f>IFERROR(__xludf.DUMMYFUNCTION("""COMPUTED_VALUE"""),0.0)</f>
        <v>0</v>
      </c>
      <c r="AB154" s="16">
        <f>IFERROR(__xludf.DUMMYFUNCTION("""COMPUTED_VALUE"""),0.0)</f>
        <v>0</v>
      </c>
      <c r="AC154" s="16">
        <f>IFERROR(__xludf.DUMMYFUNCTION("""COMPUTED_VALUE"""),0.0)</f>
        <v>0</v>
      </c>
      <c r="AD154" s="16">
        <f>IFERROR(__xludf.DUMMYFUNCTION("""COMPUTED_VALUE"""),0.0)</f>
        <v>0</v>
      </c>
      <c r="AE154" s="16">
        <f>IFERROR(__xludf.DUMMYFUNCTION("""COMPUTED_VALUE"""),0.0)</f>
        <v>0</v>
      </c>
      <c r="AF154" s="16">
        <f>IFERROR(__xludf.DUMMYFUNCTION("""COMPUTED_VALUE"""),0.0)</f>
        <v>0</v>
      </c>
      <c r="AG154" s="16">
        <f>IFERROR(__xludf.DUMMYFUNCTION("""COMPUTED_VALUE"""),0.0)</f>
        <v>0</v>
      </c>
      <c r="AH154" s="16">
        <f>IFERROR(__xludf.DUMMYFUNCTION("""COMPUTED_VALUE"""),0.0)</f>
        <v>0</v>
      </c>
    </row>
    <row r="155">
      <c r="A155" s="16" t="str">
        <f>IFERROR(__xludf.DUMMYFUNCTION("""COMPUTED_VALUE"""),"8824fc43e4267c5a0e2b7acff644eae4b8b2222d")</f>
        <v>8824fc43e4267c5a0e2b7acff644eae4b8b2222d</v>
      </c>
      <c r="B155" s="16" t="str">
        <f>IFERROR(__xludf.DUMMYFUNCTION("""COMPUTED_VALUE"""),"Was It Only Lust?")</f>
        <v>Was It Only Lust?</v>
      </c>
      <c r="C155" s="16" t="str">
        <f>IFERROR(__xludf.DUMMYFUNCTION("""COMPUTED_VALUE"""),"Romance")</f>
        <v>Romance</v>
      </c>
      <c r="D155" s="16">
        <f>IFERROR(__xludf.DUMMYFUNCTION("""COMPUTED_VALUE"""),51.0)</f>
        <v>51</v>
      </c>
      <c r="E155" s="16">
        <f>IFERROR(__xludf.DUMMYFUNCTION("""COMPUTED_VALUE"""),0.941176470588235)</f>
        <v>0.9411764706</v>
      </c>
      <c r="F155" s="16">
        <f>IFERROR(__xludf.DUMMYFUNCTION("""COMPUTED_VALUE"""),0.549019607843137)</f>
        <v>0.5490196078</v>
      </c>
      <c r="G155" s="16">
        <f>IFERROR(__xludf.DUMMYFUNCTION("""COMPUTED_VALUE"""),0.529411764705882)</f>
        <v>0.5294117647</v>
      </c>
      <c r="H155" s="16">
        <f>IFERROR(__xludf.DUMMYFUNCTION("""COMPUTED_VALUE"""),0.470588235294117)</f>
        <v>0.4705882353</v>
      </c>
      <c r="I155" s="16">
        <f>IFERROR(__xludf.DUMMYFUNCTION("""COMPUTED_VALUE"""),0.450980392156862)</f>
        <v>0.4509803922</v>
      </c>
      <c r="J155" s="16">
        <f>IFERROR(__xludf.DUMMYFUNCTION("""COMPUTED_VALUE"""),0.431372549019607)</f>
        <v>0.431372549</v>
      </c>
      <c r="K155" s="16">
        <f>IFERROR(__xludf.DUMMYFUNCTION("""COMPUTED_VALUE"""),0.411764705882352)</f>
        <v>0.4117647059</v>
      </c>
      <c r="L155" s="16">
        <f>IFERROR(__xludf.DUMMYFUNCTION("""COMPUTED_VALUE"""),0.4)</f>
        <v>0.4</v>
      </c>
      <c r="M155" s="16">
        <f>IFERROR(__xludf.DUMMYFUNCTION("""COMPUTED_VALUE"""),0.34)</f>
        <v>0.34</v>
      </c>
      <c r="N155" s="16">
        <f>IFERROR(__xludf.DUMMYFUNCTION("""COMPUTED_VALUE"""),0.32)</f>
        <v>0.32</v>
      </c>
      <c r="O155" s="16">
        <f>IFERROR(__xludf.DUMMYFUNCTION("""COMPUTED_VALUE"""),0.2)</f>
        <v>0.2</v>
      </c>
      <c r="P155" s="16">
        <f>IFERROR(__xludf.DUMMYFUNCTION("""COMPUTED_VALUE"""),0.0612244897959183)</f>
        <v>0.0612244898</v>
      </c>
      <c r="Q155" s="16">
        <f>IFERROR(__xludf.DUMMYFUNCTION("""COMPUTED_VALUE"""),0.0454545454545454)</f>
        <v>0.04545454545</v>
      </c>
      <c r="R155" s="16">
        <f>IFERROR(__xludf.DUMMYFUNCTION("""COMPUTED_VALUE"""),0.0)</f>
        <v>0</v>
      </c>
      <c r="S155" s="16">
        <f>IFERROR(__xludf.DUMMYFUNCTION("""COMPUTED_VALUE"""),0.0)</f>
        <v>0</v>
      </c>
      <c r="T155" s="16">
        <f>IFERROR(__xludf.DUMMYFUNCTION("""COMPUTED_VALUE"""),0.0)</f>
        <v>0</v>
      </c>
      <c r="U155" s="16">
        <f>IFERROR(__xludf.DUMMYFUNCTION("""COMPUTED_VALUE"""),0.0)</f>
        <v>0</v>
      </c>
      <c r="V155" s="16">
        <f>IFERROR(__xludf.DUMMYFUNCTION("""COMPUTED_VALUE"""),0.0)</f>
        <v>0</v>
      </c>
      <c r="W155" s="16">
        <f>IFERROR(__xludf.DUMMYFUNCTION("""COMPUTED_VALUE"""),0.0)</f>
        <v>0</v>
      </c>
      <c r="X155" s="16">
        <f>IFERROR(__xludf.DUMMYFUNCTION("""COMPUTED_VALUE"""),0.0)</f>
        <v>0</v>
      </c>
      <c r="Y155" s="16">
        <f>IFERROR(__xludf.DUMMYFUNCTION("""COMPUTED_VALUE"""),0.0)</f>
        <v>0</v>
      </c>
      <c r="Z155" s="16">
        <f>IFERROR(__xludf.DUMMYFUNCTION("""COMPUTED_VALUE"""),0.0)</f>
        <v>0</v>
      </c>
      <c r="AA155" s="16">
        <f>IFERROR(__xludf.DUMMYFUNCTION("""COMPUTED_VALUE"""),0.0)</f>
        <v>0</v>
      </c>
      <c r="AB155" s="16">
        <f>IFERROR(__xludf.DUMMYFUNCTION("""COMPUTED_VALUE"""),0.0)</f>
        <v>0</v>
      </c>
      <c r="AC155" s="16">
        <f>IFERROR(__xludf.DUMMYFUNCTION("""COMPUTED_VALUE"""),0.0)</f>
        <v>0</v>
      </c>
      <c r="AD155" s="16">
        <f>IFERROR(__xludf.DUMMYFUNCTION("""COMPUTED_VALUE"""),0.0)</f>
        <v>0</v>
      </c>
      <c r="AE155" s="16">
        <f>IFERROR(__xludf.DUMMYFUNCTION("""COMPUTED_VALUE"""),0.0)</f>
        <v>0</v>
      </c>
      <c r="AF155" s="16">
        <f>IFERROR(__xludf.DUMMYFUNCTION("""COMPUTED_VALUE"""),0.0)</f>
        <v>0</v>
      </c>
      <c r="AG155" s="16">
        <f>IFERROR(__xludf.DUMMYFUNCTION("""COMPUTED_VALUE"""),0.0)</f>
        <v>0</v>
      </c>
      <c r="AH155" s="16">
        <f>IFERROR(__xludf.DUMMYFUNCTION("""COMPUTED_VALUE"""),0.0)</f>
        <v>0</v>
      </c>
    </row>
    <row r="156">
      <c r="A156" s="16" t="str">
        <f>IFERROR(__xludf.DUMMYFUNCTION("""COMPUTED_VALUE"""),"8aab13cef66595bf85428c05007cefe16b733ba5")</f>
        <v>8aab13cef66595bf85428c05007cefe16b733ba5</v>
      </c>
      <c r="B156" s="16" t="str">
        <f>IFERROR(__xludf.DUMMYFUNCTION("""COMPUTED_VALUE"""),"Reborn Heartbeat")</f>
        <v>Reborn Heartbeat</v>
      </c>
      <c r="C156" s="16" t="str">
        <f>IFERROR(__xludf.DUMMYFUNCTION("""COMPUTED_VALUE"""),"Romance")</f>
        <v>Romance</v>
      </c>
      <c r="D156" s="16">
        <f>IFERROR(__xludf.DUMMYFUNCTION("""COMPUTED_VALUE"""),198.0)</f>
        <v>198</v>
      </c>
      <c r="E156" s="16">
        <f>IFERROR(__xludf.DUMMYFUNCTION("""COMPUTED_VALUE"""),0.964646464646464)</f>
        <v>0.9646464646</v>
      </c>
      <c r="F156" s="16">
        <f>IFERROR(__xludf.DUMMYFUNCTION("""COMPUTED_VALUE"""),0.55050505050505)</f>
        <v>0.5505050505</v>
      </c>
      <c r="G156" s="16">
        <f>IFERROR(__xludf.DUMMYFUNCTION("""COMPUTED_VALUE"""),0.505050505050505)</f>
        <v>0.5050505051</v>
      </c>
      <c r="H156" s="16">
        <f>IFERROR(__xludf.DUMMYFUNCTION("""COMPUTED_VALUE"""),0.464646464646464)</f>
        <v>0.4646464646</v>
      </c>
      <c r="I156" s="16">
        <f>IFERROR(__xludf.DUMMYFUNCTION("""COMPUTED_VALUE"""),0.459595959595959)</f>
        <v>0.4595959596</v>
      </c>
      <c r="J156" s="16">
        <f>IFERROR(__xludf.DUMMYFUNCTION("""COMPUTED_VALUE"""),0.434343434343434)</f>
        <v>0.4343434343</v>
      </c>
      <c r="K156" s="16">
        <f>IFERROR(__xludf.DUMMYFUNCTION("""COMPUTED_VALUE"""),0.449494949494949)</f>
        <v>0.4494949495</v>
      </c>
      <c r="L156" s="16">
        <f>IFERROR(__xludf.DUMMYFUNCTION("""COMPUTED_VALUE"""),0.429292929292929)</f>
        <v>0.4292929293</v>
      </c>
      <c r="M156" s="16">
        <f>IFERROR(__xludf.DUMMYFUNCTION("""COMPUTED_VALUE"""),0.419191919191919)</f>
        <v>0.4191919192</v>
      </c>
      <c r="N156" s="16">
        <f>IFERROR(__xludf.DUMMYFUNCTION("""COMPUTED_VALUE"""),0.426395939086294)</f>
        <v>0.4263959391</v>
      </c>
      <c r="O156" s="16">
        <f>IFERROR(__xludf.DUMMYFUNCTION("""COMPUTED_VALUE"""),0.40721649484536)</f>
        <v>0.4072164948</v>
      </c>
      <c r="P156" s="16">
        <f>IFERROR(__xludf.DUMMYFUNCTION("""COMPUTED_VALUE"""),0.259067357512953)</f>
        <v>0.2590673575</v>
      </c>
      <c r="Q156" s="16">
        <f>IFERROR(__xludf.DUMMYFUNCTION("""COMPUTED_VALUE"""),0.196891191709844)</f>
        <v>0.1968911917</v>
      </c>
      <c r="R156" s="16">
        <f>IFERROR(__xludf.DUMMYFUNCTION("""COMPUTED_VALUE"""),0.0)</f>
        <v>0</v>
      </c>
      <c r="S156" s="16">
        <f>IFERROR(__xludf.DUMMYFUNCTION("""COMPUTED_VALUE"""),0.0)</f>
        <v>0</v>
      </c>
      <c r="T156" s="16">
        <f>IFERROR(__xludf.DUMMYFUNCTION("""COMPUTED_VALUE"""),0.0)</f>
        <v>0</v>
      </c>
      <c r="U156" s="16">
        <f>IFERROR(__xludf.DUMMYFUNCTION("""COMPUTED_VALUE"""),0.0)</f>
        <v>0</v>
      </c>
      <c r="V156" s="16">
        <f>IFERROR(__xludf.DUMMYFUNCTION("""COMPUTED_VALUE"""),0.0)</f>
        <v>0</v>
      </c>
      <c r="W156" s="16">
        <f>IFERROR(__xludf.DUMMYFUNCTION("""COMPUTED_VALUE"""),0.0)</f>
        <v>0</v>
      </c>
      <c r="X156" s="16">
        <f>IFERROR(__xludf.DUMMYFUNCTION("""COMPUTED_VALUE"""),0.0)</f>
        <v>0</v>
      </c>
      <c r="Y156" s="16">
        <f>IFERROR(__xludf.DUMMYFUNCTION("""COMPUTED_VALUE"""),0.0)</f>
        <v>0</v>
      </c>
      <c r="Z156" s="16">
        <f>IFERROR(__xludf.DUMMYFUNCTION("""COMPUTED_VALUE"""),0.0)</f>
        <v>0</v>
      </c>
      <c r="AA156" s="16">
        <f>IFERROR(__xludf.DUMMYFUNCTION("""COMPUTED_VALUE"""),0.0)</f>
        <v>0</v>
      </c>
      <c r="AB156" s="16">
        <f>IFERROR(__xludf.DUMMYFUNCTION("""COMPUTED_VALUE"""),0.0)</f>
        <v>0</v>
      </c>
      <c r="AC156" s="16">
        <f>IFERROR(__xludf.DUMMYFUNCTION("""COMPUTED_VALUE"""),0.0)</f>
        <v>0</v>
      </c>
      <c r="AD156" s="16">
        <f>IFERROR(__xludf.DUMMYFUNCTION("""COMPUTED_VALUE"""),0.0)</f>
        <v>0</v>
      </c>
      <c r="AE156" s="16">
        <f>IFERROR(__xludf.DUMMYFUNCTION("""COMPUTED_VALUE"""),0.0)</f>
        <v>0</v>
      </c>
      <c r="AF156" s="16">
        <f>IFERROR(__xludf.DUMMYFUNCTION("""COMPUTED_VALUE"""),0.0)</f>
        <v>0</v>
      </c>
      <c r="AG156" s="16">
        <f>IFERROR(__xludf.DUMMYFUNCTION("""COMPUTED_VALUE"""),0.0)</f>
        <v>0</v>
      </c>
      <c r="AH156" s="16">
        <f>IFERROR(__xludf.DUMMYFUNCTION("""COMPUTED_VALUE"""),0.0)</f>
        <v>0</v>
      </c>
    </row>
    <row r="157">
      <c r="A157" s="16" t="str">
        <f>IFERROR(__xludf.DUMMYFUNCTION("""COMPUTED_VALUE"""),"8b0fd7aa03d26e2de1586a0fe7c91505431575cc")</f>
        <v>8b0fd7aa03d26e2de1586a0fe7c91505431575cc</v>
      </c>
      <c r="B157" s="16" t="str">
        <f>IFERROR(__xludf.DUMMYFUNCTION("""COMPUTED_VALUE"""),"The Midnight Luna")</f>
        <v>The Midnight Luna</v>
      </c>
      <c r="C157" s="16" t="str">
        <f>IFERROR(__xludf.DUMMYFUNCTION("""COMPUTED_VALUE"""),"Romantasy")</f>
        <v>Romantasy</v>
      </c>
      <c r="D157" s="16">
        <f>IFERROR(__xludf.DUMMYFUNCTION("""COMPUTED_VALUE"""),110.0)</f>
        <v>110</v>
      </c>
      <c r="E157" s="16">
        <f>IFERROR(__xludf.DUMMYFUNCTION("""COMPUTED_VALUE"""),0.963636363636363)</f>
        <v>0.9636363636</v>
      </c>
      <c r="F157" s="16">
        <f>IFERROR(__xludf.DUMMYFUNCTION("""COMPUTED_VALUE"""),0.563636363636363)</f>
        <v>0.5636363636</v>
      </c>
      <c r="G157" s="16">
        <f>IFERROR(__xludf.DUMMYFUNCTION("""COMPUTED_VALUE"""),0.481818181818181)</f>
        <v>0.4818181818</v>
      </c>
      <c r="H157" s="16">
        <f>IFERROR(__xludf.DUMMYFUNCTION("""COMPUTED_VALUE"""),0.454545454545454)</f>
        <v>0.4545454545</v>
      </c>
      <c r="I157" s="16">
        <f>IFERROR(__xludf.DUMMYFUNCTION("""COMPUTED_VALUE"""),0.418181818181818)</f>
        <v>0.4181818182</v>
      </c>
      <c r="J157" s="16">
        <f>IFERROR(__xludf.DUMMYFUNCTION("""COMPUTED_VALUE"""),0.4)</f>
        <v>0.4</v>
      </c>
      <c r="K157" s="16">
        <f>IFERROR(__xludf.DUMMYFUNCTION("""COMPUTED_VALUE"""),0.4)</f>
        <v>0.4</v>
      </c>
      <c r="L157" s="16">
        <f>IFERROR(__xludf.DUMMYFUNCTION("""COMPUTED_VALUE"""),0.372727272727272)</f>
        <v>0.3727272727</v>
      </c>
      <c r="M157" s="16">
        <f>IFERROR(__xludf.DUMMYFUNCTION("""COMPUTED_VALUE"""),0.354545454545454)</f>
        <v>0.3545454545</v>
      </c>
      <c r="N157" s="16">
        <f>IFERROR(__xludf.DUMMYFUNCTION("""COMPUTED_VALUE"""),0.327272727272727)</f>
        <v>0.3272727273</v>
      </c>
      <c r="O157" s="16">
        <f>IFERROR(__xludf.DUMMYFUNCTION("""COMPUTED_VALUE"""),0.298507462686567)</f>
        <v>0.2985074627</v>
      </c>
      <c r="P157" s="16">
        <f>IFERROR(__xludf.DUMMYFUNCTION("""COMPUTED_VALUE"""),0.0)</f>
        <v>0</v>
      </c>
      <c r="Q157" s="16">
        <f>IFERROR(__xludf.DUMMYFUNCTION("""COMPUTED_VALUE"""),0.0)</f>
        <v>0</v>
      </c>
      <c r="R157" s="16">
        <f>IFERROR(__xludf.DUMMYFUNCTION("""COMPUTED_VALUE"""),0.0)</f>
        <v>0</v>
      </c>
      <c r="S157" s="16">
        <f>IFERROR(__xludf.DUMMYFUNCTION("""COMPUTED_VALUE"""),0.0)</f>
        <v>0</v>
      </c>
      <c r="T157" s="16">
        <f>IFERROR(__xludf.DUMMYFUNCTION("""COMPUTED_VALUE"""),0.0)</f>
        <v>0</v>
      </c>
      <c r="U157" s="16">
        <f>IFERROR(__xludf.DUMMYFUNCTION("""COMPUTED_VALUE"""),0.0)</f>
        <v>0</v>
      </c>
      <c r="V157" s="16">
        <f>IFERROR(__xludf.DUMMYFUNCTION("""COMPUTED_VALUE"""),0.0)</f>
        <v>0</v>
      </c>
      <c r="W157" s="16">
        <f>IFERROR(__xludf.DUMMYFUNCTION("""COMPUTED_VALUE"""),0.0)</f>
        <v>0</v>
      </c>
      <c r="X157" s="16">
        <f>IFERROR(__xludf.DUMMYFUNCTION("""COMPUTED_VALUE"""),0.0)</f>
        <v>0</v>
      </c>
      <c r="Y157" s="16">
        <f>IFERROR(__xludf.DUMMYFUNCTION("""COMPUTED_VALUE"""),0.0)</f>
        <v>0</v>
      </c>
      <c r="Z157" s="16">
        <f>IFERROR(__xludf.DUMMYFUNCTION("""COMPUTED_VALUE"""),0.0)</f>
        <v>0</v>
      </c>
      <c r="AA157" s="16">
        <f>IFERROR(__xludf.DUMMYFUNCTION("""COMPUTED_VALUE"""),0.0)</f>
        <v>0</v>
      </c>
      <c r="AB157" s="16">
        <f>IFERROR(__xludf.DUMMYFUNCTION("""COMPUTED_VALUE"""),0.0)</f>
        <v>0</v>
      </c>
      <c r="AC157" s="16">
        <f>IFERROR(__xludf.DUMMYFUNCTION("""COMPUTED_VALUE"""),0.0)</f>
        <v>0</v>
      </c>
      <c r="AD157" s="16">
        <f>IFERROR(__xludf.DUMMYFUNCTION("""COMPUTED_VALUE"""),0.0)</f>
        <v>0</v>
      </c>
      <c r="AE157" s="16">
        <f>IFERROR(__xludf.DUMMYFUNCTION("""COMPUTED_VALUE"""),0.0)</f>
        <v>0</v>
      </c>
      <c r="AF157" s="16">
        <f>IFERROR(__xludf.DUMMYFUNCTION("""COMPUTED_VALUE"""),0.0)</f>
        <v>0</v>
      </c>
      <c r="AG157" s="16">
        <f>IFERROR(__xludf.DUMMYFUNCTION("""COMPUTED_VALUE"""),0.0)</f>
        <v>0</v>
      </c>
      <c r="AH157" s="16">
        <f>IFERROR(__xludf.DUMMYFUNCTION("""COMPUTED_VALUE"""),0.0)</f>
        <v>0</v>
      </c>
    </row>
    <row r="158">
      <c r="A158" s="16" t="str">
        <f>IFERROR(__xludf.DUMMYFUNCTION("""COMPUTED_VALUE"""),"8bba1c491698de2d4d33abe2f115e5d666e141b2")</f>
        <v>8bba1c491698de2d4d33abe2f115e5d666e141b2</v>
      </c>
      <c r="B158" s="16" t="str">
        <f>IFERROR(__xludf.DUMMYFUNCTION("""COMPUTED_VALUE"""),"Until He Remembers Me")</f>
        <v>Until He Remembers Me</v>
      </c>
      <c r="C158" s="16" t="str">
        <f>IFERROR(__xludf.DUMMYFUNCTION("""COMPUTED_VALUE"""),"Romance")</f>
        <v>Romance</v>
      </c>
      <c r="D158" s="16">
        <f>IFERROR(__xludf.DUMMYFUNCTION("""COMPUTED_VALUE"""),11.0)</f>
        <v>11</v>
      </c>
      <c r="E158" s="16">
        <f>IFERROR(__xludf.DUMMYFUNCTION("""COMPUTED_VALUE"""),1.0)</f>
        <v>1</v>
      </c>
      <c r="F158" s="16">
        <f>IFERROR(__xludf.DUMMYFUNCTION("""COMPUTED_VALUE"""),0.545454545454545)</f>
        <v>0.5454545455</v>
      </c>
      <c r="G158" s="16">
        <f>IFERROR(__xludf.DUMMYFUNCTION("""COMPUTED_VALUE"""),0.545454545454545)</f>
        <v>0.5454545455</v>
      </c>
      <c r="H158" s="16">
        <f>IFERROR(__xludf.DUMMYFUNCTION("""COMPUTED_VALUE"""),0.545454545454545)</f>
        <v>0.5454545455</v>
      </c>
      <c r="I158" s="16">
        <f>IFERROR(__xludf.DUMMYFUNCTION("""COMPUTED_VALUE"""),0.545454545454545)</f>
        <v>0.5454545455</v>
      </c>
      <c r="J158" s="16">
        <f>IFERROR(__xludf.DUMMYFUNCTION("""COMPUTED_VALUE"""),0.5)</f>
        <v>0.5</v>
      </c>
      <c r="K158" s="16">
        <f>IFERROR(__xludf.DUMMYFUNCTION("""COMPUTED_VALUE"""),0.5)</f>
        <v>0.5</v>
      </c>
      <c r="L158" s="16">
        <f>IFERROR(__xludf.DUMMYFUNCTION("""COMPUTED_VALUE"""),0.5)</f>
        <v>0.5</v>
      </c>
      <c r="M158" s="16">
        <f>IFERROR(__xludf.DUMMYFUNCTION("""COMPUTED_VALUE"""),0.5)</f>
        <v>0.5</v>
      </c>
      <c r="N158" s="16">
        <f>IFERROR(__xludf.DUMMYFUNCTION("""COMPUTED_VALUE"""),0.5)</f>
        <v>0.5</v>
      </c>
      <c r="O158" s="16">
        <f>IFERROR(__xludf.DUMMYFUNCTION("""COMPUTED_VALUE"""),0.428571428571428)</f>
        <v>0.4285714286</v>
      </c>
      <c r="P158" s="16">
        <f>IFERROR(__xludf.DUMMYFUNCTION("""COMPUTED_VALUE"""),0.333333333333333)</f>
        <v>0.3333333333</v>
      </c>
      <c r="Q158" s="16">
        <f>IFERROR(__xludf.DUMMYFUNCTION("""COMPUTED_VALUE"""),0.0)</f>
        <v>0</v>
      </c>
      <c r="R158" s="16">
        <f>IFERROR(__xludf.DUMMYFUNCTION("""COMPUTED_VALUE"""),0.0)</f>
        <v>0</v>
      </c>
      <c r="S158" s="16">
        <f>IFERROR(__xludf.DUMMYFUNCTION("""COMPUTED_VALUE"""),0.0)</f>
        <v>0</v>
      </c>
      <c r="T158" s="16">
        <f>IFERROR(__xludf.DUMMYFUNCTION("""COMPUTED_VALUE"""),0.0)</f>
        <v>0</v>
      </c>
      <c r="U158" s="16">
        <f>IFERROR(__xludf.DUMMYFUNCTION("""COMPUTED_VALUE"""),0.0)</f>
        <v>0</v>
      </c>
      <c r="V158" s="16">
        <f>IFERROR(__xludf.DUMMYFUNCTION("""COMPUTED_VALUE"""),0.0)</f>
        <v>0</v>
      </c>
      <c r="W158" s="16">
        <f>IFERROR(__xludf.DUMMYFUNCTION("""COMPUTED_VALUE"""),0.0)</f>
        <v>0</v>
      </c>
      <c r="X158" s="16">
        <f>IFERROR(__xludf.DUMMYFUNCTION("""COMPUTED_VALUE"""),0.0)</f>
        <v>0</v>
      </c>
      <c r="Y158" s="16">
        <f>IFERROR(__xludf.DUMMYFUNCTION("""COMPUTED_VALUE"""),0.0)</f>
        <v>0</v>
      </c>
      <c r="Z158" s="16">
        <f>IFERROR(__xludf.DUMMYFUNCTION("""COMPUTED_VALUE"""),0.0)</f>
        <v>0</v>
      </c>
      <c r="AA158" s="16">
        <f>IFERROR(__xludf.DUMMYFUNCTION("""COMPUTED_VALUE"""),0.0)</f>
        <v>0</v>
      </c>
      <c r="AB158" s="16">
        <f>IFERROR(__xludf.DUMMYFUNCTION("""COMPUTED_VALUE"""),0.0)</f>
        <v>0</v>
      </c>
      <c r="AC158" s="16">
        <f>IFERROR(__xludf.DUMMYFUNCTION("""COMPUTED_VALUE"""),0.0)</f>
        <v>0</v>
      </c>
      <c r="AD158" s="16">
        <f>IFERROR(__xludf.DUMMYFUNCTION("""COMPUTED_VALUE"""),0.0)</f>
        <v>0</v>
      </c>
      <c r="AE158" s="16">
        <f>IFERROR(__xludf.DUMMYFUNCTION("""COMPUTED_VALUE"""),0.0)</f>
        <v>0</v>
      </c>
      <c r="AF158" s="16">
        <f>IFERROR(__xludf.DUMMYFUNCTION("""COMPUTED_VALUE"""),0.0)</f>
        <v>0</v>
      </c>
      <c r="AG158" s="16">
        <f>IFERROR(__xludf.DUMMYFUNCTION("""COMPUTED_VALUE"""),0.0)</f>
        <v>0</v>
      </c>
      <c r="AH158" s="16">
        <f>IFERROR(__xludf.DUMMYFUNCTION("""COMPUTED_VALUE"""),0.0)</f>
        <v>0</v>
      </c>
    </row>
    <row r="159">
      <c r="A159" s="16" t="str">
        <f>IFERROR(__xludf.DUMMYFUNCTION("""COMPUTED_VALUE"""),"8bcd1b852cfa9d73ac3583317066946ad2b0abf7")</f>
        <v>8bcd1b852cfa9d73ac3583317066946ad2b0abf7</v>
      </c>
      <c r="B159" s="16" t="str">
        <f>IFERROR(__xludf.DUMMYFUNCTION("""COMPUTED_VALUE"""),"Heir to Draconic Dominion")</f>
        <v>Heir to Draconic Dominion</v>
      </c>
      <c r="C159" s="16" t="str">
        <f>IFERROR(__xludf.DUMMYFUNCTION("""COMPUTED_VALUE"""),"Fantasy")</f>
        <v>Fantasy</v>
      </c>
      <c r="D159" s="16">
        <f>IFERROR(__xludf.DUMMYFUNCTION("""COMPUTED_VALUE"""),771.0)</f>
        <v>771</v>
      </c>
      <c r="E159" s="16">
        <f>IFERROR(__xludf.DUMMYFUNCTION("""COMPUTED_VALUE"""),0.975356679636835)</f>
        <v>0.9753566796</v>
      </c>
      <c r="F159" s="16">
        <f>IFERROR(__xludf.DUMMYFUNCTION("""COMPUTED_VALUE"""),0.652795838751625)</f>
        <v>0.6527958388</v>
      </c>
      <c r="G159" s="16">
        <f>IFERROR(__xludf.DUMMYFUNCTION("""COMPUTED_VALUE"""),0.608582574772431)</f>
        <v>0.6085825748</v>
      </c>
      <c r="H159" s="16">
        <f>IFERROR(__xludf.DUMMYFUNCTION("""COMPUTED_VALUE"""),0.583875162548764)</f>
        <v>0.5838751625</v>
      </c>
      <c r="I159" s="16">
        <f>IFERROR(__xludf.DUMMYFUNCTION("""COMPUTED_VALUE"""),0.561768530559167)</f>
        <v>0.5617685306</v>
      </c>
      <c r="J159" s="16">
        <f>IFERROR(__xludf.DUMMYFUNCTION("""COMPUTED_VALUE"""),0.549608355091383)</f>
        <v>0.5496083551</v>
      </c>
      <c r="K159" s="16">
        <f>IFERROR(__xludf.DUMMYFUNCTION("""COMPUTED_VALUE"""),0.535340314136125)</f>
        <v>0.5353403141</v>
      </c>
      <c r="L159" s="16">
        <f>IFERROR(__xludf.DUMMYFUNCTION("""COMPUTED_VALUE"""),0.517786561264822)</f>
        <v>0.5177865613</v>
      </c>
      <c r="M159" s="16">
        <f>IFERROR(__xludf.DUMMYFUNCTION("""COMPUTED_VALUE"""),0.500662251655629)</f>
        <v>0.5006622517</v>
      </c>
      <c r="N159" s="16">
        <f>IFERROR(__xludf.DUMMYFUNCTION("""COMPUTED_VALUE"""),0.490013315579227)</f>
        <v>0.4900133156</v>
      </c>
      <c r="O159" s="16">
        <f>IFERROR(__xludf.DUMMYFUNCTION("""COMPUTED_VALUE"""),0.456521739130434)</f>
        <v>0.4565217391</v>
      </c>
      <c r="P159" s="16">
        <f>IFERROR(__xludf.DUMMYFUNCTION("""COMPUTED_VALUE"""),0.376237623762376)</f>
        <v>0.3762376238</v>
      </c>
      <c r="Q159" s="16">
        <f>IFERROR(__xludf.DUMMYFUNCTION("""COMPUTED_VALUE"""),0.227586206896551)</f>
        <v>0.2275862069</v>
      </c>
      <c r="R159" s="16">
        <f>IFERROR(__xludf.DUMMYFUNCTION("""COMPUTED_VALUE"""),0.225)</f>
        <v>0.225</v>
      </c>
      <c r="S159" s="16">
        <f>IFERROR(__xludf.DUMMYFUNCTION("""COMPUTED_VALUE"""),0.0)</f>
        <v>0</v>
      </c>
      <c r="T159" s="16">
        <f>IFERROR(__xludf.DUMMYFUNCTION("""COMPUTED_VALUE"""),0.0)</f>
        <v>0</v>
      </c>
      <c r="U159" s="16">
        <f>IFERROR(__xludf.DUMMYFUNCTION("""COMPUTED_VALUE"""),0.0)</f>
        <v>0</v>
      </c>
      <c r="V159" s="16">
        <f>IFERROR(__xludf.DUMMYFUNCTION("""COMPUTED_VALUE"""),0.0)</f>
        <v>0</v>
      </c>
      <c r="W159" s="16">
        <f>IFERROR(__xludf.DUMMYFUNCTION("""COMPUTED_VALUE"""),0.0)</f>
        <v>0</v>
      </c>
      <c r="X159" s="16">
        <f>IFERROR(__xludf.DUMMYFUNCTION("""COMPUTED_VALUE"""),0.0)</f>
        <v>0</v>
      </c>
      <c r="Y159" s="16">
        <f>IFERROR(__xludf.DUMMYFUNCTION("""COMPUTED_VALUE"""),0.0)</f>
        <v>0</v>
      </c>
      <c r="Z159" s="16">
        <f>IFERROR(__xludf.DUMMYFUNCTION("""COMPUTED_VALUE"""),0.0)</f>
        <v>0</v>
      </c>
      <c r="AA159" s="16">
        <f>IFERROR(__xludf.DUMMYFUNCTION("""COMPUTED_VALUE"""),0.0)</f>
        <v>0</v>
      </c>
      <c r="AB159" s="16">
        <f>IFERROR(__xludf.DUMMYFUNCTION("""COMPUTED_VALUE"""),0.0)</f>
        <v>0</v>
      </c>
      <c r="AC159" s="16">
        <f>IFERROR(__xludf.DUMMYFUNCTION("""COMPUTED_VALUE"""),0.0)</f>
        <v>0</v>
      </c>
      <c r="AD159" s="16">
        <f>IFERROR(__xludf.DUMMYFUNCTION("""COMPUTED_VALUE"""),0.0)</f>
        <v>0</v>
      </c>
      <c r="AE159" s="16">
        <f>IFERROR(__xludf.DUMMYFUNCTION("""COMPUTED_VALUE"""),0.0)</f>
        <v>0</v>
      </c>
      <c r="AF159" s="16">
        <f>IFERROR(__xludf.DUMMYFUNCTION("""COMPUTED_VALUE"""),0.0)</f>
        <v>0</v>
      </c>
      <c r="AG159" s="16">
        <f>IFERROR(__xludf.DUMMYFUNCTION("""COMPUTED_VALUE"""),0.0)</f>
        <v>0</v>
      </c>
      <c r="AH159" s="16">
        <f>IFERROR(__xludf.DUMMYFUNCTION("""COMPUTED_VALUE"""),0.0)</f>
        <v>0</v>
      </c>
    </row>
    <row r="160">
      <c r="A160" s="16" t="str">
        <f>IFERROR(__xludf.DUMMYFUNCTION("""COMPUTED_VALUE"""),"8e36a60de34dcee5a96156507eb902741b36cc77")</f>
        <v>8e36a60de34dcee5a96156507eb902741b36cc77</v>
      </c>
      <c r="B160" s="16" t="str">
        <f>IFERROR(__xludf.DUMMYFUNCTION("""COMPUTED_VALUE"""),"It's Crystal")</f>
        <v>It's Crystal</v>
      </c>
      <c r="C160" s="16" t="str">
        <f>IFERROR(__xludf.DUMMYFUNCTION("""COMPUTED_VALUE"""),"Romance")</f>
        <v>Romance</v>
      </c>
      <c r="D160" s="16">
        <f>IFERROR(__xludf.DUMMYFUNCTION("""COMPUTED_VALUE"""),46.0)</f>
        <v>46</v>
      </c>
      <c r="E160" s="16">
        <f>IFERROR(__xludf.DUMMYFUNCTION("""COMPUTED_VALUE"""),0.934782608695652)</f>
        <v>0.9347826087</v>
      </c>
      <c r="F160" s="16">
        <f>IFERROR(__xludf.DUMMYFUNCTION("""COMPUTED_VALUE"""),0.630434782608695)</f>
        <v>0.6304347826</v>
      </c>
      <c r="G160" s="16">
        <f>IFERROR(__xludf.DUMMYFUNCTION("""COMPUTED_VALUE"""),0.543478260869565)</f>
        <v>0.5434782609</v>
      </c>
      <c r="H160" s="16">
        <f>IFERROR(__xludf.DUMMYFUNCTION("""COMPUTED_VALUE"""),0.521739130434782)</f>
        <v>0.5217391304</v>
      </c>
      <c r="I160" s="16">
        <f>IFERROR(__xludf.DUMMYFUNCTION("""COMPUTED_VALUE"""),0.543478260869565)</f>
        <v>0.5434782609</v>
      </c>
      <c r="J160" s="16">
        <f>IFERROR(__xludf.DUMMYFUNCTION("""COMPUTED_VALUE"""),0.521739130434782)</f>
        <v>0.5217391304</v>
      </c>
      <c r="K160" s="16">
        <f>IFERROR(__xludf.DUMMYFUNCTION("""COMPUTED_VALUE"""),0.478260869565217)</f>
        <v>0.4782608696</v>
      </c>
      <c r="L160" s="16">
        <f>IFERROR(__xludf.DUMMYFUNCTION("""COMPUTED_VALUE"""),0.391304347826087)</f>
        <v>0.3913043478</v>
      </c>
      <c r="M160" s="16">
        <f>IFERROR(__xludf.DUMMYFUNCTION("""COMPUTED_VALUE"""),0.347826086956521)</f>
        <v>0.347826087</v>
      </c>
      <c r="N160" s="16">
        <f>IFERROR(__xludf.DUMMYFUNCTION("""COMPUTED_VALUE"""),0.304347826086956)</f>
        <v>0.3043478261</v>
      </c>
      <c r="O160" s="16">
        <f>IFERROR(__xludf.DUMMYFUNCTION("""COMPUTED_VALUE"""),0.304347826086956)</f>
        <v>0.3043478261</v>
      </c>
      <c r="P160" s="16">
        <f>IFERROR(__xludf.DUMMYFUNCTION("""COMPUTED_VALUE"""),0.260869565217391)</f>
        <v>0.2608695652</v>
      </c>
      <c r="Q160" s="16">
        <f>IFERROR(__xludf.DUMMYFUNCTION("""COMPUTED_VALUE"""),0.0952380952380952)</f>
        <v>0.09523809524</v>
      </c>
      <c r="R160" s="16">
        <f>IFERROR(__xludf.DUMMYFUNCTION("""COMPUTED_VALUE"""),0.0666666666666666)</f>
        <v>0.06666666667</v>
      </c>
      <c r="S160" s="16">
        <f>IFERROR(__xludf.DUMMYFUNCTION("""COMPUTED_VALUE"""),0.0)</f>
        <v>0</v>
      </c>
      <c r="T160" s="16">
        <f>IFERROR(__xludf.DUMMYFUNCTION("""COMPUTED_VALUE"""),0.0)</f>
        <v>0</v>
      </c>
      <c r="U160" s="16">
        <f>IFERROR(__xludf.DUMMYFUNCTION("""COMPUTED_VALUE"""),0.0)</f>
        <v>0</v>
      </c>
      <c r="V160" s="16">
        <f>IFERROR(__xludf.DUMMYFUNCTION("""COMPUTED_VALUE"""),0.0)</f>
        <v>0</v>
      </c>
      <c r="W160" s="16">
        <f>IFERROR(__xludf.DUMMYFUNCTION("""COMPUTED_VALUE"""),0.0)</f>
        <v>0</v>
      </c>
      <c r="X160" s="16">
        <f>IFERROR(__xludf.DUMMYFUNCTION("""COMPUTED_VALUE"""),0.0)</f>
        <v>0</v>
      </c>
      <c r="Y160" s="16">
        <f>IFERROR(__xludf.DUMMYFUNCTION("""COMPUTED_VALUE"""),0.0)</f>
        <v>0</v>
      </c>
      <c r="Z160" s="16">
        <f>IFERROR(__xludf.DUMMYFUNCTION("""COMPUTED_VALUE"""),0.0)</f>
        <v>0</v>
      </c>
      <c r="AA160" s="16">
        <f>IFERROR(__xludf.DUMMYFUNCTION("""COMPUTED_VALUE"""),0.0)</f>
        <v>0</v>
      </c>
      <c r="AB160" s="16">
        <f>IFERROR(__xludf.DUMMYFUNCTION("""COMPUTED_VALUE"""),0.0)</f>
        <v>0</v>
      </c>
      <c r="AC160" s="16">
        <f>IFERROR(__xludf.DUMMYFUNCTION("""COMPUTED_VALUE"""),0.0)</f>
        <v>0</v>
      </c>
      <c r="AD160" s="16">
        <f>IFERROR(__xludf.DUMMYFUNCTION("""COMPUTED_VALUE"""),0.0)</f>
        <v>0</v>
      </c>
      <c r="AE160" s="16">
        <f>IFERROR(__xludf.DUMMYFUNCTION("""COMPUTED_VALUE"""),0.0)</f>
        <v>0</v>
      </c>
      <c r="AF160" s="16">
        <f>IFERROR(__xludf.DUMMYFUNCTION("""COMPUTED_VALUE"""),0.0)</f>
        <v>0</v>
      </c>
      <c r="AG160" s="16">
        <f>IFERROR(__xludf.DUMMYFUNCTION("""COMPUTED_VALUE"""),0.0)</f>
        <v>0</v>
      </c>
      <c r="AH160" s="16">
        <f>IFERROR(__xludf.DUMMYFUNCTION("""COMPUTED_VALUE"""),0.0)</f>
        <v>0</v>
      </c>
    </row>
    <row r="161">
      <c r="A161" s="16" t="str">
        <f>IFERROR(__xludf.DUMMYFUNCTION("""COMPUTED_VALUE"""),"8e3c4698dede52f8548d10d283645c3e3f83c04a")</f>
        <v>8e3c4698dede52f8548d10d283645c3e3f83c04a</v>
      </c>
      <c r="B161" s="16" t="str">
        <f>IFERROR(__xludf.DUMMYFUNCTION("""COMPUTED_VALUE"""),"The Celestial God’s Heir")</f>
        <v>The Celestial God’s Heir</v>
      </c>
      <c r="C161" s="16" t="str">
        <f>IFERROR(__xludf.DUMMYFUNCTION("""COMPUTED_VALUE"""),"Fantasy")</f>
        <v>Fantasy</v>
      </c>
      <c r="D161" s="16">
        <f>IFERROR(__xludf.DUMMYFUNCTION("""COMPUTED_VALUE"""),502.0)</f>
        <v>502</v>
      </c>
      <c r="E161" s="16">
        <f>IFERROR(__xludf.DUMMYFUNCTION("""COMPUTED_VALUE"""),0.98804780876494)</f>
        <v>0.9880478088</v>
      </c>
      <c r="F161" s="16">
        <f>IFERROR(__xludf.DUMMYFUNCTION("""COMPUTED_VALUE"""),0.593625498007968)</f>
        <v>0.593625498</v>
      </c>
      <c r="G161" s="16">
        <f>IFERROR(__xludf.DUMMYFUNCTION("""COMPUTED_VALUE"""),0.509960159362549)</f>
        <v>0.5099601594</v>
      </c>
      <c r="H161" s="16">
        <f>IFERROR(__xludf.DUMMYFUNCTION("""COMPUTED_VALUE"""),0.4601593625498)</f>
        <v>0.4601593625</v>
      </c>
      <c r="I161" s="16">
        <f>IFERROR(__xludf.DUMMYFUNCTION("""COMPUTED_VALUE"""),0.428286852589641)</f>
        <v>0.4282868526</v>
      </c>
      <c r="J161" s="16">
        <f>IFERROR(__xludf.DUMMYFUNCTION("""COMPUTED_VALUE"""),0.396414342629482)</f>
        <v>0.3964143426</v>
      </c>
      <c r="K161" s="16">
        <f>IFERROR(__xludf.DUMMYFUNCTION("""COMPUTED_VALUE"""),0.384462151394422)</f>
        <v>0.3844621514</v>
      </c>
      <c r="L161" s="16">
        <f>IFERROR(__xludf.DUMMYFUNCTION("""COMPUTED_VALUE"""),0.348605577689243)</f>
        <v>0.3486055777</v>
      </c>
      <c r="M161" s="16">
        <f>IFERROR(__xludf.DUMMYFUNCTION("""COMPUTED_VALUE"""),0.342629482071713)</f>
        <v>0.3426294821</v>
      </c>
      <c r="N161" s="16">
        <f>IFERROR(__xludf.DUMMYFUNCTION("""COMPUTED_VALUE"""),0.321931589537223)</f>
        <v>0.3219315895</v>
      </c>
      <c r="O161" s="16">
        <f>IFERROR(__xludf.DUMMYFUNCTION("""COMPUTED_VALUE"""),0.275210084033613)</f>
        <v>0.275210084</v>
      </c>
      <c r="P161" s="16">
        <f>IFERROR(__xludf.DUMMYFUNCTION("""COMPUTED_VALUE"""),0.0)</f>
        <v>0</v>
      </c>
      <c r="Q161" s="16">
        <f>IFERROR(__xludf.DUMMYFUNCTION("""COMPUTED_VALUE"""),0.0)</f>
        <v>0</v>
      </c>
      <c r="R161" s="16">
        <f>IFERROR(__xludf.DUMMYFUNCTION("""COMPUTED_VALUE"""),0.0)</f>
        <v>0</v>
      </c>
      <c r="S161" s="16">
        <f>IFERROR(__xludf.DUMMYFUNCTION("""COMPUTED_VALUE"""),0.0)</f>
        <v>0</v>
      </c>
      <c r="T161" s="16">
        <f>IFERROR(__xludf.DUMMYFUNCTION("""COMPUTED_VALUE"""),0.0)</f>
        <v>0</v>
      </c>
      <c r="U161" s="16">
        <f>IFERROR(__xludf.DUMMYFUNCTION("""COMPUTED_VALUE"""),0.0)</f>
        <v>0</v>
      </c>
      <c r="V161" s="16">
        <f>IFERROR(__xludf.DUMMYFUNCTION("""COMPUTED_VALUE"""),0.0)</f>
        <v>0</v>
      </c>
      <c r="W161" s="16">
        <f>IFERROR(__xludf.DUMMYFUNCTION("""COMPUTED_VALUE"""),0.0)</f>
        <v>0</v>
      </c>
      <c r="X161" s="16">
        <f>IFERROR(__xludf.DUMMYFUNCTION("""COMPUTED_VALUE"""),0.0)</f>
        <v>0</v>
      </c>
      <c r="Y161" s="16">
        <f>IFERROR(__xludf.DUMMYFUNCTION("""COMPUTED_VALUE"""),0.0)</f>
        <v>0</v>
      </c>
      <c r="Z161" s="16">
        <f>IFERROR(__xludf.DUMMYFUNCTION("""COMPUTED_VALUE"""),0.0)</f>
        <v>0</v>
      </c>
      <c r="AA161" s="16">
        <f>IFERROR(__xludf.DUMMYFUNCTION("""COMPUTED_VALUE"""),0.0)</f>
        <v>0</v>
      </c>
      <c r="AB161" s="16">
        <f>IFERROR(__xludf.DUMMYFUNCTION("""COMPUTED_VALUE"""),0.0)</f>
        <v>0</v>
      </c>
      <c r="AC161" s="16">
        <f>IFERROR(__xludf.DUMMYFUNCTION("""COMPUTED_VALUE"""),0.0)</f>
        <v>0</v>
      </c>
      <c r="AD161" s="16">
        <f>IFERROR(__xludf.DUMMYFUNCTION("""COMPUTED_VALUE"""),0.0)</f>
        <v>0</v>
      </c>
      <c r="AE161" s="16">
        <f>IFERROR(__xludf.DUMMYFUNCTION("""COMPUTED_VALUE"""),0.0)</f>
        <v>0</v>
      </c>
      <c r="AF161" s="16">
        <f>IFERROR(__xludf.DUMMYFUNCTION("""COMPUTED_VALUE"""),0.0)</f>
        <v>0</v>
      </c>
      <c r="AG161" s="16">
        <f>IFERROR(__xludf.DUMMYFUNCTION("""COMPUTED_VALUE"""),0.0)</f>
        <v>0</v>
      </c>
      <c r="AH161" s="16">
        <f>IFERROR(__xludf.DUMMYFUNCTION("""COMPUTED_VALUE"""),0.0)</f>
        <v>0</v>
      </c>
    </row>
    <row r="162">
      <c r="A162" s="16" t="str">
        <f>IFERROR(__xludf.DUMMYFUNCTION("""COMPUTED_VALUE"""),"8f0fa62650413483426bef0ac7d66ca7627ab11f")</f>
        <v>8f0fa62650413483426bef0ac7d66ca7627ab11f</v>
      </c>
      <c r="B162" s="16" t="str">
        <f>IFERROR(__xludf.DUMMYFUNCTION("""COMPUTED_VALUE"""),"The Mind Reader: A Son-in-Law’s Revenge")</f>
        <v>The Mind Reader: A Son-in-Law’s Revenge</v>
      </c>
      <c r="C162" s="16" t="str">
        <f>IFERROR(__xludf.DUMMYFUNCTION("""COMPUTED_VALUE"""),"Drama")</f>
        <v>Drama</v>
      </c>
      <c r="D162" s="16">
        <f>IFERROR(__xludf.DUMMYFUNCTION("""COMPUTED_VALUE"""),413.0)</f>
        <v>413</v>
      </c>
      <c r="E162" s="16">
        <f>IFERROR(__xludf.DUMMYFUNCTION("""COMPUTED_VALUE"""),0.9636803874092)</f>
        <v>0.9636803874</v>
      </c>
      <c r="F162" s="16">
        <f>IFERROR(__xludf.DUMMYFUNCTION("""COMPUTED_VALUE"""),0.723970944309927)</f>
        <v>0.7239709443</v>
      </c>
      <c r="G162" s="16">
        <f>IFERROR(__xludf.DUMMYFUNCTION("""COMPUTED_VALUE"""),0.60048426150121)</f>
        <v>0.6004842615</v>
      </c>
      <c r="H162" s="16">
        <f>IFERROR(__xludf.DUMMYFUNCTION("""COMPUTED_VALUE"""),0.530266343825665)</f>
        <v>0.5302663438</v>
      </c>
      <c r="I162" s="16">
        <f>IFERROR(__xludf.DUMMYFUNCTION("""COMPUTED_VALUE"""),0.447941888619854)</f>
        <v>0.4479418886</v>
      </c>
      <c r="J162" s="16">
        <f>IFERROR(__xludf.DUMMYFUNCTION("""COMPUTED_VALUE"""),0.422343324250681)</f>
        <v>0.4223433243</v>
      </c>
      <c r="K162" s="16">
        <f>IFERROR(__xludf.DUMMYFUNCTION("""COMPUTED_VALUE"""),0.405405405405405)</f>
        <v>0.4054054054</v>
      </c>
      <c r="L162" s="16">
        <f>IFERROR(__xludf.DUMMYFUNCTION("""COMPUTED_VALUE"""),0.417322834645669)</f>
        <v>0.4173228346</v>
      </c>
      <c r="M162" s="16">
        <f>IFERROR(__xludf.DUMMYFUNCTION("""COMPUTED_VALUE"""),0.434782608695652)</f>
        <v>0.4347826087</v>
      </c>
      <c r="N162" s="16">
        <f>IFERROR(__xludf.DUMMYFUNCTION("""COMPUTED_VALUE"""),0.439024390243902)</f>
        <v>0.4390243902</v>
      </c>
      <c r="O162" s="16">
        <f>IFERROR(__xludf.DUMMYFUNCTION("""COMPUTED_VALUE"""),0.380487804878048)</f>
        <v>0.3804878049</v>
      </c>
      <c r="P162" s="16">
        <f>IFERROR(__xludf.DUMMYFUNCTION("""COMPUTED_VALUE"""),0.274509803921568)</f>
        <v>0.2745098039</v>
      </c>
      <c r="Q162" s="16">
        <f>IFERROR(__xludf.DUMMYFUNCTION("""COMPUTED_VALUE"""),0.0931372549019607)</f>
        <v>0.0931372549</v>
      </c>
      <c r="R162" s="16">
        <f>IFERROR(__xludf.DUMMYFUNCTION("""COMPUTED_VALUE"""),0.0392156862745098)</f>
        <v>0.03921568627</v>
      </c>
      <c r="S162" s="16">
        <f>IFERROR(__xludf.DUMMYFUNCTION("""COMPUTED_VALUE"""),0.0)</f>
        <v>0</v>
      </c>
      <c r="T162" s="16">
        <f>IFERROR(__xludf.DUMMYFUNCTION("""COMPUTED_VALUE"""),0.0)</f>
        <v>0</v>
      </c>
      <c r="U162" s="16">
        <f>IFERROR(__xludf.DUMMYFUNCTION("""COMPUTED_VALUE"""),0.0)</f>
        <v>0</v>
      </c>
      <c r="V162" s="16">
        <f>IFERROR(__xludf.DUMMYFUNCTION("""COMPUTED_VALUE"""),0.0)</f>
        <v>0</v>
      </c>
      <c r="W162" s="16">
        <f>IFERROR(__xludf.DUMMYFUNCTION("""COMPUTED_VALUE"""),0.0)</f>
        <v>0</v>
      </c>
      <c r="X162" s="16">
        <f>IFERROR(__xludf.DUMMYFUNCTION("""COMPUTED_VALUE"""),0.0)</f>
        <v>0</v>
      </c>
      <c r="Y162" s="16">
        <f>IFERROR(__xludf.DUMMYFUNCTION("""COMPUTED_VALUE"""),0.0)</f>
        <v>0</v>
      </c>
      <c r="Z162" s="16">
        <f>IFERROR(__xludf.DUMMYFUNCTION("""COMPUTED_VALUE"""),0.0)</f>
        <v>0</v>
      </c>
      <c r="AA162" s="16">
        <f>IFERROR(__xludf.DUMMYFUNCTION("""COMPUTED_VALUE"""),0.0)</f>
        <v>0</v>
      </c>
      <c r="AB162" s="16">
        <f>IFERROR(__xludf.DUMMYFUNCTION("""COMPUTED_VALUE"""),0.0)</f>
        <v>0</v>
      </c>
      <c r="AC162" s="16">
        <f>IFERROR(__xludf.DUMMYFUNCTION("""COMPUTED_VALUE"""),0.0)</f>
        <v>0</v>
      </c>
      <c r="AD162" s="16">
        <f>IFERROR(__xludf.DUMMYFUNCTION("""COMPUTED_VALUE"""),0.0)</f>
        <v>0</v>
      </c>
      <c r="AE162" s="16">
        <f>IFERROR(__xludf.DUMMYFUNCTION("""COMPUTED_VALUE"""),0.0)</f>
        <v>0</v>
      </c>
      <c r="AF162" s="16">
        <f>IFERROR(__xludf.DUMMYFUNCTION("""COMPUTED_VALUE"""),0.0)</f>
        <v>0</v>
      </c>
      <c r="AG162" s="16">
        <f>IFERROR(__xludf.DUMMYFUNCTION("""COMPUTED_VALUE"""),0.0)</f>
        <v>0</v>
      </c>
      <c r="AH162" s="16">
        <f>IFERROR(__xludf.DUMMYFUNCTION("""COMPUTED_VALUE"""),0.0)</f>
        <v>0</v>
      </c>
    </row>
    <row r="163">
      <c r="A163" s="16" t="str">
        <f>IFERROR(__xludf.DUMMYFUNCTION("""COMPUTED_VALUE"""),"8f9097f70a41e0a3a637a3eb2b6551e036eb16b7")</f>
        <v>8f9097f70a41e0a3a637a3eb2b6551e036eb16b7</v>
      </c>
      <c r="B163" s="16" t="str">
        <f>IFERROR(__xludf.DUMMYFUNCTION("""COMPUTED_VALUE"""),"The Devine Root")</f>
        <v>The Devine Root</v>
      </c>
      <c r="C163" s="16" t="str">
        <f>IFERROR(__xludf.DUMMYFUNCTION("""COMPUTED_VALUE"""),"Fantasy")</f>
        <v>Fantasy</v>
      </c>
      <c r="D163" s="16">
        <f>IFERROR(__xludf.DUMMYFUNCTION("""COMPUTED_VALUE"""),190.0)</f>
        <v>190</v>
      </c>
      <c r="E163" s="16">
        <f>IFERROR(__xludf.DUMMYFUNCTION("""COMPUTED_VALUE"""),0.968421052631579)</f>
        <v>0.9684210526</v>
      </c>
      <c r="F163" s="16">
        <f>IFERROR(__xludf.DUMMYFUNCTION("""COMPUTED_VALUE"""),0.347368421052631)</f>
        <v>0.3473684211</v>
      </c>
      <c r="G163" s="16">
        <f>IFERROR(__xludf.DUMMYFUNCTION("""COMPUTED_VALUE"""),0.305263157894736)</f>
        <v>0.3052631579</v>
      </c>
      <c r="H163" s="16">
        <f>IFERROR(__xludf.DUMMYFUNCTION("""COMPUTED_VALUE"""),0.294736842105263)</f>
        <v>0.2947368421</v>
      </c>
      <c r="I163" s="16">
        <f>IFERROR(__xludf.DUMMYFUNCTION("""COMPUTED_VALUE"""),0.263157894736842)</f>
        <v>0.2631578947</v>
      </c>
      <c r="J163" s="16">
        <f>IFERROR(__xludf.DUMMYFUNCTION("""COMPUTED_VALUE"""),0.227272727272727)</f>
        <v>0.2272727273</v>
      </c>
      <c r="K163" s="16">
        <f>IFERROR(__xludf.DUMMYFUNCTION("""COMPUTED_VALUE"""),0.244444444444444)</f>
        <v>0.2444444444</v>
      </c>
      <c r="L163" s="16">
        <f>IFERROR(__xludf.DUMMYFUNCTION("""COMPUTED_VALUE"""),1.0)</f>
        <v>1</v>
      </c>
      <c r="M163" s="16">
        <f>IFERROR(__xludf.DUMMYFUNCTION("""COMPUTED_VALUE"""),1.0)</f>
        <v>1</v>
      </c>
      <c r="N163" s="16">
        <f>IFERROR(__xludf.DUMMYFUNCTION("""COMPUTED_VALUE"""),1.0)</f>
        <v>1</v>
      </c>
      <c r="O163" s="16">
        <f>IFERROR(__xludf.DUMMYFUNCTION("""COMPUTED_VALUE"""),1.0)</f>
        <v>1</v>
      </c>
      <c r="P163" s="16">
        <f>IFERROR(__xludf.DUMMYFUNCTION("""COMPUTED_VALUE"""),0.0)</f>
        <v>0</v>
      </c>
      <c r="Q163" s="16">
        <f>IFERROR(__xludf.DUMMYFUNCTION("""COMPUTED_VALUE"""),0.0)</f>
        <v>0</v>
      </c>
      <c r="R163" s="16">
        <f>IFERROR(__xludf.DUMMYFUNCTION("""COMPUTED_VALUE"""),0.0)</f>
        <v>0</v>
      </c>
      <c r="S163" s="16">
        <f>IFERROR(__xludf.DUMMYFUNCTION("""COMPUTED_VALUE"""),0.0)</f>
        <v>0</v>
      </c>
      <c r="T163" s="16">
        <f>IFERROR(__xludf.DUMMYFUNCTION("""COMPUTED_VALUE"""),0.0)</f>
        <v>0</v>
      </c>
      <c r="U163" s="16">
        <f>IFERROR(__xludf.DUMMYFUNCTION("""COMPUTED_VALUE"""),0.0)</f>
        <v>0</v>
      </c>
      <c r="V163" s="16">
        <f>IFERROR(__xludf.DUMMYFUNCTION("""COMPUTED_VALUE"""),0.0)</f>
        <v>0</v>
      </c>
      <c r="W163" s="16">
        <f>IFERROR(__xludf.DUMMYFUNCTION("""COMPUTED_VALUE"""),0.0)</f>
        <v>0</v>
      </c>
      <c r="X163" s="16">
        <f>IFERROR(__xludf.DUMMYFUNCTION("""COMPUTED_VALUE"""),0.0)</f>
        <v>0</v>
      </c>
      <c r="Y163" s="16">
        <f>IFERROR(__xludf.DUMMYFUNCTION("""COMPUTED_VALUE"""),0.0)</f>
        <v>0</v>
      </c>
      <c r="Z163" s="16">
        <f>IFERROR(__xludf.DUMMYFUNCTION("""COMPUTED_VALUE"""),0.0)</f>
        <v>0</v>
      </c>
      <c r="AA163" s="16">
        <f>IFERROR(__xludf.DUMMYFUNCTION("""COMPUTED_VALUE"""),0.0)</f>
        <v>0</v>
      </c>
      <c r="AB163" s="16">
        <f>IFERROR(__xludf.DUMMYFUNCTION("""COMPUTED_VALUE"""),0.0)</f>
        <v>0</v>
      </c>
      <c r="AC163" s="16">
        <f>IFERROR(__xludf.DUMMYFUNCTION("""COMPUTED_VALUE"""),0.0)</f>
        <v>0</v>
      </c>
      <c r="AD163" s="16">
        <f>IFERROR(__xludf.DUMMYFUNCTION("""COMPUTED_VALUE"""),0.0)</f>
        <v>0</v>
      </c>
      <c r="AE163" s="16">
        <f>IFERROR(__xludf.DUMMYFUNCTION("""COMPUTED_VALUE"""),0.0)</f>
        <v>0</v>
      </c>
      <c r="AF163" s="16">
        <f>IFERROR(__xludf.DUMMYFUNCTION("""COMPUTED_VALUE"""),0.0)</f>
        <v>0</v>
      </c>
      <c r="AG163" s="16">
        <f>IFERROR(__xludf.DUMMYFUNCTION("""COMPUTED_VALUE"""),0.0)</f>
        <v>0</v>
      </c>
      <c r="AH163" s="16">
        <f>IFERROR(__xludf.DUMMYFUNCTION("""COMPUTED_VALUE"""),0.0)</f>
        <v>0</v>
      </c>
    </row>
    <row r="164">
      <c r="A164" s="16" t="str">
        <f>IFERROR(__xludf.DUMMYFUNCTION("""COMPUTED_VALUE"""),"8fc0fc1659f3b419e6fa13d9cb59b0e57bfec096")</f>
        <v>8fc0fc1659f3b419e6fa13d9cb59b0e57bfec096</v>
      </c>
      <c r="B164" s="16" t="str">
        <f>IFERROR(__xludf.DUMMYFUNCTION("""COMPUTED_VALUE"""),"The Exiled Heir")</f>
        <v>The Exiled Heir</v>
      </c>
      <c r="C164" s="16" t="str">
        <f>IFERROR(__xludf.DUMMYFUNCTION("""COMPUTED_VALUE"""),"Drama")</f>
        <v>Drama</v>
      </c>
      <c r="D164" s="16">
        <f>IFERROR(__xludf.DUMMYFUNCTION("""COMPUTED_VALUE"""),3956.0)</f>
        <v>3956</v>
      </c>
      <c r="E164" s="16">
        <f>IFERROR(__xludf.DUMMYFUNCTION("""COMPUTED_VALUE"""),0.947674418604651)</f>
        <v>0.9476744186</v>
      </c>
      <c r="F164" s="16">
        <f>IFERROR(__xludf.DUMMYFUNCTION("""COMPUTED_VALUE"""),0.696157735085945)</f>
        <v>0.6961577351</v>
      </c>
      <c r="G164" s="16">
        <f>IFERROR(__xludf.DUMMYFUNCTION("""COMPUTED_VALUE"""),0.635490394337714)</f>
        <v>0.6354903943</v>
      </c>
      <c r="H164" s="16">
        <f>IFERROR(__xludf.DUMMYFUNCTION("""COMPUTED_VALUE"""),0.599595551061678)</f>
        <v>0.5995955511</v>
      </c>
      <c r="I164" s="16">
        <f>IFERROR(__xludf.DUMMYFUNCTION("""COMPUTED_VALUE"""),0.56319514661274)</f>
        <v>0.5631951466</v>
      </c>
      <c r="J164" s="16">
        <f>IFERROR(__xludf.DUMMYFUNCTION("""COMPUTED_VALUE"""),0.538227848101265)</f>
        <v>0.5382278481</v>
      </c>
      <c r="K164" s="16">
        <f>IFERROR(__xludf.DUMMYFUNCTION("""COMPUTED_VALUE"""),0.506970849176172)</f>
        <v>0.5069708492</v>
      </c>
      <c r="L164" s="16">
        <f>IFERROR(__xludf.DUMMYFUNCTION("""COMPUTED_VALUE"""),0.489458978917957)</f>
        <v>0.4894589789</v>
      </c>
      <c r="M164" s="16">
        <f>IFERROR(__xludf.DUMMYFUNCTION("""COMPUTED_VALUE"""),0.471904398677854)</f>
        <v>0.4719043987</v>
      </c>
      <c r="N164" s="16">
        <f>IFERROR(__xludf.DUMMYFUNCTION("""COMPUTED_VALUE"""),0.453965825044631)</f>
        <v>0.453965825</v>
      </c>
      <c r="O164" s="16">
        <f>IFERROR(__xludf.DUMMYFUNCTION("""COMPUTED_VALUE"""),0.42080865310327)</f>
        <v>0.4208086531</v>
      </c>
      <c r="P164" s="16">
        <f>IFERROR(__xludf.DUMMYFUNCTION("""COMPUTED_VALUE"""),0.333333333333333)</f>
        <v>0.3333333333</v>
      </c>
      <c r="Q164" s="16">
        <f>IFERROR(__xludf.DUMMYFUNCTION("""COMPUTED_VALUE"""),0.22627345844504)</f>
        <v>0.2262734584</v>
      </c>
      <c r="R164" s="16">
        <f>IFERROR(__xludf.DUMMYFUNCTION("""COMPUTED_VALUE"""),0.159909909909909)</f>
        <v>0.1599099099</v>
      </c>
      <c r="S164" s="16">
        <f>IFERROR(__xludf.DUMMYFUNCTION("""COMPUTED_VALUE"""),0.13260219341974)</f>
        <v>0.1326021934</v>
      </c>
      <c r="T164" s="16">
        <f>IFERROR(__xludf.DUMMYFUNCTION("""COMPUTED_VALUE"""),0.0821133036282622)</f>
        <v>0.08211330363</v>
      </c>
      <c r="U164" s="16">
        <f>IFERROR(__xludf.DUMMYFUNCTION("""COMPUTED_VALUE"""),0.181818181818181)</f>
        <v>0.1818181818</v>
      </c>
      <c r="V164" s="16">
        <f>IFERROR(__xludf.DUMMYFUNCTION("""COMPUTED_VALUE"""),0.0)</f>
        <v>0</v>
      </c>
      <c r="W164" s="16">
        <f>IFERROR(__xludf.DUMMYFUNCTION("""COMPUTED_VALUE"""),0.0)</f>
        <v>0</v>
      </c>
      <c r="X164" s="16">
        <f>IFERROR(__xludf.DUMMYFUNCTION("""COMPUTED_VALUE"""),0.0)</f>
        <v>0</v>
      </c>
      <c r="Y164" s="16">
        <f>IFERROR(__xludf.DUMMYFUNCTION("""COMPUTED_VALUE"""),0.0)</f>
        <v>0</v>
      </c>
      <c r="Z164" s="16">
        <f>IFERROR(__xludf.DUMMYFUNCTION("""COMPUTED_VALUE"""),0.0)</f>
        <v>0</v>
      </c>
      <c r="AA164" s="16">
        <f>IFERROR(__xludf.DUMMYFUNCTION("""COMPUTED_VALUE"""),0.0)</f>
        <v>0</v>
      </c>
      <c r="AB164" s="16">
        <f>IFERROR(__xludf.DUMMYFUNCTION("""COMPUTED_VALUE"""),0.0)</f>
        <v>0</v>
      </c>
      <c r="AC164" s="16">
        <f>IFERROR(__xludf.DUMMYFUNCTION("""COMPUTED_VALUE"""),0.0)</f>
        <v>0</v>
      </c>
      <c r="AD164" s="16">
        <f>IFERROR(__xludf.DUMMYFUNCTION("""COMPUTED_VALUE"""),0.0)</f>
        <v>0</v>
      </c>
      <c r="AE164" s="16">
        <f>IFERROR(__xludf.DUMMYFUNCTION("""COMPUTED_VALUE"""),0.0)</f>
        <v>0</v>
      </c>
      <c r="AF164" s="16">
        <f>IFERROR(__xludf.DUMMYFUNCTION("""COMPUTED_VALUE"""),0.0)</f>
        <v>0</v>
      </c>
      <c r="AG164" s="16">
        <f>IFERROR(__xludf.DUMMYFUNCTION("""COMPUTED_VALUE"""),0.0)</f>
        <v>0</v>
      </c>
      <c r="AH164" s="16">
        <f>IFERROR(__xludf.DUMMYFUNCTION("""COMPUTED_VALUE"""),0.0)</f>
        <v>0</v>
      </c>
    </row>
    <row r="165">
      <c r="A165" s="16" t="str">
        <f>IFERROR(__xludf.DUMMYFUNCTION("""COMPUTED_VALUE"""),"9187815245dbab381e06e99b89e34db3f811e066")</f>
        <v>9187815245dbab381e06e99b89e34db3f811e066</v>
      </c>
      <c r="B165" s="16" t="str">
        <f>IFERROR(__xludf.DUMMYFUNCTION("""COMPUTED_VALUE"""),"Billionaire's Pursuit")</f>
        <v>Billionaire's Pursuit</v>
      </c>
      <c r="C165" s="16" t="str">
        <f>IFERROR(__xludf.DUMMYFUNCTION("""COMPUTED_VALUE"""),"Romance")</f>
        <v>Romance</v>
      </c>
      <c r="D165" s="16">
        <f>IFERROR(__xludf.DUMMYFUNCTION("""COMPUTED_VALUE"""),25.0)</f>
        <v>25</v>
      </c>
      <c r="E165" s="16">
        <f>IFERROR(__xludf.DUMMYFUNCTION("""COMPUTED_VALUE"""),0.92)</f>
        <v>0.92</v>
      </c>
      <c r="F165" s="16">
        <f>IFERROR(__xludf.DUMMYFUNCTION("""COMPUTED_VALUE"""),0.32)</f>
        <v>0.32</v>
      </c>
      <c r="G165" s="16">
        <f>IFERROR(__xludf.DUMMYFUNCTION("""COMPUTED_VALUE"""),0.24)</f>
        <v>0.24</v>
      </c>
      <c r="H165" s="16">
        <f>IFERROR(__xludf.DUMMYFUNCTION("""COMPUTED_VALUE"""),0.16)</f>
        <v>0.16</v>
      </c>
      <c r="I165" s="16">
        <f>IFERROR(__xludf.DUMMYFUNCTION("""COMPUTED_VALUE"""),0.08)</f>
        <v>0.08</v>
      </c>
      <c r="J165" s="16">
        <f>IFERROR(__xludf.DUMMYFUNCTION("""COMPUTED_VALUE"""),0.08)</f>
        <v>0.08</v>
      </c>
      <c r="K165" s="16">
        <f>IFERROR(__xludf.DUMMYFUNCTION("""COMPUTED_VALUE"""),0.0869565217391304)</f>
        <v>0.08695652174</v>
      </c>
      <c r="L165" s="16">
        <f>IFERROR(__xludf.DUMMYFUNCTION("""COMPUTED_VALUE"""),0.0909090909090909)</f>
        <v>0.09090909091</v>
      </c>
      <c r="M165" s="16">
        <f>IFERROR(__xludf.DUMMYFUNCTION("""COMPUTED_VALUE"""),0.0909090909090909)</f>
        <v>0.09090909091</v>
      </c>
      <c r="N165" s="16">
        <f>IFERROR(__xludf.DUMMYFUNCTION("""COMPUTED_VALUE"""),0.105263157894736)</f>
        <v>0.1052631579</v>
      </c>
      <c r="O165" s="16">
        <f>IFERROR(__xludf.DUMMYFUNCTION("""COMPUTED_VALUE"""),0.117647058823529)</f>
        <v>0.1176470588</v>
      </c>
      <c r="P165" s="16">
        <f>IFERROR(__xludf.DUMMYFUNCTION("""COMPUTED_VALUE"""),0.0588235294117647)</f>
        <v>0.05882352941</v>
      </c>
      <c r="Q165" s="16">
        <f>IFERROR(__xludf.DUMMYFUNCTION("""COMPUTED_VALUE"""),0.0)</f>
        <v>0</v>
      </c>
      <c r="R165" s="16">
        <f>IFERROR(__xludf.DUMMYFUNCTION("""COMPUTED_VALUE"""),0.0)</f>
        <v>0</v>
      </c>
      <c r="S165" s="16">
        <f>IFERROR(__xludf.DUMMYFUNCTION("""COMPUTED_VALUE"""),0.0)</f>
        <v>0</v>
      </c>
      <c r="T165" s="16">
        <f>IFERROR(__xludf.DUMMYFUNCTION("""COMPUTED_VALUE"""),0.0)</f>
        <v>0</v>
      </c>
      <c r="U165" s="16">
        <f>IFERROR(__xludf.DUMMYFUNCTION("""COMPUTED_VALUE"""),0.0)</f>
        <v>0</v>
      </c>
      <c r="V165" s="16">
        <f>IFERROR(__xludf.DUMMYFUNCTION("""COMPUTED_VALUE"""),0.0)</f>
        <v>0</v>
      </c>
      <c r="W165" s="16">
        <f>IFERROR(__xludf.DUMMYFUNCTION("""COMPUTED_VALUE"""),0.0)</f>
        <v>0</v>
      </c>
      <c r="X165" s="16">
        <f>IFERROR(__xludf.DUMMYFUNCTION("""COMPUTED_VALUE"""),0.0)</f>
        <v>0</v>
      </c>
      <c r="Y165" s="16">
        <f>IFERROR(__xludf.DUMMYFUNCTION("""COMPUTED_VALUE"""),0.0)</f>
        <v>0</v>
      </c>
      <c r="Z165" s="16">
        <f>IFERROR(__xludf.DUMMYFUNCTION("""COMPUTED_VALUE"""),0.0)</f>
        <v>0</v>
      </c>
      <c r="AA165" s="16">
        <f>IFERROR(__xludf.DUMMYFUNCTION("""COMPUTED_VALUE"""),0.0)</f>
        <v>0</v>
      </c>
      <c r="AB165" s="16">
        <f>IFERROR(__xludf.DUMMYFUNCTION("""COMPUTED_VALUE"""),0.0)</f>
        <v>0</v>
      </c>
      <c r="AC165" s="16">
        <f>IFERROR(__xludf.DUMMYFUNCTION("""COMPUTED_VALUE"""),0.0)</f>
        <v>0</v>
      </c>
      <c r="AD165" s="16">
        <f>IFERROR(__xludf.DUMMYFUNCTION("""COMPUTED_VALUE"""),0.0)</f>
        <v>0</v>
      </c>
      <c r="AE165" s="16">
        <f>IFERROR(__xludf.DUMMYFUNCTION("""COMPUTED_VALUE"""),0.0)</f>
        <v>0</v>
      </c>
      <c r="AF165" s="16">
        <f>IFERROR(__xludf.DUMMYFUNCTION("""COMPUTED_VALUE"""),0.0)</f>
        <v>0</v>
      </c>
      <c r="AG165" s="16">
        <f>IFERROR(__xludf.DUMMYFUNCTION("""COMPUTED_VALUE"""),0.0)</f>
        <v>0</v>
      </c>
      <c r="AH165" s="16">
        <f>IFERROR(__xludf.DUMMYFUNCTION("""COMPUTED_VALUE"""),0.0)</f>
        <v>0</v>
      </c>
    </row>
    <row r="166">
      <c r="A166" s="16" t="str">
        <f>IFERROR(__xludf.DUMMYFUNCTION("""COMPUTED_VALUE"""),"91df72ab8ef7c2a2797ba2a98264b6e4037cebc4")</f>
        <v>91df72ab8ef7c2a2797ba2a98264b6e4037cebc4</v>
      </c>
      <c r="B166" s="16" t="str">
        <f>IFERROR(__xludf.DUMMYFUNCTION("""COMPUTED_VALUE"""),"The Upgrade Gamer")</f>
        <v>The Upgrade Gamer</v>
      </c>
      <c r="C166" s="16" t="str">
        <f>IFERROR(__xludf.DUMMYFUNCTION("""COMPUTED_VALUE"""),"System and Superpower")</f>
        <v>System and Superpower</v>
      </c>
      <c r="D166" s="16">
        <f>IFERROR(__xludf.DUMMYFUNCTION("""COMPUTED_VALUE"""),73.0)</f>
        <v>73</v>
      </c>
      <c r="E166" s="16">
        <f>IFERROR(__xludf.DUMMYFUNCTION("""COMPUTED_VALUE"""),0.986301369863013)</f>
        <v>0.9863013699</v>
      </c>
      <c r="F166" s="16">
        <f>IFERROR(__xludf.DUMMYFUNCTION("""COMPUTED_VALUE"""),0.821917808219178)</f>
        <v>0.8219178082</v>
      </c>
      <c r="G166" s="16">
        <f>IFERROR(__xludf.DUMMYFUNCTION("""COMPUTED_VALUE"""),0.684931506849315)</f>
        <v>0.6849315068</v>
      </c>
      <c r="H166" s="16">
        <f>IFERROR(__xludf.DUMMYFUNCTION("""COMPUTED_VALUE"""),0.643835616438356)</f>
        <v>0.6438356164</v>
      </c>
      <c r="I166" s="16">
        <f>IFERROR(__xludf.DUMMYFUNCTION("""COMPUTED_VALUE"""),0.602739726027397)</f>
        <v>0.602739726</v>
      </c>
      <c r="J166" s="16">
        <f>IFERROR(__xludf.DUMMYFUNCTION("""COMPUTED_VALUE"""),0.577464788732394)</f>
        <v>0.5774647887</v>
      </c>
      <c r="K166" s="16">
        <f>IFERROR(__xludf.DUMMYFUNCTION("""COMPUTED_VALUE"""),0.577464788732394)</f>
        <v>0.5774647887</v>
      </c>
      <c r="L166" s="16">
        <f>IFERROR(__xludf.DUMMYFUNCTION("""COMPUTED_VALUE"""),0.5)</f>
        <v>0.5</v>
      </c>
      <c r="M166" s="16">
        <f>IFERROR(__xludf.DUMMYFUNCTION("""COMPUTED_VALUE"""),0.441176470588235)</f>
        <v>0.4411764706</v>
      </c>
      <c r="N166" s="16">
        <f>IFERROR(__xludf.DUMMYFUNCTION("""COMPUTED_VALUE"""),0.402985074626865)</f>
        <v>0.4029850746</v>
      </c>
      <c r="O166" s="16">
        <f>IFERROR(__xludf.DUMMYFUNCTION("""COMPUTED_VALUE"""),0.229508196721311)</f>
        <v>0.2295081967</v>
      </c>
      <c r="P166" s="16">
        <f>IFERROR(__xludf.DUMMYFUNCTION("""COMPUTED_VALUE"""),0.0)</f>
        <v>0</v>
      </c>
      <c r="Q166" s="16">
        <f>IFERROR(__xludf.DUMMYFUNCTION("""COMPUTED_VALUE"""),0.0)</f>
        <v>0</v>
      </c>
      <c r="R166" s="16">
        <f>IFERROR(__xludf.DUMMYFUNCTION("""COMPUTED_VALUE"""),0.0)</f>
        <v>0</v>
      </c>
      <c r="S166" s="16">
        <f>IFERROR(__xludf.DUMMYFUNCTION("""COMPUTED_VALUE"""),0.0)</f>
        <v>0</v>
      </c>
      <c r="T166" s="16">
        <f>IFERROR(__xludf.DUMMYFUNCTION("""COMPUTED_VALUE"""),0.0)</f>
        <v>0</v>
      </c>
      <c r="U166" s="16">
        <f>IFERROR(__xludf.DUMMYFUNCTION("""COMPUTED_VALUE"""),0.0)</f>
        <v>0</v>
      </c>
      <c r="V166" s="16">
        <f>IFERROR(__xludf.DUMMYFUNCTION("""COMPUTED_VALUE"""),0.0)</f>
        <v>0</v>
      </c>
      <c r="W166" s="16">
        <f>IFERROR(__xludf.DUMMYFUNCTION("""COMPUTED_VALUE"""),0.0)</f>
        <v>0</v>
      </c>
      <c r="X166" s="16">
        <f>IFERROR(__xludf.DUMMYFUNCTION("""COMPUTED_VALUE"""),0.0)</f>
        <v>0</v>
      </c>
      <c r="Y166" s="16">
        <f>IFERROR(__xludf.DUMMYFUNCTION("""COMPUTED_VALUE"""),0.0)</f>
        <v>0</v>
      </c>
      <c r="Z166" s="16">
        <f>IFERROR(__xludf.DUMMYFUNCTION("""COMPUTED_VALUE"""),0.0)</f>
        <v>0</v>
      </c>
      <c r="AA166" s="16">
        <f>IFERROR(__xludf.DUMMYFUNCTION("""COMPUTED_VALUE"""),0.0)</f>
        <v>0</v>
      </c>
      <c r="AB166" s="16">
        <f>IFERROR(__xludf.DUMMYFUNCTION("""COMPUTED_VALUE"""),0.0)</f>
        <v>0</v>
      </c>
      <c r="AC166" s="16">
        <f>IFERROR(__xludf.DUMMYFUNCTION("""COMPUTED_VALUE"""),0.0)</f>
        <v>0</v>
      </c>
      <c r="AD166" s="16">
        <f>IFERROR(__xludf.DUMMYFUNCTION("""COMPUTED_VALUE"""),0.0)</f>
        <v>0</v>
      </c>
      <c r="AE166" s="16">
        <f>IFERROR(__xludf.DUMMYFUNCTION("""COMPUTED_VALUE"""),0.0)</f>
        <v>0</v>
      </c>
      <c r="AF166" s="16">
        <f>IFERROR(__xludf.DUMMYFUNCTION("""COMPUTED_VALUE"""),0.0)</f>
        <v>0</v>
      </c>
      <c r="AG166" s="16">
        <f>IFERROR(__xludf.DUMMYFUNCTION("""COMPUTED_VALUE"""),0.0)</f>
        <v>0</v>
      </c>
      <c r="AH166" s="16">
        <f>IFERROR(__xludf.DUMMYFUNCTION("""COMPUTED_VALUE"""),0.0)</f>
        <v>0</v>
      </c>
    </row>
    <row r="167">
      <c r="A167" s="16" t="str">
        <f>IFERROR(__xludf.DUMMYFUNCTION("""COMPUTED_VALUE"""),"9236a79ea4f06488372a41ebcc7a4f0fbfc7b1c3")</f>
        <v>9236a79ea4f06488372a41ebcc7a4f0fbfc7b1c3</v>
      </c>
      <c r="B167" s="16" t="str">
        <f>IFERROR(__xludf.DUMMYFUNCTION("""COMPUTED_VALUE"""),"King of Mercenaries")</f>
        <v>King of Mercenaries</v>
      </c>
      <c r="C167" s="16" t="str">
        <f>IFERROR(__xludf.DUMMYFUNCTION("""COMPUTED_VALUE"""),"Suspense or Thriller")</f>
        <v>Suspense or Thriller</v>
      </c>
      <c r="D167" s="16">
        <f>IFERROR(__xludf.DUMMYFUNCTION("""COMPUTED_VALUE"""),58.0)</f>
        <v>58</v>
      </c>
      <c r="E167" s="16">
        <f>IFERROR(__xludf.DUMMYFUNCTION("""COMPUTED_VALUE"""),1.0)</f>
        <v>1</v>
      </c>
      <c r="F167" s="16">
        <f>IFERROR(__xludf.DUMMYFUNCTION("""COMPUTED_VALUE"""),0.344827586206896)</f>
        <v>0.3448275862</v>
      </c>
      <c r="G167" s="16">
        <f>IFERROR(__xludf.DUMMYFUNCTION("""COMPUTED_VALUE"""),0.310344827586206)</f>
        <v>0.3103448276</v>
      </c>
      <c r="H167" s="16">
        <f>IFERROR(__xludf.DUMMYFUNCTION("""COMPUTED_VALUE"""),0.258620689655172)</f>
        <v>0.2586206897</v>
      </c>
      <c r="I167" s="16">
        <f>IFERROR(__xludf.DUMMYFUNCTION("""COMPUTED_VALUE"""),0.241379310344827)</f>
        <v>0.2413793103</v>
      </c>
      <c r="J167" s="16">
        <f>IFERROR(__xludf.DUMMYFUNCTION("""COMPUTED_VALUE"""),0.185185185185185)</f>
        <v>0.1851851852</v>
      </c>
      <c r="K167" s="16">
        <f>IFERROR(__xludf.DUMMYFUNCTION("""COMPUTED_VALUE"""),0.163265306122448)</f>
        <v>0.1632653061</v>
      </c>
      <c r="L167" s="16">
        <f>IFERROR(__xludf.DUMMYFUNCTION("""COMPUTED_VALUE"""),0.170212765957446)</f>
        <v>0.170212766</v>
      </c>
      <c r="M167" s="16">
        <f>IFERROR(__xludf.DUMMYFUNCTION("""COMPUTED_VALUE"""),0.186046511627906)</f>
        <v>0.1860465116</v>
      </c>
      <c r="N167" s="16">
        <f>IFERROR(__xludf.DUMMYFUNCTION("""COMPUTED_VALUE"""),0.147058823529411)</f>
        <v>0.1470588235</v>
      </c>
      <c r="O167" s="16">
        <f>IFERROR(__xludf.DUMMYFUNCTION("""COMPUTED_VALUE"""),0.0588235294117647)</f>
        <v>0.05882352941</v>
      </c>
      <c r="P167" s="16">
        <f>IFERROR(__xludf.DUMMYFUNCTION("""COMPUTED_VALUE"""),0.0)</f>
        <v>0</v>
      </c>
      <c r="Q167" s="16">
        <f>IFERROR(__xludf.DUMMYFUNCTION("""COMPUTED_VALUE"""),0.0)</f>
        <v>0</v>
      </c>
      <c r="R167" s="16">
        <f>IFERROR(__xludf.DUMMYFUNCTION("""COMPUTED_VALUE"""),0.0)</f>
        <v>0</v>
      </c>
      <c r="S167" s="16">
        <f>IFERROR(__xludf.DUMMYFUNCTION("""COMPUTED_VALUE"""),0.0)</f>
        <v>0</v>
      </c>
      <c r="T167" s="16">
        <f>IFERROR(__xludf.DUMMYFUNCTION("""COMPUTED_VALUE"""),0.0)</f>
        <v>0</v>
      </c>
      <c r="U167" s="16">
        <f>IFERROR(__xludf.DUMMYFUNCTION("""COMPUTED_VALUE"""),0.0)</f>
        <v>0</v>
      </c>
      <c r="V167" s="16">
        <f>IFERROR(__xludf.DUMMYFUNCTION("""COMPUTED_VALUE"""),0.0)</f>
        <v>0</v>
      </c>
      <c r="W167" s="16">
        <f>IFERROR(__xludf.DUMMYFUNCTION("""COMPUTED_VALUE"""),0.0)</f>
        <v>0</v>
      </c>
      <c r="X167" s="16">
        <f>IFERROR(__xludf.DUMMYFUNCTION("""COMPUTED_VALUE"""),0.0)</f>
        <v>0</v>
      </c>
      <c r="Y167" s="16">
        <f>IFERROR(__xludf.DUMMYFUNCTION("""COMPUTED_VALUE"""),0.0)</f>
        <v>0</v>
      </c>
      <c r="Z167" s="16">
        <f>IFERROR(__xludf.DUMMYFUNCTION("""COMPUTED_VALUE"""),0.0)</f>
        <v>0</v>
      </c>
      <c r="AA167" s="16">
        <f>IFERROR(__xludf.DUMMYFUNCTION("""COMPUTED_VALUE"""),0.0)</f>
        <v>0</v>
      </c>
      <c r="AB167" s="16">
        <f>IFERROR(__xludf.DUMMYFUNCTION("""COMPUTED_VALUE"""),0.0)</f>
        <v>0</v>
      </c>
      <c r="AC167" s="16">
        <f>IFERROR(__xludf.DUMMYFUNCTION("""COMPUTED_VALUE"""),0.0)</f>
        <v>0</v>
      </c>
      <c r="AD167" s="16">
        <f>IFERROR(__xludf.DUMMYFUNCTION("""COMPUTED_VALUE"""),0.0)</f>
        <v>0</v>
      </c>
      <c r="AE167" s="16">
        <f>IFERROR(__xludf.DUMMYFUNCTION("""COMPUTED_VALUE"""),0.0)</f>
        <v>0</v>
      </c>
      <c r="AF167" s="16">
        <f>IFERROR(__xludf.DUMMYFUNCTION("""COMPUTED_VALUE"""),0.0)</f>
        <v>0</v>
      </c>
      <c r="AG167" s="16">
        <f>IFERROR(__xludf.DUMMYFUNCTION("""COMPUTED_VALUE"""),0.0)</f>
        <v>0</v>
      </c>
      <c r="AH167" s="16">
        <f>IFERROR(__xludf.DUMMYFUNCTION("""COMPUTED_VALUE"""),0.0)</f>
        <v>0</v>
      </c>
    </row>
    <row r="168">
      <c r="A168" s="16" t="str">
        <f>IFERROR(__xludf.DUMMYFUNCTION("""COMPUTED_VALUE"""),"94d808231f41a64988f80a2739e6a748f1278c28")</f>
        <v>94d808231f41a64988f80a2739e6a748f1278c28</v>
      </c>
      <c r="B168" s="16" t="str">
        <f>IFERROR(__xludf.DUMMYFUNCTION("""COMPUTED_VALUE"""),"My Amazing Husband's Life")</f>
        <v>My Amazing Husband's Life</v>
      </c>
      <c r="C168" s="16" t="str">
        <f>IFERROR(__xludf.DUMMYFUNCTION("""COMPUTED_VALUE"""),"Drama")</f>
        <v>Drama</v>
      </c>
      <c r="D168" s="16">
        <f>IFERROR(__xludf.DUMMYFUNCTION("""COMPUTED_VALUE"""),319.0)</f>
        <v>319</v>
      </c>
      <c r="E168" s="16">
        <f>IFERROR(__xludf.DUMMYFUNCTION("""COMPUTED_VALUE"""),0.984326018808777)</f>
        <v>0.9843260188</v>
      </c>
      <c r="F168" s="16">
        <f>IFERROR(__xludf.DUMMYFUNCTION("""COMPUTED_VALUE"""),0.557993730407523)</f>
        <v>0.5579937304</v>
      </c>
      <c r="G168" s="16">
        <f>IFERROR(__xludf.DUMMYFUNCTION("""COMPUTED_VALUE"""),0.482758620689655)</f>
        <v>0.4827586207</v>
      </c>
      <c r="H168" s="16">
        <f>IFERROR(__xludf.DUMMYFUNCTION("""COMPUTED_VALUE"""),0.426332288401253)</f>
        <v>0.4263322884</v>
      </c>
      <c r="I168" s="16">
        <f>IFERROR(__xludf.DUMMYFUNCTION("""COMPUTED_VALUE"""),0.388714733542319)</f>
        <v>0.3887147335</v>
      </c>
      <c r="J168" s="16">
        <f>IFERROR(__xludf.DUMMYFUNCTION("""COMPUTED_VALUE"""),0.363934426229508)</f>
        <v>0.3639344262</v>
      </c>
      <c r="K168" s="16">
        <f>IFERROR(__xludf.DUMMYFUNCTION("""COMPUTED_VALUE"""),0.328467153284671)</f>
        <v>0.3284671533</v>
      </c>
      <c r="L168" s="16">
        <f>IFERROR(__xludf.DUMMYFUNCTION("""COMPUTED_VALUE"""),0.346303501945525)</f>
        <v>0.3463035019</v>
      </c>
      <c r="M168" s="16">
        <f>IFERROR(__xludf.DUMMYFUNCTION("""COMPUTED_VALUE"""),0.322314049586776)</f>
        <v>0.3223140496</v>
      </c>
      <c r="N168" s="16">
        <f>IFERROR(__xludf.DUMMYFUNCTION("""COMPUTED_VALUE"""),0.306532663316582)</f>
        <v>0.3065326633</v>
      </c>
      <c r="O168" s="16">
        <f>IFERROR(__xludf.DUMMYFUNCTION("""COMPUTED_VALUE"""),0.25438596491228)</f>
        <v>0.2543859649</v>
      </c>
      <c r="P168" s="16">
        <f>IFERROR(__xludf.DUMMYFUNCTION("""COMPUTED_VALUE"""),0.25)</f>
        <v>0.25</v>
      </c>
      <c r="Q168" s="16">
        <f>IFERROR(__xludf.DUMMYFUNCTION("""COMPUTED_VALUE"""),0.0)</f>
        <v>0</v>
      </c>
      <c r="R168" s="16">
        <f>IFERROR(__xludf.DUMMYFUNCTION("""COMPUTED_VALUE"""),0.0)</f>
        <v>0</v>
      </c>
      <c r="S168" s="16">
        <f>IFERROR(__xludf.DUMMYFUNCTION("""COMPUTED_VALUE"""),0.0)</f>
        <v>0</v>
      </c>
      <c r="T168" s="16">
        <f>IFERROR(__xludf.DUMMYFUNCTION("""COMPUTED_VALUE"""),0.0)</f>
        <v>0</v>
      </c>
      <c r="U168" s="16">
        <f>IFERROR(__xludf.DUMMYFUNCTION("""COMPUTED_VALUE"""),0.0)</f>
        <v>0</v>
      </c>
      <c r="V168" s="16">
        <f>IFERROR(__xludf.DUMMYFUNCTION("""COMPUTED_VALUE"""),0.0)</f>
        <v>0</v>
      </c>
      <c r="W168" s="16">
        <f>IFERROR(__xludf.DUMMYFUNCTION("""COMPUTED_VALUE"""),0.0)</f>
        <v>0</v>
      </c>
      <c r="X168" s="16">
        <f>IFERROR(__xludf.DUMMYFUNCTION("""COMPUTED_VALUE"""),0.0)</f>
        <v>0</v>
      </c>
      <c r="Y168" s="16">
        <f>IFERROR(__xludf.DUMMYFUNCTION("""COMPUTED_VALUE"""),0.0)</f>
        <v>0</v>
      </c>
      <c r="Z168" s="16">
        <f>IFERROR(__xludf.DUMMYFUNCTION("""COMPUTED_VALUE"""),0.0)</f>
        <v>0</v>
      </c>
      <c r="AA168" s="16">
        <f>IFERROR(__xludf.DUMMYFUNCTION("""COMPUTED_VALUE"""),0.0)</f>
        <v>0</v>
      </c>
      <c r="AB168" s="16">
        <f>IFERROR(__xludf.DUMMYFUNCTION("""COMPUTED_VALUE"""),0.0)</f>
        <v>0</v>
      </c>
      <c r="AC168" s="16">
        <f>IFERROR(__xludf.DUMMYFUNCTION("""COMPUTED_VALUE"""),0.0)</f>
        <v>0</v>
      </c>
      <c r="AD168" s="16">
        <f>IFERROR(__xludf.DUMMYFUNCTION("""COMPUTED_VALUE"""),0.0)</f>
        <v>0</v>
      </c>
      <c r="AE168" s="16">
        <f>IFERROR(__xludf.DUMMYFUNCTION("""COMPUTED_VALUE"""),0.0)</f>
        <v>0</v>
      </c>
      <c r="AF168" s="16">
        <f>IFERROR(__xludf.DUMMYFUNCTION("""COMPUTED_VALUE"""),0.0)</f>
        <v>0</v>
      </c>
      <c r="AG168" s="16">
        <f>IFERROR(__xludf.DUMMYFUNCTION("""COMPUTED_VALUE"""),0.0)</f>
        <v>0</v>
      </c>
      <c r="AH168" s="16">
        <f>IFERROR(__xludf.DUMMYFUNCTION("""COMPUTED_VALUE"""),0.0)</f>
        <v>0</v>
      </c>
    </row>
    <row r="169">
      <c r="A169" s="16" t="str">
        <f>IFERROR(__xludf.DUMMYFUNCTION("""COMPUTED_VALUE"""),"95cfee76565a1eb0481e08f4f0da75fa4a0cdb74")</f>
        <v>95cfee76565a1eb0481e08f4f0da75fa4a0cdb74</v>
      </c>
      <c r="B169" s="16" t="str">
        <f>IFERROR(__xludf.DUMMYFUNCTION("""COMPUTED_VALUE"""),"Revenge Called Athena")</f>
        <v>Revenge Called Athena</v>
      </c>
      <c r="C169" s="16" t="str">
        <f>IFERROR(__xludf.DUMMYFUNCTION("""COMPUTED_VALUE"""),"Drama")</f>
        <v>Drama</v>
      </c>
      <c r="D169" s="16">
        <f>IFERROR(__xludf.DUMMYFUNCTION("""COMPUTED_VALUE"""),130.0)</f>
        <v>130</v>
      </c>
      <c r="E169" s="16">
        <f>IFERROR(__xludf.DUMMYFUNCTION("""COMPUTED_VALUE"""),0.953846153846153)</f>
        <v>0.9538461538</v>
      </c>
      <c r="F169" s="16">
        <f>IFERROR(__xludf.DUMMYFUNCTION("""COMPUTED_VALUE"""),0.692307692307692)</f>
        <v>0.6923076923</v>
      </c>
      <c r="G169" s="16">
        <f>IFERROR(__xludf.DUMMYFUNCTION("""COMPUTED_VALUE"""),0.661538461538461)</f>
        <v>0.6615384615</v>
      </c>
      <c r="H169" s="16">
        <f>IFERROR(__xludf.DUMMYFUNCTION("""COMPUTED_VALUE"""),0.653846153846153)</f>
        <v>0.6538461538</v>
      </c>
      <c r="I169" s="16">
        <f>IFERROR(__xludf.DUMMYFUNCTION("""COMPUTED_VALUE"""),0.638461538461538)</f>
        <v>0.6384615385</v>
      </c>
      <c r="J169" s="16">
        <f>IFERROR(__xludf.DUMMYFUNCTION("""COMPUTED_VALUE"""),0.63076923076923)</f>
        <v>0.6307692308</v>
      </c>
      <c r="K169" s="16">
        <f>IFERROR(__xludf.DUMMYFUNCTION("""COMPUTED_VALUE"""),0.592307692307692)</f>
        <v>0.5923076923</v>
      </c>
      <c r="L169" s="16">
        <f>IFERROR(__xludf.DUMMYFUNCTION("""COMPUTED_VALUE"""),0.561538461538461)</f>
        <v>0.5615384615</v>
      </c>
      <c r="M169" s="16">
        <f>IFERROR(__xludf.DUMMYFUNCTION("""COMPUTED_VALUE"""),0.553846153846153)</f>
        <v>0.5538461538</v>
      </c>
      <c r="N169" s="16">
        <f>IFERROR(__xludf.DUMMYFUNCTION("""COMPUTED_VALUE"""),0.515384615384615)</f>
        <v>0.5153846154</v>
      </c>
      <c r="O169" s="16">
        <f>IFERROR(__xludf.DUMMYFUNCTION("""COMPUTED_VALUE"""),0.440944881889763)</f>
        <v>0.4409448819</v>
      </c>
      <c r="P169" s="16">
        <f>IFERROR(__xludf.DUMMYFUNCTION("""COMPUTED_VALUE"""),0.28735632183908)</f>
        <v>0.2873563218</v>
      </c>
      <c r="Q169" s="16">
        <f>IFERROR(__xludf.DUMMYFUNCTION("""COMPUTED_VALUE"""),0.232558139534883)</f>
        <v>0.2325581395</v>
      </c>
      <c r="R169" s="16">
        <f>IFERROR(__xludf.DUMMYFUNCTION("""COMPUTED_VALUE"""),0.0)</f>
        <v>0</v>
      </c>
      <c r="S169" s="16">
        <f>IFERROR(__xludf.DUMMYFUNCTION("""COMPUTED_VALUE"""),0.0)</f>
        <v>0</v>
      </c>
      <c r="T169" s="16">
        <f>IFERROR(__xludf.DUMMYFUNCTION("""COMPUTED_VALUE"""),0.0)</f>
        <v>0</v>
      </c>
      <c r="U169" s="16">
        <f>IFERROR(__xludf.DUMMYFUNCTION("""COMPUTED_VALUE"""),0.0)</f>
        <v>0</v>
      </c>
      <c r="V169" s="16">
        <f>IFERROR(__xludf.DUMMYFUNCTION("""COMPUTED_VALUE"""),0.0)</f>
        <v>0</v>
      </c>
      <c r="W169" s="16">
        <f>IFERROR(__xludf.DUMMYFUNCTION("""COMPUTED_VALUE"""),0.0)</f>
        <v>0</v>
      </c>
      <c r="X169" s="16">
        <f>IFERROR(__xludf.DUMMYFUNCTION("""COMPUTED_VALUE"""),0.0)</f>
        <v>0</v>
      </c>
      <c r="Y169" s="16">
        <f>IFERROR(__xludf.DUMMYFUNCTION("""COMPUTED_VALUE"""),0.0)</f>
        <v>0</v>
      </c>
      <c r="Z169" s="16">
        <f>IFERROR(__xludf.DUMMYFUNCTION("""COMPUTED_VALUE"""),0.0)</f>
        <v>0</v>
      </c>
      <c r="AA169" s="16">
        <f>IFERROR(__xludf.DUMMYFUNCTION("""COMPUTED_VALUE"""),0.0)</f>
        <v>0</v>
      </c>
      <c r="AB169" s="16">
        <f>IFERROR(__xludf.DUMMYFUNCTION("""COMPUTED_VALUE"""),0.0)</f>
        <v>0</v>
      </c>
      <c r="AC169" s="16">
        <f>IFERROR(__xludf.DUMMYFUNCTION("""COMPUTED_VALUE"""),0.0)</f>
        <v>0</v>
      </c>
      <c r="AD169" s="16">
        <f>IFERROR(__xludf.DUMMYFUNCTION("""COMPUTED_VALUE"""),0.0)</f>
        <v>0</v>
      </c>
      <c r="AE169" s="16">
        <f>IFERROR(__xludf.DUMMYFUNCTION("""COMPUTED_VALUE"""),0.0)</f>
        <v>0</v>
      </c>
      <c r="AF169" s="16">
        <f>IFERROR(__xludf.DUMMYFUNCTION("""COMPUTED_VALUE"""),0.0)</f>
        <v>0</v>
      </c>
      <c r="AG169" s="16">
        <f>IFERROR(__xludf.DUMMYFUNCTION("""COMPUTED_VALUE"""),0.0)</f>
        <v>0</v>
      </c>
      <c r="AH169" s="16">
        <f>IFERROR(__xludf.DUMMYFUNCTION("""COMPUTED_VALUE"""),0.0)</f>
        <v>0</v>
      </c>
    </row>
    <row r="170">
      <c r="A170" s="16" t="str">
        <f>IFERROR(__xludf.DUMMYFUNCTION("""COMPUTED_VALUE"""),"964c4dbd3e851f0d215e0fc68b9c364303676665")</f>
        <v>964c4dbd3e851f0d215e0fc68b9c364303676665</v>
      </c>
      <c r="B170" s="16" t="str">
        <f>IFERROR(__xludf.DUMMYFUNCTION("""COMPUTED_VALUE"""),"The Governor's Wife")</f>
        <v>The Governor's Wife</v>
      </c>
      <c r="C170" s="16" t="str">
        <f>IFERROR(__xludf.DUMMYFUNCTION("""COMPUTED_VALUE"""),"Romance")</f>
        <v>Romance</v>
      </c>
      <c r="D170" s="16">
        <f>IFERROR(__xludf.DUMMYFUNCTION("""COMPUTED_VALUE"""),43.0)</f>
        <v>43</v>
      </c>
      <c r="E170" s="16">
        <f>IFERROR(__xludf.DUMMYFUNCTION("""COMPUTED_VALUE"""),1.0)</f>
        <v>1</v>
      </c>
      <c r="F170" s="16">
        <f>IFERROR(__xludf.DUMMYFUNCTION("""COMPUTED_VALUE"""),0.767441860465116)</f>
        <v>0.7674418605</v>
      </c>
      <c r="G170" s="16">
        <f>IFERROR(__xludf.DUMMYFUNCTION("""COMPUTED_VALUE"""),0.697674418604651)</f>
        <v>0.6976744186</v>
      </c>
      <c r="H170" s="16">
        <f>IFERROR(__xludf.DUMMYFUNCTION("""COMPUTED_VALUE"""),0.627906976744186)</f>
        <v>0.6279069767</v>
      </c>
      <c r="I170" s="16">
        <f>IFERROR(__xludf.DUMMYFUNCTION("""COMPUTED_VALUE"""),0.604651162790697)</f>
        <v>0.6046511628</v>
      </c>
      <c r="J170" s="16">
        <f>IFERROR(__xludf.DUMMYFUNCTION("""COMPUTED_VALUE"""),0.634146341463414)</f>
        <v>0.6341463415</v>
      </c>
      <c r="K170" s="16">
        <f>IFERROR(__xludf.DUMMYFUNCTION("""COMPUTED_VALUE"""),0.55)</f>
        <v>0.55</v>
      </c>
      <c r="L170" s="16">
        <f>IFERROR(__xludf.DUMMYFUNCTION("""COMPUTED_VALUE"""),0.514285714285714)</f>
        <v>0.5142857143</v>
      </c>
      <c r="M170" s="16">
        <f>IFERROR(__xludf.DUMMYFUNCTION("""COMPUTED_VALUE"""),0.46875)</f>
        <v>0.46875</v>
      </c>
      <c r="N170" s="16">
        <f>IFERROR(__xludf.DUMMYFUNCTION("""COMPUTED_VALUE"""),0.222222222222222)</f>
        <v>0.2222222222</v>
      </c>
      <c r="O170" s="16">
        <f>IFERROR(__xludf.DUMMYFUNCTION("""COMPUTED_VALUE"""),0.181818181818181)</f>
        <v>0.1818181818</v>
      </c>
      <c r="P170" s="16">
        <f>IFERROR(__xludf.DUMMYFUNCTION("""COMPUTED_VALUE"""),0.0)</f>
        <v>0</v>
      </c>
      <c r="Q170" s="16">
        <f>IFERROR(__xludf.DUMMYFUNCTION("""COMPUTED_VALUE"""),0.0)</f>
        <v>0</v>
      </c>
      <c r="R170" s="16">
        <f>IFERROR(__xludf.DUMMYFUNCTION("""COMPUTED_VALUE"""),0.0)</f>
        <v>0</v>
      </c>
      <c r="S170" s="16">
        <f>IFERROR(__xludf.DUMMYFUNCTION("""COMPUTED_VALUE"""),0.0)</f>
        <v>0</v>
      </c>
      <c r="T170" s="16">
        <f>IFERROR(__xludf.DUMMYFUNCTION("""COMPUTED_VALUE"""),0.0)</f>
        <v>0</v>
      </c>
      <c r="U170" s="16">
        <f>IFERROR(__xludf.DUMMYFUNCTION("""COMPUTED_VALUE"""),0.0)</f>
        <v>0</v>
      </c>
      <c r="V170" s="16">
        <f>IFERROR(__xludf.DUMMYFUNCTION("""COMPUTED_VALUE"""),0.0)</f>
        <v>0</v>
      </c>
      <c r="W170" s="16">
        <f>IFERROR(__xludf.DUMMYFUNCTION("""COMPUTED_VALUE"""),0.0)</f>
        <v>0</v>
      </c>
      <c r="X170" s="16">
        <f>IFERROR(__xludf.DUMMYFUNCTION("""COMPUTED_VALUE"""),0.0)</f>
        <v>0</v>
      </c>
      <c r="Y170" s="16">
        <f>IFERROR(__xludf.DUMMYFUNCTION("""COMPUTED_VALUE"""),0.0)</f>
        <v>0</v>
      </c>
      <c r="Z170" s="16">
        <f>IFERROR(__xludf.DUMMYFUNCTION("""COMPUTED_VALUE"""),0.0)</f>
        <v>0</v>
      </c>
      <c r="AA170" s="16">
        <f>IFERROR(__xludf.DUMMYFUNCTION("""COMPUTED_VALUE"""),0.0)</f>
        <v>0</v>
      </c>
      <c r="AB170" s="16">
        <f>IFERROR(__xludf.DUMMYFUNCTION("""COMPUTED_VALUE"""),0.0)</f>
        <v>0</v>
      </c>
      <c r="AC170" s="16">
        <f>IFERROR(__xludf.DUMMYFUNCTION("""COMPUTED_VALUE"""),0.0)</f>
        <v>0</v>
      </c>
      <c r="AD170" s="16">
        <f>IFERROR(__xludf.DUMMYFUNCTION("""COMPUTED_VALUE"""),0.0)</f>
        <v>0</v>
      </c>
      <c r="AE170" s="16">
        <f>IFERROR(__xludf.DUMMYFUNCTION("""COMPUTED_VALUE"""),0.0)</f>
        <v>0</v>
      </c>
      <c r="AF170" s="16">
        <f>IFERROR(__xludf.DUMMYFUNCTION("""COMPUTED_VALUE"""),0.0)</f>
        <v>0</v>
      </c>
      <c r="AG170" s="16">
        <f>IFERROR(__xludf.DUMMYFUNCTION("""COMPUTED_VALUE"""),0.0)</f>
        <v>0</v>
      </c>
      <c r="AH170" s="16">
        <f>IFERROR(__xludf.DUMMYFUNCTION("""COMPUTED_VALUE"""),0.0)</f>
        <v>0</v>
      </c>
    </row>
    <row r="171">
      <c r="A171" s="16" t="str">
        <f>IFERROR(__xludf.DUMMYFUNCTION("""COMPUTED_VALUE"""),"96f6721dc499b730f42b02d86e640d682f4f665d")</f>
        <v>96f6721dc499b730f42b02d86e640d682f4f665d</v>
      </c>
      <c r="B171" s="16" t="str">
        <f>IFERROR(__xludf.DUMMYFUNCTION("""COMPUTED_VALUE"""),"Last Witch of Swendel")</f>
        <v>Last Witch of Swendel</v>
      </c>
      <c r="C171" s="16" t="str">
        <f>IFERROR(__xludf.DUMMYFUNCTION("""COMPUTED_VALUE"""),"Romantasy")</f>
        <v>Romantasy</v>
      </c>
      <c r="D171" s="16">
        <f>IFERROR(__xludf.DUMMYFUNCTION("""COMPUTED_VALUE"""),678.0)</f>
        <v>678</v>
      </c>
      <c r="E171" s="16">
        <f>IFERROR(__xludf.DUMMYFUNCTION("""COMPUTED_VALUE"""),0.961651917404129)</f>
        <v>0.9616519174</v>
      </c>
      <c r="F171" s="16">
        <f>IFERROR(__xludf.DUMMYFUNCTION("""COMPUTED_VALUE"""),0.619469026548672)</f>
        <v>0.6194690265</v>
      </c>
      <c r="G171" s="16">
        <f>IFERROR(__xludf.DUMMYFUNCTION("""COMPUTED_VALUE"""),0.57669616519174)</f>
        <v>0.5766961652</v>
      </c>
      <c r="H171" s="16">
        <f>IFERROR(__xludf.DUMMYFUNCTION("""COMPUTED_VALUE"""),0.533923303834808)</f>
        <v>0.5339233038</v>
      </c>
      <c r="I171" s="16">
        <f>IFERROR(__xludf.DUMMYFUNCTION("""COMPUTED_VALUE"""),0.513274336283185)</f>
        <v>0.5132743363</v>
      </c>
      <c r="J171" s="16">
        <f>IFERROR(__xludf.DUMMYFUNCTION("""COMPUTED_VALUE"""),0.498525073746312)</f>
        <v>0.4985250737</v>
      </c>
      <c r="K171" s="16">
        <f>IFERROR(__xludf.DUMMYFUNCTION("""COMPUTED_VALUE"""),0.483775811209439)</f>
        <v>0.4837758112</v>
      </c>
      <c r="L171" s="16">
        <f>IFERROR(__xludf.DUMMYFUNCTION("""COMPUTED_VALUE"""),0.460176991150442)</f>
        <v>0.4601769912</v>
      </c>
      <c r="M171" s="16">
        <f>IFERROR(__xludf.DUMMYFUNCTION("""COMPUTED_VALUE"""),0.45575221238938)</f>
        <v>0.4557522124</v>
      </c>
      <c r="N171" s="16">
        <f>IFERROR(__xludf.DUMMYFUNCTION("""COMPUTED_VALUE"""),0.449852507374631)</f>
        <v>0.4498525074</v>
      </c>
      <c r="O171" s="16">
        <f>IFERROR(__xludf.DUMMYFUNCTION("""COMPUTED_VALUE"""),0.399705014749262)</f>
        <v>0.3997050147</v>
      </c>
      <c r="P171" s="16">
        <f>IFERROR(__xludf.DUMMYFUNCTION("""COMPUTED_VALUE"""),0.310549777117384)</f>
        <v>0.3105497771</v>
      </c>
      <c r="Q171" s="16">
        <f>IFERROR(__xludf.DUMMYFUNCTION("""COMPUTED_VALUE"""),0.275075987841945)</f>
        <v>0.2750759878</v>
      </c>
      <c r="R171" s="16">
        <f>IFERROR(__xludf.DUMMYFUNCTION("""COMPUTED_VALUE"""),0.273076923076923)</f>
        <v>0.2730769231</v>
      </c>
      <c r="S171" s="16">
        <f>IFERROR(__xludf.DUMMYFUNCTION("""COMPUTED_VALUE"""),0.198795180722891)</f>
        <v>0.1987951807</v>
      </c>
      <c r="T171" s="16">
        <f>IFERROR(__xludf.DUMMYFUNCTION("""COMPUTED_VALUE"""),0.15)</f>
        <v>0.15</v>
      </c>
      <c r="U171" s="16">
        <f>IFERROR(__xludf.DUMMYFUNCTION("""COMPUTED_VALUE"""),0.124183006535947)</f>
        <v>0.1241830065</v>
      </c>
      <c r="V171" s="16">
        <f>IFERROR(__xludf.DUMMYFUNCTION("""COMPUTED_VALUE"""),0.0923076923076923)</f>
        <v>0.09230769231</v>
      </c>
      <c r="W171" s="16">
        <f>IFERROR(__xludf.DUMMYFUNCTION("""COMPUTED_VALUE"""),0.074074074074074)</f>
        <v>0.07407407407</v>
      </c>
      <c r="X171" s="16">
        <f>IFERROR(__xludf.DUMMYFUNCTION("""COMPUTED_VALUE"""),0.0)</f>
        <v>0</v>
      </c>
      <c r="Y171" s="16">
        <f>IFERROR(__xludf.DUMMYFUNCTION("""COMPUTED_VALUE"""),0.0)</f>
        <v>0</v>
      </c>
      <c r="Z171" s="16">
        <f>IFERROR(__xludf.DUMMYFUNCTION("""COMPUTED_VALUE"""),0.0)</f>
        <v>0</v>
      </c>
      <c r="AA171" s="16">
        <f>IFERROR(__xludf.DUMMYFUNCTION("""COMPUTED_VALUE"""),0.0)</f>
        <v>0</v>
      </c>
      <c r="AB171" s="16">
        <f>IFERROR(__xludf.DUMMYFUNCTION("""COMPUTED_VALUE"""),0.0)</f>
        <v>0</v>
      </c>
      <c r="AC171" s="16">
        <f>IFERROR(__xludf.DUMMYFUNCTION("""COMPUTED_VALUE"""),0.0)</f>
        <v>0</v>
      </c>
      <c r="AD171" s="16">
        <f>IFERROR(__xludf.DUMMYFUNCTION("""COMPUTED_VALUE"""),0.0)</f>
        <v>0</v>
      </c>
      <c r="AE171" s="16">
        <f>IFERROR(__xludf.DUMMYFUNCTION("""COMPUTED_VALUE"""),0.0)</f>
        <v>0</v>
      </c>
      <c r="AF171" s="16">
        <f>IFERROR(__xludf.DUMMYFUNCTION("""COMPUTED_VALUE"""),0.0)</f>
        <v>0</v>
      </c>
      <c r="AG171" s="16">
        <f>IFERROR(__xludf.DUMMYFUNCTION("""COMPUTED_VALUE"""),0.0)</f>
        <v>0</v>
      </c>
      <c r="AH171" s="16">
        <f>IFERROR(__xludf.DUMMYFUNCTION("""COMPUTED_VALUE"""),0.0)</f>
        <v>0</v>
      </c>
    </row>
    <row r="172">
      <c r="A172" s="16" t="str">
        <f>IFERROR(__xludf.DUMMYFUNCTION("""COMPUTED_VALUE"""),"97bf3d3427830d8b1bc0c5929b0c0832cbf02a25")</f>
        <v>97bf3d3427830d8b1bc0c5929b0c0832cbf02a25</v>
      </c>
      <c r="B172" s="16" t="str">
        <f>IFERROR(__xludf.DUMMYFUNCTION("""COMPUTED_VALUE"""),"The Miraculous Physician")</f>
        <v>The Miraculous Physician</v>
      </c>
      <c r="C172" s="16" t="str">
        <f>IFERROR(__xludf.DUMMYFUNCTION("""COMPUTED_VALUE"""),"System and Superpower")</f>
        <v>System and Superpower</v>
      </c>
      <c r="D172" s="16">
        <f>IFERROR(__xludf.DUMMYFUNCTION("""COMPUTED_VALUE"""),121.0)</f>
        <v>121</v>
      </c>
      <c r="E172" s="16">
        <f>IFERROR(__xludf.DUMMYFUNCTION("""COMPUTED_VALUE"""),0.975206611570247)</f>
        <v>0.9752066116</v>
      </c>
      <c r="F172" s="16">
        <f>IFERROR(__xludf.DUMMYFUNCTION("""COMPUTED_VALUE"""),0.578512396694214)</f>
        <v>0.5785123967</v>
      </c>
      <c r="G172" s="16">
        <f>IFERROR(__xludf.DUMMYFUNCTION("""COMPUTED_VALUE"""),0.495867768595041)</f>
        <v>0.4958677686</v>
      </c>
      <c r="H172" s="16">
        <f>IFERROR(__xludf.DUMMYFUNCTION("""COMPUTED_VALUE"""),0.413223140495867)</f>
        <v>0.4132231405</v>
      </c>
      <c r="I172" s="16">
        <f>IFERROR(__xludf.DUMMYFUNCTION("""COMPUTED_VALUE"""),0.388429752066115)</f>
        <v>0.3884297521</v>
      </c>
      <c r="J172" s="16">
        <f>IFERROR(__xludf.DUMMYFUNCTION("""COMPUTED_VALUE"""),0.366666666666666)</f>
        <v>0.3666666667</v>
      </c>
      <c r="K172" s="16">
        <f>IFERROR(__xludf.DUMMYFUNCTION("""COMPUTED_VALUE"""),0.342105263157894)</f>
        <v>0.3421052632</v>
      </c>
      <c r="L172" s="16">
        <f>IFERROR(__xludf.DUMMYFUNCTION("""COMPUTED_VALUE"""),0.307692307692307)</f>
        <v>0.3076923077</v>
      </c>
      <c r="M172" s="16">
        <f>IFERROR(__xludf.DUMMYFUNCTION("""COMPUTED_VALUE"""),0.272727272727272)</f>
        <v>0.2727272727</v>
      </c>
      <c r="N172" s="16">
        <f>IFERROR(__xludf.DUMMYFUNCTION("""COMPUTED_VALUE"""),0.217391304347826)</f>
        <v>0.2173913043</v>
      </c>
      <c r="O172" s="16">
        <f>IFERROR(__xludf.DUMMYFUNCTION("""COMPUTED_VALUE"""),0.2)</f>
        <v>0.2</v>
      </c>
      <c r="P172" s="16">
        <f>IFERROR(__xludf.DUMMYFUNCTION("""COMPUTED_VALUE"""),1.0)</f>
        <v>1</v>
      </c>
      <c r="Q172" s="16">
        <f>IFERROR(__xludf.DUMMYFUNCTION("""COMPUTED_VALUE"""),0.0)</f>
        <v>0</v>
      </c>
      <c r="R172" s="16">
        <f>IFERROR(__xludf.DUMMYFUNCTION("""COMPUTED_VALUE"""),0.0)</f>
        <v>0</v>
      </c>
      <c r="S172" s="16">
        <f>IFERROR(__xludf.DUMMYFUNCTION("""COMPUTED_VALUE"""),0.0)</f>
        <v>0</v>
      </c>
      <c r="T172" s="16">
        <f>IFERROR(__xludf.DUMMYFUNCTION("""COMPUTED_VALUE"""),0.0)</f>
        <v>0</v>
      </c>
      <c r="U172" s="16">
        <f>IFERROR(__xludf.DUMMYFUNCTION("""COMPUTED_VALUE"""),0.0)</f>
        <v>0</v>
      </c>
      <c r="V172" s="16">
        <f>IFERROR(__xludf.DUMMYFUNCTION("""COMPUTED_VALUE"""),0.0)</f>
        <v>0</v>
      </c>
      <c r="W172" s="16">
        <f>IFERROR(__xludf.DUMMYFUNCTION("""COMPUTED_VALUE"""),0.0)</f>
        <v>0</v>
      </c>
      <c r="X172" s="16">
        <f>IFERROR(__xludf.DUMMYFUNCTION("""COMPUTED_VALUE"""),0.0)</f>
        <v>0</v>
      </c>
      <c r="Y172" s="16">
        <f>IFERROR(__xludf.DUMMYFUNCTION("""COMPUTED_VALUE"""),0.0)</f>
        <v>0</v>
      </c>
      <c r="Z172" s="16">
        <f>IFERROR(__xludf.DUMMYFUNCTION("""COMPUTED_VALUE"""),0.0)</f>
        <v>0</v>
      </c>
      <c r="AA172" s="16">
        <f>IFERROR(__xludf.DUMMYFUNCTION("""COMPUTED_VALUE"""),0.0)</f>
        <v>0</v>
      </c>
      <c r="AB172" s="16">
        <f>IFERROR(__xludf.DUMMYFUNCTION("""COMPUTED_VALUE"""),0.0)</f>
        <v>0</v>
      </c>
      <c r="AC172" s="16">
        <f>IFERROR(__xludf.DUMMYFUNCTION("""COMPUTED_VALUE"""),0.0)</f>
        <v>0</v>
      </c>
      <c r="AD172" s="16">
        <f>IFERROR(__xludf.DUMMYFUNCTION("""COMPUTED_VALUE"""),0.0)</f>
        <v>0</v>
      </c>
      <c r="AE172" s="16">
        <f>IFERROR(__xludf.DUMMYFUNCTION("""COMPUTED_VALUE"""),0.0)</f>
        <v>0</v>
      </c>
      <c r="AF172" s="16">
        <f>IFERROR(__xludf.DUMMYFUNCTION("""COMPUTED_VALUE"""),0.0)</f>
        <v>0</v>
      </c>
      <c r="AG172" s="16">
        <f>IFERROR(__xludf.DUMMYFUNCTION("""COMPUTED_VALUE"""),0.0)</f>
        <v>0</v>
      </c>
      <c r="AH172" s="16">
        <f>IFERROR(__xludf.DUMMYFUNCTION("""COMPUTED_VALUE"""),0.0)</f>
        <v>0</v>
      </c>
    </row>
    <row r="173">
      <c r="A173" s="16" t="str">
        <f>IFERROR(__xludf.DUMMYFUNCTION("""COMPUTED_VALUE"""),"97d2593a35303e42da5da630e9d8848fa086fc93")</f>
        <v>97d2593a35303e42da5da630e9d8848fa086fc93</v>
      </c>
      <c r="B173" s="16" t="str">
        <f>IFERROR(__xludf.DUMMYFUNCTION("""COMPUTED_VALUE"""),"Spying on My Rebel Alpha")</f>
        <v>Spying on My Rebel Alpha</v>
      </c>
      <c r="C173" s="16" t="str">
        <f>IFERROR(__xludf.DUMMYFUNCTION("""COMPUTED_VALUE"""),"Romantasy")</f>
        <v>Romantasy</v>
      </c>
      <c r="D173" s="16">
        <f>IFERROR(__xludf.DUMMYFUNCTION("""COMPUTED_VALUE"""),192.0)</f>
        <v>192</v>
      </c>
      <c r="E173" s="16">
        <f>IFERROR(__xludf.DUMMYFUNCTION("""COMPUTED_VALUE"""),0.958333333333333)</f>
        <v>0.9583333333</v>
      </c>
      <c r="F173" s="16">
        <f>IFERROR(__xludf.DUMMYFUNCTION("""COMPUTED_VALUE"""),0.567708333333333)</f>
        <v>0.5677083333</v>
      </c>
      <c r="G173" s="16">
        <f>IFERROR(__xludf.DUMMYFUNCTION("""COMPUTED_VALUE"""),0.505208333333333)</f>
        <v>0.5052083333</v>
      </c>
      <c r="H173" s="16">
        <f>IFERROR(__xludf.DUMMYFUNCTION("""COMPUTED_VALUE"""),0.4375)</f>
        <v>0.4375</v>
      </c>
      <c r="I173" s="16">
        <f>IFERROR(__xludf.DUMMYFUNCTION("""COMPUTED_VALUE"""),0.385416666666666)</f>
        <v>0.3854166667</v>
      </c>
      <c r="J173" s="16">
        <f>IFERROR(__xludf.DUMMYFUNCTION("""COMPUTED_VALUE"""),0.359375)</f>
        <v>0.359375</v>
      </c>
      <c r="K173" s="16">
        <f>IFERROR(__xludf.DUMMYFUNCTION("""COMPUTED_VALUE"""),0.354166666666666)</f>
        <v>0.3541666667</v>
      </c>
      <c r="L173" s="16">
        <f>IFERROR(__xludf.DUMMYFUNCTION("""COMPUTED_VALUE"""),0.348958333333333)</f>
        <v>0.3489583333</v>
      </c>
      <c r="M173" s="16">
        <f>IFERROR(__xludf.DUMMYFUNCTION("""COMPUTED_VALUE"""),0.336842105263157)</f>
        <v>0.3368421053</v>
      </c>
      <c r="N173" s="16">
        <f>IFERROR(__xludf.DUMMYFUNCTION("""COMPUTED_VALUE"""),0.329787234042553)</f>
        <v>0.329787234</v>
      </c>
      <c r="O173" s="16">
        <f>IFERROR(__xludf.DUMMYFUNCTION("""COMPUTED_VALUE"""),0.290322580645161)</f>
        <v>0.2903225806</v>
      </c>
      <c r="P173" s="16">
        <f>IFERROR(__xludf.DUMMYFUNCTION("""COMPUTED_VALUE"""),0.173333333333333)</f>
        <v>0.1733333333</v>
      </c>
      <c r="Q173" s="16">
        <f>IFERROR(__xludf.DUMMYFUNCTION("""COMPUTED_VALUE"""),0.142857142857142)</f>
        <v>0.1428571429</v>
      </c>
      <c r="R173" s="16">
        <f>IFERROR(__xludf.DUMMYFUNCTION("""COMPUTED_VALUE"""),0.0)</f>
        <v>0</v>
      </c>
      <c r="S173" s="16">
        <f>IFERROR(__xludf.DUMMYFUNCTION("""COMPUTED_VALUE"""),0.0)</f>
        <v>0</v>
      </c>
      <c r="T173" s="16">
        <f>IFERROR(__xludf.DUMMYFUNCTION("""COMPUTED_VALUE"""),0.0)</f>
        <v>0</v>
      </c>
      <c r="U173" s="16">
        <f>IFERROR(__xludf.DUMMYFUNCTION("""COMPUTED_VALUE"""),0.0)</f>
        <v>0</v>
      </c>
      <c r="V173" s="16">
        <f>IFERROR(__xludf.DUMMYFUNCTION("""COMPUTED_VALUE"""),0.0)</f>
        <v>0</v>
      </c>
      <c r="W173" s="16">
        <f>IFERROR(__xludf.DUMMYFUNCTION("""COMPUTED_VALUE"""),0.0)</f>
        <v>0</v>
      </c>
      <c r="X173" s="16">
        <f>IFERROR(__xludf.DUMMYFUNCTION("""COMPUTED_VALUE"""),0.0)</f>
        <v>0</v>
      </c>
      <c r="Y173" s="16">
        <f>IFERROR(__xludf.DUMMYFUNCTION("""COMPUTED_VALUE"""),0.0)</f>
        <v>0</v>
      </c>
      <c r="Z173" s="16">
        <f>IFERROR(__xludf.DUMMYFUNCTION("""COMPUTED_VALUE"""),0.0)</f>
        <v>0</v>
      </c>
      <c r="AA173" s="16">
        <f>IFERROR(__xludf.DUMMYFUNCTION("""COMPUTED_VALUE"""),0.0)</f>
        <v>0</v>
      </c>
      <c r="AB173" s="16">
        <f>IFERROR(__xludf.DUMMYFUNCTION("""COMPUTED_VALUE"""),0.0)</f>
        <v>0</v>
      </c>
      <c r="AC173" s="16">
        <f>IFERROR(__xludf.DUMMYFUNCTION("""COMPUTED_VALUE"""),0.0)</f>
        <v>0</v>
      </c>
      <c r="AD173" s="16">
        <f>IFERROR(__xludf.DUMMYFUNCTION("""COMPUTED_VALUE"""),0.0)</f>
        <v>0</v>
      </c>
      <c r="AE173" s="16">
        <f>IFERROR(__xludf.DUMMYFUNCTION("""COMPUTED_VALUE"""),0.0)</f>
        <v>0</v>
      </c>
      <c r="AF173" s="16">
        <f>IFERROR(__xludf.DUMMYFUNCTION("""COMPUTED_VALUE"""),0.0)</f>
        <v>0</v>
      </c>
      <c r="AG173" s="16">
        <f>IFERROR(__xludf.DUMMYFUNCTION("""COMPUTED_VALUE"""),0.0)</f>
        <v>0</v>
      </c>
      <c r="AH173" s="16">
        <f>IFERROR(__xludf.DUMMYFUNCTION("""COMPUTED_VALUE"""),0.0)</f>
        <v>0</v>
      </c>
    </row>
    <row r="174">
      <c r="A174" s="16" t="str">
        <f>IFERROR(__xludf.DUMMYFUNCTION("""COMPUTED_VALUE"""),"9897c34ca7143cb319fd56943504e8f8be1550c2")</f>
        <v>9897c34ca7143cb319fd56943504e8f8be1550c2</v>
      </c>
      <c r="B174" s="16" t="str">
        <f>IFERROR(__xludf.DUMMYFUNCTION("""COMPUTED_VALUE"""),"Priced Royal Kiss")</f>
        <v>Priced Royal Kiss</v>
      </c>
      <c r="C174" s="16" t="str">
        <f>IFERROR(__xludf.DUMMYFUNCTION("""COMPUTED_VALUE"""),"Drama")</f>
        <v>Drama</v>
      </c>
      <c r="D174" s="16">
        <f>IFERROR(__xludf.DUMMYFUNCTION("""COMPUTED_VALUE"""),10.0)</f>
        <v>10</v>
      </c>
      <c r="E174" s="16">
        <f>IFERROR(__xludf.DUMMYFUNCTION("""COMPUTED_VALUE"""),1.0)</f>
        <v>1</v>
      </c>
      <c r="F174" s="16">
        <f>IFERROR(__xludf.DUMMYFUNCTION("""COMPUTED_VALUE"""),0.8)</f>
        <v>0.8</v>
      </c>
      <c r="G174" s="16">
        <f>IFERROR(__xludf.DUMMYFUNCTION("""COMPUTED_VALUE"""),0.8)</f>
        <v>0.8</v>
      </c>
      <c r="H174" s="16">
        <f>IFERROR(__xludf.DUMMYFUNCTION("""COMPUTED_VALUE"""),0.8)</f>
        <v>0.8</v>
      </c>
      <c r="I174" s="16">
        <f>IFERROR(__xludf.DUMMYFUNCTION("""COMPUTED_VALUE"""),0.8)</f>
        <v>0.8</v>
      </c>
      <c r="J174" s="16">
        <f>IFERROR(__xludf.DUMMYFUNCTION("""COMPUTED_VALUE"""),0.8)</f>
        <v>0.8</v>
      </c>
      <c r="K174" s="16">
        <f>IFERROR(__xludf.DUMMYFUNCTION("""COMPUTED_VALUE"""),0.8)</f>
        <v>0.8</v>
      </c>
      <c r="L174" s="16">
        <f>IFERROR(__xludf.DUMMYFUNCTION("""COMPUTED_VALUE"""),0.8)</f>
        <v>0.8</v>
      </c>
      <c r="M174" s="16">
        <f>IFERROR(__xludf.DUMMYFUNCTION("""COMPUTED_VALUE"""),0.8)</f>
        <v>0.8</v>
      </c>
      <c r="N174" s="16">
        <f>IFERROR(__xludf.DUMMYFUNCTION("""COMPUTED_VALUE"""),0.8)</f>
        <v>0.8</v>
      </c>
      <c r="O174" s="16">
        <f>IFERROR(__xludf.DUMMYFUNCTION("""COMPUTED_VALUE"""),0.666666666666666)</f>
        <v>0.6666666667</v>
      </c>
      <c r="P174" s="16">
        <f>IFERROR(__xludf.DUMMYFUNCTION("""COMPUTED_VALUE"""),0.666666666666666)</f>
        <v>0.6666666667</v>
      </c>
      <c r="Q174" s="16">
        <f>IFERROR(__xludf.DUMMYFUNCTION("""COMPUTED_VALUE"""),0.5)</f>
        <v>0.5</v>
      </c>
      <c r="R174" s="16">
        <f>IFERROR(__xludf.DUMMYFUNCTION("""COMPUTED_VALUE"""),0.333333333333333)</f>
        <v>0.3333333333</v>
      </c>
      <c r="S174" s="16">
        <f>IFERROR(__xludf.DUMMYFUNCTION("""COMPUTED_VALUE"""),0.25)</f>
        <v>0.25</v>
      </c>
      <c r="T174" s="16">
        <f>IFERROR(__xludf.DUMMYFUNCTION("""COMPUTED_VALUE"""),0.333333333333333)</f>
        <v>0.3333333333</v>
      </c>
      <c r="U174" s="16">
        <f>IFERROR(__xludf.DUMMYFUNCTION("""COMPUTED_VALUE"""),0.0)</f>
        <v>0</v>
      </c>
      <c r="V174" s="16">
        <f>IFERROR(__xludf.DUMMYFUNCTION("""COMPUTED_VALUE"""),0.0)</f>
        <v>0</v>
      </c>
      <c r="W174" s="16">
        <f>IFERROR(__xludf.DUMMYFUNCTION("""COMPUTED_VALUE"""),0.0)</f>
        <v>0</v>
      </c>
      <c r="X174" s="16">
        <f>IFERROR(__xludf.DUMMYFUNCTION("""COMPUTED_VALUE"""),0.0)</f>
        <v>0</v>
      </c>
      <c r="Y174" s="16">
        <f>IFERROR(__xludf.DUMMYFUNCTION("""COMPUTED_VALUE"""),0.0)</f>
        <v>0</v>
      </c>
      <c r="Z174" s="16">
        <f>IFERROR(__xludf.DUMMYFUNCTION("""COMPUTED_VALUE"""),0.0)</f>
        <v>0</v>
      </c>
      <c r="AA174" s="16">
        <f>IFERROR(__xludf.DUMMYFUNCTION("""COMPUTED_VALUE"""),0.0)</f>
        <v>0</v>
      </c>
      <c r="AB174" s="16">
        <f>IFERROR(__xludf.DUMMYFUNCTION("""COMPUTED_VALUE"""),0.0)</f>
        <v>0</v>
      </c>
      <c r="AC174" s="16">
        <f>IFERROR(__xludf.DUMMYFUNCTION("""COMPUTED_VALUE"""),0.0)</f>
        <v>0</v>
      </c>
      <c r="AD174" s="16">
        <f>IFERROR(__xludf.DUMMYFUNCTION("""COMPUTED_VALUE"""),0.0)</f>
        <v>0</v>
      </c>
      <c r="AE174" s="16">
        <f>IFERROR(__xludf.DUMMYFUNCTION("""COMPUTED_VALUE"""),0.0)</f>
        <v>0</v>
      </c>
      <c r="AF174" s="16">
        <f>IFERROR(__xludf.DUMMYFUNCTION("""COMPUTED_VALUE"""),0.0)</f>
        <v>0</v>
      </c>
      <c r="AG174" s="16">
        <f>IFERROR(__xludf.DUMMYFUNCTION("""COMPUTED_VALUE"""),0.0)</f>
        <v>0</v>
      </c>
      <c r="AH174" s="16">
        <f>IFERROR(__xludf.DUMMYFUNCTION("""COMPUTED_VALUE"""),0.0)</f>
        <v>0</v>
      </c>
    </row>
    <row r="175">
      <c r="A175" s="16" t="str">
        <f>IFERROR(__xludf.DUMMYFUNCTION("""COMPUTED_VALUE"""),"9b25cb8fec3919f6398cf69f6cec44382a44749e")</f>
        <v>9b25cb8fec3919f6398cf69f6cec44382a44749e</v>
      </c>
      <c r="B175" s="16" t="str">
        <f>IFERROR(__xludf.DUMMYFUNCTION("""COMPUTED_VALUE"""),"The Immortal's Mark")</f>
        <v>The Immortal's Mark</v>
      </c>
      <c r="C175" s="16" t="str">
        <f>IFERROR(__xludf.DUMMYFUNCTION("""COMPUTED_VALUE"""),"Romantasy")</f>
        <v>Romantasy</v>
      </c>
      <c r="D175" s="16">
        <f>IFERROR(__xludf.DUMMYFUNCTION("""COMPUTED_VALUE"""),94.0)</f>
        <v>94</v>
      </c>
      <c r="E175" s="16">
        <f>IFERROR(__xludf.DUMMYFUNCTION("""COMPUTED_VALUE"""),1.0)</f>
        <v>1</v>
      </c>
      <c r="F175" s="16">
        <f>IFERROR(__xludf.DUMMYFUNCTION("""COMPUTED_VALUE"""),0.52127659574468)</f>
        <v>0.5212765957</v>
      </c>
      <c r="G175" s="16">
        <f>IFERROR(__xludf.DUMMYFUNCTION("""COMPUTED_VALUE"""),0.414893617021276)</f>
        <v>0.414893617</v>
      </c>
      <c r="H175" s="16">
        <f>IFERROR(__xludf.DUMMYFUNCTION("""COMPUTED_VALUE"""),0.297872340425531)</f>
        <v>0.2978723404</v>
      </c>
      <c r="I175" s="16">
        <f>IFERROR(__xludf.DUMMYFUNCTION("""COMPUTED_VALUE"""),0.244680851063829)</f>
        <v>0.2446808511</v>
      </c>
      <c r="J175" s="16">
        <f>IFERROR(__xludf.DUMMYFUNCTION("""COMPUTED_VALUE"""),0.236559139784946)</f>
        <v>0.2365591398</v>
      </c>
      <c r="K175" s="16">
        <f>IFERROR(__xludf.DUMMYFUNCTION("""COMPUTED_VALUE"""),0.206521739130434)</f>
        <v>0.2065217391</v>
      </c>
      <c r="L175" s="16">
        <f>IFERROR(__xludf.DUMMYFUNCTION("""COMPUTED_VALUE"""),0.206521739130434)</f>
        <v>0.2065217391</v>
      </c>
      <c r="M175" s="16">
        <f>IFERROR(__xludf.DUMMYFUNCTION("""COMPUTED_VALUE"""),0.206521739130434)</f>
        <v>0.2065217391</v>
      </c>
      <c r="N175" s="16">
        <f>IFERROR(__xludf.DUMMYFUNCTION("""COMPUTED_VALUE"""),0.202247191011235)</f>
        <v>0.202247191</v>
      </c>
      <c r="O175" s="16">
        <f>IFERROR(__xludf.DUMMYFUNCTION("""COMPUTED_VALUE"""),0.168539325842696)</f>
        <v>0.1685393258</v>
      </c>
      <c r="P175" s="16">
        <f>IFERROR(__xludf.DUMMYFUNCTION("""COMPUTED_VALUE"""),0.127906976744186)</f>
        <v>0.1279069767</v>
      </c>
      <c r="Q175" s="16">
        <f>IFERROR(__xludf.DUMMYFUNCTION("""COMPUTED_VALUE"""),0.0519480519480519)</f>
        <v>0.05194805195</v>
      </c>
      <c r="R175" s="16">
        <f>IFERROR(__xludf.DUMMYFUNCTION("""COMPUTED_VALUE"""),0.0454545454545454)</f>
        <v>0.04545454545</v>
      </c>
      <c r="S175" s="16">
        <f>IFERROR(__xludf.DUMMYFUNCTION("""COMPUTED_VALUE"""),0.0357142857142857)</f>
        <v>0.03571428571</v>
      </c>
      <c r="T175" s="16">
        <f>IFERROR(__xludf.DUMMYFUNCTION("""COMPUTED_VALUE"""),0.0588235294117647)</f>
        <v>0.05882352941</v>
      </c>
      <c r="U175" s="16">
        <f>IFERROR(__xludf.DUMMYFUNCTION("""COMPUTED_VALUE"""),0.0714285714285714)</f>
        <v>0.07142857143</v>
      </c>
      <c r="V175" s="16">
        <f>IFERROR(__xludf.DUMMYFUNCTION("""COMPUTED_VALUE"""),0.166666666666666)</f>
        <v>0.1666666667</v>
      </c>
      <c r="W175" s="16">
        <f>IFERROR(__xludf.DUMMYFUNCTION("""COMPUTED_VALUE"""),0.0)</f>
        <v>0</v>
      </c>
      <c r="X175" s="16">
        <f>IFERROR(__xludf.DUMMYFUNCTION("""COMPUTED_VALUE"""),0.0)</f>
        <v>0</v>
      </c>
      <c r="Y175" s="16">
        <f>IFERROR(__xludf.DUMMYFUNCTION("""COMPUTED_VALUE"""),0.0)</f>
        <v>0</v>
      </c>
      <c r="Z175" s="16">
        <f>IFERROR(__xludf.DUMMYFUNCTION("""COMPUTED_VALUE"""),0.0)</f>
        <v>0</v>
      </c>
      <c r="AA175" s="16">
        <f>IFERROR(__xludf.DUMMYFUNCTION("""COMPUTED_VALUE"""),0.0)</f>
        <v>0</v>
      </c>
      <c r="AB175" s="16">
        <f>IFERROR(__xludf.DUMMYFUNCTION("""COMPUTED_VALUE"""),0.0)</f>
        <v>0</v>
      </c>
      <c r="AC175" s="16">
        <f>IFERROR(__xludf.DUMMYFUNCTION("""COMPUTED_VALUE"""),0.0)</f>
        <v>0</v>
      </c>
      <c r="AD175" s="16">
        <f>IFERROR(__xludf.DUMMYFUNCTION("""COMPUTED_VALUE"""),0.0)</f>
        <v>0</v>
      </c>
      <c r="AE175" s="16">
        <f>IFERROR(__xludf.DUMMYFUNCTION("""COMPUTED_VALUE"""),0.0)</f>
        <v>0</v>
      </c>
      <c r="AF175" s="16">
        <f>IFERROR(__xludf.DUMMYFUNCTION("""COMPUTED_VALUE"""),0.0)</f>
        <v>0</v>
      </c>
      <c r="AG175" s="16">
        <f>IFERROR(__xludf.DUMMYFUNCTION("""COMPUTED_VALUE"""),0.0)</f>
        <v>0</v>
      </c>
      <c r="AH175" s="16">
        <f>IFERROR(__xludf.DUMMYFUNCTION("""COMPUTED_VALUE"""),0.0)</f>
        <v>0</v>
      </c>
    </row>
    <row r="176">
      <c r="A176" s="16" t="str">
        <f>IFERROR(__xludf.DUMMYFUNCTION("""COMPUTED_VALUE"""),"9c5a320e8591b0aad996347bc17f53479097ac00")</f>
        <v>9c5a320e8591b0aad996347bc17f53479097ac00</v>
      </c>
      <c r="B176" s="16" t="str">
        <f>IFERROR(__xludf.DUMMYFUNCTION("""COMPUTED_VALUE"""),"Dad's a Billionaire")</f>
        <v>Dad's a Billionaire</v>
      </c>
      <c r="C176" s="16" t="str">
        <f>IFERROR(__xludf.DUMMYFUNCTION("""COMPUTED_VALUE"""),"Romance")</f>
        <v>Romance</v>
      </c>
      <c r="D176" s="16">
        <f>IFERROR(__xludf.DUMMYFUNCTION("""COMPUTED_VALUE"""),14.0)</f>
        <v>14</v>
      </c>
      <c r="E176" s="16">
        <f>IFERROR(__xludf.DUMMYFUNCTION("""COMPUTED_VALUE"""),1.0)</f>
        <v>1</v>
      </c>
      <c r="F176" s="16">
        <f>IFERROR(__xludf.DUMMYFUNCTION("""COMPUTED_VALUE"""),0.142857142857142)</f>
        <v>0.1428571429</v>
      </c>
      <c r="G176" s="16">
        <f>IFERROR(__xludf.DUMMYFUNCTION("""COMPUTED_VALUE"""),0.0)</f>
        <v>0</v>
      </c>
      <c r="H176" s="16">
        <f>IFERROR(__xludf.DUMMYFUNCTION("""COMPUTED_VALUE"""),0.0)</f>
        <v>0</v>
      </c>
      <c r="I176" s="16">
        <f>IFERROR(__xludf.DUMMYFUNCTION("""COMPUTED_VALUE"""),0.0)</f>
        <v>0</v>
      </c>
      <c r="J176" s="16">
        <f>IFERROR(__xludf.DUMMYFUNCTION("""COMPUTED_VALUE"""),0.0)</f>
        <v>0</v>
      </c>
      <c r="K176" s="16">
        <f>IFERROR(__xludf.DUMMYFUNCTION("""COMPUTED_VALUE"""),0.0)</f>
        <v>0</v>
      </c>
      <c r="L176" s="16">
        <f>IFERROR(__xludf.DUMMYFUNCTION("""COMPUTED_VALUE"""),0.0)</f>
        <v>0</v>
      </c>
      <c r="M176" s="16">
        <f>IFERROR(__xludf.DUMMYFUNCTION("""COMPUTED_VALUE"""),0.0)</f>
        <v>0</v>
      </c>
      <c r="N176" s="16">
        <f>IFERROR(__xludf.DUMMYFUNCTION("""COMPUTED_VALUE"""),0.0)</f>
        <v>0</v>
      </c>
      <c r="O176" s="16">
        <f>IFERROR(__xludf.DUMMYFUNCTION("""COMPUTED_VALUE"""),0.0)</f>
        <v>0</v>
      </c>
      <c r="P176" s="16">
        <f>IFERROR(__xludf.DUMMYFUNCTION("""COMPUTED_VALUE"""),0.0)</f>
        <v>0</v>
      </c>
      <c r="Q176" s="16">
        <f>IFERROR(__xludf.DUMMYFUNCTION("""COMPUTED_VALUE"""),0.0)</f>
        <v>0</v>
      </c>
      <c r="R176" s="16">
        <f>IFERROR(__xludf.DUMMYFUNCTION("""COMPUTED_VALUE"""),0.0)</f>
        <v>0</v>
      </c>
      <c r="S176" s="16">
        <f>IFERROR(__xludf.DUMMYFUNCTION("""COMPUTED_VALUE"""),0.0)</f>
        <v>0</v>
      </c>
      <c r="T176" s="16">
        <f>IFERROR(__xludf.DUMMYFUNCTION("""COMPUTED_VALUE"""),0.0)</f>
        <v>0</v>
      </c>
      <c r="U176" s="16">
        <f>IFERROR(__xludf.DUMMYFUNCTION("""COMPUTED_VALUE"""),0.0)</f>
        <v>0</v>
      </c>
      <c r="V176" s="16">
        <f>IFERROR(__xludf.DUMMYFUNCTION("""COMPUTED_VALUE"""),0.0)</f>
        <v>0</v>
      </c>
      <c r="W176" s="16">
        <f>IFERROR(__xludf.DUMMYFUNCTION("""COMPUTED_VALUE"""),0.0)</f>
        <v>0</v>
      </c>
      <c r="X176" s="16">
        <f>IFERROR(__xludf.DUMMYFUNCTION("""COMPUTED_VALUE"""),0.0)</f>
        <v>0</v>
      </c>
      <c r="Y176" s="16">
        <f>IFERROR(__xludf.DUMMYFUNCTION("""COMPUTED_VALUE"""),0.0)</f>
        <v>0</v>
      </c>
      <c r="Z176" s="16">
        <f>IFERROR(__xludf.DUMMYFUNCTION("""COMPUTED_VALUE"""),0.0)</f>
        <v>0</v>
      </c>
      <c r="AA176" s="16">
        <f>IFERROR(__xludf.DUMMYFUNCTION("""COMPUTED_VALUE"""),0.0)</f>
        <v>0</v>
      </c>
      <c r="AB176" s="16">
        <f>IFERROR(__xludf.DUMMYFUNCTION("""COMPUTED_VALUE"""),0.0)</f>
        <v>0</v>
      </c>
      <c r="AC176" s="16">
        <f>IFERROR(__xludf.DUMMYFUNCTION("""COMPUTED_VALUE"""),0.0)</f>
        <v>0</v>
      </c>
      <c r="AD176" s="16">
        <f>IFERROR(__xludf.DUMMYFUNCTION("""COMPUTED_VALUE"""),0.0)</f>
        <v>0</v>
      </c>
      <c r="AE176" s="16">
        <f>IFERROR(__xludf.DUMMYFUNCTION("""COMPUTED_VALUE"""),0.0)</f>
        <v>0</v>
      </c>
      <c r="AF176" s="16">
        <f>IFERROR(__xludf.DUMMYFUNCTION("""COMPUTED_VALUE"""),0.0)</f>
        <v>0</v>
      </c>
      <c r="AG176" s="16">
        <f>IFERROR(__xludf.DUMMYFUNCTION("""COMPUTED_VALUE"""),0.0)</f>
        <v>0</v>
      </c>
      <c r="AH176" s="16">
        <f>IFERROR(__xludf.DUMMYFUNCTION("""COMPUTED_VALUE"""),0.0)</f>
        <v>0</v>
      </c>
    </row>
    <row r="177">
      <c r="A177" s="16" t="str">
        <f>IFERROR(__xludf.DUMMYFUNCTION("""COMPUTED_VALUE"""),"9d3f3024e967ac2c104ada98aa10c481cd0f9e38")</f>
        <v>9d3f3024e967ac2c104ada98aa10c481cd0f9e38</v>
      </c>
      <c r="B177" s="16" t="str">
        <f>IFERROR(__xludf.DUMMYFUNCTION("""COMPUTED_VALUE"""),"The Wrong Mrs. Carter")</f>
        <v>The Wrong Mrs. Carter</v>
      </c>
      <c r="C177" s="16" t="str">
        <f>IFERROR(__xludf.DUMMYFUNCTION("""COMPUTED_VALUE"""),"Romance")</f>
        <v>Romance</v>
      </c>
      <c r="D177" s="16">
        <f>IFERROR(__xludf.DUMMYFUNCTION("""COMPUTED_VALUE"""),18.0)</f>
        <v>18</v>
      </c>
      <c r="E177" s="16">
        <f>IFERROR(__xludf.DUMMYFUNCTION("""COMPUTED_VALUE"""),0.944444444444444)</f>
        <v>0.9444444444</v>
      </c>
      <c r="F177" s="16">
        <f>IFERROR(__xludf.DUMMYFUNCTION("""COMPUTED_VALUE"""),0.722222222222222)</f>
        <v>0.7222222222</v>
      </c>
      <c r="G177" s="16">
        <f>IFERROR(__xludf.DUMMYFUNCTION("""COMPUTED_VALUE"""),0.555555555555555)</f>
        <v>0.5555555556</v>
      </c>
      <c r="H177" s="16">
        <f>IFERROR(__xludf.DUMMYFUNCTION("""COMPUTED_VALUE"""),0.444444444444444)</f>
        <v>0.4444444444</v>
      </c>
      <c r="I177" s="16">
        <f>IFERROR(__xludf.DUMMYFUNCTION("""COMPUTED_VALUE"""),0.444444444444444)</f>
        <v>0.4444444444</v>
      </c>
      <c r="J177" s="16">
        <f>IFERROR(__xludf.DUMMYFUNCTION("""COMPUTED_VALUE"""),0.615384615384615)</f>
        <v>0.6153846154</v>
      </c>
      <c r="K177" s="16">
        <f>IFERROR(__xludf.DUMMYFUNCTION("""COMPUTED_VALUE"""),0.636363636363636)</f>
        <v>0.6363636364</v>
      </c>
      <c r="L177" s="16">
        <f>IFERROR(__xludf.DUMMYFUNCTION("""COMPUTED_VALUE"""),0.428571428571428)</f>
        <v>0.4285714286</v>
      </c>
      <c r="M177" s="16">
        <f>IFERROR(__xludf.DUMMYFUNCTION("""COMPUTED_VALUE"""),0.5)</f>
        <v>0.5</v>
      </c>
      <c r="N177" s="16">
        <f>IFERROR(__xludf.DUMMYFUNCTION("""COMPUTED_VALUE"""),0.5)</f>
        <v>0.5</v>
      </c>
      <c r="O177" s="16">
        <f>IFERROR(__xludf.DUMMYFUNCTION("""COMPUTED_VALUE"""),0.25)</f>
        <v>0.25</v>
      </c>
      <c r="P177" s="16">
        <f>IFERROR(__xludf.DUMMYFUNCTION("""COMPUTED_VALUE"""),0.0)</f>
        <v>0</v>
      </c>
      <c r="Q177" s="16">
        <f>IFERROR(__xludf.DUMMYFUNCTION("""COMPUTED_VALUE"""),0.0)</f>
        <v>0</v>
      </c>
      <c r="R177" s="16">
        <f>IFERROR(__xludf.DUMMYFUNCTION("""COMPUTED_VALUE"""),0.0)</f>
        <v>0</v>
      </c>
      <c r="S177" s="16">
        <f>IFERROR(__xludf.DUMMYFUNCTION("""COMPUTED_VALUE"""),0.0)</f>
        <v>0</v>
      </c>
      <c r="T177" s="16">
        <f>IFERROR(__xludf.DUMMYFUNCTION("""COMPUTED_VALUE"""),0.0)</f>
        <v>0</v>
      </c>
      <c r="U177" s="16">
        <f>IFERROR(__xludf.DUMMYFUNCTION("""COMPUTED_VALUE"""),0.0)</f>
        <v>0</v>
      </c>
      <c r="V177" s="16">
        <f>IFERROR(__xludf.DUMMYFUNCTION("""COMPUTED_VALUE"""),0.0)</f>
        <v>0</v>
      </c>
      <c r="W177" s="16">
        <f>IFERROR(__xludf.DUMMYFUNCTION("""COMPUTED_VALUE"""),0.0)</f>
        <v>0</v>
      </c>
      <c r="X177" s="16">
        <f>IFERROR(__xludf.DUMMYFUNCTION("""COMPUTED_VALUE"""),0.0)</f>
        <v>0</v>
      </c>
      <c r="Y177" s="16">
        <f>IFERROR(__xludf.DUMMYFUNCTION("""COMPUTED_VALUE"""),0.0)</f>
        <v>0</v>
      </c>
      <c r="Z177" s="16">
        <f>IFERROR(__xludf.DUMMYFUNCTION("""COMPUTED_VALUE"""),0.0)</f>
        <v>0</v>
      </c>
      <c r="AA177" s="16">
        <f>IFERROR(__xludf.DUMMYFUNCTION("""COMPUTED_VALUE"""),0.0)</f>
        <v>0</v>
      </c>
      <c r="AB177" s="16">
        <f>IFERROR(__xludf.DUMMYFUNCTION("""COMPUTED_VALUE"""),0.0)</f>
        <v>0</v>
      </c>
      <c r="AC177" s="16">
        <f>IFERROR(__xludf.DUMMYFUNCTION("""COMPUTED_VALUE"""),0.0)</f>
        <v>0</v>
      </c>
      <c r="AD177" s="16">
        <f>IFERROR(__xludf.DUMMYFUNCTION("""COMPUTED_VALUE"""),0.0)</f>
        <v>0</v>
      </c>
      <c r="AE177" s="16">
        <f>IFERROR(__xludf.DUMMYFUNCTION("""COMPUTED_VALUE"""),0.0)</f>
        <v>0</v>
      </c>
      <c r="AF177" s="16">
        <f>IFERROR(__xludf.DUMMYFUNCTION("""COMPUTED_VALUE"""),0.0)</f>
        <v>0</v>
      </c>
      <c r="AG177" s="16">
        <f>IFERROR(__xludf.DUMMYFUNCTION("""COMPUTED_VALUE"""),0.0)</f>
        <v>0</v>
      </c>
      <c r="AH177" s="16">
        <f>IFERROR(__xludf.DUMMYFUNCTION("""COMPUTED_VALUE"""),0.0)</f>
        <v>0</v>
      </c>
    </row>
    <row r="178">
      <c r="A178" s="16" t="str">
        <f>IFERROR(__xludf.DUMMYFUNCTION("""COMPUTED_VALUE"""),"9eb4932b6e7663416bee5ea2d2dd1b2ced5727be")</f>
        <v>9eb4932b6e7663416bee5ea2d2dd1b2ced5727be</v>
      </c>
      <c r="B178" s="16" t="str">
        <f>IFERROR(__xludf.DUMMYFUNCTION("""COMPUTED_VALUE"""),"Rise of the God Mage")</f>
        <v>Rise of the God Mage</v>
      </c>
      <c r="C178" s="16" t="str">
        <f>IFERROR(__xludf.DUMMYFUNCTION("""COMPUTED_VALUE"""),"Fantasy")</f>
        <v>Fantasy</v>
      </c>
      <c r="D178" s="16">
        <f>IFERROR(__xludf.DUMMYFUNCTION("""COMPUTED_VALUE"""),545.0)</f>
        <v>545</v>
      </c>
      <c r="E178" s="16">
        <f>IFERROR(__xludf.DUMMYFUNCTION("""COMPUTED_VALUE"""),0.988990825688073)</f>
        <v>0.9889908257</v>
      </c>
      <c r="F178" s="16">
        <f>IFERROR(__xludf.DUMMYFUNCTION("""COMPUTED_VALUE"""),0.735779816513761)</f>
        <v>0.7357798165</v>
      </c>
      <c r="G178" s="16">
        <f>IFERROR(__xludf.DUMMYFUNCTION("""COMPUTED_VALUE"""),0.669724770642201)</f>
        <v>0.6697247706</v>
      </c>
      <c r="H178" s="16">
        <f>IFERROR(__xludf.DUMMYFUNCTION("""COMPUTED_VALUE"""),0.647706422018348)</f>
        <v>0.647706422</v>
      </c>
      <c r="I178" s="16">
        <f>IFERROR(__xludf.DUMMYFUNCTION("""COMPUTED_VALUE"""),0.605504587155963)</f>
        <v>0.6055045872</v>
      </c>
      <c r="J178" s="16">
        <f>IFERROR(__xludf.DUMMYFUNCTION("""COMPUTED_VALUE"""),0.571691176470588)</f>
        <v>0.5716911765</v>
      </c>
      <c r="K178" s="16">
        <f>IFERROR(__xludf.DUMMYFUNCTION("""COMPUTED_VALUE"""),0.559852670349907)</f>
        <v>0.5598526703</v>
      </c>
      <c r="L178" s="16">
        <f>IFERROR(__xludf.DUMMYFUNCTION("""COMPUTED_VALUE"""),0.548148148148148)</f>
        <v>0.5481481481</v>
      </c>
      <c r="M178" s="16">
        <f>IFERROR(__xludf.DUMMYFUNCTION("""COMPUTED_VALUE"""),0.538033395176252)</f>
        <v>0.5380333952</v>
      </c>
      <c r="N178" s="16">
        <f>IFERROR(__xludf.DUMMYFUNCTION("""COMPUTED_VALUE"""),0.530841121495327)</f>
        <v>0.5308411215</v>
      </c>
      <c r="O178" s="16">
        <f>IFERROR(__xludf.DUMMYFUNCTION("""COMPUTED_VALUE"""),0.460916442048517)</f>
        <v>0.460916442</v>
      </c>
      <c r="P178" s="16">
        <f>IFERROR(__xludf.DUMMYFUNCTION("""COMPUTED_VALUE"""),0.625)</f>
        <v>0.625</v>
      </c>
      <c r="Q178" s="16">
        <f>IFERROR(__xludf.DUMMYFUNCTION("""COMPUTED_VALUE"""),0.0)</f>
        <v>0</v>
      </c>
      <c r="R178" s="16">
        <f>IFERROR(__xludf.DUMMYFUNCTION("""COMPUTED_VALUE"""),0.0)</f>
        <v>0</v>
      </c>
      <c r="S178" s="16">
        <f>IFERROR(__xludf.DUMMYFUNCTION("""COMPUTED_VALUE"""),0.0)</f>
        <v>0</v>
      </c>
      <c r="T178" s="16">
        <f>IFERROR(__xludf.DUMMYFUNCTION("""COMPUTED_VALUE"""),0.0)</f>
        <v>0</v>
      </c>
      <c r="U178" s="16">
        <f>IFERROR(__xludf.DUMMYFUNCTION("""COMPUTED_VALUE"""),0.0)</f>
        <v>0</v>
      </c>
      <c r="V178" s="16">
        <f>IFERROR(__xludf.DUMMYFUNCTION("""COMPUTED_VALUE"""),0.0)</f>
        <v>0</v>
      </c>
      <c r="W178" s="16">
        <f>IFERROR(__xludf.DUMMYFUNCTION("""COMPUTED_VALUE"""),0.0)</f>
        <v>0</v>
      </c>
      <c r="X178" s="16">
        <f>IFERROR(__xludf.DUMMYFUNCTION("""COMPUTED_VALUE"""),0.0)</f>
        <v>0</v>
      </c>
      <c r="Y178" s="16">
        <f>IFERROR(__xludf.DUMMYFUNCTION("""COMPUTED_VALUE"""),0.0)</f>
        <v>0</v>
      </c>
      <c r="Z178" s="16">
        <f>IFERROR(__xludf.DUMMYFUNCTION("""COMPUTED_VALUE"""),0.0)</f>
        <v>0</v>
      </c>
      <c r="AA178" s="16">
        <f>IFERROR(__xludf.DUMMYFUNCTION("""COMPUTED_VALUE"""),0.0)</f>
        <v>0</v>
      </c>
      <c r="AB178" s="16">
        <f>IFERROR(__xludf.DUMMYFUNCTION("""COMPUTED_VALUE"""),0.0)</f>
        <v>0</v>
      </c>
      <c r="AC178" s="16">
        <f>IFERROR(__xludf.DUMMYFUNCTION("""COMPUTED_VALUE"""),0.0)</f>
        <v>0</v>
      </c>
      <c r="AD178" s="16">
        <f>IFERROR(__xludf.DUMMYFUNCTION("""COMPUTED_VALUE"""),0.0)</f>
        <v>0</v>
      </c>
      <c r="AE178" s="16">
        <f>IFERROR(__xludf.DUMMYFUNCTION("""COMPUTED_VALUE"""),0.0)</f>
        <v>0</v>
      </c>
      <c r="AF178" s="16">
        <f>IFERROR(__xludf.DUMMYFUNCTION("""COMPUTED_VALUE"""),0.0)</f>
        <v>0</v>
      </c>
      <c r="AG178" s="16">
        <f>IFERROR(__xludf.DUMMYFUNCTION("""COMPUTED_VALUE"""),0.0)</f>
        <v>0</v>
      </c>
      <c r="AH178" s="16">
        <f>IFERROR(__xludf.DUMMYFUNCTION("""COMPUTED_VALUE"""),0.0)</f>
        <v>0</v>
      </c>
    </row>
    <row r="179">
      <c r="A179" s="16" t="str">
        <f>IFERROR(__xludf.DUMMYFUNCTION("""COMPUTED_VALUE"""),"9f288c1b7bcd6e6181338579ca44a178a5b21573")</f>
        <v>9f288c1b7bcd6e6181338579ca44a178a5b21573</v>
      </c>
      <c r="B179" s="16" t="str">
        <f>IFERROR(__xludf.DUMMYFUNCTION("""COMPUTED_VALUE"""),"Vows of Blood &amp; Diamonds")</f>
        <v>Vows of Blood &amp; Diamonds</v>
      </c>
      <c r="C179" s="16" t="str">
        <f>IFERROR(__xludf.DUMMYFUNCTION("""COMPUTED_VALUE"""),"Romance")</f>
        <v>Romance</v>
      </c>
      <c r="D179" s="16">
        <f>IFERROR(__xludf.DUMMYFUNCTION("""COMPUTED_VALUE"""),19.0)</f>
        <v>19</v>
      </c>
      <c r="E179" s="16">
        <f>IFERROR(__xludf.DUMMYFUNCTION("""COMPUTED_VALUE"""),1.0)</f>
        <v>1</v>
      </c>
      <c r="F179" s="16">
        <f>IFERROR(__xludf.DUMMYFUNCTION("""COMPUTED_VALUE"""),0.526315789473684)</f>
        <v>0.5263157895</v>
      </c>
      <c r="G179" s="16">
        <f>IFERROR(__xludf.DUMMYFUNCTION("""COMPUTED_VALUE"""),0.473684210526315)</f>
        <v>0.4736842105</v>
      </c>
      <c r="H179" s="16">
        <f>IFERROR(__xludf.DUMMYFUNCTION("""COMPUTED_VALUE"""),0.473684210526315)</f>
        <v>0.4736842105</v>
      </c>
      <c r="I179" s="16">
        <f>IFERROR(__xludf.DUMMYFUNCTION("""COMPUTED_VALUE"""),0.368421052631578)</f>
        <v>0.3684210526</v>
      </c>
      <c r="J179" s="16">
        <f>IFERROR(__xludf.DUMMYFUNCTION("""COMPUTED_VALUE"""),0.368421052631578)</f>
        <v>0.3684210526</v>
      </c>
      <c r="K179" s="16">
        <f>IFERROR(__xludf.DUMMYFUNCTION("""COMPUTED_VALUE"""),0.368421052631578)</f>
        <v>0.3684210526</v>
      </c>
      <c r="L179" s="16">
        <f>IFERROR(__xludf.DUMMYFUNCTION("""COMPUTED_VALUE"""),0.368421052631578)</f>
        <v>0.3684210526</v>
      </c>
      <c r="M179" s="16">
        <f>IFERROR(__xludf.DUMMYFUNCTION("""COMPUTED_VALUE"""),0.333333333333333)</f>
        <v>0.3333333333</v>
      </c>
      <c r="N179" s="16">
        <f>IFERROR(__xludf.DUMMYFUNCTION("""COMPUTED_VALUE"""),0.375)</f>
        <v>0.375</v>
      </c>
      <c r="O179" s="16">
        <f>IFERROR(__xludf.DUMMYFUNCTION("""COMPUTED_VALUE"""),0.125)</f>
        <v>0.125</v>
      </c>
      <c r="P179" s="16">
        <f>IFERROR(__xludf.DUMMYFUNCTION("""COMPUTED_VALUE"""),0.0)</f>
        <v>0</v>
      </c>
      <c r="Q179" s="16">
        <f>IFERROR(__xludf.DUMMYFUNCTION("""COMPUTED_VALUE"""),0.0)</f>
        <v>0</v>
      </c>
      <c r="R179" s="16">
        <f>IFERROR(__xludf.DUMMYFUNCTION("""COMPUTED_VALUE"""),0.0)</f>
        <v>0</v>
      </c>
      <c r="S179" s="16">
        <f>IFERROR(__xludf.DUMMYFUNCTION("""COMPUTED_VALUE"""),0.0)</f>
        <v>0</v>
      </c>
      <c r="T179" s="16">
        <f>IFERROR(__xludf.DUMMYFUNCTION("""COMPUTED_VALUE"""),0.0)</f>
        <v>0</v>
      </c>
      <c r="U179" s="16">
        <f>IFERROR(__xludf.DUMMYFUNCTION("""COMPUTED_VALUE"""),0.0)</f>
        <v>0</v>
      </c>
      <c r="V179" s="16">
        <f>IFERROR(__xludf.DUMMYFUNCTION("""COMPUTED_VALUE"""),0.0)</f>
        <v>0</v>
      </c>
      <c r="W179" s="16">
        <f>IFERROR(__xludf.DUMMYFUNCTION("""COMPUTED_VALUE"""),0.0)</f>
        <v>0</v>
      </c>
      <c r="X179" s="16">
        <f>IFERROR(__xludf.DUMMYFUNCTION("""COMPUTED_VALUE"""),0.0)</f>
        <v>0</v>
      </c>
      <c r="Y179" s="16">
        <f>IFERROR(__xludf.DUMMYFUNCTION("""COMPUTED_VALUE"""),0.0)</f>
        <v>0</v>
      </c>
      <c r="Z179" s="16">
        <f>IFERROR(__xludf.DUMMYFUNCTION("""COMPUTED_VALUE"""),0.0)</f>
        <v>0</v>
      </c>
      <c r="AA179" s="16">
        <f>IFERROR(__xludf.DUMMYFUNCTION("""COMPUTED_VALUE"""),0.0)</f>
        <v>0</v>
      </c>
      <c r="AB179" s="16">
        <f>IFERROR(__xludf.DUMMYFUNCTION("""COMPUTED_VALUE"""),0.0)</f>
        <v>0</v>
      </c>
      <c r="AC179" s="16">
        <f>IFERROR(__xludf.DUMMYFUNCTION("""COMPUTED_VALUE"""),0.0)</f>
        <v>0</v>
      </c>
      <c r="AD179" s="16">
        <f>IFERROR(__xludf.DUMMYFUNCTION("""COMPUTED_VALUE"""),0.0)</f>
        <v>0</v>
      </c>
      <c r="AE179" s="16">
        <f>IFERROR(__xludf.DUMMYFUNCTION("""COMPUTED_VALUE"""),0.0)</f>
        <v>0</v>
      </c>
      <c r="AF179" s="16">
        <f>IFERROR(__xludf.DUMMYFUNCTION("""COMPUTED_VALUE"""),0.0)</f>
        <v>0</v>
      </c>
      <c r="AG179" s="16">
        <f>IFERROR(__xludf.DUMMYFUNCTION("""COMPUTED_VALUE"""),0.0)</f>
        <v>0</v>
      </c>
      <c r="AH179" s="16">
        <f>IFERROR(__xludf.DUMMYFUNCTION("""COMPUTED_VALUE"""),0.0)</f>
        <v>0</v>
      </c>
    </row>
    <row r="180">
      <c r="A180" s="16" t="str">
        <f>IFERROR(__xludf.DUMMYFUNCTION("""COMPUTED_VALUE"""),"a028c06a528d6bc1425340cbedd71880abd4ad2b")</f>
        <v>a028c06a528d6bc1425340cbedd71880abd4ad2b</v>
      </c>
      <c r="B180" s="16" t="str">
        <f>IFERROR(__xludf.DUMMYFUNCTION("""COMPUTED_VALUE"""),"Rejected Luna's Secret")</f>
        <v>Rejected Luna's Secret</v>
      </c>
      <c r="C180" s="16" t="str">
        <f>IFERROR(__xludf.DUMMYFUNCTION("""COMPUTED_VALUE"""),"Romantasy")</f>
        <v>Romantasy</v>
      </c>
      <c r="D180" s="16">
        <f>IFERROR(__xludf.DUMMYFUNCTION("""COMPUTED_VALUE"""),20.0)</f>
        <v>20</v>
      </c>
      <c r="E180" s="16">
        <f>IFERROR(__xludf.DUMMYFUNCTION("""COMPUTED_VALUE"""),0.95)</f>
        <v>0.95</v>
      </c>
      <c r="F180" s="16">
        <f>IFERROR(__xludf.DUMMYFUNCTION("""COMPUTED_VALUE"""),0.45)</f>
        <v>0.45</v>
      </c>
      <c r="G180" s="16">
        <f>IFERROR(__xludf.DUMMYFUNCTION("""COMPUTED_VALUE"""),0.45)</f>
        <v>0.45</v>
      </c>
      <c r="H180" s="16">
        <f>IFERROR(__xludf.DUMMYFUNCTION("""COMPUTED_VALUE"""),0.4)</f>
        <v>0.4</v>
      </c>
      <c r="I180" s="16">
        <f>IFERROR(__xludf.DUMMYFUNCTION("""COMPUTED_VALUE"""),0.4)</f>
        <v>0.4</v>
      </c>
      <c r="J180" s="16">
        <f>IFERROR(__xludf.DUMMYFUNCTION("""COMPUTED_VALUE"""),0.35)</f>
        <v>0.35</v>
      </c>
      <c r="K180" s="16">
        <f>IFERROR(__xludf.DUMMYFUNCTION("""COMPUTED_VALUE"""),0.214285714285714)</f>
        <v>0.2142857143</v>
      </c>
      <c r="L180" s="16">
        <f>IFERROR(__xludf.DUMMYFUNCTION("""COMPUTED_VALUE"""),0.166666666666666)</f>
        <v>0.1666666667</v>
      </c>
      <c r="M180" s="16">
        <f>IFERROR(__xludf.DUMMYFUNCTION("""COMPUTED_VALUE"""),0.0)</f>
        <v>0</v>
      </c>
      <c r="N180" s="16">
        <f>IFERROR(__xludf.DUMMYFUNCTION("""COMPUTED_VALUE"""),0.0)</f>
        <v>0</v>
      </c>
      <c r="O180" s="16">
        <f>IFERROR(__xludf.DUMMYFUNCTION("""COMPUTED_VALUE"""),0.0)</f>
        <v>0</v>
      </c>
      <c r="P180" s="16">
        <f>IFERROR(__xludf.DUMMYFUNCTION("""COMPUTED_VALUE"""),0.0)</f>
        <v>0</v>
      </c>
      <c r="Q180" s="16">
        <f>IFERROR(__xludf.DUMMYFUNCTION("""COMPUTED_VALUE"""),0.0)</f>
        <v>0</v>
      </c>
      <c r="R180" s="16">
        <f>IFERROR(__xludf.DUMMYFUNCTION("""COMPUTED_VALUE"""),0.0)</f>
        <v>0</v>
      </c>
      <c r="S180" s="16">
        <f>IFERROR(__xludf.DUMMYFUNCTION("""COMPUTED_VALUE"""),0.0)</f>
        <v>0</v>
      </c>
      <c r="T180" s="16">
        <f>IFERROR(__xludf.DUMMYFUNCTION("""COMPUTED_VALUE"""),0.0)</f>
        <v>0</v>
      </c>
      <c r="U180" s="16">
        <f>IFERROR(__xludf.DUMMYFUNCTION("""COMPUTED_VALUE"""),0.0)</f>
        <v>0</v>
      </c>
      <c r="V180" s="16">
        <f>IFERROR(__xludf.DUMMYFUNCTION("""COMPUTED_VALUE"""),0.0)</f>
        <v>0</v>
      </c>
      <c r="W180" s="16">
        <f>IFERROR(__xludf.DUMMYFUNCTION("""COMPUTED_VALUE"""),0.0)</f>
        <v>0</v>
      </c>
      <c r="X180" s="16">
        <f>IFERROR(__xludf.DUMMYFUNCTION("""COMPUTED_VALUE"""),0.0)</f>
        <v>0</v>
      </c>
      <c r="Y180" s="16">
        <f>IFERROR(__xludf.DUMMYFUNCTION("""COMPUTED_VALUE"""),0.0)</f>
        <v>0</v>
      </c>
      <c r="Z180" s="16">
        <f>IFERROR(__xludf.DUMMYFUNCTION("""COMPUTED_VALUE"""),0.0)</f>
        <v>0</v>
      </c>
      <c r="AA180" s="16">
        <f>IFERROR(__xludf.DUMMYFUNCTION("""COMPUTED_VALUE"""),0.0)</f>
        <v>0</v>
      </c>
      <c r="AB180" s="16">
        <f>IFERROR(__xludf.DUMMYFUNCTION("""COMPUTED_VALUE"""),0.0)</f>
        <v>0</v>
      </c>
      <c r="AC180" s="16">
        <f>IFERROR(__xludf.DUMMYFUNCTION("""COMPUTED_VALUE"""),0.0)</f>
        <v>0</v>
      </c>
      <c r="AD180" s="16">
        <f>IFERROR(__xludf.DUMMYFUNCTION("""COMPUTED_VALUE"""),0.0)</f>
        <v>0</v>
      </c>
      <c r="AE180" s="16">
        <f>IFERROR(__xludf.DUMMYFUNCTION("""COMPUTED_VALUE"""),0.0)</f>
        <v>0</v>
      </c>
      <c r="AF180" s="16">
        <f>IFERROR(__xludf.DUMMYFUNCTION("""COMPUTED_VALUE"""),0.0)</f>
        <v>0</v>
      </c>
      <c r="AG180" s="16">
        <f>IFERROR(__xludf.DUMMYFUNCTION("""COMPUTED_VALUE"""),0.0)</f>
        <v>0</v>
      </c>
      <c r="AH180" s="16">
        <f>IFERROR(__xludf.DUMMYFUNCTION("""COMPUTED_VALUE"""),0.0)</f>
        <v>0</v>
      </c>
    </row>
    <row r="181">
      <c r="A181" s="16" t="str">
        <f>IFERROR(__xludf.DUMMYFUNCTION("""COMPUTED_VALUE"""),"a0f8c5bd5bdb02bdaa499febc39e36611127769b")</f>
        <v>a0f8c5bd5bdb02bdaa499febc39e36611127769b</v>
      </c>
      <c r="B181" s="16" t="str">
        <f>IFERROR(__xludf.DUMMYFUNCTION("""COMPUTED_VALUE"""),"The Wedding He Stole")</f>
        <v>The Wedding He Stole</v>
      </c>
      <c r="C181" s="16" t="str">
        <f>IFERROR(__xludf.DUMMYFUNCTION("""COMPUTED_VALUE"""),"Romance")</f>
        <v>Romance</v>
      </c>
      <c r="D181" s="16">
        <f>IFERROR(__xludf.DUMMYFUNCTION("""COMPUTED_VALUE"""),31.0)</f>
        <v>31</v>
      </c>
      <c r="E181" s="16">
        <f>IFERROR(__xludf.DUMMYFUNCTION("""COMPUTED_VALUE"""),1.0)</f>
        <v>1</v>
      </c>
      <c r="F181" s="16">
        <f>IFERROR(__xludf.DUMMYFUNCTION("""COMPUTED_VALUE"""),0.774193548387096)</f>
        <v>0.7741935484</v>
      </c>
      <c r="G181" s="16">
        <f>IFERROR(__xludf.DUMMYFUNCTION("""COMPUTED_VALUE"""),0.741935483870967)</f>
        <v>0.7419354839</v>
      </c>
      <c r="H181" s="16">
        <f>IFERROR(__xludf.DUMMYFUNCTION("""COMPUTED_VALUE"""),0.677419354838709)</f>
        <v>0.6774193548</v>
      </c>
      <c r="I181" s="16">
        <f>IFERROR(__xludf.DUMMYFUNCTION("""COMPUTED_VALUE"""),0.64516129032258)</f>
        <v>0.6451612903</v>
      </c>
      <c r="J181" s="16">
        <f>IFERROR(__xludf.DUMMYFUNCTION("""COMPUTED_VALUE"""),0.64516129032258)</f>
        <v>0.6451612903</v>
      </c>
      <c r="K181" s="16">
        <f>IFERROR(__xludf.DUMMYFUNCTION("""COMPUTED_VALUE"""),0.483870967741935)</f>
        <v>0.4838709677</v>
      </c>
      <c r="L181" s="16">
        <f>IFERROR(__xludf.DUMMYFUNCTION("""COMPUTED_VALUE"""),0.483870967741935)</f>
        <v>0.4838709677</v>
      </c>
      <c r="M181" s="16">
        <f>IFERROR(__xludf.DUMMYFUNCTION("""COMPUTED_VALUE"""),0.419354838709677)</f>
        <v>0.4193548387</v>
      </c>
      <c r="N181" s="16">
        <f>IFERROR(__xludf.DUMMYFUNCTION("""COMPUTED_VALUE"""),0.387096774193548)</f>
        <v>0.3870967742</v>
      </c>
      <c r="O181" s="16">
        <f>IFERROR(__xludf.DUMMYFUNCTION("""COMPUTED_VALUE"""),0.225806451612903)</f>
        <v>0.2258064516</v>
      </c>
      <c r="P181" s="16">
        <f>IFERROR(__xludf.DUMMYFUNCTION("""COMPUTED_VALUE"""),0.129032258064516)</f>
        <v>0.1290322581</v>
      </c>
      <c r="Q181" s="16">
        <f>IFERROR(__xludf.DUMMYFUNCTION("""COMPUTED_VALUE"""),0.0)</f>
        <v>0</v>
      </c>
      <c r="R181" s="16">
        <f>IFERROR(__xludf.DUMMYFUNCTION("""COMPUTED_VALUE"""),0.0)</f>
        <v>0</v>
      </c>
      <c r="S181" s="16">
        <f>IFERROR(__xludf.DUMMYFUNCTION("""COMPUTED_VALUE"""),0.0)</f>
        <v>0</v>
      </c>
      <c r="T181" s="16">
        <f>IFERROR(__xludf.DUMMYFUNCTION("""COMPUTED_VALUE"""),0.0)</f>
        <v>0</v>
      </c>
      <c r="U181" s="16">
        <f>IFERROR(__xludf.DUMMYFUNCTION("""COMPUTED_VALUE"""),0.0)</f>
        <v>0</v>
      </c>
      <c r="V181" s="16">
        <f>IFERROR(__xludf.DUMMYFUNCTION("""COMPUTED_VALUE"""),0.0)</f>
        <v>0</v>
      </c>
      <c r="W181" s="16">
        <f>IFERROR(__xludf.DUMMYFUNCTION("""COMPUTED_VALUE"""),0.0)</f>
        <v>0</v>
      </c>
      <c r="X181" s="16">
        <f>IFERROR(__xludf.DUMMYFUNCTION("""COMPUTED_VALUE"""),0.0)</f>
        <v>0</v>
      </c>
      <c r="Y181" s="16">
        <f>IFERROR(__xludf.DUMMYFUNCTION("""COMPUTED_VALUE"""),0.0)</f>
        <v>0</v>
      </c>
      <c r="Z181" s="16">
        <f>IFERROR(__xludf.DUMMYFUNCTION("""COMPUTED_VALUE"""),0.0)</f>
        <v>0</v>
      </c>
      <c r="AA181" s="16">
        <f>IFERROR(__xludf.DUMMYFUNCTION("""COMPUTED_VALUE"""),0.0)</f>
        <v>0</v>
      </c>
      <c r="AB181" s="16">
        <f>IFERROR(__xludf.DUMMYFUNCTION("""COMPUTED_VALUE"""),0.0)</f>
        <v>0</v>
      </c>
      <c r="AC181" s="16">
        <f>IFERROR(__xludf.DUMMYFUNCTION("""COMPUTED_VALUE"""),0.0)</f>
        <v>0</v>
      </c>
      <c r="AD181" s="16">
        <f>IFERROR(__xludf.DUMMYFUNCTION("""COMPUTED_VALUE"""),0.0)</f>
        <v>0</v>
      </c>
      <c r="AE181" s="16">
        <f>IFERROR(__xludf.DUMMYFUNCTION("""COMPUTED_VALUE"""),0.0)</f>
        <v>0</v>
      </c>
      <c r="AF181" s="16">
        <f>IFERROR(__xludf.DUMMYFUNCTION("""COMPUTED_VALUE"""),0.0)</f>
        <v>0</v>
      </c>
      <c r="AG181" s="16">
        <f>IFERROR(__xludf.DUMMYFUNCTION("""COMPUTED_VALUE"""),0.0)</f>
        <v>0</v>
      </c>
      <c r="AH181" s="16">
        <f>IFERROR(__xludf.DUMMYFUNCTION("""COMPUTED_VALUE"""),0.0)</f>
        <v>0</v>
      </c>
    </row>
    <row r="182">
      <c r="A182" s="16" t="str">
        <f>IFERROR(__xludf.DUMMYFUNCTION("""COMPUTED_VALUE"""),"a177a4f320c3acde252f084dc28be041cb221596")</f>
        <v>a177a4f320c3acde252f084dc28be041cb221596</v>
      </c>
      <c r="B182" s="16" t="str">
        <f>IFERROR(__xludf.DUMMYFUNCTION("""COMPUTED_VALUE"""),"The Boy With No Magic")</f>
        <v>The Boy With No Magic</v>
      </c>
      <c r="C182" s="16" t="str">
        <f>IFERROR(__xludf.DUMMYFUNCTION("""COMPUTED_VALUE"""),"Fantasy")</f>
        <v>Fantasy</v>
      </c>
      <c r="D182" s="16">
        <f>IFERROR(__xludf.DUMMYFUNCTION("""COMPUTED_VALUE"""),24.0)</f>
        <v>24</v>
      </c>
      <c r="E182" s="16">
        <f>IFERROR(__xludf.DUMMYFUNCTION("""COMPUTED_VALUE"""),1.0)</f>
        <v>1</v>
      </c>
      <c r="F182" s="16">
        <f>IFERROR(__xludf.DUMMYFUNCTION("""COMPUTED_VALUE"""),0.416666666666666)</f>
        <v>0.4166666667</v>
      </c>
      <c r="G182" s="16">
        <f>IFERROR(__xludf.DUMMYFUNCTION("""COMPUTED_VALUE"""),0.375)</f>
        <v>0.375</v>
      </c>
      <c r="H182" s="16">
        <f>IFERROR(__xludf.DUMMYFUNCTION("""COMPUTED_VALUE"""),0.375)</f>
        <v>0.375</v>
      </c>
      <c r="I182" s="16">
        <f>IFERROR(__xludf.DUMMYFUNCTION("""COMPUTED_VALUE"""),0.333333333333333)</f>
        <v>0.3333333333</v>
      </c>
      <c r="J182" s="16">
        <f>IFERROR(__xludf.DUMMYFUNCTION("""COMPUTED_VALUE"""),0.375)</f>
        <v>0.375</v>
      </c>
      <c r="K182" s="16">
        <f>IFERROR(__xludf.DUMMYFUNCTION("""COMPUTED_VALUE"""),0.333333333333333)</f>
        <v>0.3333333333</v>
      </c>
      <c r="L182" s="16">
        <f>IFERROR(__xludf.DUMMYFUNCTION("""COMPUTED_VALUE"""),0.291666666666666)</f>
        <v>0.2916666667</v>
      </c>
      <c r="M182" s="16">
        <f>IFERROR(__xludf.DUMMYFUNCTION("""COMPUTED_VALUE"""),0.291666666666666)</f>
        <v>0.2916666667</v>
      </c>
      <c r="N182" s="16">
        <f>IFERROR(__xludf.DUMMYFUNCTION("""COMPUTED_VALUE"""),0.304347826086956)</f>
        <v>0.3043478261</v>
      </c>
      <c r="O182" s="16">
        <f>IFERROR(__xludf.DUMMYFUNCTION("""COMPUTED_VALUE"""),0.272727272727272)</f>
        <v>0.2727272727</v>
      </c>
      <c r="P182" s="16">
        <f>IFERROR(__xludf.DUMMYFUNCTION("""COMPUTED_VALUE"""),0.238095238095238)</f>
        <v>0.2380952381</v>
      </c>
      <c r="Q182" s="16">
        <f>IFERROR(__xludf.DUMMYFUNCTION("""COMPUTED_VALUE"""),0.0)</f>
        <v>0</v>
      </c>
      <c r="R182" s="16">
        <f>IFERROR(__xludf.DUMMYFUNCTION("""COMPUTED_VALUE"""),0.0)</f>
        <v>0</v>
      </c>
      <c r="S182" s="16">
        <f>IFERROR(__xludf.DUMMYFUNCTION("""COMPUTED_VALUE"""),0.0)</f>
        <v>0</v>
      </c>
      <c r="T182" s="16">
        <f>IFERROR(__xludf.DUMMYFUNCTION("""COMPUTED_VALUE"""),0.0)</f>
        <v>0</v>
      </c>
      <c r="U182" s="16">
        <f>IFERROR(__xludf.DUMMYFUNCTION("""COMPUTED_VALUE"""),0.0)</f>
        <v>0</v>
      </c>
      <c r="V182" s="16">
        <f>IFERROR(__xludf.DUMMYFUNCTION("""COMPUTED_VALUE"""),0.0)</f>
        <v>0</v>
      </c>
      <c r="W182" s="16">
        <f>IFERROR(__xludf.DUMMYFUNCTION("""COMPUTED_VALUE"""),0.0)</f>
        <v>0</v>
      </c>
      <c r="X182" s="16">
        <f>IFERROR(__xludf.DUMMYFUNCTION("""COMPUTED_VALUE"""),0.0)</f>
        <v>0</v>
      </c>
      <c r="Y182" s="16">
        <f>IFERROR(__xludf.DUMMYFUNCTION("""COMPUTED_VALUE"""),0.0)</f>
        <v>0</v>
      </c>
      <c r="Z182" s="16">
        <f>IFERROR(__xludf.DUMMYFUNCTION("""COMPUTED_VALUE"""),0.0)</f>
        <v>0</v>
      </c>
      <c r="AA182" s="16">
        <f>IFERROR(__xludf.DUMMYFUNCTION("""COMPUTED_VALUE"""),0.0)</f>
        <v>0</v>
      </c>
      <c r="AB182" s="16">
        <f>IFERROR(__xludf.DUMMYFUNCTION("""COMPUTED_VALUE"""),0.0)</f>
        <v>0</v>
      </c>
      <c r="AC182" s="16">
        <f>IFERROR(__xludf.DUMMYFUNCTION("""COMPUTED_VALUE"""),0.0)</f>
        <v>0</v>
      </c>
      <c r="AD182" s="16">
        <f>IFERROR(__xludf.DUMMYFUNCTION("""COMPUTED_VALUE"""),0.0)</f>
        <v>0</v>
      </c>
      <c r="AE182" s="16">
        <f>IFERROR(__xludf.DUMMYFUNCTION("""COMPUTED_VALUE"""),0.0)</f>
        <v>0</v>
      </c>
      <c r="AF182" s="16">
        <f>IFERROR(__xludf.DUMMYFUNCTION("""COMPUTED_VALUE"""),0.0)</f>
        <v>0</v>
      </c>
      <c r="AG182" s="16">
        <f>IFERROR(__xludf.DUMMYFUNCTION("""COMPUTED_VALUE"""),0.0)</f>
        <v>0</v>
      </c>
      <c r="AH182" s="16">
        <f>IFERROR(__xludf.DUMMYFUNCTION("""COMPUTED_VALUE"""),0.0)</f>
        <v>0</v>
      </c>
    </row>
    <row r="183">
      <c r="A183" s="16" t="str">
        <f>IFERROR(__xludf.DUMMYFUNCTION("""COMPUTED_VALUE"""),"a20d15b2c087672afecf4c46baa7e9368a4cbb9f")</f>
        <v>a20d15b2c087672afecf4c46baa7e9368a4cbb9f</v>
      </c>
      <c r="B183" s="16" t="str">
        <f>IFERROR(__xludf.DUMMYFUNCTION("""COMPUTED_VALUE"""),"Secrets and Bloodline")</f>
        <v>Secrets and Bloodline</v>
      </c>
      <c r="C183" s="16" t="str">
        <f>IFERROR(__xludf.DUMMYFUNCTION("""COMPUTED_VALUE"""),"Romance")</f>
        <v>Romance</v>
      </c>
      <c r="D183" s="16">
        <f>IFERROR(__xludf.DUMMYFUNCTION("""COMPUTED_VALUE"""),19.0)</f>
        <v>19</v>
      </c>
      <c r="E183" s="16">
        <f>IFERROR(__xludf.DUMMYFUNCTION("""COMPUTED_VALUE"""),1.0)</f>
        <v>1</v>
      </c>
      <c r="F183" s="16">
        <f>IFERROR(__xludf.DUMMYFUNCTION("""COMPUTED_VALUE"""),0.421052631578947)</f>
        <v>0.4210526316</v>
      </c>
      <c r="G183" s="16">
        <f>IFERROR(__xludf.DUMMYFUNCTION("""COMPUTED_VALUE"""),0.31578947368421)</f>
        <v>0.3157894737</v>
      </c>
      <c r="H183" s="16">
        <f>IFERROR(__xludf.DUMMYFUNCTION("""COMPUTED_VALUE"""),0.263157894736842)</f>
        <v>0.2631578947</v>
      </c>
      <c r="I183" s="16">
        <f>IFERROR(__xludf.DUMMYFUNCTION("""COMPUTED_VALUE"""),0.210526315789473)</f>
        <v>0.2105263158</v>
      </c>
      <c r="J183" s="16">
        <f>IFERROR(__xludf.DUMMYFUNCTION("""COMPUTED_VALUE"""),0.210526315789473)</f>
        <v>0.2105263158</v>
      </c>
      <c r="K183" s="16">
        <f>IFERROR(__xludf.DUMMYFUNCTION("""COMPUTED_VALUE"""),0.210526315789473)</f>
        <v>0.2105263158</v>
      </c>
      <c r="L183" s="16">
        <f>IFERROR(__xludf.DUMMYFUNCTION("""COMPUTED_VALUE"""),0.235294117647058)</f>
        <v>0.2352941176</v>
      </c>
      <c r="M183" s="16">
        <f>IFERROR(__xludf.DUMMYFUNCTION("""COMPUTED_VALUE"""),0.25)</f>
        <v>0.25</v>
      </c>
      <c r="N183" s="16">
        <f>IFERROR(__xludf.DUMMYFUNCTION("""COMPUTED_VALUE"""),0.214285714285714)</f>
        <v>0.2142857143</v>
      </c>
      <c r="O183" s="16">
        <f>IFERROR(__xludf.DUMMYFUNCTION("""COMPUTED_VALUE"""),0.222222222222222)</f>
        <v>0.2222222222</v>
      </c>
      <c r="P183" s="16">
        <f>IFERROR(__xludf.DUMMYFUNCTION("""COMPUTED_VALUE"""),0.0)</f>
        <v>0</v>
      </c>
      <c r="Q183" s="16">
        <f>IFERROR(__xludf.DUMMYFUNCTION("""COMPUTED_VALUE"""),0.0)</f>
        <v>0</v>
      </c>
      <c r="R183" s="16">
        <f>IFERROR(__xludf.DUMMYFUNCTION("""COMPUTED_VALUE"""),0.0)</f>
        <v>0</v>
      </c>
      <c r="S183" s="16">
        <f>IFERROR(__xludf.DUMMYFUNCTION("""COMPUTED_VALUE"""),0.0)</f>
        <v>0</v>
      </c>
      <c r="T183" s="16">
        <f>IFERROR(__xludf.DUMMYFUNCTION("""COMPUTED_VALUE"""),0.0)</f>
        <v>0</v>
      </c>
      <c r="U183" s="16">
        <f>IFERROR(__xludf.DUMMYFUNCTION("""COMPUTED_VALUE"""),0.0)</f>
        <v>0</v>
      </c>
      <c r="V183" s="16">
        <f>IFERROR(__xludf.DUMMYFUNCTION("""COMPUTED_VALUE"""),0.0)</f>
        <v>0</v>
      </c>
      <c r="W183" s="16">
        <f>IFERROR(__xludf.DUMMYFUNCTION("""COMPUTED_VALUE"""),0.0)</f>
        <v>0</v>
      </c>
      <c r="X183" s="16">
        <f>IFERROR(__xludf.DUMMYFUNCTION("""COMPUTED_VALUE"""),0.0)</f>
        <v>0</v>
      </c>
      <c r="Y183" s="16">
        <f>IFERROR(__xludf.DUMMYFUNCTION("""COMPUTED_VALUE"""),0.0)</f>
        <v>0</v>
      </c>
      <c r="Z183" s="16">
        <f>IFERROR(__xludf.DUMMYFUNCTION("""COMPUTED_VALUE"""),0.0)</f>
        <v>0</v>
      </c>
      <c r="AA183" s="16">
        <f>IFERROR(__xludf.DUMMYFUNCTION("""COMPUTED_VALUE"""),0.0)</f>
        <v>0</v>
      </c>
      <c r="AB183" s="16">
        <f>IFERROR(__xludf.DUMMYFUNCTION("""COMPUTED_VALUE"""),0.0)</f>
        <v>0</v>
      </c>
      <c r="AC183" s="16">
        <f>IFERROR(__xludf.DUMMYFUNCTION("""COMPUTED_VALUE"""),0.0)</f>
        <v>0</v>
      </c>
      <c r="AD183" s="16">
        <f>IFERROR(__xludf.DUMMYFUNCTION("""COMPUTED_VALUE"""),0.0)</f>
        <v>0</v>
      </c>
      <c r="AE183" s="16">
        <f>IFERROR(__xludf.DUMMYFUNCTION("""COMPUTED_VALUE"""),0.0)</f>
        <v>0</v>
      </c>
      <c r="AF183" s="16">
        <f>IFERROR(__xludf.DUMMYFUNCTION("""COMPUTED_VALUE"""),0.0)</f>
        <v>0</v>
      </c>
      <c r="AG183" s="16">
        <f>IFERROR(__xludf.DUMMYFUNCTION("""COMPUTED_VALUE"""),0.0)</f>
        <v>0</v>
      </c>
      <c r="AH183" s="16">
        <f>IFERROR(__xludf.DUMMYFUNCTION("""COMPUTED_VALUE"""),0.0)</f>
        <v>0</v>
      </c>
    </row>
    <row r="184">
      <c r="A184" s="16" t="str">
        <f>IFERROR(__xludf.DUMMYFUNCTION("""COMPUTED_VALUE"""),"a3d40a3745a853e245e802a317e3934318836a28")</f>
        <v>a3d40a3745a853e245e802a317e3934318836a28</v>
      </c>
      <c r="B184" s="16" t="str">
        <f>IFERROR(__xludf.DUMMYFUNCTION("""COMPUTED_VALUE"""),"The Amazing Idiot Man")</f>
        <v>The Amazing Idiot Man</v>
      </c>
      <c r="C184" s="16" t="str">
        <f>IFERROR(__xludf.DUMMYFUNCTION("""COMPUTED_VALUE"""),"Drama")</f>
        <v>Drama</v>
      </c>
      <c r="D184" s="16">
        <f>IFERROR(__xludf.DUMMYFUNCTION("""COMPUTED_VALUE"""),435.0)</f>
        <v>435</v>
      </c>
      <c r="E184" s="16">
        <f>IFERROR(__xludf.DUMMYFUNCTION("""COMPUTED_VALUE"""),0.967816091954023)</f>
        <v>0.967816092</v>
      </c>
      <c r="F184" s="16">
        <f>IFERROR(__xludf.DUMMYFUNCTION("""COMPUTED_VALUE"""),0.581609195402298)</f>
        <v>0.5816091954</v>
      </c>
      <c r="G184" s="16">
        <f>IFERROR(__xludf.DUMMYFUNCTION("""COMPUTED_VALUE"""),0.512643678160919)</f>
        <v>0.5126436782</v>
      </c>
      <c r="H184" s="16">
        <f>IFERROR(__xludf.DUMMYFUNCTION("""COMPUTED_VALUE"""),0.459770114942528)</f>
        <v>0.4597701149</v>
      </c>
      <c r="I184" s="16">
        <f>IFERROR(__xludf.DUMMYFUNCTION("""COMPUTED_VALUE"""),0.429885057471264)</f>
        <v>0.4298850575</v>
      </c>
      <c r="J184" s="16">
        <f>IFERROR(__xludf.DUMMYFUNCTION("""COMPUTED_VALUE"""),0.411494252873563)</f>
        <v>0.4114942529</v>
      </c>
      <c r="K184" s="16">
        <f>IFERROR(__xludf.DUMMYFUNCTION("""COMPUTED_VALUE"""),0.381609195402298)</f>
        <v>0.3816091954</v>
      </c>
      <c r="L184" s="16">
        <f>IFERROR(__xludf.DUMMYFUNCTION("""COMPUTED_VALUE"""),0.349425287356321)</f>
        <v>0.3494252874</v>
      </c>
      <c r="M184" s="16">
        <f>IFERROR(__xludf.DUMMYFUNCTION("""COMPUTED_VALUE"""),0.340229885057471)</f>
        <v>0.3402298851</v>
      </c>
      <c r="N184" s="16">
        <f>IFERROR(__xludf.DUMMYFUNCTION("""COMPUTED_VALUE"""),0.324137931034482)</f>
        <v>0.324137931</v>
      </c>
      <c r="O184" s="16">
        <f>IFERROR(__xludf.DUMMYFUNCTION("""COMPUTED_VALUE"""),0.271889400921659)</f>
        <v>0.2718894009</v>
      </c>
      <c r="P184" s="16">
        <f>IFERROR(__xludf.DUMMYFUNCTION("""COMPUTED_VALUE"""),0.212616822429906)</f>
        <v>0.2126168224</v>
      </c>
      <c r="Q184" s="16">
        <f>IFERROR(__xludf.DUMMYFUNCTION("""COMPUTED_VALUE"""),0.0)</f>
        <v>0</v>
      </c>
      <c r="R184" s="16">
        <f>IFERROR(__xludf.DUMMYFUNCTION("""COMPUTED_VALUE"""),0.0)</f>
        <v>0</v>
      </c>
      <c r="S184" s="16">
        <f>IFERROR(__xludf.DUMMYFUNCTION("""COMPUTED_VALUE"""),0.0)</f>
        <v>0</v>
      </c>
      <c r="T184" s="16">
        <f>IFERROR(__xludf.DUMMYFUNCTION("""COMPUTED_VALUE"""),0.0)</f>
        <v>0</v>
      </c>
      <c r="U184" s="16">
        <f>IFERROR(__xludf.DUMMYFUNCTION("""COMPUTED_VALUE"""),0.0)</f>
        <v>0</v>
      </c>
      <c r="V184" s="16">
        <f>IFERROR(__xludf.DUMMYFUNCTION("""COMPUTED_VALUE"""),0.0)</f>
        <v>0</v>
      </c>
      <c r="W184" s="16">
        <f>IFERROR(__xludf.DUMMYFUNCTION("""COMPUTED_VALUE"""),0.0)</f>
        <v>0</v>
      </c>
      <c r="X184" s="16">
        <f>IFERROR(__xludf.DUMMYFUNCTION("""COMPUTED_VALUE"""),0.0)</f>
        <v>0</v>
      </c>
      <c r="Y184" s="16">
        <f>IFERROR(__xludf.DUMMYFUNCTION("""COMPUTED_VALUE"""),0.0)</f>
        <v>0</v>
      </c>
      <c r="Z184" s="16">
        <f>IFERROR(__xludf.DUMMYFUNCTION("""COMPUTED_VALUE"""),0.0)</f>
        <v>0</v>
      </c>
      <c r="AA184" s="16">
        <f>IFERROR(__xludf.DUMMYFUNCTION("""COMPUTED_VALUE"""),0.0)</f>
        <v>0</v>
      </c>
      <c r="AB184" s="16">
        <f>IFERROR(__xludf.DUMMYFUNCTION("""COMPUTED_VALUE"""),0.0)</f>
        <v>0</v>
      </c>
      <c r="AC184" s="16">
        <f>IFERROR(__xludf.DUMMYFUNCTION("""COMPUTED_VALUE"""),0.0)</f>
        <v>0</v>
      </c>
      <c r="AD184" s="16">
        <f>IFERROR(__xludf.DUMMYFUNCTION("""COMPUTED_VALUE"""),0.0)</f>
        <v>0</v>
      </c>
      <c r="AE184" s="16">
        <f>IFERROR(__xludf.DUMMYFUNCTION("""COMPUTED_VALUE"""),0.0)</f>
        <v>0</v>
      </c>
      <c r="AF184" s="16">
        <f>IFERROR(__xludf.DUMMYFUNCTION("""COMPUTED_VALUE"""),0.0)</f>
        <v>0</v>
      </c>
      <c r="AG184" s="16">
        <f>IFERROR(__xludf.DUMMYFUNCTION("""COMPUTED_VALUE"""),0.0)</f>
        <v>0</v>
      </c>
      <c r="AH184" s="16">
        <f>IFERROR(__xludf.DUMMYFUNCTION("""COMPUTED_VALUE"""),0.0)</f>
        <v>0</v>
      </c>
    </row>
    <row r="185">
      <c r="A185" s="16" t="str">
        <f>IFERROR(__xludf.DUMMYFUNCTION("""COMPUTED_VALUE"""),"a48f5e77f994307c8a39968302f28c62b0c654af")</f>
        <v>a48f5e77f994307c8a39968302f28c62b0c654af</v>
      </c>
      <c r="B185" s="16" t="str">
        <f>IFERROR(__xludf.DUMMYFUNCTION("""COMPUTED_VALUE"""),"Battle Master")</f>
        <v>Battle Master</v>
      </c>
      <c r="C185" s="16" t="str">
        <f>IFERROR(__xludf.DUMMYFUNCTION("""COMPUTED_VALUE"""),"Fantasy")</f>
        <v>Fantasy</v>
      </c>
      <c r="D185" s="16">
        <f>IFERROR(__xludf.DUMMYFUNCTION("""COMPUTED_VALUE"""),461.0)</f>
        <v>461</v>
      </c>
      <c r="E185" s="16">
        <f>IFERROR(__xludf.DUMMYFUNCTION("""COMPUTED_VALUE"""),0.986984815618221)</f>
        <v>0.9869848156</v>
      </c>
      <c r="F185" s="16">
        <f>IFERROR(__xludf.DUMMYFUNCTION("""COMPUTED_VALUE"""),0.64642082429501)</f>
        <v>0.6464208243</v>
      </c>
      <c r="G185" s="16">
        <f>IFERROR(__xludf.DUMMYFUNCTION("""COMPUTED_VALUE"""),0.605206073752711)</f>
        <v>0.6052060738</v>
      </c>
      <c r="H185" s="16">
        <f>IFERROR(__xludf.DUMMYFUNCTION("""COMPUTED_VALUE"""),0.546637744034707)</f>
        <v>0.546637744</v>
      </c>
      <c r="I185" s="16">
        <f>IFERROR(__xludf.DUMMYFUNCTION("""COMPUTED_VALUE"""),0.529284164859002)</f>
        <v>0.5292841649</v>
      </c>
      <c r="J185" s="16">
        <f>IFERROR(__xludf.DUMMYFUNCTION("""COMPUTED_VALUE"""),0.484848484848484)</f>
        <v>0.4848484848</v>
      </c>
      <c r="K185" s="16">
        <f>IFERROR(__xludf.DUMMYFUNCTION("""COMPUTED_VALUE"""),0.436224489795918)</f>
        <v>0.4362244898</v>
      </c>
      <c r="L185" s="16">
        <f>IFERROR(__xludf.DUMMYFUNCTION("""COMPUTED_VALUE"""),0.401146131805157)</f>
        <v>0.4011461318</v>
      </c>
      <c r="M185" s="16">
        <f>IFERROR(__xludf.DUMMYFUNCTION("""COMPUTED_VALUE"""),0.396363636363636)</f>
        <v>0.3963636364</v>
      </c>
      <c r="N185" s="16">
        <f>IFERROR(__xludf.DUMMYFUNCTION("""COMPUTED_VALUE"""),0.349397590361445)</f>
        <v>0.3493975904</v>
      </c>
      <c r="O185" s="16">
        <f>IFERROR(__xludf.DUMMYFUNCTION("""COMPUTED_VALUE"""),0.0)</f>
        <v>0</v>
      </c>
      <c r="P185" s="16">
        <f>IFERROR(__xludf.DUMMYFUNCTION("""COMPUTED_VALUE"""),0.0)</f>
        <v>0</v>
      </c>
      <c r="Q185" s="16">
        <f>IFERROR(__xludf.DUMMYFUNCTION("""COMPUTED_VALUE"""),0.0)</f>
        <v>0</v>
      </c>
      <c r="R185" s="16">
        <f>IFERROR(__xludf.DUMMYFUNCTION("""COMPUTED_VALUE"""),0.0)</f>
        <v>0</v>
      </c>
      <c r="S185" s="16">
        <f>IFERROR(__xludf.DUMMYFUNCTION("""COMPUTED_VALUE"""),0.0)</f>
        <v>0</v>
      </c>
      <c r="T185" s="16">
        <f>IFERROR(__xludf.DUMMYFUNCTION("""COMPUTED_VALUE"""),0.0)</f>
        <v>0</v>
      </c>
      <c r="U185" s="16">
        <f>IFERROR(__xludf.DUMMYFUNCTION("""COMPUTED_VALUE"""),0.0)</f>
        <v>0</v>
      </c>
      <c r="V185" s="16">
        <f>IFERROR(__xludf.DUMMYFUNCTION("""COMPUTED_VALUE"""),0.0)</f>
        <v>0</v>
      </c>
      <c r="W185" s="16">
        <f>IFERROR(__xludf.DUMMYFUNCTION("""COMPUTED_VALUE"""),0.0)</f>
        <v>0</v>
      </c>
      <c r="X185" s="16">
        <f>IFERROR(__xludf.DUMMYFUNCTION("""COMPUTED_VALUE"""),0.0)</f>
        <v>0</v>
      </c>
      <c r="Y185" s="16">
        <f>IFERROR(__xludf.DUMMYFUNCTION("""COMPUTED_VALUE"""),0.0)</f>
        <v>0</v>
      </c>
      <c r="Z185" s="16">
        <f>IFERROR(__xludf.DUMMYFUNCTION("""COMPUTED_VALUE"""),0.0)</f>
        <v>0</v>
      </c>
      <c r="AA185" s="16">
        <f>IFERROR(__xludf.DUMMYFUNCTION("""COMPUTED_VALUE"""),0.0)</f>
        <v>0</v>
      </c>
      <c r="AB185" s="16">
        <f>IFERROR(__xludf.DUMMYFUNCTION("""COMPUTED_VALUE"""),0.0)</f>
        <v>0</v>
      </c>
      <c r="AC185" s="16">
        <f>IFERROR(__xludf.DUMMYFUNCTION("""COMPUTED_VALUE"""),0.0)</f>
        <v>0</v>
      </c>
      <c r="AD185" s="16">
        <f>IFERROR(__xludf.DUMMYFUNCTION("""COMPUTED_VALUE"""),0.0)</f>
        <v>0</v>
      </c>
      <c r="AE185" s="16">
        <f>IFERROR(__xludf.DUMMYFUNCTION("""COMPUTED_VALUE"""),0.0)</f>
        <v>0</v>
      </c>
      <c r="AF185" s="16">
        <f>IFERROR(__xludf.DUMMYFUNCTION("""COMPUTED_VALUE"""),0.0)</f>
        <v>0</v>
      </c>
      <c r="AG185" s="16">
        <f>IFERROR(__xludf.DUMMYFUNCTION("""COMPUTED_VALUE"""),0.0)</f>
        <v>0</v>
      </c>
      <c r="AH185" s="16">
        <f>IFERROR(__xludf.DUMMYFUNCTION("""COMPUTED_VALUE"""),0.0)</f>
        <v>0</v>
      </c>
    </row>
    <row r="186">
      <c r="A186" s="16" t="str">
        <f>IFERROR(__xludf.DUMMYFUNCTION("""COMPUTED_VALUE"""),"a4dd4053a025d38e2c0410dbcf348862c41c4c5b")</f>
        <v>a4dd4053a025d38e2c0410dbcf348862c41c4c5b</v>
      </c>
      <c r="B186" s="16" t="str">
        <f>IFERROR(__xludf.DUMMYFUNCTION("""COMPUTED_VALUE"""),"Twin Betrayal, Enemy Love")</f>
        <v>Twin Betrayal, Enemy Love</v>
      </c>
      <c r="C186" s="16" t="str">
        <f>IFERROR(__xludf.DUMMYFUNCTION("""COMPUTED_VALUE"""),"Romance")</f>
        <v>Romance</v>
      </c>
      <c r="D186" s="16">
        <f>IFERROR(__xludf.DUMMYFUNCTION("""COMPUTED_VALUE"""),66.0)</f>
        <v>66</v>
      </c>
      <c r="E186" s="16">
        <f>IFERROR(__xludf.DUMMYFUNCTION("""COMPUTED_VALUE"""),0.984848484848484)</f>
        <v>0.9848484848</v>
      </c>
      <c r="F186" s="16">
        <f>IFERROR(__xludf.DUMMYFUNCTION("""COMPUTED_VALUE"""),0.636363636363636)</f>
        <v>0.6363636364</v>
      </c>
      <c r="G186" s="16">
        <f>IFERROR(__xludf.DUMMYFUNCTION("""COMPUTED_VALUE"""),0.5)</f>
        <v>0.5</v>
      </c>
      <c r="H186" s="16">
        <f>IFERROR(__xludf.DUMMYFUNCTION("""COMPUTED_VALUE"""),0.454545454545454)</f>
        <v>0.4545454545</v>
      </c>
      <c r="I186" s="16">
        <f>IFERROR(__xludf.DUMMYFUNCTION("""COMPUTED_VALUE"""),0.454545454545454)</f>
        <v>0.4545454545</v>
      </c>
      <c r="J186" s="16">
        <f>IFERROR(__xludf.DUMMYFUNCTION("""COMPUTED_VALUE"""),0.409090909090909)</f>
        <v>0.4090909091</v>
      </c>
      <c r="K186" s="16">
        <f>IFERROR(__xludf.DUMMYFUNCTION("""COMPUTED_VALUE"""),0.378787878787878)</f>
        <v>0.3787878788</v>
      </c>
      <c r="L186" s="16">
        <f>IFERROR(__xludf.DUMMYFUNCTION("""COMPUTED_VALUE"""),0.348484848484848)</f>
        <v>0.3484848485</v>
      </c>
      <c r="M186" s="16">
        <f>IFERROR(__xludf.DUMMYFUNCTION("""COMPUTED_VALUE"""),0.303030303030303)</f>
        <v>0.303030303</v>
      </c>
      <c r="N186" s="16">
        <f>IFERROR(__xludf.DUMMYFUNCTION("""COMPUTED_VALUE"""),0.272727272727272)</f>
        <v>0.2727272727</v>
      </c>
      <c r="O186" s="16">
        <f>IFERROR(__xludf.DUMMYFUNCTION("""COMPUTED_VALUE"""),0.212121212121212)</f>
        <v>0.2121212121</v>
      </c>
      <c r="P186" s="16">
        <f>IFERROR(__xludf.DUMMYFUNCTION("""COMPUTED_VALUE"""),0.106060606060606)</f>
        <v>0.1060606061</v>
      </c>
      <c r="Q186" s="16">
        <f>IFERROR(__xludf.DUMMYFUNCTION("""COMPUTED_VALUE"""),0.0769230769230769)</f>
        <v>0.07692307692</v>
      </c>
      <c r="R186" s="16">
        <f>IFERROR(__xludf.DUMMYFUNCTION("""COMPUTED_VALUE"""),0.0727272727272727)</f>
        <v>0.07272727273</v>
      </c>
      <c r="S186" s="16">
        <f>IFERROR(__xludf.DUMMYFUNCTION("""COMPUTED_VALUE"""),0.0465116279069767)</f>
        <v>0.04651162791</v>
      </c>
      <c r="T186" s="16">
        <f>IFERROR(__xludf.DUMMYFUNCTION("""COMPUTED_VALUE"""),0.0)</f>
        <v>0</v>
      </c>
      <c r="U186" s="16">
        <f>IFERROR(__xludf.DUMMYFUNCTION("""COMPUTED_VALUE"""),0.0)</f>
        <v>0</v>
      </c>
      <c r="V186" s="16">
        <f>IFERROR(__xludf.DUMMYFUNCTION("""COMPUTED_VALUE"""),0.0)</f>
        <v>0</v>
      </c>
      <c r="W186" s="16">
        <f>IFERROR(__xludf.DUMMYFUNCTION("""COMPUTED_VALUE"""),0.0)</f>
        <v>0</v>
      </c>
      <c r="X186" s="16">
        <f>IFERROR(__xludf.DUMMYFUNCTION("""COMPUTED_VALUE"""),0.0)</f>
        <v>0</v>
      </c>
      <c r="Y186" s="16">
        <f>IFERROR(__xludf.DUMMYFUNCTION("""COMPUTED_VALUE"""),0.0)</f>
        <v>0</v>
      </c>
      <c r="Z186" s="16">
        <f>IFERROR(__xludf.DUMMYFUNCTION("""COMPUTED_VALUE"""),0.0)</f>
        <v>0</v>
      </c>
      <c r="AA186" s="16">
        <f>IFERROR(__xludf.DUMMYFUNCTION("""COMPUTED_VALUE"""),0.0)</f>
        <v>0</v>
      </c>
      <c r="AB186" s="16">
        <f>IFERROR(__xludf.DUMMYFUNCTION("""COMPUTED_VALUE"""),0.0)</f>
        <v>0</v>
      </c>
      <c r="AC186" s="16">
        <f>IFERROR(__xludf.DUMMYFUNCTION("""COMPUTED_VALUE"""),0.0)</f>
        <v>0</v>
      </c>
      <c r="AD186" s="16">
        <f>IFERROR(__xludf.DUMMYFUNCTION("""COMPUTED_VALUE"""),0.0)</f>
        <v>0</v>
      </c>
      <c r="AE186" s="16">
        <f>IFERROR(__xludf.DUMMYFUNCTION("""COMPUTED_VALUE"""),0.0)</f>
        <v>0</v>
      </c>
      <c r="AF186" s="16">
        <f>IFERROR(__xludf.DUMMYFUNCTION("""COMPUTED_VALUE"""),0.0)</f>
        <v>0</v>
      </c>
      <c r="AG186" s="16">
        <f>IFERROR(__xludf.DUMMYFUNCTION("""COMPUTED_VALUE"""),0.0)</f>
        <v>0</v>
      </c>
      <c r="AH186" s="16">
        <f>IFERROR(__xludf.DUMMYFUNCTION("""COMPUTED_VALUE"""),0.0)</f>
        <v>0</v>
      </c>
    </row>
    <row r="187">
      <c r="A187" s="16" t="str">
        <f>IFERROR(__xludf.DUMMYFUNCTION("""COMPUTED_VALUE"""),"a6268ee1800866a09bab6b47c61f885556992b45")</f>
        <v>a6268ee1800866a09bab6b47c61f885556992b45</v>
      </c>
      <c r="B187" s="16" t="str">
        <f>IFERROR(__xludf.DUMMYFUNCTION("""COMPUTED_VALUE"""),"The System Creation: Intergalactic Entry")</f>
        <v>The System Creation: Intergalactic Entry</v>
      </c>
      <c r="C187" s="16" t="str">
        <f>IFERROR(__xludf.DUMMYFUNCTION("""COMPUTED_VALUE"""),"System and Superpower")</f>
        <v>System and Superpower</v>
      </c>
      <c r="D187" s="16">
        <f>IFERROR(__xludf.DUMMYFUNCTION("""COMPUTED_VALUE"""),6388.0)</f>
        <v>6388</v>
      </c>
      <c r="E187" s="16">
        <f>IFERROR(__xludf.DUMMYFUNCTION("""COMPUTED_VALUE"""),0.938634940513462)</f>
        <v>0.9386349405</v>
      </c>
      <c r="F187" s="16">
        <f>IFERROR(__xludf.DUMMYFUNCTION("""COMPUTED_VALUE"""),0.513462742642454)</f>
        <v>0.5134627426</v>
      </c>
      <c r="G187" s="16">
        <f>IFERROR(__xludf.DUMMYFUNCTION("""COMPUTED_VALUE"""),0.451314965560425)</f>
        <v>0.4513149656</v>
      </c>
      <c r="H187" s="16">
        <f>IFERROR(__xludf.DUMMYFUNCTION("""COMPUTED_VALUE"""),0.407952410770194)</f>
        <v>0.4079524108</v>
      </c>
      <c r="I187" s="16">
        <f>IFERROR(__xludf.DUMMYFUNCTION("""COMPUTED_VALUE"""),0.389010644959298)</f>
        <v>0.389010645</v>
      </c>
      <c r="J187" s="16">
        <f>IFERROR(__xludf.DUMMYFUNCTION("""COMPUTED_VALUE"""),0.369047619047619)</f>
        <v>0.369047619</v>
      </c>
      <c r="K187" s="16">
        <f>IFERROR(__xludf.DUMMYFUNCTION("""COMPUTED_VALUE"""),0.356896551724137)</f>
        <v>0.3568965517</v>
      </c>
      <c r="L187" s="16">
        <f>IFERROR(__xludf.DUMMYFUNCTION("""COMPUTED_VALUE"""),0.34610552763819)</f>
        <v>0.3461055276</v>
      </c>
      <c r="M187" s="16">
        <f>IFERROR(__xludf.DUMMYFUNCTION("""COMPUTED_VALUE"""),0.331239202136013)</f>
        <v>0.3312392021</v>
      </c>
      <c r="N187" s="16">
        <f>IFERROR(__xludf.DUMMYFUNCTION("""COMPUTED_VALUE"""),0.315988052193051)</f>
        <v>0.3159880522</v>
      </c>
      <c r="O187" s="16">
        <f>IFERROR(__xludf.DUMMYFUNCTION("""COMPUTED_VALUE"""),0.290791344179434)</f>
        <v>0.2907913442</v>
      </c>
      <c r="P187" s="16">
        <f>IFERROR(__xludf.DUMMYFUNCTION("""COMPUTED_VALUE"""),0.243140364789849)</f>
        <v>0.2431403648</v>
      </c>
      <c r="Q187" s="16">
        <f>IFERROR(__xludf.DUMMYFUNCTION("""COMPUTED_VALUE"""),0.190796857463524)</f>
        <v>0.1907968575</v>
      </c>
      <c r="R187" s="16">
        <f>IFERROR(__xludf.DUMMYFUNCTION("""COMPUTED_VALUE"""),0.17037037037037)</f>
        <v>0.1703703704</v>
      </c>
      <c r="S187" s="16">
        <f>IFERROR(__xludf.DUMMYFUNCTION("""COMPUTED_VALUE"""),0.152602651147752)</f>
        <v>0.1526026511</v>
      </c>
      <c r="T187" s="16">
        <f>IFERROR(__xludf.DUMMYFUNCTION("""COMPUTED_VALUE"""),0.141766807405001)</f>
        <v>0.1417668074</v>
      </c>
      <c r="U187" s="16">
        <f>IFERROR(__xludf.DUMMYFUNCTION("""COMPUTED_VALUE"""),0.131746290559269)</f>
        <v>0.1317462906</v>
      </c>
      <c r="V187" s="16">
        <f>IFERROR(__xludf.DUMMYFUNCTION("""COMPUTED_VALUE"""),0.123934426229508)</f>
        <v>0.1239344262</v>
      </c>
      <c r="W187" s="16">
        <f>IFERROR(__xludf.DUMMYFUNCTION("""COMPUTED_VALUE"""),0.113359657782165)</f>
        <v>0.1133596578</v>
      </c>
      <c r="X187" s="16">
        <f>IFERROR(__xludf.DUMMYFUNCTION("""COMPUTED_VALUE"""),0.102067824648469)</f>
        <v>0.1020678246</v>
      </c>
      <c r="Y187" s="16">
        <f>IFERROR(__xludf.DUMMYFUNCTION("""COMPUTED_VALUE"""),0.0907060642501288)</f>
        <v>0.09070606425</v>
      </c>
      <c r="Z187" s="16">
        <f>IFERROR(__xludf.DUMMYFUNCTION("""COMPUTED_VALUE"""),0.0851101634683724)</f>
        <v>0.08511016347</v>
      </c>
      <c r="AA187" s="16">
        <f>IFERROR(__xludf.DUMMYFUNCTION("""COMPUTED_VALUE"""),0.078620941262313)</f>
        <v>0.07862094126</v>
      </c>
      <c r="AB187" s="16">
        <f>IFERROR(__xludf.DUMMYFUNCTION("""COMPUTED_VALUE"""),0.0742685671417854)</f>
        <v>0.07426856714</v>
      </c>
      <c r="AC187" s="16">
        <f>IFERROR(__xludf.DUMMYFUNCTION("""COMPUTED_VALUE"""),0.0727560300514037)</f>
        <v>0.07275603005</v>
      </c>
      <c r="AD187" s="16">
        <f>IFERROR(__xludf.DUMMYFUNCTION("""COMPUTED_VALUE"""),0.0683528428093645)</f>
        <v>0.06835284281</v>
      </c>
      <c r="AE187" s="16">
        <f>IFERROR(__xludf.DUMMYFUNCTION("""COMPUTED_VALUE"""),0.0606605257245562)</f>
        <v>0.06066052572</v>
      </c>
      <c r="AF187" s="16">
        <f>IFERROR(__xludf.DUMMYFUNCTION("""COMPUTED_VALUE"""),0.055396370582617)</f>
        <v>0.05539637058</v>
      </c>
      <c r="AG187" s="16">
        <f>IFERROR(__xludf.DUMMYFUNCTION("""COMPUTED_VALUE"""),0.0490575781048282)</f>
        <v>0.0490575781</v>
      </c>
      <c r="AH187" s="16">
        <f>IFERROR(__xludf.DUMMYFUNCTION("""COMPUTED_VALUE"""),0.0449561403508771)</f>
        <v>0.04495614035</v>
      </c>
    </row>
    <row r="188">
      <c r="A188" s="16" t="str">
        <f>IFERROR(__xludf.DUMMYFUNCTION("""COMPUTED_VALUE"""),"a6f94887cb30090252bc97e34a7a53c7a6555b8d")</f>
        <v>a6f94887cb30090252bc97e34a7a53c7a6555b8d</v>
      </c>
      <c r="B188" s="16" t="str">
        <f>IFERROR(__xludf.DUMMYFUNCTION("""COMPUTED_VALUE"""),"A Surrogate Bride for a Paralyzed Ceo")</f>
        <v>A Surrogate Bride for a Paralyzed Ceo</v>
      </c>
      <c r="C188" s="16" t="str">
        <f>IFERROR(__xludf.DUMMYFUNCTION("""COMPUTED_VALUE"""),"Drama")</f>
        <v>Drama</v>
      </c>
      <c r="D188" s="16">
        <f>IFERROR(__xludf.DUMMYFUNCTION("""COMPUTED_VALUE"""),735.0)</f>
        <v>735</v>
      </c>
      <c r="E188" s="16">
        <f>IFERROR(__xludf.DUMMYFUNCTION("""COMPUTED_VALUE"""),0.887074829931972)</f>
        <v>0.8870748299</v>
      </c>
      <c r="F188" s="16">
        <f>IFERROR(__xludf.DUMMYFUNCTION("""COMPUTED_VALUE"""),0.538775510204081)</f>
        <v>0.5387755102</v>
      </c>
      <c r="G188" s="16">
        <f>IFERROR(__xludf.DUMMYFUNCTION("""COMPUTED_VALUE"""),0.489795918367346)</f>
        <v>0.4897959184</v>
      </c>
      <c r="H188" s="16">
        <f>IFERROR(__xludf.DUMMYFUNCTION("""COMPUTED_VALUE"""),0.451700680272108)</f>
        <v>0.4517006803</v>
      </c>
      <c r="I188" s="16">
        <f>IFERROR(__xludf.DUMMYFUNCTION("""COMPUTED_VALUE"""),0.438095238095238)</f>
        <v>0.4380952381</v>
      </c>
      <c r="J188" s="16">
        <f>IFERROR(__xludf.DUMMYFUNCTION("""COMPUTED_VALUE"""),0.420408163265306)</f>
        <v>0.4204081633</v>
      </c>
      <c r="K188" s="16">
        <f>IFERROR(__xludf.DUMMYFUNCTION("""COMPUTED_VALUE"""),0.406802721088435)</f>
        <v>0.4068027211</v>
      </c>
      <c r="L188" s="16">
        <f>IFERROR(__xludf.DUMMYFUNCTION("""COMPUTED_VALUE"""),0.374149659863945)</f>
        <v>0.3741496599</v>
      </c>
      <c r="M188" s="16">
        <f>IFERROR(__xludf.DUMMYFUNCTION("""COMPUTED_VALUE"""),0.356462585034013)</f>
        <v>0.356462585</v>
      </c>
      <c r="N188" s="16">
        <f>IFERROR(__xludf.DUMMYFUNCTION("""COMPUTED_VALUE"""),0.345578231292517)</f>
        <v>0.3455782313</v>
      </c>
      <c r="O188" s="16">
        <f>IFERROR(__xludf.DUMMYFUNCTION("""COMPUTED_VALUE"""),0.295238095238095)</f>
        <v>0.2952380952</v>
      </c>
      <c r="P188" s="16">
        <f>IFERROR(__xludf.DUMMYFUNCTION("""COMPUTED_VALUE"""),0.262942779291553)</f>
        <v>0.2629427793</v>
      </c>
      <c r="Q188" s="16">
        <f>IFERROR(__xludf.DUMMYFUNCTION("""COMPUTED_VALUE"""),0.20600272851296)</f>
        <v>0.2060027285</v>
      </c>
      <c r="R188" s="16">
        <f>IFERROR(__xludf.DUMMYFUNCTION("""COMPUTED_VALUE"""),0.169167803547066)</f>
        <v>0.1691678035</v>
      </c>
      <c r="S188" s="16">
        <f>IFERROR(__xludf.DUMMYFUNCTION("""COMPUTED_VALUE"""),0.145975443383356)</f>
        <v>0.1459754434</v>
      </c>
      <c r="T188" s="16">
        <f>IFERROR(__xludf.DUMMYFUNCTION("""COMPUTED_VALUE"""),0.125854993160054)</f>
        <v>0.1258549932</v>
      </c>
      <c r="U188" s="16">
        <f>IFERROR(__xludf.DUMMYFUNCTION("""COMPUTED_VALUE"""),0.120383036935704)</f>
        <v>0.1203830369</v>
      </c>
      <c r="V188" s="16">
        <f>IFERROR(__xludf.DUMMYFUNCTION("""COMPUTED_VALUE"""),0.0889526542324246)</f>
        <v>0.08895265423</v>
      </c>
      <c r="W188" s="16">
        <f>IFERROR(__xludf.DUMMYFUNCTION("""COMPUTED_VALUE"""),0.086080586080586)</f>
        <v>0.08608058608</v>
      </c>
      <c r="X188" s="16">
        <f>IFERROR(__xludf.DUMMYFUNCTION("""COMPUTED_VALUE"""),0.079002079002079)</f>
        <v>0.079002079</v>
      </c>
      <c r="Y188" s="16">
        <f>IFERROR(__xludf.DUMMYFUNCTION("""COMPUTED_VALUE"""),0.0677200902934537)</f>
        <v>0.06772009029</v>
      </c>
      <c r="Z188" s="16">
        <f>IFERROR(__xludf.DUMMYFUNCTION("""COMPUTED_VALUE"""),0.0600961538461538)</f>
        <v>0.06009615385</v>
      </c>
      <c r="AA188" s="16">
        <f>IFERROR(__xludf.DUMMYFUNCTION("""COMPUTED_VALUE"""),0.0603674540682414)</f>
        <v>0.06036745407</v>
      </c>
      <c r="AB188" s="16">
        <f>IFERROR(__xludf.DUMMYFUNCTION("""COMPUTED_VALUE"""),0.0507246376811594)</f>
        <v>0.05072463768</v>
      </c>
      <c r="AC188" s="16">
        <f>IFERROR(__xludf.DUMMYFUNCTION("""COMPUTED_VALUE"""),0.0588235294117647)</f>
        <v>0.05882352941</v>
      </c>
      <c r="AD188" s="16">
        <f>IFERROR(__xludf.DUMMYFUNCTION("""COMPUTED_VALUE"""),0.0464135021097046)</f>
        <v>0.04641350211</v>
      </c>
      <c r="AE188" s="16">
        <f>IFERROR(__xludf.DUMMYFUNCTION("""COMPUTED_VALUE"""),0.0442477876106194)</f>
        <v>0.04424778761</v>
      </c>
      <c r="AF188" s="16">
        <f>IFERROR(__xludf.DUMMYFUNCTION("""COMPUTED_VALUE"""),0.0287081339712918)</f>
        <v>0.02870813397</v>
      </c>
      <c r="AG188" s="16">
        <f>IFERROR(__xludf.DUMMYFUNCTION("""COMPUTED_VALUE"""),0.0202020202020202)</f>
        <v>0.0202020202</v>
      </c>
      <c r="AH188" s="16">
        <f>IFERROR(__xludf.DUMMYFUNCTION("""COMPUTED_VALUE"""),0.0099009900990099)</f>
        <v>0.009900990099</v>
      </c>
    </row>
    <row r="189">
      <c r="A189" s="16" t="str">
        <f>IFERROR(__xludf.DUMMYFUNCTION("""COMPUTED_VALUE"""),"a830c3a71510f0594792edb43a5e99b9da02d7e7")</f>
        <v>a830c3a71510f0594792edb43a5e99b9da02d7e7</v>
      </c>
      <c r="B189" s="16" t="str">
        <f>IFERROR(__xludf.DUMMYFUNCTION("""COMPUTED_VALUE"""),"Married to a Dying Prince")</f>
        <v>Married to a Dying Prince</v>
      </c>
      <c r="C189" s="16" t="str">
        <f>IFERROR(__xludf.DUMMYFUNCTION("""COMPUTED_VALUE"""),"Romantasy")</f>
        <v>Romantasy</v>
      </c>
      <c r="D189" s="16">
        <f>IFERROR(__xludf.DUMMYFUNCTION("""COMPUTED_VALUE"""),60.0)</f>
        <v>60</v>
      </c>
      <c r="E189" s="16">
        <f>IFERROR(__xludf.DUMMYFUNCTION("""COMPUTED_VALUE"""),0.983333333333333)</f>
        <v>0.9833333333</v>
      </c>
      <c r="F189" s="16">
        <f>IFERROR(__xludf.DUMMYFUNCTION("""COMPUTED_VALUE"""),0.533333333333333)</f>
        <v>0.5333333333</v>
      </c>
      <c r="G189" s="16">
        <f>IFERROR(__xludf.DUMMYFUNCTION("""COMPUTED_VALUE"""),0.5)</f>
        <v>0.5</v>
      </c>
      <c r="H189" s="16">
        <f>IFERROR(__xludf.DUMMYFUNCTION("""COMPUTED_VALUE"""),0.483333333333333)</f>
        <v>0.4833333333</v>
      </c>
      <c r="I189" s="16">
        <f>IFERROR(__xludf.DUMMYFUNCTION("""COMPUTED_VALUE"""),0.433333333333333)</f>
        <v>0.4333333333</v>
      </c>
      <c r="J189" s="16">
        <f>IFERROR(__xludf.DUMMYFUNCTION("""COMPUTED_VALUE"""),0.416666666666666)</f>
        <v>0.4166666667</v>
      </c>
      <c r="K189" s="16">
        <f>IFERROR(__xludf.DUMMYFUNCTION("""COMPUTED_VALUE"""),0.416666666666666)</f>
        <v>0.4166666667</v>
      </c>
      <c r="L189" s="16">
        <f>IFERROR(__xludf.DUMMYFUNCTION("""COMPUTED_VALUE"""),0.416666666666666)</f>
        <v>0.4166666667</v>
      </c>
      <c r="M189" s="16">
        <f>IFERROR(__xludf.DUMMYFUNCTION("""COMPUTED_VALUE"""),0.416666666666666)</f>
        <v>0.4166666667</v>
      </c>
      <c r="N189" s="16">
        <f>IFERROR(__xludf.DUMMYFUNCTION("""COMPUTED_VALUE"""),0.4)</f>
        <v>0.4</v>
      </c>
      <c r="O189" s="16">
        <f>IFERROR(__xludf.DUMMYFUNCTION("""COMPUTED_VALUE"""),0.416666666666666)</f>
        <v>0.4166666667</v>
      </c>
      <c r="P189" s="16">
        <f>IFERROR(__xludf.DUMMYFUNCTION("""COMPUTED_VALUE"""),0.283333333333333)</f>
        <v>0.2833333333</v>
      </c>
      <c r="Q189" s="16">
        <f>IFERROR(__xludf.DUMMYFUNCTION("""COMPUTED_VALUE"""),0.216666666666666)</f>
        <v>0.2166666667</v>
      </c>
      <c r="R189" s="16">
        <f>IFERROR(__xludf.DUMMYFUNCTION("""COMPUTED_VALUE"""),0.1)</f>
        <v>0.1</v>
      </c>
      <c r="S189" s="16">
        <f>IFERROR(__xludf.DUMMYFUNCTION("""COMPUTED_VALUE"""),0.333333333333333)</f>
        <v>0.3333333333</v>
      </c>
      <c r="T189" s="16">
        <f>IFERROR(__xludf.DUMMYFUNCTION("""COMPUTED_VALUE"""),0.0)</f>
        <v>0</v>
      </c>
      <c r="U189" s="16">
        <f>IFERROR(__xludf.DUMMYFUNCTION("""COMPUTED_VALUE"""),0.0)</f>
        <v>0</v>
      </c>
      <c r="V189" s="16">
        <f>IFERROR(__xludf.DUMMYFUNCTION("""COMPUTED_VALUE"""),0.0)</f>
        <v>0</v>
      </c>
      <c r="W189" s="16">
        <f>IFERROR(__xludf.DUMMYFUNCTION("""COMPUTED_VALUE"""),0.0)</f>
        <v>0</v>
      </c>
      <c r="X189" s="16">
        <f>IFERROR(__xludf.DUMMYFUNCTION("""COMPUTED_VALUE"""),0.0)</f>
        <v>0</v>
      </c>
      <c r="Y189" s="16">
        <f>IFERROR(__xludf.DUMMYFUNCTION("""COMPUTED_VALUE"""),0.0)</f>
        <v>0</v>
      </c>
      <c r="Z189" s="16">
        <f>IFERROR(__xludf.DUMMYFUNCTION("""COMPUTED_VALUE"""),0.0)</f>
        <v>0</v>
      </c>
      <c r="AA189" s="16">
        <f>IFERROR(__xludf.DUMMYFUNCTION("""COMPUTED_VALUE"""),0.0)</f>
        <v>0</v>
      </c>
      <c r="AB189" s="16">
        <f>IFERROR(__xludf.DUMMYFUNCTION("""COMPUTED_VALUE"""),0.0)</f>
        <v>0</v>
      </c>
      <c r="AC189" s="16">
        <f>IFERROR(__xludf.DUMMYFUNCTION("""COMPUTED_VALUE"""),0.0)</f>
        <v>0</v>
      </c>
      <c r="AD189" s="16">
        <f>IFERROR(__xludf.DUMMYFUNCTION("""COMPUTED_VALUE"""),0.0)</f>
        <v>0</v>
      </c>
      <c r="AE189" s="16">
        <f>IFERROR(__xludf.DUMMYFUNCTION("""COMPUTED_VALUE"""),0.0)</f>
        <v>0</v>
      </c>
      <c r="AF189" s="16">
        <f>IFERROR(__xludf.DUMMYFUNCTION("""COMPUTED_VALUE"""),0.0)</f>
        <v>0</v>
      </c>
      <c r="AG189" s="16">
        <f>IFERROR(__xludf.DUMMYFUNCTION("""COMPUTED_VALUE"""),0.0)</f>
        <v>0</v>
      </c>
      <c r="AH189" s="16">
        <f>IFERROR(__xludf.DUMMYFUNCTION("""COMPUTED_VALUE"""),0.0)</f>
        <v>0</v>
      </c>
    </row>
    <row r="190">
      <c r="A190" s="16" t="str">
        <f>IFERROR(__xludf.DUMMYFUNCTION("""COMPUTED_VALUE"""),"a877c7bd8a3facfb24f79b876674d1437dd52fb5")</f>
        <v>a877c7bd8a3facfb24f79b876674d1437dd52fb5</v>
      </c>
      <c r="B190" s="16" t="str">
        <f>IFERROR(__xludf.DUMMYFUNCTION("""COMPUTED_VALUE"""),"Dragon System Awakening")</f>
        <v>Dragon System Awakening</v>
      </c>
      <c r="C190" s="16" t="str">
        <f>IFERROR(__xludf.DUMMYFUNCTION("""COMPUTED_VALUE"""),"System and Superpower")</f>
        <v>System and Superpower</v>
      </c>
      <c r="D190" s="16">
        <f>IFERROR(__xludf.DUMMYFUNCTION("""COMPUTED_VALUE"""),14926.0)</f>
        <v>14926</v>
      </c>
      <c r="E190" s="16">
        <f>IFERROR(__xludf.DUMMYFUNCTION("""COMPUTED_VALUE"""),0.953637947206217)</f>
        <v>0.9536379472</v>
      </c>
      <c r="F190" s="16">
        <f>IFERROR(__xludf.DUMMYFUNCTION("""COMPUTED_VALUE"""),0.698579659654294)</f>
        <v>0.6985796597</v>
      </c>
      <c r="G190" s="16">
        <f>IFERROR(__xludf.DUMMYFUNCTION("""COMPUTED_VALUE"""),0.651725293132328)</f>
        <v>0.6517252931</v>
      </c>
      <c r="H190" s="16">
        <f>IFERROR(__xludf.DUMMYFUNCTION("""COMPUTED_VALUE"""),0.620611096220852)</f>
        <v>0.6206110962</v>
      </c>
      <c r="I190" s="16">
        <f>IFERROR(__xludf.DUMMYFUNCTION("""COMPUTED_VALUE"""),0.591195389975877)</f>
        <v>0.59119539</v>
      </c>
      <c r="J190" s="16">
        <f>IFERROR(__xludf.DUMMYFUNCTION("""COMPUTED_VALUE"""),0.574398176087976)</f>
        <v>0.5743981761</v>
      </c>
      <c r="K190" s="16">
        <f>IFERROR(__xludf.DUMMYFUNCTION("""COMPUTED_VALUE"""),0.555272337000268)</f>
        <v>0.555272337</v>
      </c>
      <c r="L190" s="16">
        <f>IFERROR(__xludf.DUMMYFUNCTION("""COMPUTED_VALUE"""),0.539257169722614)</f>
        <v>0.5392571697</v>
      </c>
      <c r="M190" s="16">
        <f>IFERROR(__xludf.DUMMYFUNCTION("""COMPUTED_VALUE"""),0.522852533942734)</f>
        <v>0.5228525339</v>
      </c>
      <c r="N190" s="16">
        <f>IFERROR(__xludf.DUMMYFUNCTION("""COMPUTED_VALUE"""),0.508950201884253)</f>
        <v>0.5089502019</v>
      </c>
      <c r="O190" s="16">
        <f>IFERROR(__xludf.DUMMYFUNCTION("""COMPUTED_VALUE"""),0.46161657189277)</f>
        <v>0.4616165719</v>
      </c>
      <c r="P190" s="16">
        <f>IFERROR(__xludf.DUMMYFUNCTION("""COMPUTED_VALUE"""),0.387178089657991)</f>
        <v>0.3871780897</v>
      </c>
      <c r="Q190" s="16">
        <f>IFERROR(__xludf.DUMMYFUNCTION("""COMPUTED_VALUE"""),0.300104493207941)</f>
        <v>0.3001044932</v>
      </c>
      <c r="R190" s="16">
        <f>IFERROR(__xludf.DUMMYFUNCTION("""COMPUTED_VALUE"""),0.263422581102139)</f>
        <v>0.2634225811</v>
      </c>
      <c r="S190" s="16">
        <f>IFERROR(__xludf.DUMMYFUNCTION("""COMPUTED_VALUE"""),0.2373927683797)</f>
        <v>0.2373927684</v>
      </c>
      <c r="T190" s="16">
        <f>IFERROR(__xludf.DUMMYFUNCTION("""COMPUTED_VALUE"""),0.213230892037517)</f>
        <v>0.213230892</v>
      </c>
      <c r="U190" s="16">
        <f>IFERROR(__xludf.DUMMYFUNCTION("""COMPUTED_VALUE"""),0.196756756756756)</f>
        <v>0.1967567568</v>
      </c>
      <c r="V190" s="16">
        <f>IFERROR(__xludf.DUMMYFUNCTION("""COMPUTED_VALUE"""),0.173626373626373)</f>
        <v>0.1736263736</v>
      </c>
      <c r="W190" s="16">
        <f>IFERROR(__xludf.DUMMYFUNCTION("""COMPUTED_VALUE"""),0.150671140939597)</f>
        <v>0.1506711409</v>
      </c>
      <c r="X190" s="16">
        <f>IFERROR(__xludf.DUMMYFUNCTION("""COMPUTED_VALUE"""),0.131584258324924)</f>
        <v>0.1315842583</v>
      </c>
      <c r="Y190" s="16">
        <f>IFERROR(__xludf.DUMMYFUNCTION("""COMPUTED_VALUE"""),0.109686221009549)</f>
        <v>0.109686221</v>
      </c>
      <c r="Z190" s="16">
        <f>IFERROR(__xludf.DUMMYFUNCTION("""COMPUTED_VALUE"""),0.0899495181275814)</f>
        <v>0.08994951813</v>
      </c>
      <c r="AA190" s="16">
        <f>IFERROR(__xludf.DUMMYFUNCTION("""COMPUTED_VALUE"""),0.0818858560794044)</f>
        <v>0.08188585608</v>
      </c>
      <c r="AB190" s="16">
        <f>IFERROR(__xludf.DUMMYFUNCTION("""COMPUTED_VALUE"""),0.0)</f>
        <v>0</v>
      </c>
      <c r="AC190" s="16">
        <f>IFERROR(__xludf.DUMMYFUNCTION("""COMPUTED_VALUE"""),0.0)</f>
        <v>0</v>
      </c>
      <c r="AD190" s="16">
        <f>IFERROR(__xludf.DUMMYFUNCTION("""COMPUTED_VALUE"""),0.0)</f>
        <v>0</v>
      </c>
      <c r="AE190" s="16">
        <f>IFERROR(__xludf.DUMMYFUNCTION("""COMPUTED_VALUE"""),0.0)</f>
        <v>0</v>
      </c>
      <c r="AF190" s="16">
        <f>IFERROR(__xludf.DUMMYFUNCTION("""COMPUTED_VALUE"""),0.0)</f>
        <v>0</v>
      </c>
      <c r="AG190" s="16">
        <f>IFERROR(__xludf.DUMMYFUNCTION("""COMPUTED_VALUE"""),0.0)</f>
        <v>0</v>
      </c>
      <c r="AH190" s="16">
        <f>IFERROR(__xludf.DUMMYFUNCTION("""COMPUTED_VALUE"""),0.0)</f>
        <v>0</v>
      </c>
    </row>
    <row r="191">
      <c r="A191" s="16" t="str">
        <f>IFERROR(__xludf.DUMMYFUNCTION("""COMPUTED_VALUE"""),"a901618b218023453e7ca53e9fa1d9940b094e69")</f>
        <v>a901618b218023453e7ca53e9fa1d9940b094e69</v>
      </c>
      <c r="B191" s="16" t="str">
        <f>IFERROR(__xludf.DUMMYFUNCTION("""COMPUTED_VALUE"""),"The Devil's New Assistant")</f>
        <v>The Devil's New Assistant</v>
      </c>
      <c r="C191" s="16" t="str">
        <f>IFERROR(__xludf.DUMMYFUNCTION("""COMPUTED_VALUE"""),"Romance")</f>
        <v>Romance</v>
      </c>
      <c r="D191" s="16">
        <f>IFERROR(__xludf.DUMMYFUNCTION("""COMPUTED_VALUE"""),23.0)</f>
        <v>23</v>
      </c>
      <c r="E191" s="16">
        <f>IFERROR(__xludf.DUMMYFUNCTION("""COMPUTED_VALUE"""),1.0)</f>
        <v>1</v>
      </c>
      <c r="F191" s="16">
        <f>IFERROR(__xludf.DUMMYFUNCTION("""COMPUTED_VALUE"""),0.434782608695652)</f>
        <v>0.4347826087</v>
      </c>
      <c r="G191" s="16">
        <f>IFERROR(__xludf.DUMMYFUNCTION("""COMPUTED_VALUE"""),0.391304347826087)</f>
        <v>0.3913043478</v>
      </c>
      <c r="H191" s="16">
        <f>IFERROR(__xludf.DUMMYFUNCTION("""COMPUTED_VALUE"""),0.347826086956521)</f>
        <v>0.347826087</v>
      </c>
      <c r="I191" s="16">
        <f>IFERROR(__xludf.DUMMYFUNCTION("""COMPUTED_VALUE"""),0.347826086956521)</f>
        <v>0.347826087</v>
      </c>
      <c r="J191" s="16">
        <f>IFERROR(__xludf.DUMMYFUNCTION("""COMPUTED_VALUE"""),0.263157894736842)</f>
        <v>0.2631578947</v>
      </c>
      <c r="K191" s="16">
        <f>IFERROR(__xludf.DUMMYFUNCTION("""COMPUTED_VALUE"""),0.266666666666666)</f>
        <v>0.2666666667</v>
      </c>
      <c r="L191" s="16">
        <f>IFERROR(__xludf.DUMMYFUNCTION("""COMPUTED_VALUE"""),0.25)</f>
        <v>0.25</v>
      </c>
      <c r="M191" s="16">
        <f>IFERROR(__xludf.DUMMYFUNCTION("""COMPUTED_VALUE"""),0.125)</f>
        <v>0.125</v>
      </c>
      <c r="N191" s="16">
        <f>IFERROR(__xludf.DUMMYFUNCTION("""COMPUTED_VALUE"""),0.142857142857142)</f>
        <v>0.1428571429</v>
      </c>
      <c r="O191" s="16">
        <f>IFERROR(__xludf.DUMMYFUNCTION("""COMPUTED_VALUE"""),0.333333333333333)</f>
        <v>0.3333333333</v>
      </c>
      <c r="P191" s="16">
        <f>IFERROR(__xludf.DUMMYFUNCTION("""COMPUTED_VALUE"""),0.5)</f>
        <v>0.5</v>
      </c>
      <c r="Q191" s="16">
        <f>IFERROR(__xludf.DUMMYFUNCTION("""COMPUTED_VALUE"""),0.0)</f>
        <v>0</v>
      </c>
      <c r="R191" s="16">
        <f>IFERROR(__xludf.DUMMYFUNCTION("""COMPUTED_VALUE"""),0.0)</f>
        <v>0</v>
      </c>
      <c r="S191" s="16">
        <f>IFERROR(__xludf.DUMMYFUNCTION("""COMPUTED_VALUE"""),0.0)</f>
        <v>0</v>
      </c>
      <c r="T191" s="16">
        <f>IFERROR(__xludf.DUMMYFUNCTION("""COMPUTED_VALUE"""),0.0)</f>
        <v>0</v>
      </c>
      <c r="U191" s="16">
        <f>IFERROR(__xludf.DUMMYFUNCTION("""COMPUTED_VALUE"""),0.0)</f>
        <v>0</v>
      </c>
      <c r="V191" s="16">
        <f>IFERROR(__xludf.DUMMYFUNCTION("""COMPUTED_VALUE"""),0.0)</f>
        <v>0</v>
      </c>
      <c r="W191" s="16">
        <f>IFERROR(__xludf.DUMMYFUNCTION("""COMPUTED_VALUE"""),0.0)</f>
        <v>0</v>
      </c>
      <c r="X191" s="16">
        <f>IFERROR(__xludf.DUMMYFUNCTION("""COMPUTED_VALUE"""),0.0)</f>
        <v>0</v>
      </c>
      <c r="Y191" s="16">
        <f>IFERROR(__xludf.DUMMYFUNCTION("""COMPUTED_VALUE"""),0.0)</f>
        <v>0</v>
      </c>
      <c r="Z191" s="16">
        <f>IFERROR(__xludf.DUMMYFUNCTION("""COMPUTED_VALUE"""),0.0)</f>
        <v>0</v>
      </c>
      <c r="AA191" s="16">
        <f>IFERROR(__xludf.DUMMYFUNCTION("""COMPUTED_VALUE"""),0.0)</f>
        <v>0</v>
      </c>
      <c r="AB191" s="16">
        <f>IFERROR(__xludf.DUMMYFUNCTION("""COMPUTED_VALUE"""),0.0)</f>
        <v>0</v>
      </c>
      <c r="AC191" s="16">
        <f>IFERROR(__xludf.DUMMYFUNCTION("""COMPUTED_VALUE"""),0.0)</f>
        <v>0</v>
      </c>
      <c r="AD191" s="16">
        <f>IFERROR(__xludf.DUMMYFUNCTION("""COMPUTED_VALUE"""),0.0)</f>
        <v>0</v>
      </c>
      <c r="AE191" s="16">
        <f>IFERROR(__xludf.DUMMYFUNCTION("""COMPUTED_VALUE"""),0.0)</f>
        <v>0</v>
      </c>
      <c r="AF191" s="16">
        <f>IFERROR(__xludf.DUMMYFUNCTION("""COMPUTED_VALUE"""),0.0)</f>
        <v>0</v>
      </c>
      <c r="AG191" s="16">
        <f>IFERROR(__xludf.DUMMYFUNCTION("""COMPUTED_VALUE"""),0.0)</f>
        <v>0</v>
      </c>
      <c r="AH191" s="16">
        <f>IFERROR(__xludf.DUMMYFUNCTION("""COMPUTED_VALUE"""),0.0)</f>
        <v>0</v>
      </c>
    </row>
    <row r="192">
      <c r="A192" s="16" t="str">
        <f>IFERROR(__xludf.DUMMYFUNCTION("""COMPUTED_VALUE"""),"a92aaf29dca1833b578f42a2abbcdab8db2ff12e")</f>
        <v>a92aaf29dca1833b578f42a2abbcdab8db2ff12e</v>
      </c>
      <c r="B192" s="16" t="str">
        <f>IFERROR(__xludf.DUMMYFUNCTION("""COMPUTED_VALUE"""),"Bought for the Ice Ceo")</f>
        <v>Bought for the Ice Ceo</v>
      </c>
      <c r="C192" s="16" t="str">
        <f>IFERROR(__xludf.DUMMYFUNCTION("""COMPUTED_VALUE"""),"Romance")</f>
        <v>Romance</v>
      </c>
      <c r="D192" s="16">
        <f>IFERROR(__xludf.DUMMYFUNCTION("""COMPUTED_VALUE"""),60.0)</f>
        <v>60</v>
      </c>
      <c r="E192" s="16">
        <f>IFERROR(__xludf.DUMMYFUNCTION("""COMPUTED_VALUE"""),0.966666666666666)</f>
        <v>0.9666666667</v>
      </c>
      <c r="F192" s="16">
        <f>IFERROR(__xludf.DUMMYFUNCTION("""COMPUTED_VALUE"""),0.683333333333333)</f>
        <v>0.6833333333</v>
      </c>
      <c r="G192" s="16">
        <f>IFERROR(__xludf.DUMMYFUNCTION("""COMPUTED_VALUE"""),0.633333333333333)</f>
        <v>0.6333333333</v>
      </c>
      <c r="H192" s="16">
        <f>IFERROR(__xludf.DUMMYFUNCTION("""COMPUTED_VALUE"""),0.6)</f>
        <v>0.6</v>
      </c>
      <c r="I192" s="16">
        <f>IFERROR(__xludf.DUMMYFUNCTION("""COMPUTED_VALUE"""),0.55)</f>
        <v>0.55</v>
      </c>
      <c r="J192" s="16">
        <f>IFERROR(__xludf.DUMMYFUNCTION("""COMPUTED_VALUE"""),0.516666666666666)</f>
        <v>0.5166666667</v>
      </c>
      <c r="K192" s="16">
        <f>IFERROR(__xludf.DUMMYFUNCTION("""COMPUTED_VALUE"""),0.5)</f>
        <v>0.5</v>
      </c>
      <c r="L192" s="16">
        <f>IFERROR(__xludf.DUMMYFUNCTION("""COMPUTED_VALUE"""),0.483333333333333)</f>
        <v>0.4833333333</v>
      </c>
      <c r="M192" s="16">
        <f>IFERROR(__xludf.DUMMYFUNCTION("""COMPUTED_VALUE"""),0.45)</f>
        <v>0.45</v>
      </c>
      <c r="N192" s="16">
        <f>IFERROR(__xludf.DUMMYFUNCTION("""COMPUTED_VALUE"""),0.433333333333333)</f>
        <v>0.4333333333</v>
      </c>
      <c r="O192" s="16">
        <f>IFERROR(__xludf.DUMMYFUNCTION("""COMPUTED_VALUE"""),0.366666666666666)</f>
        <v>0.3666666667</v>
      </c>
      <c r="P192" s="16">
        <f>IFERROR(__xludf.DUMMYFUNCTION("""COMPUTED_VALUE"""),0.2)</f>
        <v>0.2</v>
      </c>
      <c r="Q192" s="16">
        <f>IFERROR(__xludf.DUMMYFUNCTION("""COMPUTED_VALUE"""),0.0833333333333333)</f>
        <v>0.08333333333</v>
      </c>
      <c r="R192" s="16">
        <f>IFERROR(__xludf.DUMMYFUNCTION("""COMPUTED_VALUE"""),0.0)</f>
        <v>0</v>
      </c>
      <c r="S192" s="16">
        <f>IFERROR(__xludf.DUMMYFUNCTION("""COMPUTED_VALUE"""),0.0)</f>
        <v>0</v>
      </c>
      <c r="T192" s="16">
        <f>IFERROR(__xludf.DUMMYFUNCTION("""COMPUTED_VALUE"""),0.0)</f>
        <v>0</v>
      </c>
      <c r="U192" s="16">
        <f>IFERROR(__xludf.DUMMYFUNCTION("""COMPUTED_VALUE"""),0.0)</f>
        <v>0</v>
      </c>
      <c r="V192" s="16">
        <f>IFERROR(__xludf.DUMMYFUNCTION("""COMPUTED_VALUE"""),0.0)</f>
        <v>0</v>
      </c>
      <c r="W192" s="16">
        <f>IFERROR(__xludf.DUMMYFUNCTION("""COMPUTED_VALUE"""),0.0)</f>
        <v>0</v>
      </c>
      <c r="X192" s="16">
        <f>IFERROR(__xludf.DUMMYFUNCTION("""COMPUTED_VALUE"""),0.0)</f>
        <v>0</v>
      </c>
      <c r="Y192" s="16">
        <f>IFERROR(__xludf.DUMMYFUNCTION("""COMPUTED_VALUE"""),0.0)</f>
        <v>0</v>
      </c>
      <c r="Z192" s="16">
        <f>IFERROR(__xludf.DUMMYFUNCTION("""COMPUTED_VALUE"""),0.0)</f>
        <v>0</v>
      </c>
      <c r="AA192" s="16">
        <f>IFERROR(__xludf.DUMMYFUNCTION("""COMPUTED_VALUE"""),0.0)</f>
        <v>0</v>
      </c>
      <c r="AB192" s="16">
        <f>IFERROR(__xludf.DUMMYFUNCTION("""COMPUTED_VALUE"""),0.0)</f>
        <v>0</v>
      </c>
      <c r="AC192" s="16">
        <f>IFERROR(__xludf.DUMMYFUNCTION("""COMPUTED_VALUE"""),0.0)</f>
        <v>0</v>
      </c>
      <c r="AD192" s="16">
        <f>IFERROR(__xludf.DUMMYFUNCTION("""COMPUTED_VALUE"""),0.0)</f>
        <v>0</v>
      </c>
      <c r="AE192" s="16">
        <f>IFERROR(__xludf.DUMMYFUNCTION("""COMPUTED_VALUE"""),0.0)</f>
        <v>0</v>
      </c>
      <c r="AF192" s="16">
        <f>IFERROR(__xludf.DUMMYFUNCTION("""COMPUTED_VALUE"""),0.0)</f>
        <v>0</v>
      </c>
      <c r="AG192" s="16">
        <f>IFERROR(__xludf.DUMMYFUNCTION("""COMPUTED_VALUE"""),0.0)</f>
        <v>0</v>
      </c>
      <c r="AH192" s="16">
        <f>IFERROR(__xludf.DUMMYFUNCTION("""COMPUTED_VALUE"""),0.0)</f>
        <v>0</v>
      </c>
    </row>
    <row r="193">
      <c r="A193" s="16" t="str">
        <f>IFERROR(__xludf.DUMMYFUNCTION("""COMPUTED_VALUE"""),"a978831eb87b7d63024465fa4df9a779feeaaf5a")</f>
        <v>a978831eb87b7d63024465fa4df9a779feeaaf5a</v>
      </c>
      <c r="B193" s="16" t="str">
        <f>IFERROR(__xludf.DUMMYFUNCTION("""COMPUTED_VALUE"""),"Extreme Medical Sage")</f>
        <v>Extreme Medical Sage</v>
      </c>
      <c r="C193" s="16" t="str">
        <f>IFERROR(__xludf.DUMMYFUNCTION("""COMPUTED_VALUE"""),"Fantasy")</f>
        <v>Fantasy</v>
      </c>
      <c r="D193" s="16">
        <f>IFERROR(__xludf.DUMMYFUNCTION("""COMPUTED_VALUE"""),316.0)</f>
        <v>316</v>
      </c>
      <c r="E193" s="16">
        <f>IFERROR(__xludf.DUMMYFUNCTION("""COMPUTED_VALUE"""),0.95886075949367)</f>
        <v>0.9588607595</v>
      </c>
      <c r="F193" s="16">
        <f>IFERROR(__xludf.DUMMYFUNCTION("""COMPUTED_VALUE"""),0.65506329113924)</f>
        <v>0.6550632911</v>
      </c>
      <c r="G193" s="16">
        <f>IFERROR(__xludf.DUMMYFUNCTION("""COMPUTED_VALUE"""),0.55379746835443)</f>
        <v>0.5537974684</v>
      </c>
      <c r="H193" s="16">
        <f>IFERROR(__xludf.DUMMYFUNCTION("""COMPUTED_VALUE"""),0.50632911392405)</f>
        <v>0.5063291139</v>
      </c>
      <c r="I193" s="16">
        <f>IFERROR(__xludf.DUMMYFUNCTION("""COMPUTED_VALUE"""),0.465189873417721)</f>
        <v>0.4651898734</v>
      </c>
      <c r="J193" s="16">
        <f>IFERROR(__xludf.DUMMYFUNCTION("""COMPUTED_VALUE"""),0.436482084690553)</f>
        <v>0.4364820847</v>
      </c>
      <c r="K193" s="16">
        <f>IFERROR(__xludf.DUMMYFUNCTION("""COMPUTED_VALUE"""),0.40655737704918)</f>
        <v>0.406557377</v>
      </c>
      <c r="L193" s="16">
        <f>IFERROR(__xludf.DUMMYFUNCTION("""COMPUTED_VALUE"""),0.351170568561872)</f>
        <v>0.3511705686</v>
      </c>
      <c r="M193" s="16">
        <f>IFERROR(__xludf.DUMMYFUNCTION("""COMPUTED_VALUE"""),0.321678321678321)</f>
        <v>0.3216783217</v>
      </c>
      <c r="N193" s="16">
        <f>IFERROR(__xludf.DUMMYFUNCTION("""COMPUTED_VALUE"""),0.336206896551724)</f>
        <v>0.3362068966</v>
      </c>
      <c r="O193" s="16">
        <f>IFERROR(__xludf.DUMMYFUNCTION("""COMPUTED_VALUE"""),0.279761904761904)</f>
        <v>0.2797619048</v>
      </c>
      <c r="P193" s="16">
        <f>IFERROR(__xludf.DUMMYFUNCTION("""COMPUTED_VALUE"""),0.252427184466019)</f>
        <v>0.2524271845</v>
      </c>
      <c r="Q193" s="16">
        <f>IFERROR(__xludf.DUMMYFUNCTION("""COMPUTED_VALUE"""),0.0714285714285714)</f>
        <v>0.07142857143</v>
      </c>
      <c r="R193" s="16">
        <f>IFERROR(__xludf.DUMMYFUNCTION("""COMPUTED_VALUE"""),0.0357142857142857)</f>
        <v>0.03571428571</v>
      </c>
      <c r="S193" s="16">
        <f>IFERROR(__xludf.DUMMYFUNCTION("""COMPUTED_VALUE"""),0.0)</f>
        <v>0</v>
      </c>
      <c r="T193" s="16">
        <f>IFERROR(__xludf.DUMMYFUNCTION("""COMPUTED_VALUE"""),0.0)</f>
        <v>0</v>
      </c>
      <c r="U193" s="16">
        <f>IFERROR(__xludf.DUMMYFUNCTION("""COMPUTED_VALUE"""),0.0)</f>
        <v>0</v>
      </c>
      <c r="V193" s="16">
        <f>IFERROR(__xludf.DUMMYFUNCTION("""COMPUTED_VALUE"""),0.0)</f>
        <v>0</v>
      </c>
      <c r="W193" s="16">
        <f>IFERROR(__xludf.DUMMYFUNCTION("""COMPUTED_VALUE"""),0.0)</f>
        <v>0</v>
      </c>
      <c r="X193" s="16">
        <f>IFERROR(__xludf.DUMMYFUNCTION("""COMPUTED_VALUE"""),0.0)</f>
        <v>0</v>
      </c>
      <c r="Y193" s="16">
        <f>IFERROR(__xludf.DUMMYFUNCTION("""COMPUTED_VALUE"""),0.0)</f>
        <v>0</v>
      </c>
      <c r="Z193" s="16">
        <f>IFERROR(__xludf.DUMMYFUNCTION("""COMPUTED_VALUE"""),0.0)</f>
        <v>0</v>
      </c>
      <c r="AA193" s="16">
        <f>IFERROR(__xludf.DUMMYFUNCTION("""COMPUTED_VALUE"""),0.0)</f>
        <v>0</v>
      </c>
      <c r="AB193" s="16">
        <f>IFERROR(__xludf.DUMMYFUNCTION("""COMPUTED_VALUE"""),0.0)</f>
        <v>0</v>
      </c>
      <c r="AC193" s="16">
        <f>IFERROR(__xludf.DUMMYFUNCTION("""COMPUTED_VALUE"""),0.0)</f>
        <v>0</v>
      </c>
      <c r="AD193" s="16">
        <f>IFERROR(__xludf.DUMMYFUNCTION("""COMPUTED_VALUE"""),0.0)</f>
        <v>0</v>
      </c>
      <c r="AE193" s="16">
        <f>IFERROR(__xludf.DUMMYFUNCTION("""COMPUTED_VALUE"""),0.0)</f>
        <v>0</v>
      </c>
      <c r="AF193" s="16">
        <f>IFERROR(__xludf.DUMMYFUNCTION("""COMPUTED_VALUE"""),0.0)</f>
        <v>0</v>
      </c>
      <c r="AG193" s="16">
        <f>IFERROR(__xludf.DUMMYFUNCTION("""COMPUTED_VALUE"""),0.0)</f>
        <v>0</v>
      </c>
      <c r="AH193" s="16">
        <f>IFERROR(__xludf.DUMMYFUNCTION("""COMPUTED_VALUE"""),0.0)</f>
        <v>0</v>
      </c>
    </row>
    <row r="194">
      <c r="A194" s="16" t="str">
        <f>IFERROR(__xludf.DUMMYFUNCTION("""COMPUTED_VALUE"""),"a9dd2d51d9347ce1a50ee64d1a38a6c33539ebc1")</f>
        <v>a9dd2d51d9347ce1a50ee64d1a38a6c33539ebc1</v>
      </c>
      <c r="B194" s="16" t="str">
        <f>IFERROR(__xludf.DUMMYFUNCTION("""COMPUTED_VALUE"""),"Billionaires Love Me")</f>
        <v>Billionaires Love Me</v>
      </c>
      <c r="C194" s="16" t="str">
        <f>IFERROR(__xludf.DUMMYFUNCTION("""COMPUTED_VALUE"""),"Romance")</f>
        <v>Romance</v>
      </c>
      <c r="D194" s="16">
        <f>IFERROR(__xludf.DUMMYFUNCTION("""COMPUTED_VALUE"""),34.0)</f>
        <v>34</v>
      </c>
      <c r="E194" s="16">
        <f>IFERROR(__xludf.DUMMYFUNCTION("""COMPUTED_VALUE"""),0.970588235294117)</f>
        <v>0.9705882353</v>
      </c>
      <c r="F194" s="16">
        <f>IFERROR(__xludf.DUMMYFUNCTION("""COMPUTED_VALUE"""),0.588235294117647)</f>
        <v>0.5882352941</v>
      </c>
      <c r="G194" s="16">
        <f>IFERROR(__xludf.DUMMYFUNCTION("""COMPUTED_VALUE"""),0.5)</f>
        <v>0.5</v>
      </c>
      <c r="H194" s="16">
        <f>IFERROR(__xludf.DUMMYFUNCTION("""COMPUTED_VALUE"""),0.38235294117647)</f>
        <v>0.3823529412</v>
      </c>
      <c r="I194" s="16">
        <f>IFERROR(__xludf.DUMMYFUNCTION("""COMPUTED_VALUE"""),0.352941176470588)</f>
        <v>0.3529411765</v>
      </c>
      <c r="J194" s="16">
        <f>IFERROR(__xludf.DUMMYFUNCTION("""COMPUTED_VALUE"""),0.352941176470588)</f>
        <v>0.3529411765</v>
      </c>
      <c r="K194" s="16">
        <f>IFERROR(__xludf.DUMMYFUNCTION("""COMPUTED_VALUE"""),0.294117647058823)</f>
        <v>0.2941176471</v>
      </c>
      <c r="L194" s="16">
        <f>IFERROR(__xludf.DUMMYFUNCTION("""COMPUTED_VALUE"""),0.166666666666666)</f>
        <v>0.1666666667</v>
      </c>
      <c r="M194" s="16">
        <f>IFERROR(__xludf.DUMMYFUNCTION("""COMPUTED_VALUE"""),0.206896551724137)</f>
        <v>0.2068965517</v>
      </c>
      <c r="N194" s="16">
        <f>IFERROR(__xludf.DUMMYFUNCTION("""COMPUTED_VALUE"""),0.222222222222222)</f>
        <v>0.2222222222</v>
      </c>
      <c r="O194" s="16">
        <f>IFERROR(__xludf.DUMMYFUNCTION("""COMPUTED_VALUE"""),0.307692307692307)</f>
        <v>0.3076923077</v>
      </c>
      <c r="P194" s="16">
        <f>IFERROR(__xludf.DUMMYFUNCTION("""COMPUTED_VALUE"""),0.416666666666666)</f>
        <v>0.4166666667</v>
      </c>
      <c r="Q194" s="16">
        <f>IFERROR(__xludf.DUMMYFUNCTION("""COMPUTED_VALUE"""),0.222222222222222)</f>
        <v>0.2222222222</v>
      </c>
      <c r="R194" s="16">
        <f>IFERROR(__xludf.DUMMYFUNCTION("""COMPUTED_VALUE"""),0.25)</f>
        <v>0.25</v>
      </c>
      <c r="S194" s="16">
        <f>IFERROR(__xludf.DUMMYFUNCTION("""COMPUTED_VALUE"""),0.0)</f>
        <v>0</v>
      </c>
      <c r="T194" s="16">
        <f>IFERROR(__xludf.DUMMYFUNCTION("""COMPUTED_VALUE"""),0.0)</f>
        <v>0</v>
      </c>
      <c r="U194" s="16">
        <f>IFERROR(__xludf.DUMMYFUNCTION("""COMPUTED_VALUE"""),0.0)</f>
        <v>0</v>
      </c>
      <c r="V194" s="16">
        <f>IFERROR(__xludf.DUMMYFUNCTION("""COMPUTED_VALUE"""),0.0)</f>
        <v>0</v>
      </c>
      <c r="W194" s="16">
        <f>IFERROR(__xludf.DUMMYFUNCTION("""COMPUTED_VALUE"""),0.0)</f>
        <v>0</v>
      </c>
      <c r="X194" s="16">
        <f>IFERROR(__xludf.DUMMYFUNCTION("""COMPUTED_VALUE"""),0.0)</f>
        <v>0</v>
      </c>
      <c r="Y194" s="16">
        <f>IFERROR(__xludf.DUMMYFUNCTION("""COMPUTED_VALUE"""),0.0)</f>
        <v>0</v>
      </c>
      <c r="Z194" s="16">
        <f>IFERROR(__xludf.DUMMYFUNCTION("""COMPUTED_VALUE"""),0.0)</f>
        <v>0</v>
      </c>
      <c r="AA194" s="16">
        <f>IFERROR(__xludf.DUMMYFUNCTION("""COMPUTED_VALUE"""),0.0)</f>
        <v>0</v>
      </c>
      <c r="AB194" s="16">
        <f>IFERROR(__xludf.DUMMYFUNCTION("""COMPUTED_VALUE"""),0.0)</f>
        <v>0</v>
      </c>
      <c r="AC194" s="16">
        <f>IFERROR(__xludf.DUMMYFUNCTION("""COMPUTED_VALUE"""),0.0)</f>
        <v>0</v>
      </c>
      <c r="AD194" s="16">
        <f>IFERROR(__xludf.DUMMYFUNCTION("""COMPUTED_VALUE"""),0.0)</f>
        <v>0</v>
      </c>
      <c r="AE194" s="16">
        <f>IFERROR(__xludf.DUMMYFUNCTION("""COMPUTED_VALUE"""),0.0)</f>
        <v>0</v>
      </c>
      <c r="AF194" s="16">
        <f>IFERROR(__xludf.DUMMYFUNCTION("""COMPUTED_VALUE"""),0.0)</f>
        <v>0</v>
      </c>
      <c r="AG194" s="16">
        <f>IFERROR(__xludf.DUMMYFUNCTION("""COMPUTED_VALUE"""),0.0)</f>
        <v>0</v>
      </c>
      <c r="AH194" s="16">
        <f>IFERROR(__xludf.DUMMYFUNCTION("""COMPUTED_VALUE"""),0.0)</f>
        <v>0</v>
      </c>
    </row>
    <row r="195">
      <c r="A195" s="16" t="str">
        <f>IFERROR(__xludf.DUMMYFUNCTION("""COMPUTED_VALUE"""),"aaa698f296d8b031a8ae9b94897fb07edda92f97")</f>
        <v>aaa698f296d8b031a8ae9b94897fb07edda92f97</v>
      </c>
      <c r="B195" s="16" t="str">
        <f>IFERROR(__xludf.DUMMYFUNCTION("""COMPUTED_VALUE"""),"A Heart Divided")</f>
        <v>A Heart Divided</v>
      </c>
      <c r="C195" s="16" t="str">
        <f>IFERROR(__xludf.DUMMYFUNCTION("""COMPUTED_VALUE"""),"Romance")</f>
        <v>Romance</v>
      </c>
      <c r="D195" s="16">
        <f>IFERROR(__xludf.DUMMYFUNCTION("""COMPUTED_VALUE"""),12.0)</f>
        <v>12</v>
      </c>
      <c r="E195" s="16">
        <f>IFERROR(__xludf.DUMMYFUNCTION("""COMPUTED_VALUE"""),0.916666666666666)</f>
        <v>0.9166666667</v>
      </c>
      <c r="F195" s="16">
        <f>IFERROR(__xludf.DUMMYFUNCTION("""COMPUTED_VALUE"""),0.75)</f>
        <v>0.75</v>
      </c>
      <c r="G195" s="16">
        <f>IFERROR(__xludf.DUMMYFUNCTION("""COMPUTED_VALUE"""),0.666666666666666)</f>
        <v>0.6666666667</v>
      </c>
      <c r="H195" s="16">
        <f>IFERROR(__xludf.DUMMYFUNCTION("""COMPUTED_VALUE"""),0.666666666666666)</f>
        <v>0.6666666667</v>
      </c>
      <c r="I195" s="16">
        <f>IFERROR(__xludf.DUMMYFUNCTION("""COMPUTED_VALUE"""),0.666666666666666)</f>
        <v>0.6666666667</v>
      </c>
      <c r="J195" s="16">
        <f>IFERROR(__xludf.DUMMYFUNCTION("""COMPUTED_VALUE"""),0.666666666666666)</f>
        <v>0.6666666667</v>
      </c>
      <c r="K195" s="16">
        <f>IFERROR(__xludf.DUMMYFUNCTION("""COMPUTED_VALUE"""),0.666666666666666)</f>
        <v>0.6666666667</v>
      </c>
      <c r="L195" s="16">
        <f>IFERROR(__xludf.DUMMYFUNCTION("""COMPUTED_VALUE"""),0.666666666666666)</f>
        <v>0.6666666667</v>
      </c>
      <c r="M195" s="16">
        <f>IFERROR(__xludf.DUMMYFUNCTION("""COMPUTED_VALUE"""),0.666666666666666)</f>
        <v>0.6666666667</v>
      </c>
      <c r="N195" s="16">
        <f>IFERROR(__xludf.DUMMYFUNCTION("""COMPUTED_VALUE"""),0.666666666666666)</f>
        <v>0.6666666667</v>
      </c>
      <c r="O195" s="16">
        <f>IFERROR(__xludf.DUMMYFUNCTION("""COMPUTED_VALUE"""),0.416666666666666)</f>
        <v>0.4166666667</v>
      </c>
      <c r="P195" s="16">
        <f>IFERROR(__xludf.DUMMYFUNCTION("""COMPUTED_VALUE"""),0.25)</f>
        <v>0.25</v>
      </c>
      <c r="Q195" s="16">
        <f>IFERROR(__xludf.DUMMYFUNCTION("""COMPUTED_VALUE"""),0.166666666666666)</f>
        <v>0.1666666667</v>
      </c>
      <c r="R195" s="16">
        <f>IFERROR(__xludf.DUMMYFUNCTION("""COMPUTED_VALUE"""),0.0909090909090909)</f>
        <v>0.09090909091</v>
      </c>
      <c r="S195" s="16">
        <f>IFERROR(__xludf.DUMMYFUNCTION("""COMPUTED_VALUE"""),0.0)</f>
        <v>0</v>
      </c>
      <c r="T195" s="16">
        <f>IFERROR(__xludf.DUMMYFUNCTION("""COMPUTED_VALUE"""),0.0)</f>
        <v>0</v>
      </c>
      <c r="U195" s="16">
        <f>IFERROR(__xludf.DUMMYFUNCTION("""COMPUTED_VALUE"""),0.0)</f>
        <v>0</v>
      </c>
      <c r="V195" s="16">
        <f>IFERROR(__xludf.DUMMYFUNCTION("""COMPUTED_VALUE"""),0.0)</f>
        <v>0</v>
      </c>
      <c r="W195" s="16">
        <f>IFERROR(__xludf.DUMMYFUNCTION("""COMPUTED_VALUE"""),0.0)</f>
        <v>0</v>
      </c>
      <c r="X195" s="16">
        <f>IFERROR(__xludf.DUMMYFUNCTION("""COMPUTED_VALUE"""),0.0)</f>
        <v>0</v>
      </c>
      <c r="Y195" s="16">
        <f>IFERROR(__xludf.DUMMYFUNCTION("""COMPUTED_VALUE"""),0.0)</f>
        <v>0</v>
      </c>
      <c r="Z195" s="16">
        <f>IFERROR(__xludf.DUMMYFUNCTION("""COMPUTED_VALUE"""),0.0)</f>
        <v>0</v>
      </c>
      <c r="AA195" s="16">
        <f>IFERROR(__xludf.DUMMYFUNCTION("""COMPUTED_VALUE"""),0.0)</f>
        <v>0</v>
      </c>
      <c r="AB195" s="16">
        <f>IFERROR(__xludf.DUMMYFUNCTION("""COMPUTED_VALUE"""),0.0)</f>
        <v>0</v>
      </c>
      <c r="AC195" s="16">
        <f>IFERROR(__xludf.DUMMYFUNCTION("""COMPUTED_VALUE"""),0.0)</f>
        <v>0</v>
      </c>
      <c r="AD195" s="16">
        <f>IFERROR(__xludf.DUMMYFUNCTION("""COMPUTED_VALUE"""),0.0)</f>
        <v>0</v>
      </c>
      <c r="AE195" s="16">
        <f>IFERROR(__xludf.DUMMYFUNCTION("""COMPUTED_VALUE"""),0.0)</f>
        <v>0</v>
      </c>
      <c r="AF195" s="16">
        <f>IFERROR(__xludf.DUMMYFUNCTION("""COMPUTED_VALUE"""),0.0)</f>
        <v>0</v>
      </c>
      <c r="AG195" s="16">
        <f>IFERROR(__xludf.DUMMYFUNCTION("""COMPUTED_VALUE"""),0.0)</f>
        <v>0</v>
      </c>
      <c r="AH195" s="16">
        <f>IFERROR(__xludf.DUMMYFUNCTION("""COMPUTED_VALUE"""),0.0)</f>
        <v>0</v>
      </c>
    </row>
    <row r="196">
      <c r="A196" s="16" t="str">
        <f>IFERROR(__xludf.DUMMYFUNCTION("""COMPUTED_VALUE"""),"aab4996493c32f1ec5e010a7e9b25c3e280e1445")</f>
        <v>aab4996493c32f1ec5e010a7e9b25c3e280e1445</v>
      </c>
      <c r="B196" s="16" t="str">
        <f>IFERROR(__xludf.DUMMYFUNCTION("""COMPUTED_VALUE"""),"Love Forever")</f>
        <v>Love Forever</v>
      </c>
      <c r="C196" s="16" t="str">
        <f>IFERROR(__xludf.DUMMYFUNCTION("""COMPUTED_VALUE"""),"Romance")</f>
        <v>Romance</v>
      </c>
      <c r="D196" s="16">
        <f>IFERROR(__xludf.DUMMYFUNCTION("""COMPUTED_VALUE"""),7.0)</f>
        <v>7</v>
      </c>
      <c r="E196" s="16">
        <f>IFERROR(__xludf.DUMMYFUNCTION("""COMPUTED_VALUE"""),1.0)</f>
        <v>1</v>
      </c>
      <c r="F196" s="16">
        <f>IFERROR(__xludf.DUMMYFUNCTION("""COMPUTED_VALUE"""),0.428571428571428)</f>
        <v>0.4285714286</v>
      </c>
      <c r="G196" s="16">
        <f>IFERROR(__xludf.DUMMYFUNCTION("""COMPUTED_VALUE"""),0.142857142857142)</f>
        <v>0.1428571429</v>
      </c>
      <c r="H196" s="16">
        <f>IFERROR(__xludf.DUMMYFUNCTION("""COMPUTED_VALUE"""),0.285714285714285)</f>
        <v>0.2857142857</v>
      </c>
      <c r="I196" s="16">
        <f>IFERROR(__xludf.DUMMYFUNCTION("""COMPUTED_VALUE"""),0.285714285714285)</f>
        <v>0.2857142857</v>
      </c>
      <c r="J196" s="16">
        <f>IFERROR(__xludf.DUMMYFUNCTION("""COMPUTED_VALUE"""),0.0)</f>
        <v>0</v>
      </c>
      <c r="K196" s="16">
        <f>IFERROR(__xludf.DUMMYFUNCTION("""COMPUTED_VALUE"""),0.142857142857142)</f>
        <v>0.1428571429</v>
      </c>
      <c r="L196" s="16">
        <f>IFERROR(__xludf.DUMMYFUNCTION("""COMPUTED_VALUE"""),0.0)</f>
        <v>0</v>
      </c>
      <c r="M196" s="16">
        <f>IFERROR(__xludf.DUMMYFUNCTION("""COMPUTED_VALUE"""),0.0)</f>
        <v>0</v>
      </c>
      <c r="N196" s="16">
        <f>IFERROR(__xludf.DUMMYFUNCTION("""COMPUTED_VALUE"""),0.0)</f>
        <v>0</v>
      </c>
      <c r="O196" s="16">
        <f>IFERROR(__xludf.DUMMYFUNCTION("""COMPUTED_VALUE"""),0.0)</f>
        <v>0</v>
      </c>
      <c r="P196" s="16">
        <f>IFERROR(__xludf.DUMMYFUNCTION("""COMPUTED_VALUE"""),0.0)</f>
        <v>0</v>
      </c>
      <c r="Q196" s="16">
        <f>IFERROR(__xludf.DUMMYFUNCTION("""COMPUTED_VALUE"""),0.0)</f>
        <v>0</v>
      </c>
      <c r="R196" s="16">
        <f>IFERROR(__xludf.DUMMYFUNCTION("""COMPUTED_VALUE"""),0.0)</f>
        <v>0</v>
      </c>
      <c r="S196" s="16">
        <f>IFERROR(__xludf.DUMMYFUNCTION("""COMPUTED_VALUE"""),0.0)</f>
        <v>0</v>
      </c>
      <c r="T196" s="16">
        <f>IFERROR(__xludf.DUMMYFUNCTION("""COMPUTED_VALUE"""),0.0)</f>
        <v>0</v>
      </c>
      <c r="U196" s="16">
        <f>IFERROR(__xludf.DUMMYFUNCTION("""COMPUTED_VALUE"""),0.0)</f>
        <v>0</v>
      </c>
      <c r="V196" s="16">
        <f>IFERROR(__xludf.DUMMYFUNCTION("""COMPUTED_VALUE"""),0.0)</f>
        <v>0</v>
      </c>
      <c r="W196" s="16">
        <f>IFERROR(__xludf.DUMMYFUNCTION("""COMPUTED_VALUE"""),0.0)</f>
        <v>0</v>
      </c>
      <c r="X196" s="16">
        <f>IFERROR(__xludf.DUMMYFUNCTION("""COMPUTED_VALUE"""),0.0)</f>
        <v>0</v>
      </c>
      <c r="Y196" s="16">
        <f>IFERROR(__xludf.DUMMYFUNCTION("""COMPUTED_VALUE"""),0.0)</f>
        <v>0</v>
      </c>
      <c r="Z196" s="16">
        <f>IFERROR(__xludf.DUMMYFUNCTION("""COMPUTED_VALUE"""),0.0)</f>
        <v>0</v>
      </c>
      <c r="AA196" s="16">
        <f>IFERROR(__xludf.DUMMYFUNCTION("""COMPUTED_VALUE"""),0.0)</f>
        <v>0</v>
      </c>
      <c r="AB196" s="16">
        <f>IFERROR(__xludf.DUMMYFUNCTION("""COMPUTED_VALUE"""),0.0)</f>
        <v>0</v>
      </c>
      <c r="AC196" s="16">
        <f>IFERROR(__xludf.DUMMYFUNCTION("""COMPUTED_VALUE"""),0.0)</f>
        <v>0</v>
      </c>
      <c r="AD196" s="16">
        <f>IFERROR(__xludf.DUMMYFUNCTION("""COMPUTED_VALUE"""),0.0)</f>
        <v>0</v>
      </c>
      <c r="AE196" s="16">
        <f>IFERROR(__xludf.DUMMYFUNCTION("""COMPUTED_VALUE"""),0.0)</f>
        <v>0</v>
      </c>
      <c r="AF196" s="16">
        <f>IFERROR(__xludf.DUMMYFUNCTION("""COMPUTED_VALUE"""),0.0)</f>
        <v>0</v>
      </c>
      <c r="AG196" s="16">
        <f>IFERROR(__xludf.DUMMYFUNCTION("""COMPUTED_VALUE"""),0.0)</f>
        <v>0</v>
      </c>
      <c r="AH196" s="16">
        <f>IFERROR(__xludf.DUMMYFUNCTION("""COMPUTED_VALUE"""),0.0)</f>
        <v>0</v>
      </c>
    </row>
    <row r="197">
      <c r="A197" s="16" t="str">
        <f>IFERROR(__xludf.DUMMYFUNCTION("""COMPUTED_VALUE"""),"ab0abb1b032efe35c0bd9be9cb6f80f8738dc1c9")</f>
        <v>ab0abb1b032efe35c0bd9be9cb6f80f8738dc1c9</v>
      </c>
      <c r="B197" s="16" t="str">
        <f>IFERROR(__xludf.DUMMYFUNCTION("""COMPUTED_VALUE"""),"Kaizen Aritoku Rise")</f>
        <v>Kaizen Aritoku Rise</v>
      </c>
      <c r="C197" s="16" t="str">
        <f>IFERROR(__xludf.DUMMYFUNCTION("""COMPUTED_VALUE"""),"System and Superpower")</f>
        <v>System and Superpower</v>
      </c>
      <c r="D197" s="16">
        <f>IFERROR(__xludf.DUMMYFUNCTION("""COMPUTED_VALUE"""),18.0)</f>
        <v>18</v>
      </c>
      <c r="E197" s="16">
        <f>IFERROR(__xludf.DUMMYFUNCTION("""COMPUTED_VALUE"""),1.0)</f>
        <v>1</v>
      </c>
      <c r="F197" s="16">
        <f>IFERROR(__xludf.DUMMYFUNCTION("""COMPUTED_VALUE"""),0.555555555555555)</f>
        <v>0.5555555556</v>
      </c>
      <c r="G197" s="16">
        <f>IFERROR(__xludf.DUMMYFUNCTION("""COMPUTED_VALUE"""),0.5)</f>
        <v>0.5</v>
      </c>
      <c r="H197" s="16">
        <f>IFERROR(__xludf.DUMMYFUNCTION("""COMPUTED_VALUE"""),0.444444444444444)</f>
        <v>0.4444444444</v>
      </c>
      <c r="I197" s="16">
        <f>IFERROR(__xludf.DUMMYFUNCTION("""COMPUTED_VALUE"""),0.388888888888888)</f>
        <v>0.3888888889</v>
      </c>
      <c r="J197" s="16">
        <f>IFERROR(__xludf.DUMMYFUNCTION("""COMPUTED_VALUE"""),0.388888888888888)</f>
        <v>0.3888888889</v>
      </c>
      <c r="K197" s="16">
        <f>IFERROR(__xludf.DUMMYFUNCTION("""COMPUTED_VALUE"""),0.388888888888888)</f>
        <v>0.3888888889</v>
      </c>
      <c r="L197" s="16">
        <f>IFERROR(__xludf.DUMMYFUNCTION("""COMPUTED_VALUE"""),0.294117647058823)</f>
        <v>0.2941176471</v>
      </c>
      <c r="M197" s="16">
        <f>IFERROR(__xludf.DUMMYFUNCTION("""COMPUTED_VALUE"""),0.294117647058823)</f>
        <v>0.2941176471</v>
      </c>
      <c r="N197" s="16">
        <f>IFERROR(__xludf.DUMMYFUNCTION("""COMPUTED_VALUE"""),0.352941176470588)</f>
        <v>0.3529411765</v>
      </c>
      <c r="O197" s="16">
        <f>IFERROR(__xludf.DUMMYFUNCTION("""COMPUTED_VALUE"""),0.176470588235294)</f>
        <v>0.1764705882</v>
      </c>
      <c r="P197" s="16">
        <f>IFERROR(__xludf.DUMMYFUNCTION("""COMPUTED_VALUE"""),0.117647058823529)</f>
        <v>0.1176470588</v>
      </c>
      <c r="Q197" s="16">
        <f>IFERROR(__xludf.DUMMYFUNCTION("""COMPUTED_VALUE"""),0.0625)</f>
        <v>0.0625</v>
      </c>
      <c r="R197" s="16">
        <f>IFERROR(__xludf.DUMMYFUNCTION("""COMPUTED_VALUE"""),0.0)</f>
        <v>0</v>
      </c>
      <c r="S197" s="16">
        <f>IFERROR(__xludf.DUMMYFUNCTION("""COMPUTED_VALUE"""),0.0)</f>
        <v>0</v>
      </c>
      <c r="T197" s="16">
        <f>IFERROR(__xludf.DUMMYFUNCTION("""COMPUTED_VALUE"""),0.0)</f>
        <v>0</v>
      </c>
      <c r="U197" s="16">
        <f>IFERROR(__xludf.DUMMYFUNCTION("""COMPUTED_VALUE"""),0.0)</f>
        <v>0</v>
      </c>
      <c r="V197" s="16">
        <f>IFERROR(__xludf.DUMMYFUNCTION("""COMPUTED_VALUE"""),0.0)</f>
        <v>0</v>
      </c>
      <c r="W197" s="16">
        <f>IFERROR(__xludf.DUMMYFUNCTION("""COMPUTED_VALUE"""),0.0)</f>
        <v>0</v>
      </c>
      <c r="X197" s="16">
        <f>IFERROR(__xludf.DUMMYFUNCTION("""COMPUTED_VALUE"""),0.0)</f>
        <v>0</v>
      </c>
      <c r="Y197" s="16">
        <f>IFERROR(__xludf.DUMMYFUNCTION("""COMPUTED_VALUE"""),0.0)</f>
        <v>0</v>
      </c>
      <c r="Z197" s="16">
        <f>IFERROR(__xludf.DUMMYFUNCTION("""COMPUTED_VALUE"""),0.0)</f>
        <v>0</v>
      </c>
      <c r="AA197" s="16">
        <f>IFERROR(__xludf.DUMMYFUNCTION("""COMPUTED_VALUE"""),0.0)</f>
        <v>0</v>
      </c>
      <c r="AB197" s="16">
        <f>IFERROR(__xludf.DUMMYFUNCTION("""COMPUTED_VALUE"""),0.0)</f>
        <v>0</v>
      </c>
      <c r="AC197" s="16">
        <f>IFERROR(__xludf.DUMMYFUNCTION("""COMPUTED_VALUE"""),0.0)</f>
        <v>0</v>
      </c>
      <c r="AD197" s="16">
        <f>IFERROR(__xludf.DUMMYFUNCTION("""COMPUTED_VALUE"""),0.0)</f>
        <v>0</v>
      </c>
      <c r="AE197" s="16">
        <f>IFERROR(__xludf.DUMMYFUNCTION("""COMPUTED_VALUE"""),0.0)</f>
        <v>0</v>
      </c>
      <c r="AF197" s="16">
        <f>IFERROR(__xludf.DUMMYFUNCTION("""COMPUTED_VALUE"""),0.0)</f>
        <v>0</v>
      </c>
      <c r="AG197" s="16">
        <f>IFERROR(__xludf.DUMMYFUNCTION("""COMPUTED_VALUE"""),0.0)</f>
        <v>0</v>
      </c>
      <c r="AH197" s="16">
        <f>IFERROR(__xludf.DUMMYFUNCTION("""COMPUTED_VALUE"""),0.0)</f>
        <v>0</v>
      </c>
    </row>
    <row r="198">
      <c r="A198" s="16" t="str">
        <f>IFERROR(__xludf.DUMMYFUNCTION("""COMPUTED_VALUE"""),"abe99e0d615e9d7ebbf5d941810842cf64a74c6c")</f>
        <v>abe99e0d615e9d7ebbf5d941810842cf64a74c6c</v>
      </c>
      <c r="B198" s="16" t="str">
        <f>IFERROR(__xludf.DUMMYFUNCTION("""COMPUTED_VALUE"""),"Forgetting You, Lily")</f>
        <v>Forgetting You, Lily</v>
      </c>
      <c r="C198" s="16" t="str">
        <f>IFERROR(__xludf.DUMMYFUNCTION("""COMPUTED_VALUE"""),"Romance")</f>
        <v>Romance</v>
      </c>
      <c r="D198" s="16">
        <f>IFERROR(__xludf.DUMMYFUNCTION("""COMPUTED_VALUE"""),14.0)</f>
        <v>14</v>
      </c>
      <c r="E198" s="16">
        <f>IFERROR(__xludf.DUMMYFUNCTION("""COMPUTED_VALUE"""),1.0)</f>
        <v>1</v>
      </c>
      <c r="F198" s="16">
        <f>IFERROR(__xludf.DUMMYFUNCTION("""COMPUTED_VALUE"""),0.571428571428571)</f>
        <v>0.5714285714</v>
      </c>
      <c r="G198" s="16">
        <f>IFERROR(__xludf.DUMMYFUNCTION("""COMPUTED_VALUE"""),0.357142857142857)</f>
        <v>0.3571428571</v>
      </c>
      <c r="H198" s="16">
        <f>IFERROR(__xludf.DUMMYFUNCTION("""COMPUTED_VALUE"""),0.357142857142857)</f>
        <v>0.3571428571</v>
      </c>
      <c r="I198" s="16">
        <f>IFERROR(__xludf.DUMMYFUNCTION("""COMPUTED_VALUE"""),0.357142857142857)</f>
        <v>0.3571428571</v>
      </c>
      <c r="J198" s="16">
        <f>IFERROR(__xludf.DUMMYFUNCTION("""COMPUTED_VALUE"""),0.285714285714285)</f>
        <v>0.2857142857</v>
      </c>
      <c r="K198" s="16">
        <f>IFERROR(__xludf.DUMMYFUNCTION("""COMPUTED_VALUE"""),0.214285714285714)</f>
        <v>0.2142857143</v>
      </c>
      <c r="L198" s="16">
        <f>IFERROR(__xludf.DUMMYFUNCTION("""COMPUTED_VALUE"""),0.181818181818181)</f>
        <v>0.1818181818</v>
      </c>
      <c r="M198" s="16">
        <f>IFERROR(__xludf.DUMMYFUNCTION("""COMPUTED_VALUE"""),0.181818181818181)</f>
        <v>0.1818181818</v>
      </c>
      <c r="N198" s="16">
        <f>IFERROR(__xludf.DUMMYFUNCTION("""COMPUTED_VALUE"""),0.2)</f>
        <v>0.2</v>
      </c>
      <c r="O198" s="16">
        <f>IFERROR(__xludf.DUMMYFUNCTION("""COMPUTED_VALUE"""),0.125)</f>
        <v>0.125</v>
      </c>
      <c r="P198" s="16">
        <f>IFERROR(__xludf.DUMMYFUNCTION("""COMPUTED_VALUE"""),0.0)</f>
        <v>0</v>
      </c>
      <c r="Q198" s="16">
        <f>IFERROR(__xludf.DUMMYFUNCTION("""COMPUTED_VALUE"""),0.0)</f>
        <v>0</v>
      </c>
      <c r="R198" s="16">
        <f>IFERROR(__xludf.DUMMYFUNCTION("""COMPUTED_VALUE"""),0.0)</f>
        <v>0</v>
      </c>
      <c r="S198" s="16">
        <f>IFERROR(__xludf.DUMMYFUNCTION("""COMPUTED_VALUE"""),0.0)</f>
        <v>0</v>
      </c>
      <c r="T198" s="16">
        <f>IFERROR(__xludf.DUMMYFUNCTION("""COMPUTED_VALUE"""),0.0)</f>
        <v>0</v>
      </c>
      <c r="U198" s="16">
        <f>IFERROR(__xludf.DUMMYFUNCTION("""COMPUTED_VALUE"""),0.0)</f>
        <v>0</v>
      </c>
      <c r="V198" s="16">
        <f>IFERROR(__xludf.DUMMYFUNCTION("""COMPUTED_VALUE"""),0.0)</f>
        <v>0</v>
      </c>
      <c r="W198" s="16">
        <f>IFERROR(__xludf.DUMMYFUNCTION("""COMPUTED_VALUE"""),0.0)</f>
        <v>0</v>
      </c>
      <c r="X198" s="16">
        <f>IFERROR(__xludf.DUMMYFUNCTION("""COMPUTED_VALUE"""),0.0)</f>
        <v>0</v>
      </c>
      <c r="Y198" s="16">
        <f>IFERROR(__xludf.DUMMYFUNCTION("""COMPUTED_VALUE"""),0.0)</f>
        <v>0</v>
      </c>
      <c r="Z198" s="16">
        <f>IFERROR(__xludf.DUMMYFUNCTION("""COMPUTED_VALUE"""),0.0)</f>
        <v>0</v>
      </c>
      <c r="AA198" s="16">
        <f>IFERROR(__xludf.DUMMYFUNCTION("""COMPUTED_VALUE"""),0.0)</f>
        <v>0</v>
      </c>
      <c r="AB198" s="16">
        <f>IFERROR(__xludf.DUMMYFUNCTION("""COMPUTED_VALUE"""),0.0)</f>
        <v>0</v>
      </c>
      <c r="AC198" s="16">
        <f>IFERROR(__xludf.DUMMYFUNCTION("""COMPUTED_VALUE"""),0.0)</f>
        <v>0</v>
      </c>
      <c r="AD198" s="16">
        <f>IFERROR(__xludf.DUMMYFUNCTION("""COMPUTED_VALUE"""),0.0)</f>
        <v>0</v>
      </c>
      <c r="AE198" s="16">
        <f>IFERROR(__xludf.DUMMYFUNCTION("""COMPUTED_VALUE"""),0.0)</f>
        <v>0</v>
      </c>
      <c r="AF198" s="16">
        <f>IFERROR(__xludf.DUMMYFUNCTION("""COMPUTED_VALUE"""),0.0)</f>
        <v>0</v>
      </c>
      <c r="AG198" s="16">
        <f>IFERROR(__xludf.DUMMYFUNCTION("""COMPUTED_VALUE"""),0.0)</f>
        <v>0</v>
      </c>
      <c r="AH198" s="16">
        <f>IFERROR(__xludf.DUMMYFUNCTION("""COMPUTED_VALUE"""),0.0)</f>
        <v>0</v>
      </c>
    </row>
    <row r="199">
      <c r="A199" s="16" t="str">
        <f>IFERROR(__xludf.DUMMYFUNCTION("""COMPUTED_VALUE"""),"ac20da1af1ee60dd2020e8ff294c8c9dcf5be7ba")</f>
        <v>ac20da1af1ee60dd2020e8ff294c8c9dcf5be7ba</v>
      </c>
      <c r="B199" s="16" t="str">
        <f>IFERROR(__xludf.DUMMYFUNCTION("""COMPUTED_VALUE"""),"General Drake")</f>
        <v>General Drake</v>
      </c>
      <c r="C199" s="16" t="str">
        <f>IFERROR(__xludf.DUMMYFUNCTION("""COMPUTED_VALUE"""),"Suspense or Thriller")</f>
        <v>Suspense or Thriller</v>
      </c>
      <c r="D199" s="16">
        <f>IFERROR(__xludf.DUMMYFUNCTION("""COMPUTED_VALUE"""),81.0)</f>
        <v>81</v>
      </c>
      <c r="E199" s="16">
        <f>IFERROR(__xludf.DUMMYFUNCTION("""COMPUTED_VALUE"""),0.987654320987654)</f>
        <v>0.987654321</v>
      </c>
      <c r="F199" s="16">
        <f>IFERROR(__xludf.DUMMYFUNCTION("""COMPUTED_VALUE"""),0.765432098765432)</f>
        <v>0.7654320988</v>
      </c>
      <c r="G199" s="16">
        <f>IFERROR(__xludf.DUMMYFUNCTION("""COMPUTED_VALUE"""),0.728395061728395)</f>
        <v>0.7283950617</v>
      </c>
      <c r="H199" s="16">
        <f>IFERROR(__xludf.DUMMYFUNCTION("""COMPUTED_VALUE"""),0.691358024691358)</f>
        <v>0.6913580247</v>
      </c>
      <c r="I199" s="16">
        <f>IFERROR(__xludf.DUMMYFUNCTION("""COMPUTED_VALUE"""),0.641975308641975)</f>
        <v>0.6419753086</v>
      </c>
      <c r="J199" s="16">
        <f>IFERROR(__xludf.DUMMYFUNCTION("""COMPUTED_VALUE"""),0.592592592592592)</f>
        <v>0.5925925926</v>
      </c>
      <c r="K199" s="16">
        <f>IFERROR(__xludf.DUMMYFUNCTION("""COMPUTED_VALUE"""),0.518518518518518)</f>
        <v>0.5185185185</v>
      </c>
      <c r="L199" s="16">
        <f>IFERROR(__xludf.DUMMYFUNCTION("""COMPUTED_VALUE"""),0.444444444444444)</f>
        <v>0.4444444444</v>
      </c>
      <c r="M199" s="16">
        <f>IFERROR(__xludf.DUMMYFUNCTION("""COMPUTED_VALUE"""),0.430555555555555)</f>
        <v>0.4305555556</v>
      </c>
      <c r="N199" s="16">
        <f>IFERROR(__xludf.DUMMYFUNCTION("""COMPUTED_VALUE"""),0.416666666666666)</f>
        <v>0.4166666667</v>
      </c>
      <c r="O199" s="16">
        <f>IFERROR(__xludf.DUMMYFUNCTION("""COMPUTED_VALUE"""),0.333333333333333)</f>
        <v>0.3333333333</v>
      </c>
      <c r="P199" s="16">
        <f>IFERROR(__xludf.DUMMYFUNCTION("""COMPUTED_VALUE"""),0.209677419354838)</f>
        <v>0.2096774194</v>
      </c>
      <c r="Q199" s="16">
        <f>IFERROR(__xludf.DUMMYFUNCTION("""COMPUTED_VALUE"""),0.185185185185185)</f>
        <v>0.1851851852</v>
      </c>
      <c r="R199" s="16">
        <f>IFERROR(__xludf.DUMMYFUNCTION("""COMPUTED_VALUE"""),0.0)</f>
        <v>0</v>
      </c>
      <c r="S199" s="16">
        <f>IFERROR(__xludf.DUMMYFUNCTION("""COMPUTED_VALUE"""),0.0)</f>
        <v>0</v>
      </c>
      <c r="T199" s="16">
        <f>IFERROR(__xludf.DUMMYFUNCTION("""COMPUTED_VALUE"""),0.0)</f>
        <v>0</v>
      </c>
      <c r="U199" s="16">
        <f>IFERROR(__xludf.DUMMYFUNCTION("""COMPUTED_VALUE"""),0.0)</f>
        <v>0</v>
      </c>
      <c r="V199" s="16">
        <f>IFERROR(__xludf.DUMMYFUNCTION("""COMPUTED_VALUE"""),0.0)</f>
        <v>0</v>
      </c>
      <c r="W199" s="16">
        <f>IFERROR(__xludf.DUMMYFUNCTION("""COMPUTED_VALUE"""),0.0)</f>
        <v>0</v>
      </c>
      <c r="X199" s="16">
        <f>IFERROR(__xludf.DUMMYFUNCTION("""COMPUTED_VALUE"""),0.0)</f>
        <v>0</v>
      </c>
      <c r="Y199" s="16">
        <f>IFERROR(__xludf.DUMMYFUNCTION("""COMPUTED_VALUE"""),0.0)</f>
        <v>0</v>
      </c>
      <c r="Z199" s="16">
        <f>IFERROR(__xludf.DUMMYFUNCTION("""COMPUTED_VALUE"""),0.0)</f>
        <v>0</v>
      </c>
      <c r="AA199" s="16">
        <f>IFERROR(__xludf.DUMMYFUNCTION("""COMPUTED_VALUE"""),0.0)</f>
        <v>0</v>
      </c>
      <c r="AB199" s="16">
        <f>IFERROR(__xludf.DUMMYFUNCTION("""COMPUTED_VALUE"""),0.0)</f>
        <v>0</v>
      </c>
      <c r="AC199" s="16">
        <f>IFERROR(__xludf.DUMMYFUNCTION("""COMPUTED_VALUE"""),0.0)</f>
        <v>0</v>
      </c>
      <c r="AD199" s="16">
        <f>IFERROR(__xludf.DUMMYFUNCTION("""COMPUTED_VALUE"""),0.0)</f>
        <v>0</v>
      </c>
      <c r="AE199" s="16">
        <f>IFERROR(__xludf.DUMMYFUNCTION("""COMPUTED_VALUE"""),0.0)</f>
        <v>0</v>
      </c>
      <c r="AF199" s="16">
        <f>IFERROR(__xludf.DUMMYFUNCTION("""COMPUTED_VALUE"""),0.0)</f>
        <v>0</v>
      </c>
      <c r="AG199" s="16">
        <f>IFERROR(__xludf.DUMMYFUNCTION("""COMPUTED_VALUE"""),0.0)</f>
        <v>0</v>
      </c>
      <c r="AH199" s="16">
        <f>IFERROR(__xludf.DUMMYFUNCTION("""COMPUTED_VALUE"""),0.0)</f>
        <v>0</v>
      </c>
    </row>
    <row r="200">
      <c r="A200" s="16" t="str">
        <f>IFERROR(__xludf.DUMMYFUNCTION("""COMPUTED_VALUE"""),"ad2e8d85f798bb8f66e9add56b1e29d7018e06fb")</f>
        <v>ad2e8d85f798bb8f66e9add56b1e29d7018e06fb</v>
      </c>
      <c r="B200" s="16" t="str">
        <f>IFERROR(__xludf.DUMMYFUNCTION("""COMPUTED_VALUE"""),"Embezzling Simp Funds")</f>
        <v>Embezzling Simp Funds</v>
      </c>
      <c r="C200" s="16" t="str">
        <f>IFERROR(__xludf.DUMMYFUNCTION("""COMPUTED_VALUE"""),"System and Superpower")</f>
        <v>System and Superpower</v>
      </c>
      <c r="D200" s="16">
        <f>IFERROR(__xludf.DUMMYFUNCTION("""COMPUTED_VALUE"""),446.0)</f>
        <v>446</v>
      </c>
      <c r="E200" s="16">
        <f>IFERROR(__xludf.DUMMYFUNCTION("""COMPUTED_VALUE"""),0.991031390134529)</f>
        <v>0.9910313901</v>
      </c>
      <c r="F200" s="16">
        <f>IFERROR(__xludf.DUMMYFUNCTION("""COMPUTED_VALUE"""),0.517937219730941)</f>
        <v>0.5179372197</v>
      </c>
      <c r="G200" s="16">
        <f>IFERROR(__xludf.DUMMYFUNCTION("""COMPUTED_VALUE"""),0.457399103139013)</f>
        <v>0.4573991031</v>
      </c>
      <c r="H200" s="16">
        <f>IFERROR(__xludf.DUMMYFUNCTION("""COMPUTED_VALUE"""),0.414798206278026)</f>
        <v>0.4147982063</v>
      </c>
      <c r="I200" s="16">
        <f>IFERROR(__xludf.DUMMYFUNCTION("""COMPUTED_VALUE"""),0.376681614349775)</f>
        <v>0.3766816143</v>
      </c>
      <c r="J200" s="16">
        <f>IFERROR(__xludf.DUMMYFUNCTION("""COMPUTED_VALUE"""),0.356502242152466)</f>
        <v>0.3565022422</v>
      </c>
      <c r="K200" s="16">
        <f>IFERROR(__xludf.DUMMYFUNCTION("""COMPUTED_VALUE"""),0.336322869955157)</f>
        <v>0.33632287</v>
      </c>
      <c r="L200" s="16">
        <f>IFERROR(__xludf.DUMMYFUNCTION("""COMPUTED_VALUE"""),0.307865168539325)</f>
        <v>0.3078651685</v>
      </c>
      <c r="M200" s="16">
        <f>IFERROR(__xludf.DUMMYFUNCTION("""COMPUTED_VALUE"""),0.301123595505617)</f>
        <v>0.3011235955</v>
      </c>
      <c r="N200" s="16">
        <f>IFERROR(__xludf.DUMMYFUNCTION("""COMPUTED_VALUE"""),0.292134831460674)</f>
        <v>0.2921348315</v>
      </c>
      <c r="O200" s="16">
        <f>IFERROR(__xludf.DUMMYFUNCTION("""COMPUTED_VALUE"""),0.222972972972972)</f>
        <v>0.222972973</v>
      </c>
      <c r="P200" s="16">
        <f>IFERROR(__xludf.DUMMYFUNCTION("""COMPUTED_VALUE"""),0.179176755447941)</f>
        <v>0.1791767554</v>
      </c>
      <c r="Q200" s="16">
        <f>IFERROR(__xludf.DUMMYFUNCTION("""COMPUTED_VALUE"""),0.125954198473282)</f>
        <v>0.1259541985</v>
      </c>
      <c r="R200" s="16">
        <f>IFERROR(__xludf.DUMMYFUNCTION("""COMPUTED_VALUE"""),0.181818181818181)</f>
        <v>0.1818181818</v>
      </c>
      <c r="S200" s="16">
        <f>IFERROR(__xludf.DUMMYFUNCTION("""COMPUTED_VALUE"""),0.0909090909090909)</f>
        <v>0.09090909091</v>
      </c>
      <c r="T200" s="16">
        <f>IFERROR(__xludf.DUMMYFUNCTION("""COMPUTED_VALUE"""),0.105263157894736)</f>
        <v>0.1052631579</v>
      </c>
      <c r="U200" s="16">
        <f>IFERROR(__xludf.DUMMYFUNCTION("""COMPUTED_VALUE"""),0.125)</f>
        <v>0.125</v>
      </c>
      <c r="V200" s="16">
        <f>IFERROR(__xludf.DUMMYFUNCTION("""COMPUTED_VALUE"""),0.0666666666666666)</f>
        <v>0.06666666667</v>
      </c>
      <c r="W200" s="16">
        <f>IFERROR(__xludf.DUMMYFUNCTION("""COMPUTED_VALUE"""),0.0769230769230769)</f>
        <v>0.07692307692</v>
      </c>
      <c r="X200" s="16">
        <f>IFERROR(__xludf.DUMMYFUNCTION("""COMPUTED_VALUE"""),0.0)</f>
        <v>0</v>
      </c>
      <c r="Y200" s="16">
        <f>IFERROR(__xludf.DUMMYFUNCTION("""COMPUTED_VALUE"""),0.0)</f>
        <v>0</v>
      </c>
      <c r="Z200" s="16">
        <f>IFERROR(__xludf.DUMMYFUNCTION("""COMPUTED_VALUE"""),0.0)</f>
        <v>0</v>
      </c>
      <c r="AA200" s="16">
        <f>IFERROR(__xludf.DUMMYFUNCTION("""COMPUTED_VALUE"""),0.0)</f>
        <v>0</v>
      </c>
      <c r="AB200" s="16">
        <f>IFERROR(__xludf.DUMMYFUNCTION("""COMPUTED_VALUE"""),0.0)</f>
        <v>0</v>
      </c>
      <c r="AC200" s="16">
        <f>IFERROR(__xludf.DUMMYFUNCTION("""COMPUTED_VALUE"""),0.0)</f>
        <v>0</v>
      </c>
      <c r="AD200" s="16">
        <f>IFERROR(__xludf.DUMMYFUNCTION("""COMPUTED_VALUE"""),0.0)</f>
        <v>0</v>
      </c>
      <c r="AE200" s="16">
        <f>IFERROR(__xludf.DUMMYFUNCTION("""COMPUTED_VALUE"""),0.0)</f>
        <v>0</v>
      </c>
      <c r="AF200" s="16">
        <f>IFERROR(__xludf.DUMMYFUNCTION("""COMPUTED_VALUE"""),0.0)</f>
        <v>0</v>
      </c>
      <c r="AG200" s="16">
        <f>IFERROR(__xludf.DUMMYFUNCTION("""COMPUTED_VALUE"""),0.0)</f>
        <v>0</v>
      </c>
      <c r="AH200" s="16">
        <f>IFERROR(__xludf.DUMMYFUNCTION("""COMPUTED_VALUE"""),0.0)</f>
        <v>0</v>
      </c>
    </row>
    <row r="201">
      <c r="A201" s="16" t="str">
        <f>IFERROR(__xludf.DUMMYFUNCTION("""COMPUTED_VALUE"""),"ad877b024bb7b2c30b52737ab2d9d8d49cc89f77")</f>
        <v>ad877b024bb7b2c30b52737ab2d9d8d49cc89f77</v>
      </c>
      <c r="B201" s="16" t="str">
        <f>IFERROR(__xludf.DUMMYFUNCTION("""COMPUTED_VALUE"""),"The Master at Heart Work ")</f>
        <v>The Master at Heart Work </v>
      </c>
      <c r="C201" s="16" t="str">
        <f>IFERROR(__xludf.DUMMYFUNCTION("""COMPUTED_VALUE"""),"System and Superpower")</f>
        <v>System and Superpower</v>
      </c>
      <c r="D201" s="16">
        <f>IFERROR(__xludf.DUMMYFUNCTION("""COMPUTED_VALUE"""),104.0)</f>
        <v>104</v>
      </c>
      <c r="E201" s="16">
        <f>IFERROR(__xludf.DUMMYFUNCTION("""COMPUTED_VALUE"""),0.961538461538461)</f>
        <v>0.9615384615</v>
      </c>
      <c r="F201" s="16">
        <f>IFERROR(__xludf.DUMMYFUNCTION("""COMPUTED_VALUE"""),0.769230769230769)</f>
        <v>0.7692307692</v>
      </c>
      <c r="G201" s="16">
        <f>IFERROR(__xludf.DUMMYFUNCTION("""COMPUTED_VALUE"""),0.740384615384615)</f>
        <v>0.7403846154</v>
      </c>
      <c r="H201" s="16">
        <f>IFERROR(__xludf.DUMMYFUNCTION("""COMPUTED_VALUE"""),0.663461538461538)</f>
        <v>0.6634615385</v>
      </c>
      <c r="I201" s="16">
        <f>IFERROR(__xludf.DUMMYFUNCTION("""COMPUTED_VALUE"""),0.653846153846153)</f>
        <v>0.6538461538</v>
      </c>
      <c r="J201" s="16">
        <f>IFERROR(__xludf.DUMMYFUNCTION("""COMPUTED_VALUE"""),0.567307692307692)</f>
        <v>0.5673076923</v>
      </c>
      <c r="K201" s="16">
        <f>IFERROR(__xludf.DUMMYFUNCTION("""COMPUTED_VALUE"""),0.538461538461538)</f>
        <v>0.5384615385</v>
      </c>
      <c r="L201" s="16">
        <f>IFERROR(__xludf.DUMMYFUNCTION("""COMPUTED_VALUE"""),0.5)</f>
        <v>0.5</v>
      </c>
      <c r="M201" s="16">
        <f>IFERROR(__xludf.DUMMYFUNCTION("""COMPUTED_VALUE"""),0.490384615384615)</f>
        <v>0.4903846154</v>
      </c>
      <c r="N201" s="16">
        <f>IFERROR(__xludf.DUMMYFUNCTION("""COMPUTED_VALUE"""),0.451923076923076)</f>
        <v>0.4519230769</v>
      </c>
      <c r="O201" s="16">
        <f>IFERROR(__xludf.DUMMYFUNCTION("""COMPUTED_VALUE"""),0.38)</f>
        <v>0.38</v>
      </c>
      <c r="P201" s="16">
        <f>IFERROR(__xludf.DUMMYFUNCTION("""COMPUTED_VALUE"""),0.273684210526315)</f>
        <v>0.2736842105</v>
      </c>
      <c r="Q201" s="16">
        <f>IFERROR(__xludf.DUMMYFUNCTION("""COMPUTED_VALUE"""),0.168539325842696)</f>
        <v>0.1685393258</v>
      </c>
      <c r="R201" s="16">
        <f>IFERROR(__xludf.DUMMYFUNCTION("""COMPUTED_VALUE"""),0.174418604651162)</f>
        <v>0.1744186047</v>
      </c>
      <c r="S201" s="16">
        <f>IFERROR(__xludf.DUMMYFUNCTION("""COMPUTED_VALUE"""),0.16867469879518)</f>
        <v>0.1686746988</v>
      </c>
      <c r="T201" s="16">
        <f>IFERROR(__xludf.DUMMYFUNCTION("""COMPUTED_VALUE"""),0.123287671232876)</f>
        <v>0.1232876712</v>
      </c>
      <c r="U201" s="16">
        <f>IFERROR(__xludf.DUMMYFUNCTION("""COMPUTED_VALUE"""),0.087719298245614)</f>
        <v>0.08771929825</v>
      </c>
      <c r="V201" s="16">
        <f>IFERROR(__xludf.DUMMYFUNCTION("""COMPUTED_VALUE"""),0.0769230769230769)</f>
        <v>0.07692307692</v>
      </c>
      <c r="W201" s="16">
        <f>IFERROR(__xludf.DUMMYFUNCTION("""COMPUTED_VALUE"""),0.0638297872340425)</f>
        <v>0.06382978723</v>
      </c>
      <c r="X201" s="16">
        <f>IFERROR(__xludf.DUMMYFUNCTION("""COMPUTED_VALUE"""),0.03125)</f>
        <v>0.03125</v>
      </c>
      <c r="Y201" s="16">
        <f>IFERROR(__xludf.DUMMYFUNCTION("""COMPUTED_VALUE"""),0.0)</f>
        <v>0</v>
      </c>
      <c r="Z201" s="16">
        <f>IFERROR(__xludf.DUMMYFUNCTION("""COMPUTED_VALUE"""),0.0)</f>
        <v>0</v>
      </c>
      <c r="AA201" s="16">
        <f>IFERROR(__xludf.DUMMYFUNCTION("""COMPUTED_VALUE"""),0.0)</f>
        <v>0</v>
      </c>
      <c r="AB201" s="16">
        <f>IFERROR(__xludf.DUMMYFUNCTION("""COMPUTED_VALUE"""),0.0)</f>
        <v>0</v>
      </c>
      <c r="AC201" s="16">
        <f>IFERROR(__xludf.DUMMYFUNCTION("""COMPUTED_VALUE"""),0.0)</f>
        <v>0</v>
      </c>
      <c r="AD201" s="16">
        <f>IFERROR(__xludf.DUMMYFUNCTION("""COMPUTED_VALUE"""),0.0)</f>
        <v>0</v>
      </c>
      <c r="AE201" s="16">
        <f>IFERROR(__xludf.DUMMYFUNCTION("""COMPUTED_VALUE"""),0.0)</f>
        <v>0</v>
      </c>
      <c r="AF201" s="16">
        <f>IFERROR(__xludf.DUMMYFUNCTION("""COMPUTED_VALUE"""),0.0)</f>
        <v>0</v>
      </c>
      <c r="AG201" s="16">
        <f>IFERROR(__xludf.DUMMYFUNCTION("""COMPUTED_VALUE"""),0.0)</f>
        <v>0</v>
      </c>
      <c r="AH201" s="16">
        <f>IFERROR(__xludf.DUMMYFUNCTION("""COMPUTED_VALUE"""),0.0)</f>
        <v>0</v>
      </c>
    </row>
    <row r="202">
      <c r="A202" s="16" t="str">
        <f>IFERROR(__xludf.DUMMYFUNCTION("""COMPUTED_VALUE"""),"adc7a92708ffd0f9326699e493a4bcd9e951553a")</f>
        <v>adc7a92708ffd0f9326699e493a4bcd9e951553a</v>
      </c>
      <c r="B202" s="16" t="str">
        <f>IFERROR(__xludf.DUMMYFUNCTION("""COMPUTED_VALUE"""),"The Strongest Cultivation")</f>
        <v>The Strongest Cultivation</v>
      </c>
      <c r="C202" s="16" t="str">
        <f>IFERROR(__xludf.DUMMYFUNCTION("""COMPUTED_VALUE"""),"Fantasy")</f>
        <v>Fantasy</v>
      </c>
      <c r="D202" s="16">
        <f>IFERROR(__xludf.DUMMYFUNCTION("""COMPUTED_VALUE"""),26.0)</f>
        <v>26</v>
      </c>
      <c r="E202" s="16">
        <f>IFERROR(__xludf.DUMMYFUNCTION("""COMPUTED_VALUE"""),0.923076923076923)</f>
        <v>0.9230769231</v>
      </c>
      <c r="F202" s="16">
        <f>IFERROR(__xludf.DUMMYFUNCTION("""COMPUTED_VALUE"""),0.538461538461538)</f>
        <v>0.5384615385</v>
      </c>
      <c r="G202" s="16">
        <f>IFERROR(__xludf.DUMMYFUNCTION("""COMPUTED_VALUE"""),0.384615384615384)</f>
        <v>0.3846153846</v>
      </c>
      <c r="H202" s="16">
        <f>IFERROR(__xludf.DUMMYFUNCTION("""COMPUTED_VALUE"""),0.346153846153846)</f>
        <v>0.3461538462</v>
      </c>
      <c r="I202" s="16">
        <f>IFERROR(__xludf.DUMMYFUNCTION("""COMPUTED_VALUE"""),0.307692307692307)</f>
        <v>0.3076923077</v>
      </c>
      <c r="J202" s="16">
        <f>IFERROR(__xludf.DUMMYFUNCTION("""COMPUTED_VALUE"""),0.307692307692307)</f>
        <v>0.3076923077</v>
      </c>
      <c r="K202" s="16">
        <f>IFERROR(__xludf.DUMMYFUNCTION("""COMPUTED_VALUE"""),0.23076923076923)</f>
        <v>0.2307692308</v>
      </c>
      <c r="L202" s="16">
        <f>IFERROR(__xludf.DUMMYFUNCTION("""COMPUTED_VALUE"""),0.23076923076923)</f>
        <v>0.2307692308</v>
      </c>
      <c r="M202" s="16">
        <f>IFERROR(__xludf.DUMMYFUNCTION("""COMPUTED_VALUE"""),0.23076923076923)</f>
        <v>0.2307692308</v>
      </c>
      <c r="N202" s="16">
        <f>IFERROR(__xludf.DUMMYFUNCTION("""COMPUTED_VALUE"""),0.23076923076923)</f>
        <v>0.2307692308</v>
      </c>
      <c r="O202" s="16">
        <f>IFERROR(__xludf.DUMMYFUNCTION("""COMPUTED_VALUE"""),0.2)</f>
        <v>0.2</v>
      </c>
      <c r="P202" s="16">
        <f>IFERROR(__xludf.DUMMYFUNCTION("""COMPUTED_VALUE"""),0.166666666666666)</f>
        <v>0.1666666667</v>
      </c>
      <c r="Q202" s="16">
        <f>IFERROR(__xludf.DUMMYFUNCTION("""COMPUTED_VALUE"""),0.0)</f>
        <v>0</v>
      </c>
      <c r="R202" s="16">
        <f>IFERROR(__xludf.DUMMYFUNCTION("""COMPUTED_VALUE"""),0.0)</f>
        <v>0</v>
      </c>
      <c r="S202" s="16">
        <f>IFERROR(__xludf.DUMMYFUNCTION("""COMPUTED_VALUE"""),0.0)</f>
        <v>0</v>
      </c>
      <c r="T202" s="16">
        <f>IFERROR(__xludf.DUMMYFUNCTION("""COMPUTED_VALUE"""),0.0)</f>
        <v>0</v>
      </c>
      <c r="U202" s="16">
        <f>IFERROR(__xludf.DUMMYFUNCTION("""COMPUTED_VALUE"""),0.0)</f>
        <v>0</v>
      </c>
      <c r="V202" s="16">
        <f>IFERROR(__xludf.DUMMYFUNCTION("""COMPUTED_VALUE"""),0.0)</f>
        <v>0</v>
      </c>
      <c r="W202" s="16">
        <f>IFERROR(__xludf.DUMMYFUNCTION("""COMPUTED_VALUE"""),0.0)</f>
        <v>0</v>
      </c>
      <c r="X202" s="16">
        <f>IFERROR(__xludf.DUMMYFUNCTION("""COMPUTED_VALUE"""),0.0)</f>
        <v>0</v>
      </c>
      <c r="Y202" s="16">
        <f>IFERROR(__xludf.DUMMYFUNCTION("""COMPUTED_VALUE"""),0.0)</f>
        <v>0</v>
      </c>
      <c r="Z202" s="16">
        <f>IFERROR(__xludf.DUMMYFUNCTION("""COMPUTED_VALUE"""),0.0)</f>
        <v>0</v>
      </c>
      <c r="AA202" s="16">
        <f>IFERROR(__xludf.DUMMYFUNCTION("""COMPUTED_VALUE"""),0.0)</f>
        <v>0</v>
      </c>
      <c r="AB202" s="16">
        <f>IFERROR(__xludf.DUMMYFUNCTION("""COMPUTED_VALUE"""),0.0)</f>
        <v>0</v>
      </c>
      <c r="AC202" s="16">
        <f>IFERROR(__xludf.DUMMYFUNCTION("""COMPUTED_VALUE"""),0.0)</f>
        <v>0</v>
      </c>
      <c r="AD202" s="16">
        <f>IFERROR(__xludf.DUMMYFUNCTION("""COMPUTED_VALUE"""),0.0)</f>
        <v>0</v>
      </c>
      <c r="AE202" s="16">
        <f>IFERROR(__xludf.DUMMYFUNCTION("""COMPUTED_VALUE"""),0.0)</f>
        <v>0</v>
      </c>
      <c r="AF202" s="16">
        <f>IFERROR(__xludf.DUMMYFUNCTION("""COMPUTED_VALUE"""),0.0)</f>
        <v>0</v>
      </c>
      <c r="AG202" s="16">
        <f>IFERROR(__xludf.DUMMYFUNCTION("""COMPUTED_VALUE"""),0.0)</f>
        <v>0</v>
      </c>
      <c r="AH202" s="16">
        <f>IFERROR(__xludf.DUMMYFUNCTION("""COMPUTED_VALUE"""),0.0)</f>
        <v>0</v>
      </c>
    </row>
    <row r="203">
      <c r="A203" s="16" t="str">
        <f>IFERROR(__xludf.DUMMYFUNCTION("""COMPUTED_VALUE"""),"afc4914ba536580c6c21a79231a73b9e6dc67e1a")</f>
        <v>afc4914ba536580c6c21a79231a73b9e6dc67e1a</v>
      </c>
      <c r="B203" s="16" t="str">
        <f>IFERROR(__xludf.DUMMYFUNCTION("""COMPUTED_VALUE"""),"Her Cupid Curse")</f>
        <v>Her Cupid Curse</v>
      </c>
      <c r="C203" s="16" t="str">
        <f>IFERROR(__xludf.DUMMYFUNCTION("""COMPUTED_VALUE"""),"Romance")</f>
        <v>Romance</v>
      </c>
      <c r="D203" s="16">
        <f>IFERROR(__xludf.DUMMYFUNCTION("""COMPUTED_VALUE"""),47.0)</f>
        <v>47</v>
      </c>
      <c r="E203" s="16">
        <f>IFERROR(__xludf.DUMMYFUNCTION("""COMPUTED_VALUE"""),0.957446808510638)</f>
        <v>0.9574468085</v>
      </c>
      <c r="F203" s="16">
        <f>IFERROR(__xludf.DUMMYFUNCTION("""COMPUTED_VALUE"""),0.595744680851063)</f>
        <v>0.5957446809</v>
      </c>
      <c r="G203" s="16">
        <f>IFERROR(__xludf.DUMMYFUNCTION("""COMPUTED_VALUE"""),0.574468085106383)</f>
        <v>0.5744680851</v>
      </c>
      <c r="H203" s="16">
        <f>IFERROR(__xludf.DUMMYFUNCTION("""COMPUTED_VALUE"""),0.531914893617021)</f>
        <v>0.5319148936</v>
      </c>
      <c r="I203" s="16">
        <f>IFERROR(__xludf.DUMMYFUNCTION("""COMPUTED_VALUE"""),0.468085106382978)</f>
        <v>0.4680851064</v>
      </c>
      <c r="J203" s="16">
        <f>IFERROR(__xludf.DUMMYFUNCTION("""COMPUTED_VALUE"""),0.446808510638297)</f>
        <v>0.4468085106</v>
      </c>
      <c r="K203" s="16">
        <f>IFERROR(__xludf.DUMMYFUNCTION("""COMPUTED_VALUE"""),0.425531914893617)</f>
        <v>0.4255319149</v>
      </c>
      <c r="L203" s="16">
        <f>IFERROR(__xludf.DUMMYFUNCTION("""COMPUTED_VALUE"""),0.325581395348837)</f>
        <v>0.3255813953</v>
      </c>
      <c r="M203" s="16">
        <f>IFERROR(__xludf.DUMMYFUNCTION("""COMPUTED_VALUE"""),0.325)</f>
        <v>0.325</v>
      </c>
      <c r="N203" s="16">
        <f>IFERROR(__xludf.DUMMYFUNCTION("""COMPUTED_VALUE"""),0.228571428571428)</f>
        <v>0.2285714286</v>
      </c>
      <c r="O203" s="16">
        <f>IFERROR(__xludf.DUMMYFUNCTION("""COMPUTED_VALUE"""),0.25)</f>
        <v>0.25</v>
      </c>
      <c r="P203" s="16">
        <f>IFERROR(__xludf.DUMMYFUNCTION("""COMPUTED_VALUE"""),0.0)</f>
        <v>0</v>
      </c>
      <c r="Q203" s="16">
        <f>IFERROR(__xludf.DUMMYFUNCTION("""COMPUTED_VALUE"""),0.0)</f>
        <v>0</v>
      </c>
      <c r="R203" s="16">
        <f>IFERROR(__xludf.DUMMYFUNCTION("""COMPUTED_VALUE"""),0.0)</f>
        <v>0</v>
      </c>
      <c r="S203" s="16">
        <f>IFERROR(__xludf.DUMMYFUNCTION("""COMPUTED_VALUE"""),0.0)</f>
        <v>0</v>
      </c>
      <c r="T203" s="16">
        <f>IFERROR(__xludf.DUMMYFUNCTION("""COMPUTED_VALUE"""),0.0)</f>
        <v>0</v>
      </c>
      <c r="U203" s="16">
        <f>IFERROR(__xludf.DUMMYFUNCTION("""COMPUTED_VALUE"""),0.0)</f>
        <v>0</v>
      </c>
      <c r="V203" s="16">
        <f>IFERROR(__xludf.DUMMYFUNCTION("""COMPUTED_VALUE"""),0.0)</f>
        <v>0</v>
      </c>
      <c r="W203" s="16">
        <f>IFERROR(__xludf.DUMMYFUNCTION("""COMPUTED_VALUE"""),0.0)</f>
        <v>0</v>
      </c>
      <c r="X203" s="16">
        <f>IFERROR(__xludf.DUMMYFUNCTION("""COMPUTED_VALUE"""),0.0)</f>
        <v>0</v>
      </c>
      <c r="Y203" s="16">
        <f>IFERROR(__xludf.DUMMYFUNCTION("""COMPUTED_VALUE"""),0.0)</f>
        <v>0</v>
      </c>
      <c r="Z203" s="16">
        <f>IFERROR(__xludf.DUMMYFUNCTION("""COMPUTED_VALUE"""),0.0)</f>
        <v>0</v>
      </c>
      <c r="AA203" s="16">
        <f>IFERROR(__xludf.DUMMYFUNCTION("""COMPUTED_VALUE"""),0.0)</f>
        <v>0</v>
      </c>
      <c r="AB203" s="16">
        <f>IFERROR(__xludf.DUMMYFUNCTION("""COMPUTED_VALUE"""),0.0)</f>
        <v>0</v>
      </c>
      <c r="AC203" s="16">
        <f>IFERROR(__xludf.DUMMYFUNCTION("""COMPUTED_VALUE"""),0.0)</f>
        <v>0</v>
      </c>
      <c r="AD203" s="16">
        <f>IFERROR(__xludf.DUMMYFUNCTION("""COMPUTED_VALUE"""),0.0)</f>
        <v>0</v>
      </c>
      <c r="AE203" s="16">
        <f>IFERROR(__xludf.DUMMYFUNCTION("""COMPUTED_VALUE"""),0.0)</f>
        <v>0</v>
      </c>
      <c r="AF203" s="16">
        <f>IFERROR(__xludf.DUMMYFUNCTION("""COMPUTED_VALUE"""),0.0)</f>
        <v>0</v>
      </c>
      <c r="AG203" s="16">
        <f>IFERROR(__xludf.DUMMYFUNCTION("""COMPUTED_VALUE"""),0.0)</f>
        <v>0</v>
      </c>
      <c r="AH203" s="16">
        <f>IFERROR(__xludf.DUMMYFUNCTION("""COMPUTED_VALUE"""),0.0)</f>
        <v>0</v>
      </c>
    </row>
    <row r="204">
      <c r="A204" s="16" t="str">
        <f>IFERROR(__xludf.DUMMYFUNCTION("""COMPUTED_VALUE"""),"b035f182bb6d36439bba21081e89b0cb80ad7d57")</f>
        <v>b035f182bb6d36439bba21081e89b0cb80ad7d57</v>
      </c>
      <c r="B204" s="16" t="str">
        <f>IFERROR(__xludf.DUMMYFUNCTION("""COMPUTED_VALUE"""),"Glory After Loss")</f>
        <v>Glory After Loss</v>
      </c>
      <c r="C204" s="16" t="str">
        <f>IFERROR(__xludf.DUMMYFUNCTION("""COMPUTED_VALUE"""),"System and Superpower")</f>
        <v>System and Superpower</v>
      </c>
      <c r="D204" s="16">
        <f>IFERROR(__xludf.DUMMYFUNCTION("""COMPUTED_VALUE"""),85.0)</f>
        <v>85</v>
      </c>
      <c r="E204" s="16">
        <f>IFERROR(__xludf.DUMMYFUNCTION("""COMPUTED_VALUE"""),0.952941176470588)</f>
        <v>0.9529411765</v>
      </c>
      <c r="F204" s="16">
        <f>IFERROR(__xludf.DUMMYFUNCTION("""COMPUTED_VALUE"""),0.741176470588235)</f>
        <v>0.7411764706</v>
      </c>
      <c r="G204" s="16">
        <f>IFERROR(__xludf.DUMMYFUNCTION("""COMPUTED_VALUE"""),0.694117647058823)</f>
        <v>0.6941176471</v>
      </c>
      <c r="H204" s="16">
        <f>IFERROR(__xludf.DUMMYFUNCTION("""COMPUTED_VALUE"""),0.670588235294117)</f>
        <v>0.6705882353</v>
      </c>
      <c r="I204" s="16">
        <f>IFERROR(__xludf.DUMMYFUNCTION("""COMPUTED_VALUE"""),0.647058823529411)</f>
        <v>0.6470588235</v>
      </c>
      <c r="J204" s="16">
        <f>IFERROR(__xludf.DUMMYFUNCTION("""COMPUTED_VALUE"""),0.611764705882353)</f>
        <v>0.6117647059</v>
      </c>
      <c r="K204" s="16">
        <f>IFERROR(__xludf.DUMMYFUNCTION("""COMPUTED_VALUE"""),0.588235294117647)</f>
        <v>0.5882352941</v>
      </c>
      <c r="L204" s="16">
        <f>IFERROR(__xludf.DUMMYFUNCTION("""COMPUTED_VALUE"""),0.541176470588235)</f>
        <v>0.5411764706</v>
      </c>
      <c r="M204" s="16">
        <f>IFERROR(__xludf.DUMMYFUNCTION("""COMPUTED_VALUE"""),0.529411764705882)</f>
        <v>0.5294117647</v>
      </c>
      <c r="N204" s="16">
        <f>IFERROR(__xludf.DUMMYFUNCTION("""COMPUTED_VALUE"""),0.505882352941176)</f>
        <v>0.5058823529</v>
      </c>
      <c r="O204" s="16">
        <f>IFERROR(__xludf.DUMMYFUNCTION("""COMPUTED_VALUE"""),0.444444444444444)</f>
        <v>0.4444444444</v>
      </c>
      <c r="P204" s="16">
        <f>IFERROR(__xludf.DUMMYFUNCTION("""COMPUTED_VALUE"""),0.376623376623376)</f>
        <v>0.3766233766</v>
      </c>
      <c r="Q204" s="16">
        <f>IFERROR(__xludf.DUMMYFUNCTION("""COMPUTED_VALUE"""),0.246153846153846)</f>
        <v>0.2461538462</v>
      </c>
      <c r="R204" s="16">
        <f>IFERROR(__xludf.DUMMYFUNCTION("""COMPUTED_VALUE"""),0.0)</f>
        <v>0</v>
      </c>
      <c r="S204" s="16">
        <f>IFERROR(__xludf.DUMMYFUNCTION("""COMPUTED_VALUE"""),0.0)</f>
        <v>0</v>
      </c>
      <c r="T204" s="16">
        <f>IFERROR(__xludf.DUMMYFUNCTION("""COMPUTED_VALUE"""),0.0)</f>
        <v>0</v>
      </c>
      <c r="U204" s="16">
        <f>IFERROR(__xludf.DUMMYFUNCTION("""COMPUTED_VALUE"""),0.0)</f>
        <v>0</v>
      </c>
      <c r="V204" s="16">
        <f>IFERROR(__xludf.DUMMYFUNCTION("""COMPUTED_VALUE"""),0.0)</f>
        <v>0</v>
      </c>
      <c r="W204" s="16">
        <f>IFERROR(__xludf.DUMMYFUNCTION("""COMPUTED_VALUE"""),0.0)</f>
        <v>0</v>
      </c>
      <c r="X204" s="16">
        <f>IFERROR(__xludf.DUMMYFUNCTION("""COMPUTED_VALUE"""),0.0)</f>
        <v>0</v>
      </c>
      <c r="Y204" s="16">
        <f>IFERROR(__xludf.DUMMYFUNCTION("""COMPUTED_VALUE"""),0.0)</f>
        <v>0</v>
      </c>
      <c r="Z204" s="16">
        <f>IFERROR(__xludf.DUMMYFUNCTION("""COMPUTED_VALUE"""),0.0)</f>
        <v>0</v>
      </c>
      <c r="AA204" s="16">
        <f>IFERROR(__xludf.DUMMYFUNCTION("""COMPUTED_VALUE"""),0.0)</f>
        <v>0</v>
      </c>
      <c r="AB204" s="16">
        <f>IFERROR(__xludf.DUMMYFUNCTION("""COMPUTED_VALUE"""),0.0)</f>
        <v>0</v>
      </c>
      <c r="AC204" s="16">
        <f>IFERROR(__xludf.DUMMYFUNCTION("""COMPUTED_VALUE"""),0.0)</f>
        <v>0</v>
      </c>
      <c r="AD204" s="16">
        <f>IFERROR(__xludf.DUMMYFUNCTION("""COMPUTED_VALUE"""),0.0)</f>
        <v>0</v>
      </c>
      <c r="AE204" s="16">
        <f>IFERROR(__xludf.DUMMYFUNCTION("""COMPUTED_VALUE"""),0.0)</f>
        <v>0</v>
      </c>
      <c r="AF204" s="16">
        <f>IFERROR(__xludf.DUMMYFUNCTION("""COMPUTED_VALUE"""),0.0)</f>
        <v>0</v>
      </c>
      <c r="AG204" s="16">
        <f>IFERROR(__xludf.DUMMYFUNCTION("""COMPUTED_VALUE"""),0.0)</f>
        <v>0</v>
      </c>
      <c r="AH204" s="16">
        <f>IFERROR(__xludf.DUMMYFUNCTION("""COMPUTED_VALUE"""),0.0)</f>
        <v>0</v>
      </c>
    </row>
    <row r="205">
      <c r="A205" s="16" t="str">
        <f>IFERROR(__xludf.DUMMYFUNCTION("""COMPUTED_VALUE"""),"b0cb1a15751b32389e6dc5643df14e64f65a78e6")</f>
        <v>b0cb1a15751b32389e6dc5643df14e64f65a78e6</v>
      </c>
      <c r="B205" s="16" t="str">
        <f>IFERROR(__xludf.DUMMYFUNCTION("""COMPUTED_VALUE"""),"Desire of the Billionaire")</f>
        <v>Desire of the Billionaire</v>
      </c>
      <c r="C205" s="16" t="str">
        <f>IFERROR(__xludf.DUMMYFUNCTION("""COMPUTED_VALUE"""),"Romance")</f>
        <v>Romance</v>
      </c>
      <c r="D205" s="16">
        <f>IFERROR(__xludf.DUMMYFUNCTION("""COMPUTED_VALUE"""),1.0)</f>
        <v>1</v>
      </c>
      <c r="E205" s="16">
        <f>IFERROR(__xludf.DUMMYFUNCTION("""COMPUTED_VALUE"""),1.0)</f>
        <v>1</v>
      </c>
      <c r="F205" s="16">
        <f>IFERROR(__xludf.DUMMYFUNCTION("""COMPUTED_VALUE"""),0.0)</f>
        <v>0</v>
      </c>
      <c r="G205" s="16">
        <f>IFERROR(__xludf.DUMMYFUNCTION("""COMPUTED_VALUE"""),0.0)</f>
        <v>0</v>
      </c>
      <c r="H205" s="16">
        <f>IFERROR(__xludf.DUMMYFUNCTION("""COMPUTED_VALUE"""),0.0)</f>
        <v>0</v>
      </c>
      <c r="I205" s="16">
        <f>IFERROR(__xludf.DUMMYFUNCTION("""COMPUTED_VALUE"""),0.0)</f>
        <v>0</v>
      </c>
      <c r="J205" s="16">
        <f>IFERROR(__xludf.DUMMYFUNCTION("""COMPUTED_VALUE"""),0.0)</f>
        <v>0</v>
      </c>
      <c r="K205" s="16">
        <f>IFERROR(__xludf.DUMMYFUNCTION("""COMPUTED_VALUE"""),0.0)</f>
        <v>0</v>
      </c>
      <c r="L205" s="16">
        <f>IFERROR(__xludf.DUMMYFUNCTION("""COMPUTED_VALUE"""),0.0)</f>
        <v>0</v>
      </c>
      <c r="M205" s="16">
        <f>IFERROR(__xludf.DUMMYFUNCTION("""COMPUTED_VALUE"""),0.0)</f>
        <v>0</v>
      </c>
      <c r="N205" s="16">
        <f>IFERROR(__xludf.DUMMYFUNCTION("""COMPUTED_VALUE"""),0.0)</f>
        <v>0</v>
      </c>
      <c r="O205" s="16">
        <f>IFERROR(__xludf.DUMMYFUNCTION("""COMPUTED_VALUE"""),0.0)</f>
        <v>0</v>
      </c>
      <c r="P205" s="16">
        <f>IFERROR(__xludf.DUMMYFUNCTION("""COMPUTED_VALUE"""),0.0)</f>
        <v>0</v>
      </c>
      <c r="Q205" s="16">
        <f>IFERROR(__xludf.DUMMYFUNCTION("""COMPUTED_VALUE"""),0.0)</f>
        <v>0</v>
      </c>
      <c r="R205" s="16">
        <f>IFERROR(__xludf.DUMMYFUNCTION("""COMPUTED_VALUE"""),0.0)</f>
        <v>0</v>
      </c>
      <c r="S205" s="16">
        <f>IFERROR(__xludf.DUMMYFUNCTION("""COMPUTED_VALUE"""),0.0)</f>
        <v>0</v>
      </c>
      <c r="T205" s="16">
        <f>IFERROR(__xludf.DUMMYFUNCTION("""COMPUTED_VALUE"""),0.0)</f>
        <v>0</v>
      </c>
      <c r="U205" s="16">
        <f>IFERROR(__xludf.DUMMYFUNCTION("""COMPUTED_VALUE"""),0.0)</f>
        <v>0</v>
      </c>
      <c r="V205" s="16">
        <f>IFERROR(__xludf.DUMMYFUNCTION("""COMPUTED_VALUE"""),0.0)</f>
        <v>0</v>
      </c>
      <c r="W205" s="16">
        <f>IFERROR(__xludf.DUMMYFUNCTION("""COMPUTED_VALUE"""),0.0)</f>
        <v>0</v>
      </c>
      <c r="X205" s="16">
        <f>IFERROR(__xludf.DUMMYFUNCTION("""COMPUTED_VALUE"""),0.0)</f>
        <v>0</v>
      </c>
      <c r="Y205" s="16">
        <f>IFERROR(__xludf.DUMMYFUNCTION("""COMPUTED_VALUE"""),0.0)</f>
        <v>0</v>
      </c>
      <c r="Z205" s="16">
        <f>IFERROR(__xludf.DUMMYFUNCTION("""COMPUTED_VALUE"""),0.0)</f>
        <v>0</v>
      </c>
      <c r="AA205" s="16">
        <f>IFERROR(__xludf.DUMMYFUNCTION("""COMPUTED_VALUE"""),0.0)</f>
        <v>0</v>
      </c>
      <c r="AB205" s="16">
        <f>IFERROR(__xludf.DUMMYFUNCTION("""COMPUTED_VALUE"""),0.0)</f>
        <v>0</v>
      </c>
      <c r="AC205" s="16">
        <f>IFERROR(__xludf.DUMMYFUNCTION("""COMPUTED_VALUE"""),0.0)</f>
        <v>0</v>
      </c>
      <c r="AD205" s="16">
        <f>IFERROR(__xludf.DUMMYFUNCTION("""COMPUTED_VALUE"""),0.0)</f>
        <v>0</v>
      </c>
      <c r="AE205" s="16">
        <f>IFERROR(__xludf.DUMMYFUNCTION("""COMPUTED_VALUE"""),0.0)</f>
        <v>0</v>
      </c>
      <c r="AF205" s="16">
        <f>IFERROR(__xludf.DUMMYFUNCTION("""COMPUTED_VALUE"""),0.0)</f>
        <v>0</v>
      </c>
      <c r="AG205" s="16">
        <f>IFERROR(__xludf.DUMMYFUNCTION("""COMPUTED_VALUE"""),0.0)</f>
        <v>0</v>
      </c>
      <c r="AH205" s="16">
        <f>IFERROR(__xludf.DUMMYFUNCTION("""COMPUTED_VALUE"""),0.0)</f>
        <v>0</v>
      </c>
    </row>
    <row r="206">
      <c r="A206" s="16" t="str">
        <f>IFERROR(__xludf.DUMMYFUNCTION("""COMPUTED_VALUE"""),"b164057dc6b8df1ba1289d383220147f237b7dfa")</f>
        <v>b164057dc6b8df1ba1289d383220147f237b7dfa</v>
      </c>
      <c r="B206" s="16" t="str">
        <f>IFERROR(__xludf.DUMMYFUNCTION("""COMPUTED_VALUE"""),"Rush Marriage")</f>
        <v>Rush Marriage</v>
      </c>
      <c r="C206" s="16" t="str">
        <f>IFERROR(__xludf.DUMMYFUNCTION("""COMPUTED_VALUE"""),"Romance")</f>
        <v>Romance</v>
      </c>
      <c r="D206" s="16">
        <f>IFERROR(__xludf.DUMMYFUNCTION("""COMPUTED_VALUE"""),67.0)</f>
        <v>67</v>
      </c>
      <c r="E206" s="16">
        <f>IFERROR(__xludf.DUMMYFUNCTION("""COMPUTED_VALUE"""),0.970149253731343)</f>
        <v>0.9701492537</v>
      </c>
      <c r="F206" s="16">
        <f>IFERROR(__xludf.DUMMYFUNCTION("""COMPUTED_VALUE"""),0.522388059701492)</f>
        <v>0.5223880597</v>
      </c>
      <c r="G206" s="16">
        <f>IFERROR(__xludf.DUMMYFUNCTION("""COMPUTED_VALUE"""),0.44776119402985)</f>
        <v>0.447761194</v>
      </c>
      <c r="H206" s="16">
        <f>IFERROR(__xludf.DUMMYFUNCTION("""COMPUTED_VALUE"""),0.388059701492537)</f>
        <v>0.3880597015</v>
      </c>
      <c r="I206" s="16">
        <f>IFERROR(__xludf.DUMMYFUNCTION("""COMPUTED_VALUE"""),0.343283582089552)</f>
        <v>0.3432835821</v>
      </c>
      <c r="J206" s="16">
        <f>IFERROR(__xludf.DUMMYFUNCTION("""COMPUTED_VALUE"""),0.313432835820895)</f>
        <v>0.3134328358</v>
      </c>
      <c r="K206" s="16">
        <f>IFERROR(__xludf.DUMMYFUNCTION("""COMPUTED_VALUE"""),0.26865671641791)</f>
        <v>0.2686567164</v>
      </c>
      <c r="L206" s="16">
        <f>IFERROR(__xludf.DUMMYFUNCTION("""COMPUTED_VALUE"""),0.253731343283582)</f>
        <v>0.2537313433</v>
      </c>
      <c r="M206" s="16">
        <f>IFERROR(__xludf.DUMMYFUNCTION("""COMPUTED_VALUE"""),0.223880597014925)</f>
        <v>0.223880597</v>
      </c>
      <c r="N206" s="16">
        <f>IFERROR(__xludf.DUMMYFUNCTION("""COMPUTED_VALUE"""),0.238805970149253)</f>
        <v>0.2388059701</v>
      </c>
      <c r="O206" s="16">
        <f>IFERROR(__xludf.DUMMYFUNCTION("""COMPUTED_VALUE"""),0.242424242424242)</f>
        <v>0.2424242424</v>
      </c>
      <c r="P206" s="16">
        <f>IFERROR(__xludf.DUMMYFUNCTION("""COMPUTED_VALUE"""),0.227272727272727)</f>
        <v>0.2272727273</v>
      </c>
      <c r="Q206" s="16">
        <f>IFERROR(__xludf.DUMMYFUNCTION("""COMPUTED_VALUE"""),0.129032258064516)</f>
        <v>0.1290322581</v>
      </c>
      <c r="R206" s="16">
        <f>IFERROR(__xludf.DUMMYFUNCTION("""COMPUTED_VALUE"""),0.0833333333333333)</f>
        <v>0.08333333333</v>
      </c>
      <c r="S206" s="16">
        <f>IFERROR(__xludf.DUMMYFUNCTION("""COMPUTED_VALUE"""),0.0833333333333333)</f>
        <v>0.08333333333</v>
      </c>
      <c r="T206" s="16">
        <f>IFERROR(__xludf.DUMMYFUNCTION("""COMPUTED_VALUE"""),0.0)</f>
        <v>0</v>
      </c>
      <c r="U206" s="16">
        <f>IFERROR(__xludf.DUMMYFUNCTION("""COMPUTED_VALUE"""),0.0)</f>
        <v>0</v>
      </c>
      <c r="V206" s="16">
        <f>IFERROR(__xludf.DUMMYFUNCTION("""COMPUTED_VALUE"""),0.0)</f>
        <v>0</v>
      </c>
      <c r="W206" s="16">
        <f>IFERROR(__xludf.DUMMYFUNCTION("""COMPUTED_VALUE"""),0.0)</f>
        <v>0</v>
      </c>
      <c r="X206" s="16">
        <f>IFERROR(__xludf.DUMMYFUNCTION("""COMPUTED_VALUE"""),0.0)</f>
        <v>0</v>
      </c>
      <c r="Y206" s="16">
        <f>IFERROR(__xludf.DUMMYFUNCTION("""COMPUTED_VALUE"""),0.0)</f>
        <v>0</v>
      </c>
      <c r="Z206" s="16">
        <f>IFERROR(__xludf.DUMMYFUNCTION("""COMPUTED_VALUE"""),0.0)</f>
        <v>0</v>
      </c>
      <c r="AA206" s="16">
        <f>IFERROR(__xludf.DUMMYFUNCTION("""COMPUTED_VALUE"""),0.0)</f>
        <v>0</v>
      </c>
      <c r="AB206" s="16">
        <f>IFERROR(__xludf.DUMMYFUNCTION("""COMPUTED_VALUE"""),0.0)</f>
        <v>0</v>
      </c>
      <c r="AC206" s="16">
        <f>IFERROR(__xludf.DUMMYFUNCTION("""COMPUTED_VALUE"""),0.0)</f>
        <v>0</v>
      </c>
      <c r="AD206" s="16">
        <f>IFERROR(__xludf.DUMMYFUNCTION("""COMPUTED_VALUE"""),0.0)</f>
        <v>0</v>
      </c>
      <c r="AE206" s="16">
        <f>IFERROR(__xludf.DUMMYFUNCTION("""COMPUTED_VALUE"""),0.0)</f>
        <v>0</v>
      </c>
      <c r="AF206" s="16">
        <f>IFERROR(__xludf.DUMMYFUNCTION("""COMPUTED_VALUE"""),0.0)</f>
        <v>0</v>
      </c>
      <c r="AG206" s="16">
        <f>IFERROR(__xludf.DUMMYFUNCTION("""COMPUTED_VALUE"""),0.0)</f>
        <v>0</v>
      </c>
      <c r="AH206" s="16">
        <f>IFERROR(__xludf.DUMMYFUNCTION("""COMPUTED_VALUE"""),0.0)</f>
        <v>0</v>
      </c>
    </row>
    <row r="207">
      <c r="A207" s="16" t="str">
        <f>IFERROR(__xludf.DUMMYFUNCTION("""COMPUTED_VALUE"""),"b2e0e008665e30068057a1556346d5473a8ed579")</f>
        <v>b2e0e008665e30068057a1556346d5473a8ed579</v>
      </c>
      <c r="B207" s="16" t="str">
        <f>IFERROR(__xludf.DUMMYFUNCTION("""COMPUTED_VALUE"""),"Legend of Cursed Blood ")</f>
        <v>Legend of Cursed Blood </v>
      </c>
      <c r="C207" s="16" t="str">
        <f>IFERROR(__xludf.DUMMYFUNCTION("""COMPUTED_VALUE"""),"Fantasy")</f>
        <v>Fantasy</v>
      </c>
      <c r="D207" s="16">
        <f>IFERROR(__xludf.DUMMYFUNCTION("""COMPUTED_VALUE"""),248.0)</f>
        <v>248</v>
      </c>
      <c r="E207" s="16">
        <f>IFERROR(__xludf.DUMMYFUNCTION("""COMPUTED_VALUE"""),0.975806451612903)</f>
        <v>0.9758064516</v>
      </c>
      <c r="F207" s="16">
        <f>IFERROR(__xludf.DUMMYFUNCTION("""COMPUTED_VALUE"""),0.516129032258064)</f>
        <v>0.5161290323</v>
      </c>
      <c r="G207" s="16">
        <f>IFERROR(__xludf.DUMMYFUNCTION("""COMPUTED_VALUE"""),0.455645161290322)</f>
        <v>0.4556451613</v>
      </c>
      <c r="H207" s="16">
        <f>IFERROR(__xludf.DUMMYFUNCTION("""COMPUTED_VALUE"""),0.403225806451612)</f>
        <v>0.4032258065</v>
      </c>
      <c r="I207" s="16">
        <f>IFERROR(__xludf.DUMMYFUNCTION("""COMPUTED_VALUE"""),0.326612903225806)</f>
        <v>0.3266129032</v>
      </c>
      <c r="J207" s="16">
        <f>IFERROR(__xludf.DUMMYFUNCTION("""COMPUTED_VALUE"""),0.263598326359832)</f>
        <v>0.2635983264</v>
      </c>
      <c r="K207" s="16">
        <f>IFERROR(__xludf.DUMMYFUNCTION("""COMPUTED_VALUE"""),0.241379310344827)</f>
        <v>0.2413793103</v>
      </c>
      <c r="L207" s="16">
        <f>IFERROR(__xludf.DUMMYFUNCTION("""COMPUTED_VALUE"""),0.24669603524229)</f>
        <v>0.2466960352</v>
      </c>
      <c r="M207" s="16">
        <f>IFERROR(__xludf.DUMMYFUNCTION("""COMPUTED_VALUE"""),0.210762331838565)</f>
        <v>0.2107623318</v>
      </c>
      <c r="N207" s="16">
        <f>IFERROR(__xludf.DUMMYFUNCTION("""COMPUTED_VALUE"""),0.193236714975845)</f>
        <v>0.193236715</v>
      </c>
      <c r="O207" s="16">
        <f>IFERROR(__xludf.DUMMYFUNCTION("""COMPUTED_VALUE"""),0.124260355029585)</f>
        <v>0.124260355</v>
      </c>
      <c r="P207" s="16">
        <f>IFERROR(__xludf.DUMMYFUNCTION("""COMPUTED_VALUE"""),0.0857142857142857)</f>
        <v>0.08571428571</v>
      </c>
      <c r="Q207" s="16">
        <f>IFERROR(__xludf.DUMMYFUNCTION("""COMPUTED_VALUE"""),0.0412371134020618)</f>
        <v>0.0412371134</v>
      </c>
      <c r="R207" s="16">
        <f>IFERROR(__xludf.DUMMYFUNCTION("""COMPUTED_VALUE"""),0.0333333333333333)</f>
        <v>0.03333333333</v>
      </c>
      <c r="S207" s="16">
        <f>IFERROR(__xludf.DUMMYFUNCTION("""COMPUTED_VALUE"""),0.0125)</f>
        <v>0.0125</v>
      </c>
      <c r="T207" s="16">
        <f>IFERROR(__xludf.DUMMYFUNCTION("""COMPUTED_VALUE"""),0.0140845070422535)</f>
        <v>0.01408450704</v>
      </c>
      <c r="U207" s="16">
        <f>IFERROR(__xludf.DUMMYFUNCTION("""COMPUTED_VALUE"""),0.0169491525423728)</f>
        <v>0.01694915254</v>
      </c>
      <c r="V207" s="16">
        <f>IFERROR(__xludf.DUMMYFUNCTION("""COMPUTED_VALUE"""),0.0192307692307692)</f>
        <v>0.01923076923</v>
      </c>
      <c r="W207" s="16">
        <f>IFERROR(__xludf.DUMMYFUNCTION("""COMPUTED_VALUE"""),0.0)</f>
        <v>0</v>
      </c>
      <c r="X207" s="16">
        <f>IFERROR(__xludf.DUMMYFUNCTION("""COMPUTED_VALUE"""),0.0)</f>
        <v>0</v>
      </c>
      <c r="Y207" s="16">
        <f>IFERROR(__xludf.DUMMYFUNCTION("""COMPUTED_VALUE"""),0.0)</f>
        <v>0</v>
      </c>
      <c r="Z207" s="16">
        <f>IFERROR(__xludf.DUMMYFUNCTION("""COMPUTED_VALUE"""),0.0)</f>
        <v>0</v>
      </c>
      <c r="AA207" s="16">
        <f>IFERROR(__xludf.DUMMYFUNCTION("""COMPUTED_VALUE"""),0.0)</f>
        <v>0</v>
      </c>
      <c r="AB207" s="16">
        <f>IFERROR(__xludf.DUMMYFUNCTION("""COMPUTED_VALUE"""),0.0)</f>
        <v>0</v>
      </c>
      <c r="AC207" s="16">
        <f>IFERROR(__xludf.DUMMYFUNCTION("""COMPUTED_VALUE"""),0.0)</f>
        <v>0</v>
      </c>
      <c r="AD207" s="16">
        <f>IFERROR(__xludf.DUMMYFUNCTION("""COMPUTED_VALUE"""),0.0)</f>
        <v>0</v>
      </c>
      <c r="AE207" s="16">
        <f>IFERROR(__xludf.DUMMYFUNCTION("""COMPUTED_VALUE"""),0.0)</f>
        <v>0</v>
      </c>
      <c r="AF207" s="16">
        <f>IFERROR(__xludf.DUMMYFUNCTION("""COMPUTED_VALUE"""),0.0)</f>
        <v>0</v>
      </c>
      <c r="AG207" s="16">
        <f>IFERROR(__xludf.DUMMYFUNCTION("""COMPUTED_VALUE"""),0.0)</f>
        <v>0</v>
      </c>
      <c r="AH207" s="16">
        <f>IFERROR(__xludf.DUMMYFUNCTION("""COMPUTED_VALUE"""),0.0)</f>
        <v>0</v>
      </c>
    </row>
    <row r="208">
      <c r="A208" s="16" t="str">
        <f>IFERROR(__xludf.DUMMYFUNCTION("""COMPUTED_VALUE"""),"b4357a596922bd37b47ec2573cd92ac18997c713")</f>
        <v>b4357a596922bd37b47ec2573cd92ac18997c713</v>
      </c>
      <c r="B208" s="16" t="str">
        <f>IFERROR(__xludf.DUMMYFUNCTION("""COMPUTED_VALUE"""),"Immortal Ascension")</f>
        <v>Immortal Ascension</v>
      </c>
      <c r="C208" s="16" t="str">
        <f>IFERROR(__xludf.DUMMYFUNCTION("""COMPUTED_VALUE"""),"System and Superpower")</f>
        <v>System and Superpower</v>
      </c>
      <c r="D208" s="16">
        <f>IFERROR(__xludf.DUMMYFUNCTION("""COMPUTED_VALUE"""),578.0)</f>
        <v>578</v>
      </c>
      <c r="E208" s="16">
        <f>IFERROR(__xludf.DUMMYFUNCTION("""COMPUTED_VALUE"""),0.980968858131487)</f>
        <v>0.9809688581</v>
      </c>
      <c r="F208" s="16">
        <f>IFERROR(__xludf.DUMMYFUNCTION("""COMPUTED_VALUE"""),0.539792387543252)</f>
        <v>0.5397923875</v>
      </c>
      <c r="G208" s="16">
        <f>IFERROR(__xludf.DUMMYFUNCTION("""COMPUTED_VALUE"""),0.45674740484429)</f>
        <v>0.4567474048</v>
      </c>
      <c r="H208" s="16">
        <f>IFERROR(__xludf.DUMMYFUNCTION("""COMPUTED_VALUE"""),0.430795847750865)</f>
        <v>0.4307958478</v>
      </c>
      <c r="I208" s="16">
        <f>IFERROR(__xludf.DUMMYFUNCTION("""COMPUTED_VALUE"""),0.408304498269896)</f>
        <v>0.4083044983</v>
      </c>
      <c r="J208" s="16">
        <f>IFERROR(__xludf.DUMMYFUNCTION("""COMPUTED_VALUE"""),0.366782006920415)</f>
        <v>0.3667820069</v>
      </c>
      <c r="K208" s="16">
        <f>IFERROR(__xludf.DUMMYFUNCTION("""COMPUTED_VALUE"""),0.340830449826989)</f>
        <v>0.3408304498</v>
      </c>
      <c r="L208" s="16">
        <f>IFERROR(__xludf.DUMMYFUNCTION("""COMPUTED_VALUE"""),0.301038062283737)</f>
        <v>0.3010380623</v>
      </c>
      <c r="M208" s="16">
        <f>IFERROR(__xludf.DUMMYFUNCTION("""COMPUTED_VALUE"""),0.273830155979202)</f>
        <v>0.273830156</v>
      </c>
      <c r="N208" s="16">
        <f>IFERROR(__xludf.DUMMYFUNCTION("""COMPUTED_VALUE"""),0.263431542461005)</f>
        <v>0.2634315425</v>
      </c>
      <c r="O208" s="16">
        <f>IFERROR(__xludf.DUMMYFUNCTION("""COMPUTED_VALUE"""),0.203478260869565)</f>
        <v>0.2034782609</v>
      </c>
      <c r="P208" s="16">
        <f>IFERROR(__xludf.DUMMYFUNCTION("""COMPUTED_VALUE"""),0.106830122591943)</f>
        <v>0.1068301226</v>
      </c>
      <c r="Q208" s="16">
        <f>IFERROR(__xludf.DUMMYFUNCTION("""COMPUTED_VALUE"""),0.0205992509363295)</f>
        <v>0.02059925094</v>
      </c>
      <c r="R208" s="16">
        <f>IFERROR(__xludf.DUMMYFUNCTION("""COMPUTED_VALUE"""),0.0714285714285714)</f>
        <v>0.07142857143</v>
      </c>
      <c r="S208" s="16">
        <f>IFERROR(__xludf.DUMMYFUNCTION("""COMPUTED_VALUE"""),0.25)</f>
        <v>0.25</v>
      </c>
      <c r="T208" s="16">
        <f>IFERROR(__xludf.DUMMYFUNCTION("""COMPUTED_VALUE"""),0.0)</f>
        <v>0</v>
      </c>
      <c r="U208" s="16">
        <f>IFERROR(__xludf.DUMMYFUNCTION("""COMPUTED_VALUE"""),0.0)</f>
        <v>0</v>
      </c>
      <c r="V208" s="16">
        <f>IFERROR(__xludf.DUMMYFUNCTION("""COMPUTED_VALUE"""),0.0)</f>
        <v>0</v>
      </c>
      <c r="W208" s="16">
        <f>IFERROR(__xludf.DUMMYFUNCTION("""COMPUTED_VALUE"""),0.0)</f>
        <v>0</v>
      </c>
      <c r="X208" s="16">
        <f>IFERROR(__xludf.DUMMYFUNCTION("""COMPUTED_VALUE"""),0.0)</f>
        <v>0</v>
      </c>
      <c r="Y208" s="16">
        <f>IFERROR(__xludf.DUMMYFUNCTION("""COMPUTED_VALUE"""),0.0)</f>
        <v>0</v>
      </c>
      <c r="Z208" s="16">
        <f>IFERROR(__xludf.DUMMYFUNCTION("""COMPUTED_VALUE"""),0.0)</f>
        <v>0</v>
      </c>
      <c r="AA208" s="16">
        <f>IFERROR(__xludf.DUMMYFUNCTION("""COMPUTED_VALUE"""),0.0)</f>
        <v>0</v>
      </c>
      <c r="AB208" s="16">
        <f>IFERROR(__xludf.DUMMYFUNCTION("""COMPUTED_VALUE"""),0.0)</f>
        <v>0</v>
      </c>
      <c r="AC208" s="16">
        <f>IFERROR(__xludf.DUMMYFUNCTION("""COMPUTED_VALUE"""),0.0)</f>
        <v>0</v>
      </c>
      <c r="AD208" s="16">
        <f>IFERROR(__xludf.DUMMYFUNCTION("""COMPUTED_VALUE"""),0.0)</f>
        <v>0</v>
      </c>
      <c r="AE208" s="16">
        <f>IFERROR(__xludf.DUMMYFUNCTION("""COMPUTED_VALUE"""),0.0)</f>
        <v>0</v>
      </c>
      <c r="AF208" s="16">
        <f>IFERROR(__xludf.DUMMYFUNCTION("""COMPUTED_VALUE"""),0.0)</f>
        <v>0</v>
      </c>
      <c r="AG208" s="16">
        <f>IFERROR(__xludf.DUMMYFUNCTION("""COMPUTED_VALUE"""),0.0)</f>
        <v>0</v>
      </c>
      <c r="AH208" s="16">
        <f>IFERROR(__xludf.DUMMYFUNCTION("""COMPUTED_VALUE"""),0.0)</f>
        <v>0</v>
      </c>
    </row>
    <row r="209">
      <c r="A209" s="16" t="str">
        <f>IFERROR(__xludf.DUMMYFUNCTION("""COMPUTED_VALUE"""),"b4ba67822e15bf23c0044676b09f1aeb405d154f")</f>
        <v>b4ba67822e15bf23c0044676b09f1aeb405d154f</v>
      </c>
      <c r="B209" s="16" t="str">
        <f>IFERROR(__xludf.DUMMYFUNCTION("""COMPUTED_VALUE"""),"The Twin Affair")</f>
        <v>The Twin Affair</v>
      </c>
      <c r="C209" s="16" t="str">
        <f>IFERROR(__xludf.DUMMYFUNCTION("""COMPUTED_VALUE"""),"Romantasy")</f>
        <v>Romantasy</v>
      </c>
      <c r="D209" s="16">
        <f>IFERROR(__xludf.DUMMYFUNCTION("""COMPUTED_VALUE"""),206.0)</f>
        <v>206</v>
      </c>
      <c r="E209" s="16">
        <f>IFERROR(__xludf.DUMMYFUNCTION("""COMPUTED_VALUE"""),0.961165048543689)</f>
        <v>0.9611650485</v>
      </c>
      <c r="F209" s="16">
        <f>IFERROR(__xludf.DUMMYFUNCTION("""COMPUTED_VALUE"""),0.577669902912621)</f>
        <v>0.5776699029</v>
      </c>
      <c r="G209" s="16">
        <f>IFERROR(__xludf.DUMMYFUNCTION("""COMPUTED_VALUE"""),0.519417475728155)</f>
        <v>0.5194174757</v>
      </c>
      <c r="H209" s="16">
        <f>IFERROR(__xludf.DUMMYFUNCTION("""COMPUTED_VALUE"""),0.490291262135922)</f>
        <v>0.4902912621</v>
      </c>
      <c r="I209" s="16">
        <f>IFERROR(__xludf.DUMMYFUNCTION("""COMPUTED_VALUE"""),0.45631067961165)</f>
        <v>0.4563106796</v>
      </c>
      <c r="J209" s="16">
        <f>IFERROR(__xludf.DUMMYFUNCTION("""COMPUTED_VALUE"""),0.432038834951456)</f>
        <v>0.432038835</v>
      </c>
      <c r="K209" s="16">
        <f>IFERROR(__xludf.DUMMYFUNCTION("""COMPUTED_VALUE"""),0.4126213592233)</f>
        <v>0.4126213592</v>
      </c>
      <c r="L209" s="16">
        <f>IFERROR(__xludf.DUMMYFUNCTION("""COMPUTED_VALUE"""),0.388349514563106)</f>
        <v>0.3883495146</v>
      </c>
      <c r="M209" s="16">
        <f>IFERROR(__xludf.DUMMYFUNCTION("""COMPUTED_VALUE"""),0.37378640776699)</f>
        <v>0.3737864078</v>
      </c>
      <c r="N209" s="16">
        <f>IFERROR(__xludf.DUMMYFUNCTION("""COMPUTED_VALUE"""),0.364077669902912)</f>
        <v>0.3640776699</v>
      </c>
      <c r="O209" s="16">
        <f>IFERROR(__xludf.DUMMYFUNCTION("""COMPUTED_VALUE"""),0.339805825242718)</f>
        <v>0.3398058252</v>
      </c>
      <c r="P209" s="16">
        <f>IFERROR(__xludf.DUMMYFUNCTION("""COMPUTED_VALUE"""),0.320388349514563)</f>
        <v>0.3203883495</v>
      </c>
      <c r="Q209" s="16">
        <f>IFERROR(__xludf.DUMMYFUNCTION("""COMPUTED_VALUE"""),0.185365853658536)</f>
        <v>0.1853658537</v>
      </c>
      <c r="R209" s="16">
        <f>IFERROR(__xludf.DUMMYFUNCTION("""COMPUTED_VALUE"""),0.0)</f>
        <v>0</v>
      </c>
      <c r="S209" s="16">
        <f>IFERROR(__xludf.DUMMYFUNCTION("""COMPUTED_VALUE"""),0.0)</f>
        <v>0</v>
      </c>
      <c r="T209" s="16">
        <f>IFERROR(__xludf.DUMMYFUNCTION("""COMPUTED_VALUE"""),0.0)</f>
        <v>0</v>
      </c>
      <c r="U209" s="16">
        <f>IFERROR(__xludf.DUMMYFUNCTION("""COMPUTED_VALUE"""),0.0)</f>
        <v>0</v>
      </c>
      <c r="V209" s="16">
        <f>IFERROR(__xludf.DUMMYFUNCTION("""COMPUTED_VALUE"""),0.0)</f>
        <v>0</v>
      </c>
      <c r="W209" s="16">
        <f>IFERROR(__xludf.DUMMYFUNCTION("""COMPUTED_VALUE"""),0.0)</f>
        <v>0</v>
      </c>
      <c r="X209" s="16">
        <f>IFERROR(__xludf.DUMMYFUNCTION("""COMPUTED_VALUE"""),0.0)</f>
        <v>0</v>
      </c>
      <c r="Y209" s="16">
        <f>IFERROR(__xludf.DUMMYFUNCTION("""COMPUTED_VALUE"""),0.0)</f>
        <v>0</v>
      </c>
      <c r="Z209" s="16">
        <f>IFERROR(__xludf.DUMMYFUNCTION("""COMPUTED_VALUE"""),0.0)</f>
        <v>0</v>
      </c>
      <c r="AA209" s="16">
        <f>IFERROR(__xludf.DUMMYFUNCTION("""COMPUTED_VALUE"""),0.0)</f>
        <v>0</v>
      </c>
      <c r="AB209" s="16">
        <f>IFERROR(__xludf.DUMMYFUNCTION("""COMPUTED_VALUE"""),0.0)</f>
        <v>0</v>
      </c>
      <c r="AC209" s="16">
        <f>IFERROR(__xludf.DUMMYFUNCTION("""COMPUTED_VALUE"""),0.0)</f>
        <v>0</v>
      </c>
      <c r="AD209" s="16">
        <f>IFERROR(__xludf.DUMMYFUNCTION("""COMPUTED_VALUE"""),0.0)</f>
        <v>0</v>
      </c>
      <c r="AE209" s="16">
        <f>IFERROR(__xludf.DUMMYFUNCTION("""COMPUTED_VALUE"""),0.0)</f>
        <v>0</v>
      </c>
      <c r="AF209" s="16">
        <f>IFERROR(__xludf.DUMMYFUNCTION("""COMPUTED_VALUE"""),0.0)</f>
        <v>0</v>
      </c>
      <c r="AG209" s="16">
        <f>IFERROR(__xludf.DUMMYFUNCTION("""COMPUTED_VALUE"""),0.0)</f>
        <v>0</v>
      </c>
      <c r="AH209" s="16">
        <f>IFERROR(__xludf.DUMMYFUNCTION("""COMPUTED_VALUE"""),0.0)</f>
        <v>0</v>
      </c>
    </row>
    <row r="210">
      <c r="A210" s="16" t="str">
        <f>IFERROR(__xludf.DUMMYFUNCTION("""COMPUTED_VALUE"""),"b6ceacf9ec08a19cb30826c8277260c2339da0b3")</f>
        <v>b6ceacf9ec08a19cb30826c8277260c2339da0b3</v>
      </c>
      <c r="B210" s="16" t="str">
        <f>IFERROR(__xludf.DUMMYFUNCTION("""COMPUTED_VALUE"""),"Ruthless Betrayal ")</f>
        <v>Ruthless Betrayal </v>
      </c>
      <c r="C210" s="16" t="str">
        <f>IFERROR(__xludf.DUMMYFUNCTION("""COMPUTED_VALUE"""),"Romance")</f>
        <v>Romance</v>
      </c>
      <c r="D210" s="16">
        <f>IFERROR(__xludf.DUMMYFUNCTION("""COMPUTED_VALUE"""),30.0)</f>
        <v>30</v>
      </c>
      <c r="E210" s="16">
        <f>IFERROR(__xludf.DUMMYFUNCTION("""COMPUTED_VALUE"""),1.0)</f>
        <v>1</v>
      </c>
      <c r="F210" s="16">
        <f>IFERROR(__xludf.DUMMYFUNCTION("""COMPUTED_VALUE"""),0.6)</f>
        <v>0.6</v>
      </c>
      <c r="G210" s="16">
        <f>IFERROR(__xludf.DUMMYFUNCTION("""COMPUTED_VALUE"""),0.433333333333333)</f>
        <v>0.4333333333</v>
      </c>
      <c r="H210" s="16">
        <f>IFERROR(__xludf.DUMMYFUNCTION("""COMPUTED_VALUE"""),0.366666666666666)</f>
        <v>0.3666666667</v>
      </c>
      <c r="I210" s="16">
        <f>IFERROR(__xludf.DUMMYFUNCTION("""COMPUTED_VALUE"""),0.366666666666666)</f>
        <v>0.3666666667</v>
      </c>
      <c r="J210" s="16">
        <f>IFERROR(__xludf.DUMMYFUNCTION("""COMPUTED_VALUE"""),0.310344827586206)</f>
        <v>0.3103448276</v>
      </c>
      <c r="K210" s="16">
        <f>IFERROR(__xludf.DUMMYFUNCTION("""COMPUTED_VALUE"""),0.275862068965517)</f>
        <v>0.275862069</v>
      </c>
      <c r="L210" s="16">
        <f>IFERROR(__xludf.DUMMYFUNCTION("""COMPUTED_VALUE"""),0.275862068965517)</f>
        <v>0.275862069</v>
      </c>
      <c r="M210" s="16">
        <f>IFERROR(__xludf.DUMMYFUNCTION("""COMPUTED_VALUE"""),0.321428571428571)</f>
        <v>0.3214285714</v>
      </c>
      <c r="N210" s="16">
        <f>IFERROR(__xludf.DUMMYFUNCTION("""COMPUTED_VALUE"""),0.285714285714285)</f>
        <v>0.2857142857</v>
      </c>
      <c r="O210" s="16">
        <f>IFERROR(__xludf.DUMMYFUNCTION("""COMPUTED_VALUE"""),0.347826086956521)</f>
        <v>0.347826087</v>
      </c>
      <c r="P210" s="16">
        <f>IFERROR(__xludf.DUMMYFUNCTION("""COMPUTED_VALUE"""),0.05)</f>
        <v>0.05</v>
      </c>
      <c r="Q210" s="16">
        <f>IFERROR(__xludf.DUMMYFUNCTION("""COMPUTED_VALUE"""),0.0555555555555555)</f>
        <v>0.05555555556</v>
      </c>
      <c r="R210" s="16">
        <f>IFERROR(__xludf.DUMMYFUNCTION("""COMPUTED_VALUE"""),0.0)</f>
        <v>0</v>
      </c>
      <c r="S210" s="16">
        <f>IFERROR(__xludf.DUMMYFUNCTION("""COMPUTED_VALUE"""),0.0)</f>
        <v>0</v>
      </c>
      <c r="T210" s="16">
        <f>IFERROR(__xludf.DUMMYFUNCTION("""COMPUTED_VALUE"""),0.0)</f>
        <v>0</v>
      </c>
      <c r="U210" s="16">
        <f>IFERROR(__xludf.DUMMYFUNCTION("""COMPUTED_VALUE"""),0.0)</f>
        <v>0</v>
      </c>
      <c r="V210" s="16">
        <f>IFERROR(__xludf.DUMMYFUNCTION("""COMPUTED_VALUE"""),0.0)</f>
        <v>0</v>
      </c>
      <c r="W210" s="16">
        <f>IFERROR(__xludf.DUMMYFUNCTION("""COMPUTED_VALUE"""),0.0)</f>
        <v>0</v>
      </c>
      <c r="X210" s="16">
        <f>IFERROR(__xludf.DUMMYFUNCTION("""COMPUTED_VALUE"""),0.0)</f>
        <v>0</v>
      </c>
      <c r="Y210" s="16">
        <f>IFERROR(__xludf.DUMMYFUNCTION("""COMPUTED_VALUE"""),0.0)</f>
        <v>0</v>
      </c>
      <c r="Z210" s="16">
        <f>IFERROR(__xludf.DUMMYFUNCTION("""COMPUTED_VALUE"""),0.0)</f>
        <v>0</v>
      </c>
      <c r="AA210" s="16">
        <f>IFERROR(__xludf.DUMMYFUNCTION("""COMPUTED_VALUE"""),0.0)</f>
        <v>0</v>
      </c>
      <c r="AB210" s="16">
        <f>IFERROR(__xludf.DUMMYFUNCTION("""COMPUTED_VALUE"""),0.0)</f>
        <v>0</v>
      </c>
      <c r="AC210" s="16">
        <f>IFERROR(__xludf.DUMMYFUNCTION("""COMPUTED_VALUE"""),0.0)</f>
        <v>0</v>
      </c>
      <c r="AD210" s="16">
        <f>IFERROR(__xludf.DUMMYFUNCTION("""COMPUTED_VALUE"""),0.0)</f>
        <v>0</v>
      </c>
      <c r="AE210" s="16">
        <f>IFERROR(__xludf.DUMMYFUNCTION("""COMPUTED_VALUE"""),0.0)</f>
        <v>0</v>
      </c>
      <c r="AF210" s="16">
        <f>IFERROR(__xludf.DUMMYFUNCTION("""COMPUTED_VALUE"""),0.0)</f>
        <v>0</v>
      </c>
      <c r="AG210" s="16">
        <f>IFERROR(__xludf.DUMMYFUNCTION("""COMPUTED_VALUE"""),0.0)</f>
        <v>0</v>
      </c>
      <c r="AH210" s="16">
        <f>IFERROR(__xludf.DUMMYFUNCTION("""COMPUTED_VALUE"""),0.0)</f>
        <v>0</v>
      </c>
    </row>
    <row r="211">
      <c r="A211" s="16" t="str">
        <f>IFERROR(__xludf.DUMMYFUNCTION("""COMPUTED_VALUE"""),"b6dcffd8fcb56899f1036740aa43dcb9b648ffe5")</f>
        <v>b6dcffd8fcb56899f1036740aa43dcb9b648ffe5</v>
      </c>
      <c r="B211" s="16" t="str">
        <f>IFERROR(__xludf.DUMMYFUNCTION("""COMPUTED_VALUE"""),"His Zealous Years Ahead")</f>
        <v>His Zealous Years Ahead</v>
      </c>
      <c r="C211" s="16" t="str">
        <f>IFERROR(__xludf.DUMMYFUNCTION("""COMPUTED_VALUE"""),"Fantasy")</f>
        <v>Fantasy</v>
      </c>
      <c r="D211" s="16">
        <f>IFERROR(__xludf.DUMMYFUNCTION("""COMPUTED_VALUE"""),116.0)</f>
        <v>116</v>
      </c>
      <c r="E211" s="16">
        <f>IFERROR(__xludf.DUMMYFUNCTION("""COMPUTED_VALUE"""),0.96551724137931)</f>
        <v>0.9655172414</v>
      </c>
      <c r="F211" s="16">
        <f>IFERROR(__xludf.DUMMYFUNCTION("""COMPUTED_VALUE"""),0.534482758620689)</f>
        <v>0.5344827586</v>
      </c>
      <c r="G211" s="16">
        <f>IFERROR(__xludf.DUMMYFUNCTION("""COMPUTED_VALUE"""),0.448275862068965)</f>
        <v>0.4482758621</v>
      </c>
      <c r="H211" s="16">
        <f>IFERROR(__xludf.DUMMYFUNCTION("""COMPUTED_VALUE"""),0.362068965517241)</f>
        <v>0.3620689655</v>
      </c>
      <c r="I211" s="16">
        <f>IFERROR(__xludf.DUMMYFUNCTION("""COMPUTED_VALUE"""),0.327586206896551)</f>
        <v>0.3275862069</v>
      </c>
      <c r="J211" s="16">
        <f>IFERROR(__xludf.DUMMYFUNCTION("""COMPUTED_VALUE"""),0.304347826086956)</f>
        <v>0.3043478261</v>
      </c>
      <c r="K211" s="16">
        <f>IFERROR(__xludf.DUMMYFUNCTION("""COMPUTED_VALUE"""),0.220183486238532)</f>
        <v>0.2201834862</v>
      </c>
      <c r="L211" s="16">
        <f>IFERROR(__xludf.DUMMYFUNCTION("""COMPUTED_VALUE"""),0.227722772277227)</f>
        <v>0.2277227723</v>
      </c>
      <c r="M211" s="16">
        <f>IFERROR(__xludf.DUMMYFUNCTION("""COMPUTED_VALUE"""),0.206185567010309)</f>
        <v>0.206185567</v>
      </c>
      <c r="N211" s="16">
        <f>IFERROR(__xludf.DUMMYFUNCTION("""COMPUTED_VALUE"""),0.204545454545454)</f>
        <v>0.2045454545</v>
      </c>
      <c r="O211" s="16">
        <f>IFERROR(__xludf.DUMMYFUNCTION("""COMPUTED_VALUE"""),0.211538461538461)</f>
        <v>0.2115384615</v>
      </c>
      <c r="P211" s="16">
        <f>IFERROR(__xludf.DUMMYFUNCTION("""COMPUTED_VALUE"""),0.111111111111111)</f>
        <v>0.1111111111</v>
      </c>
      <c r="Q211" s="16">
        <f>IFERROR(__xludf.DUMMYFUNCTION("""COMPUTED_VALUE"""),0.0)</f>
        <v>0</v>
      </c>
      <c r="R211" s="16">
        <f>IFERROR(__xludf.DUMMYFUNCTION("""COMPUTED_VALUE"""),0.0)</f>
        <v>0</v>
      </c>
      <c r="S211" s="16">
        <f>IFERROR(__xludf.DUMMYFUNCTION("""COMPUTED_VALUE"""),0.0)</f>
        <v>0</v>
      </c>
      <c r="T211" s="16">
        <f>IFERROR(__xludf.DUMMYFUNCTION("""COMPUTED_VALUE"""),0.0)</f>
        <v>0</v>
      </c>
      <c r="U211" s="16">
        <f>IFERROR(__xludf.DUMMYFUNCTION("""COMPUTED_VALUE"""),0.0)</f>
        <v>0</v>
      </c>
      <c r="V211" s="16">
        <f>IFERROR(__xludf.DUMMYFUNCTION("""COMPUTED_VALUE"""),0.0)</f>
        <v>0</v>
      </c>
      <c r="W211" s="16">
        <f>IFERROR(__xludf.DUMMYFUNCTION("""COMPUTED_VALUE"""),0.0)</f>
        <v>0</v>
      </c>
      <c r="X211" s="16">
        <f>IFERROR(__xludf.DUMMYFUNCTION("""COMPUTED_VALUE"""),0.0)</f>
        <v>0</v>
      </c>
      <c r="Y211" s="16">
        <f>IFERROR(__xludf.DUMMYFUNCTION("""COMPUTED_VALUE"""),0.0)</f>
        <v>0</v>
      </c>
      <c r="Z211" s="16">
        <f>IFERROR(__xludf.DUMMYFUNCTION("""COMPUTED_VALUE"""),0.0)</f>
        <v>0</v>
      </c>
      <c r="AA211" s="16">
        <f>IFERROR(__xludf.DUMMYFUNCTION("""COMPUTED_VALUE"""),0.0)</f>
        <v>0</v>
      </c>
      <c r="AB211" s="16">
        <f>IFERROR(__xludf.DUMMYFUNCTION("""COMPUTED_VALUE"""),0.0)</f>
        <v>0</v>
      </c>
      <c r="AC211" s="16">
        <f>IFERROR(__xludf.DUMMYFUNCTION("""COMPUTED_VALUE"""),0.0)</f>
        <v>0</v>
      </c>
      <c r="AD211" s="16">
        <f>IFERROR(__xludf.DUMMYFUNCTION("""COMPUTED_VALUE"""),0.0)</f>
        <v>0</v>
      </c>
      <c r="AE211" s="16">
        <f>IFERROR(__xludf.DUMMYFUNCTION("""COMPUTED_VALUE"""),0.0)</f>
        <v>0</v>
      </c>
      <c r="AF211" s="16">
        <f>IFERROR(__xludf.DUMMYFUNCTION("""COMPUTED_VALUE"""),0.0)</f>
        <v>0</v>
      </c>
      <c r="AG211" s="16">
        <f>IFERROR(__xludf.DUMMYFUNCTION("""COMPUTED_VALUE"""),0.0)</f>
        <v>0</v>
      </c>
      <c r="AH211" s="16">
        <f>IFERROR(__xludf.DUMMYFUNCTION("""COMPUTED_VALUE"""),0.0)</f>
        <v>0</v>
      </c>
    </row>
    <row r="212">
      <c r="A212" s="16" t="str">
        <f>IFERROR(__xludf.DUMMYFUNCTION("""COMPUTED_VALUE"""),"b7410aeb19f92f7df4ccab821b5a28bfd7d73027")</f>
        <v>b7410aeb19f92f7df4ccab821b5a28bfd7d73027</v>
      </c>
      <c r="B212" s="16" t="str">
        <f>IFERROR(__xludf.DUMMYFUNCTION("""COMPUTED_VALUE"""),"Alpha Regulus")</f>
        <v>Alpha Regulus</v>
      </c>
      <c r="C212" s="16" t="str">
        <f>IFERROR(__xludf.DUMMYFUNCTION("""COMPUTED_VALUE"""),"Romantasy")</f>
        <v>Romantasy</v>
      </c>
      <c r="D212" s="16">
        <f>IFERROR(__xludf.DUMMYFUNCTION("""COMPUTED_VALUE"""),249.0)</f>
        <v>249</v>
      </c>
      <c r="E212" s="16">
        <f>IFERROR(__xludf.DUMMYFUNCTION("""COMPUTED_VALUE"""),0.987951807228915)</f>
        <v>0.9879518072</v>
      </c>
      <c r="F212" s="16">
        <f>IFERROR(__xludf.DUMMYFUNCTION("""COMPUTED_VALUE"""),0.57429718875502)</f>
        <v>0.5742971888</v>
      </c>
      <c r="G212" s="16">
        <f>IFERROR(__xludf.DUMMYFUNCTION("""COMPUTED_VALUE"""),0.518072289156626)</f>
        <v>0.5180722892</v>
      </c>
      <c r="H212" s="16">
        <f>IFERROR(__xludf.DUMMYFUNCTION("""COMPUTED_VALUE"""),0.449799196787148)</f>
        <v>0.4497991968</v>
      </c>
      <c r="I212" s="16">
        <f>IFERROR(__xludf.DUMMYFUNCTION("""COMPUTED_VALUE"""),0.413654618473895)</f>
        <v>0.4136546185</v>
      </c>
      <c r="J212" s="16">
        <f>IFERROR(__xludf.DUMMYFUNCTION("""COMPUTED_VALUE"""),0.373493975903614)</f>
        <v>0.3734939759</v>
      </c>
      <c r="K212" s="16">
        <f>IFERROR(__xludf.DUMMYFUNCTION("""COMPUTED_VALUE"""),0.353413654618473)</f>
        <v>0.3534136546</v>
      </c>
      <c r="L212" s="16">
        <f>IFERROR(__xludf.DUMMYFUNCTION("""COMPUTED_VALUE"""),0.310483870967741)</f>
        <v>0.310483871</v>
      </c>
      <c r="M212" s="16">
        <f>IFERROR(__xludf.DUMMYFUNCTION("""COMPUTED_VALUE"""),0.27016129032258)</f>
        <v>0.2701612903</v>
      </c>
      <c r="N212" s="16">
        <f>IFERROR(__xludf.DUMMYFUNCTION("""COMPUTED_VALUE"""),0.258064516129032)</f>
        <v>0.2580645161</v>
      </c>
      <c r="O212" s="16">
        <f>IFERROR(__xludf.DUMMYFUNCTION("""COMPUTED_VALUE"""),0.19758064516129)</f>
        <v>0.1975806452</v>
      </c>
      <c r="P212" s="16">
        <f>IFERROR(__xludf.DUMMYFUNCTION("""COMPUTED_VALUE"""),0.169354838709677)</f>
        <v>0.1693548387</v>
      </c>
      <c r="Q212" s="16">
        <f>IFERROR(__xludf.DUMMYFUNCTION("""COMPUTED_VALUE"""),0.18125)</f>
        <v>0.18125</v>
      </c>
      <c r="R212" s="16">
        <f>IFERROR(__xludf.DUMMYFUNCTION("""COMPUTED_VALUE"""),0.10691823899371)</f>
        <v>0.106918239</v>
      </c>
      <c r="S212" s="16">
        <f>IFERROR(__xludf.DUMMYFUNCTION("""COMPUTED_VALUE"""),0.0943396226415094)</f>
        <v>0.09433962264</v>
      </c>
      <c r="T212" s="16">
        <f>IFERROR(__xludf.DUMMYFUNCTION("""COMPUTED_VALUE"""),0.0849673202614379)</f>
        <v>0.08496732026</v>
      </c>
      <c r="U212" s="16">
        <f>IFERROR(__xludf.DUMMYFUNCTION("""COMPUTED_VALUE"""),0.0794701986754966)</f>
        <v>0.07947019868</v>
      </c>
      <c r="V212" s="16">
        <f>IFERROR(__xludf.DUMMYFUNCTION("""COMPUTED_VALUE"""),0.06)</f>
        <v>0.06</v>
      </c>
      <c r="W212" s="16">
        <f>IFERROR(__xludf.DUMMYFUNCTION("""COMPUTED_VALUE"""),0.06)</f>
        <v>0.06</v>
      </c>
      <c r="X212" s="16">
        <f>IFERROR(__xludf.DUMMYFUNCTION("""COMPUTED_VALUE"""),0.0536912751677852)</f>
        <v>0.05369127517</v>
      </c>
      <c r="Y212" s="16">
        <f>IFERROR(__xludf.DUMMYFUNCTION("""COMPUTED_VALUE"""),0.25)</f>
        <v>0.25</v>
      </c>
      <c r="Z212" s="16">
        <f>IFERROR(__xludf.DUMMYFUNCTION("""COMPUTED_VALUE"""),0.0)</f>
        <v>0</v>
      </c>
      <c r="AA212" s="16">
        <f>IFERROR(__xludf.DUMMYFUNCTION("""COMPUTED_VALUE"""),0.0)</f>
        <v>0</v>
      </c>
      <c r="AB212" s="16">
        <f>IFERROR(__xludf.DUMMYFUNCTION("""COMPUTED_VALUE"""),0.0)</f>
        <v>0</v>
      </c>
      <c r="AC212" s="16">
        <f>IFERROR(__xludf.DUMMYFUNCTION("""COMPUTED_VALUE"""),0.0)</f>
        <v>0</v>
      </c>
      <c r="AD212" s="16">
        <f>IFERROR(__xludf.DUMMYFUNCTION("""COMPUTED_VALUE"""),0.0)</f>
        <v>0</v>
      </c>
      <c r="AE212" s="16">
        <f>IFERROR(__xludf.DUMMYFUNCTION("""COMPUTED_VALUE"""),0.0)</f>
        <v>0</v>
      </c>
      <c r="AF212" s="16">
        <f>IFERROR(__xludf.DUMMYFUNCTION("""COMPUTED_VALUE"""),0.0)</f>
        <v>0</v>
      </c>
      <c r="AG212" s="16">
        <f>IFERROR(__xludf.DUMMYFUNCTION("""COMPUTED_VALUE"""),0.0)</f>
        <v>0</v>
      </c>
      <c r="AH212" s="16">
        <f>IFERROR(__xludf.DUMMYFUNCTION("""COMPUTED_VALUE"""),0.0)</f>
        <v>0</v>
      </c>
    </row>
    <row r="213">
      <c r="A213" s="16" t="str">
        <f>IFERROR(__xludf.DUMMYFUNCTION("""COMPUTED_VALUE"""),"b7e62e1ec65efcef334c2161afd00edf7b5a2b09")</f>
        <v>b7e62e1ec65efcef334c2161afd00edf7b5a2b09</v>
      </c>
      <c r="B213" s="16" t="str">
        <f>IFERROR(__xludf.DUMMYFUNCTION("""COMPUTED_VALUE"""),"Thrones and Passion")</f>
        <v>Thrones and Passion</v>
      </c>
      <c r="C213" s="16" t="str">
        <f>IFERROR(__xludf.DUMMYFUNCTION("""COMPUTED_VALUE"""),"Romance")</f>
        <v>Romance</v>
      </c>
      <c r="D213" s="16">
        <f>IFERROR(__xludf.DUMMYFUNCTION("""COMPUTED_VALUE"""),35.0)</f>
        <v>35</v>
      </c>
      <c r="E213" s="16">
        <f>IFERROR(__xludf.DUMMYFUNCTION("""COMPUTED_VALUE"""),1.0)</f>
        <v>1</v>
      </c>
      <c r="F213" s="16">
        <f>IFERROR(__xludf.DUMMYFUNCTION("""COMPUTED_VALUE"""),0.571428571428571)</f>
        <v>0.5714285714</v>
      </c>
      <c r="G213" s="16">
        <f>IFERROR(__xludf.DUMMYFUNCTION("""COMPUTED_VALUE"""),0.428571428571428)</f>
        <v>0.4285714286</v>
      </c>
      <c r="H213" s="16">
        <f>IFERROR(__xludf.DUMMYFUNCTION("""COMPUTED_VALUE"""),0.4)</f>
        <v>0.4</v>
      </c>
      <c r="I213" s="16">
        <f>IFERROR(__xludf.DUMMYFUNCTION("""COMPUTED_VALUE"""),0.314285714285714)</f>
        <v>0.3142857143</v>
      </c>
      <c r="J213" s="16">
        <f>IFERROR(__xludf.DUMMYFUNCTION("""COMPUTED_VALUE"""),0.323529411764705)</f>
        <v>0.3235294118</v>
      </c>
      <c r="K213" s="16">
        <f>IFERROR(__xludf.DUMMYFUNCTION("""COMPUTED_VALUE"""),0.363636363636363)</f>
        <v>0.3636363636</v>
      </c>
      <c r="L213" s="16">
        <f>IFERROR(__xludf.DUMMYFUNCTION("""COMPUTED_VALUE"""),0.407407407407407)</f>
        <v>0.4074074074</v>
      </c>
      <c r="M213" s="16">
        <f>IFERROR(__xludf.DUMMYFUNCTION("""COMPUTED_VALUE"""),0.384615384615384)</f>
        <v>0.3846153846</v>
      </c>
      <c r="N213" s="16">
        <f>IFERROR(__xludf.DUMMYFUNCTION("""COMPUTED_VALUE"""),0.32)</f>
        <v>0.32</v>
      </c>
      <c r="O213" s="16">
        <f>IFERROR(__xludf.DUMMYFUNCTION("""COMPUTED_VALUE"""),0.473684210526315)</f>
        <v>0.4736842105</v>
      </c>
      <c r="P213" s="16">
        <f>IFERROR(__xludf.DUMMYFUNCTION("""COMPUTED_VALUE"""),0.0)</f>
        <v>0</v>
      </c>
      <c r="Q213" s="16">
        <f>IFERROR(__xludf.DUMMYFUNCTION("""COMPUTED_VALUE"""),0.0)</f>
        <v>0</v>
      </c>
      <c r="R213" s="16">
        <f>IFERROR(__xludf.DUMMYFUNCTION("""COMPUTED_VALUE"""),0.0)</f>
        <v>0</v>
      </c>
      <c r="S213" s="16">
        <f>IFERROR(__xludf.DUMMYFUNCTION("""COMPUTED_VALUE"""),0.0)</f>
        <v>0</v>
      </c>
      <c r="T213" s="16">
        <f>IFERROR(__xludf.DUMMYFUNCTION("""COMPUTED_VALUE"""),0.0)</f>
        <v>0</v>
      </c>
      <c r="U213" s="16">
        <f>IFERROR(__xludf.DUMMYFUNCTION("""COMPUTED_VALUE"""),0.0)</f>
        <v>0</v>
      </c>
      <c r="V213" s="16">
        <f>IFERROR(__xludf.DUMMYFUNCTION("""COMPUTED_VALUE"""),0.0)</f>
        <v>0</v>
      </c>
      <c r="W213" s="16">
        <f>IFERROR(__xludf.DUMMYFUNCTION("""COMPUTED_VALUE"""),0.0)</f>
        <v>0</v>
      </c>
      <c r="X213" s="16">
        <f>IFERROR(__xludf.DUMMYFUNCTION("""COMPUTED_VALUE"""),0.0)</f>
        <v>0</v>
      </c>
      <c r="Y213" s="16">
        <f>IFERROR(__xludf.DUMMYFUNCTION("""COMPUTED_VALUE"""),0.0)</f>
        <v>0</v>
      </c>
      <c r="Z213" s="16">
        <f>IFERROR(__xludf.DUMMYFUNCTION("""COMPUTED_VALUE"""),0.0)</f>
        <v>0</v>
      </c>
      <c r="AA213" s="16">
        <f>IFERROR(__xludf.DUMMYFUNCTION("""COMPUTED_VALUE"""),0.0)</f>
        <v>0</v>
      </c>
      <c r="AB213" s="16">
        <f>IFERROR(__xludf.DUMMYFUNCTION("""COMPUTED_VALUE"""),0.0)</f>
        <v>0</v>
      </c>
      <c r="AC213" s="16">
        <f>IFERROR(__xludf.DUMMYFUNCTION("""COMPUTED_VALUE"""),0.0)</f>
        <v>0</v>
      </c>
      <c r="AD213" s="16">
        <f>IFERROR(__xludf.DUMMYFUNCTION("""COMPUTED_VALUE"""),0.0)</f>
        <v>0</v>
      </c>
      <c r="AE213" s="16">
        <f>IFERROR(__xludf.DUMMYFUNCTION("""COMPUTED_VALUE"""),0.0)</f>
        <v>0</v>
      </c>
      <c r="AF213" s="16">
        <f>IFERROR(__xludf.DUMMYFUNCTION("""COMPUTED_VALUE"""),0.0)</f>
        <v>0</v>
      </c>
      <c r="AG213" s="16">
        <f>IFERROR(__xludf.DUMMYFUNCTION("""COMPUTED_VALUE"""),0.0)</f>
        <v>0</v>
      </c>
      <c r="AH213" s="16">
        <f>IFERROR(__xludf.DUMMYFUNCTION("""COMPUTED_VALUE"""),0.0)</f>
        <v>0</v>
      </c>
    </row>
    <row r="214">
      <c r="A214" s="16" t="str">
        <f>IFERROR(__xludf.DUMMYFUNCTION("""COMPUTED_VALUE"""),"b9a354d5a24377ec29b0e331be59b7128bbe93a1")</f>
        <v>b9a354d5a24377ec29b0e331be59b7128bbe93a1</v>
      </c>
      <c r="B214" s="16" t="str">
        <f>IFERROR(__xludf.DUMMYFUNCTION("""COMPUTED_VALUE"""),"The Heir They Feared")</f>
        <v>The Heir They Feared</v>
      </c>
      <c r="C214" s="16" t="str">
        <f>IFERROR(__xludf.DUMMYFUNCTION("""COMPUTED_VALUE"""),"Drama")</f>
        <v>Drama</v>
      </c>
      <c r="D214" s="16">
        <f>IFERROR(__xludf.DUMMYFUNCTION("""COMPUTED_VALUE"""),4.0)</f>
        <v>4</v>
      </c>
      <c r="E214" s="16">
        <f>IFERROR(__xludf.DUMMYFUNCTION("""COMPUTED_VALUE"""),1.0)</f>
        <v>1</v>
      </c>
      <c r="F214" s="16">
        <f>IFERROR(__xludf.DUMMYFUNCTION("""COMPUTED_VALUE"""),0.5)</f>
        <v>0.5</v>
      </c>
      <c r="G214" s="16">
        <f>IFERROR(__xludf.DUMMYFUNCTION("""COMPUTED_VALUE"""),0.5)</f>
        <v>0.5</v>
      </c>
      <c r="H214" s="16">
        <f>IFERROR(__xludf.DUMMYFUNCTION("""COMPUTED_VALUE"""),0.25)</f>
        <v>0.25</v>
      </c>
      <c r="I214" s="16">
        <f>IFERROR(__xludf.DUMMYFUNCTION("""COMPUTED_VALUE"""),0.25)</f>
        <v>0.25</v>
      </c>
      <c r="J214" s="16">
        <f>IFERROR(__xludf.DUMMYFUNCTION("""COMPUTED_VALUE"""),0.0)</f>
        <v>0</v>
      </c>
      <c r="K214" s="16">
        <f>IFERROR(__xludf.DUMMYFUNCTION("""COMPUTED_VALUE"""),0.0)</f>
        <v>0</v>
      </c>
      <c r="L214" s="16">
        <f>IFERROR(__xludf.DUMMYFUNCTION("""COMPUTED_VALUE"""),0.0)</f>
        <v>0</v>
      </c>
      <c r="M214" s="16">
        <f>IFERROR(__xludf.DUMMYFUNCTION("""COMPUTED_VALUE"""),0.0)</f>
        <v>0</v>
      </c>
      <c r="N214" s="16">
        <f>IFERROR(__xludf.DUMMYFUNCTION("""COMPUTED_VALUE"""),0.0)</f>
        <v>0</v>
      </c>
      <c r="O214" s="16">
        <f>IFERROR(__xludf.DUMMYFUNCTION("""COMPUTED_VALUE"""),0.0)</f>
        <v>0</v>
      </c>
      <c r="P214" s="16">
        <f>IFERROR(__xludf.DUMMYFUNCTION("""COMPUTED_VALUE"""),0.0)</f>
        <v>0</v>
      </c>
      <c r="Q214" s="16">
        <f>IFERROR(__xludf.DUMMYFUNCTION("""COMPUTED_VALUE"""),0.0)</f>
        <v>0</v>
      </c>
      <c r="R214" s="16">
        <f>IFERROR(__xludf.DUMMYFUNCTION("""COMPUTED_VALUE"""),0.0)</f>
        <v>0</v>
      </c>
      <c r="S214" s="16">
        <f>IFERROR(__xludf.DUMMYFUNCTION("""COMPUTED_VALUE"""),0.0)</f>
        <v>0</v>
      </c>
      <c r="T214" s="16">
        <f>IFERROR(__xludf.DUMMYFUNCTION("""COMPUTED_VALUE"""),0.0)</f>
        <v>0</v>
      </c>
      <c r="U214" s="16">
        <f>IFERROR(__xludf.DUMMYFUNCTION("""COMPUTED_VALUE"""),0.0)</f>
        <v>0</v>
      </c>
      <c r="V214" s="16">
        <f>IFERROR(__xludf.DUMMYFUNCTION("""COMPUTED_VALUE"""),0.0)</f>
        <v>0</v>
      </c>
      <c r="W214" s="16">
        <f>IFERROR(__xludf.DUMMYFUNCTION("""COMPUTED_VALUE"""),0.0)</f>
        <v>0</v>
      </c>
      <c r="X214" s="16">
        <f>IFERROR(__xludf.DUMMYFUNCTION("""COMPUTED_VALUE"""),0.0)</f>
        <v>0</v>
      </c>
      <c r="Y214" s="16">
        <f>IFERROR(__xludf.DUMMYFUNCTION("""COMPUTED_VALUE"""),0.0)</f>
        <v>0</v>
      </c>
      <c r="Z214" s="16">
        <f>IFERROR(__xludf.DUMMYFUNCTION("""COMPUTED_VALUE"""),0.0)</f>
        <v>0</v>
      </c>
      <c r="AA214" s="16">
        <f>IFERROR(__xludf.DUMMYFUNCTION("""COMPUTED_VALUE"""),0.0)</f>
        <v>0</v>
      </c>
      <c r="AB214" s="16">
        <f>IFERROR(__xludf.DUMMYFUNCTION("""COMPUTED_VALUE"""),0.0)</f>
        <v>0</v>
      </c>
      <c r="AC214" s="16">
        <f>IFERROR(__xludf.DUMMYFUNCTION("""COMPUTED_VALUE"""),0.0)</f>
        <v>0</v>
      </c>
      <c r="AD214" s="16">
        <f>IFERROR(__xludf.DUMMYFUNCTION("""COMPUTED_VALUE"""),0.0)</f>
        <v>0</v>
      </c>
      <c r="AE214" s="16">
        <f>IFERROR(__xludf.DUMMYFUNCTION("""COMPUTED_VALUE"""),0.0)</f>
        <v>0</v>
      </c>
      <c r="AF214" s="16">
        <f>IFERROR(__xludf.DUMMYFUNCTION("""COMPUTED_VALUE"""),0.0)</f>
        <v>0</v>
      </c>
      <c r="AG214" s="16">
        <f>IFERROR(__xludf.DUMMYFUNCTION("""COMPUTED_VALUE"""),0.0)</f>
        <v>0</v>
      </c>
      <c r="AH214" s="16">
        <f>IFERROR(__xludf.DUMMYFUNCTION("""COMPUTED_VALUE"""),0.0)</f>
        <v>0</v>
      </c>
    </row>
    <row r="215">
      <c r="A215" s="16" t="str">
        <f>IFERROR(__xludf.DUMMYFUNCTION("""COMPUTED_VALUE"""),"ba0633322d2e3b1f5dc385fdef11110ad663eca3")</f>
        <v>ba0633322d2e3b1f5dc385fdef11110ad663eca3</v>
      </c>
      <c r="B215" s="16" t="str">
        <f>IFERROR(__xludf.DUMMYFUNCTION("""COMPUTED_VALUE"""),"Fated Billionaire Love")</f>
        <v>Fated Billionaire Love</v>
      </c>
      <c r="C215" s="16" t="str">
        <f>IFERROR(__xludf.DUMMYFUNCTION("""COMPUTED_VALUE"""),"Romance")</f>
        <v>Romance</v>
      </c>
      <c r="D215" s="16">
        <f>IFERROR(__xludf.DUMMYFUNCTION("""COMPUTED_VALUE"""),47.0)</f>
        <v>47</v>
      </c>
      <c r="E215" s="16">
        <f>IFERROR(__xludf.DUMMYFUNCTION("""COMPUTED_VALUE"""),1.0)</f>
        <v>1</v>
      </c>
      <c r="F215" s="16">
        <f>IFERROR(__xludf.DUMMYFUNCTION("""COMPUTED_VALUE"""),0.723404255319149)</f>
        <v>0.7234042553</v>
      </c>
      <c r="G215" s="16">
        <f>IFERROR(__xludf.DUMMYFUNCTION("""COMPUTED_VALUE"""),0.617021276595744)</f>
        <v>0.6170212766</v>
      </c>
      <c r="H215" s="16">
        <f>IFERROR(__xludf.DUMMYFUNCTION("""COMPUTED_VALUE"""),0.531914893617021)</f>
        <v>0.5319148936</v>
      </c>
      <c r="I215" s="16">
        <f>IFERROR(__xludf.DUMMYFUNCTION("""COMPUTED_VALUE"""),0.51063829787234)</f>
        <v>0.5106382979</v>
      </c>
      <c r="J215" s="16">
        <f>IFERROR(__xludf.DUMMYFUNCTION("""COMPUTED_VALUE"""),0.404255319148936)</f>
        <v>0.4042553191</v>
      </c>
      <c r="K215" s="16">
        <f>IFERROR(__xludf.DUMMYFUNCTION("""COMPUTED_VALUE"""),0.404255319148936)</f>
        <v>0.4042553191</v>
      </c>
      <c r="L215" s="16">
        <f>IFERROR(__xludf.DUMMYFUNCTION("""COMPUTED_VALUE"""),0.382978723404255)</f>
        <v>0.3829787234</v>
      </c>
      <c r="M215" s="16">
        <f>IFERROR(__xludf.DUMMYFUNCTION("""COMPUTED_VALUE"""),0.340425531914893)</f>
        <v>0.3404255319</v>
      </c>
      <c r="N215" s="16">
        <f>IFERROR(__xludf.DUMMYFUNCTION("""COMPUTED_VALUE"""),0.297872340425531)</f>
        <v>0.2978723404</v>
      </c>
      <c r="O215" s="16">
        <f>IFERROR(__xludf.DUMMYFUNCTION("""COMPUTED_VALUE"""),0.212765957446808)</f>
        <v>0.2127659574</v>
      </c>
      <c r="P215" s="16">
        <f>IFERROR(__xludf.DUMMYFUNCTION("""COMPUTED_VALUE"""),0.17391304347826)</f>
        <v>0.1739130435</v>
      </c>
      <c r="Q215" s="16">
        <f>IFERROR(__xludf.DUMMYFUNCTION("""COMPUTED_VALUE"""),0.108695652173913)</f>
        <v>0.1086956522</v>
      </c>
      <c r="R215" s="16">
        <f>IFERROR(__xludf.DUMMYFUNCTION("""COMPUTED_VALUE"""),0.0)</f>
        <v>0</v>
      </c>
      <c r="S215" s="16">
        <f>IFERROR(__xludf.DUMMYFUNCTION("""COMPUTED_VALUE"""),0.0)</f>
        <v>0</v>
      </c>
      <c r="T215" s="16">
        <f>IFERROR(__xludf.DUMMYFUNCTION("""COMPUTED_VALUE"""),0.0)</f>
        <v>0</v>
      </c>
      <c r="U215" s="16">
        <f>IFERROR(__xludf.DUMMYFUNCTION("""COMPUTED_VALUE"""),0.0)</f>
        <v>0</v>
      </c>
      <c r="V215" s="16">
        <f>IFERROR(__xludf.DUMMYFUNCTION("""COMPUTED_VALUE"""),0.0)</f>
        <v>0</v>
      </c>
      <c r="W215" s="16">
        <f>IFERROR(__xludf.DUMMYFUNCTION("""COMPUTED_VALUE"""),0.0)</f>
        <v>0</v>
      </c>
      <c r="X215" s="16">
        <f>IFERROR(__xludf.DUMMYFUNCTION("""COMPUTED_VALUE"""),0.0)</f>
        <v>0</v>
      </c>
      <c r="Y215" s="16">
        <f>IFERROR(__xludf.DUMMYFUNCTION("""COMPUTED_VALUE"""),0.0)</f>
        <v>0</v>
      </c>
      <c r="Z215" s="16">
        <f>IFERROR(__xludf.DUMMYFUNCTION("""COMPUTED_VALUE"""),0.0)</f>
        <v>0</v>
      </c>
      <c r="AA215" s="16">
        <f>IFERROR(__xludf.DUMMYFUNCTION("""COMPUTED_VALUE"""),0.0)</f>
        <v>0</v>
      </c>
      <c r="AB215" s="16">
        <f>IFERROR(__xludf.DUMMYFUNCTION("""COMPUTED_VALUE"""),0.0)</f>
        <v>0</v>
      </c>
      <c r="AC215" s="16">
        <f>IFERROR(__xludf.DUMMYFUNCTION("""COMPUTED_VALUE"""),0.0)</f>
        <v>0</v>
      </c>
      <c r="AD215" s="16">
        <f>IFERROR(__xludf.DUMMYFUNCTION("""COMPUTED_VALUE"""),0.0)</f>
        <v>0</v>
      </c>
      <c r="AE215" s="16">
        <f>IFERROR(__xludf.DUMMYFUNCTION("""COMPUTED_VALUE"""),0.0)</f>
        <v>0</v>
      </c>
      <c r="AF215" s="16">
        <f>IFERROR(__xludf.DUMMYFUNCTION("""COMPUTED_VALUE"""),0.0)</f>
        <v>0</v>
      </c>
      <c r="AG215" s="16">
        <f>IFERROR(__xludf.DUMMYFUNCTION("""COMPUTED_VALUE"""),0.0)</f>
        <v>0</v>
      </c>
      <c r="AH215" s="16">
        <f>IFERROR(__xludf.DUMMYFUNCTION("""COMPUTED_VALUE"""),0.0)</f>
        <v>0</v>
      </c>
    </row>
    <row r="216">
      <c r="A216" s="16" t="str">
        <f>IFERROR(__xludf.DUMMYFUNCTION("""COMPUTED_VALUE"""),"ba1065d04424754ef65327a97989402f6a123e5a")</f>
        <v>ba1065d04424754ef65327a97989402f6a123e5a</v>
      </c>
      <c r="B216" s="16" t="str">
        <f>IFERROR(__xludf.DUMMYFUNCTION("""COMPUTED_VALUE"""),"Yours by Accident")</f>
        <v>Yours by Accident</v>
      </c>
      <c r="C216" s="16" t="str">
        <f>IFERROR(__xludf.DUMMYFUNCTION("""COMPUTED_VALUE"""),"Romance")</f>
        <v>Romance</v>
      </c>
      <c r="D216" s="16">
        <f>IFERROR(__xludf.DUMMYFUNCTION("""COMPUTED_VALUE"""),26.0)</f>
        <v>26</v>
      </c>
      <c r="E216" s="16">
        <f>IFERROR(__xludf.DUMMYFUNCTION("""COMPUTED_VALUE"""),0.961538461538461)</f>
        <v>0.9615384615</v>
      </c>
      <c r="F216" s="16">
        <f>IFERROR(__xludf.DUMMYFUNCTION("""COMPUTED_VALUE"""),0.5)</f>
        <v>0.5</v>
      </c>
      <c r="G216" s="16">
        <f>IFERROR(__xludf.DUMMYFUNCTION("""COMPUTED_VALUE"""),0.192307692307692)</f>
        <v>0.1923076923</v>
      </c>
      <c r="H216" s="16">
        <f>IFERROR(__xludf.DUMMYFUNCTION("""COMPUTED_VALUE"""),0.153846153846153)</f>
        <v>0.1538461538</v>
      </c>
      <c r="I216" s="16">
        <f>IFERROR(__xludf.DUMMYFUNCTION("""COMPUTED_VALUE"""),0.153846153846153)</f>
        <v>0.1538461538</v>
      </c>
      <c r="J216" s="16">
        <f>IFERROR(__xludf.DUMMYFUNCTION("""COMPUTED_VALUE"""),0.115384615384615)</f>
        <v>0.1153846154</v>
      </c>
      <c r="K216" s="16">
        <f>IFERROR(__xludf.DUMMYFUNCTION("""COMPUTED_VALUE"""),0.115384615384615)</f>
        <v>0.1153846154</v>
      </c>
      <c r="L216" s="16">
        <f>IFERROR(__xludf.DUMMYFUNCTION("""COMPUTED_VALUE"""),0.0769230769230769)</f>
        <v>0.07692307692</v>
      </c>
      <c r="M216" s="16">
        <f>IFERROR(__xludf.DUMMYFUNCTION("""COMPUTED_VALUE"""),0.115384615384615)</f>
        <v>0.1153846154</v>
      </c>
      <c r="N216" s="16">
        <f>IFERROR(__xludf.DUMMYFUNCTION("""COMPUTED_VALUE"""),0.115384615384615)</f>
        <v>0.1153846154</v>
      </c>
      <c r="O216" s="16">
        <f>IFERROR(__xludf.DUMMYFUNCTION("""COMPUTED_VALUE"""),0.0588235294117647)</f>
        <v>0.05882352941</v>
      </c>
      <c r="P216" s="16">
        <f>IFERROR(__xludf.DUMMYFUNCTION("""COMPUTED_VALUE"""),0.0)</f>
        <v>0</v>
      </c>
      <c r="Q216" s="16">
        <f>IFERROR(__xludf.DUMMYFUNCTION("""COMPUTED_VALUE"""),0.0)</f>
        <v>0</v>
      </c>
      <c r="R216" s="16">
        <f>IFERROR(__xludf.DUMMYFUNCTION("""COMPUTED_VALUE"""),0.0)</f>
        <v>0</v>
      </c>
      <c r="S216" s="16">
        <f>IFERROR(__xludf.DUMMYFUNCTION("""COMPUTED_VALUE"""),0.0)</f>
        <v>0</v>
      </c>
      <c r="T216" s="16">
        <f>IFERROR(__xludf.DUMMYFUNCTION("""COMPUTED_VALUE"""),0.0)</f>
        <v>0</v>
      </c>
      <c r="U216" s="16">
        <f>IFERROR(__xludf.DUMMYFUNCTION("""COMPUTED_VALUE"""),0.0)</f>
        <v>0</v>
      </c>
      <c r="V216" s="16">
        <f>IFERROR(__xludf.DUMMYFUNCTION("""COMPUTED_VALUE"""),0.0)</f>
        <v>0</v>
      </c>
      <c r="W216" s="16">
        <f>IFERROR(__xludf.DUMMYFUNCTION("""COMPUTED_VALUE"""),0.0)</f>
        <v>0</v>
      </c>
      <c r="X216" s="16">
        <f>IFERROR(__xludf.DUMMYFUNCTION("""COMPUTED_VALUE"""),0.0)</f>
        <v>0</v>
      </c>
      <c r="Y216" s="16">
        <f>IFERROR(__xludf.DUMMYFUNCTION("""COMPUTED_VALUE"""),0.0)</f>
        <v>0</v>
      </c>
      <c r="Z216" s="16">
        <f>IFERROR(__xludf.DUMMYFUNCTION("""COMPUTED_VALUE"""),0.0)</f>
        <v>0</v>
      </c>
      <c r="AA216" s="16">
        <f>IFERROR(__xludf.DUMMYFUNCTION("""COMPUTED_VALUE"""),0.0)</f>
        <v>0</v>
      </c>
      <c r="AB216" s="16">
        <f>IFERROR(__xludf.DUMMYFUNCTION("""COMPUTED_VALUE"""),0.0)</f>
        <v>0</v>
      </c>
      <c r="AC216" s="16">
        <f>IFERROR(__xludf.DUMMYFUNCTION("""COMPUTED_VALUE"""),0.0)</f>
        <v>0</v>
      </c>
      <c r="AD216" s="16">
        <f>IFERROR(__xludf.DUMMYFUNCTION("""COMPUTED_VALUE"""),0.0)</f>
        <v>0</v>
      </c>
      <c r="AE216" s="16">
        <f>IFERROR(__xludf.DUMMYFUNCTION("""COMPUTED_VALUE"""),0.0)</f>
        <v>0</v>
      </c>
      <c r="AF216" s="16">
        <f>IFERROR(__xludf.DUMMYFUNCTION("""COMPUTED_VALUE"""),0.0)</f>
        <v>0</v>
      </c>
      <c r="AG216" s="16">
        <f>IFERROR(__xludf.DUMMYFUNCTION("""COMPUTED_VALUE"""),0.0)</f>
        <v>0</v>
      </c>
      <c r="AH216" s="16">
        <f>IFERROR(__xludf.DUMMYFUNCTION("""COMPUTED_VALUE"""),0.0)</f>
        <v>0</v>
      </c>
    </row>
    <row r="217">
      <c r="A217" s="16" t="str">
        <f>IFERROR(__xludf.DUMMYFUNCTION("""COMPUTED_VALUE"""),"bb2f281964ff5fb7528074b3b2b73409bbf91d2a")</f>
        <v>bb2f281964ff5fb7528074b3b2b73409bbf91d2a</v>
      </c>
      <c r="B217" s="16" t="str">
        <f>IFERROR(__xludf.DUMMYFUNCTION("""COMPUTED_VALUE"""),"My Money Minting System")</f>
        <v>My Money Minting System</v>
      </c>
      <c r="C217" s="16" t="str">
        <f>IFERROR(__xludf.DUMMYFUNCTION("""COMPUTED_VALUE"""),"System and Superpower")</f>
        <v>System and Superpower</v>
      </c>
      <c r="D217" s="16">
        <f>IFERROR(__xludf.DUMMYFUNCTION("""COMPUTED_VALUE"""),676.0)</f>
        <v>676</v>
      </c>
      <c r="E217" s="16">
        <f>IFERROR(__xludf.DUMMYFUNCTION("""COMPUTED_VALUE"""),0.983727810650887)</f>
        <v>0.9837278107</v>
      </c>
      <c r="F217" s="16">
        <f>IFERROR(__xludf.DUMMYFUNCTION("""COMPUTED_VALUE"""),0.689349112426035)</f>
        <v>0.6893491124</v>
      </c>
      <c r="G217" s="16">
        <f>IFERROR(__xludf.DUMMYFUNCTION("""COMPUTED_VALUE"""),0.58074074074074)</f>
        <v>0.5807407407</v>
      </c>
      <c r="H217" s="16">
        <f>IFERROR(__xludf.DUMMYFUNCTION("""COMPUTED_VALUE"""),0.506666666666666)</f>
        <v>0.5066666667</v>
      </c>
      <c r="I217" s="16">
        <f>IFERROR(__xludf.DUMMYFUNCTION("""COMPUTED_VALUE"""),0.42074074074074)</f>
        <v>0.4207407407</v>
      </c>
      <c r="J217" s="16">
        <f>IFERROR(__xludf.DUMMYFUNCTION("""COMPUTED_VALUE"""),0.340298507462686)</f>
        <v>0.3402985075</v>
      </c>
      <c r="K217" s="16">
        <f>IFERROR(__xludf.DUMMYFUNCTION("""COMPUTED_VALUE"""),0.293233082706766)</f>
        <v>0.2932330827</v>
      </c>
      <c r="L217" s="16">
        <f>IFERROR(__xludf.DUMMYFUNCTION("""COMPUTED_VALUE"""),0.271604938271604)</f>
        <v>0.2716049383</v>
      </c>
      <c r="M217" s="16">
        <f>IFERROR(__xludf.DUMMYFUNCTION("""COMPUTED_VALUE"""),0.240986717267552)</f>
        <v>0.2409867173</v>
      </c>
      <c r="N217" s="16">
        <f>IFERROR(__xludf.DUMMYFUNCTION("""COMPUTED_VALUE"""),0.300940438871473)</f>
        <v>0.3009404389</v>
      </c>
      <c r="O217" s="16">
        <f>IFERROR(__xludf.DUMMYFUNCTION("""COMPUTED_VALUE"""),0.265060240963855)</f>
        <v>0.265060241</v>
      </c>
      <c r="P217" s="16">
        <f>IFERROR(__xludf.DUMMYFUNCTION("""COMPUTED_VALUE"""),0.139705882352941)</f>
        <v>0.1397058824</v>
      </c>
      <c r="Q217" s="16">
        <f>IFERROR(__xludf.DUMMYFUNCTION("""COMPUTED_VALUE"""),0.0759493670886076)</f>
        <v>0.07594936709</v>
      </c>
      <c r="R217" s="16">
        <f>IFERROR(__xludf.DUMMYFUNCTION("""COMPUTED_VALUE"""),0.0)</f>
        <v>0</v>
      </c>
      <c r="S217" s="16">
        <f>IFERROR(__xludf.DUMMYFUNCTION("""COMPUTED_VALUE"""),0.0)</f>
        <v>0</v>
      </c>
      <c r="T217" s="16">
        <f>IFERROR(__xludf.DUMMYFUNCTION("""COMPUTED_VALUE"""),0.0)</f>
        <v>0</v>
      </c>
      <c r="U217" s="16">
        <f>IFERROR(__xludf.DUMMYFUNCTION("""COMPUTED_VALUE"""),0.0)</f>
        <v>0</v>
      </c>
      <c r="V217" s="16">
        <f>IFERROR(__xludf.DUMMYFUNCTION("""COMPUTED_VALUE"""),0.0)</f>
        <v>0</v>
      </c>
      <c r="W217" s="16">
        <f>IFERROR(__xludf.DUMMYFUNCTION("""COMPUTED_VALUE"""),0.0)</f>
        <v>0</v>
      </c>
      <c r="X217" s="16">
        <f>IFERROR(__xludf.DUMMYFUNCTION("""COMPUTED_VALUE"""),0.0)</f>
        <v>0</v>
      </c>
      <c r="Y217" s="16">
        <f>IFERROR(__xludf.DUMMYFUNCTION("""COMPUTED_VALUE"""),0.0)</f>
        <v>0</v>
      </c>
      <c r="Z217" s="16">
        <f>IFERROR(__xludf.DUMMYFUNCTION("""COMPUTED_VALUE"""),0.0)</f>
        <v>0</v>
      </c>
      <c r="AA217" s="16">
        <f>IFERROR(__xludf.DUMMYFUNCTION("""COMPUTED_VALUE"""),0.0)</f>
        <v>0</v>
      </c>
      <c r="AB217" s="16">
        <f>IFERROR(__xludf.DUMMYFUNCTION("""COMPUTED_VALUE"""),0.0)</f>
        <v>0</v>
      </c>
      <c r="AC217" s="16">
        <f>IFERROR(__xludf.DUMMYFUNCTION("""COMPUTED_VALUE"""),0.0)</f>
        <v>0</v>
      </c>
      <c r="AD217" s="16">
        <f>IFERROR(__xludf.DUMMYFUNCTION("""COMPUTED_VALUE"""),0.0)</f>
        <v>0</v>
      </c>
      <c r="AE217" s="16">
        <f>IFERROR(__xludf.DUMMYFUNCTION("""COMPUTED_VALUE"""),0.0)</f>
        <v>0</v>
      </c>
      <c r="AF217" s="16">
        <f>IFERROR(__xludf.DUMMYFUNCTION("""COMPUTED_VALUE"""),0.0)</f>
        <v>0</v>
      </c>
      <c r="AG217" s="16">
        <f>IFERROR(__xludf.DUMMYFUNCTION("""COMPUTED_VALUE"""),0.0)</f>
        <v>0</v>
      </c>
      <c r="AH217" s="16">
        <f>IFERROR(__xludf.DUMMYFUNCTION("""COMPUTED_VALUE"""),0.0)</f>
        <v>0</v>
      </c>
    </row>
    <row r="218">
      <c r="A218" s="16" t="str">
        <f>IFERROR(__xludf.DUMMYFUNCTION("""COMPUTED_VALUE"""),"bb8bdc13e3c19f2845f457b91284273ad6ddf8f2")</f>
        <v>bb8bdc13e3c19f2845f457b91284273ad6ddf8f2</v>
      </c>
      <c r="B218" s="16" t="str">
        <f>IFERROR(__xludf.DUMMYFUNCTION("""COMPUTED_VALUE"""),"His Four Little Rascals")</f>
        <v>His Four Little Rascals</v>
      </c>
      <c r="C218" s="16" t="str">
        <f>IFERROR(__xludf.DUMMYFUNCTION("""COMPUTED_VALUE"""),"Romance")</f>
        <v>Romance</v>
      </c>
      <c r="D218" s="16">
        <f>IFERROR(__xludf.DUMMYFUNCTION("""COMPUTED_VALUE"""),666.0)</f>
        <v>666</v>
      </c>
      <c r="E218" s="16">
        <f>IFERROR(__xludf.DUMMYFUNCTION("""COMPUTED_VALUE"""),0.957957957957957)</f>
        <v>0.957957958</v>
      </c>
      <c r="F218" s="16">
        <f>IFERROR(__xludf.DUMMYFUNCTION("""COMPUTED_VALUE"""),0.683183183183183)</f>
        <v>0.6831831832</v>
      </c>
      <c r="G218" s="16">
        <f>IFERROR(__xludf.DUMMYFUNCTION("""COMPUTED_VALUE"""),0.575075075075075)</f>
        <v>0.5750750751</v>
      </c>
      <c r="H218" s="16">
        <f>IFERROR(__xludf.DUMMYFUNCTION("""COMPUTED_VALUE"""),0.557057057057057)</f>
        <v>0.5570570571</v>
      </c>
      <c r="I218" s="16">
        <f>IFERROR(__xludf.DUMMYFUNCTION("""COMPUTED_VALUE"""),0.537537537537537)</f>
        <v>0.5375375375</v>
      </c>
      <c r="J218" s="16">
        <f>IFERROR(__xludf.DUMMYFUNCTION("""COMPUTED_VALUE"""),0.519519519519519)</f>
        <v>0.5195195195</v>
      </c>
      <c r="K218" s="16">
        <f>IFERROR(__xludf.DUMMYFUNCTION("""COMPUTED_VALUE"""),0.507507507507507)</f>
        <v>0.5075075075</v>
      </c>
      <c r="L218" s="16">
        <f>IFERROR(__xludf.DUMMYFUNCTION("""COMPUTED_VALUE"""),0.51578947368421)</f>
        <v>0.5157894737</v>
      </c>
      <c r="M218" s="16">
        <f>IFERROR(__xludf.DUMMYFUNCTION("""COMPUTED_VALUE"""),0.497744360902255)</f>
        <v>0.4977443609</v>
      </c>
      <c r="N218" s="16">
        <f>IFERROR(__xludf.DUMMYFUNCTION("""COMPUTED_VALUE"""),0.494736842105263)</f>
        <v>0.4947368421</v>
      </c>
      <c r="O218" s="16">
        <f>IFERROR(__xludf.DUMMYFUNCTION("""COMPUTED_VALUE"""),0.46766917293233)</f>
        <v>0.4676691729</v>
      </c>
      <c r="P218" s="16">
        <f>IFERROR(__xludf.DUMMYFUNCTION("""COMPUTED_VALUE"""),0.382753403933434)</f>
        <v>0.3827534039</v>
      </c>
      <c r="Q218" s="16">
        <f>IFERROR(__xludf.DUMMYFUNCTION("""COMPUTED_VALUE"""),0.314024390243902)</f>
        <v>0.3140243902</v>
      </c>
      <c r="R218" s="16">
        <f>IFERROR(__xludf.DUMMYFUNCTION("""COMPUTED_VALUE"""),0.239234449760765)</f>
        <v>0.2392344498</v>
      </c>
      <c r="S218" s="16">
        <f>IFERROR(__xludf.DUMMYFUNCTION("""COMPUTED_VALUE"""),0.201581027667984)</f>
        <v>0.2015810277</v>
      </c>
      <c r="T218" s="16">
        <f>IFERROR(__xludf.DUMMYFUNCTION("""COMPUTED_VALUE"""),0.173302107728337)</f>
        <v>0.1733021077</v>
      </c>
      <c r="U218" s="16">
        <f>IFERROR(__xludf.DUMMYFUNCTION("""COMPUTED_VALUE"""),0.134831460674157)</f>
        <v>0.1348314607</v>
      </c>
      <c r="V218" s="16">
        <f>IFERROR(__xludf.DUMMYFUNCTION("""COMPUTED_VALUE"""),0.0725806451612903)</f>
        <v>0.07258064516</v>
      </c>
      <c r="W218" s="16">
        <f>IFERROR(__xludf.DUMMYFUNCTION("""COMPUTED_VALUE"""),0.0673076923076923)</f>
        <v>0.06730769231</v>
      </c>
      <c r="X218" s="16">
        <f>IFERROR(__xludf.DUMMYFUNCTION("""COMPUTED_VALUE"""),0.075)</f>
        <v>0.075</v>
      </c>
      <c r="Y218" s="16">
        <f>IFERROR(__xludf.DUMMYFUNCTION("""COMPUTED_VALUE"""),0.0833333333333333)</f>
        <v>0.08333333333</v>
      </c>
      <c r="Z218" s="16">
        <f>IFERROR(__xludf.DUMMYFUNCTION("""COMPUTED_VALUE"""),0.06)</f>
        <v>0.06</v>
      </c>
      <c r="AA218" s="16">
        <f>IFERROR(__xludf.DUMMYFUNCTION("""COMPUTED_VALUE"""),0.0384615384615384)</f>
        <v>0.03846153846</v>
      </c>
      <c r="AB218" s="16">
        <f>IFERROR(__xludf.DUMMYFUNCTION("""COMPUTED_VALUE"""),0.0909090909090909)</f>
        <v>0.09090909091</v>
      </c>
      <c r="AC218" s="16">
        <f>IFERROR(__xludf.DUMMYFUNCTION("""COMPUTED_VALUE"""),0.0)</f>
        <v>0</v>
      </c>
      <c r="AD218" s="16">
        <f>IFERROR(__xludf.DUMMYFUNCTION("""COMPUTED_VALUE"""),0.0)</f>
        <v>0</v>
      </c>
      <c r="AE218" s="16">
        <f>IFERROR(__xludf.DUMMYFUNCTION("""COMPUTED_VALUE"""),0.0)</f>
        <v>0</v>
      </c>
      <c r="AF218" s="16">
        <f>IFERROR(__xludf.DUMMYFUNCTION("""COMPUTED_VALUE"""),0.0)</f>
        <v>0</v>
      </c>
      <c r="AG218" s="16">
        <f>IFERROR(__xludf.DUMMYFUNCTION("""COMPUTED_VALUE"""),0.0)</f>
        <v>0</v>
      </c>
      <c r="AH218" s="16">
        <f>IFERROR(__xludf.DUMMYFUNCTION("""COMPUTED_VALUE"""),0.0)</f>
        <v>0</v>
      </c>
    </row>
    <row r="219">
      <c r="A219" s="16" t="str">
        <f>IFERROR(__xludf.DUMMYFUNCTION("""COMPUTED_VALUE"""),"bbaf98e4e43fc8963698d00c4a338957fb765b85")</f>
        <v>bbaf98e4e43fc8963698d00c4a338957fb765b85</v>
      </c>
      <c r="B219" s="16" t="str">
        <f>IFERROR(__xludf.DUMMYFUNCTION("""COMPUTED_VALUE"""),"Artifact Spirit System")</f>
        <v>Artifact Spirit System</v>
      </c>
      <c r="C219" s="16" t="str">
        <f>IFERROR(__xludf.DUMMYFUNCTION("""COMPUTED_VALUE"""),"System and Superpower")</f>
        <v>System and Superpower</v>
      </c>
      <c r="D219" s="16">
        <f>IFERROR(__xludf.DUMMYFUNCTION("""COMPUTED_VALUE"""),2949.0)</f>
        <v>2949</v>
      </c>
      <c r="E219" s="16">
        <f>IFERROR(__xludf.DUMMYFUNCTION("""COMPUTED_VALUE"""),0.975924042048151)</f>
        <v>0.975924042</v>
      </c>
      <c r="F219" s="16">
        <f>IFERROR(__xludf.DUMMYFUNCTION("""COMPUTED_VALUE"""),0.655815530688369)</f>
        <v>0.6558155307</v>
      </c>
      <c r="G219" s="16">
        <f>IFERROR(__xludf.DUMMYFUNCTION("""COMPUTED_VALUE"""),0.576127500847745)</f>
        <v>0.5761275008</v>
      </c>
      <c r="H219" s="16">
        <f>IFERROR(__xludf.DUMMYFUNCTION("""COMPUTED_VALUE"""),0.531366564937266)</f>
        <v>0.5313665649</v>
      </c>
      <c r="I219" s="16">
        <f>IFERROR(__xludf.DUMMYFUNCTION("""COMPUTED_VALUE"""),0.497456765005086)</f>
        <v>0.497456765</v>
      </c>
      <c r="J219" s="16">
        <f>IFERROR(__xludf.DUMMYFUNCTION("""COMPUTED_VALUE"""),0.472260273972602)</f>
        <v>0.472260274</v>
      </c>
      <c r="K219" s="16">
        <f>IFERROR(__xludf.DUMMYFUNCTION("""COMPUTED_VALUE"""),0.451724137931034)</f>
        <v>0.4517241379</v>
      </c>
      <c r="L219" s="16">
        <f>IFERROR(__xludf.DUMMYFUNCTION("""COMPUTED_VALUE"""),0.432215234102026)</f>
        <v>0.4322152341</v>
      </c>
      <c r="M219" s="16">
        <f>IFERROR(__xludf.DUMMYFUNCTION("""COMPUTED_VALUE"""),0.417164966584593)</f>
        <v>0.4171649666</v>
      </c>
      <c r="N219" s="16">
        <f>IFERROR(__xludf.DUMMYFUNCTION("""COMPUTED_VALUE"""),0.403185840707964)</f>
        <v>0.4031858407</v>
      </c>
      <c r="O219" s="16">
        <f>IFERROR(__xludf.DUMMYFUNCTION("""COMPUTED_VALUE"""),0.354091238233164)</f>
        <v>0.3540912382</v>
      </c>
      <c r="P219" s="16">
        <f>IFERROR(__xludf.DUMMYFUNCTION("""COMPUTED_VALUE"""),0.315226337448559)</f>
        <v>0.3152263374</v>
      </c>
      <c r="Q219" s="16">
        <f>IFERROR(__xludf.DUMMYFUNCTION("""COMPUTED_VALUE"""),0.219619326500732)</f>
        <v>0.2196193265</v>
      </c>
      <c r="R219" s="16">
        <f>IFERROR(__xludf.DUMMYFUNCTION("""COMPUTED_VALUE"""),0.149700598802395)</f>
        <v>0.1497005988</v>
      </c>
      <c r="S219" s="16">
        <f>IFERROR(__xludf.DUMMYFUNCTION("""COMPUTED_VALUE"""),0.272727272727272)</f>
        <v>0.2727272727</v>
      </c>
      <c r="T219" s="16">
        <f>IFERROR(__xludf.DUMMYFUNCTION("""COMPUTED_VALUE"""),0.0)</f>
        <v>0</v>
      </c>
      <c r="U219" s="16">
        <f>IFERROR(__xludf.DUMMYFUNCTION("""COMPUTED_VALUE"""),0.0)</f>
        <v>0</v>
      </c>
      <c r="V219" s="16">
        <f>IFERROR(__xludf.DUMMYFUNCTION("""COMPUTED_VALUE"""),0.0)</f>
        <v>0</v>
      </c>
      <c r="W219" s="16">
        <f>IFERROR(__xludf.DUMMYFUNCTION("""COMPUTED_VALUE"""),0.0)</f>
        <v>0</v>
      </c>
      <c r="X219" s="16">
        <f>IFERROR(__xludf.DUMMYFUNCTION("""COMPUTED_VALUE"""),0.0)</f>
        <v>0</v>
      </c>
      <c r="Y219" s="16">
        <f>IFERROR(__xludf.DUMMYFUNCTION("""COMPUTED_VALUE"""),0.0)</f>
        <v>0</v>
      </c>
      <c r="Z219" s="16">
        <f>IFERROR(__xludf.DUMMYFUNCTION("""COMPUTED_VALUE"""),0.0)</f>
        <v>0</v>
      </c>
      <c r="AA219" s="16">
        <f>IFERROR(__xludf.DUMMYFUNCTION("""COMPUTED_VALUE"""),0.0)</f>
        <v>0</v>
      </c>
      <c r="AB219" s="16">
        <f>IFERROR(__xludf.DUMMYFUNCTION("""COMPUTED_VALUE"""),0.0)</f>
        <v>0</v>
      </c>
      <c r="AC219" s="16">
        <f>IFERROR(__xludf.DUMMYFUNCTION("""COMPUTED_VALUE"""),0.0)</f>
        <v>0</v>
      </c>
      <c r="AD219" s="16">
        <f>IFERROR(__xludf.DUMMYFUNCTION("""COMPUTED_VALUE"""),0.0)</f>
        <v>0</v>
      </c>
      <c r="AE219" s="16">
        <f>IFERROR(__xludf.DUMMYFUNCTION("""COMPUTED_VALUE"""),0.0)</f>
        <v>0</v>
      </c>
      <c r="AF219" s="16">
        <f>IFERROR(__xludf.DUMMYFUNCTION("""COMPUTED_VALUE"""),0.0)</f>
        <v>0</v>
      </c>
      <c r="AG219" s="16">
        <f>IFERROR(__xludf.DUMMYFUNCTION("""COMPUTED_VALUE"""),0.0)</f>
        <v>0</v>
      </c>
      <c r="AH219" s="16">
        <f>IFERROR(__xludf.DUMMYFUNCTION("""COMPUTED_VALUE"""),0.0)</f>
        <v>0</v>
      </c>
    </row>
    <row r="220">
      <c r="A220" s="16" t="str">
        <f>IFERROR(__xludf.DUMMYFUNCTION("""COMPUTED_VALUE"""),"be6caef02859b458c7e726aab639c65f41c8e1be")</f>
        <v>be6caef02859b458c7e726aab639c65f41c8e1be</v>
      </c>
      <c r="B220" s="16" t="str">
        <f>IFERROR(__xludf.DUMMYFUNCTION("""COMPUTED_VALUE"""),"Natural Godly Martial Art")</f>
        <v>Natural Godly Martial Art</v>
      </c>
      <c r="C220" s="16" t="str">
        <f>IFERROR(__xludf.DUMMYFUNCTION("""COMPUTED_VALUE"""),"Fantasy")</f>
        <v>Fantasy</v>
      </c>
      <c r="D220" s="16">
        <f>IFERROR(__xludf.DUMMYFUNCTION("""COMPUTED_VALUE"""),502.0)</f>
        <v>502</v>
      </c>
      <c r="E220" s="16">
        <f>IFERROR(__xludf.DUMMYFUNCTION("""COMPUTED_VALUE"""),0.98804780876494)</f>
        <v>0.9880478088</v>
      </c>
      <c r="F220" s="16">
        <f>IFERROR(__xludf.DUMMYFUNCTION("""COMPUTED_VALUE"""),0.571713147410358)</f>
        <v>0.5717131474</v>
      </c>
      <c r="G220" s="16">
        <f>IFERROR(__xludf.DUMMYFUNCTION("""COMPUTED_VALUE"""),0.515936254980079)</f>
        <v>0.515936255</v>
      </c>
      <c r="H220" s="16">
        <f>IFERROR(__xludf.DUMMYFUNCTION("""COMPUTED_VALUE"""),0.414342629482071)</f>
        <v>0.4143426295</v>
      </c>
      <c r="I220" s="16">
        <f>IFERROR(__xludf.DUMMYFUNCTION("""COMPUTED_VALUE"""),0.382470119521912)</f>
        <v>0.3824701195</v>
      </c>
      <c r="J220" s="16">
        <f>IFERROR(__xludf.DUMMYFUNCTION("""COMPUTED_VALUE"""),0.352)</f>
        <v>0.352</v>
      </c>
      <c r="K220" s="16">
        <f>IFERROR(__xludf.DUMMYFUNCTION("""COMPUTED_VALUE"""),0.335341365461847)</f>
        <v>0.3353413655</v>
      </c>
      <c r="L220" s="16">
        <f>IFERROR(__xludf.DUMMYFUNCTION("""COMPUTED_VALUE"""),0.31340206185567)</f>
        <v>0.3134020619</v>
      </c>
      <c r="M220" s="16">
        <f>IFERROR(__xludf.DUMMYFUNCTION("""COMPUTED_VALUE"""),0.292473118279569)</f>
        <v>0.2924731183</v>
      </c>
      <c r="N220" s="16">
        <f>IFERROR(__xludf.DUMMYFUNCTION("""COMPUTED_VALUE"""),0.264775413711583)</f>
        <v>0.2647754137</v>
      </c>
      <c r="O220" s="16">
        <f>IFERROR(__xludf.DUMMYFUNCTION("""COMPUTED_VALUE"""),0.197841726618705)</f>
        <v>0.1978417266</v>
      </c>
      <c r="P220" s="16">
        <f>IFERROR(__xludf.DUMMYFUNCTION("""COMPUTED_VALUE"""),0.372093023255813)</f>
        <v>0.3720930233</v>
      </c>
      <c r="Q220" s="16">
        <f>IFERROR(__xludf.DUMMYFUNCTION("""COMPUTED_VALUE"""),0.333333333333333)</f>
        <v>0.3333333333</v>
      </c>
      <c r="R220" s="16">
        <f>IFERROR(__xludf.DUMMYFUNCTION("""COMPUTED_VALUE"""),0.0)</f>
        <v>0</v>
      </c>
      <c r="S220" s="16">
        <f>IFERROR(__xludf.DUMMYFUNCTION("""COMPUTED_VALUE"""),0.0)</f>
        <v>0</v>
      </c>
      <c r="T220" s="16">
        <f>IFERROR(__xludf.DUMMYFUNCTION("""COMPUTED_VALUE"""),0.0)</f>
        <v>0</v>
      </c>
      <c r="U220" s="16">
        <f>IFERROR(__xludf.DUMMYFUNCTION("""COMPUTED_VALUE"""),0.0)</f>
        <v>0</v>
      </c>
      <c r="V220" s="16">
        <f>IFERROR(__xludf.DUMMYFUNCTION("""COMPUTED_VALUE"""),0.0)</f>
        <v>0</v>
      </c>
      <c r="W220" s="16">
        <f>IFERROR(__xludf.DUMMYFUNCTION("""COMPUTED_VALUE"""),0.0)</f>
        <v>0</v>
      </c>
      <c r="X220" s="16">
        <f>IFERROR(__xludf.DUMMYFUNCTION("""COMPUTED_VALUE"""),0.0)</f>
        <v>0</v>
      </c>
      <c r="Y220" s="16">
        <f>IFERROR(__xludf.DUMMYFUNCTION("""COMPUTED_VALUE"""),0.0)</f>
        <v>0</v>
      </c>
      <c r="Z220" s="16">
        <f>IFERROR(__xludf.DUMMYFUNCTION("""COMPUTED_VALUE"""),0.0)</f>
        <v>0</v>
      </c>
      <c r="AA220" s="16">
        <f>IFERROR(__xludf.DUMMYFUNCTION("""COMPUTED_VALUE"""),0.0)</f>
        <v>0</v>
      </c>
      <c r="AB220" s="16">
        <f>IFERROR(__xludf.DUMMYFUNCTION("""COMPUTED_VALUE"""),0.0)</f>
        <v>0</v>
      </c>
      <c r="AC220" s="16">
        <f>IFERROR(__xludf.DUMMYFUNCTION("""COMPUTED_VALUE"""),0.0)</f>
        <v>0</v>
      </c>
      <c r="AD220" s="16">
        <f>IFERROR(__xludf.DUMMYFUNCTION("""COMPUTED_VALUE"""),0.0)</f>
        <v>0</v>
      </c>
      <c r="AE220" s="16">
        <f>IFERROR(__xludf.DUMMYFUNCTION("""COMPUTED_VALUE"""),0.0)</f>
        <v>0</v>
      </c>
      <c r="AF220" s="16">
        <f>IFERROR(__xludf.DUMMYFUNCTION("""COMPUTED_VALUE"""),0.0)</f>
        <v>0</v>
      </c>
      <c r="AG220" s="16">
        <f>IFERROR(__xludf.DUMMYFUNCTION("""COMPUTED_VALUE"""),0.0)</f>
        <v>0</v>
      </c>
      <c r="AH220" s="16">
        <f>IFERROR(__xludf.DUMMYFUNCTION("""COMPUTED_VALUE"""),0.0)</f>
        <v>0</v>
      </c>
    </row>
    <row r="221">
      <c r="A221" s="16" t="str">
        <f>IFERROR(__xludf.DUMMYFUNCTION("""COMPUTED_VALUE"""),"bf3632f1f9e1f3a7b864a989bb8f495a629a43cb")</f>
        <v>bf3632f1f9e1f3a7b864a989bb8f495a629a43cb</v>
      </c>
      <c r="B221" s="16" t="str">
        <f>IFERROR(__xludf.DUMMYFUNCTION("""COMPUTED_VALUE"""),"Her Secret Twins")</f>
        <v>Her Secret Twins</v>
      </c>
      <c r="C221" s="16" t="str">
        <f>IFERROR(__xludf.DUMMYFUNCTION("""COMPUTED_VALUE"""),"Romance")</f>
        <v>Romance</v>
      </c>
      <c r="D221" s="16">
        <f>IFERROR(__xludf.DUMMYFUNCTION("""COMPUTED_VALUE"""),293.0)</f>
        <v>293</v>
      </c>
      <c r="E221" s="16">
        <f>IFERROR(__xludf.DUMMYFUNCTION("""COMPUTED_VALUE"""),0.948805460750853)</f>
        <v>0.9488054608</v>
      </c>
      <c r="F221" s="16">
        <f>IFERROR(__xludf.DUMMYFUNCTION("""COMPUTED_VALUE"""),0.774744027303754)</f>
        <v>0.7747440273</v>
      </c>
      <c r="G221" s="16">
        <f>IFERROR(__xludf.DUMMYFUNCTION("""COMPUTED_VALUE"""),0.706484641638225)</f>
        <v>0.7064846416</v>
      </c>
      <c r="H221" s="16">
        <f>IFERROR(__xludf.DUMMYFUNCTION("""COMPUTED_VALUE"""),0.679180887372013)</f>
        <v>0.6791808874</v>
      </c>
      <c r="I221" s="16">
        <f>IFERROR(__xludf.DUMMYFUNCTION("""COMPUTED_VALUE"""),0.68259385665529)</f>
        <v>0.6825938567</v>
      </c>
      <c r="J221" s="16">
        <f>IFERROR(__xludf.DUMMYFUNCTION("""COMPUTED_VALUE"""),0.668941979522184)</f>
        <v>0.6689419795</v>
      </c>
      <c r="K221" s="16">
        <f>IFERROR(__xludf.DUMMYFUNCTION("""COMPUTED_VALUE"""),0.614334470989761)</f>
        <v>0.614334471</v>
      </c>
      <c r="L221" s="16">
        <f>IFERROR(__xludf.DUMMYFUNCTION("""COMPUTED_VALUE"""),0.604095563139931)</f>
        <v>0.6040955631</v>
      </c>
      <c r="M221" s="16">
        <f>IFERROR(__xludf.DUMMYFUNCTION("""COMPUTED_VALUE"""),0.607508532423208)</f>
        <v>0.6075085324</v>
      </c>
      <c r="N221" s="16">
        <f>IFERROR(__xludf.DUMMYFUNCTION("""COMPUTED_VALUE"""),0.600682593856655)</f>
        <v>0.6006825939</v>
      </c>
      <c r="O221" s="16">
        <f>IFERROR(__xludf.DUMMYFUNCTION("""COMPUTED_VALUE"""),0.539249146757679)</f>
        <v>0.5392491468</v>
      </c>
      <c r="P221" s="16">
        <f>IFERROR(__xludf.DUMMYFUNCTION("""COMPUTED_VALUE"""),0.491408934707903)</f>
        <v>0.4914089347</v>
      </c>
      <c r="Q221" s="16">
        <f>IFERROR(__xludf.DUMMYFUNCTION("""COMPUTED_VALUE"""),0.369337979094076)</f>
        <v>0.3693379791</v>
      </c>
      <c r="R221" s="16">
        <f>IFERROR(__xludf.DUMMYFUNCTION("""COMPUTED_VALUE"""),0.33076923076923)</f>
        <v>0.3307692308</v>
      </c>
      <c r="S221" s="16">
        <f>IFERROR(__xludf.DUMMYFUNCTION("""COMPUTED_VALUE"""),0.238461538461538)</f>
        <v>0.2384615385</v>
      </c>
      <c r="T221" s="16">
        <f>IFERROR(__xludf.DUMMYFUNCTION("""COMPUTED_VALUE"""),0.149253731343283)</f>
        <v>0.1492537313</v>
      </c>
      <c r="U221" s="16">
        <f>IFERROR(__xludf.DUMMYFUNCTION("""COMPUTED_VALUE"""),0.0930232558139534)</f>
        <v>0.09302325581</v>
      </c>
      <c r="V221" s="16">
        <f>IFERROR(__xludf.DUMMYFUNCTION("""COMPUTED_VALUE"""),0.0789473684210526)</f>
        <v>0.07894736842</v>
      </c>
      <c r="W221" s="16">
        <f>IFERROR(__xludf.DUMMYFUNCTION("""COMPUTED_VALUE"""),0.0588235294117647)</f>
        <v>0.05882352941</v>
      </c>
      <c r="X221" s="16">
        <f>IFERROR(__xludf.DUMMYFUNCTION("""COMPUTED_VALUE"""),0.0689655172413793)</f>
        <v>0.06896551724</v>
      </c>
      <c r="Y221" s="16">
        <f>IFERROR(__xludf.DUMMYFUNCTION("""COMPUTED_VALUE"""),0.0769230769230769)</f>
        <v>0.07692307692</v>
      </c>
      <c r="Z221" s="16">
        <f>IFERROR(__xludf.DUMMYFUNCTION("""COMPUTED_VALUE"""),0.0)</f>
        <v>0</v>
      </c>
      <c r="AA221" s="16">
        <f>IFERROR(__xludf.DUMMYFUNCTION("""COMPUTED_VALUE"""),0.0)</f>
        <v>0</v>
      </c>
      <c r="AB221" s="16">
        <f>IFERROR(__xludf.DUMMYFUNCTION("""COMPUTED_VALUE"""),0.0)</f>
        <v>0</v>
      </c>
      <c r="AC221" s="16">
        <f>IFERROR(__xludf.DUMMYFUNCTION("""COMPUTED_VALUE"""),0.0)</f>
        <v>0</v>
      </c>
      <c r="AD221" s="16">
        <f>IFERROR(__xludf.DUMMYFUNCTION("""COMPUTED_VALUE"""),0.0)</f>
        <v>0</v>
      </c>
      <c r="AE221" s="16">
        <f>IFERROR(__xludf.DUMMYFUNCTION("""COMPUTED_VALUE"""),0.0)</f>
        <v>0</v>
      </c>
      <c r="AF221" s="16">
        <f>IFERROR(__xludf.DUMMYFUNCTION("""COMPUTED_VALUE"""),0.0)</f>
        <v>0</v>
      </c>
      <c r="AG221" s="16">
        <f>IFERROR(__xludf.DUMMYFUNCTION("""COMPUTED_VALUE"""),0.0)</f>
        <v>0</v>
      </c>
      <c r="AH221" s="16">
        <f>IFERROR(__xludf.DUMMYFUNCTION("""COMPUTED_VALUE"""),0.0)</f>
        <v>0</v>
      </c>
    </row>
    <row r="222">
      <c r="A222" s="16" t="str">
        <f>IFERROR(__xludf.DUMMYFUNCTION("""COMPUTED_VALUE"""),"c04c6d5eb020135b9855b7b2290092294bd33d99")</f>
        <v>c04c6d5eb020135b9855b7b2290092294bd33d99</v>
      </c>
      <c r="B222" s="16" t="str">
        <f>IFERROR(__xludf.DUMMYFUNCTION("""COMPUTED_VALUE"""),"My Crimson Bite")</f>
        <v>My Crimson Bite</v>
      </c>
      <c r="C222" s="16" t="str">
        <f>IFERROR(__xludf.DUMMYFUNCTION("""COMPUTED_VALUE"""),"Romantasy")</f>
        <v>Romantasy</v>
      </c>
      <c r="D222" s="16">
        <f>IFERROR(__xludf.DUMMYFUNCTION("""COMPUTED_VALUE"""),40.0)</f>
        <v>40</v>
      </c>
      <c r="E222" s="16">
        <f>IFERROR(__xludf.DUMMYFUNCTION("""COMPUTED_VALUE"""),1.0)</f>
        <v>1</v>
      </c>
      <c r="F222" s="16">
        <f>IFERROR(__xludf.DUMMYFUNCTION("""COMPUTED_VALUE"""),0.525)</f>
        <v>0.525</v>
      </c>
      <c r="G222" s="16">
        <f>IFERROR(__xludf.DUMMYFUNCTION("""COMPUTED_VALUE"""),0.475)</f>
        <v>0.475</v>
      </c>
      <c r="H222" s="16">
        <f>IFERROR(__xludf.DUMMYFUNCTION("""COMPUTED_VALUE"""),0.425)</f>
        <v>0.425</v>
      </c>
      <c r="I222" s="16">
        <f>IFERROR(__xludf.DUMMYFUNCTION("""COMPUTED_VALUE"""),0.4)</f>
        <v>0.4</v>
      </c>
      <c r="J222" s="16">
        <f>IFERROR(__xludf.DUMMYFUNCTION("""COMPUTED_VALUE"""),0.384615384615384)</f>
        <v>0.3846153846</v>
      </c>
      <c r="K222" s="16">
        <f>IFERROR(__xludf.DUMMYFUNCTION("""COMPUTED_VALUE"""),0.368421052631578)</f>
        <v>0.3684210526</v>
      </c>
      <c r="L222" s="16">
        <f>IFERROR(__xludf.DUMMYFUNCTION("""COMPUTED_VALUE"""),0.368421052631578)</f>
        <v>0.3684210526</v>
      </c>
      <c r="M222" s="16">
        <f>IFERROR(__xludf.DUMMYFUNCTION("""COMPUTED_VALUE"""),0.351351351351351)</f>
        <v>0.3513513514</v>
      </c>
      <c r="N222" s="16">
        <f>IFERROR(__xludf.DUMMYFUNCTION("""COMPUTED_VALUE"""),0.333333333333333)</f>
        <v>0.3333333333</v>
      </c>
      <c r="O222" s="16">
        <f>IFERROR(__xludf.DUMMYFUNCTION("""COMPUTED_VALUE"""),0.384615384615384)</f>
        <v>0.3846153846</v>
      </c>
      <c r="P222" s="16">
        <f>IFERROR(__xludf.DUMMYFUNCTION("""COMPUTED_VALUE"""),0.272727272727272)</f>
        <v>0.2727272727</v>
      </c>
      <c r="Q222" s="16">
        <f>IFERROR(__xludf.DUMMYFUNCTION("""COMPUTED_VALUE"""),0.0)</f>
        <v>0</v>
      </c>
      <c r="R222" s="16">
        <f>IFERROR(__xludf.DUMMYFUNCTION("""COMPUTED_VALUE"""),0.0)</f>
        <v>0</v>
      </c>
      <c r="S222" s="16">
        <f>IFERROR(__xludf.DUMMYFUNCTION("""COMPUTED_VALUE"""),0.0)</f>
        <v>0</v>
      </c>
      <c r="T222" s="16">
        <f>IFERROR(__xludf.DUMMYFUNCTION("""COMPUTED_VALUE"""),0.0)</f>
        <v>0</v>
      </c>
      <c r="U222" s="16">
        <f>IFERROR(__xludf.DUMMYFUNCTION("""COMPUTED_VALUE"""),0.0)</f>
        <v>0</v>
      </c>
      <c r="V222" s="16">
        <f>IFERROR(__xludf.DUMMYFUNCTION("""COMPUTED_VALUE"""),0.0)</f>
        <v>0</v>
      </c>
      <c r="W222" s="16">
        <f>IFERROR(__xludf.DUMMYFUNCTION("""COMPUTED_VALUE"""),0.0)</f>
        <v>0</v>
      </c>
      <c r="X222" s="16">
        <f>IFERROR(__xludf.DUMMYFUNCTION("""COMPUTED_VALUE"""),0.0)</f>
        <v>0</v>
      </c>
      <c r="Y222" s="16">
        <f>IFERROR(__xludf.DUMMYFUNCTION("""COMPUTED_VALUE"""),0.0)</f>
        <v>0</v>
      </c>
      <c r="Z222" s="16">
        <f>IFERROR(__xludf.DUMMYFUNCTION("""COMPUTED_VALUE"""),0.0)</f>
        <v>0</v>
      </c>
      <c r="AA222" s="16">
        <f>IFERROR(__xludf.DUMMYFUNCTION("""COMPUTED_VALUE"""),0.0)</f>
        <v>0</v>
      </c>
      <c r="AB222" s="16">
        <f>IFERROR(__xludf.DUMMYFUNCTION("""COMPUTED_VALUE"""),0.0)</f>
        <v>0</v>
      </c>
      <c r="AC222" s="16">
        <f>IFERROR(__xludf.DUMMYFUNCTION("""COMPUTED_VALUE"""),0.0)</f>
        <v>0</v>
      </c>
      <c r="AD222" s="16">
        <f>IFERROR(__xludf.DUMMYFUNCTION("""COMPUTED_VALUE"""),0.0)</f>
        <v>0</v>
      </c>
      <c r="AE222" s="16">
        <f>IFERROR(__xludf.DUMMYFUNCTION("""COMPUTED_VALUE"""),0.0)</f>
        <v>0</v>
      </c>
      <c r="AF222" s="16">
        <f>IFERROR(__xludf.DUMMYFUNCTION("""COMPUTED_VALUE"""),0.0)</f>
        <v>0</v>
      </c>
      <c r="AG222" s="16">
        <f>IFERROR(__xludf.DUMMYFUNCTION("""COMPUTED_VALUE"""),0.0)</f>
        <v>0</v>
      </c>
      <c r="AH222" s="16">
        <f>IFERROR(__xludf.DUMMYFUNCTION("""COMPUTED_VALUE"""),0.0)</f>
        <v>0</v>
      </c>
    </row>
    <row r="223">
      <c r="A223" s="16" t="str">
        <f>IFERROR(__xludf.DUMMYFUNCTION("""COMPUTED_VALUE"""),"c2045ffb46d0538ca44af5ee011be0b36e81c395")</f>
        <v>c2045ffb46d0538ca44af5ee011be0b36e81c395</v>
      </c>
      <c r="B223" s="16" t="str">
        <f>IFERROR(__xludf.DUMMYFUNCTION("""COMPUTED_VALUE"""),"A Marriage of Ashes")</f>
        <v>A Marriage of Ashes</v>
      </c>
      <c r="C223" s="16" t="str">
        <f>IFERROR(__xludf.DUMMYFUNCTION("""COMPUTED_VALUE"""),"Romance")</f>
        <v>Romance</v>
      </c>
      <c r="D223" s="16">
        <f>IFERROR(__xludf.DUMMYFUNCTION("""COMPUTED_VALUE"""),52.0)</f>
        <v>52</v>
      </c>
      <c r="E223" s="16">
        <f>IFERROR(__xludf.DUMMYFUNCTION("""COMPUTED_VALUE"""),1.0)</f>
        <v>1</v>
      </c>
      <c r="F223" s="16">
        <f>IFERROR(__xludf.DUMMYFUNCTION("""COMPUTED_VALUE"""),0.192307692307692)</f>
        <v>0.1923076923</v>
      </c>
      <c r="G223" s="16">
        <f>IFERROR(__xludf.DUMMYFUNCTION("""COMPUTED_VALUE"""),0.134615384615384)</f>
        <v>0.1346153846</v>
      </c>
      <c r="H223" s="16">
        <f>IFERROR(__xludf.DUMMYFUNCTION("""COMPUTED_VALUE"""),0.0769230769230769)</f>
        <v>0.07692307692</v>
      </c>
      <c r="I223" s="16">
        <f>IFERROR(__xludf.DUMMYFUNCTION("""COMPUTED_VALUE"""),0.0576923076923076)</f>
        <v>0.05769230769</v>
      </c>
      <c r="J223" s="16">
        <f>IFERROR(__xludf.DUMMYFUNCTION("""COMPUTED_VALUE"""),0.0192307692307692)</f>
        <v>0.01923076923</v>
      </c>
      <c r="K223" s="16">
        <f>IFERROR(__xludf.DUMMYFUNCTION("""COMPUTED_VALUE"""),0.0)</f>
        <v>0</v>
      </c>
      <c r="L223" s="16">
        <f>IFERROR(__xludf.DUMMYFUNCTION("""COMPUTED_VALUE"""),0.0)</f>
        <v>0</v>
      </c>
      <c r="M223" s="16">
        <f>IFERROR(__xludf.DUMMYFUNCTION("""COMPUTED_VALUE"""),0.0)</f>
        <v>0</v>
      </c>
      <c r="N223" s="16">
        <f>IFERROR(__xludf.DUMMYFUNCTION("""COMPUTED_VALUE"""),0.0)</f>
        <v>0</v>
      </c>
      <c r="O223" s="16">
        <f>IFERROR(__xludf.DUMMYFUNCTION("""COMPUTED_VALUE"""),0.0)</f>
        <v>0</v>
      </c>
      <c r="P223" s="16">
        <f>IFERROR(__xludf.DUMMYFUNCTION("""COMPUTED_VALUE"""),0.0)</f>
        <v>0</v>
      </c>
      <c r="Q223" s="16">
        <f>IFERROR(__xludf.DUMMYFUNCTION("""COMPUTED_VALUE"""),0.0)</f>
        <v>0</v>
      </c>
      <c r="R223" s="16">
        <f>IFERROR(__xludf.DUMMYFUNCTION("""COMPUTED_VALUE"""),0.0)</f>
        <v>0</v>
      </c>
      <c r="S223" s="16">
        <f>IFERROR(__xludf.DUMMYFUNCTION("""COMPUTED_VALUE"""),0.0)</f>
        <v>0</v>
      </c>
      <c r="T223" s="16">
        <f>IFERROR(__xludf.DUMMYFUNCTION("""COMPUTED_VALUE"""),0.0)</f>
        <v>0</v>
      </c>
      <c r="U223" s="16">
        <f>IFERROR(__xludf.DUMMYFUNCTION("""COMPUTED_VALUE"""),0.0)</f>
        <v>0</v>
      </c>
      <c r="V223" s="16">
        <f>IFERROR(__xludf.DUMMYFUNCTION("""COMPUTED_VALUE"""),0.0)</f>
        <v>0</v>
      </c>
      <c r="W223" s="16">
        <f>IFERROR(__xludf.DUMMYFUNCTION("""COMPUTED_VALUE"""),0.0)</f>
        <v>0</v>
      </c>
      <c r="X223" s="16">
        <f>IFERROR(__xludf.DUMMYFUNCTION("""COMPUTED_VALUE"""),0.0)</f>
        <v>0</v>
      </c>
      <c r="Y223" s="16">
        <f>IFERROR(__xludf.DUMMYFUNCTION("""COMPUTED_VALUE"""),0.0)</f>
        <v>0</v>
      </c>
      <c r="Z223" s="16">
        <f>IFERROR(__xludf.DUMMYFUNCTION("""COMPUTED_VALUE"""),0.0)</f>
        <v>0</v>
      </c>
      <c r="AA223" s="16">
        <f>IFERROR(__xludf.DUMMYFUNCTION("""COMPUTED_VALUE"""),0.0)</f>
        <v>0</v>
      </c>
      <c r="AB223" s="16">
        <f>IFERROR(__xludf.DUMMYFUNCTION("""COMPUTED_VALUE"""),0.0)</f>
        <v>0</v>
      </c>
      <c r="AC223" s="16">
        <f>IFERROR(__xludf.DUMMYFUNCTION("""COMPUTED_VALUE"""),0.0)</f>
        <v>0</v>
      </c>
      <c r="AD223" s="16">
        <f>IFERROR(__xludf.DUMMYFUNCTION("""COMPUTED_VALUE"""),0.0)</f>
        <v>0</v>
      </c>
      <c r="AE223" s="16">
        <f>IFERROR(__xludf.DUMMYFUNCTION("""COMPUTED_VALUE"""),0.0)</f>
        <v>0</v>
      </c>
      <c r="AF223" s="16">
        <f>IFERROR(__xludf.DUMMYFUNCTION("""COMPUTED_VALUE"""),0.0)</f>
        <v>0</v>
      </c>
      <c r="AG223" s="16">
        <f>IFERROR(__xludf.DUMMYFUNCTION("""COMPUTED_VALUE"""),0.0)</f>
        <v>0</v>
      </c>
      <c r="AH223" s="16">
        <f>IFERROR(__xludf.DUMMYFUNCTION("""COMPUTED_VALUE"""),0.0)</f>
        <v>0</v>
      </c>
    </row>
    <row r="224">
      <c r="A224" s="16" t="str">
        <f>IFERROR(__xludf.DUMMYFUNCTION("""COMPUTED_VALUE"""),"c4463ba00f6c126612324139644418680a50dd75")</f>
        <v>c4463ba00f6c126612324139644418680a50dd75</v>
      </c>
      <c r="B224" s="16" t="str">
        <f>IFERROR(__xludf.DUMMYFUNCTION("""COMPUTED_VALUE"""),"Bloodstar")</f>
        <v>Bloodstar</v>
      </c>
      <c r="C224" s="16" t="str">
        <f>IFERROR(__xludf.DUMMYFUNCTION("""COMPUTED_VALUE"""),"System and Superpower")</f>
        <v>System and Superpower</v>
      </c>
      <c r="D224" s="16">
        <f>IFERROR(__xludf.DUMMYFUNCTION("""COMPUTED_VALUE"""),587.0)</f>
        <v>587</v>
      </c>
      <c r="E224" s="16">
        <f>IFERROR(__xludf.DUMMYFUNCTION("""COMPUTED_VALUE"""),0.986371379897785)</f>
        <v>0.9863713799</v>
      </c>
      <c r="F224" s="16">
        <f>IFERROR(__xludf.DUMMYFUNCTION("""COMPUTED_VALUE"""),0.722316865417376)</f>
        <v>0.7223168654</v>
      </c>
      <c r="G224" s="16">
        <f>IFERROR(__xludf.DUMMYFUNCTION("""COMPUTED_VALUE"""),0.635434412265758)</f>
        <v>0.6354344123</v>
      </c>
      <c r="H224" s="16">
        <f>IFERROR(__xludf.DUMMYFUNCTION("""COMPUTED_VALUE"""),0.551959114139693)</f>
        <v>0.5519591141</v>
      </c>
      <c r="I224" s="16">
        <f>IFERROR(__xludf.DUMMYFUNCTION("""COMPUTED_VALUE"""),0.487223168654173)</f>
        <v>0.4872231687</v>
      </c>
      <c r="J224" s="16">
        <f>IFERROR(__xludf.DUMMYFUNCTION("""COMPUTED_VALUE"""),0.439522998296422)</f>
        <v>0.4395229983</v>
      </c>
      <c r="K224" s="16">
        <f>IFERROR(__xludf.DUMMYFUNCTION("""COMPUTED_VALUE"""),0.3839590443686)</f>
        <v>0.3839590444</v>
      </c>
      <c r="L224" s="16">
        <f>IFERROR(__xludf.DUMMYFUNCTION("""COMPUTED_VALUE"""),0.336752136752136)</f>
        <v>0.3367521368</v>
      </c>
      <c r="M224" s="16">
        <f>IFERROR(__xludf.DUMMYFUNCTION("""COMPUTED_VALUE"""),0.303082191780821)</f>
        <v>0.3030821918</v>
      </c>
      <c r="N224" s="16">
        <f>IFERROR(__xludf.DUMMYFUNCTION("""COMPUTED_VALUE"""),0.292808219178082)</f>
        <v>0.2928082192</v>
      </c>
      <c r="O224" s="16">
        <f>IFERROR(__xludf.DUMMYFUNCTION("""COMPUTED_VALUE"""),0.238675958188153)</f>
        <v>0.2386759582</v>
      </c>
      <c r="P224" s="16">
        <f>IFERROR(__xludf.DUMMYFUNCTION("""COMPUTED_VALUE"""),0.128623188405797)</f>
        <v>0.1286231884</v>
      </c>
      <c r="Q224" s="16">
        <f>IFERROR(__xludf.DUMMYFUNCTION("""COMPUTED_VALUE"""),0.0)</f>
        <v>0</v>
      </c>
      <c r="R224" s="16">
        <f>IFERROR(__xludf.DUMMYFUNCTION("""COMPUTED_VALUE"""),0.0)</f>
        <v>0</v>
      </c>
      <c r="S224" s="16">
        <f>IFERROR(__xludf.DUMMYFUNCTION("""COMPUTED_VALUE"""),0.0)</f>
        <v>0</v>
      </c>
      <c r="T224" s="16">
        <f>IFERROR(__xludf.DUMMYFUNCTION("""COMPUTED_VALUE"""),0.0)</f>
        <v>0</v>
      </c>
      <c r="U224" s="16">
        <f>IFERROR(__xludf.DUMMYFUNCTION("""COMPUTED_VALUE"""),0.0)</f>
        <v>0</v>
      </c>
      <c r="V224" s="16">
        <f>IFERROR(__xludf.DUMMYFUNCTION("""COMPUTED_VALUE"""),0.0)</f>
        <v>0</v>
      </c>
      <c r="W224" s="16">
        <f>IFERROR(__xludf.DUMMYFUNCTION("""COMPUTED_VALUE"""),0.0)</f>
        <v>0</v>
      </c>
      <c r="X224" s="16">
        <f>IFERROR(__xludf.DUMMYFUNCTION("""COMPUTED_VALUE"""),0.0)</f>
        <v>0</v>
      </c>
      <c r="Y224" s="16">
        <f>IFERROR(__xludf.DUMMYFUNCTION("""COMPUTED_VALUE"""),0.0)</f>
        <v>0</v>
      </c>
      <c r="Z224" s="16">
        <f>IFERROR(__xludf.DUMMYFUNCTION("""COMPUTED_VALUE"""),0.0)</f>
        <v>0</v>
      </c>
      <c r="AA224" s="16">
        <f>IFERROR(__xludf.DUMMYFUNCTION("""COMPUTED_VALUE"""),0.0)</f>
        <v>0</v>
      </c>
      <c r="AB224" s="16">
        <f>IFERROR(__xludf.DUMMYFUNCTION("""COMPUTED_VALUE"""),0.0)</f>
        <v>0</v>
      </c>
      <c r="AC224" s="16">
        <f>IFERROR(__xludf.DUMMYFUNCTION("""COMPUTED_VALUE"""),0.0)</f>
        <v>0</v>
      </c>
      <c r="AD224" s="16">
        <f>IFERROR(__xludf.DUMMYFUNCTION("""COMPUTED_VALUE"""),0.0)</f>
        <v>0</v>
      </c>
      <c r="AE224" s="16">
        <f>IFERROR(__xludf.DUMMYFUNCTION("""COMPUTED_VALUE"""),0.0)</f>
        <v>0</v>
      </c>
      <c r="AF224" s="16">
        <f>IFERROR(__xludf.DUMMYFUNCTION("""COMPUTED_VALUE"""),0.0)</f>
        <v>0</v>
      </c>
      <c r="AG224" s="16">
        <f>IFERROR(__xludf.DUMMYFUNCTION("""COMPUTED_VALUE"""),0.0)</f>
        <v>0</v>
      </c>
      <c r="AH224" s="16">
        <f>IFERROR(__xludf.DUMMYFUNCTION("""COMPUTED_VALUE"""),0.0)</f>
        <v>0</v>
      </c>
    </row>
    <row r="225">
      <c r="A225" s="16" t="str">
        <f>IFERROR(__xludf.DUMMYFUNCTION("""COMPUTED_VALUE"""),"c6590012d529ed8d9e5750565fe5d91ddd1144d5")</f>
        <v>c6590012d529ed8d9e5750565fe5d91ddd1144d5</v>
      </c>
      <c r="B225" s="16" t="str">
        <f>IFERROR(__xludf.DUMMYFUNCTION("""COMPUTED_VALUE"""),"Rise of Charles Atticus")</f>
        <v>Rise of Charles Atticus</v>
      </c>
      <c r="C225" s="16" t="str">
        <f>IFERROR(__xludf.DUMMYFUNCTION("""COMPUTED_VALUE"""),"Fantasy")</f>
        <v>Fantasy</v>
      </c>
      <c r="D225" s="16">
        <f>IFERROR(__xludf.DUMMYFUNCTION("""COMPUTED_VALUE"""),381.0)</f>
        <v>381</v>
      </c>
      <c r="E225" s="16">
        <f>IFERROR(__xludf.DUMMYFUNCTION("""COMPUTED_VALUE"""),0.973753280839895)</f>
        <v>0.9737532808</v>
      </c>
      <c r="F225" s="16">
        <f>IFERROR(__xludf.DUMMYFUNCTION("""COMPUTED_VALUE"""),0.753280839895013)</f>
        <v>0.7532808399</v>
      </c>
      <c r="G225" s="16">
        <f>IFERROR(__xludf.DUMMYFUNCTION("""COMPUTED_VALUE"""),0.724409448818897)</f>
        <v>0.7244094488</v>
      </c>
      <c r="H225" s="16">
        <f>IFERROR(__xludf.DUMMYFUNCTION("""COMPUTED_VALUE"""),0.690288713910761)</f>
        <v>0.6902887139</v>
      </c>
      <c r="I225" s="16">
        <f>IFERROR(__xludf.DUMMYFUNCTION("""COMPUTED_VALUE"""),0.650918635170603)</f>
        <v>0.6509186352</v>
      </c>
      <c r="J225" s="16">
        <f>IFERROR(__xludf.DUMMYFUNCTION("""COMPUTED_VALUE"""),0.611548556430446)</f>
        <v>0.6115485564</v>
      </c>
      <c r="K225" s="16">
        <f>IFERROR(__xludf.DUMMYFUNCTION("""COMPUTED_VALUE"""),0.529100529100529)</f>
        <v>0.5291005291</v>
      </c>
      <c r="L225" s="16">
        <f>IFERROR(__xludf.DUMMYFUNCTION("""COMPUTED_VALUE"""),0.498489425981873)</f>
        <v>0.498489426</v>
      </c>
      <c r="M225" s="16">
        <f>IFERROR(__xludf.DUMMYFUNCTION("""COMPUTED_VALUE"""),0.440397350993377)</f>
        <v>0.440397351</v>
      </c>
      <c r="N225" s="16">
        <f>IFERROR(__xludf.DUMMYFUNCTION("""COMPUTED_VALUE"""),0.411764705882352)</f>
        <v>0.4117647059</v>
      </c>
      <c r="O225" s="16">
        <f>IFERROR(__xludf.DUMMYFUNCTION("""COMPUTED_VALUE"""),0.625)</f>
        <v>0.625</v>
      </c>
      <c r="P225" s="16">
        <f>IFERROR(__xludf.DUMMYFUNCTION("""COMPUTED_VALUE"""),0.333333333333333)</f>
        <v>0.3333333333</v>
      </c>
      <c r="Q225" s="16">
        <f>IFERROR(__xludf.DUMMYFUNCTION("""COMPUTED_VALUE"""),0.0)</f>
        <v>0</v>
      </c>
      <c r="R225" s="16">
        <f>IFERROR(__xludf.DUMMYFUNCTION("""COMPUTED_VALUE"""),0.0)</f>
        <v>0</v>
      </c>
      <c r="S225" s="16">
        <f>IFERROR(__xludf.DUMMYFUNCTION("""COMPUTED_VALUE"""),0.0)</f>
        <v>0</v>
      </c>
      <c r="T225" s="16">
        <f>IFERROR(__xludf.DUMMYFUNCTION("""COMPUTED_VALUE"""),0.0)</f>
        <v>0</v>
      </c>
      <c r="U225" s="16">
        <f>IFERROR(__xludf.DUMMYFUNCTION("""COMPUTED_VALUE"""),0.0)</f>
        <v>0</v>
      </c>
      <c r="V225" s="16">
        <f>IFERROR(__xludf.DUMMYFUNCTION("""COMPUTED_VALUE"""),0.0)</f>
        <v>0</v>
      </c>
      <c r="W225" s="16">
        <f>IFERROR(__xludf.DUMMYFUNCTION("""COMPUTED_VALUE"""),0.0)</f>
        <v>0</v>
      </c>
      <c r="X225" s="16">
        <f>IFERROR(__xludf.DUMMYFUNCTION("""COMPUTED_VALUE"""),0.0)</f>
        <v>0</v>
      </c>
      <c r="Y225" s="16">
        <f>IFERROR(__xludf.DUMMYFUNCTION("""COMPUTED_VALUE"""),0.0)</f>
        <v>0</v>
      </c>
      <c r="Z225" s="16">
        <f>IFERROR(__xludf.DUMMYFUNCTION("""COMPUTED_VALUE"""),0.0)</f>
        <v>0</v>
      </c>
      <c r="AA225" s="16">
        <f>IFERROR(__xludf.DUMMYFUNCTION("""COMPUTED_VALUE"""),0.0)</f>
        <v>0</v>
      </c>
      <c r="AB225" s="16">
        <f>IFERROR(__xludf.DUMMYFUNCTION("""COMPUTED_VALUE"""),0.0)</f>
        <v>0</v>
      </c>
      <c r="AC225" s="16">
        <f>IFERROR(__xludf.DUMMYFUNCTION("""COMPUTED_VALUE"""),0.0)</f>
        <v>0</v>
      </c>
      <c r="AD225" s="16">
        <f>IFERROR(__xludf.DUMMYFUNCTION("""COMPUTED_VALUE"""),0.0)</f>
        <v>0</v>
      </c>
      <c r="AE225" s="16">
        <f>IFERROR(__xludf.DUMMYFUNCTION("""COMPUTED_VALUE"""),0.0)</f>
        <v>0</v>
      </c>
      <c r="AF225" s="16">
        <f>IFERROR(__xludf.DUMMYFUNCTION("""COMPUTED_VALUE"""),0.0)</f>
        <v>0</v>
      </c>
      <c r="AG225" s="16">
        <f>IFERROR(__xludf.DUMMYFUNCTION("""COMPUTED_VALUE"""),0.0)</f>
        <v>0</v>
      </c>
      <c r="AH225" s="16">
        <f>IFERROR(__xludf.DUMMYFUNCTION("""COMPUTED_VALUE"""),0.0)</f>
        <v>0</v>
      </c>
    </row>
    <row r="226">
      <c r="A226" s="16" t="str">
        <f>IFERROR(__xludf.DUMMYFUNCTION("""COMPUTED_VALUE"""),"c66d5521f195754d722c7e3daab2da20a027dd0c")</f>
        <v>c66d5521f195754d722c7e3daab2da20a027dd0c</v>
      </c>
      <c r="B226" s="16" t="str">
        <f>IFERROR(__xludf.DUMMYFUNCTION("""COMPUTED_VALUE"""),"Ceo's Heartbreaker")</f>
        <v>Ceo's Heartbreaker</v>
      </c>
      <c r="C226" s="16" t="str">
        <f>IFERROR(__xludf.DUMMYFUNCTION("""COMPUTED_VALUE"""),"Romance")</f>
        <v>Romance</v>
      </c>
      <c r="D226" s="16">
        <f>IFERROR(__xludf.DUMMYFUNCTION("""COMPUTED_VALUE"""),15.0)</f>
        <v>15</v>
      </c>
      <c r="E226" s="16">
        <f>IFERROR(__xludf.DUMMYFUNCTION("""COMPUTED_VALUE"""),0.933333333333333)</f>
        <v>0.9333333333</v>
      </c>
      <c r="F226" s="16">
        <f>IFERROR(__xludf.DUMMYFUNCTION("""COMPUTED_VALUE"""),0.333333333333333)</f>
        <v>0.3333333333</v>
      </c>
      <c r="G226" s="16">
        <f>IFERROR(__xludf.DUMMYFUNCTION("""COMPUTED_VALUE"""),0.266666666666666)</f>
        <v>0.2666666667</v>
      </c>
      <c r="H226" s="16">
        <f>IFERROR(__xludf.DUMMYFUNCTION("""COMPUTED_VALUE"""),0.2)</f>
        <v>0.2</v>
      </c>
      <c r="I226" s="16">
        <f>IFERROR(__xludf.DUMMYFUNCTION("""COMPUTED_VALUE"""),0.0666666666666666)</f>
        <v>0.06666666667</v>
      </c>
      <c r="J226" s="16">
        <f>IFERROR(__xludf.DUMMYFUNCTION("""COMPUTED_VALUE"""),0.0714285714285714)</f>
        <v>0.07142857143</v>
      </c>
      <c r="K226" s="16">
        <f>IFERROR(__xludf.DUMMYFUNCTION("""COMPUTED_VALUE"""),0.0714285714285714)</f>
        <v>0.07142857143</v>
      </c>
      <c r="L226" s="16">
        <f>IFERROR(__xludf.DUMMYFUNCTION("""COMPUTED_VALUE"""),0.0714285714285714)</f>
        <v>0.07142857143</v>
      </c>
      <c r="M226" s="16">
        <f>IFERROR(__xludf.DUMMYFUNCTION("""COMPUTED_VALUE"""),0.0714285714285714)</f>
        <v>0.07142857143</v>
      </c>
      <c r="N226" s="16">
        <f>IFERROR(__xludf.DUMMYFUNCTION("""COMPUTED_VALUE"""),0.0)</f>
        <v>0</v>
      </c>
      <c r="O226" s="16">
        <f>IFERROR(__xludf.DUMMYFUNCTION("""COMPUTED_VALUE"""),0.0)</f>
        <v>0</v>
      </c>
      <c r="P226" s="16">
        <f>IFERROR(__xludf.DUMMYFUNCTION("""COMPUTED_VALUE"""),0.0)</f>
        <v>0</v>
      </c>
      <c r="Q226" s="16">
        <f>IFERROR(__xludf.DUMMYFUNCTION("""COMPUTED_VALUE"""),0.0)</f>
        <v>0</v>
      </c>
      <c r="R226" s="16">
        <f>IFERROR(__xludf.DUMMYFUNCTION("""COMPUTED_VALUE"""),0.0)</f>
        <v>0</v>
      </c>
      <c r="S226" s="16">
        <f>IFERROR(__xludf.DUMMYFUNCTION("""COMPUTED_VALUE"""),0.0)</f>
        <v>0</v>
      </c>
      <c r="T226" s="16">
        <f>IFERROR(__xludf.DUMMYFUNCTION("""COMPUTED_VALUE"""),0.0)</f>
        <v>0</v>
      </c>
      <c r="U226" s="16">
        <f>IFERROR(__xludf.DUMMYFUNCTION("""COMPUTED_VALUE"""),0.0)</f>
        <v>0</v>
      </c>
      <c r="V226" s="16">
        <f>IFERROR(__xludf.DUMMYFUNCTION("""COMPUTED_VALUE"""),0.0)</f>
        <v>0</v>
      </c>
      <c r="W226" s="16">
        <f>IFERROR(__xludf.DUMMYFUNCTION("""COMPUTED_VALUE"""),0.0)</f>
        <v>0</v>
      </c>
      <c r="X226" s="16">
        <f>IFERROR(__xludf.DUMMYFUNCTION("""COMPUTED_VALUE"""),0.0)</f>
        <v>0</v>
      </c>
      <c r="Y226" s="16">
        <f>IFERROR(__xludf.DUMMYFUNCTION("""COMPUTED_VALUE"""),0.0)</f>
        <v>0</v>
      </c>
      <c r="Z226" s="16">
        <f>IFERROR(__xludf.DUMMYFUNCTION("""COMPUTED_VALUE"""),0.0)</f>
        <v>0</v>
      </c>
      <c r="AA226" s="16">
        <f>IFERROR(__xludf.DUMMYFUNCTION("""COMPUTED_VALUE"""),0.0)</f>
        <v>0</v>
      </c>
      <c r="AB226" s="16">
        <f>IFERROR(__xludf.DUMMYFUNCTION("""COMPUTED_VALUE"""),0.0)</f>
        <v>0</v>
      </c>
      <c r="AC226" s="16">
        <f>IFERROR(__xludf.DUMMYFUNCTION("""COMPUTED_VALUE"""),0.0)</f>
        <v>0</v>
      </c>
      <c r="AD226" s="16">
        <f>IFERROR(__xludf.DUMMYFUNCTION("""COMPUTED_VALUE"""),0.0)</f>
        <v>0</v>
      </c>
      <c r="AE226" s="16">
        <f>IFERROR(__xludf.DUMMYFUNCTION("""COMPUTED_VALUE"""),0.0)</f>
        <v>0</v>
      </c>
      <c r="AF226" s="16">
        <f>IFERROR(__xludf.DUMMYFUNCTION("""COMPUTED_VALUE"""),0.0)</f>
        <v>0</v>
      </c>
      <c r="AG226" s="16">
        <f>IFERROR(__xludf.DUMMYFUNCTION("""COMPUTED_VALUE"""),0.0)</f>
        <v>0</v>
      </c>
      <c r="AH226" s="16">
        <f>IFERROR(__xludf.DUMMYFUNCTION("""COMPUTED_VALUE"""),0.0)</f>
        <v>0</v>
      </c>
    </row>
    <row r="227">
      <c r="A227" s="16" t="str">
        <f>IFERROR(__xludf.DUMMYFUNCTION("""COMPUTED_VALUE"""),"c6786de3c05a64c2f4c13acbe0e61d8d4e111aad")</f>
        <v>c6786de3c05a64c2f4c13acbe0e61d8d4e111aad</v>
      </c>
      <c r="B227" s="16" t="str">
        <f>IFERROR(__xludf.DUMMYFUNCTION("""COMPUTED_VALUE"""),"Mr. Kane's Reluctant Wife")</f>
        <v>Mr. Kane's Reluctant Wife</v>
      </c>
      <c r="C227" s="16" t="str">
        <f>IFERROR(__xludf.DUMMYFUNCTION("""COMPUTED_VALUE"""),"Romance")</f>
        <v>Romance</v>
      </c>
      <c r="D227" s="16">
        <f>IFERROR(__xludf.DUMMYFUNCTION("""COMPUTED_VALUE"""),42.0)</f>
        <v>42</v>
      </c>
      <c r="E227" s="16">
        <f>IFERROR(__xludf.DUMMYFUNCTION("""COMPUTED_VALUE"""),1.0)</f>
        <v>1</v>
      </c>
      <c r="F227" s="16">
        <f>IFERROR(__xludf.DUMMYFUNCTION("""COMPUTED_VALUE"""),0.619047619047619)</f>
        <v>0.619047619</v>
      </c>
      <c r="G227" s="16">
        <f>IFERROR(__xludf.DUMMYFUNCTION("""COMPUTED_VALUE"""),0.619047619047619)</f>
        <v>0.619047619</v>
      </c>
      <c r="H227" s="16">
        <f>IFERROR(__xludf.DUMMYFUNCTION("""COMPUTED_VALUE"""),0.547619047619047)</f>
        <v>0.5476190476</v>
      </c>
      <c r="I227" s="16">
        <f>IFERROR(__xludf.DUMMYFUNCTION("""COMPUTED_VALUE"""),0.523809523809523)</f>
        <v>0.5238095238</v>
      </c>
      <c r="J227" s="16">
        <f>IFERROR(__xludf.DUMMYFUNCTION("""COMPUTED_VALUE"""),0.523809523809523)</f>
        <v>0.5238095238</v>
      </c>
      <c r="K227" s="16">
        <f>IFERROR(__xludf.DUMMYFUNCTION("""COMPUTED_VALUE"""),0.5)</f>
        <v>0.5</v>
      </c>
      <c r="L227" s="16">
        <f>IFERROR(__xludf.DUMMYFUNCTION("""COMPUTED_VALUE"""),0.5)</f>
        <v>0.5</v>
      </c>
      <c r="M227" s="16">
        <f>IFERROR(__xludf.DUMMYFUNCTION("""COMPUTED_VALUE"""),0.476190476190476)</f>
        <v>0.4761904762</v>
      </c>
      <c r="N227" s="16">
        <f>IFERROR(__xludf.DUMMYFUNCTION("""COMPUTED_VALUE"""),0.476190476190476)</f>
        <v>0.4761904762</v>
      </c>
      <c r="O227" s="16">
        <f>IFERROR(__xludf.DUMMYFUNCTION("""COMPUTED_VALUE"""),0.452380952380952)</f>
        <v>0.4523809524</v>
      </c>
      <c r="P227" s="16">
        <f>IFERROR(__xludf.DUMMYFUNCTION("""COMPUTED_VALUE"""),0.325)</f>
        <v>0.325</v>
      </c>
      <c r="Q227" s="16">
        <f>IFERROR(__xludf.DUMMYFUNCTION("""COMPUTED_VALUE"""),0.258064516129032)</f>
        <v>0.2580645161</v>
      </c>
      <c r="R227" s="16">
        <f>IFERROR(__xludf.DUMMYFUNCTION("""COMPUTED_VALUE"""),0.0)</f>
        <v>0</v>
      </c>
      <c r="S227" s="16">
        <f>IFERROR(__xludf.DUMMYFUNCTION("""COMPUTED_VALUE"""),0.0)</f>
        <v>0</v>
      </c>
      <c r="T227" s="16">
        <f>IFERROR(__xludf.DUMMYFUNCTION("""COMPUTED_VALUE"""),0.0)</f>
        <v>0</v>
      </c>
      <c r="U227" s="16">
        <f>IFERROR(__xludf.DUMMYFUNCTION("""COMPUTED_VALUE"""),0.0)</f>
        <v>0</v>
      </c>
      <c r="V227" s="16">
        <f>IFERROR(__xludf.DUMMYFUNCTION("""COMPUTED_VALUE"""),0.0)</f>
        <v>0</v>
      </c>
      <c r="W227" s="16">
        <f>IFERROR(__xludf.DUMMYFUNCTION("""COMPUTED_VALUE"""),0.0)</f>
        <v>0</v>
      </c>
      <c r="X227" s="16">
        <f>IFERROR(__xludf.DUMMYFUNCTION("""COMPUTED_VALUE"""),0.0)</f>
        <v>0</v>
      </c>
      <c r="Y227" s="16">
        <f>IFERROR(__xludf.DUMMYFUNCTION("""COMPUTED_VALUE"""),0.0)</f>
        <v>0</v>
      </c>
      <c r="Z227" s="16">
        <f>IFERROR(__xludf.DUMMYFUNCTION("""COMPUTED_VALUE"""),0.0)</f>
        <v>0</v>
      </c>
      <c r="AA227" s="16">
        <f>IFERROR(__xludf.DUMMYFUNCTION("""COMPUTED_VALUE"""),0.0)</f>
        <v>0</v>
      </c>
      <c r="AB227" s="16">
        <f>IFERROR(__xludf.DUMMYFUNCTION("""COMPUTED_VALUE"""),0.0)</f>
        <v>0</v>
      </c>
      <c r="AC227" s="16">
        <f>IFERROR(__xludf.DUMMYFUNCTION("""COMPUTED_VALUE"""),0.0)</f>
        <v>0</v>
      </c>
      <c r="AD227" s="16">
        <f>IFERROR(__xludf.DUMMYFUNCTION("""COMPUTED_VALUE"""),0.0)</f>
        <v>0</v>
      </c>
      <c r="AE227" s="16">
        <f>IFERROR(__xludf.DUMMYFUNCTION("""COMPUTED_VALUE"""),0.0)</f>
        <v>0</v>
      </c>
      <c r="AF227" s="16">
        <f>IFERROR(__xludf.DUMMYFUNCTION("""COMPUTED_VALUE"""),0.0)</f>
        <v>0</v>
      </c>
      <c r="AG227" s="16">
        <f>IFERROR(__xludf.DUMMYFUNCTION("""COMPUTED_VALUE"""),0.0)</f>
        <v>0</v>
      </c>
      <c r="AH227" s="16">
        <f>IFERROR(__xludf.DUMMYFUNCTION("""COMPUTED_VALUE"""),0.0)</f>
        <v>0</v>
      </c>
    </row>
    <row r="228">
      <c r="A228" s="16" t="str">
        <f>IFERROR(__xludf.DUMMYFUNCTION("""COMPUTED_VALUE"""),"c8219b2f9d80ce631da27b15849041dbb194dc76")</f>
        <v>c8219b2f9d80ce631da27b15849041dbb194dc76</v>
      </c>
      <c r="B228" s="16" t="str">
        <f>IFERROR(__xludf.DUMMYFUNCTION("""COMPUTED_VALUE"""),"The Fire God's Heir")</f>
        <v>The Fire God's Heir</v>
      </c>
      <c r="C228" s="16" t="str">
        <f>IFERROR(__xludf.DUMMYFUNCTION("""COMPUTED_VALUE"""),"Romantasy")</f>
        <v>Romantasy</v>
      </c>
      <c r="D228" s="16">
        <f>IFERROR(__xludf.DUMMYFUNCTION("""COMPUTED_VALUE"""),477.0)</f>
        <v>477</v>
      </c>
      <c r="E228" s="16">
        <f>IFERROR(__xludf.DUMMYFUNCTION("""COMPUTED_VALUE"""),0.987421383647798)</f>
        <v>0.9874213836</v>
      </c>
      <c r="F228" s="16">
        <f>IFERROR(__xludf.DUMMYFUNCTION("""COMPUTED_VALUE"""),0.60796645702306)</f>
        <v>0.607966457</v>
      </c>
      <c r="G228" s="16">
        <f>IFERROR(__xludf.DUMMYFUNCTION("""COMPUTED_VALUE"""),0.536687631027253)</f>
        <v>0.536687631</v>
      </c>
      <c r="H228" s="16">
        <f>IFERROR(__xludf.DUMMYFUNCTION("""COMPUTED_VALUE"""),0.38235294117647)</f>
        <v>0.3823529412</v>
      </c>
      <c r="I228" s="16">
        <f>IFERROR(__xludf.DUMMYFUNCTION("""COMPUTED_VALUE"""),0.294117647058823)</f>
        <v>0.2941176471</v>
      </c>
      <c r="J228" s="16">
        <f>IFERROR(__xludf.DUMMYFUNCTION("""COMPUTED_VALUE"""),0.274698795180722)</f>
        <v>0.2746987952</v>
      </c>
      <c r="K228" s="16">
        <f>IFERROR(__xludf.DUMMYFUNCTION("""COMPUTED_VALUE"""),0.282608695652173)</f>
        <v>0.2826086957</v>
      </c>
      <c r="L228" s="16">
        <f>IFERROR(__xludf.DUMMYFUNCTION("""COMPUTED_VALUE"""),0.281553398058252)</f>
        <v>0.2815533981</v>
      </c>
      <c r="M228" s="16">
        <f>IFERROR(__xludf.DUMMYFUNCTION("""COMPUTED_VALUE"""),0.239130434782608)</f>
        <v>0.2391304348</v>
      </c>
      <c r="N228" s="16">
        <f>IFERROR(__xludf.DUMMYFUNCTION("""COMPUTED_VALUE"""),0.217557251908396)</f>
        <v>0.2175572519</v>
      </c>
      <c r="O228" s="16">
        <f>IFERROR(__xludf.DUMMYFUNCTION("""COMPUTED_VALUE"""),0.134782608695652)</f>
        <v>0.1347826087</v>
      </c>
      <c r="P228" s="16">
        <f>IFERROR(__xludf.DUMMYFUNCTION("""COMPUTED_VALUE"""),0.0710659898477157)</f>
        <v>0.07106598985</v>
      </c>
      <c r="Q228" s="16">
        <f>IFERROR(__xludf.DUMMYFUNCTION("""COMPUTED_VALUE"""),0.0443037974683544)</f>
        <v>0.04430379747</v>
      </c>
      <c r="R228" s="16">
        <f>IFERROR(__xludf.DUMMYFUNCTION("""COMPUTED_VALUE"""),0.0)</f>
        <v>0</v>
      </c>
      <c r="S228" s="16">
        <f>IFERROR(__xludf.DUMMYFUNCTION("""COMPUTED_VALUE"""),0.0)</f>
        <v>0</v>
      </c>
      <c r="T228" s="16">
        <f>IFERROR(__xludf.DUMMYFUNCTION("""COMPUTED_VALUE"""),0.0)</f>
        <v>0</v>
      </c>
      <c r="U228" s="16">
        <f>IFERROR(__xludf.DUMMYFUNCTION("""COMPUTED_VALUE"""),0.0)</f>
        <v>0</v>
      </c>
      <c r="V228" s="16">
        <f>IFERROR(__xludf.DUMMYFUNCTION("""COMPUTED_VALUE"""),0.0)</f>
        <v>0</v>
      </c>
      <c r="W228" s="16">
        <f>IFERROR(__xludf.DUMMYFUNCTION("""COMPUTED_VALUE"""),0.0)</f>
        <v>0</v>
      </c>
      <c r="X228" s="16">
        <f>IFERROR(__xludf.DUMMYFUNCTION("""COMPUTED_VALUE"""),0.0)</f>
        <v>0</v>
      </c>
      <c r="Y228" s="16">
        <f>IFERROR(__xludf.DUMMYFUNCTION("""COMPUTED_VALUE"""),0.0)</f>
        <v>0</v>
      </c>
      <c r="Z228" s="16">
        <f>IFERROR(__xludf.DUMMYFUNCTION("""COMPUTED_VALUE"""),0.0)</f>
        <v>0</v>
      </c>
      <c r="AA228" s="16">
        <f>IFERROR(__xludf.DUMMYFUNCTION("""COMPUTED_VALUE"""),0.0)</f>
        <v>0</v>
      </c>
      <c r="AB228" s="16">
        <f>IFERROR(__xludf.DUMMYFUNCTION("""COMPUTED_VALUE"""),0.0)</f>
        <v>0</v>
      </c>
      <c r="AC228" s="16">
        <f>IFERROR(__xludf.DUMMYFUNCTION("""COMPUTED_VALUE"""),0.0)</f>
        <v>0</v>
      </c>
      <c r="AD228" s="16">
        <f>IFERROR(__xludf.DUMMYFUNCTION("""COMPUTED_VALUE"""),0.0)</f>
        <v>0</v>
      </c>
      <c r="AE228" s="16">
        <f>IFERROR(__xludf.DUMMYFUNCTION("""COMPUTED_VALUE"""),0.0)</f>
        <v>0</v>
      </c>
      <c r="AF228" s="16">
        <f>IFERROR(__xludf.DUMMYFUNCTION("""COMPUTED_VALUE"""),0.0)</f>
        <v>0</v>
      </c>
      <c r="AG228" s="16">
        <f>IFERROR(__xludf.DUMMYFUNCTION("""COMPUTED_VALUE"""),0.0)</f>
        <v>0</v>
      </c>
      <c r="AH228" s="16">
        <f>IFERROR(__xludf.DUMMYFUNCTION("""COMPUTED_VALUE"""),0.0)</f>
        <v>0</v>
      </c>
    </row>
    <row r="229">
      <c r="A229" s="16" t="str">
        <f>IFERROR(__xludf.DUMMYFUNCTION("""COMPUTED_VALUE"""),"c9fd6d447c06b151ec4563d30a1e1685e71bd29d")</f>
        <v>c9fd6d447c06b151ec4563d30a1e1685e71bd29d</v>
      </c>
      <c r="B229" s="16" t="str">
        <f>IFERROR(__xludf.DUMMYFUNCTION("""COMPUTED_VALUE"""),"Void Evolution System")</f>
        <v>Void Evolution System</v>
      </c>
      <c r="C229" s="16" t="str">
        <f>IFERROR(__xludf.DUMMYFUNCTION("""COMPUTED_VALUE"""),"Fantasy")</f>
        <v>Fantasy</v>
      </c>
      <c r="D229" s="16">
        <f>IFERROR(__xludf.DUMMYFUNCTION("""COMPUTED_VALUE"""),594.0)</f>
        <v>594</v>
      </c>
      <c r="E229" s="16">
        <f>IFERROR(__xludf.DUMMYFUNCTION("""COMPUTED_VALUE"""),0.984848484848484)</f>
        <v>0.9848484848</v>
      </c>
      <c r="F229" s="16">
        <f>IFERROR(__xludf.DUMMYFUNCTION("""COMPUTED_VALUE"""),0.739057239057239)</f>
        <v>0.7390572391</v>
      </c>
      <c r="G229" s="16">
        <f>IFERROR(__xludf.DUMMYFUNCTION("""COMPUTED_VALUE"""),0.69023569023569)</f>
        <v>0.6902356902</v>
      </c>
      <c r="H229" s="16">
        <f>IFERROR(__xludf.DUMMYFUNCTION("""COMPUTED_VALUE"""),0.654882154882154)</f>
        <v>0.6548821549</v>
      </c>
      <c r="I229" s="16">
        <f>IFERROR(__xludf.DUMMYFUNCTION("""COMPUTED_VALUE"""),0.627946127946127)</f>
        <v>0.6279461279</v>
      </c>
      <c r="J229" s="16">
        <f>IFERROR(__xludf.DUMMYFUNCTION("""COMPUTED_VALUE"""),0.606418918918919)</f>
        <v>0.6064189189</v>
      </c>
      <c r="K229" s="16">
        <f>IFERROR(__xludf.DUMMYFUNCTION("""COMPUTED_VALUE"""),0.586440677966101)</f>
        <v>0.586440678</v>
      </c>
      <c r="L229" s="16">
        <f>IFERROR(__xludf.DUMMYFUNCTION("""COMPUTED_VALUE"""),0.5587734241908)</f>
        <v>0.5587734242</v>
      </c>
      <c r="M229" s="16">
        <f>IFERROR(__xludf.DUMMYFUNCTION("""COMPUTED_VALUE"""),0.549828178694158)</f>
        <v>0.5498281787</v>
      </c>
      <c r="N229" s="16">
        <f>IFERROR(__xludf.DUMMYFUNCTION("""COMPUTED_VALUE"""),0.53184165232358)</f>
        <v>0.5318416523</v>
      </c>
      <c r="O229" s="16">
        <f>IFERROR(__xludf.DUMMYFUNCTION("""COMPUTED_VALUE"""),0.456880733944954)</f>
        <v>0.4568807339</v>
      </c>
      <c r="P229" s="16">
        <f>IFERROR(__xludf.DUMMYFUNCTION("""COMPUTED_VALUE"""),0.333333333333333)</f>
        <v>0.3333333333</v>
      </c>
      <c r="Q229" s="16">
        <f>IFERROR(__xludf.DUMMYFUNCTION("""COMPUTED_VALUE"""),0.0)</f>
        <v>0</v>
      </c>
      <c r="R229" s="16">
        <f>IFERROR(__xludf.DUMMYFUNCTION("""COMPUTED_VALUE"""),0.0)</f>
        <v>0</v>
      </c>
      <c r="S229" s="16">
        <f>IFERROR(__xludf.DUMMYFUNCTION("""COMPUTED_VALUE"""),0.0)</f>
        <v>0</v>
      </c>
      <c r="T229" s="16">
        <f>IFERROR(__xludf.DUMMYFUNCTION("""COMPUTED_VALUE"""),0.0)</f>
        <v>0</v>
      </c>
      <c r="U229" s="16">
        <f>IFERROR(__xludf.DUMMYFUNCTION("""COMPUTED_VALUE"""),0.0)</f>
        <v>0</v>
      </c>
      <c r="V229" s="16">
        <f>IFERROR(__xludf.DUMMYFUNCTION("""COMPUTED_VALUE"""),0.0)</f>
        <v>0</v>
      </c>
      <c r="W229" s="16">
        <f>IFERROR(__xludf.DUMMYFUNCTION("""COMPUTED_VALUE"""),0.0)</f>
        <v>0</v>
      </c>
      <c r="X229" s="16">
        <f>IFERROR(__xludf.DUMMYFUNCTION("""COMPUTED_VALUE"""),0.0)</f>
        <v>0</v>
      </c>
      <c r="Y229" s="16">
        <f>IFERROR(__xludf.DUMMYFUNCTION("""COMPUTED_VALUE"""),0.0)</f>
        <v>0</v>
      </c>
      <c r="Z229" s="16">
        <f>IFERROR(__xludf.DUMMYFUNCTION("""COMPUTED_VALUE"""),0.0)</f>
        <v>0</v>
      </c>
      <c r="AA229" s="16">
        <f>IFERROR(__xludf.DUMMYFUNCTION("""COMPUTED_VALUE"""),0.0)</f>
        <v>0</v>
      </c>
      <c r="AB229" s="16">
        <f>IFERROR(__xludf.DUMMYFUNCTION("""COMPUTED_VALUE"""),0.0)</f>
        <v>0</v>
      </c>
      <c r="AC229" s="16">
        <f>IFERROR(__xludf.DUMMYFUNCTION("""COMPUTED_VALUE"""),0.0)</f>
        <v>0</v>
      </c>
      <c r="AD229" s="16">
        <f>IFERROR(__xludf.DUMMYFUNCTION("""COMPUTED_VALUE"""),0.0)</f>
        <v>0</v>
      </c>
      <c r="AE229" s="16">
        <f>IFERROR(__xludf.DUMMYFUNCTION("""COMPUTED_VALUE"""),0.0)</f>
        <v>0</v>
      </c>
      <c r="AF229" s="16">
        <f>IFERROR(__xludf.DUMMYFUNCTION("""COMPUTED_VALUE"""),0.0)</f>
        <v>0</v>
      </c>
      <c r="AG229" s="16">
        <f>IFERROR(__xludf.DUMMYFUNCTION("""COMPUTED_VALUE"""),0.0)</f>
        <v>0</v>
      </c>
      <c r="AH229" s="16">
        <f>IFERROR(__xludf.DUMMYFUNCTION("""COMPUTED_VALUE"""),0.0)</f>
        <v>0</v>
      </c>
    </row>
    <row r="230">
      <c r="A230" s="16" t="str">
        <f>IFERROR(__xludf.DUMMYFUNCTION("""COMPUTED_VALUE"""),"cae77d999ed2205a1ab04a54470de972ddd8bc69")</f>
        <v>cae77d999ed2205a1ab04a54470de972ddd8bc69</v>
      </c>
      <c r="B230" s="16" t="str">
        <f>IFERROR(__xludf.DUMMYFUNCTION("""COMPUTED_VALUE"""),"Atlas of My Heart")</f>
        <v>Atlas of My Heart</v>
      </c>
      <c r="C230" s="16" t="str">
        <f>IFERROR(__xludf.DUMMYFUNCTION("""COMPUTED_VALUE"""),"Romance")</f>
        <v>Romance</v>
      </c>
      <c r="D230" s="16">
        <f>IFERROR(__xludf.DUMMYFUNCTION("""COMPUTED_VALUE"""),64.0)</f>
        <v>64</v>
      </c>
      <c r="E230" s="16">
        <f>IFERROR(__xludf.DUMMYFUNCTION("""COMPUTED_VALUE"""),1.0)</f>
        <v>1</v>
      </c>
      <c r="F230" s="16">
        <f>IFERROR(__xludf.DUMMYFUNCTION("""COMPUTED_VALUE"""),0.671875)</f>
        <v>0.671875</v>
      </c>
      <c r="G230" s="16">
        <f>IFERROR(__xludf.DUMMYFUNCTION("""COMPUTED_VALUE"""),0.65625)</f>
        <v>0.65625</v>
      </c>
      <c r="H230" s="16">
        <f>IFERROR(__xludf.DUMMYFUNCTION("""COMPUTED_VALUE"""),0.578125)</f>
        <v>0.578125</v>
      </c>
      <c r="I230" s="16">
        <f>IFERROR(__xludf.DUMMYFUNCTION("""COMPUTED_VALUE"""),0.46875)</f>
        <v>0.46875</v>
      </c>
      <c r="J230" s="16">
        <f>IFERROR(__xludf.DUMMYFUNCTION("""COMPUTED_VALUE"""),0.375)</f>
        <v>0.375</v>
      </c>
      <c r="K230" s="16">
        <f>IFERROR(__xludf.DUMMYFUNCTION("""COMPUTED_VALUE"""),0.359375)</f>
        <v>0.359375</v>
      </c>
      <c r="L230" s="16">
        <f>IFERROR(__xludf.DUMMYFUNCTION("""COMPUTED_VALUE"""),0.375)</f>
        <v>0.375</v>
      </c>
      <c r="M230" s="16">
        <f>IFERROR(__xludf.DUMMYFUNCTION("""COMPUTED_VALUE"""),0.359375)</f>
        <v>0.359375</v>
      </c>
      <c r="N230" s="16">
        <f>IFERROR(__xludf.DUMMYFUNCTION("""COMPUTED_VALUE"""),0.34375)</f>
        <v>0.34375</v>
      </c>
      <c r="O230" s="16">
        <f>IFERROR(__xludf.DUMMYFUNCTION("""COMPUTED_VALUE"""),0.28125)</f>
        <v>0.28125</v>
      </c>
      <c r="P230" s="16">
        <f>IFERROR(__xludf.DUMMYFUNCTION("""COMPUTED_VALUE"""),0.266666666666666)</f>
        <v>0.2666666667</v>
      </c>
      <c r="Q230" s="16">
        <f>IFERROR(__xludf.DUMMYFUNCTION("""COMPUTED_VALUE"""),0.0)</f>
        <v>0</v>
      </c>
      <c r="R230" s="16">
        <f>IFERROR(__xludf.DUMMYFUNCTION("""COMPUTED_VALUE"""),0.0)</f>
        <v>0</v>
      </c>
      <c r="S230" s="16">
        <f>IFERROR(__xludf.DUMMYFUNCTION("""COMPUTED_VALUE"""),0.0)</f>
        <v>0</v>
      </c>
      <c r="T230" s="16">
        <f>IFERROR(__xludf.DUMMYFUNCTION("""COMPUTED_VALUE"""),0.0)</f>
        <v>0</v>
      </c>
      <c r="U230" s="16">
        <f>IFERROR(__xludf.DUMMYFUNCTION("""COMPUTED_VALUE"""),0.0)</f>
        <v>0</v>
      </c>
      <c r="V230" s="16">
        <f>IFERROR(__xludf.DUMMYFUNCTION("""COMPUTED_VALUE"""),0.0)</f>
        <v>0</v>
      </c>
      <c r="W230" s="16">
        <f>IFERROR(__xludf.DUMMYFUNCTION("""COMPUTED_VALUE"""),0.0)</f>
        <v>0</v>
      </c>
      <c r="X230" s="16">
        <f>IFERROR(__xludf.DUMMYFUNCTION("""COMPUTED_VALUE"""),0.0)</f>
        <v>0</v>
      </c>
      <c r="Y230" s="16">
        <f>IFERROR(__xludf.DUMMYFUNCTION("""COMPUTED_VALUE"""),0.0)</f>
        <v>0</v>
      </c>
      <c r="Z230" s="16">
        <f>IFERROR(__xludf.DUMMYFUNCTION("""COMPUTED_VALUE"""),0.0)</f>
        <v>0</v>
      </c>
      <c r="AA230" s="16">
        <f>IFERROR(__xludf.DUMMYFUNCTION("""COMPUTED_VALUE"""),0.0)</f>
        <v>0</v>
      </c>
      <c r="AB230" s="16">
        <f>IFERROR(__xludf.DUMMYFUNCTION("""COMPUTED_VALUE"""),0.0)</f>
        <v>0</v>
      </c>
      <c r="AC230" s="16">
        <f>IFERROR(__xludf.DUMMYFUNCTION("""COMPUTED_VALUE"""),0.0)</f>
        <v>0</v>
      </c>
      <c r="AD230" s="16">
        <f>IFERROR(__xludf.DUMMYFUNCTION("""COMPUTED_VALUE"""),0.0)</f>
        <v>0</v>
      </c>
      <c r="AE230" s="16">
        <f>IFERROR(__xludf.DUMMYFUNCTION("""COMPUTED_VALUE"""),0.0)</f>
        <v>0</v>
      </c>
      <c r="AF230" s="16">
        <f>IFERROR(__xludf.DUMMYFUNCTION("""COMPUTED_VALUE"""),0.0)</f>
        <v>0</v>
      </c>
      <c r="AG230" s="16">
        <f>IFERROR(__xludf.DUMMYFUNCTION("""COMPUTED_VALUE"""),0.0)</f>
        <v>0</v>
      </c>
      <c r="AH230" s="16">
        <f>IFERROR(__xludf.DUMMYFUNCTION("""COMPUTED_VALUE"""),0.0)</f>
        <v>0</v>
      </c>
    </row>
    <row r="231">
      <c r="A231" s="16" t="str">
        <f>IFERROR(__xludf.DUMMYFUNCTION("""COMPUTED_VALUE"""),"cc5ecb3fc21c174557bddcfbc36d821c915d89ed")</f>
        <v>cc5ecb3fc21c174557bddcfbc36d821c915d89ed</v>
      </c>
      <c r="B231" s="16" t="str">
        <f>IFERROR(__xludf.DUMMYFUNCTION("""COMPUTED_VALUE"""),"My Lovely Intruder")</f>
        <v>My Lovely Intruder</v>
      </c>
      <c r="C231" s="16" t="str">
        <f>IFERROR(__xludf.DUMMYFUNCTION("""COMPUTED_VALUE"""),"Romantasy")</f>
        <v>Romantasy</v>
      </c>
      <c r="D231" s="16">
        <f>IFERROR(__xludf.DUMMYFUNCTION("""COMPUTED_VALUE"""),14.0)</f>
        <v>14</v>
      </c>
      <c r="E231" s="16">
        <f>IFERROR(__xludf.DUMMYFUNCTION("""COMPUTED_VALUE"""),1.0)</f>
        <v>1</v>
      </c>
      <c r="F231" s="16">
        <f>IFERROR(__xludf.DUMMYFUNCTION("""COMPUTED_VALUE"""),0.642857142857142)</f>
        <v>0.6428571429</v>
      </c>
      <c r="G231" s="16">
        <f>IFERROR(__xludf.DUMMYFUNCTION("""COMPUTED_VALUE"""),0.571428571428571)</f>
        <v>0.5714285714</v>
      </c>
      <c r="H231" s="16">
        <f>IFERROR(__xludf.DUMMYFUNCTION("""COMPUTED_VALUE"""),0.571428571428571)</f>
        <v>0.5714285714</v>
      </c>
      <c r="I231" s="16">
        <f>IFERROR(__xludf.DUMMYFUNCTION("""COMPUTED_VALUE"""),0.428571428571428)</f>
        <v>0.4285714286</v>
      </c>
      <c r="J231" s="16">
        <f>IFERROR(__xludf.DUMMYFUNCTION("""COMPUTED_VALUE"""),0.333333333333333)</f>
        <v>0.3333333333</v>
      </c>
      <c r="K231" s="16">
        <f>IFERROR(__xludf.DUMMYFUNCTION("""COMPUTED_VALUE"""),0.333333333333333)</f>
        <v>0.3333333333</v>
      </c>
      <c r="L231" s="16">
        <f>IFERROR(__xludf.DUMMYFUNCTION("""COMPUTED_VALUE"""),0.3)</f>
        <v>0.3</v>
      </c>
      <c r="M231" s="16">
        <f>IFERROR(__xludf.DUMMYFUNCTION("""COMPUTED_VALUE"""),0.222222222222222)</f>
        <v>0.2222222222</v>
      </c>
      <c r="N231" s="16">
        <f>IFERROR(__xludf.DUMMYFUNCTION("""COMPUTED_VALUE"""),0.222222222222222)</f>
        <v>0.2222222222</v>
      </c>
      <c r="O231" s="16">
        <f>IFERROR(__xludf.DUMMYFUNCTION("""COMPUTED_VALUE"""),0.166666666666666)</f>
        <v>0.1666666667</v>
      </c>
      <c r="P231" s="16">
        <f>IFERROR(__xludf.DUMMYFUNCTION("""COMPUTED_VALUE"""),0.25)</f>
        <v>0.25</v>
      </c>
      <c r="Q231" s="16">
        <f>IFERROR(__xludf.DUMMYFUNCTION("""COMPUTED_VALUE"""),0.25)</f>
        <v>0.25</v>
      </c>
      <c r="R231" s="16">
        <f>IFERROR(__xludf.DUMMYFUNCTION("""COMPUTED_VALUE"""),0.0)</f>
        <v>0</v>
      </c>
      <c r="S231" s="16">
        <f>IFERROR(__xludf.DUMMYFUNCTION("""COMPUTED_VALUE"""),0.0)</f>
        <v>0</v>
      </c>
      <c r="T231" s="16">
        <f>IFERROR(__xludf.DUMMYFUNCTION("""COMPUTED_VALUE"""),0.0)</f>
        <v>0</v>
      </c>
      <c r="U231" s="16">
        <f>IFERROR(__xludf.DUMMYFUNCTION("""COMPUTED_VALUE"""),0.0)</f>
        <v>0</v>
      </c>
      <c r="V231" s="16">
        <f>IFERROR(__xludf.DUMMYFUNCTION("""COMPUTED_VALUE"""),0.0)</f>
        <v>0</v>
      </c>
      <c r="W231" s="16">
        <f>IFERROR(__xludf.DUMMYFUNCTION("""COMPUTED_VALUE"""),0.0)</f>
        <v>0</v>
      </c>
      <c r="X231" s="16">
        <f>IFERROR(__xludf.DUMMYFUNCTION("""COMPUTED_VALUE"""),0.0)</f>
        <v>0</v>
      </c>
      <c r="Y231" s="16">
        <f>IFERROR(__xludf.DUMMYFUNCTION("""COMPUTED_VALUE"""),0.0)</f>
        <v>0</v>
      </c>
      <c r="Z231" s="16">
        <f>IFERROR(__xludf.DUMMYFUNCTION("""COMPUTED_VALUE"""),0.0)</f>
        <v>0</v>
      </c>
      <c r="AA231" s="16">
        <f>IFERROR(__xludf.DUMMYFUNCTION("""COMPUTED_VALUE"""),0.0)</f>
        <v>0</v>
      </c>
      <c r="AB231" s="16">
        <f>IFERROR(__xludf.DUMMYFUNCTION("""COMPUTED_VALUE"""),0.0)</f>
        <v>0</v>
      </c>
      <c r="AC231" s="16">
        <f>IFERROR(__xludf.DUMMYFUNCTION("""COMPUTED_VALUE"""),0.0)</f>
        <v>0</v>
      </c>
      <c r="AD231" s="16">
        <f>IFERROR(__xludf.DUMMYFUNCTION("""COMPUTED_VALUE"""),0.0)</f>
        <v>0</v>
      </c>
      <c r="AE231" s="16">
        <f>IFERROR(__xludf.DUMMYFUNCTION("""COMPUTED_VALUE"""),0.0)</f>
        <v>0</v>
      </c>
      <c r="AF231" s="16">
        <f>IFERROR(__xludf.DUMMYFUNCTION("""COMPUTED_VALUE"""),0.0)</f>
        <v>0</v>
      </c>
      <c r="AG231" s="16">
        <f>IFERROR(__xludf.DUMMYFUNCTION("""COMPUTED_VALUE"""),0.0)</f>
        <v>0</v>
      </c>
      <c r="AH231" s="16">
        <f>IFERROR(__xludf.DUMMYFUNCTION("""COMPUTED_VALUE"""),0.0)</f>
        <v>0</v>
      </c>
    </row>
    <row r="232">
      <c r="A232" s="16" t="str">
        <f>IFERROR(__xludf.DUMMYFUNCTION("""COMPUTED_VALUE"""),"cce017649e6098a735e72b5dbfed27f3c95bad78")</f>
        <v>cce017649e6098a735e72b5dbfed27f3c95bad78</v>
      </c>
      <c r="B232" s="16" t="str">
        <f>IFERROR(__xludf.DUMMYFUNCTION("""COMPUTED_VALUE"""),"Between Love and Betrayal")</f>
        <v>Between Love and Betrayal</v>
      </c>
      <c r="C232" s="16" t="str">
        <f>IFERROR(__xludf.DUMMYFUNCTION("""COMPUTED_VALUE"""),"Romance")</f>
        <v>Romance</v>
      </c>
      <c r="D232" s="16">
        <f>IFERROR(__xludf.DUMMYFUNCTION("""COMPUTED_VALUE"""),53.0)</f>
        <v>53</v>
      </c>
      <c r="E232" s="16">
        <f>IFERROR(__xludf.DUMMYFUNCTION("""COMPUTED_VALUE"""),0.962264150943396)</f>
        <v>0.9622641509</v>
      </c>
      <c r="F232" s="16">
        <f>IFERROR(__xludf.DUMMYFUNCTION("""COMPUTED_VALUE"""),0.490566037735849)</f>
        <v>0.4905660377</v>
      </c>
      <c r="G232" s="16">
        <f>IFERROR(__xludf.DUMMYFUNCTION("""COMPUTED_VALUE"""),0.50943396226415)</f>
        <v>0.5094339623</v>
      </c>
      <c r="H232" s="16">
        <f>IFERROR(__xludf.DUMMYFUNCTION("""COMPUTED_VALUE"""),0.396226415094339)</f>
        <v>0.3962264151</v>
      </c>
      <c r="I232" s="16">
        <f>IFERROR(__xludf.DUMMYFUNCTION("""COMPUTED_VALUE"""),0.264150943396226)</f>
        <v>0.2641509434</v>
      </c>
      <c r="J232" s="16">
        <f>IFERROR(__xludf.DUMMYFUNCTION("""COMPUTED_VALUE"""),0.226415094339622)</f>
        <v>0.2264150943</v>
      </c>
      <c r="K232" s="16">
        <f>IFERROR(__xludf.DUMMYFUNCTION("""COMPUTED_VALUE"""),0.226415094339622)</f>
        <v>0.2264150943</v>
      </c>
      <c r="L232" s="16">
        <f>IFERROR(__xludf.DUMMYFUNCTION("""COMPUTED_VALUE"""),0.20754716981132)</f>
        <v>0.2075471698</v>
      </c>
      <c r="M232" s="16">
        <f>IFERROR(__xludf.DUMMYFUNCTION("""COMPUTED_VALUE"""),0.20754716981132)</f>
        <v>0.2075471698</v>
      </c>
      <c r="N232" s="16">
        <f>IFERROR(__xludf.DUMMYFUNCTION("""COMPUTED_VALUE"""),0.20754716981132)</f>
        <v>0.2075471698</v>
      </c>
      <c r="O232" s="16">
        <f>IFERROR(__xludf.DUMMYFUNCTION("""COMPUTED_VALUE"""),0.188679245283018)</f>
        <v>0.1886792453</v>
      </c>
      <c r="P232" s="16">
        <f>IFERROR(__xludf.DUMMYFUNCTION("""COMPUTED_VALUE"""),0.192307692307692)</f>
        <v>0.1923076923</v>
      </c>
      <c r="Q232" s="16">
        <f>IFERROR(__xludf.DUMMYFUNCTION("""COMPUTED_VALUE"""),0.333333333333333)</f>
        <v>0.3333333333</v>
      </c>
      <c r="R232" s="16">
        <f>IFERROR(__xludf.DUMMYFUNCTION("""COMPUTED_VALUE"""),0.2)</f>
        <v>0.2</v>
      </c>
      <c r="S232" s="16">
        <f>IFERROR(__xludf.DUMMYFUNCTION("""COMPUTED_VALUE"""),0.0)</f>
        <v>0</v>
      </c>
      <c r="T232" s="16">
        <f>IFERROR(__xludf.DUMMYFUNCTION("""COMPUTED_VALUE"""),0.0)</f>
        <v>0</v>
      </c>
      <c r="U232" s="16">
        <f>IFERROR(__xludf.DUMMYFUNCTION("""COMPUTED_VALUE"""),0.0)</f>
        <v>0</v>
      </c>
      <c r="V232" s="16">
        <f>IFERROR(__xludf.DUMMYFUNCTION("""COMPUTED_VALUE"""),0.0)</f>
        <v>0</v>
      </c>
      <c r="W232" s="16">
        <f>IFERROR(__xludf.DUMMYFUNCTION("""COMPUTED_VALUE"""),0.0)</f>
        <v>0</v>
      </c>
      <c r="X232" s="16">
        <f>IFERROR(__xludf.DUMMYFUNCTION("""COMPUTED_VALUE"""),0.0)</f>
        <v>0</v>
      </c>
      <c r="Y232" s="16">
        <f>IFERROR(__xludf.DUMMYFUNCTION("""COMPUTED_VALUE"""),0.0)</f>
        <v>0</v>
      </c>
      <c r="Z232" s="16">
        <f>IFERROR(__xludf.DUMMYFUNCTION("""COMPUTED_VALUE"""),0.0)</f>
        <v>0</v>
      </c>
      <c r="AA232" s="16">
        <f>IFERROR(__xludf.DUMMYFUNCTION("""COMPUTED_VALUE"""),0.0)</f>
        <v>0</v>
      </c>
      <c r="AB232" s="16">
        <f>IFERROR(__xludf.DUMMYFUNCTION("""COMPUTED_VALUE"""),0.0)</f>
        <v>0</v>
      </c>
      <c r="AC232" s="16">
        <f>IFERROR(__xludf.DUMMYFUNCTION("""COMPUTED_VALUE"""),0.0)</f>
        <v>0</v>
      </c>
      <c r="AD232" s="16">
        <f>IFERROR(__xludf.DUMMYFUNCTION("""COMPUTED_VALUE"""),0.0)</f>
        <v>0</v>
      </c>
      <c r="AE232" s="16">
        <f>IFERROR(__xludf.DUMMYFUNCTION("""COMPUTED_VALUE"""),0.0)</f>
        <v>0</v>
      </c>
      <c r="AF232" s="16">
        <f>IFERROR(__xludf.DUMMYFUNCTION("""COMPUTED_VALUE"""),0.0)</f>
        <v>0</v>
      </c>
      <c r="AG232" s="16">
        <f>IFERROR(__xludf.DUMMYFUNCTION("""COMPUTED_VALUE"""),0.0)</f>
        <v>0</v>
      </c>
      <c r="AH232" s="16">
        <f>IFERROR(__xludf.DUMMYFUNCTION("""COMPUTED_VALUE"""),0.0)</f>
        <v>0</v>
      </c>
    </row>
    <row r="233">
      <c r="A233" s="16" t="str">
        <f>IFERROR(__xludf.DUMMYFUNCTION("""COMPUTED_VALUE"""),"cdb3a84d505dbefdca86cae60d3db90f949368f1")</f>
        <v>cdb3a84d505dbefdca86cae60d3db90f949368f1</v>
      </c>
      <c r="B233" s="16" t="str">
        <f>IFERROR(__xludf.DUMMYFUNCTION("""COMPUTED_VALUE"""),"Amulet of the Gods")</f>
        <v>Amulet of the Gods</v>
      </c>
      <c r="C233" s="16" t="str">
        <f>IFERROR(__xludf.DUMMYFUNCTION("""COMPUTED_VALUE"""),"System and Superpower")</f>
        <v>System and Superpower</v>
      </c>
      <c r="D233" s="16">
        <f>IFERROR(__xludf.DUMMYFUNCTION("""COMPUTED_VALUE"""),8121.0)</f>
        <v>8121</v>
      </c>
      <c r="E233" s="16">
        <f>IFERROR(__xludf.DUMMYFUNCTION("""COMPUTED_VALUE"""),0.948282231252308)</f>
        <v>0.9482822313</v>
      </c>
      <c r="F233" s="16">
        <f>IFERROR(__xludf.DUMMYFUNCTION("""COMPUTED_VALUE"""),0.652259573944095)</f>
        <v>0.6522595739</v>
      </c>
      <c r="G233" s="16">
        <f>IFERROR(__xludf.DUMMYFUNCTION("""COMPUTED_VALUE"""),0.594508065509173)</f>
        <v>0.5945080655</v>
      </c>
      <c r="H233" s="16">
        <f>IFERROR(__xludf.DUMMYFUNCTION("""COMPUTED_VALUE"""),0.557566802117965)</f>
        <v>0.5575668021</v>
      </c>
      <c r="I233" s="16">
        <f>IFERROR(__xludf.DUMMYFUNCTION("""COMPUTED_VALUE"""),0.532939293190493)</f>
        <v>0.5329392932</v>
      </c>
      <c r="J233" s="16">
        <f>IFERROR(__xludf.DUMMYFUNCTION("""COMPUTED_VALUE"""),0.511582060128141)</f>
        <v>0.5115820601</v>
      </c>
      <c r="K233" s="16">
        <f>IFERROR(__xludf.DUMMYFUNCTION("""COMPUTED_VALUE"""),0.494329388560157)</f>
        <v>0.4943293886</v>
      </c>
      <c r="L233" s="16">
        <f>IFERROR(__xludf.DUMMYFUNCTION("""COMPUTED_VALUE"""),0.480676626744042)</f>
        <v>0.4806766267</v>
      </c>
      <c r="M233" s="16">
        <f>IFERROR(__xludf.DUMMYFUNCTION("""COMPUTED_VALUE"""),0.469483568075117)</f>
        <v>0.4694835681</v>
      </c>
      <c r="N233" s="16">
        <f>IFERROR(__xludf.DUMMYFUNCTION("""COMPUTED_VALUE"""),0.463526211671612)</f>
        <v>0.4635262117</v>
      </c>
      <c r="O233" s="16">
        <f>IFERROR(__xludf.DUMMYFUNCTION("""COMPUTED_VALUE"""),0.443227091633466)</f>
        <v>0.4432270916</v>
      </c>
      <c r="P233" s="16">
        <f>IFERROR(__xludf.DUMMYFUNCTION("""COMPUTED_VALUE"""),0.397747183979975)</f>
        <v>0.397747184</v>
      </c>
      <c r="Q233" s="16">
        <f>IFERROR(__xludf.DUMMYFUNCTION("""COMPUTED_VALUE"""),0.296207332490518)</f>
        <v>0.2962073325</v>
      </c>
      <c r="R233" s="16">
        <f>IFERROR(__xludf.DUMMYFUNCTION("""COMPUTED_VALUE"""),0.232424677187948)</f>
        <v>0.2324246772</v>
      </c>
      <c r="S233" s="16">
        <f>IFERROR(__xludf.DUMMYFUNCTION("""COMPUTED_VALUE"""),0.170350489422166)</f>
        <v>0.1703504894</v>
      </c>
      <c r="T233" s="16">
        <f>IFERROR(__xludf.DUMMYFUNCTION("""COMPUTED_VALUE"""),0.144518927444794)</f>
        <v>0.1445189274</v>
      </c>
      <c r="U233" s="16">
        <f>IFERROR(__xludf.DUMMYFUNCTION("""COMPUTED_VALUE"""),0.110682492581602)</f>
        <v>0.1106824926</v>
      </c>
      <c r="V233" s="16">
        <f>IFERROR(__xludf.DUMMYFUNCTION("""COMPUTED_VALUE"""),0.0648604269293924)</f>
        <v>0.06486042693</v>
      </c>
      <c r="W233" s="16">
        <f>IFERROR(__xludf.DUMMYFUNCTION("""COMPUTED_VALUE"""),0.0565167243367935)</f>
        <v>0.05651672434</v>
      </c>
      <c r="X233" s="16">
        <f>IFERROR(__xludf.DUMMYFUNCTION("""COMPUTED_VALUE"""),0.0421216848673947)</f>
        <v>0.04212168487</v>
      </c>
      <c r="Y233" s="16">
        <f>IFERROR(__xludf.DUMMYFUNCTION("""COMPUTED_VALUE"""),0.0375426621160409)</f>
        <v>0.03754266212</v>
      </c>
      <c r="Z233" s="16">
        <f>IFERROR(__xludf.DUMMYFUNCTION("""COMPUTED_VALUE"""),0.0)</f>
        <v>0</v>
      </c>
      <c r="AA233" s="16">
        <f>IFERROR(__xludf.DUMMYFUNCTION("""COMPUTED_VALUE"""),0.0)</f>
        <v>0</v>
      </c>
      <c r="AB233" s="16">
        <f>IFERROR(__xludf.DUMMYFUNCTION("""COMPUTED_VALUE"""),0.0)</f>
        <v>0</v>
      </c>
      <c r="AC233" s="16">
        <f>IFERROR(__xludf.DUMMYFUNCTION("""COMPUTED_VALUE"""),0.0)</f>
        <v>0</v>
      </c>
      <c r="AD233" s="16">
        <f>IFERROR(__xludf.DUMMYFUNCTION("""COMPUTED_VALUE"""),0.0)</f>
        <v>0</v>
      </c>
      <c r="AE233" s="16">
        <f>IFERROR(__xludf.DUMMYFUNCTION("""COMPUTED_VALUE"""),0.0)</f>
        <v>0</v>
      </c>
      <c r="AF233" s="16">
        <f>IFERROR(__xludf.DUMMYFUNCTION("""COMPUTED_VALUE"""),0.0)</f>
        <v>0</v>
      </c>
      <c r="AG233" s="16">
        <f>IFERROR(__xludf.DUMMYFUNCTION("""COMPUTED_VALUE"""),0.0)</f>
        <v>0</v>
      </c>
      <c r="AH233" s="16">
        <f>IFERROR(__xludf.DUMMYFUNCTION("""COMPUTED_VALUE"""),0.0)</f>
        <v>0</v>
      </c>
    </row>
    <row r="234">
      <c r="A234" s="16" t="str">
        <f>IFERROR(__xludf.DUMMYFUNCTION("""COMPUTED_VALUE"""),"cec33b3e9f3607e7d8ae32858f0e715a91e937c4")</f>
        <v>cec33b3e9f3607e7d8ae32858f0e715a91e937c4</v>
      </c>
      <c r="B234" s="16" t="str">
        <f>IFERROR(__xludf.DUMMYFUNCTION("""COMPUTED_VALUE"""),"From Squalor to Moneybag")</f>
        <v>From Squalor to Moneybag</v>
      </c>
      <c r="C234" s="16" t="str">
        <f>IFERROR(__xludf.DUMMYFUNCTION("""COMPUTED_VALUE"""),"Drama")</f>
        <v>Drama</v>
      </c>
      <c r="D234" s="16">
        <f>IFERROR(__xludf.DUMMYFUNCTION("""COMPUTED_VALUE"""),498.0)</f>
        <v>498</v>
      </c>
      <c r="E234" s="16">
        <f>IFERROR(__xludf.DUMMYFUNCTION("""COMPUTED_VALUE"""),0.961847389558232)</f>
        <v>0.9618473896</v>
      </c>
      <c r="F234" s="16">
        <f>IFERROR(__xludf.DUMMYFUNCTION("""COMPUTED_VALUE"""),0.682730923694779)</f>
        <v>0.6827309237</v>
      </c>
      <c r="G234" s="16">
        <f>IFERROR(__xludf.DUMMYFUNCTION("""COMPUTED_VALUE"""),0.692771084337349)</f>
        <v>0.6927710843</v>
      </c>
      <c r="H234" s="16">
        <f>IFERROR(__xludf.DUMMYFUNCTION("""COMPUTED_VALUE"""),0.670682730923694)</f>
        <v>0.6706827309</v>
      </c>
      <c r="I234" s="16">
        <f>IFERROR(__xludf.DUMMYFUNCTION("""COMPUTED_VALUE"""),0.580321285140562)</f>
        <v>0.5803212851</v>
      </c>
      <c r="J234" s="16">
        <f>IFERROR(__xludf.DUMMYFUNCTION("""COMPUTED_VALUE"""),0.47443762781186)</f>
        <v>0.4744376278</v>
      </c>
      <c r="K234" s="16">
        <f>IFERROR(__xludf.DUMMYFUNCTION("""COMPUTED_VALUE"""),0.4)</f>
        <v>0.4</v>
      </c>
      <c r="L234" s="16">
        <f>IFERROR(__xludf.DUMMYFUNCTION("""COMPUTED_VALUE"""),0.350588235294117)</f>
        <v>0.3505882353</v>
      </c>
      <c r="M234" s="16">
        <f>IFERROR(__xludf.DUMMYFUNCTION("""COMPUTED_VALUE"""),0.323308270676691)</f>
        <v>0.3233082707</v>
      </c>
      <c r="N234" s="16">
        <f>IFERROR(__xludf.DUMMYFUNCTION("""COMPUTED_VALUE"""),0.306849315068493)</f>
        <v>0.3068493151</v>
      </c>
      <c r="O234" s="16">
        <f>IFERROR(__xludf.DUMMYFUNCTION("""COMPUTED_VALUE"""),0.202952029520295)</f>
        <v>0.2029520295</v>
      </c>
      <c r="P234" s="16">
        <f>IFERROR(__xludf.DUMMYFUNCTION("""COMPUTED_VALUE"""),0.138888888888888)</f>
        <v>0.1388888889</v>
      </c>
      <c r="Q234" s="16">
        <f>IFERROR(__xludf.DUMMYFUNCTION("""COMPUTED_VALUE"""),0.0426540284360189)</f>
        <v>0.04265402844</v>
      </c>
      <c r="R234" s="16">
        <f>IFERROR(__xludf.DUMMYFUNCTION("""COMPUTED_VALUE"""),0.0331753554502369)</f>
        <v>0.03317535545</v>
      </c>
      <c r="S234" s="16">
        <f>IFERROR(__xludf.DUMMYFUNCTION("""COMPUTED_VALUE"""),0.0)</f>
        <v>0</v>
      </c>
      <c r="T234" s="16">
        <f>IFERROR(__xludf.DUMMYFUNCTION("""COMPUTED_VALUE"""),0.0)</f>
        <v>0</v>
      </c>
      <c r="U234" s="16">
        <f>IFERROR(__xludf.DUMMYFUNCTION("""COMPUTED_VALUE"""),0.0)</f>
        <v>0</v>
      </c>
      <c r="V234" s="16">
        <f>IFERROR(__xludf.DUMMYFUNCTION("""COMPUTED_VALUE"""),0.0)</f>
        <v>0</v>
      </c>
      <c r="W234" s="16">
        <f>IFERROR(__xludf.DUMMYFUNCTION("""COMPUTED_VALUE"""),0.0)</f>
        <v>0</v>
      </c>
      <c r="X234" s="16">
        <f>IFERROR(__xludf.DUMMYFUNCTION("""COMPUTED_VALUE"""),0.0)</f>
        <v>0</v>
      </c>
      <c r="Y234" s="16">
        <f>IFERROR(__xludf.DUMMYFUNCTION("""COMPUTED_VALUE"""),0.0)</f>
        <v>0</v>
      </c>
      <c r="Z234" s="16">
        <f>IFERROR(__xludf.DUMMYFUNCTION("""COMPUTED_VALUE"""),0.0)</f>
        <v>0</v>
      </c>
      <c r="AA234" s="16">
        <f>IFERROR(__xludf.DUMMYFUNCTION("""COMPUTED_VALUE"""),0.0)</f>
        <v>0</v>
      </c>
      <c r="AB234" s="16">
        <f>IFERROR(__xludf.DUMMYFUNCTION("""COMPUTED_VALUE"""),0.0)</f>
        <v>0</v>
      </c>
      <c r="AC234" s="16">
        <f>IFERROR(__xludf.DUMMYFUNCTION("""COMPUTED_VALUE"""),0.0)</f>
        <v>0</v>
      </c>
      <c r="AD234" s="16">
        <f>IFERROR(__xludf.DUMMYFUNCTION("""COMPUTED_VALUE"""),0.0)</f>
        <v>0</v>
      </c>
      <c r="AE234" s="16">
        <f>IFERROR(__xludf.DUMMYFUNCTION("""COMPUTED_VALUE"""),0.0)</f>
        <v>0</v>
      </c>
      <c r="AF234" s="16">
        <f>IFERROR(__xludf.DUMMYFUNCTION("""COMPUTED_VALUE"""),0.0)</f>
        <v>0</v>
      </c>
      <c r="AG234" s="16">
        <f>IFERROR(__xludf.DUMMYFUNCTION("""COMPUTED_VALUE"""),0.0)</f>
        <v>0</v>
      </c>
      <c r="AH234" s="16">
        <f>IFERROR(__xludf.DUMMYFUNCTION("""COMPUTED_VALUE"""),0.0)</f>
        <v>0</v>
      </c>
    </row>
    <row r="235">
      <c r="A235" s="16" t="str">
        <f>IFERROR(__xludf.DUMMYFUNCTION("""COMPUTED_VALUE"""),"d2aaef61d998c9f90c2df15eafe1acd784549269")</f>
        <v>d2aaef61d998c9f90c2df15eafe1acd784549269</v>
      </c>
      <c r="B235" s="16" t="str">
        <f>IFERROR(__xludf.DUMMYFUNCTION("""COMPUTED_VALUE"""),"Alpha Braxton")</f>
        <v>Alpha Braxton</v>
      </c>
      <c r="C235" s="16" t="str">
        <f>IFERROR(__xludf.DUMMYFUNCTION("""COMPUTED_VALUE"""),"Romantasy")</f>
        <v>Romantasy</v>
      </c>
      <c r="D235" s="16">
        <f>IFERROR(__xludf.DUMMYFUNCTION("""COMPUTED_VALUE"""),318.0)</f>
        <v>318</v>
      </c>
      <c r="E235" s="16">
        <f>IFERROR(__xludf.DUMMYFUNCTION("""COMPUTED_VALUE"""),0.962264150943396)</f>
        <v>0.9622641509</v>
      </c>
      <c r="F235" s="16">
        <f>IFERROR(__xludf.DUMMYFUNCTION("""COMPUTED_VALUE"""),0.610062893081761)</f>
        <v>0.6100628931</v>
      </c>
      <c r="G235" s="16">
        <f>IFERROR(__xludf.DUMMYFUNCTION("""COMPUTED_VALUE"""),0.556603773584905)</f>
        <v>0.5566037736</v>
      </c>
      <c r="H235" s="16">
        <f>IFERROR(__xludf.DUMMYFUNCTION("""COMPUTED_VALUE"""),0.5062893081761)</f>
        <v>0.5062893082</v>
      </c>
      <c r="I235" s="16">
        <f>IFERROR(__xludf.DUMMYFUNCTION("""COMPUTED_VALUE"""),0.477987421383647)</f>
        <v>0.4779874214</v>
      </c>
      <c r="J235" s="16">
        <f>IFERROR(__xludf.DUMMYFUNCTION("""COMPUTED_VALUE"""),0.449685534591195)</f>
        <v>0.4496855346</v>
      </c>
      <c r="K235" s="16">
        <f>IFERROR(__xludf.DUMMYFUNCTION("""COMPUTED_VALUE"""),0.443396226415094)</f>
        <v>0.4433962264</v>
      </c>
      <c r="L235" s="16">
        <f>IFERROR(__xludf.DUMMYFUNCTION("""COMPUTED_VALUE"""),0.427672955974842)</f>
        <v>0.427672956</v>
      </c>
      <c r="M235" s="16">
        <f>IFERROR(__xludf.DUMMYFUNCTION("""COMPUTED_VALUE"""),0.418238993710691)</f>
        <v>0.4182389937</v>
      </c>
      <c r="N235" s="16">
        <f>IFERROR(__xludf.DUMMYFUNCTION("""COMPUTED_VALUE"""),0.421383647798742)</f>
        <v>0.4213836478</v>
      </c>
      <c r="O235" s="16">
        <f>IFERROR(__xludf.DUMMYFUNCTION("""COMPUTED_VALUE"""),0.358490566037735)</f>
        <v>0.358490566</v>
      </c>
      <c r="P235" s="16">
        <f>IFERROR(__xludf.DUMMYFUNCTION("""COMPUTED_VALUE"""),0.342857142857142)</f>
        <v>0.3428571429</v>
      </c>
      <c r="Q235" s="16">
        <f>IFERROR(__xludf.DUMMYFUNCTION("""COMPUTED_VALUE"""),0.235294117647058)</f>
        <v>0.2352941176</v>
      </c>
      <c r="R235" s="16">
        <f>IFERROR(__xludf.DUMMYFUNCTION("""COMPUTED_VALUE"""),0.142857142857142)</f>
        <v>0.1428571429</v>
      </c>
      <c r="S235" s="16">
        <f>IFERROR(__xludf.DUMMYFUNCTION("""COMPUTED_VALUE"""),0.0)</f>
        <v>0</v>
      </c>
      <c r="T235" s="16">
        <f>IFERROR(__xludf.DUMMYFUNCTION("""COMPUTED_VALUE"""),0.0)</f>
        <v>0</v>
      </c>
      <c r="U235" s="16">
        <f>IFERROR(__xludf.DUMMYFUNCTION("""COMPUTED_VALUE"""),0.0)</f>
        <v>0</v>
      </c>
      <c r="V235" s="16">
        <f>IFERROR(__xludf.DUMMYFUNCTION("""COMPUTED_VALUE"""),0.0)</f>
        <v>0</v>
      </c>
      <c r="W235" s="16">
        <f>IFERROR(__xludf.DUMMYFUNCTION("""COMPUTED_VALUE"""),0.0)</f>
        <v>0</v>
      </c>
      <c r="X235" s="16">
        <f>IFERROR(__xludf.DUMMYFUNCTION("""COMPUTED_VALUE"""),0.0)</f>
        <v>0</v>
      </c>
      <c r="Y235" s="16">
        <f>IFERROR(__xludf.DUMMYFUNCTION("""COMPUTED_VALUE"""),0.0)</f>
        <v>0</v>
      </c>
      <c r="Z235" s="16">
        <f>IFERROR(__xludf.DUMMYFUNCTION("""COMPUTED_VALUE"""),0.0)</f>
        <v>0</v>
      </c>
      <c r="AA235" s="16">
        <f>IFERROR(__xludf.DUMMYFUNCTION("""COMPUTED_VALUE"""),0.0)</f>
        <v>0</v>
      </c>
      <c r="AB235" s="16">
        <f>IFERROR(__xludf.DUMMYFUNCTION("""COMPUTED_VALUE"""),0.0)</f>
        <v>0</v>
      </c>
      <c r="AC235" s="16">
        <f>IFERROR(__xludf.DUMMYFUNCTION("""COMPUTED_VALUE"""),0.0)</f>
        <v>0</v>
      </c>
      <c r="AD235" s="16">
        <f>IFERROR(__xludf.DUMMYFUNCTION("""COMPUTED_VALUE"""),0.0)</f>
        <v>0</v>
      </c>
      <c r="AE235" s="16">
        <f>IFERROR(__xludf.DUMMYFUNCTION("""COMPUTED_VALUE"""),0.0)</f>
        <v>0</v>
      </c>
      <c r="AF235" s="16">
        <f>IFERROR(__xludf.DUMMYFUNCTION("""COMPUTED_VALUE"""),0.0)</f>
        <v>0</v>
      </c>
      <c r="AG235" s="16">
        <f>IFERROR(__xludf.DUMMYFUNCTION("""COMPUTED_VALUE"""),0.0)</f>
        <v>0</v>
      </c>
      <c r="AH235" s="16">
        <f>IFERROR(__xludf.DUMMYFUNCTION("""COMPUTED_VALUE"""),0.0)</f>
        <v>0</v>
      </c>
    </row>
    <row r="236">
      <c r="A236" s="16" t="str">
        <f>IFERROR(__xludf.DUMMYFUNCTION("""COMPUTED_VALUE"""),"d3866fc3c89b4f6e7425ea92decf796ef97098db")</f>
        <v>d3866fc3c89b4f6e7425ea92decf796ef97098db</v>
      </c>
      <c r="B236" s="16" t="str">
        <f>IFERROR(__xludf.DUMMYFUNCTION("""COMPUTED_VALUE"""),"The Billionaire's Twins")</f>
        <v>The Billionaire's Twins</v>
      </c>
      <c r="C236" s="16" t="str">
        <f>IFERROR(__xludf.DUMMYFUNCTION("""COMPUTED_VALUE"""),"Romance")</f>
        <v>Romance</v>
      </c>
      <c r="D236" s="16">
        <f>IFERROR(__xludf.DUMMYFUNCTION("""COMPUTED_VALUE"""),58.0)</f>
        <v>58</v>
      </c>
      <c r="E236" s="16">
        <f>IFERROR(__xludf.DUMMYFUNCTION("""COMPUTED_VALUE"""),0.96551724137931)</f>
        <v>0.9655172414</v>
      </c>
      <c r="F236" s="16">
        <f>IFERROR(__xludf.DUMMYFUNCTION("""COMPUTED_VALUE"""),0.758620689655172)</f>
        <v>0.7586206897</v>
      </c>
      <c r="G236" s="16">
        <f>IFERROR(__xludf.DUMMYFUNCTION("""COMPUTED_VALUE"""),0.706896551724137)</f>
        <v>0.7068965517</v>
      </c>
      <c r="H236" s="16">
        <f>IFERROR(__xludf.DUMMYFUNCTION("""COMPUTED_VALUE"""),0.672413793103448)</f>
        <v>0.6724137931</v>
      </c>
      <c r="I236" s="16">
        <f>IFERROR(__xludf.DUMMYFUNCTION("""COMPUTED_VALUE"""),0.637931034482758)</f>
        <v>0.6379310345</v>
      </c>
      <c r="J236" s="16">
        <f>IFERROR(__xludf.DUMMYFUNCTION("""COMPUTED_VALUE"""),0.655172413793103)</f>
        <v>0.6551724138</v>
      </c>
      <c r="K236" s="16">
        <f>IFERROR(__xludf.DUMMYFUNCTION("""COMPUTED_VALUE"""),0.6)</f>
        <v>0.6</v>
      </c>
      <c r="L236" s="16">
        <f>IFERROR(__xludf.DUMMYFUNCTION("""COMPUTED_VALUE"""),0.581818181818181)</f>
        <v>0.5818181818</v>
      </c>
      <c r="M236" s="16">
        <f>IFERROR(__xludf.DUMMYFUNCTION("""COMPUTED_VALUE"""),0.574074074074074)</f>
        <v>0.5740740741</v>
      </c>
      <c r="N236" s="16">
        <f>IFERROR(__xludf.DUMMYFUNCTION("""COMPUTED_VALUE"""),0.519230769230769)</f>
        <v>0.5192307692</v>
      </c>
      <c r="O236" s="16">
        <f>IFERROR(__xludf.DUMMYFUNCTION("""COMPUTED_VALUE"""),0.4)</f>
        <v>0.4</v>
      </c>
      <c r="P236" s="16">
        <f>IFERROR(__xludf.DUMMYFUNCTION("""COMPUTED_VALUE"""),0.357142857142857)</f>
        <v>0.3571428571</v>
      </c>
      <c r="Q236" s="16">
        <f>IFERROR(__xludf.DUMMYFUNCTION("""COMPUTED_VALUE"""),0.222222222222222)</f>
        <v>0.2222222222</v>
      </c>
      <c r="R236" s="16">
        <f>IFERROR(__xludf.DUMMYFUNCTION("""COMPUTED_VALUE"""),0.2)</f>
        <v>0.2</v>
      </c>
      <c r="S236" s="16">
        <f>IFERROR(__xludf.DUMMYFUNCTION("""COMPUTED_VALUE"""),0.0)</f>
        <v>0</v>
      </c>
      <c r="T236" s="16">
        <f>IFERROR(__xludf.DUMMYFUNCTION("""COMPUTED_VALUE"""),0.0)</f>
        <v>0</v>
      </c>
      <c r="U236" s="16">
        <f>IFERROR(__xludf.DUMMYFUNCTION("""COMPUTED_VALUE"""),0.0)</f>
        <v>0</v>
      </c>
      <c r="V236" s="16">
        <f>IFERROR(__xludf.DUMMYFUNCTION("""COMPUTED_VALUE"""),0.0)</f>
        <v>0</v>
      </c>
      <c r="W236" s="16">
        <f>IFERROR(__xludf.DUMMYFUNCTION("""COMPUTED_VALUE"""),0.0)</f>
        <v>0</v>
      </c>
      <c r="X236" s="16">
        <f>IFERROR(__xludf.DUMMYFUNCTION("""COMPUTED_VALUE"""),0.0)</f>
        <v>0</v>
      </c>
      <c r="Y236" s="16">
        <f>IFERROR(__xludf.DUMMYFUNCTION("""COMPUTED_VALUE"""),0.0)</f>
        <v>0</v>
      </c>
      <c r="Z236" s="16">
        <f>IFERROR(__xludf.DUMMYFUNCTION("""COMPUTED_VALUE"""),0.0)</f>
        <v>0</v>
      </c>
      <c r="AA236" s="16">
        <f>IFERROR(__xludf.DUMMYFUNCTION("""COMPUTED_VALUE"""),0.0)</f>
        <v>0</v>
      </c>
      <c r="AB236" s="16">
        <f>IFERROR(__xludf.DUMMYFUNCTION("""COMPUTED_VALUE"""),0.0)</f>
        <v>0</v>
      </c>
      <c r="AC236" s="16">
        <f>IFERROR(__xludf.DUMMYFUNCTION("""COMPUTED_VALUE"""),0.0)</f>
        <v>0</v>
      </c>
      <c r="AD236" s="16">
        <f>IFERROR(__xludf.DUMMYFUNCTION("""COMPUTED_VALUE"""),0.0)</f>
        <v>0</v>
      </c>
      <c r="AE236" s="16">
        <f>IFERROR(__xludf.DUMMYFUNCTION("""COMPUTED_VALUE"""),0.0)</f>
        <v>0</v>
      </c>
      <c r="AF236" s="16">
        <f>IFERROR(__xludf.DUMMYFUNCTION("""COMPUTED_VALUE"""),0.0)</f>
        <v>0</v>
      </c>
      <c r="AG236" s="16">
        <f>IFERROR(__xludf.DUMMYFUNCTION("""COMPUTED_VALUE"""),0.0)</f>
        <v>0</v>
      </c>
      <c r="AH236" s="16">
        <f>IFERROR(__xludf.DUMMYFUNCTION("""COMPUTED_VALUE"""),0.0)</f>
        <v>0</v>
      </c>
    </row>
    <row r="237">
      <c r="A237" s="16" t="str">
        <f>IFERROR(__xludf.DUMMYFUNCTION("""COMPUTED_VALUE"""),"d419897471d8bc8312abf495d27412e669ccf6d0")</f>
        <v>d419897471d8bc8312abf495d27412e669ccf6d0</v>
      </c>
      <c r="B237" s="16" t="str">
        <f>IFERROR(__xludf.DUMMYFUNCTION("""COMPUTED_VALUE"""),"His Borrowed Wife")</f>
        <v>His Borrowed Wife</v>
      </c>
      <c r="C237" s="16" t="str">
        <f>IFERROR(__xludf.DUMMYFUNCTION("""COMPUTED_VALUE"""),"Romance")</f>
        <v>Romance</v>
      </c>
      <c r="D237" s="16">
        <f>IFERROR(__xludf.DUMMYFUNCTION("""COMPUTED_VALUE"""),260.0)</f>
        <v>260</v>
      </c>
      <c r="E237" s="16">
        <f>IFERROR(__xludf.DUMMYFUNCTION("""COMPUTED_VALUE"""),0.988461538461538)</f>
        <v>0.9884615385</v>
      </c>
      <c r="F237" s="16">
        <f>IFERROR(__xludf.DUMMYFUNCTION("""COMPUTED_VALUE"""),0.519230769230769)</f>
        <v>0.5192307692</v>
      </c>
      <c r="G237" s="16">
        <f>IFERROR(__xludf.DUMMYFUNCTION("""COMPUTED_VALUE"""),0.461538461538461)</f>
        <v>0.4615384615</v>
      </c>
      <c r="H237" s="16">
        <f>IFERROR(__xludf.DUMMYFUNCTION("""COMPUTED_VALUE"""),0.419230769230769)</f>
        <v>0.4192307692</v>
      </c>
      <c r="I237" s="16">
        <f>IFERROR(__xludf.DUMMYFUNCTION("""COMPUTED_VALUE"""),0.392307692307692)</f>
        <v>0.3923076923</v>
      </c>
      <c r="J237" s="16">
        <f>IFERROR(__xludf.DUMMYFUNCTION("""COMPUTED_VALUE"""),0.392996108949416)</f>
        <v>0.3929961089</v>
      </c>
      <c r="K237" s="16">
        <f>IFERROR(__xludf.DUMMYFUNCTION("""COMPUTED_VALUE"""),0.368)</f>
        <v>0.368</v>
      </c>
      <c r="L237" s="16">
        <f>IFERROR(__xludf.DUMMYFUNCTION("""COMPUTED_VALUE"""),0.360655737704918)</f>
        <v>0.3606557377</v>
      </c>
      <c r="M237" s="16">
        <f>IFERROR(__xludf.DUMMYFUNCTION("""COMPUTED_VALUE"""),0.347107438016528)</f>
        <v>0.347107438</v>
      </c>
      <c r="N237" s="16">
        <f>IFERROR(__xludf.DUMMYFUNCTION("""COMPUTED_VALUE"""),0.34453781512605)</f>
        <v>0.3445378151</v>
      </c>
      <c r="O237" s="16">
        <f>IFERROR(__xludf.DUMMYFUNCTION("""COMPUTED_VALUE"""),0.346320346320346)</f>
        <v>0.3463203463</v>
      </c>
      <c r="P237" s="16">
        <f>IFERROR(__xludf.DUMMYFUNCTION("""COMPUTED_VALUE"""),0.33125)</f>
        <v>0.33125</v>
      </c>
      <c r="Q237" s="16">
        <f>IFERROR(__xludf.DUMMYFUNCTION("""COMPUTED_VALUE"""),0.4)</f>
        <v>0.4</v>
      </c>
      <c r="R237" s="16">
        <f>IFERROR(__xludf.DUMMYFUNCTION("""COMPUTED_VALUE"""),0.0)</f>
        <v>0</v>
      </c>
      <c r="S237" s="16">
        <f>IFERROR(__xludf.DUMMYFUNCTION("""COMPUTED_VALUE"""),0.0)</f>
        <v>0</v>
      </c>
      <c r="T237" s="16">
        <f>IFERROR(__xludf.DUMMYFUNCTION("""COMPUTED_VALUE"""),0.0)</f>
        <v>0</v>
      </c>
      <c r="U237" s="16">
        <f>IFERROR(__xludf.DUMMYFUNCTION("""COMPUTED_VALUE"""),0.0)</f>
        <v>0</v>
      </c>
      <c r="V237" s="16">
        <f>IFERROR(__xludf.DUMMYFUNCTION("""COMPUTED_VALUE"""),0.0)</f>
        <v>0</v>
      </c>
      <c r="W237" s="16">
        <f>IFERROR(__xludf.DUMMYFUNCTION("""COMPUTED_VALUE"""),0.0)</f>
        <v>0</v>
      </c>
      <c r="X237" s="16">
        <f>IFERROR(__xludf.DUMMYFUNCTION("""COMPUTED_VALUE"""),0.0)</f>
        <v>0</v>
      </c>
      <c r="Y237" s="16">
        <f>IFERROR(__xludf.DUMMYFUNCTION("""COMPUTED_VALUE"""),0.0)</f>
        <v>0</v>
      </c>
      <c r="Z237" s="16">
        <f>IFERROR(__xludf.DUMMYFUNCTION("""COMPUTED_VALUE"""),0.0)</f>
        <v>0</v>
      </c>
      <c r="AA237" s="16">
        <f>IFERROR(__xludf.DUMMYFUNCTION("""COMPUTED_VALUE"""),0.0)</f>
        <v>0</v>
      </c>
      <c r="AB237" s="16">
        <f>IFERROR(__xludf.DUMMYFUNCTION("""COMPUTED_VALUE"""),0.0)</f>
        <v>0</v>
      </c>
      <c r="AC237" s="16">
        <f>IFERROR(__xludf.DUMMYFUNCTION("""COMPUTED_VALUE"""),0.0)</f>
        <v>0</v>
      </c>
      <c r="AD237" s="16">
        <f>IFERROR(__xludf.DUMMYFUNCTION("""COMPUTED_VALUE"""),0.0)</f>
        <v>0</v>
      </c>
      <c r="AE237" s="16">
        <f>IFERROR(__xludf.DUMMYFUNCTION("""COMPUTED_VALUE"""),0.0)</f>
        <v>0</v>
      </c>
      <c r="AF237" s="16">
        <f>IFERROR(__xludf.DUMMYFUNCTION("""COMPUTED_VALUE"""),0.0)</f>
        <v>0</v>
      </c>
      <c r="AG237" s="16">
        <f>IFERROR(__xludf.DUMMYFUNCTION("""COMPUTED_VALUE"""),0.0)</f>
        <v>0</v>
      </c>
      <c r="AH237" s="16">
        <f>IFERROR(__xludf.DUMMYFUNCTION("""COMPUTED_VALUE"""),0.0)</f>
        <v>0</v>
      </c>
    </row>
    <row r="238">
      <c r="A238" s="16" t="str">
        <f>IFERROR(__xludf.DUMMYFUNCTION("""COMPUTED_VALUE"""),"d4bf13e8bbfcd2fa5b75aa042e47479d3a06188b")</f>
        <v>d4bf13e8bbfcd2fa5b75aa042e47479d3a06188b</v>
      </c>
      <c r="B238" s="16" t="str">
        <f>IFERROR(__xludf.DUMMYFUNCTION("""COMPUTED_VALUE"""),"Undead Tamer's Necro Pets")</f>
        <v>Undead Tamer's Necro Pets</v>
      </c>
      <c r="C238" s="16" t="str">
        <f>IFERROR(__xludf.DUMMYFUNCTION("""COMPUTED_VALUE"""),"Fantasy")</f>
        <v>Fantasy</v>
      </c>
      <c r="D238" s="16">
        <f>IFERROR(__xludf.DUMMYFUNCTION("""COMPUTED_VALUE"""),874.0)</f>
        <v>874</v>
      </c>
      <c r="E238" s="16">
        <f>IFERROR(__xludf.DUMMYFUNCTION("""COMPUTED_VALUE"""),0.989702517162471)</f>
        <v>0.9897025172</v>
      </c>
      <c r="F238" s="16">
        <f>IFERROR(__xludf.DUMMYFUNCTION("""COMPUTED_VALUE"""),0.55720823798627)</f>
        <v>0.557208238</v>
      </c>
      <c r="G238" s="16">
        <f>IFERROR(__xludf.DUMMYFUNCTION("""COMPUTED_VALUE"""),0.45766590389016)</f>
        <v>0.4576659039</v>
      </c>
      <c r="H238" s="16">
        <f>IFERROR(__xludf.DUMMYFUNCTION("""COMPUTED_VALUE"""),0.40045766590389)</f>
        <v>0.4004576659</v>
      </c>
      <c r="I238" s="16">
        <f>IFERROR(__xludf.DUMMYFUNCTION("""COMPUTED_VALUE"""),0.390160183066361)</f>
        <v>0.3901601831</v>
      </c>
      <c r="J238" s="16">
        <f>IFERROR(__xludf.DUMMYFUNCTION("""COMPUTED_VALUE"""),0.364261168384879)</f>
        <v>0.3642611684</v>
      </c>
      <c r="K238" s="16">
        <f>IFERROR(__xludf.DUMMYFUNCTION("""COMPUTED_VALUE"""),0.344788087056128)</f>
        <v>0.3447880871</v>
      </c>
      <c r="L238" s="16">
        <f>IFERROR(__xludf.DUMMYFUNCTION("""COMPUTED_VALUE"""),0.327146171693735)</f>
        <v>0.3271461717</v>
      </c>
      <c r="M238" s="16">
        <f>IFERROR(__xludf.DUMMYFUNCTION("""COMPUTED_VALUE"""),0.311915887850467)</f>
        <v>0.3119158879</v>
      </c>
      <c r="N238" s="16">
        <f>IFERROR(__xludf.DUMMYFUNCTION("""COMPUTED_VALUE"""),0.302380952380952)</f>
        <v>0.3023809524</v>
      </c>
      <c r="O238" s="16">
        <f>IFERROR(__xludf.DUMMYFUNCTION("""COMPUTED_VALUE"""),0.283582089552238)</f>
        <v>0.2835820896</v>
      </c>
      <c r="P238" s="16">
        <f>IFERROR(__xludf.DUMMYFUNCTION("""COMPUTED_VALUE"""),0.263888888888888)</f>
        <v>0.2638888889</v>
      </c>
      <c r="Q238" s="16">
        <f>IFERROR(__xludf.DUMMYFUNCTION("""COMPUTED_VALUE"""),0.0)</f>
        <v>0</v>
      </c>
      <c r="R238" s="16">
        <f>IFERROR(__xludf.DUMMYFUNCTION("""COMPUTED_VALUE"""),0.0)</f>
        <v>0</v>
      </c>
      <c r="S238" s="16">
        <f>IFERROR(__xludf.DUMMYFUNCTION("""COMPUTED_VALUE"""),0.0)</f>
        <v>0</v>
      </c>
      <c r="T238" s="16">
        <f>IFERROR(__xludf.DUMMYFUNCTION("""COMPUTED_VALUE"""),0.0)</f>
        <v>0</v>
      </c>
      <c r="U238" s="16">
        <f>IFERROR(__xludf.DUMMYFUNCTION("""COMPUTED_VALUE"""),0.0)</f>
        <v>0</v>
      </c>
      <c r="V238" s="16">
        <f>IFERROR(__xludf.DUMMYFUNCTION("""COMPUTED_VALUE"""),0.0)</f>
        <v>0</v>
      </c>
      <c r="W238" s="16">
        <f>IFERROR(__xludf.DUMMYFUNCTION("""COMPUTED_VALUE"""),0.0)</f>
        <v>0</v>
      </c>
      <c r="X238" s="16">
        <f>IFERROR(__xludf.DUMMYFUNCTION("""COMPUTED_VALUE"""),0.0)</f>
        <v>0</v>
      </c>
      <c r="Y238" s="16">
        <f>IFERROR(__xludf.DUMMYFUNCTION("""COMPUTED_VALUE"""),0.0)</f>
        <v>0</v>
      </c>
      <c r="Z238" s="16">
        <f>IFERROR(__xludf.DUMMYFUNCTION("""COMPUTED_VALUE"""),0.0)</f>
        <v>0</v>
      </c>
      <c r="AA238" s="16">
        <f>IFERROR(__xludf.DUMMYFUNCTION("""COMPUTED_VALUE"""),0.0)</f>
        <v>0</v>
      </c>
      <c r="AB238" s="16">
        <f>IFERROR(__xludf.DUMMYFUNCTION("""COMPUTED_VALUE"""),0.0)</f>
        <v>0</v>
      </c>
      <c r="AC238" s="16">
        <f>IFERROR(__xludf.DUMMYFUNCTION("""COMPUTED_VALUE"""),0.0)</f>
        <v>0</v>
      </c>
      <c r="AD238" s="16">
        <f>IFERROR(__xludf.DUMMYFUNCTION("""COMPUTED_VALUE"""),0.0)</f>
        <v>0</v>
      </c>
      <c r="AE238" s="16">
        <f>IFERROR(__xludf.DUMMYFUNCTION("""COMPUTED_VALUE"""),0.0)</f>
        <v>0</v>
      </c>
      <c r="AF238" s="16">
        <f>IFERROR(__xludf.DUMMYFUNCTION("""COMPUTED_VALUE"""),0.0)</f>
        <v>0</v>
      </c>
      <c r="AG238" s="16">
        <f>IFERROR(__xludf.DUMMYFUNCTION("""COMPUTED_VALUE"""),0.0)</f>
        <v>0</v>
      </c>
      <c r="AH238" s="16">
        <f>IFERROR(__xludf.DUMMYFUNCTION("""COMPUTED_VALUE"""),0.0)</f>
        <v>0</v>
      </c>
    </row>
    <row r="239">
      <c r="A239" s="16" t="str">
        <f>IFERROR(__xludf.DUMMYFUNCTION("""COMPUTED_VALUE"""),"d687598bacfd959af85400d722a39d5e62aad513")</f>
        <v>d687598bacfd959af85400d722a39d5e62aad513</v>
      </c>
      <c r="B239" s="16" t="str">
        <f>IFERROR(__xludf.DUMMYFUNCTION("""COMPUTED_VALUE"""),"Unexpectedly Mine")</f>
        <v>Unexpectedly Mine</v>
      </c>
      <c r="C239" s="16" t="str">
        <f>IFERROR(__xludf.DUMMYFUNCTION("""COMPUTED_VALUE"""),"Romance")</f>
        <v>Romance</v>
      </c>
      <c r="D239" s="16">
        <f>IFERROR(__xludf.DUMMYFUNCTION("""COMPUTED_VALUE"""),1073.0)</f>
        <v>1073</v>
      </c>
      <c r="E239" s="16">
        <f>IFERROR(__xludf.DUMMYFUNCTION("""COMPUTED_VALUE"""),0.94408201304753)</f>
        <v>0.944082013</v>
      </c>
      <c r="F239" s="16">
        <f>IFERROR(__xludf.DUMMYFUNCTION("""COMPUTED_VALUE"""),0.589934762348555)</f>
        <v>0.5899347623</v>
      </c>
      <c r="G239" s="16">
        <f>IFERROR(__xludf.DUMMYFUNCTION("""COMPUTED_VALUE"""),0.521901211556383)</f>
        <v>0.5219012116</v>
      </c>
      <c r="H239" s="16">
        <f>IFERROR(__xludf.DUMMYFUNCTION("""COMPUTED_VALUE"""),0.50605778191985)</f>
        <v>0.5060577819</v>
      </c>
      <c r="I239" s="16">
        <f>IFERROR(__xludf.DUMMYFUNCTION("""COMPUTED_VALUE"""),0.486486486486486)</f>
        <v>0.4864864865</v>
      </c>
      <c r="J239" s="16">
        <f>IFERROR(__xludf.DUMMYFUNCTION("""COMPUTED_VALUE"""),0.472506989748369)</f>
        <v>0.4725069897</v>
      </c>
      <c r="K239" s="16">
        <f>IFERROR(__xludf.DUMMYFUNCTION("""COMPUTED_VALUE"""),0.453867660764212)</f>
        <v>0.4538676608</v>
      </c>
      <c r="L239" s="16">
        <f>IFERROR(__xludf.DUMMYFUNCTION("""COMPUTED_VALUE"""),0.42110177404295)</f>
        <v>0.421101774</v>
      </c>
      <c r="M239" s="16">
        <f>IFERROR(__xludf.DUMMYFUNCTION("""COMPUTED_VALUE"""),0.424836601307189)</f>
        <v>0.4248366013</v>
      </c>
      <c r="N239" s="16">
        <f>IFERROR(__xludf.DUMMYFUNCTION("""COMPUTED_VALUE"""),0.410280373831775)</f>
        <v>0.4102803738</v>
      </c>
      <c r="O239" s="16">
        <f>IFERROR(__xludf.DUMMYFUNCTION("""COMPUTED_VALUE"""),0.353990610328638)</f>
        <v>0.3539906103</v>
      </c>
      <c r="P239" s="16">
        <f>IFERROR(__xludf.DUMMYFUNCTION("""COMPUTED_VALUE"""),0.319849482596425)</f>
        <v>0.3198494826</v>
      </c>
      <c r="Q239" s="16">
        <f>IFERROR(__xludf.DUMMYFUNCTION("""COMPUTED_VALUE"""),0.235404896421845)</f>
        <v>0.2354048964</v>
      </c>
      <c r="R239" s="16">
        <f>IFERROR(__xludf.DUMMYFUNCTION("""COMPUTED_VALUE"""),0.212064090480678)</f>
        <v>0.2120640905</v>
      </c>
      <c r="S239" s="16">
        <f>IFERROR(__xludf.DUMMYFUNCTION("""COMPUTED_VALUE"""),0.165882352941176)</f>
        <v>0.1658823529</v>
      </c>
      <c r="T239" s="16">
        <f>IFERROR(__xludf.DUMMYFUNCTION("""COMPUTED_VALUE"""),0.144721233689205)</f>
        <v>0.1447212337</v>
      </c>
      <c r="U239" s="16">
        <f>IFERROR(__xludf.DUMMYFUNCTION("""COMPUTED_VALUE"""),0.145328719723183)</f>
        <v>0.1453287197</v>
      </c>
      <c r="V239" s="16">
        <f>IFERROR(__xludf.DUMMYFUNCTION("""COMPUTED_VALUE"""),0.12109375)</f>
        <v>0.12109375</v>
      </c>
      <c r="W239" s="16">
        <f>IFERROR(__xludf.DUMMYFUNCTION("""COMPUTED_VALUE"""),0.0929705215419501)</f>
        <v>0.09297052154</v>
      </c>
      <c r="X239" s="16">
        <f>IFERROR(__xludf.DUMMYFUNCTION("""COMPUTED_VALUE"""),0.0839328537170263)</f>
        <v>0.08393285372</v>
      </c>
      <c r="Y239" s="16">
        <f>IFERROR(__xludf.DUMMYFUNCTION("""COMPUTED_VALUE"""),0.0718085106382978)</f>
        <v>0.07180851064</v>
      </c>
      <c r="Z239" s="16">
        <f>IFERROR(__xludf.DUMMYFUNCTION("""COMPUTED_VALUE"""),0.0561797752808988)</f>
        <v>0.05617977528</v>
      </c>
      <c r="AA239" s="16">
        <f>IFERROR(__xludf.DUMMYFUNCTION("""COMPUTED_VALUE"""),0.0202020202020202)</f>
        <v>0.0202020202</v>
      </c>
      <c r="AB239" s="16">
        <f>IFERROR(__xludf.DUMMYFUNCTION("""COMPUTED_VALUE"""),0.0)</f>
        <v>0</v>
      </c>
      <c r="AC239" s="16">
        <f>IFERROR(__xludf.DUMMYFUNCTION("""COMPUTED_VALUE"""),0.0)</f>
        <v>0</v>
      </c>
      <c r="AD239" s="16">
        <f>IFERROR(__xludf.DUMMYFUNCTION("""COMPUTED_VALUE"""),0.0)</f>
        <v>0</v>
      </c>
      <c r="AE239" s="16">
        <f>IFERROR(__xludf.DUMMYFUNCTION("""COMPUTED_VALUE"""),0.0)</f>
        <v>0</v>
      </c>
      <c r="AF239" s="16">
        <f>IFERROR(__xludf.DUMMYFUNCTION("""COMPUTED_VALUE"""),0.0)</f>
        <v>0</v>
      </c>
      <c r="AG239" s="16">
        <f>IFERROR(__xludf.DUMMYFUNCTION("""COMPUTED_VALUE"""),0.0)</f>
        <v>0</v>
      </c>
      <c r="AH239" s="16">
        <f>IFERROR(__xludf.DUMMYFUNCTION("""COMPUTED_VALUE"""),0.0)</f>
        <v>0</v>
      </c>
    </row>
    <row r="240">
      <c r="A240" s="16" t="str">
        <f>IFERROR(__xludf.DUMMYFUNCTION("""COMPUTED_VALUE"""),"d6ecb3540b1fdba82ccfa1fa9d0dbaa8fe59424c")</f>
        <v>d6ecb3540b1fdba82ccfa1fa9d0dbaa8fe59424c</v>
      </c>
      <c r="B240" s="16" t="str">
        <f>IFERROR(__xludf.DUMMYFUNCTION("""COMPUTED_VALUE"""),"Among the Undead")</f>
        <v>Among the Undead</v>
      </c>
      <c r="C240" s="16" t="str">
        <f>IFERROR(__xludf.DUMMYFUNCTION("""COMPUTED_VALUE"""),"Suspense or Thriller")</f>
        <v>Suspense or Thriller</v>
      </c>
      <c r="D240" s="16">
        <f>IFERROR(__xludf.DUMMYFUNCTION("""COMPUTED_VALUE"""),191.0)</f>
        <v>191</v>
      </c>
      <c r="E240" s="16">
        <f>IFERROR(__xludf.DUMMYFUNCTION("""COMPUTED_VALUE"""),0.994764397905759)</f>
        <v>0.9947643979</v>
      </c>
      <c r="F240" s="16">
        <f>IFERROR(__xludf.DUMMYFUNCTION("""COMPUTED_VALUE"""),0.497382198952879)</f>
        <v>0.497382199</v>
      </c>
      <c r="G240" s="16">
        <f>IFERROR(__xludf.DUMMYFUNCTION("""COMPUTED_VALUE"""),0.356020942408376)</f>
        <v>0.3560209424</v>
      </c>
      <c r="H240" s="16">
        <f>IFERROR(__xludf.DUMMYFUNCTION("""COMPUTED_VALUE"""),0.282722513089005)</f>
        <v>0.2827225131</v>
      </c>
      <c r="I240" s="16">
        <f>IFERROR(__xludf.DUMMYFUNCTION("""COMPUTED_VALUE"""),0.214659685863874)</f>
        <v>0.2146596859</v>
      </c>
      <c r="J240" s="16">
        <f>IFERROR(__xludf.DUMMYFUNCTION("""COMPUTED_VALUE"""),0.196721311475409)</f>
        <v>0.1967213115</v>
      </c>
      <c r="K240" s="16">
        <f>IFERROR(__xludf.DUMMYFUNCTION("""COMPUTED_VALUE"""),0.180790960451977)</f>
        <v>0.1807909605</v>
      </c>
      <c r="L240" s="16">
        <f>IFERROR(__xludf.DUMMYFUNCTION("""COMPUTED_VALUE"""),0.14367816091954)</f>
        <v>0.1436781609</v>
      </c>
      <c r="M240" s="16">
        <f>IFERROR(__xludf.DUMMYFUNCTION("""COMPUTED_VALUE"""),0.124260355029585)</f>
        <v>0.124260355</v>
      </c>
      <c r="N240" s="16">
        <f>IFERROR(__xludf.DUMMYFUNCTION("""COMPUTED_VALUE"""),0.127272727272727)</f>
        <v>0.1272727273</v>
      </c>
      <c r="O240" s="16">
        <f>IFERROR(__xludf.DUMMYFUNCTION("""COMPUTED_VALUE"""),0.0705128205128205)</f>
        <v>0.07051282051</v>
      </c>
      <c r="P240" s="16">
        <f>IFERROR(__xludf.DUMMYFUNCTION("""COMPUTED_VALUE"""),0.0495049504950495)</f>
        <v>0.0495049505</v>
      </c>
      <c r="Q240" s="16">
        <f>IFERROR(__xludf.DUMMYFUNCTION("""COMPUTED_VALUE"""),0.0689655172413793)</f>
        <v>0.06896551724</v>
      </c>
      <c r="R240" s="16">
        <f>IFERROR(__xludf.DUMMYFUNCTION("""COMPUTED_VALUE"""),0.0384615384615384)</f>
        <v>0.03846153846</v>
      </c>
      <c r="S240" s="16">
        <f>IFERROR(__xludf.DUMMYFUNCTION("""COMPUTED_VALUE"""),0.04)</f>
        <v>0.04</v>
      </c>
      <c r="T240" s="16">
        <f>IFERROR(__xludf.DUMMYFUNCTION("""COMPUTED_VALUE"""),0.0434782608695652)</f>
        <v>0.04347826087</v>
      </c>
      <c r="U240" s="16">
        <f>IFERROR(__xludf.DUMMYFUNCTION("""COMPUTED_VALUE"""),0.0)</f>
        <v>0</v>
      </c>
      <c r="V240" s="16">
        <f>IFERROR(__xludf.DUMMYFUNCTION("""COMPUTED_VALUE"""),0.0)</f>
        <v>0</v>
      </c>
      <c r="W240" s="16">
        <f>IFERROR(__xludf.DUMMYFUNCTION("""COMPUTED_VALUE"""),0.0)</f>
        <v>0</v>
      </c>
      <c r="X240" s="16">
        <f>IFERROR(__xludf.DUMMYFUNCTION("""COMPUTED_VALUE"""),0.0)</f>
        <v>0</v>
      </c>
      <c r="Y240" s="16">
        <f>IFERROR(__xludf.DUMMYFUNCTION("""COMPUTED_VALUE"""),0.0)</f>
        <v>0</v>
      </c>
      <c r="Z240" s="16">
        <f>IFERROR(__xludf.DUMMYFUNCTION("""COMPUTED_VALUE"""),0.0)</f>
        <v>0</v>
      </c>
      <c r="AA240" s="16">
        <f>IFERROR(__xludf.DUMMYFUNCTION("""COMPUTED_VALUE"""),0.0)</f>
        <v>0</v>
      </c>
      <c r="AB240" s="16">
        <f>IFERROR(__xludf.DUMMYFUNCTION("""COMPUTED_VALUE"""),0.0)</f>
        <v>0</v>
      </c>
      <c r="AC240" s="16">
        <f>IFERROR(__xludf.DUMMYFUNCTION("""COMPUTED_VALUE"""),0.0)</f>
        <v>0</v>
      </c>
      <c r="AD240" s="16">
        <f>IFERROR(__xludf.DUMMYFUNCTION("""COMPUTED_VALUE"""),0.0)</f>
        <v>0</v>
      </c>
      <c r="AE240" s="16">
        <f>IFERROR(__xludf.DUMMYFUNCTION("""COMPUTED_VALUE"""),0.0)</f>
        <v>0</v>
      </c>
      <c r="AF240" s="16">
        <f>IFERROR(__xludf.DUMMYFUNCTION("""COMPUTED_VALUE"""),0.0)</f>
        <v>0</v>
      </c>
      <c r="AG240" s="16">
        <f>IFERROR(__xludf.DUMMYFUNCTION("""COMPUTED_VALUE"""),0.0)</f>
        <v>0</v>
      </c>
      <c r="AH240" s="16">
        <f>IFERROR(__xludf.DUMMYFUNCTION("""COMPUTED_VALUE"""),0.0)</f>
        <v>0</v>
      </c>
    </row>
    <row r="241">
      <c r="A241" s="16" t="str">
        <f>IFERROR(__xludf.DUMMYFUNCTION("""COMPUTED_VALUE"""),"d71fc923d0820825aefcf4bf75b7743891f7feac")</f>
        <v>d71fc923d0820825aefcf4bf75b7743891f7feac</v>
      </c>
      <c r="B241" s="16" t="str">
        <f>IFERROR(__xludf.DUMMYFUNCTION("""COMPUTED_VALUE"""),"Only One Race")</f>
        <v>Only One Race</v>
      </c>
      <c r="C241" s="16" t="str">
        <f>IFERROR(__xludf.DUMMYFUNCTION("""COMPUTED_VALUE"""),"Fantasy")</f>
        <v>Fantasy</v>
      </c>
      <c r="D241" s="16">
        <f>IFERROR(__xludf.DUMMYFUNCTION("""COMPUTED_VALUE"""),444.0)</f>
        <v>444</v>
      </c>
      <c r="E241" s="16">
        <f>IFERROR(__xludf.DUMMYFUNCTION("""COMPUTED_VALUE"""),0.966216216216216)</f>
        <v>0.9662162162</v>
      </c>
      <c r="F241" s="16">
        <f>IFERROR(__xludf.DUMMYFUNCTION("""COMPUTED_VALUE"""),0.551801801801801)</f>
        <v>0.5518018018</v>
      </c>
      <c r="G241" s="16">
        <f>IFERROR(__xludf.DUMMYFUNCTION("""COMPUTED_VALUE"""),0.511261261261261)</f>
        <v>0.5112612613</v>
      </c>
      <c r="H241" s="16">
        <f>IFERROR(__xludf.DUMMYFUNCTION("""COMPUTED_VALUE"""),0.481981981981982)</f>
        <v>0.481981982</v>
      </c>
      <c r="I241" s="16">
        <f>IFERROR(__xludf.DUMMYFUNCTION("""COMPUTED_VALUE"""),0.445945945945945)</f>
        <v>0.4459459459</v>
      </c>
      <c r="J241" s="16">
        <f>IFERROR(__xludf.DUMMYFUNCTION("""COMPUTED_VALUE"""),0.414027149321266)</f>
        <v>0.4140271493</v>
      </c>
      <c r="K241" s="16">
        <f>IFERROR(__xludf.DUMMYFUNCTION("""COMPUTED_VALUE"""),0.407322654462242)</f>
        <v>0.4073226545</v>
      </c>
      <c r="L241" s="16">
        <f>IFERROR(__xludf.DUMMYFUNCTION("""COMPUTED_VALUE"""),0.391203703703703)</f>
        <v>0.3912037037</v>
      </c>
      <c r="M241" s="16">
        <f>IFERROR(__xludf.DUMMYFUNCTION("""COMPUTED_VALUE"""),0.373239436619718)</f>
        <v>0.3732394366</v>
      </c>
      <c r="N241" s="16">
        <f>IFERROR(__xludf.DUMMYFUNCTION("""COMPUTED_VALUE"""),0.359903381642512)</f>
        <v>0.3599033816</v>
      </c>
      <c r="O241" s="16">
        <f>IFERROR(__xludf.DUMMYFUNCTION("""COMPUTED_VALUE"""),0.268965517241379)</f>
        <v>0.2689655172</v>
      </c>
      <c r="P241" s="16">
        <f>IFERROR(__xludf.DUMMYFUNCTION("""COMPUTED_VALUE"""),0.352941176470588)</f>
        <v>0.3529411765</v>
      </c>
      <c r="Q241" s="16">
        <f>IFERROR(__xludf.DUMMYFUNCTION("""COMPUTED_VALUE"""),0.186046511627906)</f>
        <v>0.1860465116</v>
      </c>
      <c r="R241" s="16">
        <f>IFERROR(__xludf.DUMMYFUNCTION("""COMPUTED_VALUE"""),0.181818181818181)</f>
        <v>0.1818181818</v>
      </c>
      <c r="S241" s="16">
        <f>IFERROR(__xludf.DUMMYFUNCTION("""COMPUTED_VALUE"""),0.0)</f>
        <v>0</v>
      </c>
      <c r="T241" s="16">
        <f>IFERROR(__xludf.DUMMYFUNCTION("""COMPUTED_VALUE"""),0.0)</f>
        <v>0</v>
      </c>
      <c r="U241" s="16">
        <f>IFERROR(__xludf.DUMMYFUNCTION("""COMPUTED_VALUE"""),0.0)</f>
        <v>0</v>
      </c>
      <c r="V241" s="16">
        <f>IFERROR(__xludf.DUMMYFUNCTION("""COMPUTED_VALUE"""),0.0)</f>
        <v>0</v>
      </c>
      <c r="W241" s="16">
        <f>IFERROR(__xludf.DUMMYFUNCTION("""COMPUTED_VALUE"""),0.0)</f>
        <v>0</v>
      </c>
      <c r="X241" s="16">
        <f>IFERROR(__xludf.DUMMYFUNCTION("""COMPUTED_VALUE"""),0.0)</f>
        <v>0</v>
      </c>
      <c r="Y241" s="16">
        <f>IFERROR(__xludf.DUMMYFUNCTION("""COMPUTED_VALUE"""),0.0)</f>
        <v>0</v>
      </c>
      <c r="Z241" s="16">
        <f>IFERROR(__xludf.DUMMYFUNCTION("""COMPUTED_VALUE"""),0.0)</f>
        <v>0</v>
      </c>
      <c r="AA241" s="16">
        <f>IFERROR(__xludf.DUMMYFUNCTION("""COMPUTED_VALUE"""),0.0)</f>
        <v>0</v>
      </c>
      <c r="AB241" s="16">
        <f>IFERROR(__xludf.DUMMYFUNCTION("""COMPUTED_VALUE"""),0.0)</f>
        <v>0</v>
      </c>
      <c r="AC241" s="16">
        <f>IFERROR(__xludf.DUMMYFUNCTION("""COMPUTED_VALUE"""),0.0)</f>
        <v>0</v>
      </c>
      <c r="AD241" s="16">
        <f>IFERROR(__xludf.DUMMYFUNCTION("""COMPUTED_VALUE"""),0.0)</f>
        <v>0</v>
      </c>
      <c r="AE241" s="16">
        <f>IFERROR(__xludf.DUMMYFUNCTION("""COMPUTED_VALUE"""),0.0)</f>
        <v>0</v>
      </c>
      <c r="AF241" s="16">
        <f>IFERROR(__xludf.DUMMYFUNCTION("""COMPUTED_VALUE"""),0.0)</f>
        <v>0</v>
      </c>
      <c r="AG241" s="16">
        <f>IFERROR(__xludf.DUMMYFUNCTION("""COMPUTED_VALUE"""),0.0)</f>
        <v>0</v>
      </c>
      <c r="AH241" s="16">
        <f>IFERROR(__xludf.DUMMYFUNCTION("""COMPUTED_VALUE"""),0.0)</f>
        <v>0</v>
      </c>
    </row>
    <row r="242">
      <c r="A242" s="16" t="str">
        <f>IFERROR(__xludf.DUMMYFUNCTION("""COMPUTED_VALUE"""),"da2b63280d328cd78ef9102ea4f7f131a3ff6369")</f>
        <v>da2b63280d328cd78ef9102ea4f7f131a3ff6369</v>
      </c>
      <c r="B242" s="16" t="str">
        <f>IFERROR(__xludf.DUMMYFUNCTION("""COMPUTED_VALUE"""),"I Returned for Revenge")</f>
        <v>I Returned for Revenge</v>
      </c>
      <c r="C242" s="16" t="str">
        <f>IFERROR(__xludf.DUMMYFUNCTION("""COMPUTED_VALUE"""),"Romance")</f>
        <v>Romance</v>
      </c>
      <c r="D242" s="16">
        <f>IFERROR(__xludf.DUMMYFUNCTION("""COMPUTED_VALUE"""),27.0)</f>
        <v>27</v>
      </c>
      <c r="E242" s="16">
        <f>IFERROR(__xludf.DUMMYFUNCTION("""COMPUTED_VALUE"""),0.962962962962962)</f>
        <v>0.962962963</v>
      </c>
      <c r="F242" s="16">
        <f>IFERROR(__xludf.DUMMYFUNCTION("""COMPUTED_VALUE"""),0.74074074074074)</f>
        <v>0.7407407407</v>
      </c>
      <c r="G242" s="16">
        <f>IFERROR(__xludf.DUMMYFUNCTION("""COMPUTED_VALUE"""),0.629629629629629)</f>
        <v>0.6296296296</v>
      </c>
      <c r="H242" s="16">
        <f>IFERROR(__xludf.DUMMYFUNCTION("""COMPUTED_VALUE"""),0.666666666666666)</f>
        <v>0.6666666667</v>
      </c>
      <c r="I242" s="16">
        <f>IFERROR(__xludf.DUMMYFUNCTION("""COMPUTED_VALUE"""),0.592592592592592)</f>
        <v>0.5925925926</v>
      </c>
      <c r="J242" s="16">
        <f>IFERROR(__xludf.DUMMYFUNCTION("""COMPUTED_VALUE"""),0.555555555555555)</f>
        <v>0.5555555556</v>
      </c>
      <c r="K242" s="16">
        <f>IFERROR(__xludf.DUMMYFUNCTION("""COMPUTED_VALUE"""),0.5)</f>
        <v>0.5</v>
      </c>
      <c r="L242" s="16">
        <f>IFERROR(__xludf.DUMMYFUNCTION("""COMPUTED_VALUE"""),0.5)</f>
        <v>0.5</v>
      </c>
      <c r="M242" s="16">
        <f>IFERROR(__xludf.DUMMYFUNCTION("""COMPUTED_VALUE"""),0.48)</f>
        <v>0.48</v>
      </c>
      <c r="N242" s="16">
        <f>IFERROR(__xludf.DUMMYFUNCTION("""COMPUTED_VALUE"""),0.44)</f>
        <v>0.44</v>
      </c>
      <c r="O242" s="16">
        <f>IFERROR(__xludf.DUMMYFUNCTION("""COMPUTED_VALUE"""),0.266666666666666)</f>
        <v>0.2666666667</v>
      </c>
      <c r="P242" s="16">
        <f>IFERROR(__xludf.DUMMYFUNCTION("""COMPUTED_VALUE"""),0.333333333333333)</f>
        <v>0.3333333333</v>
      </c>
      <c r="Q242" s="16">
        <f>IFERROR(__xludf.DUMMYFUNCTION("""COMPUTED_VALUE"""),0.0)</f>
        <v>0</v>
      </c>
      <c r="R242" s="16">
        <f>IFERROR(__xludf.DUMMYFUNCTION("""COMPUTED_VALUE"""),0.0)</f>
        <v>0</v>
      </c>
      <c r="S242" s="16">
        <f>IFERROR(__xludf.DUMMYFUNCTION("""COMPUTED_VALUE"""),0.0)</f>
        <v>0</v>
      </c>
      <c r="T242" s="16">
        <f>IFERROR(__xludf.DUMMYFUNCTION("""COMPUTED_VALUE"""),0.0)</f>
        <v>0</v>
      </c>
      <c r="U242" s="16">
        <f>IFERROR(__xludf.DUMMYFUNCTION("""COMPUTED_VALUE"""),0.0)</f>
        <v>0</v>
      </c>
      <c r="V242" s="16">
        <f>IFERROR(__xludf.DUMMYFUNCTION("""COMPUTED_VALUE"""),0.0)</f>
        <v>0</v>
      </c>
      <c r="W242" s="16">
        <f>IFERROR(__xludf.DUMMYFUNCTION("""COMPUTED_VALUE"""),0.0)</f>
        <v>0</v>
      </c>
      <c r="X242" s="16">
        <f>IFERROR(__xludf.DUMMYFUNCTION("""COMPUTED_VALUE"""),0.0)</f>
        <v>0</v>
      </c>
      <c r="Y242" s="16">
        <f>IFERROR(__xludf.DUMMYFUNCTION("""COMPUTED_VALUE"""),0.0)</f>
        <v>0</v>
      </c>
      <c r="Z242" s="16">
        <f>IFERROR(__xludf.DUMMYFUNCTION("""COMPUTED_VALUE"""),0.0)</f>
        <v>0</v>
      </c>
      <c r="AA242" s="16">
        <f>IFERROR(__xludf.DUMMYFUNCTION("""COMPUTED_VALUE"""),0.0)</f>
        <v>0</v>
      </c>
      <c r="AB242" s="16">
        <f>IFERROR(__xludf.DUMMYFUNCTION("""COMPUTED_VALUE"""),0.0)</f>
        <v>0</v>
      </c>
      <c r="AC242" s="16">
        <f>IFERROR(__xludf.DUMMYFUNCTION("""COMPUTED_VALUE"""),0.0)</f>
        <v>0</v>
      </c>
      <c r="AD242" s="16">
        <f>IFERROR(__xludf.DUMMYFUNCTION("""COMPUTED_VALUE"""),0.0)</f>
        <v>0</v>
      </c>
      <c r="AE242" s="16">
        <f>IFERROR(__xludf.DUMMYFUNCTION("""COMPUTED_VALUE"""),0.0)</f>
        <v>0</v>
      </c>
      <c r="AF242" s="16">
        <f>IFERROR(__xludf.DUMMYFUNCTION("""COMPUTED_VALUE"""),0.0)</f>
        <v>0</v>
      </c>
      <c r="AG242" s="16">
        <f>IFERROR(__xludf.DUMMYFUNCTION("""COMPUTED_VALUE"""),0.0)</f>
        <v>0</v>
      </c>
      <c r="AH242" s="16">
        <f>IFERROR(__xludf.DUMMYFUNCTION("""COMPUTED_VALUE"""),0.0)</f>
        <v>0</v>
      </c>
    </row>
    <row r="243">
      <c r="A243" s="16" t="str">
        <f>IFERROR(__xludf.DUMMYFUNCTION("""COMPUTED_VALUE"""),"da5271db73c1f23560f26da633ebffb91df9abd6")</f>
        <v>da5271db73c1f23560f26da633ebffb91df9abd6</v>
      </c>
      <c r="B243" s="16" t="str">
        <f>IFERROR(__xludf.DUMMYFUNCTION("""COMPUTED_VALUE"""),"Sold to the Alpha King")</f>
        <v>Sold to the Alpha King</v>
      </c>
      <c r="C243" s="16" t="str">
        <f>IFERROR(__xludf.DUMMYFUNCTION("""COMPUTED_VALUE"""),"Romance")</f>
        <v>Romance</v>
      </c>
      <c r="D243" s="16">
        <f>IFERROR(__xludf.DUMMYFUNCTION("""COMPUTED_VALUE"""),26.0)</f>
        <v>26</v>
      </c>
      <c r="E243" s="16">
        <f>IFERROR(__xludf.DUMMYFUNCTION("""COMPUTED_VALUE"""),0.961538461538461)</f>
        <v>0.9615384615</v>
      </c>
      <c r="F243" s="16">
        <f>IFERROR(__xludf.DUMMYFUNCTION("""COMPUTED_VALUE"""),0.576923076923076)</f>
        <v>0.5769230769</v>
      </c>
      <c r="G243" s="16">
        <f>IFERROR(__xludf.DUMMYFUNCTION("""COMPUTED_VALUE"""),0.461538461538461)</f>
        <v>0.4615384615</v>
      </c>
      <c r="H243" s="16">
        <f>IFERROR(__xludf.DUMMYFUNCTION("""COMPUTED_VALUE"""),0.384615384615384)</f>
        <v>0.3846153846</v>
      </c>
      <c r="I243" s="16">
        <f>IFERROR(__xludf.DUMMYFUNCTION("""COMPUTED_VALUE"""),0.269230769230769)</f>
        <v>0.2692307692</v>
      </c>
      <c r="J243" s="16">
        <f>IFERROR(__xludf.DUMMYFUNCTION("""COMPUTED_VALUE"""),0.24)</f>
        <v>0.24</v>
      </c>
      <c r="K243" s="16">
        <f>IFERROR(__xludf.DUMMYFUNCTION("""COMPUTED_VALUE"""),0.24)</f>
        <v>0.24</v>
      </c>
      <c r="L243" s="16">
        <f>IFERROR(__xludf.DUMMYFUNCTION("""COMPUTED_VALUE"""),0.217391304347826)</f>
        <v>0.2173913043</v>
      </c>
      <c r="M243" s="16">
        <f>IFERROR(__xludf.DUMMYFUNCTION("""COMPUTED_VALUE"""),0.227272727272727)</f>
        <v>0.2272727273</v>
      </c>
      <c r="N243" s="16">
        <f>IFERROR(__xludf.DUMMYFUNCTION("""COMPUTED_VALUE"""),0.227272727272727)</f>
        <v>0.2272727273</v>
      </c>
      <c r="O243" s="16">
        <f>IFERROR(__xludf.DUMMYFUNCTION("""COMPUTED_VALUE"""),0.3)</f>
        <v>0.3</v>
      </c>
      <c r="P243" s="16">
        <f>IFERROR(__xludf.DUMMYFUNCTION("""COMPUTED_VALUE"""),0.4)</f>
        <v>0.4</v>
      </c>
      <c r="Q243" s="16">
        <f>IFERROR(__xludf.DUMMYFUNCTION("""COMPUTED_VALUE"""),0.0)</f>
        <v>0</v>
      </c>
      <c r="R243" s="16">
        <f>IFERROR(__xludf.DUMMYFUNCTION("""COMPUTED_VALUE"""),0.0)</f>
        <v>0</v>
      </c>
      <c r="S243" s="16">
        <f>IFERROR(__xludf.DUMMYFUNCTION("""COMPUTED_VALUE"""),0.0)</f>
        <v>0</v>
      </c>
      <c r="T243" s="16">
        <f>IFERROR(__xludf.DUMMYFUNCTION("""COMPUTED_VALUE"""),0.0)</f>
        <v>0</v>
      </c>
      <c r="U243" s="16">
        <f>IFERROR(__xludf.DUMMYFUNCTION("""COMPUTED_VALUE"""),0.0)</f>
        <v>0</v>
      </c>
      <c r="V243" s="16">
        <f>IFERROR(__xludf.DUMMYFUNCTION("""COMPUTED_VALUE"""),0.0)</f>
        <v>0</v>
      </c>
      <c r="W243" s="16">
        <f>IFERROR(__xludf.DUMMYFUNCTION("""COMPUTED_VALUE"""),0.0)</f>
        <v>0</v>
      </c>
      <c r="X243" s="16">
        <f>IFERROR(__xludf.DUMMYFUNCTION("""COMPUTED_VALUE"""),0.0)</f>
        <v>0</v>
      </c>
      <c r="Y243" s="16">
        <f>IFERROR(__xludf.DUMMYFUNCTION("""COMPUTED_VALUE"""),0.0)</f>
        <v>0</v>
      </c>
      <c r="Z243" s="16">
        <f>IFERROR(__xludf.DUMMYFUNCTION("""COMPUTED_VALUE"""),0.0)</f>
        <v>0</v>
      </c>
      <c r="AA243" s="16">
        <f>IFERROR(__xludf.DUMMYFUNCTION("""COMPUTED_VALUE"""),0.0)</f>
        <v>0</v>
      </c>
      <c r="AB243" s="16">
        <f>IFERROR(__xludf.DUMMYFUNCTION("""COMPUTED_VALUE"""),0.0)</f>
        <v>0</v>
      </c>
      <c r="AC243" s="16">
        <f>IFERROR(__xludf.DUMMYFUNCTION("""COMPUTED_VALUE"""),0.0)</f>
        <v>0</v>
      </c>
      <c r="AD243" s="16">
        <f>IFERROR(__xludf.DUMMYFUNCTION("""COMPUTED_VALUE"""),0.0)</f>
        <v>0</v>
      </c>
      <c r="AE243" s="16">
        <f>IFERROR(__xludf.DUMMYFUNCTION("""COMPUTED_VALUE"""),0.0)</f>
        <v>0</v>
      </c>
      <c r="AF243" s="16">
        <f>IFERROR(__xludf.DUMMYFUNCTION("""COMPUTED_VALUE"""),0.0)</f>
        <v>0</v>
      </c>
      <c r="AG243" s="16">
        <f>IFERROR(__xludf.DUMMYFUNCTION("""COMPUTED_VALUE"""),0.0)</f>
        <v>0</v>
      </c>
      <c r="AH243" s="16">
        <f>IFERROR(__xludf.DUMMYFUNCTION("""COMPUTED_VALUE"""),0.0)</f>
        <v>0</v>
      </c>
    </row>
    <row r="244">
      <c r="A244" s="16" t="str">
        <f>IFERROR(__xludf.DUMMYFUNCTION("""COMPUTED_VALUE"""),"da8d32c5473daa3dc16575cdcd79a118bb445ffb")</f>
        <v>da8d32c5473daa3dc16575cdcd79a118bb445ffb</v>
      </c>
      <c r="B244" s="16" t="str">
        <f>IFERROR(__xludf.DUMMYFUNCTION("""COMPUTED_VALUE"""),"Bold Step Against Hoffman")</f>
        <v>Bold Step Against Hoffman</v>
      </c>
      <c r="C244" s="16" t="str">
        <f>IFERROR(__xludf.DUMMYFUNCTION("""COMPUTED_VALUE"""),"Romance")</f>
        <v>Romance</v>
      </c>
      <c r="D244" s="16">
        <f>IFERROR(__xludf.DUMMYFUNCTION("""COMPUTED_VALUE"""),58.0)</f>
        <v>58</v>
      </c>
      <c r="E244" s="16">
        <f>IFERROR(__xludf.DUMMYFUNCTION("""COMPUTED_VALUE"""),0.948275862068965)</f>
        <v>0.9482758621</v>
      </c>
      <c r="F244" s="16">
        <f>IFERROR(__xludf.DUMMYFUNCTION("""COMPUTED_VALUE"""),0.43103448275862)</f>
        <v>0.4310344828</v>
      </c>
      <c r="G244" s="16">
        <f>IFERROR(__xludf.DUMMYFUNCTION("""COMPUTED_VALUE"""),0.362068965517241)</f>
        <v>0.3620689655</v>
      </c>
      <c r="H244" s="16">
        <f>IFERROR(__xludf.DUMMYFUNCTION("""COMPUTED_VALUE"""),0.258620689655172)</f>
        <v>0.2586206897</v>
      </c>
      <c r="I244" s="16">
        <f>IFERROR(__xludf.DUMMYFUNCTION("""COMPUTED_VALUE"""),0.258620689655172)</f>
        <v>0.2586206897</v>
      </c>
      <c r="J244" s="16">
        <f>IFERROR(__xludf.DUMMYFUNCTION("""COMPUTED_VALUE"""),0.263157894736842)</f>
        <v>0.2631578947</v>
      </c>
      <c r="K244" s="16">
        <f>IFERROR(__xludf.DUMMYFUNCTION("""COMPUTED_VALUE"""),0.272727272727272)</f>
        <v>0.2727272727</v>
      </c>
      <c r="L244" s="16">
        <f>IFERROR(__xludf.DUMMYFUNCTION("""COMPUTED_VALUE"""),0.23076923076923)</f>
        <v>0.2307692308</v>
      </c>
      <c r="M244" s="16">
        <f>IFERROR(__xludf.DUMMYFUNCTION("""COMPUTED_VALUE"""),0.235294117647058)</f>
        <v>0.2352941176</v>
      </c>
      <c r="N244" s="16">
        <f>IFERROR(__xludf.DUMMYFUNCTION("""COMPUTED_VALUE"""),0.25)</f>
        <v>0.25</v>
      </c>
      <c r="O244" s="16">
        <f>IFERROR(__xludf.DUMMYFUNCTION("""COMPUTED_VALUE"""),0.1875)</f>
        <v>0.1875</v>
      </c>
      <c r="P244" s="16">
        <f>IFERROR(__xludf.DUMMYFUNCTION("""COMPUTED_VALUE"""),0.104166666666666)</f>
        <v>0.1041666667</v>
      </c>
      <c r="Q244" s="16">
        <f>IFERROR(__xludf.DUMMYFUNCTION("""COMPUTED_VALUE"""),0.0)</f>
        <v>0</v>
      </c>
      <c r="R244" s="16">
        <f>IFERROR(__xludf.DUMMYFUNCTION("""COMPUTED_VALUE"""),0.0)</f>
        <v>0</v>
      </c>
      <c r="S244" s="16">
        <f>IFERROR(__xludf.DUMMYFUNCTION("""COMPUTED_VALUE"""),0.1)</f>
        <v>0.1</v>
      </c>
      <c r="T244" s="16">
        <f>IFERROR(__xludf.DUMMYFUNCTION("""COMPUTED_VALUE"""),0.0)</f>
        <v>0</v>
      </c>
      <c r="U244" s="16">
        <f>IFERROR(__xludf.DUMMYFUNCTION("""COMPUTED_VALUE"""),0.0)</f>
        <v>0</v>
      </c>
      <c r="V244" s="16">
        <f>IFERROR(__xludf.DUMMYFUNCTION("""COMPUTED_VALUE"""),0.0)</f>
        <v>0</v>
      </c>
      <c r="W244" s="16">
        <f>IFERROR(__xludf.DUMMYFUNCTION("""COMPUTED_VALUE"""),0.0)</f>
        <v>0</v>
      </c>
      <c r="X244" s="16">
        <f>IFERROR(__xludf.DUMMYFUNCTION("""COMPUTED_VALUE"""),0.0)</f>
        <v>0</v>
      </c>
      <c r="Y244" s="16">
        <f>IFERROR(__xludf.DUMMYFUNCTION("""COMPUTED_VALUE"""),0.0)</f>
        <v>0</v>
      </c>
      <c r="Z244" s="16">
        <f>IFERROR(__xludf.DUMMYFUNCTION("""COMPUTED_VALUE"""),0.0)</f>
        <v>0</v>
      </c>
      <c r="AA244" s="16">
        <f>IFERROR(__xludf.DUMMYFUNCTION("""COMPUTED_VALUE"""),0.0)</f>
        <v>0</v>
      </c>
      <c r="AB244" s="16">
        <f>IFERROR(__xludf.DUMMYFUNCTION("""COMPUTED_VALUE"""),0.0)</f>
        <v>0</v>
      </c>
      <c r="AC244" s="16">
        <f>IFERROR(__xludf.DUMMYFUNCTION("""COMPUTED_VALUE"""),0.0)</f>
        <v>0</v>
      </c>
      <c r="AD244" s="16">
        <f>IFERROR(__xludf.DUMMYFUNCTION("""COMPUTED_VALUE"""),0.0)</f>
        <v>0</v>
      </c>
      <c r="AE244" s="16">
        <f>IFERROR(__xludf.DUMMYFUNCTION("""COMPUTED_VALUE"""),0.0)</f>
        <v>0</v>
      </c>
      <c r="AF244" s="16">
        <f>IFERROR(__xludf.DUMMYFUNCTION("""COMPUTED_VALUE"""),0.0)</f>
        <v>0</v>
      </c>
      <c r="AG244" s="16">
        <f>IFERROR(__xludf.DUMMYFUNCTION("""COMPUTED_VALUE"""),0.0)</f>
        <v>0</v>
      </c>
      <c r="AH244" s="16">
        <f>IFERROR(__xludf.DUMMYFUNCTION("""COMPUTED_VALUE"""),0.0)</f>
        <v>0</v>
      </c>
    </row>
    <row r="245">
      <c r="A245" s="16" t="str">
        <f>IFERROR(__xludf.DUMMYFUNCTION("""COMPUTED_VALUE"""),"daa40d9ff542ace7e27440803ddf4307bbd54bdd")</f>
        <v>daa40d9ff542ace7e27440803ddf4307bbd54bdd</v>
      </c>
      <c r="B245" s="16" t="str">
        <f>IFERROR(__xludf.DUMMYFUNCTION("""COMPUTED_VALUE"""),"Villain's Harem")</f>
        <v>Villain's Harem</v>
      </c>
      <c r="C245" s="16" t="str">
        <f>IFERROR(__xludf.DUMMYFUNCTION("""COMPUTED_VALUE"""),"Romantasy")</f>
        <v>Romantasy</v>
      </c>
      <c r="D245" s="16">
        <f>IFERROR(__xludf.DUMMYFUNCTION("""COMPUTED_VALUE"""),542.0)</f>
        <v>542</v>
      </c>
      <c r="E245" s="16">
        <f>IFERROR(__xludf.DUMMYFUNCTION("""COMPUTED_VALUE"""),0.972324723247232)</f>
        <v>0.9723247232</v>
      </c>
      <c r="F245" s="16">
        <f>IFERROR(__xludf.DUMMYFUNCTION("""COMPUTED_VALUE"""),0.680811808118081)</f>
        <v>0.6808118081</v>
      </c>
      <c r="G245" s="16">
        <f>IFERROR(__xludf.DUMMYFUNCTION("""COMPUTED_VALUE"""),0.608856088560885)</f>
        <v>0.6088560886</v>
      </c>
      <c r="H245" s="16">
        <f>IFERROR(__xludf.DUMMYFUNCTION("""COMPUTED_VALUE"""),0.540590405904059)</f>
        <v>0.5405904059</v>
      </c>
      <c r="I245" s="16">
        <f>IFERROR(__xludf.DUMMYFUNCTION("""COMPUTED_VALUE"""),0.473197781885397)</f>
        <v>0.4731977819</v>
      </c>
      <c r="J245" s="16">
        <f>IFERROR(__xludf.DUMMYFUNCTION("""COMPUTED_VALUE"""),0.437847866419295)</f>
        <v>0.4378478664</v>
      </c>
      <c r="K245" s="16">
        <f>IFERROR(__xludf.DUMMYFUNCTION("""COMPUTED_VALUE"""),0.419294990723562)</f>
        <v>0.4192949907</v>
      </c>
      <c r="L245" s="16">
        <f>IFERROR(__xludf.DUMMYFUNCTION("""COMPUTED_VALUE"""),0.400749063670411)</f>
        <v>0.4007490637</v>
      </c>
      <c r="M245" s="16">
        <f>IFERROR(__xludf.DUMMYFUNCTION("""COMPUTED_VALUE"""),0.406367041198501)</f>
        <v>0.4063670412</v>
      </c>
      <c r="N245" s="16">
        <f>IFERROR(__xludf.DUMMYFUNCTION("""COMPUTED_VALUE"""),0.40188679245283)</f>
        <v>0.4018867925</v>
      </c>
      <c r="O245" s="16">
        <f>IFERROR(__xludf.DUMMYFUNCTION("""COMPUTED_VALUE"""),0.362704918032786)</f>
        <v>0.362704918</v>
      </c>
      <c r="P245" s="16">
        <f>IFERROR(__xludf.DUMMYFUNCTION("""COMPUTED_VALUE"""),0.341346153846153)</f>
        <v>0.3413461538</v>
      </c>
      <c r="Q245" s="16">
        <f>IFERROR(__xludf.DUMMYFUNCTION("""COMPUTED_VALUE"""),0.0)</f>
        <v>0</v>
      </c>
      <c r="R245" s="16">
        <f>IFERROR(__xludf.DUMMYFUNCTION("""COMPUTED_VALUE"""),0.0)</f>
        <v>0</v>
      </c>
      <c r="S245" s="16">
        <f>IFERROR(__xludf.DUMMYFUNCTION("""COMPUTED_VALUE"""),0.0)</f>
        <v>0</v>
      </c>
      <c r="T245" s="16">
        <f>IFERROR(__xludf.DUMMYFUNCTION("""COMPUTED_VALUE"""),0.0)</f>
        <v>0</v>
      </c>
      <c r="U245" s="16">
        <f>IFERROR(__xludf.DUMMYFUNCTION("""COMPUTED_VALUE"""),0.0)</f>
        <v>0</v>
      </c>
      <c r="V245" s="16">
        <f>IFERROR(__xludf.DUMMYFUNCTION("""COMPUTED_VALUE"""),0.0)</f>
        <v>0</v>
      </c>
      <c r="W245" s="16">
        <f>IFERROR(__xludf.DUMMYFUNCTION("""COMPUTED_VALUE"""),0.0)</f>
        <v>0</v>
      </c>
      <c r="X245" s="16">
        <f>IFERROR(__xludf.DUMMYFUNCTION("""COMPUTED_VALUE"""),0.0)</f>
        <v>0</v>
      </c>
      <c r="Y245" s="16">
        <f>IFERROR(__xludf.DUMMYFUNCTION("""COMPUTED_VALUE"""),0.0)</f>
        <v>0</v>
      </c>
      <c r="Z245" s="16">
        <f>IFERROR(__xludf.DUMMYFUNCTION("""COMPUTED_VALUE"""),0.0)</f>
        <v>0</v>
      </c>
      <c r="AA245" s="16">
        <f>IFERROR(__xludf.DUMMYFUNCTION("""COMPUTED_VALUE"""),0.0)</f>
        <v>0</v>
      </c>
      <c r="AB245" s="16">
        <f>IFERROR(__xludf.DUMMYFUNCTION("""COMPUTED_VALUE"""),0.0)</f>
        <v>0</v>
      </c>
      <c r="AC245" s="16">
        <f>IFERROR(__xludf.DUMMYFUNCTION("""COMPUTED_VALUE"""),0.0)</f>
        <v>0</v>
      </c>
      <c r="AD245" s="16">
        <f>IFERROR(__xludf.DUMMYFUNCTION("""COMPUTED_VALUE"""),0.0)</f>
        <v>0</v>
      </c>
      <c r="AE245" s="16">
        <f>IFERROR(__xludf.DUMMYFUNCTION("""COMPUTED_VALUE"""),0.0)</f>
        <v>0</v>
      </c>
      <c r="AF245" s="16">
        <f>IFERROR(__xludf.DUMMYFUNCTION("""COMPUTED_VALUE"""),0.0)</f>
        <v>0</v>
      </c>
      <c r="AG245" s="16">
        <f>IFERROR(__xludf.DUMMYFUNCTION("""COMPUTED_VALUE"""),0.0)</f>
        <v>0</v>
      </c>
      <c r="AH245" s="16">
        <f>IFERROR(__xludf.DUMMYFUNCTION("""COMPUTED_VALUE"""),0.0)</f>
        <v>0</v>
      </c>
    </row>
    <row r="246">
      <c r="A246" s="16" t="str">
        <f>IFERROR(__xludf.DUMMYFUNCTION("""COMPUTED_VALUE"""),"db982055d0205f85b154941a9a5fdcae32a88a7c")</f>
        <v>db982055d0205f85b154941a9a5fdcae32a88a7c</v>
      </c>
      <c r="B246" s="16" t="str">
        <f>IFERROR(__xludf.DUMMYFUNCTION("""COMPUTED_VALUE"""),"Re:system - Rebooted")</f>
        <v>Re:system - Rebooted</v>
      </c>
      <c r="C246" s="16" t="str">
        <f>IFERROR(__xludf.DUMMYFUNCTION("""COMPUTED_VALUE"""),"Fantasy")</f>
        <v>Fantasy</v>
      </c>
      <c r="D246" s="16">
        <f>IFERROR(__xludf.DUMMYFUNCTION("""COMPUTED_VALUE"""),460.0)</f>
        <v>460</v>
      </c>
      <c r="E246" s="16">
        <f>IFERROR(__xludf.DUMMYFUNCTION("""COMPUTED_VALUE"""),0.995652173913043)</f>
        <v>0.9956521739</v>
      </c>
      <c r="F246" s="16">
        <f>IFERROR(__xludf.DUMMYFUNCTION("""COMPUTED_VALUE"""),0.615217391304347)</f>
        <v>0.6152173913</v>
      </c>
      <c r="G246" s="16">
        <f>IFERROR(__xludf.DUMMYFUNCTION("""COMPUTED_VALUE"""),0.55)</f>
        <v>0.55</v>
      </c>
      <c r="H246" s="16">
        <f>IFERROR(__xludf.DUMMYFUNCTION("""COMPUTED_VALUE"""),0.508695652173913)</f>
        <v>0.5086956522</v>
      </c>
      <c r="I246" s="16">
        <f>IFERROR(__xludf.DUMMYFUNCTION("""COMPUTED_VALUE"""),0.471739130434782)</f>
        <v>0.4717391304</v>
      </c>
      <c r="J246" s="16">
        <f>IFERROR(__xludf.DUMMYFUNCTION("""COMPUTED_VALUE"""),0.450980392156862)</f>
        <v>0.4509803922</v>
      </c>
      <c r="K246" s="16">
        <f>IFERROR(__xludf.DUMMYFUNCTION("""COMPUTED_VALUE"""),0.409190371991247)</f>
        <v>0.409190372</v>
      </c>
      <c r="L246" s="16">
        <f>IFERROR(__xludf.DUMMYFUNCTION("""COMPUTED_VALUE"""),0.374449339207048)</f>
        <v>0.3744493392</v>
      </c>
      <c r="M246" s="16">
        <f>IFERROR(__xludf.DUMMYFUNCTION("""COMPUTED_VALUE"""),0.370860927152317)</f>
        <v>0.3708609272</v>
      </c>
      <c r="N246" s="16">
        <f>IFERROR(__xludf.DUMMYFUNCTION("""COMPUTED_VALUE"""),0.354767184035476)</f>
        <v>0.354767184</v>
      </c>
      <c r="O246" s="16">
        <f>IFERROR(__xludf.DUMMYFUNCTION("""COMPUTED_VALUE"""),0.315926892950391)</f>
        <v>0.315926893</v>
      </c>
      <c r="P246" s="16">
        <f>IFERROR(__xludf.DUMMYFUNCTION("""COMPUTED_VALUE"""),0.0)</f>
        <v>0</v>
      </c>
      <c r="Q246" s="16">
        <f>IFERROR(__xludf.DUMMYFUNCTION("""COMPUTED_VALUE"""),0.0)</f>
        <v>0</v>
      </c>
      <c r="R246" s="16">
        <f>IFERROR(__xludf.DUMMYFUNCTION("""COMPUTED_VALUE"""),0.0)</f>
        <v>0</v>
      </c>
      <c r="S246" s="16">
        <f>IFERROR(__xludf.DUMMYFUNCTION("""COMPUTED_VALUE"""),0.0)</f>
        <v>0</v>
      </c>
      <c r="T246" s="16">
        <f>IFERROR(__xludf.DUMMYFUNCTION("""COMPUTED_VALUE"""),0.0)</f>
        <v>0</v>
      </c>
      <c r="U246" s="16">
        <f>IFERROR(__xludf.DUMMYFUNCTION("""COMPUTED_VALUE"""),0.0)</f>
        <v>0</v>
      </c>
      <c r="V246" s="16">
        <f>IFERROR(__xludf.DUMMYFUNCTION("""COMPUTED_VALUE"""),0.0)</f>
        <v>0</v>
      </c>
      <c r="W246" s="16">
        <f>IFERROR(__xludf.DUMMYFUNCTION("""COMPUTED_VALUE"""),0.0)</f>
        <v>0</v>
      </c>
      <c r="X246" s="16">
        <f>IFERROR(__xludf.DUMMYFUNCTION("""COMPUTED_VALUE"""),0.0)</f>
        <v>0</v>
      </c>
      <c r="Y246" s="16">
        <f>IFERROR(__xludf.DUMMYFUNCTION("""COMPUTED_VALUE"""),0.0)</f>
        <v>0</v>
      </c>
      <c r="Z246" s="16">
        <f>IFERROR(__xludf.DUMMYFUNCTION("""COMPUTED_VALUE"""),0.0)</f>
        <v>0</v>
      </c>
      <c r="AA246" s="16">
        <f>IFERROR(__xludf.DUMMYFUNCTION("""COMPUTED_VALUE"""),0.0)</f>
        <v>0</v>
      </c>
      <c r="AB246" s="16">
        <f>IFERROR(__xludf.DUMMYFUNCTION("""COMPUTED_VALUE"""),0.0)</f>
        <v>0</v>
      </c>
      <c r="AC246" s="16">
        <f>IFERROR(__xludf.DUMMYFUNCTION("""COMPUTED_VALUE"""),0.0)</f>
        <v>0</v>
      </c>
      <c r="AD246" s="16">
        <f>IFERROR(__xludf.DUMMYFUNCTION("""COMPUTED_VALUE"""),0.0)</f>
        <v>0</v>
      </c>
      <c r="AE246" s="16">
        <f>IFERROR(__xludf.DUMMYFUNCTION("""COMPUTED_VALUE"""),0.0)</f>
        <v>0</v>
      </c>
      <c r="AF246" s="16">
        <f>IFERROR(__xludf.DUMMYFUNCTION("""COMPUTED_VALUE"""),0.0)</f>
        <v>0</v>
      </c>
      <c r="AG246" s="16">
        <f>IFERROR(__xludf.DUMMYFUNCTION("""COMPUTED_VALUE"""),0.0)</f>
        <v>0</v>
      </c>
      <c r="AH246" s="16">
        <f>IFERROR(__xludf.DUMMYFUNCTION("""COMPUTED_VALUE"""),0.0)</f>
        <v>0</v>
      </c>
    </row>
    <row r="247">
      <c r="A247" s="16" t="str">
        <f>IFERROR(__xludf.DUMMYFUNCTION("""COMPUTED_VALUE"""),"dd0d8528366c7c3ca887a6491de9193ad2b5cea1")</f>
        <v>dd0d8528366c7c3ca887a6491de9193ad2b5cea1</v>
      </c>
      <c r="B247" s="16" t="str">
        <f>IFERROR(__xludf.DUMMYFUNCTION("""COMPUTED_VALUE"""),"Sovereign of All Beasts")</f>
        <v>Sovereign of All Beasts</v>
      </c>
      <c r="C247" s="16" t="str">
        <f>IFERROR(__xludf.DUMMYFUNCTION("""COMPUTED_VALUE"""),"Fantasy")</f>
        <v>Fantasy</v>
      </c>
      <c r="D247" s="16">
        <f>IFERROR(__xludf.DUMMYFUNCTION("""COMPUTED_VALUE"""),2.0)</f>
        <v>2</v>
      </c>
      <c r="E247" s="16">
        <f>IFERROR(__xludf.DUMMYFUNCTION("""COMPUTED_VALUE"""),1.0)</f>
        <v>1</v>
      </c>
      <c r="F247" s="16">
        <f>IFERROR(__xludf.DUMMYFUNCTION("""COMPUTED_VALUE"""),1.0)</f>
        <v>1</v>
      </c>
      <c r="G247" s="16">
        <f>IFERROR(__xludf.DUMMYFUNCTION("""COMPUTED_VALUE"""),1.0)</f>
        <v>1</v>
      </c>
      <c r="H247" s="16">
        <f>IFERROR(__xludf.DUMMYFUNCTION("""COMPUTED_VALUE"""),0.5)</f>
        <v>0.5</v>
      </c>
      <c r="I247" s="16">
        <f>IFERROR(__xludf.DUMMYFUNCTION("""COMPUTED_VALUE"""),0.5)</f>
        <v>0.5</v>
      </c>
      <c r="J247" s="16">
        <f>IFERROR(__xludf.DUMMYFUNCTION("""COMPUTED_VALUE"""),0.5)</f>
        <v>0.5</v>
      </c>
      <c r="K247" s="16">
        <f>IFERROR(__xludf.DUMMYFUNCTION("""COMPUTED_VALUE"""),0.5)</f>
        <v>0.5</v>
      </c>
      <c r="L247" s="16">
        <f>IFERROR(__xludf.DUMMYFUNCTION("""COMPUTED_VALUE"""),0.5)</f>
        <v>0.5</v>
      </c>
      <c r="M247" s="16">
        <f>IFERROR(__xludf.DUMMYFUNCTION("""COMPUTED_VALUE"""),0.5)</f>
        <v>0.5</v>
      </c>
      <c r="N247" s="16">
        <f>IFERROR(__xludf.DUMMYFUNCTION("""COMPUTED_VALUE"""),1.0)</f>
        <v>1</v>
      </c>
      <c r="O247" s="16">
        <f>IFERROR(__xludf.DUMMYFUNCTION("""COMPUTED_VALUE"""),1.0)</f>
        <v>1</v>
      </c>
      <c r="P247" s="16">
        <f>IFERROR(__xludf.DUMMYFUNCTION("""COMPUTED_VALUE"""),0.0)</f>
        <v>0</v>
      </c>
      <c r="Q247" s="16">
        <f>IFERROR(__xludf.DUMMYFUNCTION("""COMPUTED_VALUE"""),0.0)</f>
        <v>0</v>
      </c>
      <c r="R247" s="16">
        <f>IFERROR(__xludf.DUMMYFUNCTION("""COMPUTED_VALUE"""),0.0)</f>
        <v>0</v>
      </c>
      <c r="S247" s="16">
        <f>IFERROR(__xludf.DUMMYFUNCTION("""COMPUTED_VALUE"""),0.0)</f>
        <v>0</v>
      </c>
      <c r="T247" s="16">
        <f>IFERROR(__xludf.DUMMYFUNCTION("""COMPUTED_VALUE"""),0.0)</f>
        <v>0</v>
      </c>
      <c r="U247" s="16">
        <f>IFERROR(__xludf.DUMMYFUNCTION("""COMPUTED_VALUE"""),0.0)</f>
        <v>0</v>
      </c>
      <c r="V247" s="16">
        <f>IFERROR(__xludf.DUMMYFUNCTION("""COMPUTED_VALUE"""),0.0)</f>
        <v>0</v>
      </c>
      <c r="W247" s="16">
        <f>IFERROR(__xludf.DUMMYFUNCTION("""COMPUTED_VALUE"""),0.0)</f>
        <v>0</v>
      </c>
      <c r="X247" s="16">
        <f>IFERROR(__xludf.DUMMYFUNCTION("""COMPUTED_VALUE"""),0.0)</f>
        <v>0</v>
      </c>
      <c r="Y247" s="16">
        <f>IFERROR(__xludf.DUMMYFUNCTION("""COMPUTED_VALUE"""),0.0)</f>
        <v>0</v>
      </c>
      <c r="Z247" s="16">
        <f>IFERROR(__xludf.DUMMYFUNCTION("""COMPUTED_VALUE"""),0.0)</f>
        <v>0</v>
      </c>
      <c r="AA247" s="16">
        <f>IFERROR(__xludf.DUMMYFUNCTION("""COMPUTED_VALUE"""),0.0)</f>
        <v>0</v>
      </c>
      <c r="AB247" s="16">
        <f>IFERROR(__xludf.DUMMYFUNCTION("""COMPUTED_VALUE"""),0.0)</f>
        <v>0</v>
      </c>
      <c r="AC247" s="16">
        <f>IFERROR(__xludf.DUMMYFUNCTION("""COMPUTED_VALUE"""),0.0)</f>
        <v>0</v>
      </c>
      <c r="AD247" s="16">
        <f>IFERROR(__xludf.DUMMYFUNCTION("""COMPUTED_VALUE"""),0.0)</f>
        <v>0</v>
      </c>
      <c r="AE247" s="16">
        <f>IFERROR(__xludf.DUMMYFUNCTION("""COMPUTED_VALUE"""),0.0)</f>
        <v>0</v>
      </c>
      <c r="AF247" s="16">
        <f>IFERROR(__xludf.DUMMYFUNCTION("""COMPUTED_VALUE"""),0.0)</f>
        <v>0</v>
      </c>
      <c r="AG247" s="16">
        <f>IFERROR(__xludf.DUMMYFUNCTION("""COMPUTED_VALUE"""),0.0)</f>
        <v>0</v>
      </c>
      <c r="AH247" s="16">
        <f>IFERROR(__xludf.DUMMYFUNCTION("""COMPUTED_VALUE"""),0.0)</f>
        <v>0</v>
      </c>
    </row>
    <row r="248">
      <c r="A248" s="16" t="str">
        <f>IFERROR(__xludf.DUMMYFUNCTION("""COMPUTED_VALUE"""),"ddcfd794c1c386caa644e2b1d2379bfcd4efb154")</f>
        <v>ddcfd794c1c386caa644e2b1d2379bfcd4efb154</v>
      </c>
      <c r="B248" s="16" t="str">
        <f>IFERROR(__xludf.DUMMYFUNCTION("""COMPUTED_VALUE"""),"Tycoons Love Swindled")</f>
        <v>Tycoons Love Swindled</v>
      </c>
      <c r="C248" s="16" t="str">
        <f>IFERROR(__xludf.DUMMYFUNCTION("""COMPUTED_VALUE"""),"Drama")</f>
        <v>Drama</v>
      </c>
      <c r="D248" s="16">
        <f>IFERROR(__xludf.DUMMYFUNCTION("""COMPUTED_VALUE"""),17.0)</f>
        <v>17</v>
      </c>
      <c r="E248" s="16">
        <f>IFERROR(__xludf.DUMMYFUNCTION("""COMPUTED_VALUE"""),1.0)</f>
        <v>1</v>
      </c>
      <c r="F248" s="16">
        <f>IFERROR(__xludf.DUMMYFUNCTION("""COMPUTED_VALUE"""),0.529411764705882)</f>
        <v>0.5294117647</v>
      </c>
      <c r="G248" s="16">
        <f>IFERROR(__xludf.DUMMYFUNCTION("""COMPUTED_VALUE"""),0.411764705882352)</f>
        <v>0.4117647059</v>
      </c>
      <c r="H248" s="16">
        <f>IFERROR(__xludf.DUMMYFUNCTION("""COMPUTED_VALUE"""),0.529411764705882)</f>
        <v>0.5294117647</v>
      </c>
      <c r="I248" s="16">
        <f>IFERROR(__xludf.DUMMYFUNCTION("""COMPUTED_VALUE"""),0.411764705882352)</f>
        <v>0.4117647059</v>
      </c>
      <c r="J248" s="16">
        <f>IFERROR(__xludf.DUMMYFUNCTION("""COMPUTED_VALUE"""),0.411764705882352)</f>
        <v>0.4117647059</v>
      </c>
      <c r="K248" s="16">
        <f>IFERROR(__xludf.DUMMYFUNCTION("""COMPUTED_VALUE"""),0.294117647058823)</f>
        <v>0.2941176471</v>
      </c>
      <c r="L248" s="16">
        <f>IFERROR(__xludf.DUMMYFUNCTION("""COMPUTED_VALUE"""),0.352941176470588)</f>
        <v>0.3529411765</v>
      </c>
      <c r="M248" s="16">
        <f>IFERROR(__xludf.DUMMYFUNCTION("""COMPUTED_VALUE"""),0.176470588235294)</f>
        <v>0.1764705882</v>
      </c>
      <c r="N248" s="16">
        <f>IFERROR(__xludf.DUMMYFUNCTION("""COMPUTED_VALUE"""),0.25)</f>
        <v>0.25</v>
      </c>
      <c r="O248" s="16">
        <f>IFERROR(__xludf.DUMMYFUNCTION("""COMPUTED_VALUE"""),0.23076923076923)</f>
        <v>0.2307692308</v>
      </c>
      <c r="P248" s="16">
        <f>IFERROR(__xludf.DUMMYFUNCTION("""COMPUTED_VALUE"""),0.125)</f>
        <v>0.125</v>
      </c>
      <c r="Q248" s="16">
        <f>IFERROR(__xludf.DUMMYFUNCTION("""COMPUTED_VALUE"""),0.0)</f>
        <v>0</v>
      </c>
      <c r="R248" s="16">
        <f>IFERROR(__xludf.DUMMYFUNCTION("""COMPUTED_VALUE"""),0.0)</f>
        <v>0</v>
      </c>
      <c r="S248" s="16">
        <f>IFERROR(__xludf.DUMMYFUNCTION("""COMPUTED_VALUE"""),0.0)</f>
        <v>0</v>
      </c>
      <c r="T248" s="16">
        <f>IFERROR(__xludf.DUMMYFUNCTION("""COMPUTED_VALUE"""),0.0)</f>
        <v>0</v>
      </c>
      <c r="U248" s="16">
        <f>IFERROR(__xludf.DUMMYFUNCTION("""COMPUTED_VALUE"""),0.0)</f>
        <v>0</v>
      </c>
      <c r="V248" s="16">
        <f>IFERROR(__xludf.DUMMYFUNCTION("""COMPUTED_VALUE"""),0.0)</f>
        <v>0</v>
      </c>
      <c r="W248" s="16">
        <f>IFERROR(__xludf.DUMMYFUNCTION("""COMPUTED_VALUE"""),0.0)</f>
        <v>0</v>
      </c>
      <c r="X248" s="16">
        <f>IFERROR(__xludf.DUMMYFUNCTION("""COMPUTED_VALUE"""),0.0)</f>
        <v>0</v>
      </c>
      <c r="Y248" s="16">
        <f>IFERROR(__xludf.DUMMYFUNCTION("""COMPUTED_VALUE"""),0.0)</f>
        <v>0</v>
      </c>
      <c r="Z248" s="16">
        <f>IFERROR(__xludf.DUMMYFUNCTION("""COMPUTED_VALUE"""),0.0)</f>
        <v>0</v>
      </c>
      <c r="AA248" s="16">
        <f>IFERROR(__xludf.DUMMYFUNCTION("""COMPUTED_VALUE"""),0.0)</f>
        <v>0</v>
      </c>
      <c r="AB248" s="16">
        <f>IFERROR(__xludf.DUMMYFUNCTION("""COMPUTED_VALUE"""),0.0)</f>
        <v>0</v>
      </c>
      <c r="AC248" s="16">
        <f>IFERROR(__xludf.DUMMYFUNCTION("""COMPUTED_VALUE"""),0.0)</f>
        <v>0</v>
      </c>
      <c r="AD248" s="16">
        <f>IFERROR(__xludf.DUMMYFUNCTION("""COMPUTED_VALUE"""),0.0)</f>
        <v>0</v>
      </c>
      <c r="AE248" s="16">
        <f>IFERROR(__xludf.DUMMYFUNCTION("""COMPUTED_VALUE"""),0.0)</f>
        <v>0</v>
      </c>
      <c r="AF248" s="16">
        <f>IFERROR(__xludf.DUMMYFUNCTION("""COMPUTED_VALUE"""),0.0)</f>
        <v>0</v>
      </c>
      <c r="AG248" s="16">
        <f>IFERROR(__xludf.DUMMYFUNCTION("""COMPUTED_VALUE"""),0.0)</f>
        <v>0</v>
      </c>
      <c r="AH248" s="16">
        <f>IFERROR(__xludf.DUMMYFUNCTION("""COMPUTED_VALUE"""),0.0)</f>
        <v>0</v>
      </c>
    </row>
    <row r="249">
      <c r="A249" s="16" t="str">
        <f>IFERROR(__xludf.DUMMYFUNCTION("""COMPUTED_VALUE"""),"de862851ca66c0ec5a982ecfe58d14472093a185")</f>
        <v>de862851ca66c0ec5a982ecfe58d14472093a185</v>
      </c>
      <c r="B249" s="16" t="str">
        <f>IFERROR(__xludf.DUMMYFUNCTION("""COMPUTED_VALUE"""),"From Trash to a Legend")</f>
        <v>From Trash to a Legend</v>
      </c>
      <c r="C249" s="16" t="str">
        <f>IFERROR(__xludf.DUMMYFUNCTION("""COMPUTED_VALUE"""),"System and Superpower")</f>
        <v>System and Superpower</v>
      </c>
      <c r="D249" s="16">
        <f>IFERROR(__xludf.DUMMYFUNCTION("""COMPUTED_VALUE"""),441.0)</f>
        <v>441</v>
      </c>
      <c r="E249" s="16">
        <f>IFERROR(__xludf.DUMMYFUNCTION("""COMPUTED_VALUE"""),0.970521541950113)</f>
        <v>0.970521542</v>
      </c>
      <c r="F249" s="16">
        <f>IFERROR(__xludf.DUMMYFUNCTION("""COMPUTED_VALUE"""),0.784580498866213)</f>
        <v>0.7845804989</v>
      </c>
      <c r="G249" s="16">
        <f>IFERROR(__xludf.DUMMYFUNCTION("""COMPUTED_VALUE"""),0.764172335600907)</f>
        <v>0.7641723356</v>
      </c>
      <c r="H249" s="16">
        <f>IFERROR(__xludf.DUMMYFUNCTION("""COMPUTED_VALUE"""),0.73469387755102)</f>
        <v>0.7346938776</v>
      </c>
      <c r="I249" s="16">
        <f>IFERROR(__xludf.DUMMYFUNCTION("""COMPUTED_VALUE"""),0.693877551020408)</f>
        <v>0.693877551</v>
      </c>
      <c r="J249" s="16">
        <f>IFERROR(__xludf.DUMMYFUNCTION("""COMPUTED_VALUE"""),0.656036446469248)</f>
        <v>0.6560364465</v>
      </c>
      <c r="K249" s="16">
        <f>IFERROR(__xludf.DUMMYFUNCTION("""COMPUTED_VALUE"""),0.646118721461187)</f>
        <v>0.6461187215</v>
      </c>
      <c r="L249" s="16">
        <f>IFERROR(__xludf.DUMMYFUNCTION("""COMPUTED_VALUE"""),0.604597701149425)</f>
        <v>0.6045977011</v>
      </c>
      <c r="M249" s="16">
        <f>IFERROR(__xludf.DUMMYFUNCTION("""COMPUTED_VALUE"""),0.579310344827586)</f>
        <v>0.5793103448</v>
      </c>
      <c r="N249" s="16">
        <f>IFERROR(__xludf.DUMMYFUNCTION("""COMPUTED_VALUE"""),0.576388888888888)</f>
        <v>0.5763888889</v>
      </c>
      <c r="O249" s="16">
        <f>IFERROR(__xludf.DUMMYFUNCTION("""COMPUTED_VALUE"""),0.430517711171662)</f>
        <v>0.4305177112</v>
      </c>
      <c r="P249" s="16">
        <f>IFERROR(__xludf.DUMMYFUNCTION("""COMPUTED_VALUE"""),0.2)</f>
        <v>0.2</v>
      </c>
      <c r="Q249" s="16">
        <f>IFERROR(__xludf.DUMMYFUNCTION("""COMPUTED_VALUE"""),0.0)</f>
        <v>0</v>
      </c>
      <c r="R249" s="16">
        <f>IFERROR(__xludf.DUMMYFUNCTION("""COMPUTED_VALUE"""),0.0)</f>
        <v>0</v>
      </c>
      <c r="S249" s="16">
        <f>IFERROR(__xludf.DUMMYFUNCTION("""COMPUTED_VALUE"""),0.0)</f>
        <v>0</v>
      </c>
      <c r="T249" s="16">
        <f>IFERROR(__xludf.DUMMYFUNCTION("""COMPUTED_VALUE"""),0.0)</f>
        <v>0</v>
      </c>
      <c r="U249" s="16">
        <f>IFERROR(__xludf.DUMMYFUNCTION("""COMPUTED_VALUE"""),0.0)</f>
        <v>0</v>
      </c>
      <c r="V249" s="16">
        <f>IFERROR(__xludf.DUMMYFUNCTION("""COMPUTED_VALUE"""),0.0)</f>
        <v>0</v>
      </c>
      <c r="W249" s="16">
        <f>IFERROR(__xludf.DUMMYFUNCTION("""COMPUTED_VALUE"""),0.0)</f>
        <v>0</v>
      </c>
      <c r="X249" s="16">
        <f>IFERROR(__xludf.DUMMYFUNCTION("""COMPUTED_VALUE"""),0.0)</f>
        <v>0</v>
      </c>
      <c r="Y249" s="16">
        <f>IFERROR(__xludf.DUMMYFUNCTION("""COMPUTED_VALUE"""),0.0)</f>
        <v>0</v>
      </c>
      <c r="Z249" s="16">
        <f>IFERROR(__xludf.DUMMYFUNCTION("""COMPUTED_VALUE"""),0.0)</f>
        <v>0</v>
      </c>
      <c r="AA249" s="16">
        <f>IFERROR(__xludf.DUMMYFUNCTION("""COMPUTED_VALUE"""),0.0)</f>
        <v>0</v>
      </c>
      <c r="AB249" s="16">
        <f>IFERROR(__xludf.DUMMYFUNCTION("""COMPUTED_VALUE"""),0.0)</f>
        <v>0</v>
      </c>
      <c r="AC249" s="16">
        <f>IFERROR(__xludf.DUMMYFUNCTION("""COMPUTED_VALUE"""),0.0)</f>
        <v>0</v>
      </c>
      <c r="AD249" s="16">
        <f>IFERROR(__xludf.DUMMYFUNCTION("""COMPUTED_VALUE"""),0.0)</f>
        <v>0</v>
      </c>
      <c r="AE249" s="16">
        <f>IFERROR(__xludf.DUMMYFUNCTION("""COMPUTED_VALUE"""),0.0)</f>
        <v>0</v>
      </c>
      <c r="AF249" s="16">
        <f>IFERROR(__xludf.DUMMYFUNCTION("""COMPUTED_VALUE"""),0.0)</f>
        <v>0</v>
      </c>
      <c r="AG249" s="16">
        <f>IFERROR(__xludf.DUMMYFUNCTION("""COMPUTED_VALUE"""),0.0)</f>
        <v>0</v>
      </c>
      <c r="AH249" s="16">
        <f>IFERROR(__xludf.DUMMYFUNCTION("""COMPUTED_VALUE"""),0.0)</f>
        <v>0</v>
      </c>
    </row>
    <row r="250">
      <c r="A250" s="16" t="str">
        <f>IFERROR(__xludf.DUMMYFUNCTION("""COMPUTED_VALUE"""),"df497806d02c2dcc2e8f8e790fcc3fb9e72f8166")</f>
        <v>df497806d02c2dcc2e8f8e790fcc3fb9e72f8166</v>
      </c>
      <c r="B250" s="16" t="str">
        <f>IFERROR(__xludf.DUMMYFUNCTION("""COMPUTED_VALUE"""),"Never Letting You Go")</f>
        <v>Never Letting You Go</v>
      </c>
      <c r="C250" s="16" t="str">
        <f>IFERROR(__xludf.DUMMYFUNCTION("""COMPUTED_VALUE"""),"Romance")</f>
        <v>Romance</v>
      </c>
      <c r="D250" s="16">
        <f>IFERROR(__xludf.DUMMYFUNCTION("""COMPUTED_VALUE"""),24.0)</f>
        <v>24</v>
      </c>
      <c r="E250" s="16">
        <f>IFERROR(__xludf.DUMMYFUNCTION("""COMPUTED_VALUE"""),1.0)</f>
        <v>1</v>
      </c>
      <c r="F250" s="16">
        <f>IFERROR(__xludf.DUMMYFUNCTION("""COMPUTED_VALUE"""),0.666666666666666)</f>
        <v>0.6666666667</v>
      </c>
      <c r="G250" s="16">
        <f>IFERROR(__xludf.DUMMYFUNCTION("""COMPUTED_VALUE"""),0.541666666666666)</f>
        <v>0.5416666667</v>
      </c>
      <c r="H250" s="16">
        <f>IFERROR(__xludf.DUMMYFUNCTION("""COMPUTED_VALUE"""),0.5)</f>
        <v>0.5</v>
      </c>
      <c r="I250" s="16">
        <f>IFERROR(__xludf.DUMMYFUNCTION("""COMPUTED_VALUE"""),0.416666666666666)</f>
        <v>0.4166666667</v>
      </c>
      <c r="J250" s="16">
        <f>IFERROR(__xludf.DUMMYFUNCTION("""COMPUTED_VALUE"""),0.391304347826087)</f>
        <v>0.3913043478</v>
      </c>
      <c r="K250" s="16">
        <f>IFERROR(__xludf.DUMMYFUNCTION("""COMPUTED_VALUE"""),0.347826086956521)</f>
        <v>0.347826087</v>
      </c>
      <c r="L250" s="16">
        <f>IFERROR(__xludf.DUMMYFUNCTION("""COMPUTED_VALUE"""),0.304347826086956)</f>
        <v>0.3043478261</v>
      </c>
      <c r="M250" s="16">
        <f>IFERROR(__xludf.DUMMYFUNCTION("""COMPUTED_VALUE"""),0.304347826086956)</f>
        <v>0.3043478261</v>
      </c>
      <c r="N250" s="16">
        <f>IFERROR(__xludf.DUMMYFUNCTION("""COMPUTED_VALUE"""),0.260869565217391)</f>
        <v>0.2608695652</v>
      </c>
      <c r="O250" s="16">
        <f>IFERROR(__xludf.DUMMYFUNCTION("""COMPUTED_VALUE"""),0.272727272727272)</f>
        <v>0.2727272727</v>
      </c>
      <c r="P250" s="16">
        <f>IFERROR(__xludf.DUMMYFUNCTION("""COMPUTED_VALUE"""),0.0)</f>
        <v>0</v>
      </c>
      <c r="Q250" s="16">
        <f>IFERROR(__xludf.DUMMYFUNCTION("""COMPUTED_VALUE"""),0.0)</f>
        <v>0</v>
      </c>
      <c r="R250" s="16">
        <f>IFERROR(__xludf.DUMMYFUNCTION("""COMPUTED_VALUE"""),0.0)</f>
        <v>0</v>
      </c>
      <c r="S250" s="16">
        <f>IFERROR(__xludf.DUMMYFUNCTION("""COMPUTED_VALUE"""),0.0)</f>
        <v>0</v>
      </c>
      <c r="T250" s="16">
        <f>IFERROR(__xludf.DUMMYFUNCTION("""COMPUTED_VALUE"""),0.0)</f>
        <v>0</v>
      </c>
      <c r="U250" s="16">
        <f>IFERROR(__xludf.DUMMYFUNCTION("""COMPUTED_VALUE"""),0.0)</f>
        <v>0</v>
      </c>
      <c r="V250" s="16">
        <f>IFERROR(__xludf.DUMMYFUNCTION("""COMPUTED_VALUE"""),0.0)</f>
        <v>0</v>
      </c>
      <c r="W250" s="16">
        <f>IFERROR(__xludf.DUMMYFUNCTION("""COMPUTED_VALUE"""),0.0)</f>
        <v>0</v>
      </c>
      <c r="X250" s="16">
        <f>IFERROR(__xludf.DUMMYFUNCTION("""COMPUTED_VALUE"""),0.0)</f>
        <v>0</v>
      </c>
      <c r="Y250" s="16">
        <f>IFERROR(__xludf.DUMMYFUNCTION("""COMPUTED_VALUE"""),0.0)</f>
        <v>0</v>
      </c>
      <c r="Z250" s="16">
        <f>IFERROR(__xludf.DUMMYFUNCTION("""COMPUTED_VALUE"""),0.0)</f>
        <v>0</v>
      </c>
      <c r="AA250" s="16">
        <f>IFERROR(__xludf.DUMMYFUNCTION("""COMPUTED_VALUE"""),0.0)</f>
        <v>0</v>
      </c>
      <c r="AB250" s="16">
        <f>IFERROR(__xludf.DUMMYFUNCTION("""COMPUTED_VALUE"""),0.0)</f>
        <v>0</v>
      </c>
      <c r="AC250" s="16">
        <f>IFERROR(__xludf.DUMMYFUNCTION("""COMPUTED_VALUE"""),0.0)</f>
        <v>0</v>
      </c>
      <c r="AD250" s="16">
        <f>IFERROR(__xludf.DUMMYFUNCTION("""COMPUTED_VALUE"""),0.0)</f>
        <v>0</v>
      </c>
      <c r="AE250" s="16">
        <f>IFERROR(__xludf.DUMMYFUNCTION("""COMPUTED_VALUE"""),0.0)</f>
        <v>0</v>
      </c>
      <c r="AF250" s="16">
        <f>IFERROR(__xludf.DUMMYFUNCTION("""COMPUTED_VALUE"""),0.0)</f>
        <v>0</v>
      </c>
      <c r="AG250" s="16">
        <f>IFERROR(__xludf.DUMMYFUNCTION("""COMPUTED_VALUE"""),0.0)</f>
        <v>0</v>
      </c>
      <c r="AH250" s="16">
        <f>IFERROR(__xludf.DUMMYFUNCTION("""COMPUTED_VALUE"""),0.0)</f>
        <v>0</v>
      </c>
    </row>
    <row r="251">
      <c r="A251" s="16" t="str">
        <f>IFERROR(__xludf.DUMMYFUNCTION("""COMPUTED_VALUE"""),"e0cc4d535444616635b899b0d8d7d34e8dde5fa7")</f>
        <v>e0cc4d535444616635b899b0d8d7d34e8dde5fa7</v>
      </c>
      <c r="B251" s="16" t="str">
        <f>IFERROR(__xludf.DUMMYFUNCTION("""COMPUTED_VALUE"""),"Fated Bond")</f>
        <v>Fated Bond</v>
      </c>
      <c r="C251" s="16" t="str">
        <f>IFERROR(__xludf.DUMMYFUNCTION("""COMPUTED_VALUE"""),"Romantasy")</f>
        <v>Romantasy</v>
      </c>
      <c r="D251" s="16">
        <f>IFERROR(__xludf.DUMMYFUNCTION("""COMPUTED_VALUE"""),315.0)</f>
        <v>315</v>
      </c>
      <c r="E251" s="16">
        <f>IFERROR(__xludf.DUMMYFUNCTION("""COMPUTED_VALUE"""),0.952380952380952)</f>
        <v>0.9523809524</v>
      </c>
      <c r="F251" s="16">
        <f>IFERROR(__xludf.DUMMYFUNCTION("""COMPUTED_VALUE"""),0.53015873015873)</f>
        <v>0.5301587302</v>
      </c>
      <c r="G251" s="16">
        <f>IFERROR(__xludf.DUMMYFUNCTION("""COMPUTED_VALUE"""),0.495238095238095)</f>
        <v>0.4952380952</v>
      </c>
      <c r="H251" s="16">
        <f>IFERROR(__xludf.DUMMYFUNCTION("""COMPUTED_VALUE"""),0.428571428571428)</f>
        <v>0.4285714286</v>
      </c>
      <c r="I251" s="16">
        <f>IFERROR(__xludf.DUMMYFUNCTION("""COMPUTED_VALUE"""),0.425396825396825)</f>
        <v>0.4253968254</v>
      </c>
      <c r="J251" s="16">
        <f>IFERROR(__xludf.DUMMYFUNCTION("""COMPUTED_VALUE"""),0.393650793650793)</f>
        <v>0.3936507937</v>
      </c>
      <c r="K251" s="16">
        <f>IFERROR(__xludf.DUMMYFUNCTION("""COMPUTED_VALUE"""),0.368253968253968)</f>
        <v>0.3682539683</v>
      </c>
      <c r="L251" s="16">
        <f>IFERROR(__xludf.DUMMYFUNCTION("""COMPUTED_VALUE"""),0.358730158730158)</f>
        <v>0.3587301587</v>
      </c>
      <c r="M251" s="16">
        <f>IFERROR(__xludf.DUMMYFUNCTION("""COMPUTED_VALUE"""),0.352380952380952)</f>
        <v>0.3523809524</v>
      </c>
      <c r="N251" s="16">
        <f>IFERROR(__xludf.DUMMYFUNCTION("""COMPUTED_VALUE"""),0.343949044585987)</f>
        <v>0.3439490446</v>
      </c>
      <c r="O251" s="16">
        <f>IFERROR(__xludf.DUMMYFUNCTION("""COMPUTED_VALUE"""),0.329032258064516)</f>
        <v>0.3290322581</v>
      </c>
      <c r="P251" s="16">
        <f>IFERROR(__xludf.DUMMYFUNCTION("""COMPUTED_VALUE"""),0.24092409240924)</f>
        <v>0.2409240924</v>
      </c>
      <c r="Q251" s="16">
        <f>IFERROR(__xludf.DUMMYFUNCTION("""COMPUTED_VALUE"""),0.194539249146757)</f>
        <v>0.1945392491</v>
      </c>
      <c r="R251" s="16">
        <f>IFERROR(__xludf.DUMMYFUNCTION("""COMPUTED_VALUE"""),0.156398104265402)</f>
        <v>0.1563981043</v>
      </c>
      <c r="S251" s="16">
        <f>IFERROR(__xludf.DUMMYFUNCTION("""COMPUTED_VALUE"""),0.142857142857142)</f>
        <v>0.1428571429</v>
      </c>
      <c r="T251" s="16">
        <f>IFERROR(__xludf.DUMMYFUNCTION("""COMPUTED_VALUE"""),0.0972222222222222)</f>
        <v>0.09722222222</v>
      </c>
      <c r="U251" s="16">
        <f>IFERROR(__xludf.DUMMYFUNCTION("""COMPUTED_VALUE"""),0.081967213114754)</f>
        <v>0.08196721311</v>
      </c>
      <c r="V251" s="16">
        <f>IFERROR(__xludf.DUMMYFUNCTION("""COMPUTED_VALUE"""),0.0181818181818181)</f>
        <v>0.01818181818</v>
      </c>
      <c r="W251" s="16">
        <f>IFERROR(__xludf.DUMMYFUNCTION("""COMPUTED_VALUE"""),0.0)</f>
        <v>0</v>
      </c>
      <c r="X251" s="16">
        <f>IFERROR(__xludf.DUMMYFUNCTION("""COMPUTED_VALUE"""),0.0)</f>
        <v>0</v>
      </c>
      <c r="Y251" s="16">
        <f>IFERROR(__xludf.DUMMYFUNCTION("""COMPUTED_VALUE"""),0.0)</f>
        <v>0</v>
      </c>
      <c r="Z251" s="16">
        <f>IFERROR(__xludf.DUMMYFUNCTION("""COMPUTED_VALUE"""),0.0)</f>
        <v>0</v>
      </c>
      <c r="AA251" s="16">
        <f>IFERROR(__xludf.DUMMYFUNCTION("""COMPUTED_VALUE"""),0.0)</f>
        <v>0</v>
      </c>
      <c r="AB251" s="16">
        <f>IFERROR(__xludf.DUMMYFUNCTION("""COMPUTED_VALUE"""),0.0)</f>
        <v>0</v>
      </c>
      <c r="AC251" s="16">
        <f>IFERROR(__xludf.DUMMYFUNCTION("""COMPUTED_VALUE"""),0.0)</f>
        <v>0</v>
      </c>
      <c r="AD251" s="16">
        <f>IFERROR(__xludf.DUMMYFUNCTION("""COMPUTED_VALUE"""),0.0)</f>
        <v>0</v>
      </c>
      <c r="AE251" s="16">
        <f>IFERROR(__xludf.DUMMYFUNCTION("""COMPUTED_VALUE"""),0.0)</f>
        <v>0</v>
      </c>
      <c r="AF251" s="16">
        <f>IFERROR(__xludf.DUMMYFUNCTION("""COMPUTED_VALUE"""),0.0)</f>
        <v>0</v>
      </c>
      <c r="AG251" s="16">
        <f>IFERROR(__xludf.DUMMYFUNCTION("""COMPUTED_VALUE"""),0.0)</f>
        <v>0</v>
      </c>
      <c r="AH251" s="16">
        <f>IFERROR(__xludf.DUMMYFUNCTION("""COMPUTED_VALUE"""),0.0)</f>
        <v>0</v>
      </c>
    </row>
    <row r="252">
      <c r="A252" s="16" t="str">
        <f>IFERROR(__xludf.DUMMYFUNCTION("""COMPUTED_VALUE"""),"e0df7c51c42acc2ebb07fef0853244b617b34a0a")</f>
        <v>e0df7c51c42acc2ebb07fef0853244b617b34a0a</v>
      </c>
      <c r="B252" s="16" t="str">
        <f>IFERROR(__xludf.DUMMYFUNCTION("""COMPUTED_VALUE"""),"Hunted by the Alpha")</f>
        <v>Hunted by the Alpha</v>
      </c>
      <c r="C252" s="16" t="str">
        <f>IFERROR(__xludf.DUMMYFUNCTION("""COMPUTED_VALUE"""),"Romantasy")</f>
        <v>Romantasy</v>
      </c>
      <c r="D252" s="16">
        <f>IFERROR(__xludf.DUMMYFUNCTION("""COMPUTED_VALUE"""),147.0)</f>
        <v>147</v>
      </c>
      <c r="E252" s="16">
        <f>IFERROR(__xludf.DUMMYFUNCTION("""COMPUTED_VALUE"""),0.986394557823129)</f>
        <v>0.9863945578</v>
      </c>
      <c r="F252" s="16">
        <f>IFERROR(__xludf.DUMMYFUNCTION("""COMPUTED_VALUE"""),0.442176870748299)</f>
        <v>0.4421768707</v>
      </c>
      <c r="G252" s="16">
        <f>IFERROR(__xludf.DUMMYFUNCTION("""COMPUTED_VALUE"""),0.38095238095238)</f>
        <v>0.380952381</v>
      </c>
      <c r="H252" s="16">
        <f>IFERROR(__xludf.DUMMYFUNCTION("""COMPUTED_VALUE"""),0.374149659863945)</f>
        <v>0.3741496599</v>
      </c>
      <c r="I252" s="16">
        <f>IFERROR(__xludf.DUMMYFUNCTION("""COMPUTED_VALUE"""),0.326530612244897)</f>
        <v>0.3265306122</v>
      </c>
      <c r="J252" s="16">
        <f>IFERROR(__xludf.DUMMYFUNCTION("""COMPUTED_VALUE"""),0.319727891156462)</f>
        <v>0.3197278912</v>
      </c>
      <c r="K252" s="16">
        <f>IFERROR(__xludf.DUMMYFUNCTION("""COMPUTED_VALUE"""),0.272108843537415)</f>
        <v>0.2721088435</v>
      </c>
      <c r="L252" s="16">
        <f>IFERROR(__xludf.DUMMYFUNCTION("""COMPUTED_VALUE"""),0.238095238095238)</f>
        <v>0.2380952381</v>
      </c>
      <c r="M252" s="16">
        <f>IFERROR(__xludf.DUMMYFUNCTION("""COMPUTED_VALUE"""),0.231292517006802)</f>
        <v>0.231292517</v>
      </c>
      <c r="N252" s="16">
        <f>IFERROR(__xludf.DUMMYFUNCTION("""COMPUTED_VALUE"""),0.21917808219178)</f>
        <v>0.2191780822</v>
      </c>
      <c r="O252" s="16">
        <f>IFERROR(__xludf.DUMMYFUNCTION("""COMPUTED_VALUE"""),0.185185185185185)</f>
        <v>0.1851851852</v>
      </c>
      <c r="P252" s="16">
        <f>IFERROR(__xludf.DUMMYFUNCTION("""COMPUTED_VALUE"""),0.116279069767441)</f>
        <v>0.1162790698</v>
      </c>
      <c r="Q252" s="16">
        <f>IFERROR(__xludf.DUMMYFUNCTION("""COMPUTED_VALUE"""),1.0)</f>
        <v>1</v>
      </c>
      <c r="R252" s="16">
        <f>IFERROR(__xludf.DUMMYFUNCTION("""COMPUTED_VALUE"""),0.0)</f>
        <v>0</v>
      </c>
      <c r="S252" s="16">
        <f>IFERROR(__xludf.DUMMYFUNCTION("""COMPUTED_VALUE"""),0.0)</f>
        <v>0</v>
      </c>
      <c r="T252" s="16">
        <f>IFERROR(__xludf.DUMMYFUNCTION("""COMPUTED_VALUE"""),0.0)</f>
        <v>0</v>
      </c>
      <c r="U252" s="16">
        <f>IFERROR(__xludf.DUMMYFUNCTION("""COMPUTED_VALUE"""),0.0)</f>
        <v>0</v>
      </c>
      <c r="V252" s="16">
        <f>IFERROR(__xludf.DUMMYFUNCTION("""COMPUTED_VALUE"""),0.0)</f>
        <v>0</v>
      </c>
      <c r="W252" s="16">
        <f>IFERROR(__xludf.DUMMYFUNCTION("""COMPUTED_VALUE"""),0.0)</f>
        <v>0</v>
      </c>
      <c r="X252" s="16">
        <f>IFERROR(__xludf.DUMMYFUNCTION("""COMPUTED_VALUE"""),0.0)</f>
        <v>0</v>
      </c>
      <c r="Y252" s="16">
        <f>IFERROR(__xludf.DUMMYFUNCTION("""COMPUTED_VALUE"""),0.0)</f>
        <v>0</v>
      </c>
      <c r="Z252" s="16">
        <f>IFERROR(__xludf.DUMMYFUNCTION("""COMPUTED_VALUE"""),0.0)</f>
        <v>0</v>
      </c>
      <c r="AA252" s="16">
        <f>IFERROR(__xludf.DUMMYFUNCTION("""COMPUTED_VALUE"""),0.0)</f>
        <v>0</v>
      </c>
      <c r="AB252" s="16">
        <f>IFERROR(__xludf.DUMMYFUNCTION("""COMPUTED_VALUE"""),0.0)</f>
        <v>0</v>
      </c>
      <c r="AC252" s="16">
        <f>IFERROR(__xludf.DUMMYFUNCTION("""COMPUTED_VALUE"""),0.0)</f>
        <v>0</v>
      </c>
      <c r="AD252" s="16">
        <f>IFERROR(__xludf.DUMMYFUNCTION("""COMPUTED_VALUE"""),0.0)</f>
        <v>0</v>
      </c>
      <c r="AE252" s="16">
        <f>IFERROR(__xludf.DUMMYFUNCTION("""COMPUTED_VALUE"""),0.0)</f>
        <v>0</v>
      </c>
      <c r="AF252" s="16">
        <f>IFERROR(__xludf.DUMMYFUNCTION("""COMPUTED_VALUE"""),0.0)</f>
        <v>0</v>
      </c>
      <c r="AG252" s="16">
        <f>IFERROR(__xludf.DUMMYFUNCTION("""COMPUTED_VALUE"""),0.0)</f>
        <v>0</v>
      </c>
      <c r="AH252" s="16">
        <f>IFERROR(__xludf.DUMMYFUNCTION("""COMPUTED_VALUE"""),0.0)</f>
        <v>0</v>
      </c>
    </row>
    <row r="253">
      <c r="A253" s="16" t="str">
        <f>IFERROR(__xludf.DUMMYFUNCTION("""COMPUTED_VALUE"""),"e168f716089521f9d1fe95769f273458c64e2ba9")</f>
        <v>e168f716089521f9d1fe95769f273458c64e2ba9</v>
      </c>
      <c r="B253" s="16" t="str">
        <f>IFERROR(__xludf.DUMMYFUNCTION("""COMPUTED_VALUE"""),"My Young Bodyguard")</f>
        <v>My Young Bodyguard</v>
      </c>
      <c r="C253" s="16" t="str">
        <f>IFERROR(__xludf.DUMMYFUNCTION("""COMPUTED_VALUE"""),"Drama")</f>
        <v>Drama</v>
      </c>
      <c r="D253" s="16">
        <f>IFERROR(__xludf.DUMMYFUNCTION("""COMPUTED_VALUE"""),398.0)</f>
        <v>398</v>
      </c>
      <c r="E253" s="16">
        <f>IFERROR(__xludf.DUMMYFUNCTION("""COMPUTED_VALUE"""),0.977386934673366)</f>
        <v>0.9773869347</v>
      </c>
      <c r="F253" s="16">
        <f>IFERROR(__xludf.DUMMYFUNCTION("""COMPUTED_VALUE"""),0.592964824120603)</f>
        <v>0.5929648241</v>
      </c>
      <c r="G253" s="16">
        <f>IFERROR(__xludf.DUMMYFUNCTION("""COMPUTED_VALUE"""),0.522613065326633)</f>
        <v>0.5226130653</v>
      </c>
      <c r="H253" s="16">
        <f>IFERROR(__xludf.DUMMYFUNCTION("""COMPUTED_VALUE"""),0.479899497487437)</f>
        <v>0.4798994975</v>
      </c>
      <c r="I253" s="16">
        <f>IFERROR(__xludf.DUMMYFUNCTION("""COMPUTED_VALUE"""),0.417085427135678)</f>
        <v>0.4170854271</v>
      </c>
      <c r="J253" s="16">
        <f>IFERROR(__xludf.DUMMYFUNCTION("""COMPUTED_VALUE"""),0.404040404040404)</f>
        <v>0.404040404</v>
      </c>
      <c r="K253" s="16">
        <f>IFERROR(__xludf.DUMMYFUNCTION("""COMPUTED_VALUE"""),0.383248730964467)</f>
        <v>0.383248731</v>
      </c>
      <c r="L253" s="16">
        <f>IFERROR(__xludf.DUMMYFUNCTION("""COMPUTED_VALUE"""),0.365333333333333)</f>
        <v>0.3653333333</v>
      </c>
      <c r="M253" s="16">
        <f>IFERROR(__xludf.DUMMYFUNCTION("""COMPUTED_VALUE"""),0.345108695652173)</f>
        <v>0.3451086957</v>
      </c>
      <c r="N253" s="16">
        <f>IFERROR(__xludf.DUMMYFUNCTION("""COMPUTED_VALUE"""),0.315634218289085)</f>
        <v>0.3156342183</v>
      </c>
      <c r="O253" s="16">
        <f>IFERROR(__xludf.DUMMYFUNCTION("""COMPUTED_VALUE"""),0.28099173553719)</f>
        <v>0.2809917355</v>
      </c>
      <c r="P253" s="16">
        <f>IFERROR(__xludf.DUMMYFUNCTION("""COMPUTED_VALUE"""),0.284090909090909)</f>
        <v>0.2840909091</v>
      </c>
      <c r="Q253" s="16">
        <f>IFERROR(__xludf.DUMMYFUNCTION("""COMPUTED_VALUE"""),0.150684931506849)</f>
        <v>0.1506849315</v>
      </c>
      <c r="R253" s="16">
        <f>IFERROR(__xludf.DUMMYFUNCTION("""COMPUTED_VALUE"""),0.0512820512820512)</f>
        <v>0.05128205128</v>
      </c>
      <c r="S253" s="16">
        <f>IFERROR(__xludf.DUMMYFUNCTION("""COMPUTED_VALUE"""),0.0)</f>
        <v>0</v>
      </c>
      <c r="T253" s="16">
        <f>IFERROR(__xludf.DUMMYFUNCTION("""COMPUTED_VALUE"""),0.0)</f>
        <v>0</v>
      </c>
      <c r="U253" s="16">
        <f>IFERROR(__xludf.DUMMYFUNCTION("""COMPUTED_VALUE"""),0.0)</f>
        <v>0</v>
      </c>
      <c r="V253" s="16">
        <f>IFERROR(__xludf.DUMMYFUNCTION("""COMPUTED_VALUE"""),0.0)</f>
        <v>0</v>
      </c>
      <c r="W253" s="16">
        <f>IFERROR(__xludf.DUMMYFUNCTION("""COMPUTED_VALUE"""),0.0)</f>
        <v>0</v>
      </c>
      <c r="X253" s="16">
        <f>IFERROR(__xludf.DUMMYFUNCTION("""COMPUTED_VALUE"""),0.0)</f>
        <v>0</v>
      </c>
      <c r="Y253" s="16">
        <f>IFERROR(__xludf.DUMMYFUNCTION("""COMPUTED_VALUE"""),0.0)</f>
        <v>0</v>
      </c>
      <c r="Z253" s="16">
        <f>IFERROR(__xludf.DUMMYFUNCTION("""COMPUTED_VALUE"""),0.0)</f>
        <v>0</v>
      </c>
      <c r="AA253" s="16">
        <f>IFERROR(__xludf.DUMMYFUNCTION("""COMPUTED_VALUE"""),0.0)</f>
        <v>0</v>
      </c>
      <c r="AB253" s="16">
        <f>IFERROR(__xludf.DUMMYFUNCTION("""COMPUTED_VALUE"""),0.0)</f>
        <v>0</v>
      </c>
      <c r="AC253" s="16">
        <f>IFERROR(__xludf.DUMMYFUNCTION("""COMPUTED_VALUE"""),0.0)</f>
        <v>0</v>
      </c>
      <c r="AD253" s="16">
        <f>IFERROR(__xludf.DUMMYFUNCTION("""COMPUTED_VALUE"""),0.0)</f>
        <v>0</v>
      </c>
      <c r="AE253" s="16">
        <f>IFERROR(__xludf.DUMMYFUNCTION("""COMPUTED_VALUE"""),0.0)</f>
        <v>0</v>
      </c>
      <c r="AF253" s="16">
        <f>IFERROR(__xludf.DUMMYFUNCTION("""COMPUTED_VALUE"""),0.0)</f>
        <v>0</v>
      </c>
      <c r="AG253" s="16">
        <f>IFERROR(__xludf.DUMMYFUNCTION("""COMPUTED_VALUE"""),0.0)</f>
        <v>0</v>
      </c>
      <c r="AH253" s="16">
        <f>IFERROR(__xludf.DUMMYFUNCTION("""COMPUTED_VALUE"""),0.0)</f>
        <v>0</v>
      </c>
    </row>
    <row r="254">
      <c r="A254" s="16" t="str">
        <f>IFERROR(__xludf.DUMMYFUNCTION("""COMPUTED_VALUE"""),"e1e025613df0bb24a28711b19cbefdbc254e0c21")</f>
        <v>e1e025613df0bb24a28711b19cbefdbc254e0c21</v>
      </c>
      <c r="B254" s="16" t="str">
        <f>IFERROR(__xludf.DUMMYFUNCTION("""COMPUTED_VALUE"""),"The Ceo Hidden Bride")</f>
        <v>The Ceo Hidden Bride</v>
      </c>
      <c r="C254" s="16" t="str">
        <f>IFERROR(__xludf.DUMMYFUNCTION("""COMPUTED_VALUE"""),"Romance")</f>
        <v>Romance</v>
      </c>
      <c r="D254" s="16">
        <f>IFERROR(__xludf.DUMMYFUNCTION("""COMPUTED_VALUE"""),63.0)</f>
        <v>63</v>
      </c>
      <c r="E254" s="16">
        <f>IFERROR(__xludf.DUMMYFUNCTION("""COMPUTED_VALUE"""),0.968253968253968)</f>
        <v>0.9682539683</v>
      </c>
      <c r="F254" s="16">
        <f>IFERROR(__xludf.DUMMYFUNCTION("""COMPUTED_VALUE"""),0.571428571428571)</f>
        <v>0.5714285714</v>
      </c>
      <c r="G254" s="16">
        <f>IFERROR(__xludf.DUMMYFUNCTION("""COMPUTED_VALUE"""),0.492063492063492)</f>
        <v>0.4920634921</v>
      </c>
      <c r="H254" s="16">
        <f>IFERROR(__xludf.DUMMYFUNCTION("""COMPUTED_VALUE"""),0.349206349206349)</f>
        <v>0.3492063492</v>
      </c>
      <c r="I254" s="16">
        <f>IFERROR(__xludf.DUMMYFUNCTION("""COMPUTED_VALUE"""),0.285714285714285)</f>
        <v>0.2857142857</v>
      </c>
      <c r="J254" s="16">
        <f>IFERROR(__xludf.DUMMYFUNCTION("""COMPUTED_VALUE"""),0.21311475409836)</f>
        <v>0.2131147541</v>
      </c>
      <c r="K254" s="16">
        <f>IFERROR(__xludf.DUMMYFUNCTION("""COMPUTED_VALUE"""),0.210526315789473)</f>
        <v>0.2105263158</v>
      </c>
      <c r="L254" s="16">
        <f>IFERROR(__xludf.DUMMYFUNCTION("""COMPUTED_VALUE"""),0.160714285714285)</f>
        <v>0.1607142857</v>
      </c>
      <c r="M254" s="16">
        <f>IFERROR(__xludf.DUMMYFUNCTION("""COMPUTED_VALUE"""),0.145454545454545)</f>
        <v>0.1454545455</v>
      </c>
      <c r="N254" s="16">
        <f>IFERROR(__xludf.DUMMYFUNCTION("""COMPUTED_VALUE"""),0.109090909090909)</f>
        <v>0.1090909091</v>
      </c>
      <c r="O254" s="16">
        <f>IFERROR(__xludf.DUMMYFUNCTION("""COMPUTED_VALUE"""),0.146341463414634)</f>
        <v>0.1463414634</v>
      </c>
      <c r="P254" s="16">
        <f>IFERROR(__xludf.DUMMYFUNCTION("""COMPUTED_VALUE"""),0.0)</f>
        <v>0</v>
      </c>
      <c r="Q254" s="16">
        <f>IFERROR(__xludf.DUMMYFUNCTION("""COMPUTED_VALUE"""),0.0)</f>
        <v>0</v>
      </c>
      <c r="R254" s="16">
        <f>IFERROR(__xludf.DUMMYFUNCTION("""COMPUTED_VALUE"""),0.0)</f>
        <v>0</v>
      </c>
      <c r="S254" s="16">
        <f>IFERROR(__xludf.DUMMYFUNCTION("""COMPUTED_VALUE"""),0.0)</f>
        <v>0</v>
      </c>
      <c r="T254" s="16">
        <f>IFERROR(__xludf.DUMMYFUNCTION("""COMPUTED_VALUE"""),0.0)</f>
        <v>0</v>
      </c>
      <c r="U254" s="16">
        <f>IFERROR(__xludf.DUMMYFUNCTION("""COMPUTED_VALUE"""),0.0)</f>
        <v>0</v>
      </c>
      <c r="V254" s="16">
        <f>IFERROR(__xludf.DUMMYFUNCTION("""COMPUTED_VALUE"""),0.0)</f>
        <v>0</v>
      </c>
      <c r="W254" s="16">
        <f>IFERROR(__xludf.DUMMYFUNCTION("""COMPUTED_VALUE"""),0.0)</f>
        <v>0</v>
      </c>
      <c r="X254" s="16">
        <f>IFERROR(__xludf.DUMMYFUNCTION("""COMPUTED_VALUE"""),0.0)</f>
        <v>0</v>
      </c>
      <c r="Y254" s="16">
        <f>IFERROR(__xludf.DUMMYFUNCTION("""COMPUTED_VALUE"""),0.0)</f>
        <v>0</v>
      </c>
      <c r="Z254" s="16">
        <f>IFERROR(__xludf.DUMMYFUNCTION("""COMPUTED_VALUE"""),0.0)</f>
        <v>0</v>
      </c>
      <c r="AA254" s="16">
        <f>IFERROR(__xludf.DUMMYFUNCTION("""COMPUTED_VALUE"""),0.0)</f>
        <v>0</v>
      </c>
      <c r="AB254" s="16">
        <f>IFERROR(__xludf.DUMMYFUNCTION("""COMPUTED_VALUE"""),0.0)</f>
        <v>0</v>
      </c>
      <c r="AC254" s="16">
        <f>IFERROR(__xludf.DUMMYFUNCTION("""COMPUTED_VALUE"""),0.0)</f>
        <v>0</v>
      </c>
      <c r="AD254" s="16">
        <f>IFERROR(__xludf.DUMMYFUNCTION("""COMPUTED_VALUE"""),0.0)</f>
        <v>0</v>
      </c>
      <c r="AE254" s="16">
        <f>IFERROR(__xludf.DUMMYFUNCTION("""COMPUTED_VALUE"""),0.0)</f>
        <v>0</v>
      </c>
      <c r="AF254" s="16">
        <f>IFERROR(__xludf.DUMMYFUNCTION("""COMPUTED_VALUE"""),0.0)</f>
        <v>0</v>
      </c>
      <c r="AG254" s="16">
        <f>IFERROR(__xludf.DUMMYFUNCTION("""COMPUTED_VALUE"""),0.0)</f>
        <v>0</v>
      </c>
      <c r="AH254" s="16">
        <f>IFERROR(__xludf.DUMMYFUNCTION("""COMPUTED_VALUE"""),0.0)</f>
        <v>0</v>
      </c>
    </row>
    <row r="255">
      <c r="A255" s="16" t="str">
        <f>IFERROR(__xludf.DUMMYFUNCTION("""COMPUTED_VALUE"""),"e2f077e58449b7e3e415bd16eb5bb755606936b6")</f>
        <v>e2f077e58449b7e3e415bd16eb5bb755606936b6</v>
      </c>
      <c r="B255" s="16" t="str">
        <f>IFERROR(__xludf.DUMMYFUNCTION("""COMPUTED_VALUE"""),"Powerless Heir to Throne")</f>
        <v>Powerless Heir to Throne</v>
      </c>
      <c r="C255" s="16" t="str">
        <f>IFERROR(__xludf.DUMMYFUNCTION("""COMPUTED_VALUE"""),"System and Superpower")</f>
        <v>System and Superpower</v>
      </c>
      <c r="D255" s="16">
        <f>IFERROR(__xludf.DUMMYFUNCTION("""COMPUTED_VALUE"""),520.0)</f>
        <v>520</v>
      </c>
      <c r="E255" s="16">
        <f>IFERROR(__xludf.DUMMYFUNCTION("""COMPUTED_VALUE"""),0.953846153846153)</f>
        <v>0.9538461538</v>
      </c>
      <c r="F255" s="16">
        <f>IFERROR(__xludf.DUMMYFUNCTION("""COMPUTED_VALUE"""),0.703846153846153)</f>
        <v>0.7038461538</v>
      </c>
      <c r="G255" s="16">
        <f>IFERROR(__xludf.DUMMYFUNCTION("""COMPUTED_VALUE"""),0.653846153846153)</f>
        <v>0.6538461538</v>
      </c>
      <c r="H255" s="16">
        <f>IFERROR(__xludf.DUMMYFUNCTION("""COMPUTED_VALUE"""),0.615384615384615)</f>
        <v>0.6153846154</v>
      </c>
      <c r="I255" s="16">
        <f>IFERROR(__xludf.DUMMYFUNCTION("""COMPUTED_VALUE"""),0.546153846153846)</f>
        <v>0.5461538462</v>
      </c>
      <c r="J255" s="16">
        <f>IFERROR(__xludf.DUMMYFUNCTION("""COMPUTED_VALUE"""),0.521153846153846)</f>
        <v>0.5211538462</v>
      </c>
      <c r="K255" s="16">
        <f>IFERROR(__xludf.DUMMYFUNCTION("""COMPUTED_VALUE"""),0.48076923076923)</f>
        <v>0.4807692308</v>
      </c>
      <c r="L255" s="16">
        <f>IFERROR(__xludf.DUMMYFUNCTION("""COMPUTED_VALUE"""),0.448940269749518)</f>
        <v>0.4489402697</v>
      </c>
      <c r="M255" s="16">
        <f>IFERROR(__xludf.DUMMYFUNCTION("""COMPUTED_VALUE"""),0.418111753371868)</f>
        <v>0.4181117534</v>
      </c>
      <c r="N255" s="16">
        <f>IFERROR(__xludf.DUMMYFUNCTION("""COMPUTED_VALUE"""),0.409266409266409)</f>
        <v>0.4092664093</v>
      </c>
      <c r="O255" s="16">
        <f>IFERROR(__xludf.DUMMYFUNCTION("""COMPUTED_VALUE"""),0.350877192982456)</f>
        <v>0.350877193</v>
      </c>
      <c r="P255" s="16">
        <f>IFERROR(__xludf.DUMMYFUNCTION("""COMPUTED_VALUE"""),0.224206349206349)</f>
        <v>0.2242063492</v>
      </c>
      <c r="Q255" s="16">
        <f>IFERROR(__xludf.DUMMYFUNCTION("""COMPUTED_VALUE"""),0.13469387755102)</f>
        <v>0.1346938776</v>
      </c>
      <c r="R255" s="16">
        <f>IFERROR(__xludf.DUMMYFUNCTION("""COMPUTED_VALUE"""),0.0897435897435897)</f>
        <v>0.08974358974</v>
      </c>
      <c r="S255" s="16">
        <f>IFERROR(__xludf.DUMMYFUNCTION("""COMPUTED_VALUE"""),0.059090909090909)</f>
        <v>0.05909090909</v>
      </c>
      <c r="T255" s="16">
        <f>IFERROR(__xludf.DUMMYFUNCTION("""COMPUTED_VALUE"""),0.0198019801980198)</f>
        <v>0.0198019802</v>
      </c>
      <c r="U255" s="16">
        <f>IFERROR(__xludf.DUMMYFUNCTION("""COMPUTED_VALUE"""),0.0)</f>
        <v>0</v>
      </c>
      <c r="V255" s="16">
        <f>IFERROR(__xludf.DUMMYFUNCTION("""COMPUTED_VALUE"""),0.0)</f>
        <v>0</v>
      </c>
      <c r="W255" s="16">
        <f>IFERROR(__xludf.DUMMYFUNCTION("""COMPUTED_VALUE"""),0.0)</f>
        <v>0</v>
      </c>
      <c r="X255" s="16">
        <f>IFERROR(__xludf.DUMMYFUNCTION("""COMPUTED_VALUE"""),0.0)</f>
        <v>0</v>
      </c>
      <c r="Y255" s="16">
        <f>IFERROR(__xludf.DUMMYFUNCTION("""COMPUTED_VALUE"""),0.0)</f>
        <v>0</v>
      </c>
      <c r="Z255" s="16">
        <f>IFERROR(__xludf.DUMMYFUNCTION("""COMPUTED_VALUE"""),0.0)</f>
        <v>0</v>
      </c>
      <c r="AA255" s="16">
        <f>IFERROR(__xludf.DUMMYFUNCTION("""COMPUTED_VALUE"""),0.0)</f>
        <v>0</v>
      </c>
      <c r="AB255" s="16">
        <f>IFERROR(__xludf.DUMMYFUNCTION("""COMPUTED_VALUE"""),0.0)</f>
        <v>0</v>
      </c>
      <c r="AC255" s="16">
        <f>IFERROR(__xludf.DUMMYFUNCTION("""COMPUTED_VALUE"""),0.0)</f>
        <v>0</v>
      </c>
      <c r="AD255" s="16">
        <f>IFERROR(__xludf.DUMMYFUNCTION("""COMPUTED_VALUE"""),0.0)</f>
        <v>0</v>
      </c>
      <c r="AE255" s="16">
        <f>IFERROR(__xludf.DUMMYFUNCTION("""COMPUTED_VALUE"""),0.0)</f>
        <v>0</v>
      </c>
      <c r="AF255" s="16">
        <f>IFERROR(__xludf.DUMMYFUNCTION("""COMPUTED_VALUE"""),0.0)</f>
        <v>0</v>
      </c>
      <c r="AG255" s="16">
        <f>IFERROR(__xludf.DUMMYFUNCTION("""COMPUTED_VALUE"""),0.0)</f>
        <v>0</v>
      </c>
      <c r="AH255" s="16">
        <f>IFERROR(__xludf.DUMMYFUNCTION("""COMPUTED_VALUE"""),0.0)</f>
        <v>0</v>
      </c>
    </row>
    <row r="256">
      <c r="A256" s="16" t="str">
        <f>IFERROR(__xludf.DUMMYFUNCTION("""COMPUTED_VALUE"""),"e3ea22ad9a736918a7619bfed3abf1f862c9bdb2")</f>
        <v>e3ea22ad9a736918a7619bfed3abf1f862c9bdb2</v>
      </c>
      <c r="B256" s="16" t="str">
        <f>IFERROR(__xludf.DUMMYFUNCTION("""COMPUTED_VALUE"""),"The Empress's Cold Return")</f>
        <v>The Empress's Cold Return</v>
      </c>
      <c r="C256" s="16" t="str">
        <f>IFERROR(__xludf.DUMMYFUNCTION("""COMPUTED_VALUE"""),"Drama")</f>
        <v>Drama</v>
      </c>
      <c r="D256" s="16">
        <f>IFERROR(__xludf.DUMMYFUNCTION("""COMPUTED_VALUE"""),34.0)</f>
        <v>34</v>
      </c>
      <c r="E256" s="16">
        <f>IFERROR(__xludf.DUMMYFUNCTION("""COMPUTED_VALUE"""),0.970588235294117)</f>
        <v>0.9705882353</v>
      </c>
      <c r="F256" s="16">
        <f>IFERROR(__xludf.DUMMYFUNCTION("""COMPUTED_VALUE"""),0.470588235294117)</f>
        <v>0.4705882353</v>
      </c>
      <c r="G256" s="16">
        <f>IFERROR(__xludf.DUMMYFUNCTION("""COMPUTED_VALUE"""),0.441176470588235)</f>
        <v>0.4411764706</v>
      </c>
      <c r="H256" s="16">
        <f>IFERROR(__xludf.DUMMYFUNCTION("""COMPUTED_VALUE"""),0.411764705882352)</f>
        <v>0.4117647059</v>
      </c>
      <c r="I256" s="16">
        <f>IFERROR(__xludf.DUMMYFUNCTION("""COMPUTED_VALUE"""),0.411764705882352)</f>
        <v>0.4117647059</v>
      </c>
      <c r="J256" s="16">
        <f>IFERROR(__xludf.DUMMYFUNCTION("""COMPUTED_VALUE"""),0.352941176470588)</f>
        <v>0.3529411765</v>
      </c>
      <c r="K256" s="16">
        <f>IFERROR(__xludf.DUMMYFUNCTION("""COMPUTED_VALUE"""),0.294117647058823)</f>
        <v>0.2941176471</v>
      </c>
      <c r="L256" s="16">
        <f>IFERROR(__xludf.DUMMYFUNCTION("""COMPUTED_VALUE"""),0.323529411764705)</f>
        <v>0.3235294118</v>
      </c>
      <c r="M256" s="16">
        <f>IFERROR(__xludf.DUMMYFUNCTION("""COMPUTED_VALUE"""),0.264705882352941)</f>
        <v>0.2647058824</v>
      </c>
      <c r="N256" s="16">
        <f>IFERROR(__xludf.DUMMYFUNCTION("""COMPUTED_VALUE"""),0.294117647058823)</f>
        <v>0.2941176471</v>
      </c>
      <c r="O256" s="16">
        <f>IFERROR(__xludf.DUMMYFUNCTION("""COMPUTED_VALUE"""),0.176470588235294)</f>
        <v>0.1764705882</v>
      </c>
      <c r="P256" s="16">
        <f>IFERROR(__xludf.DUMMYFUNCTION("""COMPUTED_VALUE"""),0.088235294117647)</f>
        <v>0.08823529412</v>
      </c>
      <c r="Q256" s="16">
        <f>IFERROR(__xludf.DUMMYFUNCTION("""COMPUTED_VALUE"""),0.0689655172413793)</f>
        <v>0.06896551724</v>
      </c>
      <c r="R256" s="16">
        <f>IFERROR(__xludf.DUMMYFUNCTION("""COMPUTED_VALUE"""),0.0526315789473684)</f>
        <v>0.05263157895</v>
      </c>
      <c r="S256" s="16">
        <f>IFERROR(__xludf.DUMMYFUNCTION("""COMPUTED_VALUE"""),0.0)</f>
        <v>0</v>
      </c>
      <c r="T256" s="16">
        <f>IFERROR(__xludf.DUMMYFUNCTION("""COMPUTED_VALUE"""),0.0)</f>
        <v>0</v>
      </c>
      <c r="U256" s="16">
        <f>IFERROR(__xludf.DUMMYFUNCTION("""COMPUTED_VALUE"""),0.0)</f>
        <v>0</v>
      </c>
      <c r="V256" s="16">
        <f>IFERROR(__xludf.DUMMYFUNCTION("""COMPUTED_VALUE"""),0.0)</f>
        <v>0</v>
      </c>
      <c r="W256" s="16">
        <f>IFERROR(__xludf.DUMMYFUNCTION("""COMPUTED_VALUE"""),0.0)</f>
        <v>0</v>
      </c>
      <c r="X256" s="16">
        <f>IFERROR(__xludf.DUMMYFUNCTION("""COMPUTED_VALUE"""),0.0)</f>
        <v>0</v>
      </c>
      <c r="Y256" s="16">
        <f>IFERROR(__xludf.DUMMYFUNCTION("""COMPUTED_VALUE"""),0.0)</f>
        <v>0</v>
      </c>
      <c r="Z256" s="16">
        <f>IFERROR(__xludf.DUMMYFUNCTION("""COMPUTED_VALUE"""),0.0)</f>
        <v>0</v>
      </c>
      <c r="AA256" s="16">
        <f>IFERROR(__xludf.DUMMYFUNCTION("""COMPUTED_VALUE"""),0.0)</f>
        <v>0</v>
      </c>
      <c r="AB256" s="16">
        <f>IFERROR(__xludf.DUMMYFUNCTION("""COMPUTED_VALUE"""),0.0)</f>
        <v>0</v>
      </c>
      <c r="AC256" s="16">
        <f>IFERROR(__xludf.DUMMYFUNCTION("""COMPUTED_VALUE"""),0.0)</f>
        <v>0</v>
      </c>
      <c r="AD256" s="16">
        <f>IFERROR(__xludf.DUMMYFUNCTION("""COMPUTED_VALUE"""),0.0)</f>
        <v>0</v>
      </c>
      <c r="AE256" s="16">
        <f>IFERROR(__xludf.DUMMYFUNCTION("""COMPUTED_VALUE"""),0.0)</f>
        <v>0</v>
      </c>
      <c r="AF256" s="16">
        <f>IFERROR(__xludf.DUMMYFUNCTION("""COMPUTED_VALUE"""),0.0)</f>
        <v>0</v>
      </c>
      <c r="AG256" s="16">
        <f>IFERROR(__xludf.DUMMYFUNCTION("""COMPUTED_VALUE"""),0.0)</f>
        <v>0</v>
      </c>
      <c r="AH256" s="16">
        <f>IFERROR(__xludf.DUMMYFUNCTION("""COMPUTED_VALUE"""),0.0)</f>
        <v>0</v>
      </c>
    </row>
    <row r="257">
      <c r="A257" s="16" t="str">
        <f>IFERROR(__xludf.DUMMYFUNCTION("""COMPUTED_VALUE"""),"e40505b31ca87f2f6b736e3f18b3e9f46e21cd04")</f>
        <v>e40505b31ca87f2f6b736e3f18b3e9f46e21cd04</v>
      </c>
      <c r="B257" s="16" t="str">
        <f>IFERROR(__xludf.DUMMYFUNCTION("""COMPUTED_VALUE"""),"My Dragonic System")</f>
        <v>My Dragonic System</v>
      </c>
      <c r="C257" s="16" t="str">
        <f>IFERROR(__xludf.DUMMYFUNCTION("""COMPUTED_VALUE"""),"System and Superpower")</f>
        <v>System and Superpower</v>
      </c>
      <c r="D257" s="16">
        <f>IFERROR(__xludf.DUMMYFUNCTION("""COMPUTED_VALUE"""),21480.0)</f>
        <v>21480</v>
      </c>
      <c r="E257" s="16">
        <f>IFERROR(__xludf.DUMMYFUNCTION("""COMPUTED_VALUE"""),0.961731843575419)</f>
        <v>0.9617318436</v>
      </c>
      <c r="F257" s="16">
        <f>IFERROR(__xludf.DUMMYFUNCTION("""COMPUTED_VALUE"""),0.631843575418994)</f>
        <v>0.6318435754</v>
      </c>
      <c r="G257" s="16">
        <f>IFERROR(__xludf.DUMMYFUNCTION("""COMPUTED_VALUE"""),0.580214152700186)</f>
        <v>0.5802141527</v>
      </c>
      <c r="H257" s="16">
        <f>IFERROR(__xludf.DUMMYFUNCTION("""COMPUTED_VALUE"""),0.543575418994413)</f>
        <v>0.543575419</v>
      </c>
      <c r="I257" s="16">
        <f>IFERROR(__xludf.DUMMYFUNCTION("""COMPUTED_VALUE"""),0.524208566108007)</f>
        <v>0.5242085661</v>
      </c>
      <c r="J257" s="16">
        <f>IFERROR(__xludf.DUMMYFUNCTION("""COMPUTED_VALUE"""),0.507012067278572)</f>
        <v>0.5070120673</v>
      </c>
      <c r="K257" s="16">
        <f>IFERROR(__xludf.DUMMYFUNCTION("""COMPUTED_VALUE"""),0.488880600494195)</f>
        <v>0.4888806005</v>
      </c>
      <c r="L257" s="16">
        <f>IFERROR(__xludf.DUMMYFUNCTION("""COMPUTED_VALUE"""),0.476897921046484)</f>
        <v>0.476897921</v>
      </c>
      <c r="M257" s="16">
        <f>IFERROR(__xludf.DUMMYFUNCTION("""COMPUTED_VALUE"""),0.464449648711943)</f>
        <v>0.4644496487</v>
      </c>
      <c r="N257" s="16">
        <f>IFERROR(__xludf.DUMMYFUNCTION("""COMPUTED_VALUE"""),0.453529328887427)</f>
        <v>0.4535293289</v>
      </c>
      <c r="O257" s="16">
        <f>IFERROR(__xludf.DUMMYFUNCTION("""COMPUTED_VALUE"""),0.427852189607675)</f>
        <v>0.4278521896</v>
      </c>
      <c r="P257" s="16">
        <f>IFERROR(__xludf.DUMMYFUNCTION("""COMPUTED_VALUE"""),0.367443698143026)</f>
        <v>0.3674436981</v>
      </c>
      <c r="Q257" s="16">
        <f>IFERROR(__xludf.DUMMYFUNCTION("""COMPUTED_VALUE"""),0.295572167912593)</f>
        <v>0.2955721679</v>
      </c>
      <c r="R257" s="16">
        <f>IFERROR(__xludf.DUMMYFUNCTION("""COMPUTED_VALUE"""),0.249362125832347)</f>
        <v>0.2493621258</v>
      </c>
      <c r="S257" s="16">
        <f>IFERROR(__xludf.DUMMYFUNCTION("""COMPUTED_VALUE"""),0.206391990758567)</f>
        <v>0.2063919908</v>
      </c>
      <c r="T257" s="16">
        <f>IFERROR(__xludf.DUMMYFUNCTION("""COMPUTED_VALUE"""),0.149945175438596)</f>
        <v>0.1499451754</v>
      </c>
      <c r="U257" s="16">
        <f>IFERROR(__xludf.DUMMYFUNCTION("""COMPUTED_VALUE"""),0.114423498465585)</f>
        <v>0.1144234985</v>
      </c>
      <c r="V257" s="16">
        <f>IFERROR(__xludf.DUMMYFUNCTION("""COMPUTED_VALUE"""),0.0)</f>
        <v>0</v>
      </c>
      <c r="W257" s="16">
        <f>IFERROR(__xludf.DUMMYFUNCTION("""COMPUTED_VALUE"""),0.0)</f>
        <v>0</v>
      </c>
      <c r="X257" s="16">
        <f>IFERROR(__xludf.DUMMYFUNCTION("""COMPUTED_VALUE"""),0.0)</f>
        <v>0</v>
      </c>
      <c r="Y257" s="16">
        <f>IFERROR(__xludf.DUMMYFUNCTION("""COMPUTED_VALUE"""),0.0)</f>
        <v>0</v>
      </c>
      <c r="Z257" s="16">
        <f>IFERROR(__xludf.DUMMYFUNCTION("""COMPUTED_VALUE"""),0.0)</f>
        <v>0</v>
      </c>
      <c r="AA257" s="16">
        <f>IFERROR(__xludf.DUMMYFUNCTION("""COMPUTED_VALUE"""),0.0)</f>
        <v>0</v>
      </c>
      <c r="AB257" s="16">
        <f>IFERROR(__xludf.DUMMYFUNCTION("""COMPUTED_VALUE"""),0.0)</f>
        <v>0</v>
      </c>
      <c r="AC257" s="16">
        <f>IFERROR(__xludf.DUMMYFUNCTION("""COMPUTED_VALUE"""),0.0)</f>
        <v>0</v>
      </c>
      <c r="AD257" s="16">
        <f>IFERROR(__xludf.DUMMYFUNCTION("""COMPUTED_VALUE"""),0.0)</f>
        <v>0</v>
      </c>
      <c r="AE257" s="16">
        <f>IFERROR(__xludf.DUMMYFUNCTION("""COMPUTED_VALUE"""),0.0)</f>
        <v>0</v>
      </c>
      <c r="AF257" s="16">
        <f>IFERROR(__xludf.DUMMYFUNCTION("""COMPUTED_VALUE"""),0.0)</f>
        <v>0</v>
      </c>
      <c r="AG257" s="16">
        <f>IFERROR(__xludf.DUMMYFUNCTION("""COMPUTED_VALUE"""),0.0)</f>
        <v>0</v>
      </c>
      <c r="AH257" s="16">
        <f>IFERROR(__xludf.DUMMYFUNCTION("""COMPUTED_VALUE"""),0.0)</f>
        <v>0</v>
      </c>
    </row>
    <row r="258">
      <c r="A258" s="16" t="str">
        <f>IFERROR(__xludf.DUMMYFUNCTION("""COMPUTED_VALUE"""),"e5b71f4b40481cb15ce33532df56be566352534e")</f>
        <v>e5b71f4b40481cb15ce33532df56be566352534e</v>
      </c>
      <c r="B258" s="16" t="str">
        <f>IFERROR(__xludf.DUMMYFUNCTION("""COMPUTED_VALUE"""),"Rewind and Rise")</f>
        <v>Rewind and Rise</v>
      </c>
      <c r="C258" s="16" t="str">
        <f>IFERROR(__xludf.DUMMYFUNCTION("""COMPUTED_VALUE"""),"Romantasy")</f>
        <v>Romantasy</v>
      </c>
      <c r="D258" s="16">
        <f>IFERROR(__xludf.DUMMYFUNCTION("""COMPUTED_VALUE"""),107.0)</f>
        <v>107</v>
      </c>
      <c r="E258" s="16">
        <f>IFERROR(__xludf.DUMMYFUNCTION("""COMPUTED_VALUE"""),0.962616822429906)</f>
        <v>0.9626168224</v>
      </c>
      <c r="F258" s="16">
        <f>IFERROR(__xludf.DUMMYFUNCTION("""COMPUTED_VALUE"""),0.813084112149532)</f>
        <v>0.8130841121</v>
      </c>
      <c r="G258" s="16">
        <f>IFERROR(__xludf.DUMMYFUNCTION("""COMPUTED_VALUE"""),0.719626168224299)</f>
        <v>0.7196261682</v>
      </c>
      <c r="H258" s="16">
        <f>IFERROR(__xludf.DUMMYFUNCTION("""COMPUTED_VALUE"""),0.654205607476635)</f>
        <v>0.6542056075</v>
      </c>
      <c r="I258" s="16">
        <f>IFERROR(__xludf.DUMMYFUNCTION("""COMPUTED_VALUE"""),0.616822429906542)</f>
        <v>0.6168224299</v>
      </c>
      <c r="J258" s="16">
        <f>IFERROR(__xludf.DUMMYFUNCTION("""COMPUTED_VALUE"""),0.585858585858585)</f>
        <v>0.5858585859</v>
      </c>
      <c r="K258" s="16">
        <f>IFERROR(__xludf.DUMMYFUNCTION("""COMPUTED_VALUE"""),0.615384615384615)</f>
        <v>0.6153846154</v>
      </c>
      <c r="L258" s="16">
        <f>IFERROR(__xludf.DUMMYFUNCTION("""COMPUTED_VALUE"""),0.61038961038961)</f>
        <v>0.6103896104</v>
      </c>
      <c r="M258" s="16">
        <f>IFERROR(__xludf.DUMMYFUNCTION("""COMPUTED_VALUE"""),0.514285714285714)</f>
        <v>0.5142857143</v>
      </c>
      <c r="N258" s="16">
        <f>IFERROR(__xludf.DUMMYFUNCTION("""COMPUTED_VALUE"""),0.471698113207547)</f>
        <v>0.4716981132</v>
      </c>
      <c r="O258" s="16">
        <f>IFERROR(__xludf.DUMMYFUNCTION("""COMPUTED_VALUE"""),0.384615384615384)</f>
        <v>0.3846153846</v>
      </c>
      <c r="P258" s="16">
        <f>IFERROR(__xludf.DUMMYFUNCTION("""COMPUTED_VALUE"""),0.5)</f>
        <v>0.5</v>
      </c>
      <c r="Q258" s="16">
        <f>IFERROR(__xludf.DUMMYFUNCTION("""COMPUTED_VALUE"""),0.0)</f>
        <v>0</v>
      </c>
      <c r="R258" s="16">
        <f>IFERROR(__xludf.DUMMYFUNCTION("""COMPUTED_VALUE"""),0.0)</f>
        <v>0</v>
      </c>
      <c r="S258" s="16">
        <f>IFERROR(__xludf.DUMMYFUNCTION("""COMPUTED_VALUE"""),0.0)</f>
        <v>0</v>
      </c>
      <c r="T258" s="16">
        <f>IFERROR(__xludf.DUMMYFUNCTION("""COMPUTED_VALUE"""),0.0)</f>
        <v>0</v>
      </c>
      <c r="U258" s="16">
        <f>IFERROR(__xludf.DUMMYFUNCTION("""COMPUTED_VALUE"""),0.0)</f>
        <v>0</v>
      </c>
      <c r="V258" s="16">
        <f>IFERROR(__xludf.DUMMYFUNCTION("""COMPUTED_VALUE"""),0.0)</f>
        <v>0</v>
      </c>
      <c r="W258" s="16">
        <f>IFERROR(__xludf.DUMMYFUNCTION("""COMPUTED_VALUE"""),0.0)</f>
        <v>0</v>
      </c>
      <c r="X258" s="16">
        <f>IFERROR(__xludf.DUMMYFUNCTION("""COMPUTED_VALUE"""),0.0)</f>
        <v>0</v>
      </c>
      <c r="Y258" s="16">
        <f>IFERROR(__xludf.DUMMYFUNCTION("""COMPUTED_VALUE"""),0.0)</f>
        <v>0</v>
      </c>
      <c r="Z258" s="16">
        <f>IFERROR(__xludf.DUMMYFUNCTION("""COMPUTED_VALUE"""),0.0)</f>
        <v>0</v>
      </c>
      <c r="AA258" s="16">
        <f>IFERROR(__xludf.DUMMYFUNCTION("""COMPUTED_VALUE"""),0.0)</f>
        <v>0</v>
      </c>
      <c r="AB258" s="16">
        <f>IFERROR(__xludf.DUMMYFUNCTION("""COMPUTED_VALUE"""),0.0)</f>
        <v>0</v>
      </c>
      <c r="AC258" s="16">
        <f>IFERROR(__xludf.DUMMYFUNCTION("""COMPUTED_VALUE"""),0.0)</f>
        <v>0</v>
      </c>
      <c r="AD258" s="16">
        <f>IFERROR(__xludf.DUMMYFUNCTION("""COMPUTED_VALUE"""),0.0)</f>
        <v>0</v>
      </c>
      <c r="AE258" s="16">
        <f>IFERROR(__xludf.DUMMYFUNCTION("""COMPUTED_VALUE"""),0.0)</f>
        <v>0</v>
      </c>
      <c r="AF258" s="16">
        <f>IFERROR(__xludf.DUMMYFUNCTION("""COMPUTED_VALUE"""),0.0)</f>
        <v>0</v>
      </c>
      <c r="AG258" s="16">
        <f>IFERROR(__xludf.DUMMYFUNCTION("""COMPUTED_VALUE"""),0.0)</f>
        <v>0</v>
      </c>
      <c r="AH258" s="16">
        <f>IFERROR(__xludf.DUMMYFUNCTION("""COMPUTED_VALUE"""),0.0)</f>
        <v>0</v>
      </c>
    </row>
    <row r="259">
      <c r="A259" s="16" t="str">
        <f>IFERROR(__xludf.DUMMYFUNCTION("""COMPUTED_VALUE"""),"e79ceb682265a42fb44c988f861c20672776f19d")</f>
        <v>e79ceb682265a42fb44c988f861c20672776f19d</v>
      </c>
      <c r="B259" s="16" t="str">
        <f>IFERROR(__xludf.DUMMYFUNCTION("""COMPUTED_VALUE"""),"Faction of Unity: Wyrmara")</f>
        <v>Faction of Unity: Wyrmara</v>
      </c>
      <c r="C259" s="16" t="str">
        <f>IFERROR(__xludf.DUMMYFUNCTION("""COMPUTED_VALUE"""),"Fantasy")</f>
        <v>Fantasy</v>
      </c>
      <c r="D259" s="16">
        <f>IFERROR(__xludf.DUMMYFUNCTION("""COMPUTED_VALUE"""),32.0)</f>
        <v>32</v>
      </c>
      <c r="E259" s="16">
        <f>IFERROR(__xludf.DUMMYFUNCTION("""COMPUTED_VALUE"""),0.96875)</f>
        <v>0.96875</v>
      </c>
      <c r="F259" s="16">
        <f>IFERROR(__xludf.DUMMYFUNCTION("""COMPUTED_VALUE"""),0.46875)</f>
        <v>0.46875</v>
      </c>
      <c r="G259" s="16">
        <f>IFERROR(__xludf.DUMMYFUNCTION("""COMPUTED_VALUE"""),0.40625)</f>
        <v>0.40625</v>
      </c>
      <c r="H259" s="16">
        <f>IFERROR(__xludf.DUMMYFUNCTION("""COMPUTED_VALUE"""),0.375)</f>
        <v>0.375</v>
      </c>
      <c r="I259" s="16">
        <f>IFERROR(__xludf.DUMMYFUNCTION("""COMPUTED_VALUE"""),0.375)</f>
        <v>0.375</v>
      </c>
      <c r="J259" s="16">
        <f>IFERROR(__xludf.DUMMYFUNCTION("""COMPUTED_VALUE"""),0.34375)</f>
        <v>0.34375</v>
      </c>
      <c r="K259" s="16">
        <f>IFERROR(__xludf.DUMMYFUNCTION("""COMPUTED_VALUE"""),0.3125)</f>
        <v>0.3125</v>
      </c>
      <c r="L259" s="16">
        <f>IFERROR(__xludf.DUMMYFUNCTION("""COMPUTED_VALUE"""),0.3125)</f>
        <v>0.3125</v>
      </c>
      <c r="M259" s="16">
        <f>IFERROR(__xludf.DUMMYFUNCTION("""COMPUTED_VALUE"""),0.34375)</f>
        <v>0.34375</v>
      </c>
      <c r="N259" s="16">
        <f>IFERROR(__xludf.DUMMYFUNCTION("""COMPUTED_VALUE"""),0.34375)</f>
        <v>0.34375</v>
      </c>
      <c r="O259" s="16">
        <f>IFERROR(__xludf.DUMMYFUNCTION("""COMPUTED_VALUE"""),0.166666666666666)</f>
        <v>0.1666666667</v>
      </c>
      <c r="P259" s="16">
        <f>IFERROR(__xludf.DUMMYFUNCTION("""COMPUTED_VALUE"""),0.0)</f>
        <v>0</v>
      </c>
      <c r="Q259" s="16">
        <f>IFERROR(__xludf.DUMMYFUNCTION("""COMPUTED_VALUE"""),0.0)</f>
        <v>0</v>
      </c>
      <c r="R259" s="16">
        <f>IFERROR(__xludf.DUMMYFUNCTION("""COMPUTED_VALUE"""),0.0)</f>
        <v>0</v>
      </c>
      <c r="S259" s="16">
        <f>IFERROR(__xludf.DUMMYFUNCTION("""COMPUTED_VALUE"""),0.0)</f>
        <v>0</v>
      </c>
      <c r="T259" s="16">
        <f>IFERROR(__xludf.DUMMYFUNCTION("""COMPUTED_VALUE"""),0.0)</f>
        <v>0</v>
      </c>
      <c r="U259" s="16">
        <f>IFERROR(__xludf.DUMMYFUNCTION("""COMPUTED_VALUE"""),0.0)</f>
        <v>0</v>
      </c>
      <c r="V259" s="16">
        <f>IFERROR(__xludf.DUMMYFUNCTION("""COMPUTED_VALUE"""),0.0)</f>
        <v>0</v>
      </c>
      <c r="W259" s="16">
        <f>IFERROR(__xludf.DUMMYFUNCTION("""COMPUTED_VALUE"""),0.0)</f>
        <v>0</v>
      </c>
      <c r="X259" s="16">
        <f>IFERROR(__xludf.DUMMYFUNCTION("""COMPUTED_VALUE"""),0.0)</f>
        <v>0</v>
      </c>
      <c r="Y259" s="16">
        <f>IFERROR(__xludf.DUMMYFUNCTION("""COMPUTED_VALUE"""),0.0)</f>
        <v>0</v>
      </c>
      <c r="Z259" s="16">
        <f>IFERROR(__xludf.DUMMYFUNCTION("""COMPUTED_VALUE"""),0.0)</f>
        <v>0</v>
      </c>
      <c r="AA259" s="16">
        <f>IFERROR(__xludf.DUMMYFUNCTION("""COMPUTED_VALUE"""),0.0)</f>
        <v>0</v>
      </c>
      <c r="AB259" s="16">
        <f>IFERROR(__xludf.DUMMYFUNCTION("""COMPUTED_VALUE"""),0.0)</f>
        <v>0</v>
      </c>
      <c r="AC259" s="16">
        <f>IFERROR(__xludf.DUMMYFUNCTION("""COMPUTED_VALUE"""),0.0)</f>
        <v>0</v>
      </c>
      <c r="AD259" s="16">
        <f>IFERROR(__xludf.DUMMYFUNCTION("""COMPUTED_VALUE"""),0.0)</f>
        <v>0</v>
      </c>
      <c r="AE259" s="16">
        <f>IFERROR(__xludf.DUMMYFUNCTION("""COMPUTED_VALUE"""),0.0)</f>
        <v>0</v>
      </c>
      <c r="AF259" s="16">
        <f>IFERROR(__xludf.DUMMYFUNCTION("""COMPUTED_VALUE"""),0.0)</f>
        <v>0</v>
      </c>
      <c r="AG259" s="16">
        <f>IFERROR(__xludf.DUMMYFUNCTION("""COMPUTED_VALUE"""),0.0)</f>
        <v>0</v>
      </c>
      <c r="AH259" s="16">
        <f>IFERROR(__xludf.DUMMYFUNCTION("""COMPUTED_VALUE"""),0.0)</f>
        <v>0</v>
      </c>
    </row>
    <row r="260">
      <c r="A260" s="16" t="str">
        <f>IFERROR(__xludf.DUMMYFUNCTION("""COMPUTED_VALUE"""),"e7a3ee79841762542e0eb645666b039c707001f5")</f>
        <v>e7a3ee79841762542e0eb645666b039c707001f5</v>
      </c>
      <c r="B260" s="16" t="str">
        <f>IFERROR(__xludf.DUMMYFUNCTION("""COMPUTED_VALUE"""),"Masked Prince's Princess")</f>
        <v>Masked Prince's Princess</v>
      </c>
      <c r="C260" s="16" t="str">
        <f>IFERROR(__xludf.DUMMYFUNCTION("""COMPUTED_VALUE"""),"Romance")</f>
        <v>Romance</v>
      </c>
      <c r="D260" s="16">
        <f>IFERROR(__xludf.DUMMYFUNCTION("""COMPUTED_VALUE"""),62.0)</f>
        <v>62</v>
      </c>
      <c r="E260" s="16">
        <f>IFERROR(__xludf.DUMMYFUNCTION("""COMPUTED_VALUE"""),0.967741935483871)</f>
        <v>0.9677419355</v>
      </c>
      <c r="F260" s="16">
        <f>IFERROR(__xludf.DUMMYFUNCTION("""COMPUTED_VALUE"""),0.564516129032258)</f>
        <v>0.564516129</v>
      </c>
      <c r="G260" s="16">
        <f>IFERROR(__xludf.DUMMYFUNCTION("""COMPUTED_VALUE"""),0.532258064516129)</f>
        <v>0.5322580645</v>
      </c>
      <c r="H260" s="16">
        <f>IFERROR(__xludf.DUMMYFUNCTION("""COMPUTED_VALUE"""),0.46774193548387)</f>
        <v>0.4677419355</v>
      </c>
      <c r="I260" s="16">
        <f>IFERROR(__xludf.DUMMYFUNCTION("""COMPUTED_VALUE"""),0.435483870967741)</f>
        <v>0.435483871</v>
      </c>
      <c r="J260" s="16">
        <f>IFERROR(__xludf.DUMMYFUNCTION("""COMPUTED_VALUE"""),0.370967741935483)</f>
        <v>0.3709677419</v>
      </c>
      <c r="K260" s="16">
        <f>IFERROR(__xludf.DUMMYFUNCTION("""COMPUTED_VALUE"""),0.377049180327868)</f>
        <v>0.3770491803</v>
      </c>
      <c r="L260" s="16">
        <f>IFERROR(__xludf.DUMMYFUNCTION("""COMPUTED_VALUE"""),0.338983050847457)</f>
        <v>0.3389830508</v>
      </c>
      <c r="M260" s="16">
        <f>IFERROR(__xludf.DUMMYFUNCTION("""COMPUTED_VALUE"""),0.338983050847457)</f>
        <v>0.3389830508</v>
      </c>
      <c r="N260" s="16">
        <f>IFERROR(__xludf.DUMMYFUNCTION("""COMPUTED_VALUE"""),0.322033898305084)</f>
        <v>0.3220338983</v>
      </c>
      <c r="O260" s="16">
        <f>IFERROR(__xludf.DUMMYFUNCTION("""COMPUTED_VALUE"""),0.293103448275862)</f>
        <v>0.2931034483</v>
      </c>
      <c r="P260" s="16">
        <f>IFERROR(__xludf.DUMMYFUNCTION("""COMPUTED_VALUE"""),0.218181818181818)</f>
        <v>0.2181818182</v>
      </c>
      <c r="Q260" s="16">
        <f>IFERROR(__xludf.DUMMYFUNCTION("""COMPUTED_VALUE"""),0.129629629629629)</f>
        <v>0.1296296296</v>
      </c>
      <c r="R260" s="16">
        <f>IFERROR(__xludf.DUMMYFUNCTION("""COMPUTED_VALUE"""),0.129629629629629)</f>
        <v>0.1296296296</v>
      </c>
      <c r="S260" s="16">
        <f>IFERROR(__xludf.DUMMYFUNCTION("""COMPUTED_VALUE"""),0.0)</f>
        <v>0</v>
      </c>
      <c r="T260" s="16">
        <f>IFERROR(__xludf.DUMMYFUNCTION("""COMPUTED_VALUE"""),0.0)</f>
        <v>0</v>
      </c>
      <c r="U260" s="16">
        <f>IFERROR(__xludf.DUMMYFUNCTION("""COMPUTED_VALUE"""),0.0)</f>
        <v>0</v>
      </c>
      <c r="V260" s="16">
        <f>IFERROR(__xludf.DUMMYFUNCTION("""COMPUTED_VALUE"""),0.0)</f>
        <v>0</v>
      </c>
      <c r="W260" s="16">
        <f>IFERROR(__xludf.DUMMYFUNCTION("""COMPUTED_VALUE"""),0.0)</f>
        <v>0</v>
      </c>
      <c r="X260" s="16">
        <f>IFERROR(__xludf.DUMMYFUNCTION("""COMPUTED_VALUE"""),0.0)</f>
        <v>0</v>
      </c>
      <c r="Y260" s="16">
        <f>IFERROR(__xludf.DUMMYFUNCTION("""COMPUTED_VALUE"""),0.0)</f>
        <v>0</v>
      </c>
      <c r="Z260" s="16">
        <f>IFERROR(__xludf.DUMMYFUNCTION("""COMPUTED_VALUE"""),0.0)</f>
        <v>0</v>
      </c>
      <c r="AA260" s="16">
        <f>IFERROR(__xludf.DUMMYFUNCTION("""COMPUTED_VALUE"""),0.0)</f>
        <v>0</v>
      </c>
      <c r="AB260" s="16">
        <f>IFERROR(__xludf.DUMMYFUNCTION("""COMPUTED_VALUE"""),0.0)</f>
        <v>0</v>
      </c>
      <c r="AC260" s="16">
        <f>IFERROR(__xludf.DUMMYFUNCTION("""COMPUTED_VALUE"""),0.0)</f>
        <v>0</v>
      </c>
      <c r="AD260" s="16">
        <f>IFERROR(__xludf.DUMMYFUNCTION("""COMPUTED_VALUE"""),0.0)</f>
        <v>0</v>
      </c>
      <c r="AE260" s="16">
        <f>IFERROR(__xludf.DUMMYFUNCTION("""COMPUTED_VALUE"""),0.0)</f>
        <v>0</v>
      </c>
      <c r="AF260" s="16">
        <f>IFERROR(__xludf.DUMMYFUNCTION("""COMPUTED_VALUE"""),0.0)</f>
        <v>0</v>
      </c>
      <c r="AG260" s="16">
        <f>IFERROR(__xludf.DUMMYFUNCTION("""COMPUTED_VALUE"""),0.0)</f>
        <v>0</v>
      </c>
      <c r="AH260" s="16">
        <f>IFERROR(__xludf.DUMMYFUNCTION("""COMPUTED_VALUE"""),0.0)</f>
        <v>0</v>
      </c>
    </row>
    <row r="261">
      <c r="A261" s="16" t="str">
        <f>IFERROR(__xludf.DUMMYFUNCTION("""COMPUTED_VALUE"""),"e835267a1c9909e759d530cea3d17b5999d86761")</f>
        <v>e835267a1c9909e759d530cea3d17b5999d86761</v>
      </c>
      <c r="B261" s="16" t="str">
        <f>IFERROR(__xludf.DUMMYFUNCTION("""COMPUTED_VALUE"""),"Her Lightness System")</f>
        <v>Her Lightness System</v>
      </c>
      <c r="C261" s="16" t="str">
        <f>IFERROR(__xludf.DUMMYFUNCTION("""COMPUTED_VALUE"""),"System and Superpower")</f>
        <v>System and Superpower</v>
      </c>
      <c r="D261" s="16">
        <f>IFERROR(__xludf.DUMMYFUNCTION("""COMPUTED_VALUE"""),164.0)</f>
        <v>164</v>
      </c>
      <c r="E261" s="16">
        <f>IFERROR(__xludf.DUMMYFUNCTION("""COMPUTED_VALUE"""),0.98170731707317)</f>
        <v>0.9817073171</v>
      </c>
      <c r="F261" s="16">
        <f>IFERROR(__xludf.DUMMYFUNCTION("""COMPUTED_VALUE"""),0.652439024390243)</f>
        <v>0.6524390244</v>
      </c>
      <c r="G261" s="16">
        <f>IFERROR(__xludf.DUMMYFUNCTION("""COMPUTED_VALUE"""),0.567073170731707)</f>
        <v>0.5670731707</v>
      </c>
      <c r="H261" s="16">
        <f>IFERROR(__xludf.DUMMYFUNCTION("""COMPUTED_VALUE"""),0.536585365853658)</f>
        <v>0.5365853659</v>
      </c>
      <c r="I261" s="16">
        <f>IFERROR(__xludf.DUMMYFUNCTION("""COMPUTED_VALUE"""),0.457317073170731)</f>
        <v>0.4573170732</v>
      </c>
      <c r="J261" s="16">
        <f>IFERROR(__xludf.DUMMYFUNCTION("""COMPUTED_VALUE"""),0.363636363636363)</f>
        <v>0.3636363636</v>
      </c>
      <c r="K261" s="16">
        <f>IFERROR(__xludf.DUMMYFUNCTION("""COMPUTED_VALUE"""),0.319148936170212)</f>
        <v>0.3191489362</v>
      </c>
      <c r="L261" s="16">
        <f>IFERROR(__xludf.DUMMYFUNCTION("""COMPUTED_VALUE"""),0.293650793650793)</f>
        <v>0.2936507937</v>
      </c>
      <c r="M261" s="16">
        <f>IFERROR(__xludf.DUMMYFUNCTION("""COMPUTED_VALUE"""),0.284482758620689)</f>
        <v>0.2844827586</v>
      </c>
      <c r="N261" s="16">
        <f>IFERROR(__xludf.DUMMYFUNCTION("""COMPUTED_VALUE"""),0.3125)</f>
        <v>0.3125</v>
      </c>
      <c r="O261" s="16">
        <f>IFERROR(__xludf.DUMMYFUNCTION("""COMPUTED_VALUE"""),0.246376811594202)</f>
        <v>0.2463768116</v>
      </c>
      <c r="P261" s="16">
        <f>IFERROR(__xludf.DUMMYFUNCTION("""COMPUTED_VALUE"""),0.157894736842105)</f>
        <v>0.1578947368</v>
      </c>
      <c r="Q261" s="16">
        <f>IFERROR(__xludf.DUMMYFUNCTION("""COMPUTED_VALUE"""),0.0769230769230769)</f>
        <v>0.07692307692</v>
      </c>
      <c r="R261" s="16">
        <f>IFERROR(__xludf.DUMMYFUNCTION("""COMPUTED_VALUE"""),0.0625)</f>
        <v>0.0625</v>
      </c>
      <c r="S261" s="16">
        <f>IFERROR(__xludf.DUMMYFUNCTION("""COMPUTED_VALUE"""),0.0)</f>
        <v>0</v>
      </c>
      <c r="T261" s="16">
        <f>IFERROR(__xludf.DUMMYFUNCTION("""COMPUTED_VALUE"""),0.0)</f>
        <v>0</v>
      </c>
      <c r="U261" s="16">
        <f>IFERROR(__xludf.DUMMYFUNCTION("""COMPUTED_VALUE"""),0.0)</f>
        <v>0</v>
      </c>
      <c r="V261" s="16">
        <f>IFERROR(__xludf.DUMMYFUNCTION("""COMPUTED_VALUE"""),0.0)</f>
        <v>0</v>
      </c>
      <c r="W261" s="16">
        <f>IFERROR(__xludf.DUMMYFUNCTION("""COMPUTED_VALUE"""),0.0)</f>
        <v>0</v>
      </c>
      <c r="X261" s="16">
        <f>IFERROR(__xludf.DUMMYFUNCTION("""COMPUTED_VALUE"""),0.0)</f>
        <v>0</v>
      </c>
      <c r="Y261" s="16">
        <f>IFERROR(__xludf.DUMMYFUNCTION("""COMPUTED_VALUE"""),0.0)</f>
        <v>0</v>
      </c>
      <c r="Z261" s="16">
        <f>IFERROR(__xludf.DUMMYFUNCTION("""COMPUTED_VALUE"""),0.0)</f>
        <v>0</v>
      </c>
      <c r="AA261" s="16">
        <f>IFERROR(__xludf.DUMMYFUNCTION("""COMPUTED_VALUE"""),0.0)</f>
        <v>0</v>
      </c>
      <c r="AB261" s="16">
        <f>IFERROR(__xludf.DUMMYFUNCTION("""COMPUTED_VALUE"""),0.0)</f>
        <v>0</v>
      </c>
      <c r="AC261" s="16">
        <f>IFERROR(__xludf.DUMMYFUNCTION("""COMPUTED_VALUE"""),0.0)</f>
        <v>0</v>
      </c>
      <c r="AD261" s="16">
        <f>IFERROR(__xludf.DUMMYFUNCTION("""COMPUTED_VALUE"""),0.0)</f>
        <v>0</v>
      </c>
      <c r="AE261" s="16">
        <f>IFERROR(__xludf.DUMMYFUNCTION("""COMPUTED_VALUE"""),0.0)</f>
        <v>0</v>
      </c>
      <c r="AF261" s="16">
        <f>IFERROR(__xludf.DUMMYFUNCTION("""COMPUTED_VALUE"""),0.0)</f>
        <v>0</v>
      </c>
      <c r="AG261" s="16">
        <f>IFERROR(__xludf.DUMMYFUNCTION("""COMPUTED_VALUE"""),0.0)</f>
        <v>0</v>
      </c>
      <c r="AH261" s="16">
        <f>IFERROR(__xludf.DUMMYFUNCTION("""COMPUTED_VALUE"""),0.0)</f>
        <v>0</v>
      </c>
    </row>
    <row r="262">
      <c r="A262" s="16" t="str">
        <f>IFERROR(__xludf.DUMMYFUNCTION("""COMPUTED_VALUE"""),"e83bb9290a73242b13db9a4453b23f1b0ca9fed0")</f>
        <v>e83bb9290a73242b13db9a4453b23f1b0ca9fed0</v>
      </c>
      <c r="B262" s="16" t="str">
        <f>IFERROR(__xludf.DUMMYFUNCTION("""COMPUTED_VALUE"""),"The Baby He Denied")</f>
        <v>The Baby He Denied</v>
      </c>
      <c r="C262" s="16" t="str">
        <f>IFERROR(__xludf.DUMMYFUNCTION("""COMPUTED_VALUE"""),"Romance")</f>
        <v>Romance</v>
      </c>
      <c r="D262" s="16">
        <f>IFERROR(__xludf.DUMMYFUNCTION("""COMPUTED_VALUE"""),149.0)</f>
        <v>149</v>
      </c>
      <c r="E262" s="16">
        <f>IFERROR(__xludf.DUMMYFUNCTION("""COMPUTED_VALUE"""),0.973154362416107)</f>
        <v>0.9731543624</v>
      </c>
      <c r="F262" s="16">
        <f>IFERROR(__xludf.DUMMYFUNCTION("""COMPUTED_VALUE"""),0.684563758389261)</f>
        <v>0.6845637584</v>
      </c>
      <c r="G262" s="16">
        <f>IFERROR(__xludf.DUMMYFUNCTION("""COMPUTED_VALUE"""),0.583892617449664)</f>
        <v>0.5838926174</v>
      </c>
      <c r="H262" s="16">
        <f>IFERROR(__xludf.DUMMYFUNCTION("""COMPUTED_VALUE"""),0.543624161073825)</f>
        <v>0.5436241611</v>
      </c>
      <c r="I262" s="16">
        <f>IFERROR(__xludf.DUMMYFUNCTION("""COMPUTED_VALUE"""),0.543624161073825)</f>
        <v>0.5436241611</v>
      </c>
      <c r="J262" s="16">
        <f>IFERROR(__xludf.DUMMYFUNCTION("""COMPUTED_VALUE"""),0.523489932885906)</f>
        <v>0.5234899329</v>
      </c>
      <c r="K262" s="16">
        <f>IFERROR(__xludf.DUMMYFUNCTION("""COMPUTED_VALUE"""),0.449664429530201)</f>
        <v>0.4496644295</v>
      </c>
      <c r="L262" s="16">
        <f>IFERROR(__xludf.DUMMYFUNCTION("""COMPUTED_VALUE"""),0.422818791946308)</f>
        <v>0.4228187919</v>
      </c>
      <c r="M262" s="16">
        <f>IFERROR(__xludf.DUMMYFUNCTION("""COMPUTED_VALUE"""),0.409395973154362)</f>
        <v>0.4093959732</v>
      </c>
      <c r="N262" s="16">
        <f>IFERROR(__xludf.DUMMYFUNCTION("""COMPUTED_VALUE"""),0.369127516778523)</f>
        <v>0.3691275168</v>
      </c>
      <c r="O262" s="16">
        <f>IFERROR(__xludf.DUMMYFUNCTION("""COMPUTED_VALUE"""),0.315068493150684)</f>
        <v>0.3150684932</v>
      </c>
      <c r="P262" s="16">
        <f>IFERROR(__xludf.DUMMYFUNCTION("""COMPUTED_VALUE"""),0.274647887323943)</f>
        <v>0.2746478873</v>
      </c>
      <c r="Q262" s="16">
        <f>IFERROR(__xludf.DUMMYFUNCTION("""COMPUTED_VALUE"""),0.125)</f>
        <v>0.125</v>
      </c>
      <c r="R262" s="16">
        <f>IFERROR(__xludf.DUMMYFUNCTION("""COMPUTED_VALUE"""),0.0)</f>
        <v>0</v>
      </c>
      <c r="S262" s="16">
        <f>IFERROR(__xludf.DUMMYFUNCTION("""COMPUTED_VALUE"""),0.0)</f>
        <v>0</v>
      </c>
      <c r="T262" s="16">
        <f>IFERROR(__xludf.DUMMYFUNCTION("""COMPUTED_VALUE"""),0.0)</f>
        <v>0</v>
      </c>
      <c r="U262" s="16">
        <f>IFERROR(__xludf.DUMMYFUNCTION("""COMPUTED_VALUE"""),0.0)</f>
        <v>0</v>
      </c>
      <c r="V262" s="16">
        <f>IFERROR(__xludf.DUMMYFUNCTION("""COMPUTED_VALUE"""),0.0)</f>
        <v>0</v>
      </c>
      <c r="W262" s="16">
        <f>IFERROR(__xludf.DUMMYFUNCTION("""COMPUTED_VALUE"""),0.0)</f>
        <v>0</v>
      </c>
      <c r="X262" s="16">
        <f>IFERROR(__xludf.DUMMYFUNCTION("""COMPUTED_VALUE"""),0.0)</f>
        <v>0</v>
      </c>
      <c r="Y262" s="16">
        <f>IFERROR(__xludf.DUMMYFUNCTION("""COMPUTED_VALUE"""),0.0)</f>
        <v>0</v>
      </c>
      <c r="Z262" s="16">
        <f>IFERROR(__xludf.DUMMYFUNCTION("""COMPUTED_VALUE"""),0.0)</f>
        <v>0</v>
      </c>
      <c r="AA262" s="16">
        <f>IFERROR(__xludf.DUMMYFUNCTION("""COMPUTED_VALUE"""),0.0)</f>
        <v>0</v>
      </c>
      <c r="AB262" s="16">
        <f>IFERROR(__xludf.DUMMYFUNCTION("""COMPUTED_VALUE"""),0.0)</f>
        <v>0</v>
      </c>
      <c r="AC262" s="16">
        <f>IFERROR(__xludf.DUMMYFUNCTION("""COMPUTED_VALUE"""),0.0)</f>
        <v>0</v>
      </c>
      <c r="AD262" s="16">
        <f>IFERROR(__xludf.DUMMYFUNCTION("""COMPUTED_VALUE"""),0.0)</f>
        <v>0</v>
      </c>
      <c r="AE262" s="16">
        <f>IFERROR(__xludf.DUMMYFUNCTION("""COMPUTED_VALUE"""),0.0)</f>
        <v>0</v>
      </c>
      <c r="AF262" s="16">
        <f>IFERROR(__xludf.DUMMYFUNCTION("""COMPUTED_VALUE"""),0.0)</f>
        <v>0</v>
      </c>
      <c r="AG262" s="16">
        <f>IFERROR(__xludf.DUMMYFUNCTION("""COMPUTED_VALUE"""),0.0)</f>
        <v>0</v>
      </c>
      <c r="AH262" s="16">
        <f>IFERROR(__xludf.DUMMYFUNCTION("""COMPUTED_VALUE"""),0.0)</f>
        <v>0</v>
      </c>
    </row>
    <row r="263">
      <c r="A263" s="16" t="str">
        <f>IFERROR(__xludf.DUMMYFUNCTION("""COMPUTED_VALUE"""),"e8df3cfef87feac45c4c024f9cbd7254cfc15952")</f>
        <v>e8df3cfef87feac45c4c024f9cbd7254cfc15952</v>
      </c>
      <c r="B263" s="16" t="str">
        <f>IFERROR(__xludf.DUMMYFUNCTION("""COMPUTED_VALUE"""),"Between Wolves and Lies")</f>
        <v>Between Wolves and Lies</v>
      </c>
      <c r="C263" s="16" t="str">
        <f>IFERROR(__xludf.DUMMYFUNCTION("""COMPUTED_VALUE"""),"Romantasy")</f>
        <v>Romantasy</v>
      </c>
      <c r="D263" s="16">
        <f>IFERROR(__xludf.DUMMYFUNCTION("""COMPUTED_VALUE"""),36.0)</f>
        <v>36</v>
      </c>
      <c r="E263" s="16">
        <f>IFERROR(__xludf.DUMMYFUNCTION("""COMPUTED_VALUE"""),1.0)</f>
        <v>1</v>
      </c>
      <c r="F263" s="16">
        <f>IFERROR(__xludf.DUMMYFUNCTION("""COMPUTED_VALUE"""),0.444444444444444)</f>
        <v>0.4444444444</v>
      </c>
      <c r="G263" s="16">
        <f>IFERROR(__xludf.DUMMYFUNCTION("""COMPUTED_VALUE"""),0.388888888888888)</f>
        <v>0.3888888889</v>
      </c>
      <c r="H263" s="16">
        <f>IFERROR(__xludf.DUMMYFUNCTION("""COMPUTED_VALUE"""),0.333333333333333)</f>
        <v>0.3333333333</v>
      </c>
      <c r="I263" s="16">
        <f>IFERROR(__xludf.DUMMYFUNCTION("""COMPUTED_VALUE"""),0.305555555555555)</f>
        <v>0.3055555556</v>
      </c>
      <c r="J263" s="16">
        <f>IFERROR(__xludf.DUMMYFUNCTION("""COMPUTED_VALUE"""),0.305555555555555)</f>
        <v>0.3055555556</v>
      </c>
      <c r="K263" s="16">
        <f>IFERROR(__xludf.DUMMYFUNCTION("""COMPUTED_VALUE"""),0.277777777777777)</f>
        <v>0.2777777778</v>
      </c>
      <c r="L263" s="16">
        <f>IFERROR(__xludf.DUMMYFUNCTION("""COMPUTED_VALUE"""),0.25)</f>
        <v>0.25</v>
      </c>
      <c r="M263" s="16">
        <f>IFERROR(__xludf.DUMMYFUNCTION("""COMPUTED_VALUE"""),0.25)</f>
        <v>0.25</v>
      </c>
      <c r="N263" s="16">
        <f>IFERROR(__xludf.DUMMYFUNCTION("""COMPUTED_VALUE"""),0.25)</f>
        <v>0.25</v>
      </c>
      <c r="O263" s="16">
        <f>IFERROR(__xludf.DUMMYFUNCTION("""COMPUTED_VALUE"""),0.194444444444444)</f>
        <v>0.1944444444</v>
      </c>
      <c r="P263" s="16">
        <f>IFERROR(__xludf.DUMMYFUNCTION("""COMPUTED_VALUE"""),0.111111111111111)</f>
        <v>0.1111111111</v>
      </c>
      <c r="Q263" s="16">
        <f>IFERROR(__xludf.DUMMYFUNCTION("""COMPUTED_VALUE"""),0.0)</f>
        <v>0</v>
      </c>
      <c r="R263" s="16">
        <f>IFERROR(__xludf.DUMMYFUNCTION("""COMPUTED_VALUE"""),0.0)</f>
        <v>0</v>
      </c>
      <c r="S263" s="16">
        <f>IFERROR(__xludf.DUMMYFUNCTION("""COMPUTED_VALUE"""),0.0)</f>
        <v>0</v>
      </c>
      <c r="T263" s="16">
        <f>IFERROR(__xludf.DUMMYFUNCTION("""COMPUTED_VALUE"""),0.0)</f>
        <v>0</v>
      </c>
      <c r="U263" s="16">
        <f>IFERROR(__xludf.DUMMYFUNCTION("""COMPUTED_VALUE"""),0.0)</f>
        <v>0</v>
      </c>
      <c r="V263" s="16">
        <f>IFERROR(__xludf.DUMMYFUNCTION("""COMPUTED_VALUE"""),0.0)</f>
        <v>0</v>
      </c>
      <c r="W263" s="16">
        <f>IFERROR(__xludf.DUMMYFUNCTION("""COMPUTED_VALUE"""),0.0)</f>
        <v>0</v>
      </c>
      <c r="X263" s="16">
        <f>IFERROR(__xludf.DUMMYFUNCTION("""COMPUTED_VALUE"""),0.0)</f>
        <v>0</v>
      </c>
      <c r="Y263" s="16">
        <f>IFERROR(__xludf.DUMMYFUNCTION("""COMPUTED_VALUE"""),0.0)</f>
        <v>0</v>
      </c>
      <c r="Z263" s="16">
        <f>IFERROR(__xludf.DUMMYFUNCTION("""COMPUTED_VALUE"""),0.0)</f>
        <v>0</v>
      </c>
      <c r="AA263" s="16">
        <f>IFERROR(__xludf.DUMMYFUNCTION("""COMPUTED_VALUE"""),0.0)</f>
        <v>0</v>
      </c>
      <c r="AB263" s="16">
        <f>IFERROR(__xludf.DUMMYFUNCTION("""COMPUTED_VALUE"""),0.0)</f>
        <v>0</v>
      </c>
      <c r="AC263" s="16">
        <f>IFERROR(__xludf.DUMMYFUNCTION("""COMPUTED_VALUE"""),0.0)</f>
        <v>0</v>
      </c>
      <c r="AD263" s="16">
        <f>IFERROR(__xludf.DUMMYFUNCTION("""COMPUTED_VALUE"""),0.0)</f>
        <v>0</v>
      </c>
      <c r="AE263" s="16">
        <f>IFERROR(__xludf.DUMMYFUNCTION("""COMPUTED_VALUE"""),0.0)</f>
        <v>0</v>
      </c>
      <c r="AF263" s="16">
        <f>IFERROR(__xludf.DUMMYFUNCTION("""COMPUTED_VALUE"""),0.0)</f>
        <v>0</v>
      </c>
      <c r="AG263" s="16">
        <f>IFERROR(__xludf.DUMMYFUNCTION("""COMPUTED_VALUE"""),0.0)</f>
        <v>0</v>
      </c>
      <c r="AH263" s="16">
        <f>IFERROR(__xludf.DUMMYFUNCTION("""COMPUTED_VALUE"""),0.0)</f>
        <v>0</v>
      </c>
    </row>
    <row r="264">
      <c r="A264" s="16" t="str">
        <f>IFERROR(__xludf.DUMMYFUNCTION("""COMPUTED_VALUE"""),"ed37d82285cfdcacdd3008ef7825d877fd575b57")</f>
        <v>ed37d82285cfdcacdd3008ef7825d877fd575b57</v>
      </c>
      <c r="B264" s="16" t="str">
        <f>IFERROR(__xludf.DUMMYFUNCTION("""COMPUTED_VALUE"""),"Charade")</f>
        <v>Charade</v>
      </c>
      <c r="C264" s="16" t="str">
        <f>IFERROR(__xludf.DUMMYFUNCTION("""COMPUTED_VALUE"""),"Fantasy")</f>
        <v>Fantasy</v>
      </c>
      <c r="D264" s="16">
        <f>IFERROR(__xludf.DUMMYFUNCTION("""COMPUTED_VALUE"""),2.0)</f>
        <v>2</v>
      </c>
      <c r="E264" s="16">
        <f>IFERROR(__xludf.DUMMYFUNCTION("""COMPUTED_VALUE"""),1.0)</f>
        <v>1</v>
      </c>
      <c r="F264" s="16">
        <f>IFERROR(__xludf.DUMMYFUNCTION("""COMPUTED_VALUE"""),1.0)</f>
        <v>1</v>
      </c>
      <c r="G264" s="16">
        <f>IFERROR(__xludf.DUMMYFUNCTION("""COMPUTED_VALUE"""),0.5)</f>
        <v>0.5</v>
      </c>
      <c r="H264" s="16">
        <f>IFERROR(__xludf.DUMMYFUNCTION("""COMPUTED_VALUE"""),0.5)</f>
        <v>0.5</v>
      </c>
      <c r="I264" s="16">
        <f>IFERROR(__xludf.DUMMYFUNCTION("""COMPUTED_VALUE"""),0.5)</f>
        <v>0.5</v>
      </c>
      <c r="J264" s="16">
        <f>IFERROR(__xludf.DUMMYFUNCTION("""COMPUTED_VALUE"""),0.5)</f>
        <v>0.5</v>
      </c>
      <c r="K264" s="16">
        <f>IFERROR(__xludf.DUMMYFUNCTION("""COMPUTED_VALUE"""),0.5)</f>
        <v>0.5</v>
      </c>
      <c r="L264" s="16">
        <f>IFERROR(__xludf.DUMMYFUNCTION("""COMPUTED_VALUE"""),0.5)</f>
        <v>0.5</v>
      </c>
      <c r="M264" s="16">
        <f>IFERROR(__xludf.DUMMYFUNCTION("""COMPUTED_VALUE"""),0.5)</f>
        <v>0.5</v>
      </c>
      <c r="N264" s="16">
        <f>IFERROR(__xludf.DUMMYFUNCTION("""COMPUTED_VALUE"""),0.5)</f>
        <v>0.5</v>
      </c>
      <c r="O264" s="16">
        <f>IFERROR(__xludf.DUMMYFUNCTION("""COMPUTED_VALUE"""),0.5)</f>
        <v>0.5</v>
      </c>
      <c r="P264" s="16">
        <f>IFERROR(__xludf.DUMMYFUNCTION("""COMPUTED_VALUE"""),0.5)</f>
        <v>0.5</v>
      </c>
      <c r="Q264" s="16">
        <f>IFERROR(__xludf.DUMMYFUNCTION("""COMPUTED_VALUE"""),0.0)</f>
        <v>0</v>
      </c>
      <c r="R264" s="16">
        <f>IFERROR(__xludf.DUMMYFUNCTION("""COMPUTED_VALUE"""),0.0)</f>
        <v>0</v>
      </c>
      <c r="S264" s="16">
        <f>IFERROR(__xludf.DUMMYFUNCTION("""COMPUTED_VALUE"""),0.0)</f>
        <v>0</v>
      </c>
      <c r="T264" s="16">
        <f>IFERROR(__xludf.DUMMYFUNCTION("""COMPUTED_VALUE"""),0.0)</f>
        <v>0</v>
      </c>
      <c r="U264" s="16">
        <f>IFERROR(__xludf.DUMMYFUNCTION("""COMPUTED_VALUE"""),0.0)</f>
        <v>0</v>
      </c>
      <c r="V264" s="16">
        <f>IFERROR(__xludf.DUMMYFUNCTION("""COMPUTED_VALUE"""),0.0)</f>
        <v>0</v>
      </c>
      <c r="W264" s="16">
        <f>IFERROR(__xludf.DUMMYFUNCTION("""COMPUTED_VALUE"""),0.0)</f>
        <v>0</v>
      </c>
      <c r="X264" s="16">
        <f>IFERROR(__xludf.DUMMYFUNCTION("""COMPUTED_VALUE"""),0.0)</f>
        <v>0</v>
      </c>
      <c r="Y264" s="16">
        <f>IFERROR(__xludf.DUMMYFUNCTION("""COMPUTED_VALUE"""),0.0)</f>
        <v>0</v>
      </c>
      <c r="Z264" s="16">
        <f>IFERROR(__xludf.DUMMYFUNCTION("""COMPUTED_VALUE"""),0.0)</f>
        <v>0</v>
      </c>
      <c r="AA264" s="16">
        <f>IFERROR(__xludf.DUMMYFUNCTION("""COMPUTED_VALUE"""),0.0)</f>
        <v>0</v>
      </c>
      <c r="AB264" s="16">
        <f>IFERROR(__xludf.DUMMYFUNCTION("""COMPUTED_VALUE"""),0.0)</f>
        <v>0</v>
      </c>
      <c r="AC264" s="16">
        <f>IFERROR(__xludf.DUMMYFUNCTION("""COMPUTED_VALUE"""),0.0)</f>
        <v>0</v>
      </c>
      <c r="AD264" s="16">
        <f>IFERROR(__xludf.DUMMYFUNCTION("""COMPUTED_VALUE"""),0.0)</f>
        <v>0</v>
      </c>
      <c r="AE264" s="16">
        <f>IFERROR(__xludf.DUMMYFUNCTION("""COMPUTED_VALUE"""),0.0)</f>
        <v>0</v>
      </c>
      <c r="AF264" s="16">
        <f>IFERROR(__xludf.DUMMYFUNCTION("""COMPUTED_VALUE"""),0.0)</f>
        <v>0</v>
      </c>
      <c r="AG264" s="16">
        <f>IFERROR(__xludf.DUMMYFUNCTION("""COMPUTED_VALUE"""),0.0)</f>
        <v>0</v>
      </c>
      <c r="AH264" s="16">
        <f>IFERROR(__xludf.DUMMYFUNCTION("""COMPUTED_VALUE"""),0.0)</f>
        <v>0</v>
      </c>
    </row>
    <row r="265">
      <c r="A265" s="16" t="str">
        <f>IFERROR(__xludf.DUMMYFUNCTION("""COMPUTED_VALUE"""),"ee2e216e3dceba69118e501b055c3b7b9a0335a3")</f>
        <v>ee2e216e3dceba69118e501b055c3b7b9a0335a3</v>
      </c>
      <c r="B265" s="16" t="str">
        <f>IFERROR(__xludf.DUMMYFUNCTION("""COMPUTED_VALUE"""),"Kyan's System Awakening")</f>
        <v>Kyan's System Awakening</v>
      </c>
      <c r="C265" s="16" t="str">
        <f>IFERROR(__xludf.DUMMYFUNCTION("""COMPUTED_VALUE"""),"Fantasy")</f>
        <v>Fantasy</v>
      </c>
      <c r="D265" s="16">
        <f>IFERROR(__xludf.DUMMYFUNCTION("""COMPUTED_VALUE"""),2739.0)</f>
        <v>2739</v>
      </c>
      <c r="E265" s="16">
        <f>IFERROR(__xludf.DUMMYFUNCTION("""COMPUTED_VALUE"""),0.974078130704636)</f>
        <v>0.9740781307</v>
      </c>
      <c r="F265" s="16">
        <f>IFERROR(__xludf.DUMMYFUNCTION("""COMPUTED_VALUE"""),0.660460021905805)</f>
        <v>0.6604600219</v>
      </c>
      <c r="G265" s="16">
        <f>IFERROR(__xludf.DUMMYFUNCTION("""COMPUTED_VALUE"""),0.598393574297188)</f>
        <v>0.5983935743</v>
      </c>
      <c r="H265" s="16">
        <f>IFERROR(__xludf.DUMMYFUNCTION("""COMPUTED_VALUE"""),0.577217962760131)</f>
        <v>0.5772179628</v>
      </c>
      <c r="I265" s="16">
        <f>IFERROR(__xludf.DUMMYFUNCTION("""COMPUTED_VALUE"""),0.554581964220518)</f>
        <v>0.5545819642</v>
      </c>
      <c r="J265" s="16">
        <f>IFERROR(__xludf.DUMMYFUNCTION("""COMPUTED_VALUE"""),0.535346097201767)</f>
        <v>0.5353460972</v>
      </c>
      <c r="K265" s="16">
        <f>IFERROR(__xludf.DUMMYFUNCTION("""COMPUTED_VALUE"""),0.518148148148148)</f>
        <v>0.5181481481</v>
      </c>
      <c r="L265" s="16">
        <f>IFERROR(__xludf.DUMMYFUNCTION("""COMPUTED_VALUE"""),0.499623210248681)</f>
        <v>0.4996232102</v>
      </c>
      <c r="M265" s="16">
        <f>IFERROR(__xludf.DUMMYFUNCTION("""COMPUTED_VALUE"""),0.486031381553769)</f>
        <v>0.4860313816</v>
      </c>
      <c r="N265" s="16">
        <f>IFERROR(__xludf.DUMMYFUNCTION("""COMPUTED_VALUE"""),0.473828125)</f>
        <v>0.473828125</v>
      </c>
      <c r="O265" s="16">
        <f>IFERROR(__xludf.DUMMYFUNCTION("""COMPUTED_VALUE"""),0.431478405315614)</f>
        <v>0.4314784053</v>
      </c>
      <c r="P265" s="16">
        <f>IFERROR(__xludf.DUMMYFUNCTION("""COMPUTED_VALUE"""),0.342288096340898)</f>
        <v>0.3422880963</v>
      </c>
      <c r="Q265" s="16">
        <f>IFERROR(__xludf.DUMMYFUNCTION("""COMPUTED_VALUE"""),0.226318774815655)</f>
        <v>0.2263187748</v>
      </c>
      <c r="R265" s="16">
        <f>IFERROR(__xludf.DUMMYFUNCTION("""COMPUTED_VALUE"""),0.148109243697479)</f>
        <v>0.1481092437</v>
      </c>
      <c r="S265" s="16">
        <f>IFERROR(__xludf.DUMMYFUNCTION("""COMPUTED_VALUE"""),0.104803493449781)</f>
        <v>0.1048034934</v>
      </c>
      <c r="T265" s="16">
        <f>IFERROR(__xludf.DUMMYFUNCTION("""COMPUTED_VALUE"""),0.0714285714285714)</f>
        <v>0.07142857143</v>
      </c>
      <c r="U265" s="16">
        <f>IFERROR(__xludf.DUMMYFUNCTION("""COMPUTED_VALUE"""),0.0)</f>
        <v>0</v>
      </c>
      <c r="V265" s="16">
        <f>IFERROR(__xludf.DUMMYFUNCTION("""COMPUTED_VALUE"""),0.0)</f>
        <v>0</v>
      </c>
      <c r="W265" s="16">
        <f>IFERROR(__xludf.DUMMYFUNCTION("""COMPUTED_VALUE"""),0.0)</f>
        <v>0</v>
      </c>
      <c r="X265" s="16">
        <f>IFERROR(__xludf.DUMMYFUNCTION("""COMPUTED_VALUE"""),0.0)</f>
        <v>0</v>
      </c>
      <c r="Y265" s="16">
        <f>IFERROR(__xludf.DUMMYFUNCTION("""COMPUTED_VALUE"""),0.0)</f>
        <v>0</v>
      </c>
      <c r="Z265" s="16">
        <f>IFERROR(__xludf.DUMMYFUNCTION("""COMPUTED_VALUE"""),0.0)</f>
        <v>0</v>
      </c>
      <c r="AA265" s="16">
        <f>IFERROR(__xludf.DUMMYFUNCTION("""COMPUTED_VALUE"""),0.0)</f>
        <v>0</v>
      </c>
      <c r="AB265" s="16">
        <f>IFERROR(__xludf.DUMMYFUNCTION("""COMPUTED_VALUE"""),0.0)</f>
        <v>0</v>
      </c>
      <c r="AC265" s="16">
        <f>IFERROR(__xludf.DUMMYFUNCTION("""COMPUTED_VALUE"""),0.0)</f>
        <v>0</v>
      </c>
      <c r="AD265" s="16">
        <f>IFERROR(__xludf.DUMMYFUNCTION("""COMPUTED_VALUE"""),0.0)</f>
        <v>0</v>
      </c>
      <c r="AE265" s="16">
        <f>IFERROR(__xludf.DUMMYFUNCTION("""COMPUTED_VALUE"""),0.0)</f>
        <v>0</v>
      </c>
      <c r="AF265" s="16">
        <f>IFERROR(__xludf.DUMMYFUNCTION("""COMPUTED_VALUE"""),0.0)</f>
        <v>0</v>
      </c>
      <c r="AG265" s="16">
        <f>IFERROR(__xludf.DUMMYFUNCTION("""COMPUTED_VALUE"""),0.0)</f>
        <v>0</v>
      </c>
      <c r="AH265" s="16">
        <f>IFERROR(__xludf.DUMMYFUNCTION("""COMPUTED_VALUE"""),0.0)</f>
        <v>0</v>
      </c>
    </row>
    <row r="266">
      <c r="A266" s="16" t="str">
        <f>IFERROR(__xludf.DUMMYFUNCTION("""COMPUTED_VALUE"""),"ef47552b570f8fc4cc243b88fae469ea12c31df0")</f>
        <v>ef47552b570f8fc4cc243b88fae469ea12c31df0</v>
      </c>
      <c r="B266" s="16" t="str">
        <f>IFERROR(__xludf.DUMMYFUNCTION("""COMPUTED_VALUE"""),"Mated to Enemy’s Luna")</f>
        <v>Mated to Enemy’s Luna</v>
      </c>
      <c r="C266" s="16" t="str">
        <f>IFERROR(__xludf.DUMMYFUNCTION("""COMPUTED_VALUE"""),"Romantasy")</f>
        <v>Romantasy</v>
      </c>
      <c r="D266" s="16">
        <f>IFERROR(__xludf.DUMMYFUNCTION("""COMPUTED_VALUE"""),8.0)</f>
        <v>8</v>
      </c>
      <c r="E266" s="16">
        <f>IFERROR(__xludf.DUMMYFUNCTION("""COMPUTED_VALUE"""),1.0)</f>
        <v>1</v>
      </c>
      <c r="F266" s="16">
        <f>IFERROR(__xludf.DUMMYFUNCTION("""COMPUTED_VALUE"""),0.75)</f>
        <v>0.75</v>
      </c>
      <c r="G266" s="16">
        <f>IFERROR(__xludf.DUMMYFUNCTION("""COMPUTED_VALUE"""),0.75)</f>
        <v>0.75</v>
      </c>
      <c r="H266" s="16">
        <f>IFERROR(__xludf.DUMMYFUNCTION("""COMPUTED_VALUE"""),0.75)</f>
        <v>0.75</v>
      </c>
      <c r="I266" s="16">
        <f>IFERROR(__xludf.DUMMYFUNCTION("""COMPUTED_VALUE"""),0.625)</f>
        <v>0.625</v>
      </c>
      <c r="J266" s="16">
        <f>IFERROR(__xludf.DUMMYFUNCTION("""COMPUTED_VALUE"""),0.5)</f>
        <v>0.5</v>
      </c>
      <c r="K266" s="16">
        <f>IFERROR(__xludf.DUMMYFUNCTION("""COMPUTED_VALUE"""),0.375)</f>
        <v>0.375</v>
      </c>
      <c r="L266" s="16">
        <f>IFERROR(__xludf.DUMMYFUNCTION("""COMPUTED_VALUE"""),0.375)</f>
        <v>0.375</v>
      </c>
      <c r="M266" s="16">
        <f>IFERROR(__xludf.DUMMYFUNCTION("""COMPUTED_VALUE"""),0.375)</f>
        <v>0.375</v>
      </c>
      <c r="N266" s="16">
        <f>IFERROR(__xludf.DUMMYFUNCTION("""COMPUTED_VALUE"""),0.375)</f>
        <v>0.375</v>
      </c>
      <c r="O266" s="16">
        <f>IFERROR(__xludf.DUMMYFUNCTION("""COMPUTED_VALUE"""),0.285714285714285)</f>
        <v>0.2857142857</v>
      </c>
      <c r="P266" s="16">
        <f>IFERROR(__xludf.DUMMYFUNCTION("""COMPUTED_VALUE"""),0.285714285714285)</f>
        <v>0.2857142857</v>
      </c>
      <c r="Q266" s="16">
        <f>IFERROR(__xludf.DUMMYFUNCTION("""COMPUTED_VALUE"""),0.0)</f>
        <v>0</v>
      </c>
      <c r="R266" s="16">
        <f>IFERROR(__xludf.DUMMYFUNCTION("""COMPUTED_VALUE"""),0.0)</f>
        <v>0</v>
      </c>
      <c r="S266" s="16">
        <f>IFERROR(__xludf.DUMMYFUNCTION("""COMPUTED_VALUE"""),0.0)</f>
        <v>0</v>
      </c>
      <c r="T266" s="16">
        <f>IFERROR(__xludf.DUMMYFUNCTION("""COMPUTED_VALUE"""),0.0)</f>
        <v>0</v>
      </c>
      <c r="U266" s="16">
        <f>IFERROR(__xludf.DUMMYFUNCTION("""COMPUTED_VALUE"""),0.0)</f>
        <v>0</v>
      </c>
      <c r="V266" s="16">
        <f>IFERROR(__xludf.DUMMYFUNCTION("""COMPUTED_VALUE"""),0.0)</f>
        <v>0</v>
      </c>
      <c r="W266" s="16">
        <f>IFERROR(__xludf.DUMMYFUNCTION("""COMPUTED_VALUE"""),0.0)</f>
        <v>0</v>
      </c>
      <c r="X266" s="16">
        <f>IFERROR(__xludf.DUMMYFUNCTION("""COMPUTED_VALUE"""),0.0)</f>
        <v>0</v>
      </c>
      <c r="Y266" s="16">
        <f>IFERROR(__xludf.DUMMYFUNCTION("""COMPUTED_VALUE"""),0.0)</f>
        <v>0</v>
      </c>
      <c r="Z266" s="16">
        <f>IFERROR(__xludf.DUMMYFUNCTION("""COMPUTED_VALUE"""),0.0)</f>
        <v>0</v>
      </c>
      <c r="AA266" s="16">
        <f>IFERROR(__xludf.DUMMYFUNCTION("""COMPUTED_VALUE"""),0.0)</f>
        <v>0</v>
      </c>
      <c r="AB266" s="16">
        <f>IFERROR(__xludf.DUMMYFUNCTION("""COMPUTED_VALUE"""),0.0)</f>
        <v>0</v>
      </c>
      <c r="AC266" s="16">
        <f>IFERROR(__xludf.DUMMYFUNCTION("""COMPUTED_VALUE"""),0.0)</f>
        <v>0</v>
      </c>
      <c r="AD266" s="16">
        <f>IFERROR(__xludf.DUMMYFUNCTION("""COMPUTED_VALUE"""),0.0)</f>
        <v>0</v>
      </c>
      <c r="AE266" s="16">
        <f>IFERROR(__xludf.DUMMYFUNCTION("""COMPUTED_VALUE"""),0.0)</f>
        <v>0</v>
      </c>
      <c r="AF266" s="16">
        <f>IFERROR(__xludf.DUMMYFUNCTION("""COMPUTED_VALUE"""),0.0)</f>
        <v>0</v>
      </c>
      <c r="AG266" s="16">
        <f>IFERROR(__xludf.DUMMYFUNCTION("""COMPUTED_VALUE"""),0.0)</f>
        <v>0</v>
      </c>
      <c r="AH266" s="16">
        <f>IFERROR(__xludf.DUMMYFUNCTION("""COMPUTED_VALUE"""),0.0)</f>
        <v>0</v>
      </c>
    </row>
    <row r="267">
      <c r="A267" s="16" t="str">
        <f>IFERROR(__xludf.DUMMYFUNCTION("""COMPUTED_VALUE"""),"ef90fb4b8d0ce9719b044885fe4e0b7e925433a8")</f>
        <v>ef90fb4b8d0ce9719b044885fe4e0b7e925433a8</v>
      </c>
      <c r="B267" s="16" t="str">
        <f>IFERROR(__xludf.DUMMYFUNCTION("""COMPUTED_VALUE"""),"The Sovereign Prince")</f>
        <v>The Sovereign Prince</v>
      </c>
      <c r="C267" s="16" t="str">
        <f>IFERROR(__xludf.DUMMYFUNCTION("""COMPUTED_VALUE"""),"Fantasy")</f>
        <v>Fantasy</v>
      </c>
      <c r="D267" s="16">
        <f>IFERROR(__xludf.DUMMYFUNCTION("""COMPUTED_VALUE"""),57.0)</f>
        <v>57</v>
      </c>
      <c r="E267" s="16">
        <f>IFERROR(__xludf.DUMMYFUNCTION("""COMPUTED_VALUE"""),0.982456140350877)</f>
        <v>0.9824561404</v>
      </c>
      <c r="F267" s="16">
        <f>IFERROR(__xludf.DUMMYFUNCTION("""COMPUTED_VALUE"""),0.684210526315789)</f>
        <v>0.6842105263</v>
      </c>
      <c r="G267" s="16">
        <f>IFERROR(__xludf.DUMMYFUNCTION("""COMPUTED_VALUE"""),0.561403508771929)</f>
        <v>0.5614035088</v>
      </c>
      <c r="H267" s="16">
        <f>IFERROR(__xludf.DUMMYFUNCTION("""COMPUTED_VALUE"""),0.473684210526315)</f>
        <v>0.4736842105</v>
      </c>
      <c r="I267" s="16">
        <f>IFERROR(__xludf.DUMMYFUNCTION("""COMPUTED_VALUE"""),0.403508771929824)</f>
        <v>0.4035087719</v>
      </c>
      <c r="J267" s="16">
        <f>IFERROR(__xludf.DUMMYFUNCTION("""COMPUTED_VALUE"""),0.385964912280701)</f>
        <v>0.3859649123</v>
      </c>
      <c r="K267" s="16">
        <f>IFERROR(__xludf.DUMMYFUNCTION("""COMPUTED_VALUE"""),0.421052631578947)</f>
        <v>0.4210526316</v>
      </c>
      <c r="L267" s="16">
        <f>IFERROR(__xludf.DUMMYFUNCTION("""COMPUTED_VALUE"""),0.428571428571428)</f>
        <v>0.4285714286</v>
      </c>
      <c r="M267" s="16">
        <f>IFERROR(__xludf.DUMMYFUNCTION("""COMPUTED_VALUE"""),0.388888888888888)</f>
        <v>0.3888888889</v>
      </c>
      <c r="N267" s="16">
        <f>IFERROR(__xludf.DUMMYFUNCTION("""COMPUTED_VALUE"""),0.396226415094339)</f>
        <v>0.3962264151</v>
      </c>
      <c r="O267" s="16">
        <f>IFERROR(__xludf.DUMMYFUNCTION("""COMPUTED_VALUE"""),0.285714285714285)</f>
        <v>0.2857142857</v>
      </c>
      <c r="P267" s="16">
        <f>IFERROR(__xludf.DUMMYFUNCTION("""COMPUTED_VALUE"""),0.21875)</f>
        <v>0.21875</v>
      </c>
      <c r="Q267" s="16">
        <f>IFERROR(__xludf.DUMMYFUNCTION("""COMPUTED_VALUE"""),0.0)</f>
        <v>0</v>
      </c>
      <c r="R267" s="16">
        <f>IFERROR(__xludf.DUMMYFUNCTION("""COMPUTED_VALUE"""),0.0)</f>
        <v>0</v>
      </c>
      <c r="S267" s="16">
        <f>IFERROR(__xludf.DUMMYFUNCTION("""COMPUTED_VALUE"""),0.0)</f>
        <v>0</v>
      </c>
      <c r="T267" s="16">
        <f>IFERROR(__xludf.DUMMYFUNCTION("""COMPUTED_VALUE"""),0.0)</f>
        <v>0</v>
      </c>
      <c r="U267" s="16">
        <f>IFERROR(__xludf.DUMMYFUNCTION("""COMPUTED_VALUE"""),0.0)</f>
        <v>0</v>
      </c>
      <c r="V267" s="16">
        <f>IFERROR(__xludf.DUMMYFUNCTION("""COMPUTED_VALUE"""),0.0)</f>
        <v>0</v>
      </c>
      <c r="W267" s="16">
        <f>IFERROR(__xludf.DUMMYFUNCTION("""COMPUTED_VALUE"""),0.0)</f>
        <v>0</v>
      </c>
      <c r="X267" s="16">
        <f>IFERROR(__xludf.DUMMYFUNCTION("""COMPUTED_VALUE"""),0.0)</f>
        <v>0</v>
      </c>
      <c r="Y267" s="16">
        <f>IFERROR(__xludf.DUMMYFUNCTION("""COMPUTED_VALUE"""),0.0)</f>
        <v>0</v>
      </c>
      <c r="Z267" s="16">
        <f>IFERROR(__xludf.DUMMYFUNCTION("""COMPUTED_VALUE"""),0.0)</f>
        <v>0</v>
      </c>
      <c r="AA267" s="16">
        <f>IFERROR(__xludf.DUMMYFUNCTION("""COMPUTED_VALUE"""),0.0)</f>
        <v>0</v>
      </c>
      <c r="AB267" s="16">
        <f>IFERROR(__xludf.DUMMYFUNCTION("""COMPUTED_VALUE"""),0.0)</f>
        <v>0</v>
      </c>
      <c r="AC267" s="16">
        <f>IFERROR(__xludf.DUMMYFUNCTION("""COMPUTED_VALUE"""),0.0)</f>
        <v>0</v>
      </c>
      <c r="AD267" s="16">
        <f>IFERROR(__xludf.DUMMYFUNCTION("""COMPUTED_VALUE"""),0.0)</f>
        <v>0</v>
      </c>
      <c r="AE267" s="16">
        <f>IFERROR(__xludf.DUMMYFUNCTION("""COMPUTED_VALUE"""),0.0)</f>
        <v>0</v>
      </c>
      <c r="AF267" s="16">
        <f>IFERROR(__xludf.DUMMYFUNCTION("""COMPUTED_VALUE"""),0.0)</f>
        <v>0</v>
      </c>
      <c r="AG267" s="16">
        <f>IFERROR(__xludf.DUMMYFUNCTION("""COMPUTED_VALUE"""),0.0)</f>
        <v>0</v>
      </c>
      <c r="AH267" s="16">
        <f>IFERROR(__xludf.DUMMYFUNCTION("""COMPUTED_VALUE"""),0.0)</f>
        <v>0</v>
      </c>
    </row>
    <row r="268">
      <c r="A268" s="16" t="str">
        <f>IFERROR(__xludf.DUMMYFUNCTION("""COMPUTED_VALUE"""),"efc5ab9117a97ffce6537344dcb0416ed5ff0dc1")</f>
        <v>efc5ab9117a97ffce6537344dcb0416ed5ff0dc1</v>
      </c>
      <c r="B268" s="16" t="str">
        <f>IFERROR(__xludf.DUMMYFUNCTION("""COMPUTED_VALUE"""),"Imperial Clan Descends")</f>
        <v>Imperial Clan Descends</v>
      </c>
      <c r="C268" s="16" t="str">
        <f>IFERROR(__xludf.DUMMYFUNCTION("""COMPUTED_VALUE"""),"Drama")</f>
        <v>Drama</v>
      </c>
      <c r="D268" s="16">
        <f>IFERROR(__xludf.DUMMYFUNCTION("""COMPUTED_VALUE"""),240.0)</f>
        <v>240</v>
      </c>
      <c r="E268" s="16">
        <f>IFERROR(__xludf.DUMMYFUNCTION("""COMPUTED_VALUE"""),0.991666666666666)</f>
        <v>0.9916666667</v>
      </c>
      <c r="F268" s="16">
        <f>IFERROR(__xludf.DUMMYFUNCTION("""COMPUTED_VALUE"""),0.408333333333333)</f>
        <v>0.4083333333</v>
      </c>
      <c r="G268" s="16">
        <f>IFERROR(__xludf.DUMMYFUNCTION("""COMPUTED_VALUE"""),0.295833333333333)</f>
        <v>0.2958333333</v>
      </c>
      <c r="H268" s="16">
        <f>IFERROR(__xludf.DUMMYFUNCTION("""COMPUTED_VALUE"""),0.2125)</f>
        <v>0.2125</v>
      </c>
      <c r="I268" s="16">
        <f>IFERROR(__xludf.DUMMYFUNCTION("""COMPUTED_VALUE"""),0.170833333333333)</f>
        <v>0.1708333333</v>
      </c>
      <c r="J268" s="16">
        <f>IFERROR(__xludf.DUMMYFUNCTION("""COMPUTED_VALUE"""),0.129032258064516)</f>
        <v>0.1290322581</v>
      </c>
      <c r="K268" s="16">
        <f>IFERROR(__xludf.DUMMYFUNCTION("""COMPUTED_VALUE"""),0.128205128205128)</f>
        <v>0.1282051282</v>
      </c>
      <c r="L268" s="16">
        <f>IFERROR(__xludf.DUMMYFUNCTION("""COMPUTED_VALUE"""),0.11864406779661)</f>
        <v>0.1186440678</v>
      </c>
      <c r="M268" s="16">
        <f>IFERROR(__xludf.DUMMYFUNCTION("""COMPUTED_VALUE"""),0.118811881188118)</f>
        <v>0.1188118812</v>
      </c>
      <c r="N268" s="16">
        <f>IFERROR(__xludf.DUMMYFUNCTION("""COMPUTED_VALUE"""),0.0864197530864197)</f>
        <v>0.08641975309</v>
      </c>
      <c r="O268" s="16">
        <f>IFERROR(__xludf.DUMMYFUNCTION("""COMPUTED_VALUE"""),0.10204081632653)</f>
        <v>0.1020408163</v>
      </c>
      <c r="P268" s="16">
        <f>IFERROR(__xludf.DUMMYFUNCTION("""COMPUTED_VALUE"""),0.16)</f>
        <v>0.16</v>
      </c>
      <c r="Q268" s="16">
        <f>IFERROR(__xludf.DUMMYFUNCTION("""COMPUTED_VALUE"""),0.125)</f>
        <v>0.125</v>
      </c>
      <c r="R268" s="16">
        <f>IFERROR(__xludf.DUMMYFUNCTION("""COMPUTED_VALUE"""),0.125)</f>
        <v>0.125</v>
      </c>
      <c r="S268" s="16">
        <f>IFERROR(__xludf.DUMMYFUNCTION("""COMPUTED_VALUE"""),0.0)</f>
        <v>0</v>
      </c>
      <c r="T268" s="16">
        <f>IFERROR(__xludf.DUMMYFUNCTION("""COMPUTED_VALUE"""),0.0)</f>
        <v>0</v>
      </c>
      <c r="U268" s="16">
        <f>IFERROR(__xludf.DUMMYFUNCTION("""COMPUTED_VALUE"""),0.0)</f>
        <v>0</v>
      </c>
      <c r="V268" s="16">
        <f>IFERROR(__xludf.DUMMYFUNCTION("""COMPUTED_VALUE"""),0.0)</f>
        <v>0</v>
      </c>
      <c r="W268" s="16">
        <f>IFERROR(__xludf.DUMMYFUNCTION("""COMPUTED_VALUE"""),0.0)</f>
        <v>0</v>
      </c>
      <c r="X268" s="16">
        <f>IFERROR(__xludf.DUMMYFUNCTION("""COMPUTED_VALUE"""),0.0)</f>
        <v>0</v>
      </c>
      <c r="Y268" s="16">
        <f>IFERROR(__xludf.DUMMYFUNCTION("""COMPUTED_VALUE"""),0.0)</f>
        <v>0</v>
      </c>
      <c r="Z268" s="16">
        <f>IFERROR(__xludf.DUMMYFUNCTION("""COMPUTED_VALUE"""),0.0)</f>
        <v>0</v>
      </c>
      <c r="AA268" s="16">
        <f>IFERROR(__xludf.DUMMYFUNCTION("""COMPUTED_VALUE"""),0.0)</f>
        <v>0</v>
      </c>
      <c r="AB268" s="16">
        <f>IFERROR(__xludf.DUMMYFUNCTION("""COMPUTED_VALUE"""),0.0)</f>
        <v>0</v>
      </c>
      <c r="AC268" s="16">
        <f>IFERROR(__xludf.DUMMYFUNCTION("""COMPUTED_VALUE"""),0.0)</f>
        <v>0</v>
      </c>
      <c r="AD268" s="16">
        <f>IFERROR(__xludf.DUMMYFUNCTION("""COMPUTED_VALUE"""),0.0)</f>
        <v>0</v>
      </c>
      <c r="AE268" s="16">
        <f>IFERROR(__xludf.DUMMYFUNCTION("""COMPUTED_VALUE"""),0.0)</f>
        <v>0</v>
      </c>
      <c r="AF268" s="16">
        <f>IFERROR(__xludf.DUMMYFUNCTION("""COMPUTED_VALUE"""),0.0)</f>
        <v>0</v>
      </c>
      <c r="AG268" s="16">
        <f>IFERROR(__xludf.DUMMYFUNCTION("""COMPUTED_VALUE"""),0.0)</f>
        <v>0</v>
      </c>
      <c r="AH268" s="16">
        <f>IFERROR(__xludf.DUMMYFUNCTION("""COMPUTED_VALUE"""),0.0)</f>
        <v>0</v>
      </c>
    </row>
    <row r="269">
      <c r="A269" s="16" t="str">
        <f>IFERROR(__xludf.DUMMYFUNCTION("""COMPUTED_VALUE"""),"f06451dc56081680609a77b52825c3da76e8ae66")</f>
        <v>f06451dc56081680609a77b52825c3da76e8ae66</v>
      </c>
      <c r="B269" s="16" t="str">
        <f>IFERROR(__xludf.DUMMYFUNCTION("""COMPUTED_VALUE"""),"Her Exit, His Regret")</f>
        <v>Her Exit, His Regret</v>
      </c>
      <c r="C269" s="16" t="str">
        <f>IFERROR(__xludf.DUMMYFUNCTION("""COMPUTED_VALUE"""),"Romance")</f>
        <v>Romance</v>
      </c>
      <c r="D269" s="16">
        <f>IFERROR(__xludf.DUMMYFUNCTION("""COMPUTED_VALUE"""),60.0)</f>
        <v>60</v>
      </c>
      <c r="E269" s="16">
        <f>IFERROR(__xludf.DUMMYFUNCTION("""COMPUTED_VALUE"""),1.0)</f>
        <v>1</v>
      </c>
      <c r="F269" s="16">
        <f>IFERROR(__xludf.DUMMYFUNCTION("""COMPUTED_VALUE"""),0.6)</f>
        <v>0.6</v>
      </c>
      <c r="G269" s="16">
        <f>IFERROR(__xludf.DUMMYFUNCTION("""COMPUTED_VALUE"""),0.566666666666666)</f>
        <v>0.5666666667</v>
      </c>
      <c r="H269" s="16">
        <f>IFERROR(__xludf.DUMMYFUNCTION("""COMPUTED_VALUE"""),0.516666666666666)</f>
        <v>0.5166666667</v>
      </c>
      <c r="I269" s="16">
        <f>IFERROR(__xludf.DUMMYFUNCTION("""COMPUTED_VALUE"""),0.433333333333333)</f>
        <v>0.4333333333</v>
      </c>
      <c r="J269" s="16">
        <f>IFERROR(__xludf.DUMMYFUNCTION("""COMPUTED_VALUE"""),0.383333333333333)</f>
        <v>0.3833333333</v>
      </c>
      <c r="K269" s="16">
        <f>IFERROR(__xludf.DUMMYFUNCTION("""COMPUTED_VALUE"""),0.366666666666666)</f>
        <v>0.3666666667</v>
      </c>
      <c r="L269" s="16">
        <f>IFERROR(__xludf.DUMMYFUNCTION("""COMPUTED_VALUE"""),0.316666666666666)</f>
        <v>0.3166666667</v>
      </c>
      <c r="M269" s="16">
        <f>IFERROR(__xludf.DUMMYFUNCTION("""COMPUTED_VALUE"""),0.3)</f>
        <v>0.3</v>
      </c>
      <c r="N269" s="16">
        <f>IFERROR(__xludf.DUMMYFUNCTION("""COMPUTED_VALUE"""),0.25)</f>
        <v>0.25</v>
      </c>
      <c r="O269" s="16">
        <f>IFERROR(__xludf.DUMMYFUNCTION("""COMPUTED_VALUE"""),0.2)</f>
        <v>0.2</v>
      </c>
      <c r="P269" s="16">
        <f>IFERROR(__xludf.DUMMYFUNCTION("""COMPUTED_VALUE"""),0.1)</f>
        <v>0.1</v>
      </c>
      <c r="Q269" s="16">
        <f>IFERROR(__xludf.DUMMYFUNCTION("""COMPUTED_VALUE"""),0.0175438596491228)</f>
        <v>0.01754385965</v>
      </c>
      <c r="R269" s="16">
        <f>IFERROR(__xludf.DUMMYFUNCTION("""COMPUTED_VALUE"""),0.0)</f>
        <v>0</v>
      </c>
      <c r="S269" s="16">
        <f>IFERROR(__xludf.DUMMYFUNCTION("""COMPUTED_VALUE"""),0.0)</f>
        <v>0</v>
      </c>
      <c r="T269" s="16">
        <f>IFERROR(__xludf.DUMMYFUNCTION("""COMPUTED_VALUE"""),0.0)</f>
        <v>0</v>
      </c>
      <c r="U269" s="16">
        <f>IFERROR(__xludf.DUMMYFUNCTION("""COMPUTED_VALUE"""),0.0)</f>
        <v>0</v>
      </c>
      <c r="V269" s="16">
        <f>IFERROR(__xludf.DUMMYFUNCTION("""COMPUTED_VALUE"""),0.0)</f>
        <v>0</v>
      </c>
      <c r="W269" s="16">
        <f>IFERROR(__xludf.DUMMYFUNCTION("""COMPUTED_VALUE"""),0.0)</f>
        <v>0</v>
      </c>
      <c r="X269" s="16">
        <f>IFERROR(__xludf.DUMMYFUNCTION("""COMPUTED_VALUE"""),0.0)</f>
        <v>0</v>
      </c>
      <c r="Y269" s="16">
        <f>IFERROR(__xludf.DUMMYFUNCTION("""COMPUTED_VALUE"""),0.0)</f>
        <v>0</v>
      </c>
      <c r="Z269" s="16">
        <f>IFERROR(__xludf.DUMMYFUNCTION("""COMPUTED_VALUE"""),0.0)</f>
        <v>0</v>
      </c>
      <c r="AA269" s="16">
        <f>IFERROR(__xludf.DUMMYFUNCTION("""COMPUTED_VALUE"""),0.0)</f>
        <v>0</v>
      </c>
      <c r="AB269" s="16">
        <f>IFERROR(__xludf.DUMMYFUNCTION("""COMPUTED_VALUE"""),0.0)</f>
        <v>0</v>
      </c>
      <c r="AC269" s="16">
        <f>IFERROR(__xludf.DUMMYFUNCTION("""COMPUTED_VALUE"""),0.0)</f>
        <v>0</v>
      </c>
      <c r="AD269" s="16">
        <f>IFERROR(__xludf.DUMMYFUNCTION("""COMPUTED_VALUE"""),0.0)</f>
        <v>0</v>
      </c>
      <c r="AE269" s="16">
        <f>IFERROR(__xludf.DUMMYFUNCTION("""COMPUTED_VALUE"""),0.0)</f>
        <v>0</v>
      </c>
      <c r="AF269" s="16">
        <f>IFERROR(__xludf.DUMMYFUNCTION("""COMPUTED_VALUE"""),0.0)</f>
        <v>0</v>
      </c>
      <c r="AG269" s="16">
        <f>IFERROR(__xludf.DUMMYFUNCTION("""COMPUTED_VALUE"""),0.0)</f>
        <v>0</v>
      </c>
      <c r="AH269" s="16">
        <f>IFERROR(__xludf.DUMMYFUNCTION("""COMPUTED_VALUE"""),0.0)</f>
        <v>0</v>
      </c>
    </row>
    <row r="270">
      <c r="A270" s="16" t="str">
        <f>IFERROR(__xludf.DUMMYFUNCTION("""COMPUTED_VALUE"""),"f11e794eecc64915145ae97085e04201646abfe3")</f>
        <v>f11e794eecc64915145ae97085e04201646abfe3</v>
      </c>
      <c r="B270" s="16" t="str">
        <f>IFERROR(__xludf.DUMMYFUNCTION("""COMPUTED_VALUE"""),"Almost His Bride ")</f>
        <v>Almost His Bride </v>
      </c>
      <c r="C270" s="16" t="str">
        <f>IFERROR(__xludf.DUMMYFUNCTION("""COMPUTED_VALUE"""),"Romance")</f>
        <v>Romance</v>
      </c>
      <c r="D270" s="16">
        <f>IFERROR(__xludf.DUMMYFUNCTION("""COMPUTED_VALUE"""),1.0)</f>
        <v>1</v>
      </c>
      <c r="E270" s="16">
        <f>IFERROR(__xludf.DUMMYFUNCTION("""COMPUTED_VALUE"""),1.0)</f>
        <v>1</v>
      </c>
      <c r="F270" s="16">
        <f>IFERROR(__xludf.DUMMYFUNCTION("""COMPUTED_VALUE"""),0.0)</f>
        <v>0</v>
      </c>
      <c r="G270" s="16">
        <f>IFERROR(__xludf.DUMMYFUNCTION("""COMPUTED_VALUE"""),0.0)</f>
        <v>0</v>
      </c>
      <c r="H270" s="16">
        <f>IFERROR(__xludf.DUMMYFUNCTION("""COMPUTED_VALUE"""),0.0)</f>
        <v>0</v>
      </c>
      <c r="I270" s="16">
        <f>IFERROR(__xludf.DUMMYFUNCTION("""COMPUTED_VALUE"""),0.0)</f>
        <v>0</v>
      </c>
      <c r="J270" s="16">
        <f>IFERROR(__xludf.DUMMYFUNCTION("""COMPUTED_VALUE"""),0.0)</f>
        <v>0</v>
      </c>
      <c r="K270" s="16">
        <f>IFERROR(__xludf.DUMMYFUNCTION("""COMPUTED_VALUE"""),0.0)</f>
        <v>0</v>
      </c>
      <c r="L270" s="16">
        <f>IFERROR(__xludf.DUMMYFUNCTION("""COMPUTED_VALUE"""),0.0)</f>
        <v>0</v>
      </c>
      <c r="M270" s="16">
        <f>IFERROR(__xludf.DUMMYFUNCTION("""COMPUTED_VALUE"""),0.0)</f>
        <v>0</v>
      </c>
      <c r="N270" s="16">
        <f>IFERROR(__xludf.DUMMYFUNCTION("""COMPUTED_VALUE"""),0.0)</f>
        <v>0</v>
      </c>
      <c r="O270" s="16">
        <f>IFERROR(__xludf.DUMMYFUNCTION("""COMPUTED_VALUE"""),0.0)</f>
        <v>0</v>
      </c>
      <c r="P270" s="16">
        <f>IFERROR(__xludf.DUMMYFUNCTION("""COMPUTED_VALUE"""),0.0)</f>
        <v>0</v>
      </c>
      <c r="Q270" s="16">
        <f>IFERROR(__xludf.DUMMYFUNCTION("""COMPUTED_VALUE"""),0.0)</f>
        <v>0</v>
      </c>
      <c r="R270" s="16">
        <f>IFERROR(__xludf.DUMMYFUNCTION("""COMPUTED_VALUE"""),0.0)</f>
        <v>0</v>
      </c>
      <c r="S270" s="16">
        <f>IFERROR(__xludf.DUMMYFUNCTION("""COMPUTED_VALUE"""),0.0)</f>
        <v>0</v>
      </c>
      <c r="T270" s="16">
        <f>IFERROR(__xludf.DUMMYFUNCTION("""COMPUTED_VALUE"""),0.0)</f>
        <v>0</v>
      </c>
      <c r="U270" s="16">
        <f>IFERROR(__xludf.DUMMYFUNCTION("""COMPUTED_VALUE"""),0.0)</f>
        <v>0</v>
      </c>
      <c r="V270" s="16">
        <f>IFERROR(__xludf.DUMMYFUNCTION("""COMPUTED_VALUE"""),0.0)</f>
        <v>0</v>
      </c>
      <c r="W270" s="16">
        <f>IFERROR(__xludf.DUMMYFUNCTION("""COMPUTED_VALUE"""),0.0)</f>
        <v>0</v>
      </c>
      <c r="X270" s="16">
        <f>IFERROR(__xludf.DUMMYFUNCTION("""COMPUTED_VALUE"""),0.0)</f>
        <v>0</v>
      </c>
      <c r="Y270" s="16">
        <f>IFERROR(__xludf.DUMMYFUNCTION("""COMPUTED_VALUE"""),0.0)</f>
        <v>0</v>
      </c>
      <c r="Z270" s="16">
        <f>IFERROR(__xludf.DUMMYFUNCTION("""COMPUTED_VALUE"""),0.0)</f>
        <v>0</v>
      </c>
      <c r="AA270" s="16">
        <f>IFERROR(__xludf.DUMMYFUNCTION("""COMPUTED_VALUE"""),0.0)</f>
        <v>0</v>
      </c>
      <c r="AB270" s="16">
        <f>IFERROR(__xludf.DUMMYFUNCTION("""COMPUTED_VALUE"""),0.0)</f>
        <v>0</v>
      </c>
      <c r="AC270" s="16">
        <f>IFERROR(__xludf.DUMMYFUNCTION("""COMPUTED_VALUE"""),0.0)</f>
        <v>0</v>
      </c>
      <c r="AD270" s="16">
        <f>IFERROR(__xludf.DUMMYFUNCTION("""COMPUTED_VALUE"""),0.0)</f>
        <v>0</v>
      </c>
      <c r="AE270" s="16">
        <f>IFERROR(__xludf.DUMMYFUNCTION("""COMPUTED_VALUE"""),0.0)</f>
        <v>0</v>
      </c>
      <c r="AF270" s="16">
        <f>IFERROR(__xludf.DUMMYFUNCTION("""COMPUTED_VALUE"""),0.0)</f>
        <v>0</v>
      </c>
      <c r="AG270" s="16">
        <f>IFERROR(__xludf.DUMMYFUNCTION("""COMPUTED_VALUE"""),0.0)</f>
        <v>0</v>
      </c>
      <c r="AH270" s="16">
        <f>IFERROR(__xludf.DUMMYFUNCTION("""COMPUTED_VALUE"""),0.0)</f>
        <v>0</v>
      </c>
    </row>
    <row r="271">
      <c r="A271" s="16" t="str">
        <f>IFERROR(__xludf.DUMMYFUNCTION("""COMPUTED_VALUE"""),"f16d45e2702863e71bf480a3e2490ded19c4cbd9")</f>
        <v>f16d45e2702863e71bf480a3e2490ded19c4cbd9</v>
      </c>
      <c r="B271" s="16" t="str">
        <f>IFERROR(__xludf.DUMMYFUNCTION("""COMPUTED_VALUE"""),"Supreme Sword Cultivator")</f>
        <v>Supreme Sword Cultivator</v>
      </c>
      <c r="C271" s="16" t="str">
        <f>IFERROR(__xludf.DUMMYFUNCTION("""COMPUTED_VALUE"""),"Fantasy")</f>
        <v>Fantasy</v>
      </c>
      <c r="D271" s="16">
        <f>IFERROR(__xludf.DUMMYFUNCTION("""COMPUTED_VALUE"""),141.0)</f>
        <v>141</v>
      </c>
      <c r="E271" s="16">
        <f>IFERROR(__xludf.DUMMYFUNCTION("""COMPUTED_VALUE"""),0.964539007092198)</f>
        <v>0.9645390071</v>
      </c>
      <c r="F271" s="16">
        <f>IFERROR(__xludf.DUMMYFUNCTION("""COMPUTED_VALUE"""),0.75886524822695)</f>
        <v>0.7588652482</v>
      </c>
      <c r="G271" s="16">
        <f>IFERROR(__xludf.DUMMYFUNCTION("""COMPUTED_VALUE"""),0.716312056737588)</f>
        <v>0.7163120567</v>
      </c>
      <c r="H271" s="16">
        <f>IFERROR(__xludf.DUMMYFUNCTION("""COMPUTED_VALUE"""),0.709219858156028)</f>
        <v>0.7092198582</v>
      </c>
      <c r="I271" s="16">
        <f>IFERROR(__xludf.DUMMYFUNCTION("""COMPUTED_VALUE"""),0.687943262411347)</f>
        <v>0.6879432624</v>
      </c>
      <c r="J271" s="16">
        <f>IFERROR(__xludf.DUMMYFUNCTION("""COMPUTED_VALUE"""),0.659574468085106)</f>
        <v>0.6595744681</v>
      </c>
      <c r="K271" s="16">
        <f>IFERROR(__xludf.DUMMYFUNCTION("""COMPUTED_VALUE"""),0.645390070921985)</f>
        <v>0.6453900709</v>
      </c>
      <c r="L271" s="16">
        <f>IFERROR(__xludf.DUMMYFUNCTION("""COMPUTED_VALUE"""),0.659574468085106)</f>
        <v>0.6595744681</v>
      </c>
      <c r="M271" s="16">
        <f>IFERROR(__xludf.DUMMYFUNCTION("""COMPUTED_VALUE"""),0.631205673758865)</f>
        <v>0.6312056738</v>
      </c>
      <c r="N271" s="16">
        <f>IFERROR(__xludf.DUMMYFUNCTION("""COMPUTED_VALUE"""),0.602836879432624)</f>
        <v>0.6028368794</v>
      </c>
      <c r="O271" s="16">
        <f>IFERROR(__xludf.DUMMYFUNCTION("""COMPUTED_VALUE"""),0.532846715328467)</f>
        <v>0.5328467153</v>
      </c>
      <c r="P271" s="16">
        <f>IFERROR(__xludf.DUMMYFUNCTION("""COMPUTED_VALUE"""),0.469696969696969)</f>
        <v>0.4696969697</v>
      </c>
      <c r="Q271" s="16">
        <f>IFERROR(__xludf.DUMMYFUNCTION("""COMPUTED_VALUE"""),0.396039603960396)</f>
        <v>0.396039604</v>
      </c>
      <c r="R271" s="16">
        <f>IFERROR(__xludf.DUMMYFUNCTION("""COMPUTED_VALUE"""),0.383838383838383)</f>
        <v>0.3838383838</v>
      </c>
      <c r="S271" s="16">
        <f>IFERROR(__xludf.DUMMYFUNCTION("""COMPUTED_VALUE"""),0.34375)</f>
        <v>0.34375</v>
      </c>
      <c r="T271" s="16">
        <f>IFERROR(__xludf.DUMMYFUNCTION("""COMPUTED_VALUE"""),0.202127659574468)</f>
        <v>0.2021276596</v>
      </c>
      <c r="U271" s="16">
        <f>IFERROR(__xludf.DUMMYFUNCTION("""COMPUTED_VALUE"""),0.05)</f>
        <v>0.05</v>
      </c>
      <c r="V271" s="16">
        <f>IFERROR(__xludf.DUMMYFUNCTION("""COMPUTED_VALUE"""),0.0)</f>
        <v>0</v>
      </c>
      <c r="W271" s="16">
        <f>IFERROR(__xludf.DUMMYFUNCTION("""COMPUTED_VALUE"""),0.0)</f>
        <v>0</v>
      </c>
      <c r="X271" s="16">
        <f>IFERROR(__xludf.DUMMYFUNCTION("""COMPUTED_VALUE"""),0.0)</f>
        <v>0</v>
      </c>
      <c r="Y271" s="16">
        <f>IFERROR(__xludf.DUMMYFUNCTION("""COMPUTED_VALUE"""),0.0)</f>
        <v>0</v>
      </c>
      <c r="Z271" s="16">
        <f>IFERROR(__xludf.DUMMYFUNCTION("""COMPUTED_VALUE"""),0.0)</f>
        <v>0</v>
      </c>
      <c r="AA271" s="16">
        <f>IFERROR(__xludf.DUMMYFUNCTION("""COMPUTED_VALUE"""),0.0)</f>
        <v>0</v>
      </c>
      <c r="AB271" s="16">
        <f>IFERROR(__xludf.DUMMYFUNCTION("""COMPUTED_VALUE"""),0.0)</f>
        <v>0</v>
      </c>
      <c r="AC271" s="16">
        <f>IFERROR(__xludf.DUMMYFUNCTION("""COMPUTED_VALUE"""),0.0)</f>
        <v>0</v>
      </c>
      <c r="AD271" s="16">
        <f>IFERROR(__xludf.DUMMYFUNCTION("""COMPUTED_VALUE"""),0.0)</f>
        <v>0</v>
      </c>
      <c r="AE271" s="16">
        <f>IFERROR(__xludf.DUMMYFUNCTION("""COMPUTED_VALUE"""),0.0)</f>
        <v>0</v>
      </c>
      <c r="AF271" s="16">
        <f>IFERROR(__xludf.DUMMYFUNCTION("""COMPUTED_VALUE"""),0.0)</f>
        <v>0</v>
      </c>
      <c r="AG271" s="16">
        <f>IFERROR(__xludf.DUMMYFUNCTION("""COMPUTED_VALUE"""),0.0)</f>
        <v>0</v>
      </c>
      <c r="AH271" s="16">
        <f>IFERROR(__xludf.DUMMYFUNCTION("""COMPUTED_VALUE"""),0.0)</f>
        <v>0</v>
      </c>
    </row>
    <row r="272">
      <c r="A272" s="16" t="str">
        <f>IFERROR(__xludf.DUMMYFUNCTION("""COMPUTED_VALUE"""),"f23c3d5745910e4c7cf490450f5314358a0cec03")</f>
        <v>f23c3d5745910e4c7cf490450f5314358a0cec03</v>
      </c>
      <c r="B272" s="16" t="str">
        <f>IFERROR(__xludf.DUMMYFUNCTION("""COMPUTED_VALUE"""),"When My Ex Returned")</f>
        <v>When My Ex Returned</v>
      </c>
      <c r="C272" s="16" t="str">
        <f>IFERROR(__xludf.DUMMYFUNCTION("""COMPUTED_VALUE"""),"Romance")</f>
        <v>Romance</v>
      </c>
      <c r="D272" s="16">
        <f>IFERROR(__xludf.DUMMYFUNCTION("""COMPUTED_VALUE"""),33.0)</f>
        <v>33</v>
      </c>
      <c r="E272" s="16">
        <f>IFERROR(__xludf.DUMMYFUNCTION("""COMPUTED_VALUE"""),0.969696969696969)</f>
        <v>0.9696969697</v>
      </c>
      <c r="F272" s="16">
        <f>IFERROR(__xludf.DUMMYFUNCTION("""COMPUTED_VALUE"""),0.606060606060606)</f>
        <v>0.6060606061</v>
      </c>
      <c r="G272" s="16">
        <f>IFERROR(__xludf.DUMMYFUNCTION("""COMPUTED_VALUE"""),0.545454545454545)</f>
        <v>0.5454545455</v>
      </c>
      <c r="H272" s="16">
        <f>IFERROR(__xludf.DUMMYFUNCTION("""COMPUTED_VALUE"""),0.515151515151515)</f>
        <v>0.5151515152</v>
      </c>
      <c r="I272" s="16">
        <f>IFERROR(__xludf.DUMMYFUNCTION("""COMPUTED_VALUE"""),0.515151515151515)</f>
        <v>0.5151515152</v>
      </c>
      <c r="J272" s="16">
        <f>IFERROR(__xludf.DUMMYFUNCTION("""COMPUTED_VALUE"""),0.484848484848484)</f>
        <v>0.4848484848</v>
      </c>
      <c r="K272" s="16">
        <f>IFERROR(__xludf.DUMMYFUNCTION("""COMPUTED_VALUE"""),0.515151515151515)</f>
        <v>0.5151515152</v>
      </c>
      <c r="L272" s="16">
        <f>IFERROR(__xludf.DUMMYFUNCTION("""COMPUTED_VALUE"""),0.424242424242424)</f>
        <v>0.4242424242</v>
      </c>
      <c r="M272" s="16">
        <f>IFERROR(__xludf.DUMMYFUNCTION("""COMPUTED_VALUE"""),0.393939393939393)</f>
        <v>0.3939393939</v>
      </c>
      <c r="N272" s="16">
        <f>IFERROR(__xludf.DUMMYFUNCTION("""COMPUTED_VALUE"""),0.363636363636363)</f>
        <v>0.3636363636</v>
      </c>
      <c r="O272" s="16">
        <f>IFERROR(__xludf.DUMMYFUNCTION("""COMPUTED_VALUE"""),0.303030303030303)</f>
        <v>0.303030303</v>
      </c>
      <c r="P272" s="16">
        <f>IFERROR(__xludf.DUMMYFUNCTION("""COMPUTED_VALUE"""),0.181818181818181)</f>
        <v>0.1818181818</v>
      </c>
      <c r="Q272" s="16">
        <f>IFERROR(__xludf.DUMMYFUNCTION("""COMPUTED_VALUE"""),0.0)</f>
        <v>0</v>
      </c>
      <c r="R272" s="16">
        <f>IFERROR(__xludf.DUMMYFUNCTION("""COMPUTED_VALUE"""),0.0)</f>
        <v>0</v>
      </c>
      <c r="S272" s="16">
        <f>IFERROR(__xludf.DUMMYFUNCTION("""COMPUTED_VALUE"""),0.0)</f>
        <v>0</v>
      </c>
      <c r="T272" s="16">
        <f>IFERROR(__xludf.DUMMYFUNCTION("""COMPUTED_VALUE"""),0.0)</f>
        <v>0</v>
      </c>
      <c r="U272" s="16">
        <f>IFERROR(__xludf.DUMMYFUNCTION("""COMPUTED_VALUE"""),0.0)</f>
        <v>0</v>
      </c>
      <c r="V272" s="16">
        <f>IFERROR(__xludf.DUMMYFUNCTION("""COMPUTED_VALUE"""),0.0)</f>
        <v>0</v>
      </c>
      <c r="W272" s="16">
        <f>IFERROR(__xludf.DUMMYFUNCTION("""COMPUTED_VALUE"""),0.0)</f>
        <v>0</v>
      </c>
      <c r="X272" s="16">
        <f>IFERROR(__xludf.DUMMYFUNCTION("""COMPUTED_VALUE"""),0.0)</f>
        <v>0</v>
      </c>
      <c r="Y272" s="16">
        <f>IFERROR(__xludf.DUMMYFUNCTION("""COMPUTED_VALUE"""),0.0)</f>
        <v>0</v>
      </c>
      <c r="Z272" s="16">
        <f>IFERROR(__xludf.DUMMYFUNCTION("""COMPUTED_VALUE"""),0.0)</f>
        <v>0</v>
      </c>
      <c r="AA272" s="16">
        <f>IFERROR(__xludf.DUMMYFUNCTION("""COMPUTED_VALUE"""),0.0)</f>
        <v>0</v>
      </c>
      <c r="AB272" s="16">
        <f>IFERROR(__xludf.DUMMYFUNCTION("""COMPUTED_VALUE"""),0.0)</f>
        <v>0</v>
      </c>
      <c r="AC272" s="16">
        <f>IFERROR(__xludf.DUMMYFUNCTION("""COMPUTED_VALUE"""),0.0)</f>
        <v>0</v>
      </c>
      <c r="AD272" s="16">
        <f>IFERROR(__xludf.DUMMYFUNCTION("""COMPUTED_VALUE"""),0.0)</f>
        <v>0</v>
      </c>
      <c r="AE272" s="16">
        <f>IFERROR(__xludf.DUMMYFUNCTION("""COMPUTED_VALUE"""),0.0)</f>
        <v>0</v>
      </c>
      <c r="AF272" s="16">
        <f>IFERROR(__xludf.DUMMYFUNCTION("""COMPUTED_VALUE"""),0.0)</f>
        <v>0</v>
      </c>
      <c r="AG272" s="16">
        <f>IFERROR(__xludf.DUMMYFUNCTION("""COMPUTED_VALUE"""),0.0)</f>
        <v>0</v>
      </c>
      <c r="AH272" s="16">
        <f>IFERROR(__xludf.DUMMYFUNCTION("""COMPUTED_VALUE"""),0.0)</f>
        <v>0</v>
      </c>
    </row>
    <row r="273">
      <c r="A273" s="16" t="str">
        <f>IFERROR(__xludf.DUMMYFUNCTION("""COMPUTED_VALUE"""),"f2ec53ac7f98813aea65ea59e50f32077fe08707")</f>
        <v>f2ec53ac7f98813aea65ea59e50f32077fe08707</v>
      </c>
      <c r="B273" s="16" t="str">
        <f>IFERROR(__xludf.DUMMYFUNCTION("""COMPUTED_VALUE"""),"The Forbidden Kiss")</f>
        <v>The Forbidden Kiss</v>
      </c>
      <c r="C273" s="16" t="str">
        <f>IFERROR(__xludf.DUMMYFUNCTION("""COMPUTED_VALUE"""),"Romance")</f>
        <v>Romance</v>
      </c>
      <c r="D273" s="16">
        <f>IFERROR(__xludf.DUMMYFUNCTION("""COMPUTED_VALUE"""),33.0)</f>
        <v>33</v>
      </c>
      <c r="E273" s="16">
        <f>IFERROR(__xludf.DUMMYFUNCTION("""COMPUTED_VALUE"""),0.969696969696969)</f>
        <v>0.9696969697</v>
      </c>
      <c r="F273" s="16">
        <f>IFERROR(__xludf.DUMMYFUNCTION("""COMPUTED_VALUE"""),0.727272727272727)</f>
        <v>0.7272727273</v>
      </c>
      <c r="G273" s="16">
        <f>IFERROR(__xludf.DUMMYFUNCTION("""COMPUTED_VALUE"""),0.575757575757575)</f>
        <v>0.5757575758</v>
      </c>
      <c r="H273" s="16">
        <f>IFERROR(__xludf.DUMMYFUNCTION("""COMPUTED_VALUE"""),0.424242424242424)</f>
        <v>0.4242424242</v>
      </c>
      <c r="I273" s="16">
        <f>IFERROR(__xludf.DUMMYFUNCTION("""COMPUTED_VALUE"""),0.303030303030303)</f>
        <v>0.303030303</v>
      </c>
      <c r="J273" s="16">
        <f>IFERROR(__xludf.DUMMYFUNCTION("""COMPUTED_VALUE"""),0.266666666666666)</f>
        <v>0.2666666667</v>
      </c>
      <c r="K273" s="16">
        <f>IFERROR(__xludf.DUMMYFUNCTION("""COMPUTED_VALUE"""),0.233333333333333)</f>
        <v>0.2333333333</v>
      </c>
      <c r="L273" s="16">
        <f>IFERROR(__xludf.DUMMYFUNCTION("""COMPUTED_VALUE"""),0.241379310344827)</f>
        <v>0.2413793103</v>
      </c>
      <c r="M273" s="16">
        <f>IFERROR(__xludf.DUMMYFUNCTION("""COMPUTED_VALUE"""),0.241379310344827)</f>
        <v>0.2413793103</v>
      </c>
      <c r="N273" s="16">
        <f>IFERROR(__xludf.DUMMYFUNCTION("""COMPUTED_VALUE"""),0.185185185185185)</f>
        <v>0.1851851852</v>
      </c>
      <c r="O273" s="16">
        <f>IFERROR(__xludf.DUMMYFUNCTION("""COMPUTED_VALUE"""),0.1875)</f>
        <v>0.1875</v>
      </c>
      <c r="P273" s="16">
        <f>IFERROR(__xludf.DUMMYFUNCTION("""COMPUTED_VALUE"""),0.0)</f>
        <v>0</v>
      </c>
      <c r="Q273" s="16">
        <f>IFERROR(__xludf.DUMMYFUNCTION("""COMPUTED_VALUE"""),0.0)</f>
        <v>0</v>
      </c>
      <c r="R273" s="16">
        <f>IFERROR(__xludf.DUMMYFUNCTION("""COMPUTED_VALUE"""),0.0)</f>
        <v>0</v>
      </c>
      <c r="S273" s="16">
        <f>IFERROR(__xludf.DUMMYFUNCTION("""COMPUTED_VALUE"""),0.0)</f>
        <v>0</v>
      </c>
      <c r="T273" s="16">
        <f>IFERROR(__xludf.DUMMYFUNCTION("""COMPUTED_VALUE"""),0.0)</f>
        <v>0</v>
      </c>
      <c r="U273" s="16">
        <f>IFERROR(__xludf.DUMMYFUNCTION("""COMPUTED_VALUE"""),0.0)</f>
        <v>0</v>
      </c>
      <c r="V273" s="16">
        <f>IFERROR(__xludf.DUMMYFUNCTION("""COMPUTED_VALUE"""),0.0)</f>
        <v>0</v>
      </c>
      <c r="W273" s="16">
        <f>IFERROR(__xludf.DUMMYFUNCTION("""COMPUTED_VALUE"""),0.0)</f>
        <v>0</v>
      </c>
      <c r="X273" s="16">
        <f>IFERROR(__xludf.DUMMYFUNCTION("""COMPUTED_VALUE"""),0.0)</f>
        <v>0</v>
      </c>
      <c r="Y273" s="16">
        <f>IFERROR(__xludf.DUMMYFUNCTION("""COMPUTED_VALUE"""),0.0)</f>
        <v>0</v>
      </c>
      <c r="Z273" s="16">
        <f>IFERROR(__xludf.DUMMYFUNCTION("""COMPUTED_VALUE"""),0.0)</f>
        <v>0</v>
      </c>
      <c r="AA273" s="16">
        <f>IFERROR(__xludf.DUMMYFUNCTION("""COMPUTED_VALUE"""),0.0)</f>
        <v>0</v>
      </c>
      <c r="AB273" s="16">
        <f>IFERROR(__xludf.DUMMYFUNCTION("""COMPUTED_VALUE"""),0.0)</f>
        <v>0</v>
      </c>
      <c r="AC273" s="16">
        <f>IFERROR(__xludf.DUMMYFUNCTION("""COMPUTED_VALUE"""),0.0)</f>
        <v>0</v>
      </c>
      <c r="AD273" s="16">
        <f>IFERROR(__xludf.DUMMYFUNCTION("""COMPUTED_VALUE"""),0.0)</f>
        <v>0</v>
      </c>
      <c r="AE273" s="16">
        <f>IFERROR(__xludf.DUMMYFUNCTION("""COMPUTED_VALUE"""),0.0)</f>
        <v>0</v>
      </c>
      <c r="AF273" s="16">
        <f>IFERROR(__xludf.DUMMYFUNCTION("""COMPUTED_VALUE"""),0.0)</f>
        <v>0</v>
      </c>
      <c r="AG273" s="16">
        <f>IFERROR(__xludf.DUMMYFUNCTION("""COMPUTED_VALUE"""),0.0)</f>
        <v>0</v>
      </c>
      <c r="AH273" s="16">
        <f>IFERROR(__xludf.DUMMYFUNCTION("""COMPUTED_VALUE"""),0.0)</f>
        <v>0</v>
      </c>
    </row>
    <row r="274">
      <c r="A274" s="16" t="str">
        <f>IFERROR(__xludf.DUMMYFUNCTION("""COMPUTED_VALUE"""),"f32ed59a93a11812f5a5a57e2c663028b1c65f89")</f>
        <v>f32ed59a93a11812f5a5a57e2c663028b1c65f89</v>
      </c>
      <c r="B274" s="16" t="str">
        <f>IFERROR(__xludf.DUMMYFUNCTION("""COMPUTED_VALUE"""),"Trillionaire Sterling")</f>
        <v>Trillionaire Sterling</v>
      </c>
      <c r="C274" s="16" t="str">
        <f>IFERROR(__xludf.DUMMYFUNCTION("""COMPUTED_VALUE"""),"Fantasy")</f>
        <v>Fantasy</v>
      </c>
      <c r="D274" s="16">
        <f>IFERROR(__xludf.DUMMYFUNCTION("""COMPUTED_VALUE"""),5842.0)</f>
        <v>5842</v>
      </c>
      <c r="E274" s="16">
        <f>IFERROR(__xludf.DUMMYFUNCTION("""COMPUTED_VALUE"""),0.93632317699418)</f>
        <v>0.936323177</v>
      </c>
      <c r="F274" s="16">
        <f>IFERROR(__xludf.DUMMYFUNCTION("""COMPUTED_VALUE"""),0.67562478603218)</f>
        <v>0.675624786</v>
      </c>
      <c r="G274" s="16">
        <f>IFERROR(__xludf.DUMMYFUNCTION("""COMPUTED_VALUE"""),0.627011297500855)</f>
        <v>0.6270112975</v>
      </c>
      <c r="H274" s="16">
        <f>IFERROR(__xludf.DUMMYFUNCTION("""COMPUTED_VALUE"""),0.599965765148921)</f>
        <v>0.5999657651</v>
      </c>
      <c r="I274" s="16">
        <f>IFERROR(__xludf.DUMMYFUNCTION("""COMPUTED_VALUE"""),0.580451900034234)</f>
        <v>0.5804519</v>
      </c>
      <c r="J274" s="16">
        <f>IFERROR(__xludf.DUMMYFUNCTION("""COMPUTED_VALUE"""),0.564137694810755)</f>
        <v>0.5641376948</v>
      </c>
      <c r="K274" s="16">
        <f>IFERROR(__xludf.DUMMYFUNCTION("""COMPUTED_VALUE"""),0.552775873886223)</f>
        <v>0.5527758739</v>
      </c>
      <c r="L274" s="16">
        <f>IFERROR(__xludf.DUMMYFUNCTION("""COMPUTED_VALUE"""),0.545392140037755)</f>
        <v>0.54539214</v>
      </c>
      <c r="M274" s="16">
        <f>IFERROR(__xludf.DUMMYFUNCTION("""COMPUTED_VALUE"""),0.538791623755578)</f>
        <v>0.5387916238</v>
      </c>
      <c r="N274" s="16">
        <f>IFERROR(__xludf.DUMMYFUNCTION("""COMPUTED_VALUE"""),0.534364261168384)</f>
        <v>0.5343642612</v>
      </c>
      <c r="O274" s="16">
        <f>IFERROR(__xludf.DUMMYFUNCTION("""COMPUTED_VALUE"""),0.494882914137033)</f>
        <v>0.4948829141</v>
      </c>
      <c r="P274" s="16">
        <f>IFERROR(__xludf.DUMMYFUNCTION("""COMPUTED_VALUE"""),0.423455056179775)</f>
        <v>0.4234550562</v>
      </c>
      <c r="Q274" s="16">
        <f>IFERROR(__xludf.DUMMYFUNCTION("""COMPUTED_VALUE"""),0.356501436781609)</f>
        <v>0.3565014368</v>
      </c>
      <c r="R274" s="16">
        <f>IFERROR(__xludf.DUMMYFUNCTION("""COMPUTED_VALUE"""),0.281744130330618)</f>
        <v>0.2817441303</v>
      </c>
      <c r="S274" s="16">
        <f>IFERROR(__xludf.DUMMYFUNCTION("""COMPUTED_VALUE"""),0.245312098638582)</f>
        <v>0.2453120986</v>
      </c>
      <c r="T274" s="16">
        <f>IFERROR(__xludf.DUMMYFUNCTION("""COMPUTED_VALUE"""),0.16201522290685)</f>
        <v>0.1620152229</v>
      </c>
      <c r="U274" s="16">
        <f>IFERROR(__xludf.DUMMYFUNCTION("""COMPUTED_VALUE"""),0.091175036567528)</f>
        <v>0.09117503657</v>
      </c>
      <c r="V274" s="16">
        <f>IFERROR(__xludf.DUMMYFUNCTION("""COMPUTED_VALUE"""),0.0938271604938271)</f>
        <v>0.09382716049</v>
      </c>
      <c r="W274" s="16">
        <f>IFERROR(__xludf.DUMMYFUNCTION("""COMPUTED_VALUE"""),0.0512820512820512)</f>
        <v>0.05128205128</v>
      </c>
      <c r="X274" s="16">
        <f>IFERROR(__xludf.DUMMYFUNCTION("""COMPUTED_VALUE"""),0.0)</f>
        <v>0</v>
      </c>
      <c r="Y274" s="16">
        <f>IFERROR(__xludf.DUMMYFUNCTION("""COMPUTED_VALUE"""),0.0)</f>
        <v>0</v>
      </c>
      <c r="Z274" s="16">
        <f>IFERROR(__xludf.DUMMYFUNCTION("""COMPUTED_VALUE"""),0.0)</f>
        <v>0</v>
      </c>
      <c r="AA274" s="16">
        <f>IFERROR(__xludf.DUMMYFUNCTION("""COMPUTED_VALUE"""),0.0)</f>
        <v>0</v>
      </c>
      <c r="AB274" s="16">
        <f>IFERROR(__xludf.DUMMYFUNCTION("""COMPUTED_VALUE"""),0.0)</f>
        <v>0</v>
      </c>
      <c r="AC274" s="16">
        <f>IFERROR(__xludf.DUMMYFUNCTION("""COMPUTED_VALUE"""),0.0)</f>
        <v>0</v>
      </c>
      <c r="AD274" s="16">
        <f>IFERROR(__xludf.DUMMYFUNCTION("""COMPUTED_VALUE"""),0.0)</f>
        <v>0</v>
      </c>
      <c r="AE274" s="16">
        <f>IFERROR(__xludf.DUMMYFUNCTION("""COMPUTED_VALUE"""),0.0)</f>
        <v>0</v>
      </c>
      <c r="AF274" s="16">
        <f>IFERROR(__xludf.DUMMYFUNCTION("""COMPUTED_VALUE"""),0.0)</f>
        <v>0</v>
      </c>
      <c r="AG274" s="16">
        <f>IFERROR(__xludf.DUMMYFUNCTION("""COMPUTED_VALUE"""),0.0)</f>
        <v>0</v>
      </c>
      <c r="AH274" s="16">
        <f>IFERROR(__xludf.DUMMYFUNCTION("""COMPUTED_VALUE"""),0.0)</f>
        <v>0</v>
      </c>
    </row>
    <row r="275">
      <c r="A275" s="16" t="str">
        <f>IFERROR(__xludf.DUMMYFUNCTION("""COMPUTED_VALUE"""),"f3b45a9b931b38c0315d82ad645b9e45b513664b")</f>
        <v>f3b45a9b931b38c0315d82ad645b9e45b513664b</v>
      </c>
      <c r="B275" s="16" t="str">
        <f>IFERROR(__xludf.DUMMYFUNCTION("""COMPUTED_VALUE"""),"Reborn as a Golblin?!")</f>
        <v>Reborn as a Golblin?!</v>
      </c>
      <c r="C275" s="16" t="str">
        <f>IFERROR(__xludf.DUMMYFUNCTION("""COMPUTED_VALUE"""),"System and Superpower")</f>
        <v>System and Superpower</v>
      </c>
      <c r="D275" s="16">
        <f>IFERROR(__xludf.DUMMYFUNCTION("""COMPUTED_VALUE"""),465.0)</f>
        <v>465</v>
      </c>
      <c r="E275" s="16">
        <f>IFERROR(__xludf.DUMMYFUNCTION("""COMPUTED_VALUE"""),0.997849462365591)</f>
        <v>0.9978494624</v>
      </c>
      <c r="F275" s="16">
        <f>IFERROR(__xludf.DUMMYFUNCTION("""COMPUTED_VALUE"""),0.692473118279569)</f>
        <v>0.6924731183</v>
      </c>
      <c r="G275" s="16">
        <f>IFERROR(__xludf.DUMMYFUNCTION("""COMPUTED_VALUE"""),0.610752688172043)</f>
        <v>0.6107526882</v>
      </c>
      <c r="H275" s="16">
        <f>IFERROR(__xludf.DUMMYFUNCTION("""COMPUTED_VALUE"""),0.526881720430107)</f>
        <v>0.5268817204</v>
      </c>
      <c r="I275" s="16">
        <f>IFERROR(__xludf.DUMMYFUNCTION("""COMPUTED_VALUE"""),0.479569892473118)</f>
        <v>0.4795698925</v>
      </c>
      <c r="J275" s="16">
        <f>IFERROR(__xludf.DUMMYFUNCTION("""COMPUTED_VALUE"""),0.408602150537634)</f>
        <v>0.4086021505</v>
      </c>
      <c r="K275" s="16">
        <f>IFERROR(__xludf.DUMMYFUNCTION("""COMPUTED_VALUE"""),0.384946236559139)</f>
        <v>0.3849462366</v>
      </c>
      <c r="L275" s="16">
        <f>IFERROR(__xludf.DUMMYFUNCTION("""COMPUTED_VALUE"""),0.356371490280777)</f>
        <v>0.3563714903</v>
      </c>
      <c r="M275" s="16">
        <f>IFERROR(__xludf.DUMMYFUNCTION("""COMPUTED_VALUE"""),0.332613390928725)</f>
        <v>0.3326133909</v>
      </c>
      <c r="N275" s="16">
        <f>IFERROR(__xludf.DUMMYFUNCTION("""COMPUTED_VALUE"""),0.323144104803493)</f>
        <v>0.3231441048</v>
      </c>
      <c r="O275" s="16">
        <f>IFERROR(__xludf.DUMMYFUNCTION("""COMPUTED_VALUE"""),0.247813411078717)</f>
        <v>0.2478134111</v>
      </c>
      <c r="P275" s="16">
        <f>IFERROR(__xludf.DUMMYFUNCTION("""COMPUTED_VALUE"""),0.2)</f>
        <v>0.2</v>
      </c>
      <c r="Q275" s="16">
        <f>IFERROR(__xludf.DUMMYFUNCTION("""COMPUTED_VALUE"""),0.0)</f>
        <v>0</v>
      </c>
      <c r="R275" s="16">
        <f>IFERROR(__xludf.DUMMYFUNCTION("""COMPUTED_VALUE"""),0.0)</f>
        <v>0</v>
      </c>
      <c r="S275" s="16">
        <f>IFERROR(__xludf.DUMMYFUNCTION("""COMPUTED_VALUE"""),0.0)</f>
        <v>0</v>
      </c>
      <c r="T275" s="16">
        <f>IFERROR(__xludf.DUMMYFUNCTION("""COMPUTED_VALUE"""),0.0)</f>
        <v>0</v>
      </c>
      <c r="U275" s="16">
        <f>IFERROR(__xludf.DUMMYFUNCTION("""COMPUTED_VALUE"""),0.0)</f>
        <v>0</v>
      </c>
      <c r="V275" s="16">
        <f>IFERROR(__xludf.DUMMYFUNCTION("""COMPUTED_VALUE"""),0.0)</f>
        <v>0</v>
      </c>
      <c r="W275" s="16">
        <f>IFERROR(__xludf.DUMMYFUNCTION("""COMPUTED_VALUE"""),0.0)</f>
        <v>0</v>
      </c>
      <c r="X275" s="16">
        <f>IFERROR(__xludf.DUMMYFUNCTION("""COMPUTED_VALUE"""),0.0)</f>
        <v>0</v>
      </c>
      <c r="Y275" s="16">
        <f>IFERROR(__xludf.DUMMYFUNCTION("""COMPUTED_VALUE"""),0.0)</f>
        <v>0</v>
      </c>
      <c r="Z275" s="16">
        <f>IFERROR(__xludf.DUMMYFUNCTION("""COMPUTED_VALUE"""),0.0)</f>
        <v>0</v>
      </c>
      <c r="AA275" s="16">
        <f>IFERROR(__xludf.DUMMYFUNCTION("""COMPUTED_VALUE"""),0.0)</f>
        <v>0</v>
      </c>
      <c r="AB275" s="16">
        <f>IFERROR(__xludf.DUMMYFUNCTION("""COMPUTED_VALUE"""),0.0)</f>
        <v>0</v>
      </c>
      <c r="AC275" s="16">
        <f>IFERROR(__xludf.DUMMYFUNCTION("""COMPUTED_VALUE"""),0.0)</f>
        <v>0</v>
      </c>
      <c r="AD275" s="16">
        <f>IFERROR(__xludf.DUMMYFUNCTION("""COMPUTED_VALUE"""),0.0)</f>
        <v>0</v>
      </c>
      <c r="AE275" s="16">
        <f>IFERROR(__xludf.DUMMYFUNCTION("""COMPUTED_VALUE"""),0.0)</f>
        <v>0</v>
      </c>
      <c r="AF275" s="16">
        <f>IFERROR(__xludf.DUMMYFUNCTION("""COMPUTED_VALUE"""),0.0)</f>
        <v>0</v>
      </c>
      <c r="AG275" s="16">
        <f>IFERROR(__xludf.DUMMYFUNCTION("""COMPUTED_VALUE"""),0.0)</f>
        <v>0</v>
      </c>
      <c r="AH275" s="16">
        <f>IFERROR(__xludf.DUMMYFUNCTION("""COMPUTED_VALUE"""),0.0)</f>
        <v>0</v>
      </c>
    </row>
    <row r="276">
      <c r="A276" s="16" t="str">
        <f>IFERROR(__xludf.DUMMYFUNCTION("""COMPUTED_VALUE"""),"f47e2c3c03d765bd054b92de405403a6c90b8d7f")</f>
        <v>f47e2c3c03d765bd054b92de405403a6c90b8d7f</v>
      </c>
      <c r="B276" s="16" t="str">
        <f>IFERROR(__xludf.DUMMYFUNCTION("""COMPUTED_VALUE"""),"It Was You Mister Cross")</f>
        <v>It Was You Mister Cross</v>
      </c>
      <c r="C276" s="16" t="str">
        <f>IFERROR(__xludf.DUMMYFUNCTION("""COMPUTED_VALUE"""),"Romance")</f>
        <v>Romance</v>
      </c>
      <c r="D276" s="16">
        <f>IFERROR(__xludf.DUMMYFUNCTION("""COMPUTED_VALUE"""),9.0)</f>
        <v>9</v>
      </c>
      <c r="E276" s="16">
        <f>IFERROR(__xludf.DUMMYFUNCTION("""COMPUTED_VALUE"""),1.0)</f>
        <v>1</v>
      </c>
      <c r="F276" s="16">
        <f>IFERROR(__xludf.DUMMYFUNCTION("""COMPUTED_VALUE"""),0.555555555555555)</f>
        <v>0.5555555556</v>
      </c>
      <c r="G276" s="16">
        <f>IFERROR(__xludf.DUMMYFUNCTION("""COMPUTED_VALUE"""),0.333333333333333)</f>
        <v>0.3333333333</v>
      </c>
      <c r="H276" s="16">
        <f>IFERROR(__xludf.DUMMYFUNCTION("""COMPUTED_VALUE"""),0.222222222222222)</f>
        <v>0.2222222222</v>
      </c>
      <c r="I276" s="16">
        <f>IFERROR(__xludf.DUMMYFUNCTION("""COMPUTED_VALUE"""),0.222222222222222)</f>
        <v>0.2222222222</v>
      </c>
      <c r="J276" s="16">
        <f>IFERROR(__xludf.DUMMYFUNCTION("""COMPUTED_VALUE"""),0.222222222222222)</f>
        <v>0.2222222222</v>
      </c>
      <c r="K276" s="16">
        <f>IFERROR(__xludf.DUMMYFUNCTION("""COMPUTED_VALUE"""),0.222222222222222)</f>
        <v>0.2222222222</v>
      </c>
      <c r="L276" s="16">
        <f>IFERROR(__xludf.DUMMYFUNCTION("""COMPUTED_VALUE"""),0.222222222222222)</f>
        <v>0.2222222222</v>
      </c>
      <c r="M276" s="16">
        <f>IFERROR(__xludf.DUMMYFUNCTION("""COMPUTED_VALUE"""),0.222222222222222)</f>
        <v>0.2222222222</v>
      </c>
      <c r="N276" s="16">
        <f>IFERROR(__xludf.DUMMYFUNCTION("""COMPUTED_VALUE"""),0.222222222222222)</f>
        <v>0.2222222222</v>
      </c>
      <c r="O276" s="16">
        <f>IFERROR(__xludf.DUMMYFUNCTION("""COMPUTED_VALUE"""),0.0)</f>
        <v>0</v>
      </c>
      <c r="P276" s="16">
        <f>IFERROR(__xludf.DUMMYFUNCTION("""COMPUTED_VALUE"""),0.111111111111111)</f>
        <v>0.1111111111</v>
      </c>
      <c r="Q276" s="16">
        <f>IFERROR(__xludf.DUMMYFUNCTION("""COMPUTED_VALUE"""),0.125)</f>
        <v>0.125</v>
      </c>
      <c r="R276" s="16">
        <f>IFERROR(__xludf.DUMMYFUNCTION("""COMPUTED_VALUE"""),0.0)</f>
        <v>0</v>
      </c>
      <c r="S276" s="16">
        <f>IFERROR(__xludf.DUMMYFUNCTION("""COMPUTED_VALUE"""),0.0)</f>
        <v>0</v>
      </c>
      <c r="T276" s="16">
        <f>IFERROR(__xludf.DUMMYFUNCTION("""COMPUTED_VALUE"""),0.0)</f>
        <v>0</v>
      </c>
      <c r="U276" s="16">
        <f>IFERROR(__xludf.DUMMYFUNCTION("""COMPUTED_VALUE"""),0.0)</f>
        <v>0</v>
      </c>
      <c r="V276" s="16">
        <f>IFERROR(__xludf.DUMMYFUNCTION("""COMPUTED_VALUE"""),0.0)</f>
        <v>0</v>
      </c>
      <c r="W276" s="16">
        <f>IFERROR(__xludf.DUMMYFUNCTION("""COMPUTED_VALUE"""),0.0)</f>
        <v>0</v>
      </c>
      <c r="X276" s="16">
        <f>IFERROR(__xludf.DUMMYFUNCTION("""COMPUTED_VALUE"""),0.0)</f>
        <v>0</v>
      </c>
      <c r="Y276" s="16">
        <f>IFERROR(__xludf.DUMMYFUNCTION("""COMPUTED_VALUE"""),0.0)</f>
        <v>0</v>
      </c>
      <c r="Z276" s="16">
        <f>IFERROR(__xludf.DUMMYFUNCTION("""COMPUTED_VALUE"""),0.0)</f>
        <v>0</v>
      </c>
      <c r="AA276" s="16">
        <f>IFERROR(__xludf.DUMMYFUNCTION("""COMPUTED_VALUE"""),0.0)</f>
        <v>0</v>
      </c>
      <c r="AB276" s="16">
        <f>IFERROR(__xludf.DUMMYFUNCTION("""COMPUTED_VALUE"""),0.0)</f>
        <v>0</v>
      </c>
      <c r="AC276" s="16">
        <f>IFERROR(__xludf.DUMMYFUNCTION("""COMPUTED_VALUE"""),0.0)</f>
        <v>0</v>
      </c>
      <c r="AD276" s="16">
        <f>IFERROR(__xludf.DUMMYFUNCTION("""COMPUTED_VALUE"""),0.0)</f>
        <v>0</v>
      </c>
      <c r="AE276" s="16">
        <f>IFERROR(__xludf.DUMMYFUNCTION("""COMPUTED_VALUE"""),0.0)</f>
        <v>0</v>
      </c>
      <c r="AF276" s="16">
        <f>IFERROR(__xludf.DUMMYFUNCTION("""COMPUTED_VALUE"""),0.0)</f>
        <v>0</v>
      </c>
      <c r="AG276" s="16">
        <f>IFERROR(__xludf.DUMMYFUNCTION("""COMPUTED_VALUE"""),0.0)</f>
        <v>0</v>
      </c>
      <c r="AH276" s="16">
        <f>IFERROR(__xludf.DUMMYFUNCTION("""COMPUTED_VALUE"""),0.0)</f>
        <v>0</v>
      </c>
    </row>
    <row r="277">
      <c r="A277" s="16" t="str">
        <f>IFERROR(__xludf.DUMMYFUNCTION("""COMPUTED_VALUE"""),"f55e0806430f9f979b0bfc889bab608a05d8bb5b")</f>
        <v>f55e0806430f9f979b0bfc889bab608a05d8bb5b</v>
      </c>
      <c r="B277" s="16" t="str">
        <f>IFERROR(__xludf.DUMMYFUNCTION("""COMPUTED_VALUE"""),"Light of a New World")</f>
        <v>Light of a New World</v>
      </c>
      <c r="C277" s="16" t="str">
        <f>IFERROR(__xludf.DUMMYFUNCTION("""COMPUTED_VALUE"""),"Sci-Fi")</f>
        <v>Sci-Fi</v>
      </c>
      <c r="D277" s="16">
        <f>IFERROR(__xludf.DUMMYFUNCTION("""COMPUTED_VALUE"""),290.0)</f>
        <v>290</v>
      </c>
      <c r="E277" s="16">
        <f>IFERROR(__xludf.DUMMYFUNCTION("""COMPUTED_VALUE"""),0.989655172413793)</f>
        <v>0.9896551724</v>
      </c>
      <c r="F277" s="16">
        <f>IFERROR(__xludf.DUMMYFUNCTION("""COMPUTED_VALUE"""),0.406896551724137)</f>
        <v>0.4068965517</v>
      </c>
      <c r="G277" s="16">
        <f>IFERROR(__xludf.DUMMYFUNCTION("""COMPUTED_VALUE"""),0.324137931034482)</f>
        <v>0.324137931</v>
      </c>
      <c r="H277" s="16">
        <f>IFERROR(__xludf.DUMMYFUNCTION("""COMPUTED_VALUE"""),0.258620689655172)</f>
        <v>0.2586206897</v>
      </c>
      <c r="I277" s="16">
        <f>IFERROR(__xludf.DUMMYFUNCTION("""COMPUTED_VALUE"""),0.186206896551724)</f>
        <v>0.1862068966</v>
      </c>
      <c r="J277" s="16">
        <f>IFERROR(__xludf.DUMMYFUNCTION("""COMPUTED_VALUE"""),0.166089965397923)</f>
        <v>0.1660899654</v>
      </c>
      <c r="K277" s="16">
        <f>IFERROR(__xludf.DUMMYFUNCTION("""COMPUTED_VALUE"""),0.143356643356643)</f>
        <v>0.1433566434</v>
      </c>
      <c r="L277" s="16">
        <f>IFERROR(__xludf.DUMMYFUNCTION("""COMPUTED_VALUE"""),0.109154929577464)</f>
        <v>0.1091549296</v>
      </c>
      <c r="M277" s="16">
        <f>IFERROR(__xludf.DUMMYFUNCTION("""COMPUTED_VALUE"""),0.0821428571428571)</f>
        <v>0.08214285714</v>
      </c>
      <c r="N277" s="16">
        <f>IFERROR(__xludf.DUMMYFUNCTION("""COMPUTED_VALUE"""),0.075812274368231)</f>
        <v>0.07581227437</v>
      </c>
      <c r="O277" s="16">
        <f>IFERROR(__xludf.DUMMYFUNCTION("""COMPUTED_VALUE"""),0.0581818181818181)</f>
        <v>0.05818181818</v>
      </c>
      <c r="P277" s="16">
        <f>IFERROR(__xludf.DUMMYFUNCTION("""COMPUTED_VALUE"""),0.044280442804428)</f>
        <v>0.0442804428</v>
      </c>
      <c r="Q277" s="16">
        <f>IFERROR(__xludf.DUMMYFUNCTION("""COMPUTED_VALUE"""),0.0185185185185185)</f>
        <v>0.01851851852</v>
      </c>
      <c r="R277" s="16">
        <f>IFERROR(__xludf.DUMMYFUNCTION("""COMPUTED_VALUE"""),0.0112359550561797)</f>
        <v>0.01123595506</v>
      </c>
      <c r="S277" s="16">
        <f>IFERROR(__xludf.DUMMYFUNCTION("""COMPUTED_VALUE"""),0.0078125)</f>
        <v>0.0078125</v>
      </c>
      <c r="T277" s="16">
        <f>IFERROR(__xludf.DUMMYFUNCTION("""COMPUTED_VALUE"""),0.00806451612903225)</f>
        <v>0.008064516129</v>
      </c>
      <c r="U277" s="16">
        <f>IFERROR(__xludf.DUMMYFUNCTION("""COMPUTED_VALUE"""),0.00819672131147541)</f>
        <v>0.008196721311</v>
      </c>
      <c r="V277" s="16">
        <f>IFERROR(__xludf.DUMMYFUNCTION("""COMPUTED_VALUE"""),0.00854700854700854)</f>
        <v>0.008547008547</v>
      </c>
      <c r="W277" s="16">
        <f>IFERROR(__xludf.DUMMYFUNCTION("""COMPUTED_VALUE"""),0.0119047619047619)</f>
        <v>0.0119047619</v>
      </c>
      <c r="X277" s="16">
        <f>IFERROR(__xludf.DUMMYFUNCTION("""COMPUTED_VALUE"""),0.0)</f>
        <v>0</v>
      </c>
      <c r="Y277" s="16">
        <f>IFERROR(__xludf.DUMMYFUNCTION("""COMPUTED_VALUE"""),0.0)</f>
        <v>0</v>
      </c>
      <c r="Z277" s="16">
        <f>IFERROR(__xludf.DUMMYFUNCTION("""COMPUTED_VALUE"""),0.0)</f>
        <v>0</v>
      </c>
      <c r="AA277" s="16">
        <f>IFERROR(__xludf.DUMMYFUNCTION("""COMPUTED_VALUE"""),0.0)</f>
        <v>0</v>
      </c>
      <c r="AB277" s="16">
        <f>IFERROR(__xludf.DUMMYFUNCTION("""COMPUTED_VALUE"""),0.0)</f>
        <v>0</v>
      </c>
      <c r="AC277" s="16">
        <f>IFERROR(__xludf.DUMMYFUNCTION("""COMPUTED_VALUE"""),0.0)</f>
        <v>0</v>
      </c>
      <c r="AD277" s="16">
        <f>IFERROR(__xludf.DUMMYFUNCTION("""COMPUTED_VALUE"""),0.0)</f>
        <v>0</v>
      </c>
      <c r="AE277" s="16">
        <f>IFERROR(__xludf.DUMMYFUNCTION("""COMPUTED_VALUE"""),0.0)</f>
        <v>0</v>
      </c>
      <c r="AF277" s="16">
        <f>IFERROR(__xludf.DUMMYFUNCTION("""COMPUTED_VALUE"""),0.0)</f>
        <v>0</v>
      </c>
      <c r="AG277" s="16">
        <f>IFERROR(__xludf.DUMMYFUNCTION("""COMPUTED_VALUE"""),0.0)</f>
        <v>0</v>
      </c>
      <c r="AH277" s="16">
        <f>IFERROR(__xludf.DUMMYFUNCTION("""COMPUTED_VALUE"""),0.0)</f>
        <v>0</v>
      </c>
    </row>
    <row r="278">
      <c r="A278" s="16" t="str">
        <f>IFERROR(__xludf.DUMMYFUNCTION("""COMPUTED_VALUE"""),"f55f204dc3de9a654227cb01dab85c260fd98fde")</f>
        <v>f55f204dc3de9a654227cb01dab85c260fd98fde</v>
      </c>
      <c r="B278" s="16" t="str">
        <f>IFERROR(__xludf.DUMMYFUNCTION("""COMPUTED_VALUE"""),"Married to His Uncle")</f>
        <v>Married to His Uncle</v>
      </c>
      <c r="C278" s="16" t="str">
        <f>IFERROR(__xludf.DUMMYFUNCTION("""COMPUTED_VALUE"""),"Romance")</f>
        <v>Romance</v>
      </c>
      <c r="D278" s="16">
        <f>IFERROR(__xludf.DUMMYFUNCTION("""COMPUTED_VALUE"""),1.0)</f>
        <v>1</v>
      </c>
      <c r="E278" s="16">
        <f>IFERROR(__xludf.DUMMYFUNCTION("""COMPUTED_VALUE"""),0.0)</f>
        <v>0</v>
      </c>
      <c r="F278" s="16">
        <f>IFERROR(__xludf.DUMMYFUNCTION("""COMPUTED_VALUE"""),0.0)</f>
        <v>0</v>
      </c>
      <c r="G278" s="16">
        <f>IFERROR(__xludf.DUMMYFUNCTION("""COMPUTED_VALUE"""),0.0)</f>
        <v>0</v>
      </c>
      <c r="H278" s="16">
        <f>IFERROR(__xludf.DUMMYFUNCTION("""COMPUTED_VALUE"""),0.0)</f>
        <v>0</v>
      </c>
      <c r="I278" s="16">
        <f>IFERROR(__xludf.DUMMYFUNCTION("""COMPUTED_VALUE"""),1.0)</f>
        <v>1</v>
      </c>
      <c r="J278" s="16">
        <f>IFERROR(__xludf.DUMMYFUNCTION("""COMPUTED_VALUE"""),1.0)</f>
        <v>1</v>
      </c>
      <c r="K278" s="16">
        <f>IFERROR(__xludf.DUMMYFUNCTION("""COMPUTED_VALUE"""),1.0)</f>
        <v>1</v>
      </c>
      <c r="L278" s="16">
        <f>IFERROR(__xludf.DUMMYFUNCTION("""COMPUTED_VALUE"""),1.0)</f>
        <v>1</v>
      </c>
      <c r="M278" s="16">
        <f>IFERROR(__xludf.DUMMYFUNCTION("""COMPUTED_VALUE"""),1.0)</f>
        <v>1</v>
      </c>
      <c r="N278" s="16">
        <f>IFERROR(__xludf.DUMMYFUNCTION("""COMPUTED_VALUE"""),0.0)</f>
        <v>0</v>
      </c>
      <c r="O278" s="16">
        <f>IFERROR(__xludf.DUMMYFUNCTION("""COMPUTED_VALUE"""),0.0)</f>
        <v>0</v>
      </c>
      <c r="P278" s="16">
        <f>IFERROR(__xludf.DUMMYFUNCTION("""COMPUTED_VALUE"""),0.0)</f>
        <v>0</v>
      </c>
      <c r="Q278" s="16">
        <f>IFERROR(__xludf.DUMMYFUNCTION("""COMPUTED_VALUE"""),0.0)</f>
        <v>0</v>
      </c>
      <c r="R278" s="16">
        <f>IFERROR(__xludf.DUMMYFUNCTION("""COMPUTED_VALUE"""),0.0)</f>
        <v>0</v>
      </c>
      <c r="S278" s="16">
        <f>IFERROR(__xludf.DUMMYFUNCTION("""COMPUTED_VALUE"""),0.0)</f>
        <v>0</v>
      </c>
      <c r="T278" s="16">
        <f>IFERROR(__xludf.DUMMYFUNCTION("""COMPUTED_VALUE"""),0.0)</f>
        <v>0</v>
      </c>
      <c r="U278" s="16">
        <f>IFERROR(__xludf.DUMMYFUNCTION("""COMPUTED_VALUE"""),0.0)</f>
        <v>0</v>
      </c>
      <c r="V278" s="16">
        <f>IFERROR(__xludf.DUMMYFUNCTION("""COMPUTED_VALUE"""),0.0)</f>
        <v>0</v>
      </c>
      <c r="W278" s="16">
        <f>IFERROR(__xludf.DUMMYFUNCTION("""COMPUTED_VALUE"""),0.0)</f>
        <v>0</v>
      </c>
      <c r="X278" s="16">
        <f>IFERROR(__xludf.DUMMYFUNCTION("""COMPUTED_VALUE"""),0.0)</f>
        <v>0</v>
      </c>
      <c r="Y278" s="16">
        <f>IFERROR(__xludf.DUMMYFUNCTION("""COMPUTED_VALUE"""),0.0)</f>
        <v>0</v>
      </c>
      <c r="Z278" s="16">
        <f>IFERROR(__xludf.DUMMYFUNCTION("""COMPUTED_VALUE"""),0.0)</f>
        <v>0</v>
      </c>
      <c r="AA278" s="16">
        <f>IFERROR(__xludf.DUMMYFUNCTION("""COMPUTED_VALUE"""),0.0)</f>
        <v>0</v>
      </c>
      <c r="AB278" s="16">
        <f>IFERROR(__xludf.DUMMYFUNCTION("""COMPUTED_VALUE"""),0.0)</f>
        <v>0</v>
      </c>
      <c r="AC278" s="16">
        <f>IFERROR(__xludf.DUMMYFUNCTION("""COMPUTED_VALUE"""),0.0)</f>
        <v>0</v>
      </c>
      <c r="AD278" s="16">
        <f>IFERROR(__xludf.DUMMYFUNCTION("""COMPUTED_VALUE"""),0.0)</f>
        <v>0</v>
      </c>
      <c r="AE278" s="16">
        <f>IFERROR(__xludf.DUMMYFUNCTION("""COMPUTED_VALUE"""),0.0)</f>
        <v>0</v>
      </c>
      <c r="AF278" s="16">
        <f>IFERROR(__xludf.DUMMYFUNCTION("""COMPUTED_VALUE"""),0.0)</f>
        <v>0</v>
      </c>
      <c r="AG278" s="16">
        <f>IFERROR(__xludf.DUMMYFUNCTION("""COMPUTED_VALUE"""),0.0)</f>
        <v>0</v>
      </c>
      <c r="AH278" s="16">
        <f>IFERROR(__xludf.DUMMYFUNCTION("""COMPUTED_VALUE"""),0.0)</f>
        <v>0</v>
      </c>
    </row>
    <row r="279">
      <c r="A279" s="16" t="str">
        <f>IFERROR(__xludf.DUMMYFUNCTION("""COMPUTED_VALUE"""),"f692474d2ac3ef329a93f72cfedf44bceaced5f1")</f>
        <v>f692474d2ac3ef329a93f72cfedf44bceaced5f1</v>
      </c>
      <c r="B279" s="16" t="str">
        <f>IFERROR(__xludf.DUMMYFUNCTION("""COMPUTED_VALUE"""),"Kingsley Reigns")</f>
        <v>Kingsley Reigns</v>
      </c>
      <c r="C279" s="16" t="str">
        <f>IFERROR(__xludf.DUMMYFUNCTION("""COMPUTED_VALUE"""),"Drama")</f>
        <v>Drama</v>
      </c>
      <c r="D279" s="16">
        <f>IFERROR(__xludf.DUMMYFUNCTION("""COMPUTED_VALUE"""),3449.0)</f>
        <v>3449</v>
      </c>
      <c r="E279" s="16">
        <f>IFERROR(__xludf.DUMMYFUNCTION("""COMPUTED_VALUE"""),0.935053638735865)</f>
        <v>0.9350536387</v>
      </c>
      <c r="F279" s="16">
        <f>IFERROR(__xludf.DUMMYFUNCTION("""COMPUTED_VALUE"""),0.648883734415772)</f>
        <v>0.6488837344</v>
      </c>
      <c r="G279" s="16">
        <f>IFERROR(__xludf.DUMMYFUNCTION("""COMPUTED_VALUE"""),0.608292258625688)</f>
        <v>0.6082922586</v>
      </c>
      <c r="H279" s="16">
        <f>IFERROR(__xludf.DUMMYFUNCTION("""COMPUTED_VALUE"""),0.582487677587706)</f>
        <v>0.5824876776</v>
      </c>
      <c r="I279" s="16">
        <f>IFERROR(__xludf.DUMMYFUNCTION("""COMPUTED_VALUE"""),0.568570600173963)</f>
        <v>0.5685706002</v>
      </c>
      <c r="J279" s="16">
        <f>IFERROR(__xludf.DUMMYFUNCTION("""COMPUTED_VALUE"""),0.551044083526682)</f>
        <v>0.5510440835</v>
      </c>
      <c r="K279" s="16">
        <f>IFERROR(__xludf.DUMMYFUNCTION("""COMPUTED_VALUE"""),0.534377719756309)</f>
        <v>0.5343777198</v>
      </c>
      <c r="L279" s="16">
        <f>IFERROR(__xludf.DUMMYFUNCTION("""COMPUTED_VALUE"""),0.520452567449956)</f>
        <v>0.5204525674</v>
      </c>
      <c r="M279" s="16">
        <f>IFERROR(__xludf.DUMMYFUNCTION("""COMPUTED_VALUE"""),0.511317469529889)</f>
        <v>0.5113174695</v>
      </c>
      <c r="N279" s="16">
        <f>IFERROR(__xludf.DUMMYFUNCTION("""COMPUTED_VALUE"""),0.506678281068525)</f>
        <v>0.5066782811</v>
      </c>
      <c r="O279" s="16">
        <f>IFERROR(__xludf.DUMMYFUNCTION("""COMPUTED_VALUE"""),0.472980825101685)</f>
        <v>0.4729808251</v>
      </c>
      <c r="P279" s="16">
        <f>IFERROR(__xludf.DUMMYFUNCTION("""COMPUTED_VALUE"""),0.402854646082143)</f>
        <v>0.4028546461</v>
      </c>
      <c r="Q279" s="16">
        <f>IFERROR(__xludf.DUMMYFUNCTION("""COMPUTED_VALUE"""),0.322251385243511)</f>
        <v>0.3222513852</v>
      </c>
      <c r="R279" s="16">
        <f>IFERROR(__xludf.DUMMYFUNCTION("""COMPUTED_VALUE"""),0.277453271028037)</f>
        <v>0.277453271</v>
      </c>
      <c r="S279" s="16">
        <f>IFERROR(__xludf.DUMMYFUNCTION("""COMPUTED_VALUE"""),0.255762551310388)</f>
        <v>0.2557625513</v>
      </c>
      <c r="T279" s="16">
        <f>IFERROR(__xludf.DUMMYFUNCTION("""COMPUTED_VALUE"""),0.226606538895152)</f>
        <v>0.2266065389</v>
      </c>
      <c r="U279" s="16">
        <f>IFERROR(__xludf.DUMMYFUNCTION("""COMPUTED_VALUE"""),0.206804281345565)</f>
        <v>0.2068042813</v>
      </c>
      <c r="V279" s="16">
        <f>IFERROR(__xludf.DUMMYFUNCTION("""COMPUTED_VALUE"""),0.185410334346504)</f>
        <v>0.1854103343</v>
      </c>
      <c r="W279" s="16">
        <f>IFERROR(__xludf.DUMMYFUNCTION("""COMPUTED_VALUE"""),0.155487804878048)</f>
        <v>0.1554878049</v>
      </c>
      <c r="X279" s="16">
        <f>IFERROR(__xludf.DUMMYFUNCTION("""COMPUTED_VALUE"""),0.121024049650892)</f>
        <v>0.1210240497</v>
      </c>
      <c r="Y279" s="16">
        <f>IFERROR(__xludf.DUMMYFUNCTION("""COMPUTED_VALUE"""),0.0994718309859155)</f>
        <v>0.09947183099</v>
      </c>
      <c r="Z279" s="16">
        <f>IFERROR(__xludf.DUMMYFUNCTION("""COMPUTED_VALUE"""),0.0995975855130784)</f>
        <v>0.09959758551</v>
      </c>
      <c r="AA279" s="16">
        <f>IFERROR(__xludf.DUMMYFUNCTION("""COMPUTED_VALUE"""),0.0837264150943396)</f>
        <v>0.08372641509</v>
      </c>
      <c r="AB279" s="16">
        <f>IFERROR(__xludf.DUMMYFUNCTION("""COMPUTED_VALUE"""),0.0730994152046783)</f>
        <v>0.0730994152</v>
      </c>
      <c r="AC279" s="16">
        <f>IFERROR(__xludf.DUMMYFUNCTION("""COMPUTED_VALUE"""),0.0547945205479452)</f>
        <v>0.05479452055</v>
      </c>
      <c r="AD279" s="16">
        <f>IFERROR(__xludf.DUMMYFUNCTION("""COMPUTED_VALUE"""),0.0498442367601246)</f>
        <v>0.04984423676</v>
      </c>
      <c r="AE279" s="16">
        <f>IFERROR(__xludf.DUMMYFUNCTION("""COMPUTED_VALUE"""),0.0355871886120996)</f>
        <v>0.03558718861</v>
      </c>
      <c r="AF279" s="16">
        <f>IFERROR(__xludf.DUMMYFUNCTION("""COMPUTED_VALUE"""),0.0318725099601593)</f>
        <v>0.03187250996</v>
      </c>
      <c r="AG279" s="16">
        <f>IFERROR(__xludf.DUMMYFUNCTION("""COMPUTED_VALUE"""),0.0175438596491228)</f>
        <v>0.01754385965</v>
      </c>
      <c r="AH279" s="16">
        <f>IFERROR(__xludf.DUMMYFUNCTION("""COMPUTED_VALUE"""),0.017094017094017)</f>
        <v>0.01709401709</v>
      </c>
    </row>
    <row r="280">
      <c r="A280" s="16" t="str">
        <f>IFERROR(__xludf.DUMMYFUNCTION("""COMPUTED_VALUE"""),"f6ea1ee253b53b8124a4f7f92ae0a9ef960a044a")</f>
        <v>f6ea1ee253b53b8124a4f7f92ae0a9ef960a044a</v>
      </c>
      <c r="B280" s="16" t="str">
        <f>IFERROR(__xludf.DUMMYFUNCTION("""COMPUTED_VALUE"""),"Regret of the Ceo")</f>
        <v>Regret of the Ceo</v>
      </c>
      <c r="C280" s="16" t="str">
        <f>IFERROR(__xludf.DUMMYFUNCTION("""COMPUTED_VALUE"""),"Romance")</f>
        <v>Romance</v>
      </c>
      <c r="D280" s="16">
        <f>IFERROR(__xludf.DUMMYFUNCTION("""COMPUTED_VALUE"""),58.0)</f>
        <v>58</v>
      </c>
      <c r="E280" s="16">
        <f>IFERROR(__xludf.DUMMYFUNCTION("""COMPUTED_VALUE"""),0.93103448275862)</f>
        <v>0.9310344828</v>
      </c>
      <c r="F280" s="16">
        <f>IFERROR(__xludf.DUMMYFUNCTION("""COMPUTED_VALUE"""),0.655172413793103)</f>
        <v>0.6551724138</v>
      </c>
      <c r="G280" s="16">
        <f>IFERROR(__xludf.DUMMYFUNCTION("""COMPUTED_VALUE"""),0.620689655172413)</f>
        <v>0.6206896552</v>
      </c>
      <c r="H280" s="16">
        <f>IFERROR(__xludf.DUMMYFUNCTION("""COMPUTED_VALUE"""),0.5)</f>
        <v>0.5</v>
      </c>
      <c r="I280" s="16">
        <f>IFERROR(__xludf.DUMMYFUNCTION("""COMPUTED_VALUE"""),0.448275862068965)</f>
        <v>0.4482758621</v>
      </c>
      <c r="J280" s="16">
        <f>IFERROR(__xludf.DUMMYFUNCTION("""COMPUTED_VALUE"""),0.441860465116279)</f>
        <v>0.4418604651</v>
      </c>
      <c r="K280" s="16">
        <f>IFERROR(__xludf.DUMMYFUNCTION("""COMPUTED_VALUE"""),0.324324324324324)</f>
        <v>0.3243243243</v>
      </c>
      <c r="L280" s="16">
        <f>IFERROR(__xludf.DUMMYFUNCTION("""COMPUTED_VALUE"""),0.28125)</f>
        <v>0.28125</v>
      </c>
      <c r="M280" s="16">
        <f>IFERROR(__xludf.DUMMYFUNCTION("""COMPUTED_VALUE"""),0.21875)</f>
        <v>0.21875</v>
      </c>
      <c r="N280" s="16">
        <f>IFERROR(__xludf.DUMMYFUNCTION("""COMPUTED_VALUE"""),0.25)</f>
        <v>0.25</v>
      </c>
      <c r="O280" s="16">
        <f>IFERROR(__xludf.DUMMYFUNCTION("""COMPUTED_VALUE"""),0.161290322580645)</f>
        <v>0.1612903226</v>
      </c>
      <c r="P280" s="16">
        <f>IFERROR(__xludf.DUMMYFUNCTION("""COMPUTED_VALUE"""),0.161290322580645)</f>
        <v>0.1612903226</v>
      </c>
      <c r="Q280" s="16">
        <f>IFERROR(__xludf.DUMMYFUNCTION("""COMPUTED_VALUE"""),0.111111111111111)</f>
        <v>0.1111111111</v>
      </c>
      <c r="R280" s="16">
        <f>IFERROR(__xludf.DUMMYFUNCTION("""COMPUTED_VALUE"""),0.0555555555555555)</f>
        <v>0.05555555556</v>
      </c>
      <c r="S280" s="16">
        <f>IFERROR(__xludf.DUMMYFUNCTION("""COMPUTED_VALUE"""),0.0666666666666666)</f>
        <v>0.06666666667</v>
      </c>
      <c r="T280" s="16">
        <f>IFERROR(__xludf.DUMMYFUNCTION("""COMPUTED_VALUE"""),0.0)</f>
        <v>0</v>
      </c>
      <c r="U280" s="16">
        <f>IFERROR(__xludf.DUMMYFUNCTION("""COMPUTED_VALUE"""),0.0)</f>
        <v>0</v>
      </c>
      <c r="V280" s="16">
        <f>IFERROR(__xludf.DUMMYFUNCTION("""COMPUTED_VALUE"""),0.0)</f>
        <v>0</v>
      </c>
      <c r="W280" s="16">
        <f>IFERROR(__xludf.DUMMYFUNCTION("""COMPUTED_VALUE"""),0.0)</f>
        <v>0</v>
      </c>
      <c r="X280" s="16">
        <f>IFERROR(__xludf.DUMMYFUNCTION("""COMPUTED_VALUE"""),0.0)</f>
        <v>0</v>
      </c>
      <c r="Y280" s="16">
        <f>IFERROR(__xludf.DUMMYFUNCTION("""COMPUTED_VALUE"""),0.0)</f>
        <v>0</v>
      </c>
      <c r="Z280" s="16">
        <f>IFERROR(__xludf.DUMMYFUNCTION("""COMPUTED_VALUE"""),0.0)</f>
        <v>0</v>
      </c>
      <c r="AA280" s="16">
        <f>IFERROR(__xludf.DUMMYFUNCTION("""COMPUTED_VALUE"""),0.0)</f>
        <v>0</v>
      </c>
      <c r="AB280" s="16">
        <f>IFERROR(__xludf.DUMMYFUNCTION("""COMPUTED_VALUE"""),0.0)</f>
        <v>0</v>
      </c>
      <c r="AC280" s="16">
        <f>IFERROR(__xludf.DUMMYFUNCTION("""COMPUTED_VALUE"""),0.0)</f>
        <v>0</v>
      </c>
      <c r="AD280" s="16">
        <f>IFERROR(__xludf.DUMMYFUNCTION("""COMPUTED_VALUE"""),0.0)</f>
        <v>0</v>
      </c>
      <c r="AE280" s="16">
        <f>IFERROR(__xludf.DUMMYFUNCTION("""COMPUTED_VALUE"""),0.0)</f>
        <v>0</v>
      </c>
      <c r="AF280" s="16">
        <f>IFERROR(__xludf.DUMMYFUNCTION("""COMPUTED_VALUE"""),0.0)</f>
        <v>0</v>
      </c>
      <c r="AG280" s="16">
        <f>IFERROR(__xludf.DUMMYFUNCTION("""COMPUTED_VALUE"""),0.0)</f>
        <v>0</v>
      </c>
      <c r="AH280" s="16">
        <f>IFERROR(__xludf.DUMMYFUNCTION("""COMPUTED_VALUE"""),0.0)</f>
        <v>0</v>
      </c>
    </row>
    <row r="281">
      <c r="A281" s="16" t="str">
        <f>IFERROR(__xludf.DUMMYFUNCTION("""COMPUTED_VALUE"""),"fb311a6dd8cd59a51bf680323116bcc5d2798a8e")</f>
        <v>fb311a6dd8cd59a51bf680323116bcc5d2798a8e</v>
      </c>
      <c r="B281" s="16" t="str">
        <f>IFERROR(__xludf.DUMMYFUNCTION("""COMPUTED_VALUE"""),"The Beast Tamer's Legacy")</f>
        <v>The Beast Tamer's Legacy</v>
      </c>
      <c r="C281" s="16" t="str">
        <f>IFERROR(__xludf.DUMMYFUNCTION("""COMPUTED_VALUE"""),"System and Superpower")</f>
        <v>System and Superpower</v>
      </c>
      <c r="D281" s="16">
        <f>IFERROR(__xludf.DUMMYFUNCTION("""COMPUTED_VALUE"""),371.0)</f>
        <v>371</v>
      </c>
      <c r="E281" s="16">
        <f>IFERROR(__xludf.DUMMYFUNCTION("""COMPUTED_VALUE"""),0.97843665768194)</f>
        <v>0.9784366577</v>
      </c>
      <c r="F281" s="16">
        <f>IFERROR(__xludf.DUMMYFUNCTION("""COMPUTED_VALUE"""),0.611859838274932)</f>
        <v>0.6118598383</v>
      </c>
      <c r="G281" s="16">
        <f>IFERROR(__xludf.DUMMYFUNCTION("""COMPUTED_VALUE"""),0.554054054054054)</f>
        <v>0.5540540541</v>
      </c>
      <c r="H281" s="16">
        <f>IFERROR(__xludf.DUMMYFUNCTION("""COMPUTED_VALUE"""),0.475675675675675)</f>
        <v>0.4756756757</v>
      </c>
      <c r="I281" s="16">
        <f>IFERROR(__xludf.DUMMYFUNCTION("""COMPUTED_VALUE"""),0.432432432432432)</f>
        <v>0.4324324324</v>
      </c>
      <c r="J281" s="16">
        <f>IFERROR(__xludf.DUMMYFUNCTION("""COMPUTED_VALUE"""),0.395095367847411)</f>
        <v>0.3950953678</v>
      </c>
      <c r="K281" s="16">
        <f>IFERROR(__xludf.DUMMYFUNCTION("""COMPUTED_VALUE"""),0.357923497267759)</f>
        <v>0.3579234973</v>
      </c>
      <c r="L281" s="16">
        <f>IFERROR(__xludf.DUMMYFUNCTION("""COMPUTED_VALUE"""),0.324175824175824)</f>
        <v>0.3241758242</v>
      </c>
      <c r="M281" s="16">
        <f>IFERROR(__xludf.DUMMYFUNCTION("""COMPUTED_VALUE"""),0.318681318681318)</f>
        <v>0.3186813187</v>
      </c>
      <c r="N281" s="16">
        <f>IFERROR(__xludf.DUMMYFUNCTION("""COMPUTED_VALUE"""),0.299450549450549)</f>
        <v>0.2994505495</v>
      </c>
      <c r="O281" s="16">
        <f>IFERROR(__xludf.DUMMYFUNCTION("""COMPUTED_VALUE"""),0.225988700564971)</f>
        <v>0.2259887006</v>
      </c>
      <c r="P281" s="16">
        <f>IFERROR(__xludf.DUMMYFUNCTION("""COMPUTED_VALUE"""),0.177570093457943)</f>
        <v>0.1775700935</v>
      </c>
      <c r="Q281" s="16">
        <f>IFERROR(__xludf.DUMMYFUNCTION("""COMPUTED_VALUE"""),0.169675090252707)</f>
        <v>0.1696750903</v>
      </c>
      <c r="R281" s="16">
        <f>IFERROR(__xludf.DUMMYFUNCTION("""COMPUTED_VALUE"""),0.0)</f>
        <v>0</v>
      </c>
      <c r="S281" s="16">
        <f>IFERROR(__xludf.DUMMYFUNCTION("""COMPUTED_VALUE"""),0.0)</f>
        <v>0</v>
      </c>
      <c r="T281" s="16">
        <f>IFERROR(__xludf.DUMMYFUNCTION("""COMPUTED_VALUE"""),0.0)</f>
        <v>0</v>
      </c>
      <c r="U281" s="16">
        <f>IFERROR(__xludf.DUMMYFUNCTION("""COMPUTED_VALUE"""),0.0)</f>
        <v>0</v>
      </c>
      <c r="V281" s="16">
        <f>IFERROR(__xludf.DUMMYFUNCTION("""COMPUTED_VALUE"""),0.0)</f>
        <v>0</v>
      </c>
      <c r="W281" s="16">
        <f>IFERROR(__xludf.DUMMYFUNCTION("""COMPUTED_VALUE"""),0.0)</f>
        <v>0</v>
      </c>
      <c r="X281" s="16">
        <f>IFERROR(__xludf.DUMMYFUNCTION("""COMPUTED_VALUE"""),0.0)</f>
        <v>0</v>
      </c>
      <c r="Y281" s="16">
        <f>IFERROR(__xludf.DUMMYFUNCTION("""COMPUTED_VALUE"""),0.0)</f>
        <v>0</v>
      </c>
      <c r="Z281" s="16">
        <f>IFERROR(__xludf.DUMMYFUNCTION("""COMPUTED_VALUE"""),0.0)</f>
        <v>0</v>
      </c>
      <c r="AA281" s="16">
        <f>IFERROR(__xludf.DUMMYFUNCTION("""COMPUTED_VALUE"""),0.0)</f>
        <v>0</v>
      </c>
      <c r="AB281" s="16">
        <f>IFERROR(__xludf.DUMMYFUNCTION("""COMPUTED_VALUE"""),0.0)</f>
        <v>0</v>
      </c>
      <c r="AC281" s="16">
        <f>IFERROR(__xludf.DUMMYFUNCTION("""COMPUTED_VALUE"""),0.0)</f>
        <v>0</v>
      </c>
      <c r="AD281" s="16">
        <f>IFERROR(__xludf.DUMMYFUNCTION("""COMPUTED_VALUE"""),0.0)</f>
        <v>0</v>
      </c>
      <c r="AE281" s="16">
        <f>IFERROR(__xludf.DUMMYFUNCTION("""COMPUTED_VALUE"""),0.0)</f>
        <v>0</v>
      </c>
      <c r="AF281" s="16">
        <f>IFERROR(__xludf.DUMMYFUNCTION("""COMPUTED_VALUE"""),0.0)</f>
        <v>0</v>
      </c>
      <c r="AG281" s="16">
        <f>IFERROR(__xludf.DUMMYFUNCTION("""COMPUTED_VALUE"""),0.0)</f>
        <v>0</v>
      </c>
      <c r="AH281" s="16">
        <f>IFERROR(__xludf.DUMMYFUNCTION("""COMPUTED_VALUE"""),0.0)</f>
        <v>0</v>
      </c>
    </row>
    <row r="282">
      <c r="A282" s="16" t="str">
        <f>IFERROR(__xludf.DUMMYFUNCTION("""COMPUTED_VALUE"""),"fc599fbc708fd150dfe8d867a18a17fa8b439c84")</f>
        <v>fc599fbc708fd150dfe8d867a18a17fa8b439c84</v>
      </c>
      <c r="B282" s="16" t="str">
        <f>IFERROR(__xludf.DUMMYFUNCTION("""COMPUTED_VALUE"""),"Anything for Sunny")</f>
        <v>Anything for Sunny</v>
      </c>
      <c r="C282" s="16" t="str">
        <f>IFERROR(__xludf.DUMMYFUNCTION("""COMPUTED_VALUE"""),"Drama")</f>
        <v>Drama</v>
      </c>
      <c r="D282" s="16">
        <f>IFERROR(__xludf.DUMMYFUNCTION("""COMPUTED_VALUE"""),28.0)</f>
        <v>28</v>
      </c>
      <c r="E282" s="16">
        <f>IFERROR(__xludf.DUMMYFUNCTION("""COMPUTED_VALUE"""),1.0)</f>
        <v>1</v>
      </c>
      <c r="F282" s="16">
        <f>IFERROR(__xludf.DUMMYFUNCTION("""COMPUTED_VALUE"""),0.392857142857142)</f>
        <v>0.3928571429</v>
      </c>
      <c r="G282" s="16">
        <f>IFERROR(__xludf.DUMMYFUNCTION("""COMPUTED_VALUE"""),0.321428571428571)</f>
        <v>0.3214285714</v>
      </c>
      <c r="H282" s="16">
        <f>IFERROR(__xludf.DUMMYFUNCTION("""COMPUTED_VALUE"""),0.214285714285714)</f>
        <v>0.2142857143</v>
      </c>
      <c r="I282" s="16">
        <f>IFERROR(__xludf.DUMMYFUNCTION("""COMPUTED_VALUE"""),0.214285714285714)</f>
        <v>0.2142857143</v>
      </c>
      <c r="J282" s="16">
        <f>IFERROR(__xludf.DUMMYFUNCTION("""COMPUTED_VALUE"""),0.214285714285714)</f>
        <v>0.2142857143</v>
      </c>
      <c r="K282" s="16">
        <f>IFERROR(__xludf.DUMMYFUNCTION("""COMPUTED_VALUE"""),0.178571428571428)</f>
        <v>0.1785714286</v>
      </c>
      <c r="L282" s="16">
        <f>IFERROR(__xludf.DUMMYFUNCTION("""COMPUTED_VALUE"""),0.107142857142857)</f>
        <v>0.1071428571</v>
      </c>
      <c r="M282" s="16">
        <f>IFERROR(__xludf.DUMMYFUNCTION("""COMPUTED_VALUE"""),0.107142857142857)</f>
        <v>0.1071428571</v>
      </c>
      <c r="N282" s="16">
        <f>IFERROR(__xludf.DUMMYFUNCTION("""COMPUTED_VALUE"""),0.107142857142857)</f>
        <v>0.1071428571</v>
      </c>
      <c r="O282" s="16">
        <f>IFERROR(__xludf.DUMMYFUNCTION("""COMPUTED_VALUE"""),0.0769230769230769)</f>
        <v>0.07692307692</v>
      </c>
      <c r="P282" s="16">
        <f>IFERROR(__xludf.DUMMYFUNCTION("""COMPUTED_VALUE"""),0.0)</f>
        <v>0</v>
      </c>
      <c r="Q282" s="16">
        <f>IFERROR(__xludf.DUMMYFUNCTION("""COMPUTED_VALUE"""),0.0)</f>
        <v>0</v>
      </c>
      <c r="R282" s="16">
        <f>IFERROR(__xludf.DUMMYFUNCTION("""COMPUTED_VALUE"""),0.0)</f>
        <v>0</v>
      </c>
      <c r="S282" s="16">
        <f>IFERROR(__xludf.DUMMYFUNCTION("""COMPUTED_VALUE"""),0.0)</f>
        <v>0</v>
      </c>
      <c r="T282" s="16">
        <f>IFERROR(__xludf.DUMMYFUNCTION("""COMPUTED_VALUE"""),0.0)</f>
        <v>0</v>
      </c>
      <c r="U282" s="16">
        <f>IFERROR(__xludf.DUMMYFUNCTION("""COMPUTED_VALUE"""),0.0)</f>
        <v>0</v>
      </c>
      <c r="V282" s="16">
        <f>IFERROR(__xludf.DUMMYFUNCTION("""COMPUTED_VALUE"""),0.0)</f>
        <v>0</v>
      </c>
      <c r="W282" s="16">
        <f>IFERROR(__xludf.DUMMYFUNCTION("""COMPUTED_VALUE"""),0.0)</f>
        <v>0</v>
      </c>
      <c r="X282" s="16">
        <f>IFERROR(__xludf.DUMMYFUNCTION("""COMPUTED_VALUE"""),0.0)</f>
        <v>0</v>
      </c>
      <c r="Y282" s="16">
        <f>IFERROR(__xludf.DUMMYFUNCTION("""COMPUTED_VALUE"""),0.0)</f>
        <v>0</v>
      </c>
      <c r="Z282" s="16">
        <f>IFERROR(__xludf.DUMMYFUNCTION("""COMPUTED_VALUE"""),0.0)</f>
        <v>0</v>
      </c>
      <c r="AA282" s="16">
        <f>IFERROR(__xludf.DUMMYFUNCTION("""COMPUTED_VALUE"""),0.0)</f>
        <v>0</v>
      </c>
      <c r="AB282" s="16">
        <f>IFERROR(__xludf.DUMMYFUNCTION("""COMPUTED_VALUE"""),0.0)</f>
        <v>0</v>
      </c>
      <c r="AC282" s="16">
        <f>IFERROR(__xludf.DUMMYFUNCTION("""COMPUTED_VALUE"""),0.0)</f>
        <v>0</v>
      </c>
      <c r="AD282" s="16">
        <f>IFERROR(__xludf.DUMMYFUNCTION("""COMPUTED_VALUE"""),0.0)</f>
        <v>0</v>
      </c>
      <c r="AE282" s="16">
        <f>IFERROR(__xludf.DUMMYFUNCTION("""COMPUTED_VALUE"""),0.0)</f>
        <v>0</v>
      </c>
      <c r="AF282" s="16">
        <f>IFERROR(__xludf.DUMMYFUNCTION("""COMPUTED_VALUE"""),0.0)</f>
        <v>0</v>
      </c>
      <c r="AG282" s="16">
        <f>IFERROR(__xludf.DUMMYFUNCTION("""COMPUTED_VALUE"""),0.0)</f>
        <v>0</v>
      </c>
      <c r="AH282" s="16">
        <f>IFERROR(__xludf.DUMMYFUNCTION("""COMPUTED_VALUE"""),0.0)</f>
        <v>0</v>
      </c>
    </row>
    <row r="283">
      <c r="A283" s="16" t="str">
        <f>IFERROR(__xludf.DUMMYFUNCTION("""COMPUTED_VALUE"""),"fcddd3d14a0e1b1dab1bcb5c11d4aec683fdb598")</f>
        <v>fcddd3d14a0e1b1dab1bcb5c11d4aec683fdb598</v>
      </c>
      <c r="B283" s="16" t="str">
        <f>IFERROR(__xludf.DUMMYFUNCTION("""COMPUTED_VALUE"""),"Rise of Drake Callahan")</f>
        <v>Rise of Drake Callahan</v>
      </c>
      <c r="C283" s="16" t="str">
        <f>IFERROR(__xludf.DUMMYFUNCTION("""COMPUTED_VALUE"""),"Drama")</f>
        <v>Drama</v>
      </c>
      <c r="D283" s="16">
        <f>IFERROR(__xludf.DUMMYFUNCTION("""COMPUTED_VALUE"""),429.0)</f>
        <v>429</v>
      </c>
      <c r="E283" s="16">
        <f>IFERROR(__xludf.DUMMYFUNCTION("""COMPUTED_VALUE"""),0.981351981351981)</f>
        <v>0.9813519814</v>
      </c>
      <c r="F283" s="16">
        <f>IFERROR(__xludf.DUMMYFUNCTION("""COMPUTED_VALUE"""),0.657342657342657)</f>
        <v>0.6573426573</v>
      </c>
      <c r="G283" s="16">
        <f>IFERROR(__xludf.DUMMYFUNCTION("""COMPUTED_VALUE"""),0.589743589743589)</f>
        <v>0.5897435897</v>
      </c>
      <c r="H283" s="16">
        <f>IFERROR(__xludf.DUMMYFUNCTION("""COMPUTED_VALUE"""),0.574468085106383)</f>
        <v>0.5744680851</v>
      </c>
      <c r="I283" s="16">
        <f>IFERROR(__xludf.DUMMYFUNCTION("""COMPUTED_VALUE"""),0.529550827423167)</f>
        <v>0.5295508274</v>
      </c>
      <c r="J283" s="16">
        <f>IFERROR(__xludf.DUMMYFUNCTION("""COMPUTED_VALUE"""),0.518957345971564)</f>
        <v>0.518957346</v>
      </c>
      <c r="K283" s="16">
        <f>IFERROR(__xludf.DUMMYFUNCTION("""COMPUTED_VALUE"""),0.505938242280285)</f>
        <v>0.5059382423</v>
      </c>
      <c r="L283" s="16">
        <f>IFERROR(__xludf.DUMMYFUNCTION("""COMPUTED_VALUE"""),0.490430622009569)</f>
        <v>0.490430622</v>
      </c>
      <c r="M283" s="16">
        <f>IFERROR(__xludf.DUMMYFUNCTION("""COMPUTED_VALUE"""),0.48076923076923)</f>
        <v>0.4807692308</v>
      </c>
      <c r="N283" s="16">
        <f>IFERROR(__xludf.DUMMYFUNCTION("""COMPUTED_VALUE"""),0.437888198757763)</f>
        <v>0.4378881988</v>
      </c>
      <c r="O283" s="16">
        <f>IFERROR(__xludf.DUMMYFUNCTION("""COMPUTED_VALUE"""),0.395973154362416)</f>
        <v>0.3959731544</v>
      </c>
      <c r="P283" s="16">
        <f>IFERROR(__xludf.DUMMYFUNCTION("""COMPUTED_VALUE"""),0.3)</f>
        <v>0.3</v>
      </c>
      <c r="Q283" s="16">
        <f>IFERROR(__xludf.DUMMYFUNCTION("""COMPUTED_VALUE"""),0.0)</f>
        <v>0</v>
      </c>
      <c r="R283" s="16">
        <f>IFERROR(__xludf.DUMMYFUNCTION("""COMPUTED_VALUE"""),0.0)</f>
        <v>0</v>
      </c>
      <c r="S283" s="16">
        <f>IFERROR(__xludf.DUMMYFUNCTION("""COMPUTED_VALUE"""),0.0)</f>
        <v>0</v>
      </c>
      <c r="T283" s="16">
        <f>IFERROR(__xludf.DUMMYFUNCTION("""COMPUTED_VALUE"""),0.0)</f>
        <v>0</v>
      </c>
      <c r="U283" s="16">
        <f>IFERROR(__xludf.DUMMYFUNCTION("""COMPUTED_VALUE"""),0.0)</f>
        <v>0</v>
      </c>
      <c r="V283" s="16">
        <f>IFERROR(__xludf.DUMMYFUNCTION("""COMPUTED_VALUE"""),0.0)</f>
        <v>0</v>
      </c>
      <c r="W283" s="16">
        <f>IFERROR(__xludf.DUMMYFUNCTION("""COMPUTED_VALUE"""),0.0)</f>
        <v>0</v>
      </c>
      <c r="X283" s="16">
        <f>IFERROR(__xludf.DUMMYFUNCTION("""COMPUTED_VALUE"""),0.0)</f>
        <v>0</v>
      </c>
      <c r="Y283" s="16">
        <f>IFERROR(__xludf.DUMMYFUNCTION("""COMPUTED_VALUE"""),0.0)</f>
        <v>0</v>
      </c>
      <c r="Z283" s="16">
        <f>IFERROR(__xludf.DUMMYFUNCTION("""COMPUTED_VALUE"""),0.0)</f>
        <v>0</v>
      </c>
      <c r="AA283" s="16">
        <f>IFERROR(__xludf.DUMMYFUNCTION("""COMPUTED_VALUE"""),0.0)</f>
        <v>0</v>
      </c>
      <c r="AB283" s="16">
        <f>IFERROR(__xludf.DUMMYFUNCTION("""COMPUTED_VALUE"""),0.0)</f>
        <v>0</v>
      </c>
      <c r="AC283" s="16">
        <f>IFERROR(__xludf.DUMMYFUNCTION("""COMPUTED_VALUE"""),0.0)</f>
        <v>0</v>
      </c>
      <c r="AD283" s="16">
        <f>IFERROR(__xludf.DUMMYFUNCTION("""COMPUTED_VALUE"""),0.0)</f>
        <v>0</v>
      </c>
      <c r="AE283" s="16">
        <f>IFERROR(__xludf.DUMMYFUNCTION("""COMPUTED_VALUE"""),0.0)</f>
        <v>0</v>
      </c>
      <c r="AF283" s="16">
        <f>IFERROR(__xludf.DUMMYFUNCTION("""COMPUTED_VALUE"""),0.0)</f>
        <v>0</v>
      </c>
      <c r="AG283" s="16">
        <f>IFERROR(__xludf.DUMMYFUNCTION("""COMPUTED_VALUE"""),0.0)</f>
        <v>0</v>
      </c>
      <c r="AH283" s="16">
        <f>IFERROR(__xludf.DUMMYFUNCTION("""COMPUTED_VALUE"""),0.0)</f>
        <v>0</v>
      </c>
    </row>
    <row r="284">
      <c r="A284" s="16" t="str">
        <f>IFERROR(__xludf.DUMMYFUNCTION("""COMPUTED_VALUE"""),"fce8fe866ed4c3d213e087a4343996d06bb09af7")</f>
        <v>fce8fe866ed4c3d213e087a4343996d06bb09af7</v>
      </c>
      <c r="B284" s="16" t="str">
        <f>IFERROR(__xludf.DUMMYFUNCTION("""COMPUTED_VALUE"""),"The Anderson Rebirth")</f>
        <v>The Anderson Rebirth</v>
      </c>
      <c r="C284" s="16" t="str">
        <f>IFERROR(__xludf.DUMMYFUNCTION("""COMPUTED_VALUE"""),"System and Superpower")</f>
        <v>System and Superpower</v>
      </c>
      <c r="D284" s="16">
        <f>IFERROR(__xludf.DUMMYFUNCTION("""COMPUTED_VALUE"""),526.0)</f>
        <v>526</v>
      </c>
      <c r="E284" s="16">
        <f>IFERROR(__xludf.DUMMYFUNCTION("""COMPUTED_VALUE"""),0.965779467680608)</f>
        <v>0.9657794677</v>
      </c>
      <c r="F284" s="16">
        <f>IFERROR(__xludf.DUMMYFUNCTION("""COMPUTED_VALUE"""),0.730038022813688)</f>
        <v>0.7300380228</v>
      </c>
      <c r="G284" s="16">
        <f>IFERROR(__xludf.DUMMYFUNCTION("""COMPUTED_VALUE"""),0.686311787072243)</f>
        <v>0.6863117871</v>
      </c>
      <c r="H284" s="16">
        <f>IFERROR(__xludf.DUMMYFUNCTION("""COMPUTED_VALUE"""),0.655893536121673)</f>
        <v>0.6558935361</v>
      </c>
      <c r="I284" s="16">
        <f>IFERROR(__xludf.DUMMYFUNCTION("""COMPUTED_VALUE"""),0.595057034220532)</f>
        <v>0.5950570342</v>
      </c>
      <c r="J284" s="16">
        <f>IFERROR(__xludf.DUMMYFUNCTION("""COMPUTED_VALUE"""),0.566539923954372)</f>
        <v>0.566539924</v>
      </c>
      <c r="K284" s="16">
        <f>IFERROR(__xludf.DUMMYFUNCTION("""COMPUTED_VALUE"""),0.553231939163498)</f>
        <v>0.5532319392</v>
      </c>
      <c r="L284" s="16">
        <f>IFERROR(__xludf.DUMMYFUNCTION("""COMPUTED_VALUE"""),0.539923954372623)</f>
        <v>0.5399239544</v>
      </c>
      <c r="M284" s="16">
        <f>IFERROR(__xludf.DUMMYFUNCTION("""COMPUTED_VALUE"""),0.528517110266159)</f>
        <v>0.5285171103</v>
      </c>
      <c r="N284" s="16">
        <f>IFERROR(__xludf.DUMMYFUNCTION("""COMPUTED_VALUE"""),0.511494252873563)</f>
        <v>0.5114942529</v>
      </c>
      <c r="O284" s="16">
        <f>IFERROR(__xludf.DUMMYFUNCTION("""COMPUTED_VALUE"""),0.475915221579961)</f>
        <v>0.4759152216</v>
      </c>
      <c r="P284" s="16">
        <f>IFERROR(__xludf.DUMMYFUNCTION("""COMPUTED_VALUE"""),0.33009708737864)</f>
        <v>0.3300970874</v>
      </c>
      <c r="Q284" s="16">
        <f>IFERROR(__xludf.DUMMYFUNCTION("""COMPUTED_VALUE"""),0.171428571428571)</f>
        <v>0.1714285714</v>
      </c>
      <c r="R284" s="16">
        <f>IFERROR(__xludf.DUMMYFUNCTION("""COMPUTED_VALUE"""),0.0944309927360774)</f>
        <v>0.09443099274</v>
      </c>
      <c r="S284" s="16">
        <f>IFERROR(__xludf.DUMMYFUNCTION("""COMPUTED_VALUE"""),0.0)</f>
        <v>0</v>
      </c>
      <c r="T284" s="16">
        <f>IFERROR(__xludf.DUMMYFUNCTION("""COMPUTED_VALUE"""),0.0)</f>
        <v>0</v>
      </c>
      <c r="U284" s="16">
        <f>IFERROR(__xludf.DUMMYFUNCTION("""COMPUTED_VALUE"""),0.0)</f>
        <v>0</v>
      </c>
      <c r="V284" s="16">
        <f>IFERROR(__xludf.DUMMYFUNCTION("""COMPUTED_VALUE"""),0.0)</f>
        <v>0</v>
      </c>
      <c r="W284" s="16">
        <f>IFERROR(__xludf.DUMMYFUNCTION("""COMPUTED_VALUE"""),0.0)</f>
        <v>0</v>
      </c>
      <c r="X284" s="16">
        <f>IFERROR(__xludf.DUMMYFUNCTION("""COMPUTED_VALUE"""),0.0)</f>
        <v>0</v>
      </c>
      <c r="Y284" s="16">
        <f>IFERROR(__xludf.DUMMYFUNCTION("""COMPUTED_VALUE"""),0.0)</f>
        <v>0</v>
      </c>
      <c r="Z284" s="16">
        <f>IFERROR(__xludf.DUMMYFUNCTION("""COMPUTED_VALUE"""),0.0)</f>
        <v>0</v>
      </c>
      <c r="AA284" s="16">
        <f>IFERROR(__xludf.DUMMYFUNCTION("""COMPUTED_VALUE"""),0.0)</f>
        <v>0</v>
      </c>
      <c r="AB284" s="16">
        <f>IFERROR(__xludf.DUMMYFUNCTION("""COMPUTED_VALUE"""),0.0)</f>
        <v>0</v>
      </c>
      <c r="AC284" s="16">
        <f>IFERROR(__xludf.DUMMYFUNCTION("""COMPUTED_VALUE"""),0.0)</f>
        <v>0</v>
      </c>
      <c r="AD284" s="16">
        <f>IFERROR(__xludf.DUMMYFUNCTION("""COMPUTED_VALUE"""),0.0)</f>
        <v>0</v>
      </c>
      <c r="AE284" s="16">
        <f>IFERROR(__xludf.DUMMYFUNCTION("""COMPUTED_VALUE"""),0.0)</f>
        <v>0</v>
      </c>
      <c r="AF284" s="16">
        <f>IFERROR(__xludf.DUMMYFUNCTION("""COMPUTED_VALUE"""),0.0)</f>
        <v>0</v>
      </c>
      <c r="AG284" s="16">
        <f>IFERROR(__xludf.DUMMYFUNCTION("""COMPUTED_VALUE"""),0.0)</f>
        <v>0</v>
      </c>
      <c r="AH284" s="16">
        <f>IFERROR(__xludf.DUMMYFUNCTION("""COMPUTED_VALUE"""),0.0)</f>
        <v>0</v>
      </c>
    </row>
    <row r="285">
      <c r="A285" s="16" t="str">
        <f>IFERROR(__xludf.DUMMYFUNCTION("""COMPUTED_VALUE"""),"fce99720ddedf66c6e45f23c6876581e0b796f34")</f>
        <v>fce99720ddedf66c6e45f23c6876581e0b796f34</v>
      </c>
      <c r="B285" s="16" t="str">
        <f>IFERROR(__xludf.DUMMYFUNCTION("""COMPUTED_VALUE"""),"Reborn as Serena Whitmore")</f>
        <v>Reborn as Serena Whitmore</v>
      </c>
      <c r="C285" s="16" t="str">
        <f>IFERROR(__xludf.DUMMYFUNCTION("""COMPUTED_VALUE"""),"Romance")</f>
        <v>Romance</v>
      </c>
      <c r="D285" s="16">
        <f>IFERROR(__xludf.DUMMYFUNCTION("""COMPUTED_VALUE"""),61.0)</f>
        <v>61</v>
      </c>
      <c r="E285" s="16">
        <f>IFERROR(__xludf.DUMMYFUNCTION("""COMPUTED_VALUE"""),0.934426229508196)</f>
        <v>0.9344262295</v>
      </c>
      <c r="F285" s="16">
        <f>IFERROR(__xludf.DUMMYFUNCTION("""COMPUTED_VALUE"""),0.721311475409836)</f>
        <v>0.7213114754</v>
      </c>
      <c r="G285" s="16">
        <f>IFERROR(__xludf.DUMMYFUNCTION("""COMPUTED_VALUE"""),0.672131147540983)</f>
        <v>0.6721311475</v>
      </c>
      <c r="H285" s="16">
        <f>IFERROR(__xludf.DUMMYFUNCTION("""COMPUTED_VALUE"""),0.639344262295082)</f>
        <v>0.6393442623</v>
      </c>
      <c r="I285" s="16">
        <f>IFERROR(__xludf.DUMMYFUNCTION("""COMPUTED_VALUE"""),0.557377049180327)</f>
        <v>0.5573770492</v>
      </c>
      <c r="J285" s="16">
        <f>IFERROR(__xludf.DUMMYFUNCTION("""COMPUTED_VALUE"""),0.516666666666666)</f>
        <v>0.5166666667</v>
      </c>
      <c r="K285" s="16">
        <f>IFERROR(__xludf.DUMMYFUNCTION("""COMPUTED_VALUE"""),0.483333333333333)</f>
        <v>0.4833333333</v>
      </c>
      <c r="L285" s="16">
        <f>IFERROR(__xludf.DUMMYFUNCTION("""COMPUTED_VALUE"""),0.457627118644067)</f>
        <v>0.4576271186</v>
      </c>
      <c r="M285" s="16">
        <f>IFERROR(__xludf.DUMMYFUNCTION("""COMPUTED_VALUE"""),0.423728813559322)</f>
        <v>0.4237288136</v>
      </c>
      <c r="N285" s="16">
        <f>IFERROR(__xludf.DUMMYFUNCTION("""COMPUTED_VALUE"""),0.389830508474576)</f>
        <v>0.3898305085</v>
      </c>
      <c r="O285" s="16">
        <f>IFERROR(__xludf.DUMMYFUNCTION("""COMPUTED_VALUE"""),0.3125)</f>
        <v>0.3125</v>
      </c>
      <c r="P285" s="16">
        <f>IFERROR(__xludf.DUMMYFUNCTION("""COMPUTED_VALUE"""),0.333333333333333)</f>
        <v>0.3333333333</v>
      </c>
      <c r="Q285" s="16">
        <f>IFERROR(__xludf.DUMMYFUNCTION("""COMPUTED_VALUE"""),0.0)</f>
        <v>0</v>
      </c>
      <c r="R285" s="16">
        <f>IFERROR(__xludf.DUMMYFUNCTION("""COMPUTED_VALUE"""),0.0)</f>
        <v>0</v>
      </c>
      <c r="S285" s="16">
        <f>IFERROR(__xludf.DUMMYFUNCTION("""COMPUTED_VALUE"""),0.0)</f>
        <v>0</v>
      </c>
      <c r="T285" s="16">
        <f>IFERROR(__xludf.DUMMYFUNCTION("""COMPUTED_VALUE"""),0.0)</f>
        <v>0</v>
      </c>
      <c r="U285" s="16">
        <f>IFERROR(__xludf.DUMMYFUNCTION("""COMPUTED_VALUE"""),0.0)</f>
        <v>0</v>
      </c>
      <c r="V285" s="16">
        <f>IFERROR(__xludf.DUMMYFUNCTION("""COMPUTED_VALUE"""),0.0)</f>
        <v>0</v>
      </c>
      <c r="W285" s="16">
        <f>IFERROR(__xludf.DUMMYFUNCTION("""COMPUTED_VALUE"""),0.0)</f>
        <v>0</v>
      </c>
      <c r="X285" s="16">
        <f>IFERROR(__xludf.DUMMYFUNCTION("""COMPUTED_VALUE"""),0.0)</f>
        <v>0</v>
      </c>
      <c r="Y285" s="16">
        <f>IFERROR(__xludf.DUMMYFUNCTION("""COMPUTED_VALUE"""),0.0)</f>
        <v>0</v>
      </c>
      <c r="Z285" s="16">
        <f>IFERROR(__xludf.DUMMYFUNCTION("""COMPUTED_VALUE"""),0.0)</f>
        <v>0</v>
      </c>
      <c r="AA285" s="16">
        <f>IFERROR(__xludf.DUMMYFUNCTION("""COMPUTED_VALUE"""),0.0)</f>
        <v>0</v>
      </c>
      <c r="AB285" s="16">
        <f>IFERROR(__xludf.DUMMYFUNCTION("""COMPUTED_VALUE"""),0.0)</f>
        <v>0</v>
      </c>
      <c r="AC285" s="16">
        <f>IFERROR(__xludf.DUMMYFUNCTION("""COMPUTED_VALUE"""),0.0)</f>
        <v>0</v>
      </c>
      <c r="AD285" s="16">
        <f>IFERROR(__xludf.DUMMYFUNCTION("""COMPUTED_VALUE"""),0.0)</f>
        <v>0</v>
      </c>
      <c r="AE285" s="16">
        <f>IFERROR(__xludf.DUMMYFUNCTION("""COMPUTED_VALUE"""),0.0)</f>
        <v>0</v>
      </c>
      <c r="AF285" s="16">
        <f>IFERROR(__xludf.DUMMYFUNCTION("""COMPUTED_VALUE"""),0.0)</f>
        <v>0</v>
      </c>
      <c r="AG285" s="16">
        <f>IFERROR(__xludf.DUMMYFUNCTION("""COMPUTED_VALUE"""),0.0)</f>
        <v>0</v>
      </c>
      <c r="AH285" s="16">
        <f>IFERROR(__xludf.DUMMYFUNCTION("""COMPUTED_VALUE"""),0.0)</f>
        <v>0</v>
      </c>
    </row>
    <row r="286">
      <c r="A286" s="16" t="str">
        <f>IFERROR(__xludf.DUMMYFUNCTION("""COMPUTED_VALUE"""),"fe01aa725eab93a44f707bbab393a9640b0e69db")</f>
        <v>fe01aa725eab93a44f707bbab393a9640b0e69db</v>
      </c>
      <c r="B286" s="16" t="str">
        <f>IFERROR(__xludf.DUMMYFUNCTION("""COMPUTED_VALUE"""),"3 Years Later He Found Me")</f>
        <v>3 Years Later He Found Me</v>
      </c>
      <c r="C286" s="16" t="str">
        <f>IFERROR(__xludf.DUMMYFUNCTION("""COMPUTED_VALUE"""),"Romance")</f>
        <v>Romance</v>
      </c>
      <c r="D286" s="16">
        <f>IFERROR(__xludf.DUMMYFUNCTION("""COMPUTED_VALUE"""),34.0)</f>
        <v>34</v>
      </c>
      <c r="E286" s="16">
        <f>IFERROR(__xludf.DUMMYFUNCTION("""COMPUTED_VALUE"""),0.941176470588235)</f>
        <v>0.9411764706</v>
      </c>
      <c r="F286" s="16">
        <f>IFERROR(__xludf.DUMMYFUNCTION("""COMPUTED_VALUE"""),0.647058823529411)</f>
        <v>0.6470588235</v>
      </c>
      <c r="G286" s="16">
        <f>IFERROR(__xludf.DUMMYFUNCTION("""COMPUTED_VALUE"""),0.558823529411764)</f>
        <v>0.5588235294</v>
      </c>
      <c r="H286" s="16">
        <f>IFERROR(__xludf.DUMMYFUNCTION("""COMPUTED_VALUE"""),0.529411764705882)</f>
        <v>0.5294117647</v>
      </c>
      <c r="I286" s="16">
        <f>IFERROR(__xludf.DUMMYFUNCTION("""COMPUTED_VALUE"""),0.529411764705882)</f>
        <v>0.5294117647</v>
      </c>
      <c r="J286" s="16">
        <f>IFERROR(__xludf.DUMMYFUNCTION("""COMPUTED_VALUE"""),0.5)</f>
        <v>0.5</v>
      </c>
      <c r="K286" s="16">
        <f>IFERROR(__xludf.DUMMYFUNCTION("""COMPUTED_VALUE"""),0.470588235294117)</f>
        <v>0.4705882353</v>
      </c>
      <c r="L286" s="16">
        <f>IFERROR(__xludf.DUMMYFUNCTION("""COMPUTED_VALUE"""),0.470588235294117)</f>
        <v>0.4705882353</v>
      </c>
      <c r="M286" s="16">
        <f>IFERROR(__xludf.DUMMYFUNCTION("""COMPUTED_VALUE"""),0.470588235294117)</f>
        <v>0.4705882353</v>
      </c>
      <c r="N286" s="16">
        <f>IFERROR(__xludf.DUMMYFUNCTION("""COMPUTED_VALUE"""),0.441176470588235)</f>
        <v>0.4411764706</v>
      </c>
      <c r="O286" s="16">
        <f>IFERROR(__xludf.DUMMYFUNCTION("""COMPUTED_VALUE"""),0.363636363636363)</f>
        <v>0.3636363636</v>
      </c>
      <c r="P286" s="16">
        <f>IFERROR(__xludf.DUMMYFUNCTION("""COMPUTED_VALUE"""),0.121212121212121)</f>
        <v>0.1212121212</v>
      </c>
      <c r="Q286" s="16">
        <f>IFERROR(__xludf.DUMMYFUNCTION("""COMPUTED_VALUE"""),0.0869565217391304)</f>
        <v>0.08695652174</v>
      </c>
      <c r="R286" s="16">
        <f>IFERROR(__xludf.DUMMYFUNCTION("""COMPUTED_VALUE"""),1.0)</f>
        <v>1</v>
      </c>
      <c r="S286" s="16">
        <f>IFERROR(__xludf.DUMMYFUNCTION("""COMPUTED_VALUE"""),0.0)</f>
        <v>0</v>
      </c>
      <c r="T286" s="16">
        <f>IFERROR(__xludf.DUMMYFUNCTION("""COMPUTED_VALUE"""),0.0)</f>
        <v>0</v>
      </c>
      <c r="U286" s="16">
        <f>IFERROR(__xludf.DUMMYFUNCTION("""COMPUTED_VALUE"""),0.0)</f>
        <v>0</v>
      </c>
      <c r="V286" s="16">
        <f>IFERROR(__xludf.DUMMYFUNCTION("""COMPUTED_VALUE"""),0.0)</f>
        <v>0</v>
      </c>
      <c r="W286" s="16">
        <f>IFERROR(__xludf.DUMMYFUNCTION("""COMPUTED_VALUE"""),0.0)</f>
        <v>0</v>
      </c>
      <c r="X286" s="16">
        <f>IFERROR(__xludf.DUMMYFUNCTION("""COMPUTED_VALUE"""),0.0)</f>
        <v>0</v>
      </c>
      <c r="Y286" s="16">
        <f>IFERROR(__xludf.DUMMYFUNCTION("""COMPUTED_VALUE"""),0.0)</f>
        <v>0</v>
      </c>
      <c r="Z286" s="16">
        <f>IFERROR(__xludf.DUMMYFUNCTION("""COMPUTED_VALUE"""),0.0)</f>
        <v>0</v>
      </c>
      <c r="AA286" s="16">
        <f>IFERROR(__xludf.DUMMYFUNCTION("""COMPUTED_VALUE"""),0.0)</f>
        <v>0</v>
      </c>
      <c r="AB286" s="16">
        <f>IFERROR(__xludf.DUMMYFUNCTION("""COMPUTED_VALUE"""),0.0)</f>
        <v>0</v>
      </c>
      <c r="AC286" s="16">
        <f>IFERROR(__xludf.DUMMYFUNCTION("""COMPUTED_VALUE"""),0.0)</f>
        <v>0</v>
      </c>
      <c r="AD286" s="16">
        <f>IFERROR(__xludf.DUMMYFUNCTION("""COMPUTED_VALUE"""),0.0)</f>
        <v>0</v>
      </c>
      <c r="AE286" s="16">
        <f>IFERROR(__xludf.DUMMYFUNCTION("""COMPUTED_VALUE"""),0.0)</f>
        <v>0</v>
      </c>
      <c r="AF286" s="16">
        <f>IFERROR(__xludf.DUMMYFUNCTION("""COMPUTED_VALUE"""),0.0)</f>
        <v>0</v>
      </c>
      <c r="AG286" s="16">
        <f>IFERROR(__xludf.DUMMYFUNCTION("""COMPUTED_VALUE"""),0.0)</f>
        <v>0</v>
      </c>
      <c r="AH286" s="16">
        <f>IFERROR(__xludf.DUMMYFUNCTION("""COMPUTED_VALUE"""),0.0)</f>
        <v>0</v>
      </c>
    </row>
    <row r="287">
      <c r="A287" s="16" t="str">
        <f>IFERROR(__xludf.DUMMYFUNCTION("""COMPUTED_VALUE"""),"fe218223c3cbc0377d2bb07ad68251723f1b3792")</f>
        <v>fe218223c3cbc0377d2bb07ad68251723f1b3792</v>
      </c>
      <c r="B287" s="16" t="str">
        <f>IFERROR(__xludf.DUMMYFUNCTION("""COMPUTED_VALUE"""),"Return of the Gamer God")</f>
        <v>Return of the Gamer God</v>
      </c>
      <c r="C287" s="16" t="str">
        <f>IFERROR(__xludf.DUMMYFUNCTION("""COMPUTED_VALUE"""),"System and Superpower")</f>
        <v>System and Superpower</v>
      </c>
      <c r="D287" s="16">
        <f>IFERROR(__xludf.DUMMYFUNCTION("""COMPUTED_VALUE"""),3096.0)</f>
        <v>3096</v>
      </c>
      <c r="E287" s="16">
        <f>IFERROR(__xludf.DUMMYFUNCTION("""COMPUTED_VALUE"""),0.980620155038759)</f>
        <v>0.980620155</v>
      </c>
      <c r="F287" s="16">
        <f>IFERROR(__xludf.DUMMYFUNCTION("""COMPUTED_VALUE"""),0.556524547803617)</f>
        <v>0.5565245478</v>
      </c>
      <c r="G287" s="16">
        <f>IFERROR(__xludf.DUMMYFUNCTION("""COMPUTED_VALUE"""),0.51937984496124)</f>
        <v>0.519379845</v>
      </c>
      <c r="H287" s="16">
        <f>IFERROR(__xludf.DUMMYFUNCTION("""COMPUTED_VALUE"""),0.490956072351421)</f>
        <v>0.4909560724</v>
      </c>
      <c r="I287" s="16">
        <f>IFERROR(__xludf.DUMMYFUNCTION("""COMPUTED_VALUE"""),0.463501291989664)</f>
        <v>0.463501292</v>
      </c>
      <c r="J287" s="16">
        <f>IFERROR(__xludf.DUMMYFUNCTION("""COMPUTED_VALUE"""),0.444804143735836)</f>
        <v>0.4448041437</v>
      </c>
      <c r="K287" s="16">
        <f>IFERROR(__xludf.DUMMYFUNCTION("""COMPUTED_VALUE"""),0.432642487046632)</f>
        <v>0.432642487</v>
      </c>
      <c r="L287" s="16">
        <f>IFERROR(__xludf.DUMMYFUNCTION("""COMPUTED_VALUE"""),0.420285158781594)</f>
        <v>0.4202851588</v>
      </c>
      <c r="M287" s="16">
        <f>IFERROR(__xludf.DUMMYFUNCTION("""COMPUTED_VALUE"""),0.40136275146009)</f>
        <v>0.4013627515</v>
      </c>
      <c r="N287" s="16">
        <f>IFERROR(__xludf.DUMMYFUNCTION("""COMPUTED_VALUE"""),0.392578125)</f>
        <v>0.392578125</v>
      </c>
      <c r="O287" s="16">
        <f>IFERROR(__xludf.DUMMYFUNCTION("""COMPUTED_VALUE"""),0.332099222510181)</f>
        <v>0.3320992225</v>
      </c>
      <c r="P287" s="16">
        <f>IFERROR(__xludf.DUMMYFUNCTION("""COMPUTED_VALUE"""),0.272570442783208)</f>
        <v>0.2725704428</v>
      </c>
      <c r="Q287" s="16">
        <f>IFERROR(__xludf.DUMMYFUNCTION("""COMPUTED_VALUE"""),0.17892156862745)</f>
        <v>0.1789215686</v>
      </c>
      <c r="R287" s="16">
        <f>IFERROR(__xludf.DUMMYFUNCTION("""COMPUTED_VALUE"""),0.0)</f>
        <v>0</v>
      </c>
      <c r="S287" s="16">
        <f>IFERROR(__xludf.DUMMYFUNCTION("""COMPUTED_VALUE"""),0.0)</f>
        <v>0</v>
      </c>
      <c r="T287" s="16">
        <f>IFERROR(__xludf.DUMMYFUNCTION("""COMPUTED_VALUE"""),0.0)</f>
        <v>0</v>
      </c>
      <c r="U287" s="16">
        <f>IFERROR(__xludf.DUMMYFUNCTION("""COMPUTED_VALUE"""),0.0)</f>
        <v>0</v>
      </c>
      <c r="V287" s="16">
        <f>IFERROR(__xludf.DUMMYFUNCTION("""COMPUTED_VALUE"""),0.0)</f>
        <v>0</v>
      </c>
      <c r="W287" s="16">
        <f>IFERROR(__xludf.DUMMYFUNCTION("""COMPUTED_VALUE"""),0.0)</f>
        <v>0</v>
      </c>
      <c r="X287" s="16">
        <f>IFERROR(__xludf.DUMMYFUNCTION("""COMPUTED_VALUE"""),0.0)</f>
        <v>0</v>
      </c>
      <c r="Y287" s="16">
        <f>IFERROR(__xludf.DUMMYFUNCTION("""COMPUTED_VALUE"""),0.0)</f>
        <v>0</v>
      </c>
      <c r="Z287" s="16">
        <f>IFERROR(__xludf.DUMMYFUNCTION("""COMPUTED_VALUE"""),0.0)</f>
        <v>0</v>
      </c>
      <c r="AA287" s="16">
        <f>IFERROR(__xludf.DUMMYFUNCTION("""COMPUTED_VALUE"""),0.0)</f>
        <v>0</v>
      </c>
      <c r="AB287" s="16">
        <f>IFERROR(__xludf.DUMMYFUNCTION("""COMPUTED_VALUE"""),0.0)</f>
        <v>0</v>
      </c>
      <c r="AC287" s="16">
        <f>IFERROR(__xludf.DUMMYFUNCTION("""COMPUTED_VALUE"""),0.0)</f>
        <v>0</v>
      </c>
      <c r="AD287" s="16">
        <f>IFERROR(__xludf.DUMMYFUNCTION("""COMPUTED_VALUE"""),0.0)</f>
        <v>0</v>
      </c>
      <c r="AE287" s="16">
        <f>IFERROR(__xludf.DUMMYFUNCTION("""COMPUTED_VALUE"""),0.0)</f>
        <v>0</v>
      </c>
      <c r="AF287" s="16">
        <f>IFERROR(__xludf.DUMMYFUNCTION("""COMPUTED_VALUE"""),0.0)</f>
        <v>0</v>
      </c>
      <c r="AG287" s="16">
        <f>IFERROR(__xludf.DUMMYFUNCTION("""COMPUTED_VALUE"""),0.0)</f>
        <v>0</v>
      </c>
      <c r="AH287" s="16">
        <f>IFERROR(__xludf.DUMMYFUNCTION("""COMPUTED_VALUE"""),0.0)</f>
        <v>0</v>
      </c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4" max="34" width="15.88"/>
  </cols>
  <sheetData>
    <row r="1">
      <c r="A1" s="1"/>
      <c r="B1" s="1" t="s">
        <v>0</v>
      </c>
      <c r="C1" s="1" t="s">
        <v>1</v>
      </c>
      <c r="D1" s="14">
        <v>8840.0</v>
      </c>
      <c r="E1" s="14">
        <v>0.947850678733031</v>
      </c>
      <c r="F1" s="14">
        <v>0.38076923076923</v>
      </c>
      <c r="G1" s="14">
        <v>0.311990950226244</v>
      </c>
      <c r="H1" s="14">
        <v>0.272850678733031</v>
      </c>
      <c r="I1" s="14">
        <v>0.249773755656108</v>
      </c>
      <c r="J1" s="14">
        <v>0.236019923024677</v>
      </c>
      <c r="K1" s="14">
        <v>0.221932706468788</v>
      </c>
      <c r="L1" s="14">
        <v>0.209249084249084</v>
      </c>
      <c r="M1" s="14">
        <v>0.204451583295089</v>
      </c>
      <c r="N1" s="14">
        <v>0.199608159502132</v>
      </c>
      <c r="O1" s="14">
        <v>0.177643081944282</v>
      </c>
      <c r="P1" s="14">
        <v>0.152076451156205</v>
      </c>
      <c r="Q1" s="14">
        <v>0.119293608841902</v>
      </c>
      <c r="R1" s="14">
        <v>0.102428851815505</v>
      </c>
      <c r="S1" s="14">
        <v>0.0893056763135014</v>
      </c>
      <c r="T1" s="14">
        <v>0.0935656083169429</v>
      </c>
      <c r="U1" s="14">
        <v>0.0886339937434828</v>
      </c>
      <c r="V1" s="14">
        <v>0.082954889494399</v>
      </c>
      <c r="W1" s="14">
        <v>0.0790647592678049</v>
      </c>
      <c r="X1" s="14">
        <v>0.0731287190729721</v>
      </c>
      <c r="Y1" s="14">
        <v>0.069125159642401</v>
      </c>
      <c r="Z1" s="14">
        <v>0.0670445344129554</v>
      </c>
      <c r="AA1" s="14">
        <v>0.0650393184796854</v>
      </c>
      <c r="AB1" s="14">
        <v>0.0616074393889073</v>
      </c>
      <c r="AC1" s="14">
        <v>0.0559475806451612</v>
      </c>
      <c r="AD1" s="14">
        <v>0.0517473118279569</v>
      </c>
      <c r="AE1" s="14">
        <v>0.0487231182795698</v>
      </c>
      <c r="AF1" s="14">
        <v>0.0467069892473118</v>
      </c>
      <c r="AG1" s="14">
        <v>0.0438508064516129</v>
      </c>
      <c r="AH1" s="14">
        <v>0.042002688172043</v>
      </c>
    </row>
    <row r="2">
      <c r="A2" s="1"/>
      <c r="B2" s="1" t="s">
        <v>0</v>
      </c>
      <c r="C2" s="1" t="s">
        <v>2</v>
      </c>
      <c r="D2" s="14">
        <v>25.0</v>
      </c>
      <c r="E2" s="14">
        <v>0.72</v>
      </c>
      <c r="F2" s="14">
        <v>0.64</v>
      </c>
      <c r="G2" s="14">
        <v>0.52</v>
      </c>
      <c r="H2" s="14">
        <v>0.52</v>
      </c>
      <c r="I2" s="14">
        <v>0.44</v>
      </c>
      <c r="J2" s="14">
        <v>0.4</v>
      </c>
      <c r="K2" s="14">
        <v>0.36</v>
      </c>
      <c r="L2" s="14">
        <v>0.32</v>
      </c>
      <c r="M2" s="14">
        <v>0.32</v>
      </c>
      <c r="N2" s="14">
        <v>0.32</v>
      </c>
      <c r="O2" s="14">
        <v>0.28</v>
      </c>
      <c r="P2" s="14">
        <v>0.32</v>
      </c>
      <c r="Q2" s="14">
        <v>0.32</v>
      </c>
      <c r="R2" s="14">
        <v>0.16</v>
      </c>
      <c r="S2" s="14">
        <v>0.0869565217391304</v>
      </c>
      <c r="T2" s="14">
        <v>0.157894736842105</v>
      </c>
      <c r="U2" s="14">
        <v>0.0588235294117647</v>
      </c>
      <c r="V2" s="14">
        <v>0.0</v>
      </c>
      <c r="W2" s="14">
        <v>0.0</v>
      </c>
      <c r="X2" s="14">
        <v>0.0</v>
      </c>
      <c r="Y2" s="14">
        <v>0.0</v>
      </c>
      <c r="Z2" s="14">
        <v>0.0</v>
      </c>
      <c r="AA2" s="14">
        <v>0.0</v>
      </c>
      <c r="AB2" s="14">
        <v>0.0</v>
      </c>
      <c r="AC2" s="14">
        <v>0.0</v>
      </c>
      <c r="AD2" s="14">
        <v>0.0</v>
      </c>
      <c r="AE2" s="14">
        <v>0.0</v>
      </c>
      <c r="AF2" s="14">
        <v>0.0</v>
      </c>
      <c r="AG2" s="14">
        <v>0.0</v>
      </c>
      <c r="AH2" s="14">
        <v>0.0</v>
      </c>
    </row>
    <row r="3">
      <c r="A3" s="1"/>
      <c r="B3" s="1" t="s">
        <v>0</v>
      </c>
      <c r="C3" s="1" t="s">
        <v>3</v>
      </c>
      <c r="D3" s="14">
        <v>5069.0</v>
      </c>
      <c r="E3" s="14">
        <v>0.898204774117182</v>
      </c>
      <c r="F3" s="14">
        <v>0.650424146774511</v>
      </c>
      <c r="G3" s="14">
        <v>0.601499309528506</v>
      </c>
      <c r="H3" s="14">
        <v>0.577628723614125</v>
      </c>
      <c r="I3" s="14">
        <v>0.555928190964687</v>
      </c>
      <c r="J3" s="14">
        <v>0.535805878871572</v>
      </c>
      <c r="K3" s="14">
        <v>0.521018354055654</v>
      </c>
      <c r="L3" s="14">
        <v>0.508685353335965</v>
      </c>
      <c r="M3" s="14">
        <v>0.500592417061611</v>
      </c>
      <c r="N3" s="14">
        <v>0.495751827702035</v>
      </c>
      <c r="O3" s="14">
        <v>0.475069252077562</v>
      </c>
      <c r="P3" s="14">
        <v>0.429986135868488</v>
      </c>
      <c r="Q3" s="14">
        <v>0.378646556856519</v>
      </c>
      <c r="R3" s="14">
        <v>0.347800119450527</v>
      </c>
      <c r="S3" s="14">
        <v>0.328352261406654</v>
      </c>
      <c r="T3" s="14">
        <v>0.265618535374431</v>
      </c>
      <c r="U3" s="14">
        <v>0.205256570713391</v>
      </c>
      <c r="V3" s="14">
        <v>0.181818181818181</v>
      </c>
      <c r="W3" s="14">
        <v>0.152996845425867</v>
      </c>
      <c r="X3" s="14">
        <v>0.116173120728929</v>
      </c>
      <c r="Y3" s="14">
        <v>0.104519774011299</v>
      </c>
      <c r="Z3" s="14">
        <v>0.0864661654135338</v>
      </c>
      <c r="AA3" s="14">
        <v>0.0849056603773584</v>
      </c>
      <c r="AB3" s="14">
        <v>0.0696202531645569</v>
      </c>
      <c r="AC3" s="14">
        <v>0.0459770114942528</v>
      </c>
      <c r="AD3" s="14">
        <v>0.0638297872340425</v>
      </c>
      <c r="AE3" s="14">
        <v>0.0</v>
      </c>
      <c r="AF3" s="14">
        <v>0.0</v>
      </c>
      <c r="AG3" s="14">
        <v>0.0</v>
      </c>
      <c r="AH3" s="14">
        <v>0.0</v>
      </c>
    </row>
    <row r="4" ht="15.75" customHeight="1">
      <c r="A4" s="7" t="s">
        <v>4</v>
      </c>
      <c r="B4" s="7" t="s">
        <v>5</v>
      </c>
      <c r="C4" s="15" t="s">
        <v>6</v>
      </c>
      <c r="D4" s="9" t="s">
        <v>7</v>
      </c>
      <c r="E4" s="13" t="s">
        <v>8</v>
      </c>
      <c r="F4" s="13" t="s">
        <v>9</v>
      </c>
      <c r="G4" s="13" t="s">
        <v>10</v>
      </c>
      <c r="H4" s="13" t="s">
        <v>11</v>
      </c>
      <c r="I4" s="13" t="s">
        <v>12</v>
      </c>
      <c r="J4" s="13" t="s">
        <v>13</v>
      </c>
      <c r="K4" s="13" t="s">
        <v>14</v>
      </c>
      <c r="L4" s="13" t="s">
        <v>15</v>
      </c>
      <c r="M4" s="13" t="s">
        <v>16</v>
      </c>
      <c r="N4" s="13" t="s">
        <v>17</v>
      </c>
      <c r="O4" s="13" t="s">
        <v>18</v>
      </c>
      <c r="P4" s="13" t="s">
        <v>19</v>
      </c>
      <c r="Q4" s="13" t="s">
        <v>20</v>
      </c>
      <c r="R4" s="13" t="s">
        <v>21</v>
      </c>
      <c r="S4" s="13" t="s">
        <v>22</v>
      </c>
      <c r="T4" s="13" t="s">
        <v>23</v>
      </c>
      <c r="U4" s="13" t="s">
        <v>24</v>
      </c>
      <c r="V4" s="13" t="s">
        <v>25</v>
      </c>
      <c r="W4" s="13" t="s">
        <v>26</v>
      </c>
      <c r="X4" s="13" t="s">
        <v>27</v>
      </c>
      <c r="Y4" s="13" t="s">
        <v>33</v>
      </c>
      <c r="Z4" s="13" t="s">
        <v>28</v>
      </c>
      <c r="AA4" s="13" t="s">
        <v>34</v>
      </c>
      <c r="AB4" s="13" t="s">
        <v>29</v>
      </c>
      <c r="AC4" s="13" t="s">
        <v>35</v>
      </c>
      <c r="AD4" s="13" t="s">
        <v>30</v>
      </c>
      <c r="AE4" s="13" t="s">
        <v>36</v>
      </c>
      <c r="AF4" s="13" t="s">
        <v>31</v>
      </c>
      <c r="AG4" s="13" t="s">
        <v>37</v>
      </c>
      <c r="AH4" s="13" t="s">
        <v>32</v>
      </c>
    </row>
    <row r="5">
      <c r="A5" s="16" t="str">
        <f>IFERROR(__xludf.DUMMYFUNCTION("HSTACK(
  IMPORTRANGE(""https://docs.google.com/spreadsheets/d/1OLoRCn0B2mP-LizDOaFp_LsrXGtZR4ZKvHn3aia4TMo/edit?usp=sharing"",""'W+ US Female'!B5:B""),
  IMPORTRANGE(""https://docs.google.com/spreadsheets/d/1OLoRCn0B2mP-LizDOaFp_LsrXGtZR4ZKvHn3aia4TMo/ed"&amp;"it?usp=sharing"",""'W+ US Female'!C5:C""),
  IMPORTRANGE(""https://docs.google.com/spreadsheets/d/1OLoRCn0B2mP-LizDOaFp_LsrXGtZR4ZKvHn3aia4TMo/edit?usp=sharing"",""'W+ US Female'!E5:E""),
  IMPORTRANGE(""https://docs.google.com/spreadsheets/d/1OLoRCn0B2mP"&amp;"-LizDOaFp_LsrXGtZR4ZKvHn3aia4TMo/edit?usp=sharing"",""'W+ US Female'!AC5:AC""),
  IMPORTRANGE(""https://docs.google.com/spreadsheets/d/1OLoRCn0B2mP-LizDOaFp_LsrXGtZR4ZKvHn3aia4TMo/edit?usp=sharing"",""'W+ US Female'!AK5:BN"")
)"),"003c0c0b3759df17ce3f0b5feeeed123024f274d")</f>
        <v>003c0c0b3759df17ce3f0b5feeeed123024f274d</v>
      </c>
      <c r="B5" s="16" t="str">
        <f>IFERROR(__xludf.DUMMYFUNCTION("""COMPUTED_VALUE"""),"The Invictus Mage Returns")</f>
        <v>The Invictus Mage Returns</v>
      </c>
      <c r="C5" s="16" t="str">
        <f>IFERROR(__xludf.DUMMYFUNCTION("""COMPUTED_VALUE"""),"Fantasy")</f>
        <v>Fantasy</v>
      </c>
      <c r="D5" s="16">
        <f>IFERROR(__xludf.DUMMYFUNCTION("""COMPUTED_VALUE"""),116.0)</f>
        <v>116</v>
      </c>
      <c r="E5" s="16">
        <f>IFERROR(__xludf.DUMMYFUNCTION("""COMPUTED_VALUE"""),1.0)</f>
        <v>1</v>
      </c>
      <c r="F5" s="16">
        <f>IFERROR(__xludf.DUMMYFUNCTION("""COMPUTED_VALUE"""),0.793103448275862)</f>
        <v>0.7931034483</v>
      </c>
      <c r="G5" s="16">
        <f>IFERROR(__xludf.DUMMYFUNCTION("""COMPUTED_VALUE"""),0.732758620689655)</f>
        <v>0.7327586207</v>
      </c>
      <c r="H5" s="16">
        <f>IFERROR(__xludf.DUMMYFUNCTION("""COMPUTED_VALUE"""),0.672413793103448)</f>
        <v>0.6724137931</v>
      </c>
      <c r="I5" s="16">
        <f>IFERROR(__xludf.DUMMYFUNCTION("""COMPUTED_VALUE"""),0.620689655172413)</f>
        <v>0.6206896552</v>
      </c>
      <c r="J5" s="16">
        <f>IFERROR(__xludf.DUMMYFUNCTION("""COMPUTED_VALUE"""),0.551724137931034)</f>
        <v>0.5517241379</v>
      </c>
      <c r="K5" s="16">
        <f>IFERROR(__xludf.DUMMYFUNCTION("""COMPUTED_VALUE"""),0.534482758620689)</f>
        <v>0.5344827586</v>
      </c>
      <c r="L5" s="16">
        <f>IFERROR(__xludf.DUMMYFUNCTION("""COMPUTED_VALUE"""),0.525862068965517)</f>
        <v>0.525862069</v>
      </c>
      <c r="M5" s="16">
        <f>IFERROR(__xludf.DUMMYFUNCTION("""COMPUTED_VALUE"""),0.508620689655172)</f>
        <v>0.5086206897</v>
      </c>
      <c r="N5" s="16">
        <f>IFERROR(__xludf.DUMMYFUNCTION("""COMPUTED_VALUE"""),0.46551724137931)</f>
        <v>0.4655172414</v>
      </c>
      <c r="O5" s="16">
        <f>IFERROR(__xludf.DUMMYFUNCTION("""COMPUTED_VALUE"""),0.368421052631578)</f>
        <v>0.3684210526</v>
      </c>
      <c r="P5" s="16">
        <f>IFERROR(__xludf.DUMMYFUNCTION("""COMPUTED_VALUE"""),0.194690265486725)</f>
        <v>0.1946902655</v>
      </c>
      <c r="Q5" s="16">
        <f>IFERROR(__xludf.DUMMYFUNCTION("""COMPUTED_VALUE"""),0.0934579439252336)</f>
        <v>0.09345794393</v>
      </c>
      <c r="R5" s="16">
        <f>IFERROR(__xludf.DUMMYFUNCTION("""COMPUTED_VALUE"""),0.0)</f>
        <v>0</v>
      </c>
      <c r="S5" s="16">
        <f>IFERROR(__xludf.DUMMYFUNCTION("""COMPUTED_VALUE"""),0.0)</f>
        <v>0</v>
      </c>
      <c r="T5" s="16">
        <f>IFERROR(__xludf.DUMMYFUNCTION("""COMPUTED_VALUE"""),0.0)</f>
        <v>0</v>
      </c>
      <c r="U5" s="16">
        <f>IFERROR(__xludf.DUMMYFUNCTION("""COMPUTED_VALUE"""),0.0)</f>
        <v>0</v>
      </c>
      <c r="V5" s="16">
        <f>IFERROR(__xludf.DUMMYFUNCTION("""COMPUTED_VALUE"""),0.0)</f>
        <v>0</v>
      </c>
      <c r="W5" s="16">
        <f>IFERROR(__xludf.DUMMYFUNCTION("""COMPUTED_VALUE"""),0.0)</f>
        <v>0</v>
      </c>
      <c r="X5" s="16">
        <f>IFERROR(__xludf.DUMMYFUNCTION("""COMPUTED_VALUE"""),0.0)</f>
        <v>0</v>
      </c>
      <c r="Y5" s="16">
        <f>IFERROR(__xludf.DUMMYFUNCTION("""COMPUTED_VALUE"""),0.0)</f>
        <v>0</v>
      </c>
      <c r="Z5" s="16">
        <f>IFERROR(__xludf.DUMMYFUNCTION("""COMPUTED_VALUE"""),0.0)</f>
        <v>0</v>
      </c>
      <c r="AA5" s="16">
        <f>IFERROR(__xludf.DUMMYFUNCTION("""COMPUTED_VALUE"""),0.0)</f>
        <v>0</v>
      </c>
      <c r="AB5" s="16">
        <f>IFERROR(__xludf.DUMMYFUNCTION("""COMPUTED_VALUE"""),0.0)</f>
        <v>0</v>
      </c>
      <c r="AC5" s="16">
        <f>IFERROR(__xludf.DUMMYFUNCTION("""COMPUTED_VALUE"""),0.0)</f>
        <v>0</v>
      </c>
      <c r="AD5" s="16">
        <f>IFERROR(__xludf.DUMMYFUNCTION("""COMPUTED_VALUE"""),0.0)</f>
        <v>0</v>
      </c>
      <c r="AE5" s="16">
        <f>IFERROR(__xludf.DUMMYFUNCTION("""COMPUTED_VALUE"""),0.0)</f>
        <v>0</v>
      </c>
      <c r="AF5" s="16">
        <f>IFERROR(__xludf.DUMMYFUNCTION("""COMPUTED_VALUE"""),0.0)</f>
        <v>0</v>
      </c>
      <c r="AG5" s="16">
        <f>IFERROR(__xludf.DUMMYFUNCTION("""COMPUTED_VALUE"""),0.0)</f>
        <v>0</v>
      </c>
      <c r="AH5" s="16">
        <f>IFERROR(__xludf.DUMMYFUNCTION("""COMPUTED_VALUE"""),0.0)</f>
        <v>0</v>
      </c>
    </row>
    <row r="6">
      <c r="A6" s="16" t="str">
        <f>IFERROR(__xludf.DUMMYFUNCTION("""COMPUTED_VALUE"""),"01f367b494a414fb7c994e946bddd99820cc7e28")</f>
        <v>01f367b494a414fb7c994e946bddd99820cc7e28</v>
      </c>
      <c r="B6" s="16" t="str">
        <f>IFERROR(__xludf.DUMMYFUNCTION("""COMPUTED_VALUE"""),"The Dragon Prince’s Favor")</f>
        <v>The Dragon Prince’s Favor</v>
      </c>
      <c r="C6" s="16" t="str">
        <f>IFERROR(__xludf.DUMMYFUNCTION("""COMPUTED_VALUE"""),"Romantasy")</f>
        <v>Romantasy</v>
      </c>
      <c r="D6" s="16">
        <f>IFERROR(__xludf.DUMMYFUNCTION("""COMPUTED_VALUE"""),465.0)</f>
        <v>465</v>
      </c>
      <c r="E6" s="16">
        <f>IFERROR(__xludf.DUMMYFUNCTION("""COMPUTED_VALUE"""),0.982795698924731)</f>
        <v>0.9827956989</v>
      </c>
      <c r="F6" s="16">
        <f>IFERROR(__xludf.DUMMYFUNCTION("""COMPUTED_VALUE"""),0.580645161290322)</f>
        <v>0.5806451613</v>
      </c>
      <c r="G6" s="16">
        <f>IFERROR(__xludf.DUMMYFUNCTION("""COMPUTED_VALUE"""),0.479569892473118)</f>
        <v>0.4795698925</v>
      </c>
      <c r="H6" s="16">
        <f>IFERROR(__xludf.DUMMYFUNCTION("""COMPUTED_VALUE"""),0.438709677419354)</f>
        <v>0.4387096774</v>
      </c>
      <c r="I6" s="16">
        <f>IFERROR(__xludf.DUMMYFUNCTION("""COMPUTED_VALUE"""),0.397849462365591)</f>
        <v>0.3978494624</v>
      </c>
      <c r="J6" s="16">
        <f>IFERROR(__xludf.DUMMYFUNCTION("""COMPUTED_VALUE"""),0.372043010752688)</f>
        <v>0.3720430108</v>
      </c>
      <c r="K6" s="16">
        <f>IFERROR(__xludf.DUMMYFUNCTION("""COMPUTED_VALUE"""),0.334773218142548)</f>
        <v>0.3347732181</v>
      </c>
      <c r="L6" s="16">
        <f>IFERROR(__xludf.DUMMYFUNCTION("""COMPUTED_VALUE"""),0.321041214750542)</f>
        <v>0.3210412148</v>
      </c>
      <c r="M6" s="16">
        <f>IFERROR(__xludf.DUMMYFUNCTION("""COMPUTED_VALUE"""),0.305676855895196)</f>
        <v>0.3056768559</v>
      </c>
      <c r="N6" s="16">
        <f>IFERROR(__xludf.DUMMYFUNCTION("""COMPUTED_VALUE"""),0.280701754385964)</f>
        <v>0.2807017544</v>
      </c>
      <c r="O6" s="16">
        <f>IFERROR(__xludf.DUMMYFUNCTION("""COMPUTED_VALUE"""),0.231454005934718)</f>
        <v>0.2314540059</v>
      </c>
      <c r="P6" s="16">
        <f>IFERROR(__xludf.DUMMYFUNCTION("""COMPUTED_VALUE"""),0.333333333333333)</f>
        <v>0.3333333333</v>
      </c>
      <c r="Q6" s="16">
        <f>IFERROR(__xludf.DUMMYFUNCTION("""COMPUTED_VALUE"""),0.0)</f>
        <v>0</v>
      </c>
      <c r="R6" s="16">
        <f>IFERROR(__xludf.DUMMYFUNCTION("""COMPUTED_VALUE"""),0.0)</f>
        <v>0</v>
      </c>
      <c r="S6" s="16">
        <f>IFERROR(__xludf.DUMMYFUNCTION("""COMPUTED_VALUE"""),0.0)</f>
        <v>0</v>
      </c>
      <c r="T6" s="16">
        <f>IFERROR(__xludf.DUMMYFUNCTION("""COMPUTED_VALUE"""),0.0)</f>
        <v>0</v>
      </c>
      <c r="U6" s="16">
        <f>IFERROR(__xludf.DUMMYFUNCTION("""COMPUTED_VALUE"""),0.0)</f>
        <v>0</v>
      </c>
      <c r="V6" s="16">
        <f>IFERROR(__xludf.DUMMYFUNCTION("""COMPUTED_VALUE"""),0.0)</f>
        <v>0</v>
      </c>
      <c r="W6" s="16">
        <f>IFERROR(__xludf.DUMMYFUNCTION("""COMPUTED_VALUE"""),0.0)</f>
        <v>0</v>
      </c>
      <c r="X6" s="16">
        <f>IFERROR(__xludf.DUMMYFUNCTION("""COMPUTED_VALUE"""),0.0)</f>
        <v>0</v>
      </c>
      <c r="Y6" s="16">
        <f>IFERROR(__xludf.DUMMYFUNCTION("""COMPUTED_VALUE"""),0.0)</f>
        <v>0</v>
      </c>
      <c r="Z6" s="16">
        <f>IFERROR(__xludf.DUMMYFUNCTION("""COMPUTED_VALUE"""),0.0)</f>
        <v>0</v>
      </c>
      <c r="AA6" s="16">
        <f>IFERROR(__xludf.DUMMYFUNCTION("""COMPUTED_VALUE"""),0.0)</f>
        <v>0</v>
      </c>
      <c r="AB6" s="16">
        <f>IFERROR(__xludf.DUMMYFUNCTION("""COMPUTED_VALUE"""),0.0)</f>
        <v>0</v>
      </c>
      <c r="AC6" s="16">
        <f>IFERROR(__xludf.DUMMYFUNCTION("""COMPUTED_VALUE"""),0.0)</f>
        <v>0</v>
      </c>
      <c r="AD6" s="16">
        <f>IFERROR(__xludf.DUMMYFUNCTION("""COMPUTED_VALUE"""),0.0)</f>
        <v>0</v>
      </c>
      <c r="AE6" s="16">
        <f>IFERROR(__xludf.DUMMYFUNCTION("""COMPUTED_VALUE"""),0.0)</f>
        <v>0</v>
      </c>
      <c r="AF6" s="16">
        <f>IFERROR(__xludf.DUMMYFUNCTION("""COMPUTED_VALUE"""),0.0)</f>
        <v>0</v>
      </c>
      <c r="AG6" s="16">
        <f>IFERROR(__xludf.DUMMYFUNCTION("""COMPUTED_VALUE"""),0.0)</f>
        <v>0</v>
      </c>
      <c r="AH6" s="16">
        <f>IFERROR(__xludf.DUMMYFUNCTION("""COMPUTED_VALUE"""),0.0)</f>
        <v>0</v>
      </c>
    </row>
    <row r="7">
      <c r="A7" s="16" t="str">
        <f>IFERROR(__xludf.DUMMYFUNCTION("""COMPUTED_VALUE"""),"03488a9bdecaf176a7a11138160e470f361ce803")</f>
        <v>03488a9bdecaf176a7a11138160e470f361ce803</v>
      </c>
      <c r="B7" s="16" t="str">
        <f>IFERROR(__xludf.DUMMYFUNCTION("""COMPUTED_VALUE"""),"Reborn to Be His Wife")</f>
        <v>Reborn to Be His Wife</v>
      </c>
      <c r="C7" s="16" t="str">
        <f>IFERROR(__xludf.DUMMYFUNCTION("""COMPUTED_VALUE"""),"Romantasy")</f>
        <v>Romantasy</v>
      </c>
      <c r="D7" s="16">
        <f>IFERROR(__xludf.DUMMYFUNCTION("""COMPUTED_VALUE"""),554.0)</f>
        <v>554</v>
      </c>
      <c r="E7" s="16">
        <f>IFERROR(__xludf.DUMMYFUNCTION("""COMPUTED_VALUE"""),0.965703971119133)</f>
        <v>0.9657039711</v>
      </c>
      <c r="F7" s="16">
        <f>IFERROR(__xludf.DUMMYFUNCTION("""COMPUTED_VALUE"""),0.541516245487364)</f>
        <v>0.5415162455</v>
      </c>
      <c r="G7" s="16">
        <f>IFERROR(__xludf.DUMMYFUNCTION("""COMPUTED_VALUE"""),0.483754512635379)</f>
        <v>0.4837545126</v>
      </c>
      <c r="H7" s="16">
        <f>IFERROR(__xludf.DUMMYFUNCTION("""COMPUTED_VALUE"""),0.411552346570397)</f>
        <v>0.4115523466</v>
      </c>
      <c r="I7" s="16">
        <f>IFERROR(__xludf.DUMMYFUNCTION("""COMPUTED_VALUE"""),0.359205776173285)</f>
        <v>0.3592057762</v>
      </c>
      <c r="J7" s="16">
        <f>IFERROR(__xludf.DUMMYFUNCTION("""COMPUTED_VALUE"""),0.321299638989169)</f>
        <v>0.321299639</v>
      </c>
      <c r="K7" s="16">
        <f>IFERROR(__xludf.DUMMYFUNCTION("""COMPUTED_VALUE"""),0.288808664259927)</f>
        <v>0.2888086643</v>
      </c>
      <c r="L7" s="16">
        <f>IFERROR(__xludf.DUMMYFUNCTION("""COMPUTED_VALUE"""),0.265342960288808)</f>
        <v>0.2653429603</v>
      </c>
      <c r="M7" s="16">
        <f>IFERROR(__xludf.DUMMYFUNCTION("""COMPUTED_VALUE"""),0.245487364620938)</f>
        <v>0.2454873646</v>
      </c>
      <c r="N7" s="16">
        <f>IFERROR(__xludf.DUMMYFUNCTION("""COMPUTED_VALUE"""),0.225631768953068)</f>
        <v>0.225631769</v>
      </c>
      <c r="O7" s="16">
        <f>IFERROR(__xludf.DUMMYFUNCTION("""COMPUTED_VALUE"""),0.201086956521739)</f>
        <v>0.2010869565</v>
      </c>
      <c r="P7" s="16">
        <f>IFERROR(__xludf.DUMMYFUNCTION("""COMPUTED_VALUE"""),0.174311926605504)</f>
        <v>0.1743119266</v>
      </c>
      <c r="Q7" s="16">
        <f>IFERROR(__xludf.DUMMYFUNCTION("""COMPUTED_VALUE"""),0.111111111111111)</f>
        <v>0.1111111111</v>
      </c>
      <c r="R7" s="16">
        <f>IFERROR(__xludf.DUMMYFUNCTION("""COMPUTED_VALUE"""),0.119565217391304)</f>
        <v>0.1195652174</v>
      </c>
      <c r="S7" s="16">
        <f>IFERROR(__xludf.DUMMYFUNCTION("""COMPUTED_VALUE"""),0.096045197740113)</f>
        <v>0.09604519774</v>
      </c>
      <c r="T7" s="16">
        <f>IFERROR(__xludf.DUMMYFUNCTION("""COMPUTED_VALUE"""),0.0813953488372093)</f>
        <v>0.08139534884</v>
      </c>
      <c r="U7" s="16">
        <f>IFERROR(__xludf.DUMMYFUNCTION("""COMPUTED_VALUE"""),0.0)</f>
        <v>0</v>
      </c>
      <c r="V7" s="16">
        <f>IFERROR(__xludf.DUMMYFUNCTION("""COMPUTED_VALUE"""),0.0)</f>
        <v>0</v>
      </c>
      <c r="W7" s="16">
        <f>IFERROR(__xludf.DUMMYFUNCTION("""COMPUTED_VALUE"""),0.0)</f>
        <v>0</v>
      </c>
      <c r="X7" s="16">
        <f>IFERROR(__xludf.DUMMYFUNCTION("""COMPUTED_VALUE"""),0.0)</f>
        <v>0</v>
      </c>
      <c r="Y7" s="16">
        <f>IFERROR(__xludf.DUMMYFUNCTION("""COMPUTED_VALUE"""),0.0)</f>
        <v>0</v>
      </c>
      <c r="Z7" s="16">
        <f>IFERROR(__xludf.DUMMYFUNCTION("""COMPUTED_VALUE"""),0.0)</f>
        <v>0</v>
      </c>
      <c r="AA7" s="16">
        <f>IFERROR(__xludf.DUMMYFUNCTION("""COMPUTED_VALUE"""),0.0)</f>
        <v>0</v>
      </c>
      <c r="AB7" s="16">
        <f>IFERROR(__xludf.DUMMYFUNCTION("""COMPUTED_VALUE"""),0.0)</f>
        <v>0</v>
      </c>
      <c r="AC7" s="16">
        <f>IFERROR(__xludf.DUMMYFUNCTION("""COMPUTED_VALUE"""),0.0)</f>
        <v>0</v>
      </c>
      <c r="AD7" s="16">
        <f>IFERROR(__xludf.DUMMYFUNCTION("""COMPUTED_VALUE"""),0.0)</f>
        <v>0</v>
      </c>
      <c r="AE7" s="16">
        <f>IFERROR(__xludf.DUMMYFUNCTION("""COMPUTED_VALUE"""),0.0)</f>
        <v>0</v>
      </c>
      <c r="AF7" s="16">
        <f>IFERROR(__xludf.DUMMYFUNCTION("""COMPUTED_VALUE"""),0.0)</f>
        <v>0</v>
      </c>
      <c r="AG7" s="16">
        <f>IFERROR(__xludf.DUMMYFUNCTION("""COMPUTED_VALUE"""),0.0)</f>
        <v>0</v>
      </c>
      <c r="AH7" s="16">
        <f>IFERROR(__xludf.DUMMYFUNCTION("""COMPUTED_VALUE"""),0.0)</f>
        <v>0</v>
      </c>
    </row>
    <row r="8">
      <c r="A8" s="16" t="str">
        <f>IFERROR(__xludf.DUMMYFUNCTION("""COMPUTED_VALUE"""),"0433315d89000a02178e5d4fb75f31de3d906cff")</f>
        <v>0433315d89000a02178e5d4fb75f31de3d906cff</v>
      </c>
      <c r="B8" s="16" t="str">
        <f>IFERROR(__xludf.DUMMYFUNCTION("""COMPUTED_VALUE"""),"Billionaire Secret Babies")</f>
        <v>Billionaire Secret Babies</v>
      </c>
      <c r="C8" s="16" t="str">
        <f>IFERROR(__xludf.DUMMYFUNCTION("""COMPUTED_VALUE"""),"Romance")</f>
        <v>Romance</v>
      </c>
      <c r="D8" s="16">
        <f>IFERROR(__xludf.DUMMYFUNCTION("""COMPUTED_VALUE"""),113.0)</f>
        <v>113</v>
      </c>
      <c r="E8" s="16">
        <f>IFERROR(__xludf.DUMMYFUNCTION("""COMPUTED_VALUE"""),0.840707964601769)</f>
        <v>0.8407079646</v>
      </c>
      <c r="F8" s="16">
        <f>IFERROR(__xludf.DUMMYFUNCTION("""COMPUTED_VALUE"""),0.681415929203539)</f>
        <v>0.6814159292</v>
      </c>
      <c r="G8" s="16">
        <f>IFERROR(__xludf.DUMMYFUNCTION("""COMPUTED_VALUE"""),0.584070796460177)</f>
        <v>0.5840707965</v>
      </c>
      <c r="H8" s="16">
        <f>IFERROR(__xludf.DUMMYFUNCTION("""COMPUTED_VALUE"""),0.566371681415929)</f>
        <v>0.5663716814</v>
      </c>
      <c r="I8" s="16">
        <f>IFERROR(__xludf.DUMMYFUNCTION("""COMPUTED_VALUE"""),0.557522123893805)</f>
        <v>0.5575221239</v>
      </c>
      <c r="J8" s="16">
        <f>IFERROR(__xludf.DUMMYFUNCTION("""COMPUTED_VALUE"""),0.513274336283185)</f>
        <v>0.5132743363</v>
      </c>
      <c r="K8" s="16">
        <f>IFERROR(__xludf.DUMMYFUNCTION("""COMPUTED_VALUE"""),0.495575221238938)</f>
        <v>0.4955752212</v>
      </c>
      <c r="L8" s="16">
        <f>IFERROR(__xludf.DUMMYFUNCTION("""COMPUTED_VALUE"""),0.47787610619469)</f>
        <v>0.4778761062</v>
      </c>
      <c r="M8" s="16">
        <f>IFERROR(__xludf.DUMMYFUNCTION("""COMPUTED_VALUE"""),0.451327433628318)</f>
        <v>0.4513274336</v>
      </c>
      <c r="N8" s="16">
        <f>IFERROR(__xludf.DUMMYFUNCTION("""COMPUTED_VALUE"""),0.451327433628318)</f>
        <v>0.4513274336</v>
      </c>
      <c r="O8" s="16">
        <f>IFERROR(__xludf.DUMMYFUNCTION("""COMPUTED_VALUE"""),0.424778761061946)</f>
        <v>0.4247787611</v>
      </c>
      <c r="P8" s="16">
        <f>IFERROR(__xludf.DUMMYFUNCTION("""COMPUTED_VALUE"""),0.345132743362831)</f>
        <v>0.3451327434</v>
      </c>
      <c r="Q8" s="16">
        <f>IFERROR(__xludf.DUMMYFUNCTION("""COMPUTED_VALUE"""),0.309734513274336)</f>
        <v>0.3097345133</v>
      </c>
      <c r="R8" s="16">
        <f>IFERROR(__xludf.DUMMYFUNCTION("""COMPUTED_VALUE"""),0.0)</f>
        <v>0</v>
      </c>
      <c r="S8" s="16">
        <f>IFERROR(__xludf.DUMMYFUNCTION("""COMPUTED_VALUE"""),0.0)</f>
        <v>0</v>
      </c>
      <c r="T8" s="16">
        <f>IFERROR(__xludf.DUMMYFUNCTION("""COMPUTED_VALUE"""),0.0)</f>
        <v>0</v>
      </c>
      <c r="U8" s="16">
        <f>IFERROR(__xludf.DUMMYFUNCTION("""COMPUTED_VALUE"""),0.0)</f>
        <v>0</v>
      </c>
      <c r="V8" s="16">
        <f>IFERROR(__xludf.DUMMYFUNCTION("""COMPUTED_VALUE"""),0.0)</f>
        <v>0</v>
      </c>
      <c r="W8" s="16">
        <f>IFERROR(__xludf.DUMMYFUNCTION("""COMPUTED_VALUE"""),0.0)</f>
        <v>0</v>
      </c>
      <c r="X8" s="16">
        <f>IFERROR(__xludf.DUMMYFUNCTION("""COMPUTED_VALUE"""),0.0)</f>
        <v>0</v>
      </c>
      <c r="Y8" s="16">
        <f>IFERROR(__xludf.DUMMYFUNCTION("""COMPUTED_VALUE"""),0.0)</f>
        <v>0</v>
      </c>
      <c r="Z8" s="16">
        <f>IFERROR(__xludf.DUMMYFUNCTION("""COMPUTED_VALUE"""),0.0)</f>
        <v>0</v>
      </c>
      <c r="AA8" s="16">
        <f>IFERROR(__xludf.DUMMYFUNCTION("""COMPUTED_VALUE"""),0.0)</f>
        <v>0</v>
      </c>
      <c r="AB8" s="16">
        <f>IFERROR(__xludf.DUMMYFUNCTION("""COMPUTED_VALUE"""),0.0)</f>
        <v>0</v>
      </c>
      <c r="AC8" s="16">
        <f>IFERROR(__xludf.DUMMYFUNCTION("""COMPUTED_VALUE"""),0.0)</f>
        <v>0</v>
      </c>
      <c r="AD8" s="16">
        <f>IFERROR(__xludf.DUMMYFUNCTION("""COMPUTED_VALUE"""),0.0)</f>
        <v>0</v>
      </c>
      <c r="AE8" s="16">
        <f>IFERROR(__xludf.DUMMYFUNCTION("""COMPUTED_VALUE"""),0.0)</f>
        <v>0</v>
      </c>
      <c r="AF8" s="16">
        <f>IFERROR(__xludf.DUMMYFUNCTION("""COMPUTED_VALUE"""),0.0)</f>
        <v>0</v>
      </c>
      <c r="AG8" s="16">
        <f>IFERROR(__xludf.DUMMYFUNCTION("""COMPUTED_VALUE"""),0.0)</f>
        <v>0</v>
      </c>
      <c r="AH8" s="16">
        <f>IFERROR(__xludf.DUMMYFUNCTION("""COMPUTED_VALUE"""),0.0)</f>
        <v>0</v>
      </c>
    </row>
    <row r="9">
      <c r="A9" s="16" t="str">
        <f>IFERROR(__xludf.DUMMYFUNCTION("""COMPUTED_VALUE"""),"048b7efb083246fe7c75b60c3bccf0e015f15e03")</f>
        <v>048b7efb083246fe7c75b60c3bccf0e015f15e03</v>
      </c>
      <c r="B9" s="16" t="str">
        <f>IFERROR(__xludf.DUMMYFUNCTION("""COMPUTED_VALUE"""),"Veterinarian Beast Master")</f>
        <v>Veterinarian Beast Master</v>
      </c>
      <c r="C9" s="16" t="str">
        <f>IFERROR(__xludf.DUMMYFUNCTION("""COMPUTED_VALUE"""),"Fantasy")</f>
        <v>Fantasy</v>
      </c>
      <c r="D9" s="16">
        <f>IFERROR(__xludf.DUMMYFUNCTION("""COMPUTED_VALUE"""),28.0)</f>
        <v>28</v>
      </c>
      <c r="E9" s="16">
        <f>IFERROR(__xludf.DUMMYFUNCTION("""COMPUTED_VALUE"""),1.0)</f>
        <v>1</v>
      </c>
      <c r="F9" s="16">
        <f>IFERROR(__xludf.DUMMYFUNCTION("""COMPUTED_VALUE"""),0.714285714285714)</f>
        <v>0.7142857143</v>
      </c>
      <c r="G9" s="16">
        <f>IFERROR(__xludf.DUMMYFUNCTION("""COMPUTED_VALUE"""),0.535714285714285)</f>
        <v>0.5357142857</v>
      </c>
      <c r="H9" s="16">
        <f>IFERROR(__xludf.DUMMYFUNCTION("""COMPUTED_VALUE"""),0.5)</f>
        <v>0.5</v>
      </c>
      <c r="I9" s="16">
        <f>IFERROR(__xludf.DUMMYFUNCTION("""COMPUTED_VALUE"""),0.464285714285714)</f>
        <v>0.4642857143</v>
      </c>
      <c r="J9" s="16">
        <f>IFERROR(__xludf.DUMMYFUNCTION("""COMPUTED_VALUE"""),0.428571428571428)</f>
        <v>0.4285714286</v>
      </c>
      <c r="K9" s="16">
        <f>IFERROR(__xludf.DUMMYFUNCTION("""COMPUTED_VALUE"""),0.392857142857142)</f>
        <v>0.3928571429</v>
      </c>
      <c r="L9" s="16">
        <f>IFERROR(__xludf.DUMMYFUNCTION("""COMPUTED_VALUE"""),0.357142857142857)</f>
        <v>0.3571428571</v>
      </c>
      <c r="M9" s="16">
        <f>IFERROR(__xludf.DUMMYFUNCTION("""COMPUTED_VALUE"""),0.357142857142857)</f>
        <v>0.3571428571</v>
      </c>
      <c r="N9" s="16">
        <f>IFERROR(__xludf.DUMMYFUNCTION("""COMPUTED_VALUE"""),0.307692307692307)</f>
        <v>0.3076923077</v>
      </c>
      <c r="O9" s="16">
        <f>IFERROR(__xludf.DUMMYFUNCTION("""COMPUTED_VALUE"""),0.24)</f>
        <v>0.24</v>
      </c>
      <c r="P9" s="16">
        <f>IFERROR(__xludf.DUMMYFUNCTION("""COMPUTED_VALUE"""),0.285714285714285)</f>
        <v>0.2857142857</v>
      </c>
      <c r="Q9" s="16">
        <f>IFERROR(__xludf.DUMMYFUNCTION("""COMPUTED_VALUE"""),0.2)</f>
        <v>0.2</v>
      </c>
      <c r="R9" s="16">
        <f>IFERROR(__xludf.DUMMYFUNCTION("""COMPUTED_VALUE"""),0.333333333333333)</f>
        <v>0.3333333333</v>
      </c>
      <c r="S9" s="16">
        <f>IFERROR(__xludf.DUMMYFUNCTION("""COMPUTED_VALUE"""),0.5)</f>
        <v>0.5</v>
      </c>
      <c r="T9" s="16">
        <f>IFERROR(__xludf.DUMMYFUNCTION("""COMPUTED_VALUE"""),0.0)</f>
        <v>0</v>
      </c>
      <c r="U9" s="16">
        <f>IFERROR(__xludf.DUMMYFUNCTION("""COMPUTED_VALUE"""),0.0)</f>
        <v>0</v>
      </c>
      <c r="V9" s="16">
        <f>IFERROR(__xludf.DUMMYFUNCTION("""COMPUTED_VALUE"""),0.0)</f>
        <v>0</v>
      </c>
      <c r="W9" s="16">
        <f>IFERROR(__xludf.DUMMYFUNCTION("""COMPUTED_VALUE"""),0.0)</f>
        <v>0</v>
      </c>
      <c r="X9" s="16">
        <f>IFERROR(__xludf.DUMMYFUNCTION("""COMPUTED_VALUE"""),0.0)</f>
        <v>0</v>
      </c>
      <c r="Y9" s="16">
        <f>IFERROR(__xludf.DUMMYFUNCTION("""COMPUTED_VALUE"""),0.0)</f>
        <v>0</v>
      </c>
      <c r="Z9" s="16">
        <f>IFERROR(__xludf.DUMMYFUNCTION("""COMPUTED_VALUE"""),0.0)</f>
        <v>0</v>
      </c>
      <c r="AA9" s="16">
        <f>IFERROR(__xludf.DUMMYFUNCTION("""COMPUTED_VALUE"""),0.0)</f>
        <v>0</v>
      </c>
      <c r="AB9" s="16">
        <f>IFERROR(__xludf.DUMMYFUNCTION("""COMPUTED_VALUE"""),0.0)</f>
        <v>0</v>
      </c>
      <c r="AC9" s="16">
        <f>IFERROR(__xludf.DUMMYFUNCTION("""COMPUTED_VALUE"""),0.0)</f>
        <v>0</v>
      </c>
      <c r="AD9" s="16">
        <f>IFERROR(__xludf.DUMMYFUNCTION("""COMPUTED_VALUE"""),0.0)</f>
        <v>0</v>
      </c>
      <c r="AE9" s="16">
        <f>IFERROR(__xludf.DUMMYFUNCTION("""COMPUTED_VALUE"""),0.0)</f>
        <v>0</v>
      </c>
      <c r="AF9" s="16">
        <f>IFERROR(__xludf.DUMMYFUNCTION("""COMPUTED_VALUE"""),0.0)</f>
        <v>0</v>
      </c>
      <c r="AG9" s="16">
        <f>IFERROR(__xludf.DUMMYFUNCTION("""COMPUTED_VALUE"""),0.0)</f>
        <v>0</v>
      </c>
      <c r="AH9" s="16">
        <f>IFERROR(__xludf.DUMMYFUNCTION("""COMPUTED_VALUE"""),0.0)</f>
        <v>0</v>
      </c>
    </row>
    <row r="10">
      <c r="A10" s="16" t="str">
        <f>IFERROR(__xludf.DUMMYFUNCTION("""COMPUTED_VALUE"""),"05081ee1026b5a4754958dd34670379788a6d672")</f>
        <v>05081ee1026b5a4754958dd34670379788a6d672</v>
      </c>
      <c r="B10" s="16" t="str">
        <f>IFERROR(__xludf.DUMMYFUNCTION("""COMPUTED_VALUE"""),"Billionaire Prison Bride")</f>
        <v>Billionaire Prison Bride</v>
      </c>
      <c r="C10" s="16" t="str">
        <f>IFERROR(__xludf.DUMMYFUNCTION("""COMPUTED_VALUE"""),"Romance")</f>
        <v>Romance</v>
      </c>
      <c r="D10" s="16">
        <f>IFERROR(__xludf.DUMMYFUNCTION("""COMPUTED_VALUE"""),355.0)</f>
        <v>355</v>
      </c>
      <c r="E10" s="16">
        <f>IFERROR(__xludf.DUMMYFUNCTION("""COMPUTED_VALUE"""),0.96338028169014)</f>
        <v>0.9633802817</v>
      </c>
      <c r="F10" s="16">
        <f>IFERROR(__xludf.DUMMYFUNCTION("""COMPUTED_VALUE"""),0.692957746478873)</f>
        <v>0.6929577465</v>
      </c>
      <c r="G10" s="16">
        <f>IFERROR(__xludf.DUMMYFUNCTION("""COMPUTED_VALUE"""),0.650704225352112)</f>
        <v>0.6507042254</v>
      </c>
      <c r="H10" s="16">
        <f>IFERROR(__xludf.DUMMYFUNCTION("""COMPUTED_VALUE"""),0.633802816901408)</f>
        <v>0.6338028169</v>
      </c>
      <c r="I10" s="16">
        <f>IFERROR(__xludf.DUMMYFUNCTION("""COMPUTED_VALUE"""),0.619718309859154)</f>
        <v>0.6197183099</v>
      </c>
      <c r="J10" s="16">
        <f>IFERROR(__xludf.DUMMYFUNCTION("""COMPUTED_VALUE"""),0.605113636363636)</f>
        <v>0.6051136364</v>
      </c>
      <c r="K10" s="16">
        <f>IFERROR(__xludf.DUMMYFUNCTION("""COMPUTED_VALUE"""),0.561253561253561)</f>
        <v>0.5612535613</v>
      </c>
      <c r="L10" s="16">
        <f>IFERROR(__xludf.DUMMYFUNCTION("""COMPUTED_VALUE"""),0.525862068965517)</f>
        <v>0.525862069</v>
      </c>
      <c r="M10" s="16">
        <f>IFERROR(__xludf.DUMMYFUNCTION("""COMPUTED_VALUE"""),0.507246376811594)</f>
        <v>0.5072463768</v>
      </c>
      <c r="N10" s="16">
        <f>IFERROR(__xludf.DUMMYFUNCTION("""COMPUTED_VALUE"""),0.494117647058823)</f>
        <v>0.4941176471</v>
      </c>
      <c r="O10" s="16">
        <f>IFERROR(__xludf.DUMMYFUNCTION("""COMPUTED_VALUE"""),0.399317406143344)</f>
        <v>0.3993174061</v>
      </c>
      <c r="P10" s="16">
        <f>IFERROR(__xludf.DUMMYFUNCTION("""COMPUTED_VALUE"""),0.25)</f>
        <v>0.25</v>
      </c>
      <c r="Q10" s="16">
        <f>IFERROR(__xludf.DUMMYFUNCTION("""COMPUTED_VALUE"""),0.0)</f>
        <v>0</v>
      </c>
      <c r="R10" s="16">
        <f>IFERROR(__xludf.DUMMYFUNCTION("""COMPUTED_VALUE"""),0.0)</f>
        <v>0</v>
      </c>
      <c r="S10" s="16">
        <f>IFERROR(__xludf.DUMMYFUNCTION("""COMPUTED_VALUE"""),0.0)</f>
        <v>0</v>
      </c>
      <c r="T10" s="16">
        <f>IFERROR(__xludf.DUMMYFUNCTION("""COMPUTED_VALUE"""),0.0)</f>
        <v>0</v>
      </c>
      <c r="U10" s="16">
        <f>IFERROR(__xludf.DUMMYFUNCTION("""COMPUTED_VALUE"""),0.0)</f>
        <v>0</v>
      </c>
      <c r="V10" s="16">
        <f>IFERROR(__xludf.DUMMYFUNCTION("""COMPUTED_VALUE"""),0.0)</f>
        <v>0</v>
      </c>
      <c r="W10" s="16">
        <f>IFERROR(__xludf.DUMMYFUNCTION("""COMPUTED_VALUE"""),0.0)</f>
        <v>0</v>
      </c>
      <c r="X10" s="16">
        <f>IFERROR(__xludf.DUMMYFUNCTION("""COMPUTED_VALUE"""),0.0)</f>
        <v>0</v>
      </c>
      <c r="Y10" s="16">
        <f>IFERROR(__xludf.DUMMYFUNCTION("""COMPUTED_VALUE"""),0.0)</f>
        <v>0</v>
      </c>
      <c r="Z10" s="16">
        <f>IFERROR(__xludf.DUMMYFUNCTION("""COMPUTED_VALUE"""),0.0)</f>
        <v>0</v>
      </c>
      <c r="AA10" s="16">
        <f>IFERROR(__xludf.DUMMYFUNCTION("""COMPUTED_VALUE"""),0.0)</f>
        <v>0</v>
      </c>
      <c r="AB10" s="16">
        <f>IFERROR(__xludf.DUMMYFUNCTION("""COMPUTED_VALUE"""),0.0)</f>
        <v>0</v>
      </c>
      <c r="AC10" s="16">
        <f>IFERROR(__xludf.DUMMYFUNCTION("""COMPUTED_VALUE"""),0.0)</f>
        <v>0</v>
      </c>
      <c r="AD10" s="16">
        <f>IFERROR(__xludf.DUMMYFUNCTION("""COMPUTED_VALUE"""),0.0)</f>
        <v>0</v>
      </c>
      <c r="AE10" s="16">
        <f>IFERROR(__xludf.DUMMYFUNCTION("""COMPUTED_VALUE"""),0.0)</f>
        <v>0</v>
      </c>
      <c r="AF10" s="16">
        <f>IFERROR(__xludf.DUMMYFUNCTION("""COMPUTED_VALUE"""),0.0)</f>
        <v>0</v>
      </c>
      <c r="AG10" s="16">
        <f>IFERROR(__xludf.DUMMYFUNCTION("""COMPUTED_VALUE"""),0.0)</f>
        <v>0</v>
      </c>
      <c r="AH10" s="16">
        <f>IFERROR(__xludf.DUMMYFUNCTION("""COMPUTED_VALUE"""),0.0)</f>
        <v>0</v>
      </c>
    </row>
    <row r="11">
      <c r="A11" s="16" t="str">
        <f>IFERROR(__xludf.DUMMYFUNCTION("""COMPUTED_VALUE"""),"05808ad9143ee75794133fd50497137fea47e57b")</f>
        <v>05808ad9143ee75794133fd50497137fea47e57b</v>
      </c>
      <c r="B11" s="16" t="str">
        <f>IFERROR(__xludf.DUMMYFUNCTION("""COMPUTED_VALUE"""),"Infinity Stars")</f>
        <v>Infinity Stars</v>
      </c>
      <c r="C11" s="16" t="str">
        <f>IFERROR(__xludf.DUMMYFUNCTION("""COMPUTED_VALUE"""),"Fantasy")</f>
        <v>Fantasy</v>
      </c>
      <c r="D11" s="16">
        <f>IFERROR(__xludf.DUMMYFUNCTION("""COMPUTED_VALUE"""),129.0)</f>
        <v>129</v>
      </c>
      <c r="E11" s="16">
        <f>IFERROR(__xludf.DUMMYFUNCTION("""COMPUTED_VALUE"""),0.945736434108527)</f>
        <v>0.9457364341</v>
      </c>
      <c r="F11" s="16">
        <f>IFERROR(__xludf.DUMMYFUNCTION("""COMPUTED_VALUE"""),0.620155038759689)</f>
        <v>0.6201550388</v>
      </c>
      <c r="G11" s="16">
        <f>IFERROR(__xludf.DUMMYFUNCTION("""COMPUTED_VALUE"""),0.573643410852713)</f>
        <v>0.5736434109</v>
      </c>
      <c r="H11" s="16">
        <f>IFERROR(__xludf.DUMMYFUNCTION("""COMPUTED_VALUE"""),0.542635658914728)</f>
        <v>0.5426356589</v>
      </c>
      <c r="I11" s="16">
        <f>IFERROR(__xludf.DUMMYFUNCTION("""COMPUTED_VALUE"""),0.503875968992248)</f>
        <v>0.503875969</v>
      </c>
      <c r="J11" s="16">
        <f>IFERROR(__xludf.DUMMYFUNCTION("""COMPUTED_VALUE"""),0.4765625)</f>
        <v>0.4765625</v>
      </c>
      <c r="K11" s="16">
        <f>IFERROR(__xludf.DUMMYFUNCTION("""COMPUTED_VALUE"""),0.48)</f>
        <v>0.48</v>
      </c>
      <c r="L11" s="16">
        <f>IFERROR(__xludf.DUMMYFUNCTION("""COMPUTED_VALUE"""),0.478991596638655)</f>
        <v>0.4789915966</v>
      </c>
      <c r="M11" s="16">
        <f>IFERROR(__xludf.DUMMYFUNCTION("""COMPUTED_VALUE"""),0.5)</f>
        <v>0.5</v>
      </c>
      <c r="N11" s="16">
        <f>IFERROR(__xludf.DUMMYFUNCTION("""COMPUTED_VALUE"""),0.471698113207547)</f>
        <v>0.4716981132</v>
      </c>
      <c r="O11" s="16">
        <f>IFERROR(__xludf.DUMMYFUNCTION("""COMPUTED_VALUE"""),0.481927710843373)</f>
        <v>0.4819277108</v>
      </c>
      <c r="P11" s="16">
        <f>IFERROR(__xludf.DUMMYFUNCTION("""COMPUTED_VALUE"""),0.455882352941176)</f>
        <v>0.4558823529</v>
      </c>
      <c r="Q11" s="16">
        <f>IFERROR(__xludf.DUMMYFUNCTION("""COMPUTED_VALUE"""),0.333333333333333)</f>
        <v>0.3333333333</v>
      </c>
      <c r="R11" s="16">
        <f>IFERROR(__xludf.DUMMYFUNCTION("""COMPUTED_VALUE"""),0.23076923076923)</f>
        <v>0.2307692308</v>
      </c>
      <c r="S11" s="16">
        <f>IFERROR(__xludf.DUMMYFUNCTION("""COMPUTED_VALUE"""),0.163265306122448)</f>
        <v>0.1632653061</v>
      </c>
      <c r="T11" s="16">
        <f>IFERROR(__xludf.DUMMYFUNCTION("""COMPUTED_VALUE"""),0.0)</f>
        <v>0</v>
      </c>
      <c r="U11" s="16">
        <f>IFERROR(__xludf.DUMMYFUNCTION("""COMPUTED_VALUE"""),0.0)</f>
        <v>0</v>
      </c>
      <c r="V11" s="16">
        <f>IFERROR(__xludf.DUMMYFUNCTION("""COMPUTED_VALUE"""),0.0)</f>
        <v>0</v>
      </c>
      <c r="W11" s="16">
        <f>IFERROR(__xludf.DUMMYFUNCTION("""COMPUTED_VALUE"""),0.0)</f>
        <v>0</v>
      </c>
      <c r="X11" s="16">
        <f>IFERROR(__xludf.DUMMYFUNCTION("""COMPUTED_VALUE"""),0.0)</f>
        <v>0</v>
      </c>
      <c r="Y11" s="16">
        <f>IFERROR(__xludf.DUMMYFUNCTION("""COMPUTED_VALUE"""),0.0)</f>
        <v>0</v>
      </c>
      <c r="Z11" s="16">
        <f>IFERROR(__xludf.DUMMYFUNCTION("""COMPUTED_VALUE"""),0.0)</f>
        <v>0</v>
      </c>
      <c r="AA11" s="16">
        <f>IFERROR(__xludf.DUMMYFUNCTION("""COMPUTED_VALUE"""),0.0)</f>
        <v>0</v>
      </c>
      <c r="AB11" s="16">
        <f>IFERROR(__xludf.DUMMYFUNCTION("""COMPUTED_VALUE"""),0.0)</f>
        <v>0</v>
      </c>
      <c r="AC11" s="16">
        <f>IFERROR(__xludf.DUMMYFUNCTION("""COMPUTED_VALUE"""),0.0)</f>
        <v>0</v>
      </c>
      <c r="AD11" s="16">
        <f>IFERROR(__xludf.DUMMYFUNCTION("""COMPUTED_VALUE"""),0.0)</f>
        <v>0</v>
      </c>
      <c r="AE11" s="16">
        <f>IFERROR(__xludf.DUMMYFUNCTION("""COMPUTED_VALUE"""),0.0)</f>
        <v>0</v>
      </c>
      <c r="AF11" s="16">
        <f>IFERROR(__xludf.DUMMYFUNCTION("""COMPUTED_VALUE"""),0.0)</f>
        <v>0</v>
      </c>
      <c r="AG11" s="16">
        <f>IFERROR(__xludf.DUMMYFUNCTION("""COMPUTED_VALUE"""),0.0)</f>
        <v>0</v>
      </c>
      <c r="AH11" s="16">
        <f>IFERROR(__xludf.DUMMYFUNCTION("""COMPUTED_VALUE"""),0.0)</f>
        <v>0</v>
      </c>
    </row>
    <row r="12">
      <c r="A12" s="16" t="str">
        <f>IFERROR(__xludf.DUMMYFUNCTION("""COMPUTED_VALUE"""),"06f83c7bf7296efe61da1c2da6e5c12e8e7d4aa8")</f>
        <v>06f83c7bf7296efe61da1c2da6e5c12e8e7d4aa8</v>
      </c>
      <c r="B12" s="16" t="str">
        <f>IFERROR(__xludf.DUMMYFUNCTION("""COMPUTED_VALUE"""),"Sigil of the Seven")</f>
        <v>Sigil of the Seven</v>
      </c>
      <c r="C12" s="16" t="str">
        <f>IFERROR(__xludf.DUMMYFUNCTION("""COMPUTED_VALUE"""),"Fantasy")</f>
        <v>Fantasy</v>
      </c>
      <c r="D12" s="16">
        <f>IFERROR(__xludf.DUMMYFUNCTION("""COMPUTED_VALUE"""),544.0)</f>
        <v>544</v>
      </c>
      <c r="E12" s="16">
        <f>IFERROR(__xludf.DUMMYFUNCTION("""COMPUTED_VALUE"""),0.959558823529411)</f>
        <v>0.9595588235</v>
      </c>
      <c r="F12" s="16">
        <f>IFERROR(__xludf.DUMMYFUNCTION("""COMPUTED_VALUE"""),0.636029411764705)</f>
        <v>0.6360294118</v>
      </c>
      <c r="G12" s="16">
        <f>IFERROR(__xludf.DUMMYFUNCTION("""COMPUTED_VALUE"""),0.542279411764705)</f>
        <v>0.5422794118</v>
      </c>
      <c r="H12" s="16">
        <f>IFERROR(__xludf.DUMMYFUNCTION("""COMPUTED_VALUE"""),0.50735294117647)</f>
        <v>0.5073529412</v>
      </c>
      <c r="I12" s="16">
        <f>IFERROR(__xludf.DUMMYFUNCTION("""COMPUTED_VALUE"""),0.479779411764705)</f>
        <v>0.4797794118</v>
      </c>
      <c r="J12" s="16">
        <f>IFERROR(__xludf.DUMMYFUNCTION("""COMPUTED_VALUE"""),0.448529411764705)</f>
        <v>0.4485294118</v>
      </c>
      <c r="K12" s="16">
        <f>IFERROR(__xludf.DUMMYFUNCTION("""COMPUTED_VALUE"""),0.423572744014732)</f>
        <v>0.423572744</v>
      </c>
      <c r="L12" s="16">
        <f>IFERROR(__xludf.DUMMYFUNCTION("""COMPUTED_VALUE"""),0.413284132841328)</f>
        <v>0.4132841328</v>
      </c>
      <c r="M12" s="16">
        <f>IFERROR(__xludf.DUMMYFUNCTION("""COMPUTED_VALUE"""),0.402214022140221)</f>
        <v>0.4022140221</v>
      </c>
      <c r="N12" s="16">
        <f>IFERROR(__xludf.DUMMYFUNCTION("""COMPUTED_VALUE"""),0.393715341959334)</f>
        <v>0.393715342</v>
      </c>
      <c r="O12" s="16">
        <f>IFERROR(__xludf.DUMMYFUNCTION("""COMPUTED_VALUE"""),0.363977485928705)</f>
        <v>0.3639774859</v>
      </c>
      <c r="P12" s="16">
        <f>IFERROR(__xludf.DUMMYFUNCTION("""COMPUTED_VALUE"""),0.33206106870229)</f>
        <v>0.3320610687</v>
      </c>
      <c r="Q12" s="16">
        <f>IFERROR(__xludf.DUMMYFUNCTION("""COMPUTED_VALUE"""),0.252941176470588)</f>
        <v>0.2529411765</v>
      </c>
      <c r="R12" s="16">
        <f>IFERROR(__xludf.DUMMYFUNCTION("""COMPUTED_VALUE"""),0.202839756592292)</f>
        <v>0.2028397566</v>
      </c>
      <c r="S12" s="16">
        <f>IFERROR(__xludf.DUMMYFUNCTION("""COMPUTED_VALUE"""),0.153684210526315)</f>
        <v>0.1536842105</v>
      </c>
      <c r="T12" s="16">
        <f>IFERROR(__xludf.DUMMYFUNCTION("""COMPUTED_VALUE"""),0.0889570552147239)</f>
        <v>0.08895705521</v>
      </c>
      <c r="U12" s="16">
        <f>IFERROR(__xludf.DUMMYFUNCTION("""COMPUTED_VALUE"""),0.0588235294117647)</f>
        <v>0.05882352941</v>
      </c>
      <c r="V12" s="16">
        <f>IFERROR(__xludf.DUMMYFUNCTION("""COMPUTED_VALUE"""),0.0535714285714285)</f>
        <v>0.05357142857</v>
      </c>
      <c r="W12" s="16">
        <f>IFERROR(__xludf.DUMMYFUNCTION("""COMPUTED_VALUE"""),0.0467289719626168)</f>
        <v>0.04672897196</v>
      </c>
      <c r="X12" s="16">
        <f>IFERROR(__xludf.DUMMYFUNCTION("""COMPUTED_VALUE"""),0.0492957746478873)</f>
        <v>0.04929577465</v>
      </c>
      <c r="Y12" s="16">
        <f>IFERROR(__xludf.DUMMYFUNCTION("""COMPUTED_VALUE"""),0.032258064516129)</f>
        <v>0.03225806452</v>
      </c>
      <c r="Z12" s="16">
        <f>IFERROR(__xludf.DUMMYFUNCTION("""COMPUTED_VALUE"""),0.0)</f>
        <v>0</v>
      </c>
      <c r="AA12" s="16">
        <f>IFERROR(__xludf.DUMMYFUNCTION("""COMPUTED_VALUE"""),0.0)</f>
        <v>0</v>
      </c>
      <c r="AB12" s="16">
        <f>IFERROR(__xludf.DUMMYFUNCTION("""COMPUTED_VALUE"""),0.0)</f>
        <v>0</v>
      </c>
      <c r="AC12" s="16">
        <f>IFERROR(__xludf.DUMMYFUNCTION("""COMPUTED_VALUE"""),0.0)</f>
        <v>0</v>
      </c>
      <c r="AD12" s="16">
        <f>IFERROR(__xludf.DUMMYFUNCTION("""COMPUTED_VALUE"""),0.0)</f>
        <v>0</v>
      </c>
      <c r="AE12" s="16">
        <f>IFERROR(__xludf.DUMMYFUNCTION("""COMPUTED_VALUE"""),0.0)</f>
        <v>0</v>
      </c>
      <c r="AF12" s="16">
        <f>IFERROR(__xludf.DUMMYFUNCTION("""COMPUTED_VALUE"""),0.0)</f>
        <v>0</v>
      </c>
      <c r="AG12" s="16">
        <f>IFERROR(__xludf.DUMMYFUNCTION("""COMPUTED_VALUE"""),0.0)</f>
        <v>0</v>
      </c>
      <c r="AH12" s="16">
        <f>IFERROR(__xludf.DUMMYFUNCTION("""COMPUTED_VALUE"""),0.0)</f>
        <v>0</v>
      </c>
    </row>
    <row r="13">
      <c r="A13" s="16" t="str">
        <f>IFERROR(__xludf.DUMMYFUNCTION("""COMPUTED_VALUE"""),"0b07b41ff930aa13e98588f626eef70da51bb47e")</f>
        <v>0b07b41ff930aa13e98588f626eef70da51bb47e</v>
      </c>
      <c r="B13" s="16" t="str">
        <f>IFERROR(__xludf.DUMMYFUNCTION("""COMPUTED_VALUE"""),"Debtbound Between Worlds")</f>
        <v>Debtbound Between Worlds</v>
      </c>
      <c r="C13" s="16" t="str">
        <f>IFERROR(__xludf.DUMMYFUNCTION("""COMPUTED_VALUE"""),"Fantasy")</f>
        <v>Fantasy</v>
      </c>
      <c r="D13" s="16">
        <f>IFERROR(__xludf.DUMMYFUNCTION("""COMPUTED_VALUE"""),6.0)</f>
        <v>6</v>
      </c>
      <c r="E13" s="16">
        <f>IFERROR(__xludf.DUMMYFUNCTION("""COMPUTED_VALUE"""),1.0)</f>
        <v>1</v>
      </c>
      <c r="F13" s="16">
        <f>IFERROR(__xludf.DUMMYFUNCTION("""COMPUTED_VALUE"""),0.5)</f>
        <v>0.5</v>
      </c>
      <c r="G13" s="16">
        <f>IFERROR(__xludf.DUMMYFUNCTION("""COMPUTED_VALUE"""),0.5)</f>
        <v>0.5</v>
      </c>
      <c r="H13" s="16">
        <f>IFERROR(__xludf.DUMMYFUNCTION("""COMPUTED_VALUE"""),0.5)</f>
        <v>0.5</v>
      </c>
      <c r="I13" s="16">
        <f>IFERROR(__xludf.DUMMYFUNCTION("""COMPUTED_VALUE"""),0.5)</f>
        <v>0.5</v>
      </c>
      <c r="J13" s="16">
        <f>IFERROR(__xludf.DUMMYFUNCTION("""COMPUTED_VALUE"""),0.5)</f>
        <v>0.5</v>
      </c>
      <c r="K13" s="16">
        <f>IFERROR(__xludf.DUMMYFUNCTION("""COMPUTED_VALUE"""),0.5)</f>
        <v>0.5</v>
      </c>
      <c r="L13" s="16">
        <f>IFERROR(__xludf.DUMMYFUNCTION("""COMPUTED_VALUE"""),0.5)</f>
        <v>0.5</v>
      </c>
      <c r="M13" s="16">
        <f>IFERROR(__xludf.DUMMYFUNCTION("""COMPUTED_VALUE"""),0.5)</f>
        <v>0.5</v>
      </c>
      <c r="N13" s="16">
        <f>IFERROR(__xludf.DUMMYFUNCTION("""COMPUTED_VALUE"""),0.5)</f>
        <v>0.5</v>
      </c>
      <c r="O13" s="16">
        <f>IFERROR(__xludf.DUMMYFUNCTION("""COMPUTED_VALUE"""),0.166666666666666)</f>
        <v>0.1666666667</v>
      </c>
      <c r="P13" s="16">
        <f>IFERROR(__xludf.DUMMYFUNCTION("""COMPUTED_VALUE"""),0.5)</f>
        <v>0.5</v>
      </c>
      <c r="Q13" s="16">
        <f>IFERROR(__xludf.DUMMYFUNCTION("""COMPUTED_VALUE"""),0.0)</f>
        <v>0</v>
      </c>
      <c r="R13" s="16">
        <f>IFERROR(__xludf.DUMMYFUNCTION("""COMPUTED_VALUE"""),0.0)</f>
        <v>0</v>
      </c>
      <c r="S13" s="16">
        <f>IFERROR(__xludf.DUMMYFUNCTION("""COMPUTED_VALUE"""),0.0)</f>
        <v>0</v>
      </c>
      <c r="T13" s="16">
        <f>IFERROR(__xludf.DUMMYFUNCTION("""COMPUTED_VALUE"""),0.0)</f>
        <v>0</v>
      </c>
      <c r="U13" s="16">
        <f>IFERROR(__xludf.DUMMYFUNCTION("""COMPUTED_VALUE"""),0.0)</f>
        <v>0</v>
      </c>
      <c r="V13" s="16">
        <f>IFERROR(__xludf.DUMMYFUNCTION("""COMPUTED_VALUE"""),0.0)</f>
        <v>0</v>
      </c>
      <c r="W13" s="16">
        <f>IFERROR(__xludf.DUMMYFUNCTION("""COMPUTED_VALUE"""),0.0)</f>
        <v>0</v>
      </c>
      <c r="X13" s="16">
        <f>IFERROR(__xludf.DUMMYFUNCTION("""COMPUTED_VALUE"""),0.0)</f>
        <v>0</v>
      </c>
      <c r="Y13" s="16">
        <f>IFERROR(__xludf.DUMMYFUNCTION("""COMPUTED_VALUE"""),0.0)</f>
        <v>0</v>
      </c>
      <c r="Z13" s="16">
        <f>IFERROR(__xludf.DUMMYFUNCTION("""COMPUTED_VALUE"""),0.0)</f>
        <v>0</v>
      </c>
      <c r="AA13" s="16">
        <f>IFERROR(__xludf.DUMMYFUNCTION("""COMPUTED_VALUE"""),0.0)</f>
        <v>0</v>
      </c>
      <c r="AB13" s="16">
        <f>IFERROR(__xludf.DUMMYFUNCTION("""COMPUTED_VALUE"""),0.0)</f>
        <v>0</v>
      </c>
      <c r="AC13" s="16">
        <f>IFERROR(__xludf.DUMMYFUNCTION("""COMPUTED_VALUE"""),0.0)</f>
        <v>0</v>
      </c>
      <c r="AD13" s="16">
        <f>IFERROR(__xludf.DUMMYFUNCTION("""COMPUTED_VALUE"""),0.0)</f>
        <v>0</v>
      </c>
      <c r="AE13" s="16">
        <f>IFERROR(__xludf.DUMMYFUNCTION("""COMPUTED_VALUE"""),0.0)</f>
        <v>0</v>
      </c>
      <c r="AF13" s="16">
        <f>IFERROR(__xludf.DUMMYFUNCTION("""COMPUTED_VALUE"""),0.0)</f>
        <v>0</v>
      </c>
      <c r="AG13" s="16">
        <f>IFERROR(__xludf.DUMMYFUNCTION("""COMPUTED_VALUE"""),0.0)</f>
        <v>0</v>
      </c>
      <c r="AH13" s="16">
        <f>IFERROR(__xludf.DUMMYFUNCTION("""COMPUTED_VALUE"""),0.0)</f>
        <v>0</v>
      </c>
    </row>
    <row r="14">
      <c r="A14" s="16" t="str">
        <f>IFERROR(__xludf.DUMMYFUNCTION("""COMPUTED_VALUE"""),"0b24baea319eafeca1995fb9b34e29d6ebfb9a50")</f>
        <v>0b24baea319eafeca1995fb9b34e29d6ebfb9a50</v>
      </c>
      <c r="B14" s="16" t="str">
        <f>IFERROR(__xludf.DUMMYFUNCTION("""COMPUTED_VALUE"""),"Rejected Bride Returns")</f>
        <v>Rejected Bride Returns</v>
      </c>
      <c r="C14" s="16" t="str">
        <f>IFERROR(__xludf.DUMMYFUNCTION("""COMPUTED_VALUE"""),"Romance")</f>
        <v>Romance</v>
      </c>
      <c r="D14" s="16">
        <f>IFERROR(__xludf.DUMMYFUNCTION("""COMPUTED_VALUE"""),446.0)</f>
        <v>446</v>
      </c>
      <c r="E14" s="16">
        <f>IFERROR(__xludf.DUMMYFUNCTION("""COMPUTED_VALUE"""),0.970852017937219)</f>
        <v>0.9708520179</v>
      </c>
      <c r="F14" s="16">
        <f>IFERROR(__xludf.DUMMYFUNCTION("""COMPUTED_VALUE"""),0.621076233183856)</f>
        <v>0.6210762332</v>
      </c>
      <c r="G14" s="16">
        <f>IFERROR(__xludf.DUMMYFUNCTION("""COMPUTED_VALUE"""),0.52914798206278)</f>
        <v>0.5291479821</v>
      </c>
      <c r="H14" s="16">
        <f>IFERROR(__xludf.DUMMYFUNCTION("""COMPUTED_VALUE"""),0.426008968609865)</f>
        <v>0.4260089686</v>
      </c>
      <c r="I14" s="16">
        <f>IFERROR(__xludf.DUMMYFUNCTION("""COMPUTED_VALUE"""),0.349775784753363)</f>
        <v>0.3497757848</v>
      </c>
      <c r="J14" s="16">
        <f>IFERROR(__xludf.DUMMYFUNCTION("""COMPUTED_VALUE"""),0.291479820627802)</f>
        <v>0.2914798206</v>
      </c>
      <c r="K14" s="16">
        <f>IFERROR(__xludf.DUMMYFUNCTION("""COMPUTED_VALUE"""),0.253932584269662)</f>
        <v>0.2539325843</v>
      </c>
      <c r="L14" s="16">
        <f>IFERROR(__xludf.DUMMYFUNCTION("""COMPUTED_VALUE"""),0.207207207207207)</f>
        <v>0.2072072072</v>
      </c>
      <c r="M14" s="16">
        <f>IFERROR(__xludf.DUMMYFUNCTION("""COMPUTED_VALUE"""),0.165158371040723)</f>
        <v>0.165158371</v>
      </c>
      <c r="N14" s="16">
        <f>IFERROR(__xludf.DUMMYFUNCTION("""COMPUTED_VALUE"""),0.136574074074074)</f>
        <v>0.1365740741</v>
      </c>
      <c r="O14" s="16">
        <f>IFERROR(__xludf.DUMMYFUNCTION("""COMPUTED_VALUE"""),0.087719298245614)</f>
        <v>0.08771929825</v>
      </c>
      <c r="P14" s="16">
        <f>IFERROR(__xludf.DUMMYFUNCTION("""COMPUTED_VALUE"""),0.0)</f>
        <v>0</v>
      </c>
      <c r="Q14" s="16">
        <f>IFERROR(__xludf.DUMMYFUNCTION("""COMPUTED_VALUE"""),0.0)</f>
        <v>0</v>
      </c>
      <c r="R14" s="16">
        <f>IFERROR(__xludf.DUMMYFUNCTION("""COMPUTED_VALUE"""),0.0)</f>
        <v>0</v>
      </c>
      <c r="S14" s="16">
        <f>IFERROR(__xludf.DUMMYFUNCTION("""COMPUTED_VALUE"""),0.0)</f>
        <v>0</v>
      </c>
      <c r="T14" s="16">
        <f>IFERROR(__xludf.DUMMYFUNCTION("""COMPUTED_VALUE"""),0.0)</f>
        <v>0</v>
      </c>
      <c r="U14" s="16">
        <f>IFERROR(__xludf.DUMMYFUNCTION("""COMPUTED_VALUE"""),0.0)</f>
        <v>0</v>
      </c>
      <c r="V14" s="16">
        <f>IFERROR(__xludf.DUMMYFUNCTION("""COMPUTED_VALUE"""),0.0)</f>
        <v>0</v>
      </c>
      <c r="W14" s="16">
        <f>IFERROR(__xludf.DUMMYFUNCTION("""COMPUTED_VALUE"""),0.0)</f>
        <v>0</v>
      </c>
      <c r="X14" s="16">
        <f>IFERROR(__xludf.DUMMYFUNCTION("""COMPUTED_VALUE"""),0.0)</f>
        <v>0</v>
      </c>
      <c r="Y14" s="16">
        <f>IFERROR(__xludf.DUMMYFUNCTION("""COMPUTED_VALUE"""),0.0)</f>
        <v>0</v>
      </c>
      <c r="Z14" s="16">
        <f>IFERROR(__xludf.DUMMYFUNCTION("""COMPUTED_VALUE"""),0.0)</f>
        <v>0</v>
      </c>
      <c r="AA14" s="16">
        <f>IFERROR(__xludf.DUMMYFUNCTION("""COMPUTED_VALUE"""),0.0)</f>
        <v>0</v>
      </c>
      <c r="AB14" s="16">
        <f>IFERROR(__xludf.DUMMYFUNCTION("""COMPUTED_VALUE"""),0.0)</f>
        <v>0</v>
      </c>
      <c r="AC14" s="16">
        <f>IFERROR(__xludf.DUMMYFUNCTION("""COMPUTED_VALUE"""),0.0)</f>
        <v>0</v>
      </c>
      <c r="AD14" s="16">
        <f>IFERROR(__xludf.DUMMYFUNCTION("""COMPUTED_VALUE"""),0.0)</f>
        <v>0</v>
      </c>
      <c r="AE14" s="16">
        <f>IFERROR(__xludf.DUMMYFUNCTION("""COMPUTED_VALUE"""),0.0)</f>
        <v>0</v>
      </c>
      <c r="AF14" s="16">
        <f>IFERROR(__xludf.DUMMYFUNCTION("""COMPUTED_VALUE"""),0.0)</f>
        <v>0</v>
      </c>
      <c r="AG14" s="16">
        <f>IFERROR(__xludf.DUMMYFUNCTION("""COMPUTED_VALUE"""),0.0)</f>
        <v>0</v>
      </c>
      <c r="AH14" s="16">
        <f>IFERROR(__xludf.DUMMYFUNCTION("""COMPUTED_VALUE"""),0.0)</f>
        <v>0</v>
      </c>
    </row>
    <row r="15">
      <c r="A15" s="16" t="str">
        <f>IFERROR(__xludf.DUMMYFUNCTION("""COMPUTED_VALUE"""),"0c7fa1a2b4bca0746ad0384d77796b98dd7d801c")</f>
        <v>0c7fa1a2b4bca0746ad0384d77796b98dd7d801c</v>
      </c>
      <c r="B15" s="16" t="str">
        <f>IFERROR(__xludf.DUMMYFUNCTION("""COMPUTED_VALUE"""),"Flash Marriage to My Ex’s Boss")</f>
        <v>Flash Marriage to My Ex’s Boss</v>
      </c>
      <c r="C15" s="16" t="str">
        <f>IFERROR(__xludf.DUMMYFUNCTION("""COMPUTED_VALUE"""),"Romance")</f>
        <v>Romance</v>
      </c>
      <c r="D15" s="16">
        <f>IFERROR(__xludf.DUMMYFUNCTION("""COMPUTED_VALUE"""),201.0)</f>
        <v>201</v>
      </c>
      <c r="E15" s="16">
        <f>IFERROR(__xludf.DUMMYFUNCTION("""COMPUTED_VALUE"""),0.935323383084577)</f>
        <v>0.9353233831</v>
      </c>
      <c r="F15" s="16">
        <f>IFERROR(__xludf.DUMMYFUNCTION("""COMPUTED_VALUE"""),0.592039800995024)</f>
        <v>0.592039801</v>
      </c>
      <c r="G15" s="16">
        <f>IFERROR(__xludf.DUMMYFUNCTION("""COMPUTED_VALUE"""),0.527363184079602)</f>
        <v>0.5273631841</v>
      </c>
      <c r="H15" s="16">
        <f>IFERROR(__xludf.DUMMYFUNCTION("""COMPUTED_VALUE"""),0.502487562189054)</f>
        <v>0.5024875622</v>
      </c>
      <c r="I15" s="16">
        <f>IFERROR(__xludf.DUMMYFUNCTION("""COMPUTED_VALUE"""),0.462686567164179)</f>
        <v>0.4626865672</v>
      </c>
      <c r="J15" s="16">
        <f>IFERROR(__xludf.DUMMYFUNCTION("""COMPUTED_VALUE"""),0.432835820895522)</f>
        <v>0.4328358209</v>
      </c>
      <c r="K15" s="16">
        <f>IFERROR(__xludf.DUMMYFUNCTION("""COMPUTED_VALUE"""),0.398009950248756)</f>
        <v>0.3980099502</v>
      </c>
      <c r="L15" s="16">
        <f>IFERROR(__xludf.DUMMYFUNCTION("""COMPUTED_VALUE"""),0.39)</f>
        <v>0.39</v>
      </c>
      <c r="M15" s="16">
        <f>IFERROR(__xludf.DUMMYFUNCTION("""COMPUTED_VALUE"""),0.376884422110552)</f>
        <v>0.3768844221</v>
      </c>
      <c r="N15" s="16">
        <f>IFERROR(__xludf.DUMMYFUNCTION("""COMPUTED_VALUE"""),0.346733668341708)</f>
        <v>0.3467336683</v>
      </c>
      <c r="O15" s="16">
        <f>IFERROR(__xludf.DUMMYFUNCTION("""COMPUTED_VALUE"""),0.306532663316582)</f>
        <v>0.3065326633</v>
      </c>
      <c r="P15" s="16">
        <f>IFERROR(__xludf.DUMMYFUNCTION("""COMPUTED_VALUE"""),0.180904522613065)</f>
        <v>0.1809045226</v>
      </c>
      <c r="Q15" s="16">
        <f>IFERROR(__xludf.DUMMYFUNCTION("""COMPUTED_VALUE"""),0.131979695431472)</f>
        <v>0.1319796954</v>
      </c>
      <c r="R15" s="16">
        <f>IFERROR(__xludf.DUMMYFUNCTION("""COMPUTED_VALUE"""),0.126903553299492)</f>
        <v>0.1269035533</v>
      </c>
      <c r="S15" s="16">
        <f>IFERROR(__xludf.DUMMYFUNCTION("""COMPUTED_VALUE"""),0.0)</f>
        <v>0</v>
      </c>
      <c r="T15" s="16">
        <f>IFERROR(__xludf.DUMMYFUNCTION("""COMPUTED_VALUE"""),0.0)</f>
        <v>0</v>
      </c>
      <c r="U15" s="16">
        <f>IFERROR(__xludf.DUMMYFUNCTION("""COMPUTED_VALUE"""),0.0)</f>
        <v>0</v>
      </c>
      <c r="V15" s="16">
        <f>IFERROR(__xludf.DUMMYFUNCTION("""COMPUTED_VALUE"""),0.0)</f>
        <v>0</v>
      </c>
      <c r="W15" s="16">
        <f>IFERROR(__xludf.DUMMYFUNCTION("""COMPUTED_VALUE"""),0.0)</f>
        <v>0</v>
      </c>
      <c r="X15" s="16">
        <f>IFERROR(__xludf.DUMMYFUNCTION("""COMPUTED_VALUE"""),0.0)</f>
        <v>0</v>
      </c>
      <c r="Y15" s="16">
        <f>IFERROR(__xludf.DUMMYFUNCTION("""COMPUTED_VALUE"""),0.0)</f>
        <v>0</v>
      </c>
      <c r="Z15" s="16">
        <f>IFERROR(__xludf.DUMMYFUNCTION("""COMPUTED_VALUE"""),0.0)</f>
        <v>0</v>
      </c>
      <c r="AA15" s="16">
        <f>IFERROR(__xludf.DUMMYFUNCTION("""COMPUTED_VALUE"""),0.0)</f>
        <v>0</v>
      </c>
      <c r="AB15" s="16">
        <f>IFERROR(__xludf.DUMMYFUNCTION("""COMPUTED_VALUE"""),0.0)</f>
        <v>0</v>
      </c>
      <c r="AC15" s="16">
        <f>IFERROR(__xludf.DUMMYFUNCTION("""COMPUTED_VALUE"""),0.0)</f>
        <v>0</v>
      </c>
      <c r="AD15" s="16">
        <f>IFERROR(__xludf.DUMMYFUNCTION("""COMPUTED_VALUE"""),0.0)</f>
        <v>0</v>
      </c>
      <c r="AE15" s="16">
        <f>IFERROR(__xludf.DUMMYFUNCTION("""COMPUTED_VALUE"""),0.0)</f>
        <v>0</v>
      </c>
      <c r="AF15" s="16">
        <f>IFERROR(__xludf.DUMMYFUNCTION("""COMPUTED_VALUE"""),0.0)</f>
        <v>0</v>
      </c>
      <c r="AG15" s="16">
        <f>IFERROR(__xludf.DUMMYFUNCTION("""COMPUTED_VALUE"""),0.0)</f>
        <v>0</v>
      </c>
      <c r="AH15" s="16">
        <f>IFERROR(__xludf.DUMMYFUNCTION("""COMPUTED_VALUE"""),0.0)</f>
        <v>0</v>
      </c>
    </row>
    <row r="16">
      <c r="A16" s="16" t="str">
        <f>IFERROR(__xludf.DUMMYFUNCTION("""COMPUTED_VALUE"""),"0d62d7798adbffba76234feba6e58e4a73a6baf8")</f>
        <v>0d62d7798adbffba76234feba6e58e4a73a6baf8</v>
      </c>
      <c r="B16" s="16" t="str">
        <f>IFERROR(__xludf.DUMMYFUNCTION("""COMPUTED_VALUE"""),"Devil's Redemption")</f>
        <v>Devil's Redemption</v>
      </c>
      <c r="C16" s="16" t="str">
        <f>IFERROR(__xludf.DUMMYFUNCTION("""COMPUTED_VALUE"""),"Fantasy")</f>
        <v>Fantasy</v>
      </c>
      <c r="D16" s="16">
        <f>IFERROR(__xludf.DUMMYFUNCTION("""COMPUTED_VALUE"""),20.0)</f>
        <v>20</v>
      </c>
      <c r="E16" s="16">
        <f>IFERROR(__xludf.DUMMYFUNCTION("""COMPUTED_VALUE"""),0.95)</f>
        <v>0.95</v>
      </c>
      <c r="F16" s="16">
        <f>IFERROR(__xludf.DUMMYFUNCTION("""COMPUTED_VALUE"""),0.8)</f>
        <v>0.8</v>
      </c>
      <c r="G16" s="16">
        <f>IFERROR(__xludf.DUMMYFUNCTION("""COMPUTED_VALUE"""),0.8)</f>
        <v>0.8</v>
      </c>
      <c r="H16" s="16">
        <f>IFERROR(__xludf.DUMMYFUNCTION("""COMPUTED_VALUE"""),0.7)</f>
        <v>0.7</v>
      </c>
      <c r="I16" s="16">
        <f>IFERROR(__xludf.DUMMYFUNCTION("""COMPUTED_VALUE"""),0.65)</f>
        <v>0.65</v>
      </c>
      <c r="J16" s="16">
        <f>IFERROR(__xludf.DUMMYFUNCTION("""COMPUTED_VALUE"""),0.611111111111111)</f>
        <v>0.6111111111</v>
      </c>
      <c r="K16" s="16">
        <f>IFERROR(__xludf.DUMMYFUNCTION("""COMPUTED_VALUE"""),0.555555555555555)</f>
        <v>0.5555555556</v>
      </c>
      <c r="L16" s="16">
        <f>IFERROR(__xludf.DUMMYFUNCTION("""COMPUTED_VALUE"""),0.0)</f>
        <v>0</v>
      </c>
      <c r="M16" s="16">
        <f>IFERROR(__xludf.DUMMYFUNCTION("""COMPUTED_VALUE"""),0.0)</f>
        <v>0</v>
      </c>
      <c r="N16" s="16">
        <f>IFERROR(__xludf.DUMMYFUNCTION("""COMPUTED_VALUE"""),0.0)</f>
        <v>0</v>
      </c>
      <c r="O16" s="16">
        <f>IFERROR(__xludf.DUMMYFUNCTION("""COMPUTED_VALUE"""),0.0)</f>
        <v>0</v>
      </c>
      <c r="P16" s="16">
        <f>IFERROR(__xludf.DUMMYFUNCTION("""COMPUTED_VALUE"""),0.0)</f>
        <v>0</v>
      </c>
      <c r="Q16" s="16">
        <f>IFERROR(__xludf.DUMMYFUNCTION("""COMPUTED_VALUE"""),0.0)</f>
        <v>0</v>
      </c>
      <c r="R16" s="16">
        <f>IFERROR(__xludf.DUMMYFUNCTION("""COMPUTED_VALUE"""),0.0)</f>
        <v>0</v>
      </c>
      <c r="S16" s="16">
        <f>IFERROR(__xludf.DUMMYFUNCTION("""COMPUTED_VALUE"""),0.0)</f>
        <v>0</v>
      </c>
      <c r="T16" s="16">
        <f>IFERROR(__xludf.DUMMYFUNCTION("""COMPUTED_VALUE"""),0.0)</f>
        <v>0</v>
      </c>
      <c r="U16" s="16">
        <f>IFERROR(__xludf.DUMMYFUNCTION("""COMPUTED_VALUE"""),0.0)</f>
        <v>0</v>
      </c>
      <c r="V16" s="16">
        <f>IFERROR(__xludf.DUMMYFUNCTION("""COMPUTED_VALUE"""),0.0)</f>
        <v>0</v>
      </c>
      <c r="W16" s="16">
        <f>IFERROR(__xludf.DUMMYFUNCTION("""COMPUTED_VALUE"""),0.0)</f>
        <v>0</v>
      </c>
      <c r="X16" s="16">
        <f>IFERROR(__xludf.DUMMYFUNCTION("""COMPUTED_VALUE"""),0.0)</f>
        <v>0</v>
      </c>
      <c r="Y16" s="16">
        <f>IFERROR(__xludf.DUMMYFUNCTION("""COMPUTED_VALUE"""),0.0)</f>
        <v>0</v>
      </c>
      <c r="Z16" s="16">
        <f>IFERROR(__xludf.DUMMYFUNCTION("""COMPUTED_VALUE"""),0.0)</f>
        <v>0</v>
      </c>
      <c r="AA16" s="16">
        <f>IFERROR(__xludf.DUMMYFUNCTION("""COMPUTED_VALUE"""),0.0)</f>
        <v>0</v>
      </c>
      <c r="AB16" s="16">
        <f>IFERROR(__xludf.DUMMYFUNCTION("""COMPUTED_VALUE"""),0.0)</f>
        <v>0</v>
      </c>
      <c r="AC16" s="16">
        <f>IFERROR(__xludf.DUMMYFUNCTION("""COMPUTED_VALUE"""),0.0)</f>
        <v>0</v>
      </c>
      <c r="AD16" s="16">
        <f>IFERROR(__xludf.DUMMYFUNCTION("""COMPUTED_VALUE"""),0.0)</f>
        <v>0</v>
      </c>
      <c r="AE16" s="16">
        <f>IFERROR(__xludf.DUMMYFUNCTION("""COMPUTED_VALUE"""),0.0)</f>
        <v>0</v>
      </c>
      <c r="AF16" s="16">
        <f>IFERROR(__xludf.DUMMYFUNCTION("""COMPUTED_VALUE"""),0.0)</f>
        <v>0</v>
      </c>
      <c r="AG16" s="16">
        <f>IFERROR(__xludf.DUMMYFUNCTION("""COMPUTED_VALUE"""),0.0)</f>
        <v>0</v>
      </c>
      <c r="AH16" s="16">
        <f>IFERROR(__xludf.DUMMYFUNCTION("""COMPUTED_VALUE"""),0.0)</f>
        <v>0</v>
      </c>
    </row>
    <row r="17">
      <c r="A17" s="16" t="str">
        <f>IFERROR(__xludf.DUMMYFUNCTION("""COMPUTED_VALUE"""),"0db57923d2182ad47e7480030a03e05da109b1bf")</f>
        <v>0db57923d2182ad47e7480030a03e05da109b1bf</v>
      </c>
      <c r="B17" s="16" t="str">
        <f>IFERROR(__xludf.DUMMYFUNCTION("""COMPUTED_VALUE"""),"The Ceo's Borrowed Beauty")</f>
        <v>The Ceo's Borrowed Beauty</v>
      </c>
      <c r="C17" s="16" t="str">
        <f>IFERROR(__xludf.DUMMYFUNCTION("""COMPUTED_VALUE"""),"Romance")</f>
        <v>Romance</v>
      </c>
      <c r="D17" s="16">
        <f>IFERROR(__xludf.DUMMYFUNCTION("""COMPUTED_VALUE"""),1118.0)</f>
        <v>1118</v>
      </c>
      <c r="E17" s="16">
        <f>IFERROR(__xludf.DUMMYFUNCTION("""COMPUTED_VALUE"""),0.974955277280858)</f>
        <v>0.9749552773</v>
      </c>
      <c r="F17" s="16">
        <f>IFERROR(__xludf.DUMMYFUNCTION("""COMPUTED_VALUE"""),0.493738819320214)</f>
        <v>0.4937388193</v>
      </c>
      <c r="G17" s="16">
        <f>IFERROR(__xludf.DUMMYFUNCTION("""COMPUTED_VALUE"""),0.434704830053667)</f>
        <v>0.4347048301</v>
      </c>
      <c r="H17" s="16">
        <f>IFERROR(__xludf.DUMMYFUNCTION("""COMPUTED_VALUE"""),0.381037567084078)</f>
        <v>0.3810375671</v>
      </c>
      <c r="I17" s="16">
        <f>IFERROR(__xludf.DUMMYFUNCTION("""COMPUTED_VALUE"""),0.355992844364937)</f>
        <v>0.3559928444</v>
      </c>
      <c r="J17" s="16">
        <f>IFERROR(__xludf.DUMMYFUNCTION("""COMPUTED_VALUE"""),0.328840970350404)</f>
        <v>0.3288409704</v>
      </c>
      <c r="K17" s="16">
        <f>IFERROR(__xludf.DUMMYFUNCTION("""COMPUTED_VALUE"""),0.297297297297297)</f>
        <v>0.2972972973</v>
      </c>
      <c r="L17" s="16">
        <f>IFERROR(__xludf.DUMMYFUNCTION("""COMPUTED_VALUE"""),0.281135531135531)</f>
        <v>0.2811355311</v>
      </c>
      <c r="M17" s="16">
        <f>IFERROR(__xludf.DUMMYFUNCTION("""COMPUTED_VALUE"""),0.265811182401466)</f>
        <v>0.2658111824</v>
      </c>
      <c r="N17" s="16">
        <f>IFERROR(__xludf.DUMMYFUNCTION("""COMPUTED_VALUE"""),0.260628465804066)</f>
        <v>0.2606284658</v>
      </c>
      <c r="O17" s="16">
        <f>IFERROR(__xludf.DUMMYFUNCTION("""COMPUTED_VALUE"""),0.230852211434735)</f>
        <v>0.2308522114</v>
      </c>
      <c r="P17" s="16">
        <f>IFERROR(__xludf.DUMMYFUNCTION("""COMPUTED_VALUE"""),0.126984126984126)</f>
        <v>0.126984127</v>
      </c>
      <c r="Q17" s="16">
        <f>IFERROR(__xludf.DUMMYFUNCTION("""COMPUTED_VALUE"""),0.3)</f>
        <v>0.3</v>
      </c>
      <c r="R17" s="16">
        <f>IFERROR(__xludf.DUMMYFUNCTION("""COMPUTED_VALUE"""),1.0)</f>
        <v>1</v>
      </c>
      <c r="S17" s="16">
        <f>IFERROR(__xludf.DUMMYFUNCTION("""COMPUTED_VALUE"""),0.0)</f>
        <v>0</v>
      </c>
      <c r="T17" s="16">
        <f>IFERROR(__xludf.DUMMYFUNCTION("""COMPUTED_VALUE"""),0.0)</f>
        <v>0</v>
      </c>
      <c r="U17" s="16">
        <f>IFERROR(__xludf.DUMMYFUNCTION("""COMPUTED_VALUE"""),0.0)</f>
        <v>0</v>
      </c>
      <c r="V17" s="16">
        <f>IFERROR(__xludf.DUMMYFUNCTION("""COMPUTED_VALUE"""),0.0)</f>
        <v>0</v>
      </c>
      <c r="W17" s="16">
        <f>IFERROR(__xludf.DUMMYFUNCTION("""COMPUTED_VALUE"""),0.0)</f>
        <v>0</v>
      </c>
      <c r="X17" s="16">
        <f>IFERROR(__xludf.DUMMYFUNCTION("""COMPUTED_VALUE"""),0.0)</f>
        <v>0</v>
      </c>
      <c r="Y17" s="16">
        <f>IFERROR(__xludf.DUMMYFUNCTION("""COMPUTED_VALUE"""),0.0)</f>
        <v>0</v>
      </c>
      <c r="Z17" s="16">
        <f>IFERROR(__xludf.DUMMYFUNCTION("""COMPUTED_VALUE"""),0.0)</f>
        <v>0</v>
      </c>
      <c r="AA17" s="16">
        <f>IFERROR(__xludf.DUMMYFUNCTION("""COMPUTED_VALUE"""),0.0)</f>
        <v>0</v>
      </c>
      <c r="AB17" s="16">
        <f>IFERROR(__xludf.DUMMYFUNCTION("""COMPUTED_VALUE"""),0.0)</f>
        <v>0</v>
      </c>
      <c r="AC17" s="16">
        <f>IFERROR(__xludf.DUMMYFUNCTION("""COMPUTED_VALUE"""),0.0)</f>
        <v>0</v>
      </c>
      <c r="AD17" s="16">
        <f>IFERROR(__xludf.DUMMYFUNCTION("""COMPUTED_VALUE"""),0.0)</f>
        <v>0</v>
      </c>
      <c r="AE17" s="16">
        <f>IFERROR(__xludf.DUMMYFUNCTION("""COMPUTED_VALUE"""),0.0)</f>
        <v>0</v>
      </c>
      <c r="AF17" s="16">
        <f>IFERROR(__xludf.DUMMYFUNCTION("""COMPUTED_VALUE"""),0.0)</f>
        <v>0</v>
      </c>
      <c r="AG17" s="16">
        <f>IFERROR(__xludf.DUMMYFUNCTION("""COMPUTED_VALUE"""),0.0)</f>
        <v>0</v>
      </c>
      <c r="AH17" s="16">
        <f>IFERROR(__xludf.DUMMYFUNCTION("""COMPUTED_VALUE"""),0.0)</f>
        <v>0</v>
      </c>
    </row>
    <row r="18">
      <c r="A18" s="16" t="str">
        <f>IFERROR(__xludf.DUMMYFUNCTION("""COMPUTED_VALUE"""),"0f3d56fd651e66eb62e990fd31d006aa80eaab5f")</f>
        <v>0f3d56fd651e66eb62e990fd31d006aa80eaab5f</v>
      </c>
      <c r="B18" s="16" t="str">
        <f>IFERROR(__xludf.DUMMYFUNCTION("""COMPUTED_VALUE"""),"The Forsaken Tamer")</f>
        <v>The Forsaken Tamer</v>
      </c>
      <c r="C18" s="16" t="str">
        <f>IFERROR(__xludf.DUMMYFUNCTION("""COMPUTED_VALUE"""),"System and Superpower")</f>
        <v>System and Superpower</v>
      </c>
      <c r="D18" s="16">
        <f>IFERROR(__xludf.DUMMYFUNCTION("""COMPUTED_VALUE"""),65.0)</f>
        <v>65</v>
      </c>
      <c r="E18" s="16">
        <f>IFERROR(__xludf.DUMMYFUNCTION("""COMPUTED_VALUE"""),1.0)</f>
        <v>1</v>
      </c>
      <c r="F18" s="16">
        <f>IFERROR(__xludf.DUMMYFUNCTION("""COMPUTED_VALUE"""),0.584615384615384)</f>
        <v>0.5846153846</v>
      </c>
      <c r="G18" s="16">
        <f>IFERROR(__xludf.DUMMYFUNCTION("""COMPUTED_VALUE"""),0.523076923076923)</f>
        <v>0.5230769231</v>
      </c>
      <c r="H18" s="16">
        <f>IFERROR(__xludf.DUMMYFUNCTION("""COMPUTED_VALUE"""),0.415384615384615)</f>
        <v>0.4153846154</v>
      </c>
      <c r="I18" s="16">
        <f>IFERROR(__xludf.DUMMYFUNCTION("""COMPUTED_VALUE"""),0.353846153846153)</f>
        <v>0.3538461538</v>
      </c>
      <c r="J18" s="16">
        <f>IFERROR(__xludf.DUMMYFUNCTION("""COMPUTED_VALUE"""),0.296875)</f>
        <v>0.296875</v>
      </c>
      <c r="K18" s="16">
        <f>IFERROR(__xludf.DUMMYFUNCTION("""COMPUTED_VALUE"""),0.285714285714285)</f>
        <v>0.2857142857</v>
      </c>
      <c r="L18" s="16">
        <f>IFERROR(__xludf.DUMMYFUNCTION("""COMPUTED_VALUE"""),0.241935483870967)</f>
        <v>0.2419354839</v>
      </c>
      <c r="M18" s="16">
        <f>IFERROR(__xludf.DUMMYFUNCTION("""COMPUTED_VALUE"""),0.225806451612903)</f>
        <v>0.2258064516</v>
      </c>
      <c r="N18" s="16">
        <f>IFERROR(__xludf.DUMMYFUNCTION("""COMPUTED_VALUE"""),0.24074074074074)</f>
        <v>0.2407407407</v>
      </c>
      <c r="O18" s="16">
        <f>IFERROR(__xludf.DUMMYFUNCTION("""COMPUTED_VALUE"""),0.133333333333333)</f>
        <v>0.1333333333</v>
      </c>
      <c r="P18" s="16">
        <f>IFERROR(__xludf.DUMMYFUNCTION("""COMPUTED_VALUE"""),0.0444444444444444)</f>
        <v>0.04444444444</v>
      </c>
      <c r="Q18" s="16">
        <f>IFERROR(__xludf.DUMMYFUNCTION("""COMPUTED_VALUE"""),0.0444444444444444)</f>
        <v>0.04444444444</v>
      </c>
      <c r="R18" s="16">
        <f>IFERROR(__xludf.DUMMYFUNCTION("""COMPUTED_VALUE"""),0.024390243902439)</f>
        <v>0.0243902439</v>
      </c>
      <c r="S18" s="16">
        <f>IFERROR(__xludf.DUMMYFUNCTION("""COMPUTED_VALUE"""),0.0)</f>
        <v>0</v>
      </c>
      <c r="T18" s="16">
        <f>IFERROR(__xludf.DUMMYFUNCTION("""COMPUTED_VALUE"""),0.0)</f>
        <v>0</v>
      </c>
      <c r="U18" s="16">
        <f>IFERROR(__xludf.DUMMYFUNCTION("""COMPUTED_VALUE"""),0.0)</f>
        <v>0</v>
      </c>
      <c r="V18" s="16">
        <f>IFERROR(__xludf.DUMMYFUNCTION("""COMPUTED_VALUE"""),0.0)</f>
        <v>0</v>
      </c>
      <c r="W18" s="16">
        <f>IFERROR(__xludf.DUMMYFUNCTION("""COMPUTED_VALUE"""),0.0)</f>
        <v>0</v>
      </c>
      <c r="X18" s="16">
        <f>IFERROR(__xludf.DUMMYFUNCTION("""COMPUTED_VALUE"""),0.0)</f>
        <v>0</v>
      </c>
      <c r="Y18" s="16">
        <f>IFERROR(__xludf.DUMMYFUNCTION("""COMPUTED_VALUE"""),0.0)</f>
        <v>0</v>
      </c>
      <c r="Z18" s="16">
        <f>IFERROR(__xludf.DUMMYFUNCTION("""COMPUTED_VALUE"""),0.0)</f>
        <v>0</v>
      </c>
      <c r="AA18" s="16">
        <f>IFERROR(__xludf.DUMMYFUNCTION("""COMPUTED_VALUE"""),0.0)</f>
        <v>0</v>
      </c>
      <c r="AB18" s="16">
        <f>IFERROR(__xludf.DUMMYFUNCTION("""COMPUTED_VALUE"""),0.0)</f>
        <v>0</v>
      </c>
      <c r="AC18" s="16">
        <f>IFERROR(__xludf.DUMMYFUNCTION("""COMPUTED_VALUE"""),0.0)</f>
        <v>0</v>
      </c>
      <c r="AD18" s="16">
        <f>IFERROR(__xludf.DUMMYFUNCTION("""COMPUTED_VALUE"""),0.0)</f>
        <v>0</v>
      </c>
      <c r="AE18" s="16">
        <f>IFERROR(__xludf.DUMMYFUNCTION("""COMPUTED_VALUE"""),0.0)</f>
        <v>0</v>
      </c>
      <c r="AF18" s="16">
        <f>IFERROR(__xludf.DUMMYFUNCTION("""COMPUTED_VALUE"""),0.0)</f>
        <v>0</v>
      </c>
      <c r="AG18" s="16">
        <f>IFERROR(__xludf.DUMMYFUNCTION("""COMPUTED_VALUE"""),0.0)</f>
        <v>0</v>
      </c>
      <c r="AH18" s="16">
        <f>IFERROR(__xludf.DUMMYFUNCTION("""COMPUTED_VALUE"""),0.0)</f>
        <v>0</v>
      </c>
    </row>
    <row r="19">
      <c r="A19" s="16" t="str">
        <f>IFERROR(__xludf.DUMMYFUNCTION("""COMPUTED_VALUE"""),"0fadc6da7c4d814463023dc7ffd8be44c68fa457")</f>
        <v>0fadc6da7c4d814463023dc7ffd8be44c68fa457</v>
      </c>
      <c r="B19" s="16" t="str">
        <f>IFERROR(__xludf.DUMMYFUNCTION("""COMPUTED_VALUE"""),"From Ceo to Young Lord")</f>
        <v>From Ceo to Young Lord</v>
      </c>
      <c r="C19" s="16" t="str">
        <f>IFERROR(__xludf.DUMMYFUNCTION("""COMPUTED_VALUE"""),"Fantasy")</f>
        <v>Fantasy</v>
      </c>
      <c r="D19" s="16">
        <f>IFERROR(__xludf.DUMMYFUNCTION("""COMPUTED_VALUE"""),185.0)</f>
        <v>185</v>
      </c>
      <c r="E19" s="16">
        <f>IFERROR(__xludf.DUMMYFUNCTION("""COMPUTED_VALUE"""),0.956756756756756)</f>
        <v>0.9567567568</v>
      </c>
      <c r="F19" s="16">
        <f>IFERROR(__xludf.DUMMYFUNCTION("""COMPUTED_VALUE"""),0.686486486486486)</f>
        <v>0.6864864865</v>
      </c>
      <c r="G19" s="16">
        <f>IFERROR(__xludf.DUMMYFUNCTION("""COMPUTED_VALUE"""),0.654054054054054)</f>
        <v>0.6540540541</v>
      </c>
      <c r="H19" s="16">
        <f>IFERROR(__xludf.DUMMYFUNCTION("""COMPUTED_VALUE"""),0.659459459459459)</f>
        <v>0.6594594595</v>
      </c>
      <c r="I19" s="16">
        <f>IFERROR(__xludf.DUMMYFUNCTION("""COMPUTED_VALUE"""),0.605405405405405)</f>
        <v>0.6054054054</v>
      </c>
      <c r="J19" s="16">
        <f>IFERROR(__xludf.DUMMYFUNCTION("""COMPUTED_VALUE"""),0.578378378378378)</f>
        <v>0.5783783784</v>
      </c>
      <c r="K19" s="16">
        <f>IFERROR(__xludf.DUMMYFUNCTION("""COMPUTED_VALUE"""),0.572972972972973)</f>
        <v>0.572972973</v>
      </c>
      <c r="L19" s="16">
        <f>IFERROR(__xludf.DUMMYFUNCTION("""COMPUTED_VALUE"""),0.524324324324324)</f>
        <v>0.5243243243</v>
      </c>
      <c r="M19" s="16">
        <f>IFERROR(__xludf.DUMMYFUNCTION("""COMPUTED_VALUE"""),0.491891891891891)</f>
        <v>0.4918918919</v>
      </c>
      <c r="N19" s="16">
        <f>IFERROR(__xludf.DUMMYFUNCTION("""COMPUTED_VALUE"""),0.475675675675675)</f>
        <v>0.4756756757</v>
      </c>
      <c r="O19" s="16">
        <f>IFERROR(__xludf.DUMMYFUNCTION("""COMPUTED_VALUE"""),0.4)</f>
        <v>0.4</v>
      </c>
      <c r="P19" s="16">
        <f>IFERROR(__xludf.DUMMYFUNCTION("""COMPUTED_VALUE"""),0.275675675675675)</f>
        <v>0.2756756757</v>
      </c>
      <c r="Q19" s="16">
        <f>IFERROR(__xludf.DUMMYFUNCTION("""COMPUTED_VALUE"""),0.179245283018867)</f>
        <v>0.179245283</v>
      </c>
      <c r="R19" s="16">
        <f>IFERROR(__xludf.DUMMYFUNCTION("""COMPUTED_VALUE"""),0.142857142857142)</f>
        <v>0.1428571429</v>
      </c>
      <c r="S19" s="16">
        <f>IFERROR(__xludf.DUMMYFUNCTION("""COMPUTED_VALUE"""),0.0)</f>
        <v>0</v>
      </c>
      <c r="T19" s="16">
        <f>IFERROR(__xludf.DUMMYFUNCTION("""COMPUTED_VALUE"""),0.0)</f>
        <v>0</v>
      </c>
      <c r="U19" s="16">
        <f>IFERROR(__xludf.DUMMYFUNCTION("""COMPUTED_VALUE"""),0.0)</f>
        <v>0</v>
      </c>
      <c r="V19" s="16">
        <f>IFERROR(__xludf.DUMMYFUNCTION("""COMPUTED_VALUE"""),0.0)</f>
        <v>0</v>
      </c>
      <c r="W19" s="16">
        <f>IFERROR(__xludf.DUMMYFUNCTION("""COMPUTED_VALUE"""),0.0)</f>
        <v>0</v>
      </c>
      <c r="X19" s="16">
        <f>IFERROR(__xludf.DUMMYFUNCTION("""COMPUTED_VALUE"""),0.0)</f>
        <v>0</v>
      </c>
      <c r="Y19" s="16">
        <f>IFERROR(__xludf.DUMMYFUNCTION("""COMPUTED_VALUE"""),0.0)</f>
        <v>0</v>
      </c>
      <c r="Z19" s="16">
        <f>IFERROR(__xludf.DUMMYFUNCTION("""COMPUTED_VALUE"""),0.0)</f>
        <v>0</v>
      </c>
      <c r="AA19" s="16">
        <f>IFERROR(__xludf.DUMMYFUNCTION("""COMPUTED_VALUE"""),0.0)</f>
        <v>0</v>
      </c>
      <c r="AB19" s="16">
        <f>IFERROR(__xludf.DUMMYFUNCTION("""COMPUTED_VALUE"""),0.0)</f>
        <v>0</v>
      </c>
      <c r="AC19" s="16">
        <f>IFERROR(__xludf.DUMMYFUNCTION("""COMPUTED_VALUE"""),0.0)</f>
        <v>0</v>
      </c>
      <c r="AD19" s="16">
        <f>IFERROR(__xludf.DUMMYFUNCTION("""COMPUTED_VALUE"""),0.0)</f>
        <v>0</v>
      </c>
      <c r="AE19" s="16">
        <f>IFERROR(__xludf.DUMMYFUNCTION("""COMPUTED_VALUE"""),0.0)</f>
        <v>0</v>
      </c>
      <c r="AF19" s="16">
        <f>IFERROR(__xludf.DUMMYFUNCTION("""COMPUTED_VALUE"""),0.0)</f>
        <v>0</v>
      </c>
      <c r="AG19" s="16">
        <f>IFERROR(__xludf.DUMMYFUNCTION("""COMPUTED_VALUE"""),0.0)</f>
        <v>0</v>
      </c>
      <c r="AH19" s="16">
        <f>IFERROR(__xludf.DUMMYFUNCTION("""COMPUTED_VALUE"""),0.0)</f>
        <v>0</v>
      </c>
    </row>
    <row r="20">
      <c r="A20" s="16" t="str">
        <f>IFERROR(__xludf.DUMMYFUNCTION("""COMPUTED_VALUE"""),"114fed9f0540f90ccc58d03a383c7c69260baeae")</f>
        <v>114fed9f0540f90ccc58d03a383c7c69260baeae</v>
      </c>
      <c r="B20" s="16" t="str">
        <f>IFERROR(__xludf.DUMMYFUNCTION("""COMPUTED_VALUE"""),"Mother's Murder &amp; Secrets")</f>
        <v>Mother's Murder &amp; Secrets</v>
      </c>
      <c r="C20" s="16" t="str">
        <f>IFERROR(__xludf.DUMMYFUNCTION("""COMPUTED_VALUE"""),"Suspense or Thriller")</f>
        <v>Suspense or Thriller</v>
      </c>
      <c r="D20" s="16">
        <f>IFERROR(__xludf.DUMMYFUNCTION("""COMPUTED_VALUE"""),380.0)</f>
        <v>380</v>
      </c>
      <c r="E20" s="16">
        <f>IFERROR(__xludf.DUMMYFUNCTION("""COMPUTED_VALUE"""),0.981578947368421)</f>
        <v>0.9815789474</v>
      </c>
      <c r="F20" s="16">
        <f>IFERROR(__xludf.DUMMYFUNCTION("""COMPUTED_VALUE"""),0.444736842105263)</f>
        <v>0.4447368421</v>
      </c>
      <c r="G20" s="16">
        <f>IFERROR(__xludf.DUMMYFUNCTION("""COMPUTED_VALUE"""),0.381578947368421)</f>
        <v>0.3815789474</v>
      </c>
      <c r="H20" s="16">
        <f>IFERROR(__xludf.DUMMYFUNCTION("""COMPUTED_VALUE"""),0.307894736842105)</f>
        <v>0.3078947368</v>
      </c>
      <c r="I20" s="16">
        <f>IFERROR(__xludf.DUMMYFUNCTION("""COMPUTED_VALUE"""),0.281578947368421)</f>
        <v>0.2815789474</v>
      </c>
      <c r="J20" s="16">
        <f>IFERROR(__xludf.DUMMYFUNCTION("""COMPUTED_VALUE"""),0.255263157894736)</f>
        <v>0.2552631579</v>
      </c>
      <c r="K20" s="16">
        <f>IFERROR(__xludf.DUMMYFUNCTION("""COMPUTED_VALUE"""),0.226315789473684)</f>
        <v>0.2263157895</v>
      </c>
      <c r="L20" s="16">
        <f>IFERROR(__xludf.DUMMYFUNCTION("""COMPUTED_VALUE"""),0.207894736842105)</f>
        <v>0.2078947368</v>
      </c>
      <c r="M20" s="16">
        <f>IFERROR(__xludf.DUMMYFUNCTION("""COMPUTED_VALUE"""),0.189473684210526)</f>
        <v>0.1894736842</v>
      </c>
      <c r="N20" s="16">
        <f>IFERROR(__xludf.DUMMYFUNCTION("""COMPUTED_VALUE"""),0.176315789473684)</f>
        <v>0.1763157895</v>
      </c>
      <c r="O20" s="16">
        <f>IFERROR(__xludf.DUMMYFUNCTION("""COMPUTED_VALUE"""),0.131578947368421)</f>
        <v>0.1315789474</v>
      </c>
      <c r="P20" s="16">
        <f>IFERROR(__xludf.DUMMYFUNCTION("""COMPUTED_VALUE"""),0.0904255319148936)</f>
        <v>0.09042553191</v>
      </c>
      <c r="Q20" s="16">
        <f>IFERROR(__xludf.DUMMYFUNCTION("""COMPUTED_VALUE"""),0.0539083557951482)</f>
        <v>0.0539083558</v>
      </c>
      <c r="R20" s="16">
        <f>IFERROR(__xludf.DUMMYFUNCTION("""COMPUTED_VALUE"""),0.0384615384615384)</f>
        <v>0.03846153846</v>
      </c>
      <c r="S20" s="16">
        <f>IFERROR(__xludf.DUMMYFUNCTION("""COMPUTED_VALUE"""),0.0195530726256983)</f>
        <v>0.01955307263</v>
      </c>
      <c r="T20" s="16">
        <f>IFERROR(__xludf.DUMMYFUNCTION("""COMPUTED_VALUE"""),0.00865800865800865)</f>
        <v>0.008658008658</v>
      </c>
      <c r="U20" s="16">
        <f>IFERROR(__xludf.DUMMYFUNCTION("""COMPUTED_VALUE"""),0.00934579439252336)</f>
        <v>0.009345794393</v>
      </c>
      <c r="V20" s="16">
        <f>IFERROR(__xludf.DUMMYFUNCTION("""COMPUTED_VALUE"""),0.0)</f>
        <v>0</v>
      </c>
      <c r="W20" s="16">
        <f>IFERROR(__xludf.DUMMYFUNCTION("""COMPUTED_VALUE"""),0.0)</f>
        <v>0</v>
      </c>
      <c r="X20" s="16">
        <f>IFERROR(__xludf.DUMMYFUNCTION("""COMPUTED_VALUE"""),0.0)</f>
        <v>0</v>
      </c>
      <c r="Y20" s="16">
        <f>IFERROR(__xludf.DUMMYFUNCTION("""COMPUTED_VALUE"""),0.0)</f>
        <v>0</v>
      </c>
      <c r="Z20" s="16">
        <f>IFERROR(__xludf.DUMMYFUNCTION("""COMPUTED_VALUE"""),0.0)</f>
        <v>0</v>
      </c>
      <c r="AA20" s="16">
        <f>IFERROR(__xludf.DUMMYFUNCTION("""COMPUTED_VALUE"""),0.0)</f>
        <v>0</v>
      </c>
      <c r="AB20" s="16">
        <f>IFERROR(__xludf.DUMMYFUNCTION("""COMPUTED_VALUE"""),0.0)</f>
        <v>0</v>
      </c>
      <c r="AC20" s="16">
        <f>IFERROR(__xludf.DUMMYFUNCTION("""COMPUTED_VALUE"""),0.0)</f>
        <v>0</v>
      </c>
      <c r="AD20" s="16">
        <f>IFERROR(__xludf.DUMMYFUNCTION("""COMPUTED_VALUE"""),0.0)</f>
        <v>0</v>
      </c>
      <c r="AE20" s="16">
        <f>IFERROR(__xludf.DUMMYFUNCTION("""COMPUTED_VALUE"""),0.0)</f>
        <v>0</v>
      </c>
      <c r="AF20" s="16">
        <f>IFERROR(__xludf.DUMMYFUNCTION("""COMPUTED_VALUE"""),0.0)</f>
        <v>0</v>
      </c>
      <c r="AG20" s="16">
        <f>IFERROR(__xludf.DUMMYFUNCTION("""COMPUTED_VALUE"""),0.0)</f>
        <v>0</v>
      </c>
      <c r="AH20" s="16">
        <f>IFERROR(__xludf.DUMMYFUNCTION("""COMPUTED_VALUE"""),0.0)</f>
        <v>0</v>
      </c>
    </row>
    <row r="21">
      <c r="A21" s="16" t="str">
        <f>IFERROR(__xludf.DUMMYFUNCTION("""COMPUTED_VALUE"""),"123964565c4c79c7f1a3737171a0125020300913")</f>
        <v>123964565c4c79c7f1a3737171a0125020300913</v>
      </c>
      <c r="B21" s="16" t="str">
        <f>IFERROR(__xludf.DUMMYFUNCTION("""COMPUTED_VALUE"""),"My Alien Boxing System")</f>
        <v>My Alien Boxing System</v>
      </c>
      <c r="C21" s="16" t="str">
        <f>IFERROR(__xludf.DUMMYFUNCTION("""COMPUTED_VALUE"""),"Fantasy")</f>
        <v>Fantasy</v>
      </c>
      <c r="D21" s="16">
        <f>IFERROR(__xludf.DUMMYFUNCTION("""COMPUTED_VALUE"""),27.0)</f>
        <v>27</v>
      </c>
      <c r="E21" s="16">
        <f>IFERROR(__xludf.DUMMYFUNCTION("""COMPUTED_VALUE"""),1.0)</f>
        <v>1</v>
      </c>
      <c r="F21" s="16">
        <f>IFERROR(__xludf.DUMMYFUNCTION("""COMPUTED_VALUE"""),0.555555555555555)</f>
        <v>0.5555555556</v>
      </c>
      <c r="G21" s="16">
        <f>IFERROR(__xludf.DUMMYFUNCTION("""COMPUTED_VALUE"""),0.518518518518518)</f>
        <v>0.5185185185</v>
      </c>
      <c r="H21" s="16">
        <f>IFERROR(__xludf.DUMMYFUNCTION("""COMPUTED_VALUE"""),0.481481481481481)</f>
        <v>0.4814814815</v>
      </c>
      <c r="I21" s="16">
        <f>IFERROR(__xludf.DUMMYFUNCTION("""COMPUTED_VALUE"""),0.444444444444444)</f>
        <v>0.4444444444</v>
      </c>
      <c r="J21" s="16">
        <f>IFERROR(__xludf.DUMMYFUNCTION("""COMPUTED_VALUE"""),0.407407407407407)</f>
        <v>0.4074074074</v>
      </c>
      <c r="K21" s="16">
        <f>IFERROR(__xludf.DUMMYFUNCTION("""COMPUTED_VALUE"""),0.37037037037037)</f>
        <v>0.3703703704</v>
      </c>
      <c r="L21" s="16">
        <f>IFERROR(__xludf.DUMMYFUNCTION("""COMPUTED_VALUE"""),0.384615384615384)</f>
        <v>0.3846153846</v>
      </c>
      <c r="M21" s="16">
        <f>IFERROR(__xludf.DUMMYFUNCTION("""COMPUTED_VALUE"""),0.346153846153846)</f>
        <v>0.3461538462</v>
      </c>
      <c r="N21" s="16">
        <f>IFERROR(__xludf.DUMMYFUNCTION("""COMPUTED_VALUE"""),0.269230769230769)</f>
        <v>0.2692307692</v>
      </c>
      <c r="O21" s="16">
        <f>IFERROR(__xludf.DUMMYFUNCTION("""COMPUTED_VALUE"""),0.23076923076923)</f>
        <v>0.2307692308</v>
      </c>
      <c r="P21" s="16">
        <f>IFERROR(__xludf.DUMMYFUNCTION("""COMPUTED_VALUE"""),0.0769230769230769)</f>
        <v>0.07692307692</v>
      </c>
      <c r="Q21" s="16">
        <f>IFERROR(__xludf.DUMMYFUNCTION("""COMPUTED_VALUE"""),0.0)</f>
        <v>0</v>
      </c>
      <c r="R21" s="16">
        <f>IFERROR(__xludf.DUMMYFUNCTION("""COMPUTED_VALUE"""),0.0)</f>
        <v>0</v>
      </c>
      <c r="S21" s="16">
        <f>IFERROR(__xludf.DUMMYFUNCTION("""COMPUTED_VALUE"""),0.0)</f>
        <v>0</v>
      </c>
      <c r="T21" s="16">
        <f>IFERROR(__xludf.DUMMYFUNCTION("""COMPUTED_VALUE"""),0.0)</f>
        <v>0</v>
      </c>
      <c r="U21" s="16">
        <f>IFERROR(__xludf.DUMMYFUNCTION("""COMPUTED_VALUE"""),0.0)</f>
        <v>0</v>
      </c>
      <c r="V21" s="16">
        <f>IFERROR(__xludf.DUMMYFUNCTION("""COMPUTED_VALUE"""),0.0)</f>
        <v>0</v>
      </c>
      <c r="W21" s="16">
        <f>IFERROR(__xludf.DUMMYFUNCTION("""COMPUTED_VALUE"""),0.0)</f>
        <v>0</v>
      </c>
      <c r="X21" s="16">
        <f>IFERROR(__xludf.DUMMYFUNCTION("""COMPUTED_VALUE"""),0.0)</f>
        <v>0</v>
      </c>
      <c r="Y21" s="16">
        <f>IFERROR(__xludf.DUMMYFUNCTION("""COMPUTED_VALUE"""),0.0)</f>
        <v>0</v>
      </c>
      <c r="Z21" s="16">
        <f>IFERROR(__xludf.DUMMYFUNCTION("""COMPUTED_VALUE"""),0.0)</f>
        <v>0</v>
      </c>
      <c r="AA21" s="16">
        <f>IFERROR(__xludf.DUMMYFUNCTION("""COMPUTED_VALUE"""),0.0)</f>
        <v>0</v>
      </c>
      <c r="AB21" s="16">
        <f>IFERROR(__xludf.DUMMYFUNCTION("""COMPUTED_VALUE"""),0.0)</f>
        <v>0</v>
      </c>
      <c r="AC21" s="16">
        <f>IFERROR(__xludf.DUMMYFUNCTION("""COMPUTED_VALUE"""),0.0)</f>
        <v>0</v>
      </c>
      <c r="AD21" s="16">
        <f>IFERROR(__xludf.DUMMYFUNCTION("""COMPUTED_VALUE"""),0.0)</f>
        <v>0</v>
      </c>
      <c r="AE21" s="16">
        <f>IFERROR(__xludf.DUMMYFUNCTION("""COMPUTED_VALUE"""),0.0)</f>
        <v>0</v>
      </c>
      <c r="AF21" s="16">
        <f>IFERROR(__xludf.DUMMYFUNCTION("""COMPUTED_VALUE"""),0.0)</f>
        <v>0</v>
      </c>
      <c r="AG21" s="16">
        <f>IFERROR(__xludf.DUMMYFUNCTION("""COMPUTED_VALUE"""),0.0)</f>
        <v>0</v>
      </c>
      <c r="AH21" s="16">
        <f>IFERROR(__xludf.DUMMYFUNCTION("""COMPUTED_VALUE"""),0.0)</f>
        <v>0</v>
      </c>
    </row>
    <row r="22">
      <c r="A22" s="16" t="str">
        <f>IFERROR(__xludf.DUMMYFUNCTION("""COMPUTED_VALUE"""),"158669d764d53a995f111683b8700642d7c4847c")</f>
        <v>158669d764d53a995f111683b8700642d7c4847c</v>
      </c>
      <c r="B22" s="16" t="str">
        <f>IFERROR(__xludf.DUMMYFUNCTION("""COMPUTED_VALUE"""),"The Silent Wife Strikes")</f>
        <v>The Silent Wife Strikes</v>
      </c>
      <c r="C22" s="16" t="str">
        <f>IFERROR(__xludf.DUMMYFUNCTION("""COMPUTED_VALUE"""),"Romance")</f>
        <v>Romance</v>
      </c>
      <c r="D22" s="16">
        <f>IFERROR(__xludf.DUMMYFUNCTION("""COMPUTED_VALUE"""),104.0)</f>
        <v>104</v>
      </c>
      <c r="E22" s="16">
        <f>IFERROR(__xludf.DUMMYFUNCTION("""COMPUTED_VALUE"""),0.923076923076923)</f>
        <v>0.9230769231</v>
      </c>
      <c r="F22" s="16">
        <f>IFERROR(__xludf.DUMMYFUNCTION("""COMPUTED_VALUE"""),0.557692307692307)</f>
        <v>0.5576923077</v>
      </c>
      <c r="G22" s="16">
        <f>IFERROR(__xludf.DUMMYFUNCTION("""COMPUTED_VALUE"""),0.519230769230769)</f>
        <v>0.5192307692</v>
      </c>
      <c r="H22" s="16">
        <f>IFERROR(__xludf.DUMMYFUNCTION("""COMPUTED_VALUE"""),0.432692307692307)</f>
        <v>0.4326923077</v>
      </c>
      <c r="I22" s="16">
        <f>IFERROR(__xludf.DUMMYFUNCTION("""COMPUTED_VALUE"""),0.413461538461538)</f>
        <v>0.4134615385</v>
      </c>
      <c r="J22" s="16">
        <f>IFERROR(__xludf.DUMMYFUNCTION("""COMPUTED_VALUE"""),0.346153846153846)</f>
        <v>0.3461538462</v>
      </c>
      <c r="K22" s="16">
        <f>IFERROR(__xludf.DUMMYFUNCTION("""COMPUTED_VALUE"""),0.413461538461538)</f>
        <v>0.4134615385</v>
      </c>
      <c r="L22" s="16">
        <f>IFERROR(__xludf.DUMMYFUNCTION("""COMPUTED_VALUE"""),0.317307692307692)</f>
        <v>0.3173076923</v>
      </c>
      <c r="M22" s="16">
        <f>IFERROR(__xludf.DUMMYFUNCTION("""COMPUTED_VALUE"""),0.35576923076923)</f>
        <v>0.3557692308</v>
      </c>
      <c r="N22" s="16">
        <f>IFERROR(__xludf.DUMMYFUNCTION("""COMPUTED_VALUE"""),0.317307692307692)</f>
        <v>0.3173076923</v>
      </c>
      <c r="O22" s="16">
        <f>IFERROR(__xludf.DUMMYFUNCTION("""COMPUTED_VALUE"""),0.306122448979591)</f>
        <v>0.306122449</v>
      </c>
      <c r="P22" s="16">
        <f>IFERROR(__xludf.DUMMYFUNCTION("""COMPUTED_VALUE"""),0.177083333333333)</f>
        <v>0.1770833333</v>
      </c>
      <c r="Q22" s="16">
        <f>IFERROR(__xludf.DUMMYFUNCTION("""COMPUTED_VALUE"""),0.158536585365853)</f>
        <v>0.1585365854</v>
      </c>
      <c r="R22" s="16">
        <f>IFERROR(__xludf.DUMMYFUNCTION("""COMPUTED_VALUE"""),0.0416666666666666)</f>
        <v>0.04166666667</v>
      </c>
      <c r="S22" s="16">
        <f>IFERROR(__xludf.DUMMYFUNCTION("""COMPUTED_VALUE"""),0.0)</f>
        <v>0</v>
      </c>
      <c r="T22" s="16">
        <f>IFERROR(__xludf.DUMMYFUNCTION("""COMPUTED_VALUE"""),0.0)</f>
        <v>0</v>
      </c>
      <c r="U22" s="16">
        <f>IFERROR(__xludf.DUMMYFUNCTION("""COMPUTED_VALUE"""),0.0)</f>
        <v>0</v>
      </c>
      <c r="V22" s="16">
        <f>IFERROR(__xludf.DUMMYFUNCTION("""COMPUTED_VALUE"""),0.0)</f>
        <v>0</v>
      </c>
      <c r="W22" s="16">
        <f>IFERROR(__xludf.DUMMYFUNCTION("""COMPUTED_VALUE"""),0.0)</f>
        <v>0</v>
      </c>
      <c r="X22" s="16">
        <f>IFERROR(__xludf.DUMMYFUNCTION("""COMPUTED_VALUE"""),0.0)</f>
        <v>0</v>
      </c>
      <c r="Y22" s="16">
        <f>IFERROR(__xludf.DUMMYFUNCTION("""COMPUTED_VALUE"""),0.0)</f>
        <v>0</v>
      </c>
      <c r="Z22" s="16">
        <f>IFERROR(__xludf.DUMMYFUNCTION("""COMPUTED_VALUE"""),0.0)</f>
        <v>0</v>
      </c>
      <c r="AA22" s="16">
        <f>IFERROR(__xludf.DUMMYFUNCTION("""COMPUTED_VALUE"""),0.0)</f>
        <v>0</v>
      </c>
      <c r="AB22" s="16">
        <f>IFERROR(__xludf.DUMMYFUNCTION("""COMPUTED_VALUE"""),0.0)</f>
        <v>0</v>
      </c>
      <c r="AC22" s="16">
        <f>IFERROR(__xludf.DUMMYFUNCTION("""COMPUTED_VALUE"""),0.0)</f>
        <v>0</v>
      </c>
      <c r="AD22" s="16">
        <f>IFERROR(__xludf.DUMMYFUNCTION("""COMPUTED_VALUE"""),0.0)</f>
        <v>0</v>
      </c>
      <c r="AE22" s="16">
        <f>IFERROR(__xludf.DUMMYFUNCTION("""COMPUTED_VALUE"""),0.0)</f>
        <v>0</v>
      </c>
      <c r="AF22" s="16">
        <f>IFERROR(__xludf.DUMMYFUNCTION("""COMPUTED_VALUE"""),0.0)</f>
        <v>0</v>
      </c>
      <c r="AG22" s="16">
        <f>IFERROR(__xludf.DUMMYFUNCTION("""COMPUTED_VALUE"""),0.0)</f>
        <v>0</v>
      </c>
      <c r="AH22" s="16">
        <f>IFERROR(__xludf.DUMMYFUNCTION("""COMPUTED_VALUE"""),0.0)</f>
        <v>0</v>
      </c>
    </row>
    <row r="23">
      <c r="A23" s="16" t="str">
        <f>IFERROR(__xludf.DUMMYFUNCTION("""COMPUTED_VALUE"""),"15d562c8522444b34fd8ab70e87d9d92f8b0e523")</f>
        <v>15d562c8522444b34fd8ab70e87d9d92f8b0e523</v>
      </c>
      <c r="B23" s="16" t="str">
        <f>IFERROR(__xludf.DUMMYFUNCTION("""COMPUTED_VALUE"""),"Her Second Awakening")</f>
        <v>Her Second Awakening</v>
      </c>
      <c r="C23" s="16" t="str">
        <f>IFERROR(__xludf.DUMMYFUNCTION("""COMPUTED_VALUE"""),"Fantasy")</f>
        <v>Fantasy</v>
      </c>
      <c r="D23" s="16">
        <f>IFERROR(__xludf.DUMMYFUNCTION("""COMPUTED_VALUE"""),1.0)</f>
        <v>1</v>
      </c>
      <c r="E23" s="16">
        <f>IFERROR(__xludf.DUMMYFUNCTION("""COMPUTED_VALUE"""),1.0)</f>
        <v>1</v>
      </c>
      <c r="F23" s="16">
        <f>IFERROR(__xludf.DUMMYFUNCTION("""COMPUTED_VALUE"""),1.0)</f>
        <v>1</v>
      </c>
      <c r="G23" s="16">
        <f>IFERROR(__xludf.DUMMYFUNCTION("""COMPUTED_VALUE"""),0.0)</f>
        <v>0</v>
      </c>
      <c r="H23" s="16">
        <f>IFERROR(__xludf.DUMMYFUNCTION("""COMPUTED_VALUE"""),0.0)</f>
        <v>0</v>
      </c>
      <c r="I23" s="16">
        <f>IFERROR(__xludf.DUMMYFUNCTION("""COMPUTED_VALUE"""),0.0)</f>
        <v>0</v>
      </c>
      <c r="J23" s="16">
        <f>IFERROR(__xludf.DUMMYFUNCTION("""COMPUTED_VALUE"""),0.0)</f>
        <v>0</v>
      </c>
      <c r="K23" s="16">
        <f>IFERROR(__xludf.DUMMYFUNCTION("""COMPUTED_VALUE"""),0.0)</f>
        <v>0</v>
      </c>
      <c r="L23" s="16">
        <f>IFERROR(__xludf.DUMMYFUNCTION("""COMPUTED_VALUE"""),0.0)</f>
        <v>0</v>
      </c>
      <c r="M23" s="16">
        <f>IFERROR(__xludf.DUMMYFUNCTION("""COMPUTED_VALUE"""),0.0)</f>
        <v>0</v>
      </c>
      <c r="N23" s="16">
        <f>IFERROR(__xludf.DUMMYFUNCTION("""COMPUTED_VALUE"""),0.0)</f>
        <v>0</v>
      </c>
      <c r="O23" s="16">
        <f>IFERROR(__xludf.DUMMYFUNCTION("""COMPUTED_VALUE"""),0.0)</f>
        <v>0</v>
      </c>
      <c r="P23" s="16">
        <f>IFERROR(__xludf.DUMMYFUNCTION("""COMPUTED_VALUE"""),0.0)</f>
        <v>0</v>
      </c>
      <c r="Q23" s="16">
        <f>IFERROR(__xludf.DUMMYFUNCTION("""COMPUTED_VALUE"""),0.0)</f>
        <v>0</v>
      </c>
      <c r="R23" s="16">
        <f>IFERROR(__xludf.DUMMYFUNCTION("""COMPUTED_VALUE"""),0.0)</f>
        <v>0</v>
      </c>
      <c r="S23" s="16">
        <f>IFERROR(__xludf.DUMMYFUNCTION("""COMPUTED_VALUE"""),0.0)</f>
        <v>0</v>
      </c>
      <c r="T23" s="16">
        <f>IFERROR(__xludf.DUMMYFUNCTION("""COMPUTED_VALUE"""),0.0)</f>
        <v>0</v>
      </c>
      <c r="U23" s="16">
        <f>IFERROR(__xludf.DUMMYFUNCTION("""COMPUTED_VALUE"""),0.0)</f>
        <v>0</v>
      </c>
      <c r="V23" s="16">
        <f>IFERROR(__xludf.DUMMYFUNCTION("""COMPUTED_VALUE"""),0.0)</f>
        <v>0</v>
      </c>
      <c r="W23" s="16">
        <f>IFERROR(__xludf.DUMMYFUNCTION("""COMPUTED_VALUE"""),0.0)</f>
        <v>0</v>
      </c>
      <c r="X23" s="16">
        <f>IFERROR(__xludf.DUMMYFUNCTION("""COMPUTED_VALUE"""),0.0)</f>
        <v>0</v>
      </c>
      <c r="Y23" s="16">
        <f>IFERROR(__xludf.DUMMYFUNCTION("""COMPUTED_VALUE"""),0.0)</f>
        <v>0</v>
      </c>
      <c r="Z23" s="16">
        <f>IFERROR(__xludf.DUMMYFUNCTION("""COMPUTED_VALUE"""),0.0)</f>
        <v>0</v>
      </c>
      <c r="AA23" s="16">
        <f>IFERROR(__xludf.DUMMYFUNCTION("""COMPUTED_VALUE"""),0.0)</f>
        <v>0</v>
      </c>
      <c r="AB23" s="16">
        <f>IFERROR(__xludf.DUMMYFUNCTION("""COMPUTED_VALUE"""),0.0)</f>
        <v>0</v>
      </c>
      <c r="AC23" s="16">
        <f>IFERROR(__xludf.DUMMYFUNCTION("""COMPUTED_VALUE"""),0.0)</f>
        <v>0</v>
      </c>
      <c r="AD23" s="16">
        <f>IFERROR(__xludf.DUMMYFUNCTION("""COMPUTED_VALUE"""),0.0)</f>
        <v>0</v>
      </c>
      <c r="AE23" s="16">
        <f>IFERROR(__xludf.DUMMYFUNCTION("""COMPUTED_VALUE"""),0.0)</f>
        <v>0</v>
      </c>
      <c r="AF23" s="16">
        <f>IFERROR(__xludf.DUMMYFUNCTION("""COMPUTED_VALUE"""),0.0)</f>
        <v>0</v>
      </c>
      <c r="AG23" s="16">
        <f>IFERROR(__xludf.DUMMYFUNCTION("""COMPUTED_VALUE"""),0.0)</f>
        <v>0</v>
      </c>
      <c r="AH23" s="16">
        <f>IFERROR(__xludf.DUMMYFUNCTION("""COMPUTED_VALUE"""),0.0)</f>
        <v>0</v>
      </c>
    </row>
    <row r="24">
      <c r="A24" s="16" t="str">
        <f>IFERROR(__xludf.DUMMYFUNCTION("""COMPUTED_VALUE"""),"170bf0ee514e18fe892383ebee0f53a0f634136f")</f>
        <v>170bf0ee514e18fe892383ebee0f53a0f634136f</v>
      </c>
      <c r="B24" s="16" t="str">
        <f>IFERROR(__xludf.DUMMYFUNCTION("""COMPUTED_VALUE"""),"Started From the Bottom")</f>
        <v>Started From the Bottom</v>
      </c>
      <c r="C24" s="16" t="str">
        <f>IFERROR(__xludf.DUMMYFUNCTION("""COMPUTED_VALUE"""),"Drama")</f>
        <v>Drama</v>
      </c>
      <c r="D24" s="16">
        <f>IFERROR(__xludf.DUMMYFUNCTION("""COMPUTED_VALUE"""),8.0)</f>
        <v>8</v>
      </c>
      <c r="E24" s="16">
        <f>IFERROR(__xludf.DUMMYFUNCTION("""COMPUTED_VALUE"""),1.0)</f>
        <v>1</v>
      </c>
      <c r="F24" s="16">
        <f>IFERROR(__xludf.DUMMYFUNCTION("""COMPUTED_VALUE"""),0.125)</f>
        <v>0.125</v>
      </c>
      <c r="G24" s="16">
        <f>IFERROR(__xludf.DUMMYFUNCTION("""COMPUTED_VALUE"""),0.125)</f>
        <v>0.125</v>
      </c>
      <c r="H24" s="16">
        <f>IFERROR(__xludf.DUMMYFUNCTION("""COMPUTED_VALUE"""),0.125)</f>
        <v>0.125</v>
      </c>
      <c r="I24" s="16">
        <f>IFERROR(__xludf.DUMMYFUNCTION("""COMPUTED_VALUE"""),0.125)</f>
        <v>0.125</v>
      </c>
      <c r="J24" s="16">
        <f>IFERROR(__xludf.DUMMYFUNCTION("""COMPUTED_VALUE"""),0.125)</f>
        <v>0.125</v>
      </c>
      <c r="K24" s="16">
        <f>IFERROR(__xludf.DUMMYFUNCTION("""COMPUTED_VALUE"""),0.125)</f>
        <v>0.125</v>
      </c>
      <c r="L24" s="16">
        <f>IFERROR(__xludf.DUMMYFUNCTION("""COMPUTED_VALUE"""),0.125)</f>
        <v>0.125</v>
      </c>
      <c r="M24" s="16">
        <f>IFERROR(__xludf.DUMMYFUNCTION("""COMPUTED_VALUE"""),0.125)</f>
        <v>0.125</v>
      </c>
      <c r="N24" s="16">
        <f>IFERROR(__xludf.DUMMYFUNCTION("""COMPUTED_VALUE"""),0.125)</f>
        <v>0.125</v>
      </c>
      <c r="O24" s="16">
        <f>IFERROR(__xludf.DUMMYFUNCTION("""COMPUTED_VALUE"""),0.166666666666666)</f>
        <v>0.1666666667</v>
      </c>
      <c r="P24" s="16">
        <f>IFERROR(__xludf.DUMMYFUNCTION("""COMPUTED_VALUE"""),0.2)</f>
        <v>0.2</v>
      </c>
      <c r="Q24" s="16">
        <f>IFERROR(__xludf.DUMMYFUNCTION("""COMPUTED_VALUE"""),0.2)</f>
        <v>0.2</v>
      </c>
      <c r="R24" s="16">
        <f>IFERROR(__xludf.DUMMYFUNCTION("""COMPUTED_VALUE"""),0.25)</f>
        <v>0.25</v>
      </c>
      <c r="S24" s="16">
        <f>IFERROR(__xludf.DUMMYFUNCTION("""COMPUTED_VALUE"""),0.333333333333333)</f>
        <v>0.3333333333</v>
      </c>
      <c r="T24" s="16">
        <f>IFERROR(__xludf.DUMMYFUNCTION("""COMPUTED_VALUE"""),0.0)</f>
        <v>0</v>
      </c>
      <c r="U24" s="16">
        <f>IFERROR(__xludf.DUMMYFUNCTION("""COMPUTED_VALUE"""),0.0)</f>
        <v>0</v>
      </c>
      <c r="V24" s="16">
        <f>IFERROR(__xludf.DUMMYFUNCTION("""COMPUTED_VALUE"""),0.0)</f>
        <v>0</v>
      </c>
      <c r="W24" s="16">
        <f>IFERROR(__xludf.DUMMYFUNCTION("""COMPUTED_VALUE"""),0.0)</f>
        <v>0</v>
      </c>
      <c r="X24" s="16">
        <f>IFERROR(__xludf.DUMMYFUNCTION("""COMPUTED_VALUE"""),0.0)</f>
        <v>0</v>
      </c>
      <c r="Y24" s="16">
        <f>IFERROR(__xludf.DUMMYFUNCTION("""COMPUTED_VALUE"""),0.0)</f>
        <v>0</v>
      </c>
      <c r="Z24" s="16">
        <f>IFERROR(__xludf.DUMMYFUNCTION("""COMPUTED_VALUE"""),0.0)</f>
        <v>0</v>
      </c>
      <c r="AA24" s="16">
        <f>IFERROR(__xludf.DUMMYFUNCTION("""COMPUTED_VALUE"""),0.0)</f>
        <v>0</v>
      </c>
      <c r="AB24" s="16">
        <f>IFERROR(__xludf.DUMMYFUNCTION("""COMPUTED_VALUE"""),0.0)</f>
        <v>0</v>
      </c>
      <c r="AC24" s="16">
        <f>IFERROR(__xludf.DUMMYFUNCTION("""COMPUTED_VALUE"""),0.0)</f>
        <v>0</v>
      </c>
      <c r="AD24" s="16">
        <f>IFERROR(__xludf.DUMMYFUNCTION("""COMPUTED_VALUE"""),0.0)</f>
        <v>0</v>
      </c>
      <c r="AE24" s="16">
        <f>IFERROR(__xludf.DUMMYFUNCTION("""COMPUTED_VALUE"""),0.0)</f>
        <v>0</v>
      </c>
      <c r="AF24" s="16">
        <f>IFERROR(__xludf.DUMMYFUNCTION("""COMPUTED_VALUE"""),0.0)</f>
        <v>0</v>
      </c>
      <c r="AG24" s="16">
        <f>IFERROR(__xludf.DUMMYFUNCTION("""COMPUTED_VALUE"""),0.0)</f>
        <v>0</v>
      </c>
      <c r="AH24" s="16">
        <f>IFERROR(__xludf.DUMMYFUNCTION("""COMPUTED_VALUE"""),0.0)</f>
        <v>0</v>
      </c>
    </row>
    <row r="25">
      <c r="A25" s="16" t="str">
        <f>IFERROR(__xludf.DUMMYFUNCTION("""COMPUTED_VALUE"""),"184b660f61809850b4478d5bf89e9d10794578ee")</f>
        <v>184b660f61809850b4478d5bf89e9d10794578ee</v>
      </c>
      <c r="B25" s="16" t="str">
        <f>IFERROR(__xludf.DUMMYFUNCTION("""COMPUTED_VALUE"""),"Playing with Fire")</f>
        <v>Playing with Fire</v>
      </c>
      <c r="C25" s="16" t="str">
        <f>IFERROR(__xludf.DUMMYFUNCTION("""COMPUTED_VALUE"""),"Romance")</f>
        <v>Romance</v>
      </c>
      <c r="D25" s="16">
        <f>IFERROR(__xludf.DUMMYFUNCTION("""COMPUTED_VALUE"""),24.0)</f>
        <v>24</v>
      </c>
      <c r="E25" s="16">
        <f>IFERROR(__xludf.DUMMYFUNCTION("""COMPUTED_VALUE"""),0.916666666666666)</f>
        <v>0.9166666667</v>
      </c>
      <c r="F25" s="16">
        <f>IFERROR(__xludf.DUMMYFUNCTION("""COMPUTED_VALUE"""),0.541666666666666)</f>
        <v>0.5416666667</v>
      </c>
      <c r="G25" s="16">
        <f>IFERROR(__xludf.DUMMYFUNCTION("""COMPUTED_VALUE"""),0.541666666666666)</f>
        <v>0.5416666667</v>
      </c>
      <c r="H25" s="16">
        <f>IFERROR(__xludf.DUMMYFUNCTION("""COMPUTED_VALUE"""),0.541666666666666)</f>
        <v>0.5416666667</v>
      </c>
      <c r="I25" s="16">
        <f>IFERROR(__xludf.DUMMYFUNCTION("""COMPUTED_VALUE"""),0.416666666666666)</f>
        <v>0.4166666667</v>
      </c>
      <c r="J25" s="16">
        <f>IFERROR(__xludf.DUMMYFUNCTION("""COMPUTED_VALUE"""),0.375)</f>
        <v>0.375</v>
      </c>
      <c r="K25" s="16">
        <f>IFERROR(__xludf.DUMMYFUNCTION("""COMPUTED_VALUE"""),0.416666666666666)</f>
        <v>0.4166666667</v>
      </c>
      <c r="L25" s="16">
        <f>IFERROR(__xludf.DUMMYFUNCTION("""COMPUTED_VALUE"""),0.291666666666666)</f>
        <v>0.2916666667</v>
      </c>
      <c r="M25" s="16">
        <f>IFERROR(__xludf.DUMMYFUNCTION("""COMPUTED_VALUE"""),0.333333333333333)</f>
        <v>0.3333333333</v>
      </c>
      <c r="N25" s="16">
        <f>IFERROR(__xludf.DUMMYFUNCTION("""COMPUTED_VALUE"""),0.333333333333333)</f>
        <v>0.3333333333</v>
      </c>
      <c r="O25" s="16">
        <f>IFERROR(__xludf.DUMMYFUNCTION("""COMPUTED_VALUE"""),0.260869565217391)</f>
        <v>0.2608695652</v>
      </c>
      <c r="P25" s="16">
        <f>IFERROR(__xludf.DUMMYFUNCTION("""COMPUTED_VALUE"""),0.217391304347826)</f>
        <v>0.2173913043</v>
      </c>
      <c r="Q25" s="16">
        <f>IFERROR(__xludf.DUMMYFUNCTION("""COMPUTED_VALUE"""),0.0)</f>
        <v>0</v>
      </c>
      <c r="R25" s="16">
        <f>IFERROR(__xludf.DUMMYFUNCTION("""COMPUTED_VALUE"""),0.0)</f>
        <v>0</v>
      </c>
      <c r="S25" s="16">
        <f>IFERROR(__xludf.DUMMYFUNCTION("""COMPUTED_VALUE"""),0.0)</f>
        <v>0</v>
      </c>
      <c r="T25" s="16">
        <f>IFERROR(__xludf.DUMMYFUNCTION("""COMPUTED_VALUE"""),0.0)</f>
        <v>0</v>
      </c>
      <c r="U25" s="16">
        <f>IFERROR(__xludf.DUMMYFUNCTION("""COMPUTED_VALUE"""),0.0)</f>
        <v>0</v>
      </c>
      <c r="V25" s="16">
        <f>IFERROR(__xludf.DUMMYFUNCTION("""COMPUTED_VALUE"""),0.0)</f>
        <v>0</v>
      </c>
      <c r="W25" s="16">
        <f>IFERROR(__xludf.DUMMYFUNCTION("""COMPUTED_VALUE"""),0.0)</f>
        <v>0</v>
      </c>
      <c r="X25" s="16">
        <f>IFERROR(__xludf.DUMMYFUNCTION("""COMPUTED_VALUE"""),0.0)</f>
        <v>0</v>
      </c>
      <c r="Y25" s="16">
        <f>IFERROR(__xludf.DUMMYFUNCTION("""COMPUTED_VALUE"""),0.0)</f>
        <v>0</v>
      </c>
      <c r="Z25" s="16">
        <f>IFERROR(__xludf.DUMMYFUNCTION("""COMPUTED_VALUE"""),0.0)</f>
        <v>0</v>
      </c>
      <c r="AA25" s="16">
        <f>IFERROR(__xludf.DUMMYFUNCTION("""COMPUTED_VALUE"""),0.0)</f>
        <v>0</v>
      </c>
      <c r="AB25" s="16">
        <f>IFERROR(__xludf.DUMMYFUNCTION("""COMPUTED_VALUE"""),0.0)</f>
        <v>0</v>
      </c>
      <c r="AC25" s="16">
        <f>IFERROR(__xludf.DUMMYFUNCTION("""COMPUTED_VALUE"""),0.0)</f>
        <v>0</v>
      </c>
      <c r="AD25" s="16">
        <f>IFERROR(__xludf.DUMMYFUNCTION("""COMPUTED_VALUE"""),0.0)</f>
        <v>0</v>
      </c>
      <c r="AE25" s="16">
        <f>IFERROR(__xludf.DUMMYFUNCTION("""COMPUTED_VALUE"""),0.0)</f>
        <v>0</v>
      </c>
      <c r="AF25" s="16">
        <f>IFERROR(__xludf.DUMMYFUNCTION("""COMPUTED_VALUE"""),0.0)</f>
        <v>0</v>
      </c>
      <c r="AG25" s="16">
        <f>IFERROR(__xludf.DUMMYFUNCTION("""COMPUTED_VALUE"""),0.0)</f>
        <v>0</v>
      </c>
      <c r="AH25" s="16">
        <f>IFERROR(__xludf.DUMMYFUNCTION("""COMPUTED_VALUE"""),0.0)</f>
        <v>0</v>
      </c>
    </row>
    <row r="26">
      <c r="A26" s="16" t="str">
        <f>IFERROR(__xludf.DUMMYFUNCTION("""COMPUTED_VALUE"""),"19153cd9dd2e137f1311235c9104db0ecba38abb")</f>
        <v>19153cd9dd2e137f1311235c9104db0ecba38abb</v>
      </c>
      <c r="B26" s="16" t="str">
        <f>IFERROR(__xludf.DUMMYFUNCTION("""COMPUTED_VALUE"""),"My Apex Trading System")</f>
        <v>My Apex Trading System</v>
      </c>
      <c r="C26" s="16" t="str">
        <f>IFERROR(__xludf.DUMMYFUNCTION("""COMPUTED_VALUE"""),"Sci-Fi")</f>
        <v>Sci-Fi</v>
      </c>
      <c r="D26" s="16">
        <f>IFERROR(__xludf.DUMMYFUNCTION("""COMPUTED_VALUE"""),25.0)</f>
        <v>25</v>
      </c>
      <c r="E26" s="16">
        <f>IFERROR(__xludf.DUMMYFUNCTION("""COMPUTED_VALUE"""),0.92)</f>
        <v>0.92</v>
      </c>
      <c r="F26" s="16">
        <f>IFERROR(__xludf.DUMMYFUNCTION("""COMPUTED_VALUE"""),0.44)</f>
        <v>0.44</v>
      </c>
      <c r="G26" s="16">
        <f>IFERROR(__xludf.DUMMYFUNCTION("""COMPUTED_VALUE"""),0.36)</f>
        <v>0.36</v>
      </c>
      <c r="H26" s="16">
        <f>IFERROR(__xludf.DUMMYFUNCTION("""COMPUTED_VALUE"""),0.36)</f>
        <v>0.36</v>
      </c>
      <c r="I26" s="16">
        <f>IFERROR(__xludf.DUMMYFUNCTION("""COMPUTED_VALUE"""),0.36)</f>
        <v>0.36</v>
      </c>
      <c r="J26" s="16">
        <f>IFERROR(__xludf.DUMMYFUNCTION("""COMPUTED_VALUE"""),0.32)</f>
        <v>0.32</v>
      </c>
      <c r="K26" s="16">
        <f>IFERROR(__xludf.DUMMYFUNCTION("""COMPUTED_VALUE"""),0.28)</f>
        <v>0.28</v>
      </c>
      <c r="L26" s="16">
        <f>IFERROR(__xludf.DUMMYFUNCTION("""COMPUTED_VALUE"""),0.260869565217391)</f>
        <v>0.2608695652</v>
      </c>
      <c r="M26" s="16">
        <f>IFERROR(__xludf.DUMMYFUNCTION("""COMPUTED_VALUE"""),0.285714285714285)</f>
        <v>0.2857142857</v>
      </c>
      <c r="N26" s="16">
        <f>IFERROR(__xludf.DUMMYFUNCTION("""COMPUTED_VALUE"""),0.333333333333333)</f>
        <v>0.3333333333</v>
      </c>
      <c r="O26" s="16">
        <f>IFERROR(__xludf.DUMMYFUNCTION("""COMPUTED_VALUE"""),0.2)</f>
        <v>0.2</v>
      </c>
      <c r="P26" s="16">
        <f>IFERROR(__xludf.DUMMYFUNCTION("""COMPUTED_VALUE"""),0.0)</f>
        <v>0</v>
      </c>
      <c r="Q26" s="16">
        <f>IFERROR(__xludf.DUMMYFUNCTION("""COMPUTED_VALUE"""),0.0)</f>
        <v>0</v>
      </c>
      <c r="R26" s="16">
        <f>IFERROR(__xludf.DUMMYFUNCTION("""COMPUTED_VALUE"""),0.0)</f>
        <v>0</v>
      </c>
      <c r="S26" s="16">
        <f>IFERROR(__xludf.DUMMYFUNCTION("""COMPUTED_VALUE"""),0.0)</f>
        <v>0</v>
      </c>
      <c r="T26" s="16">
        <f>IFERROR(__xludf.DUMMYFUNCTION("""COMPUTED_VALUE"""),0.0)</f>
        <v>0</v>
      </c>
      <c r="U26" s="16">
        <f>IFERROR(__xludf.DUMMYFUNCTION("""COMPUTED_VALUE"""),0.0)</f>
        <v>0</v>
      </c>
      <c r="V26" s="16">
        <f>IFERROR(__xludf.DUMMYFUNCTION("""COMPUTED_VALUE"""),0.0)</f>
        <v>0</v>
      </c>
      <c r="W26" s="16">
        <f>IFERROR(__xludf.DUMMYFUNCTION("""COMPUTED_VALUE"""),0.0)</f>
        <v>0</v>
      </c>
      <c r="X26" s="16">
        <f>IFERROR(__xludf.DUMMYFUNCTION("""COMPUTED_VALUE"""),0.0)</f>
        <v>0</v>
      </c>
      <c r="Y26" s="16">
        <f>IFERROR(__xludf.DUMMYFUNCTION("""COMPUTED_VALUE"""),0.0)</f>
        <v>0</v>
      </c>
      <c r="Z26" s="16">
        <f>IFERROR(__xludf.DUMMYFUNCTION("""COMPUTED_VALUE"""),0.0)</f>
        <v>0</v>
      </c>
      <c r="AA26" s="16">
        <f>IFERROR(__xludf.DUMMYFUNCTION("""COMPUTED_VALUE"""),0.0)</f>
        <v>0</v>
      </c>
      <c r="AB26" s="16">
        <f>IFERROR(__xludf.DUMMYFUNCTION("""COMPUTED_VALUE"""),0.0)</f>
        <v>0</v>
      </c>
      <c r="AC26" s="16">
        <f>IFERROR(__xludf.DUMMYFUNCTION("""COMPUTED_VALUE"""),0.0)</f>
        <v>0</v>
      </c>
      <c r="AD26" s="16">
        <f>IFERROR(__xludf.DUMMYFUNCTION("""COMPUTED_VALUE"""),0.0)</f>
        <v>0</v>
      </c>
      <c r="AE26" s="16">
        <f>IFERROR(__xludf.DUMMYFUNCTION("""COMPUTED_VALUE"""),0.0)</f>
        <v>0</v>
      </c>
      <c r="AF26" s="16">
        <f>IFERROR(__xludf.DUMMYFUNCTION("""COMPUTED_VALUE"""),0.0)</f>
        <v>0</v>
      </c>
      <c r="AG26" s="16">
        <f>IFERROR(__xludf.DUMMYFUNCTION("""COMPUTED_VALUE"""),0.0)</f>
        <v>0</v>
      </c>
      <c r="AH26" s="16">
        <f>IFERROR(__xludf.DUMMYFUNCTION("""COMPUTED_VALUE"""),0.0)</f>
        <v>0</v>
      </c>
    </row>
    <row r="27">
      <c r="A27" s="16" t="str">
        <f>IFERROR(__xludf.DUMMYFUNCTION("""COMPUTED_VALUE"""),"19636f24104780140ebb745525226a8989f6b562")</f>
        <v>19636f24104780140ebb745525226a8989f6b562</v>
      </c>
      <c r="B27" s="16" t="str">
        <f>IFERROR(__xludf.DUMMYFUNCTION("""COMPUTED_VALUE"""),"Billionare Revenge System")</f>
        <v>Billionare Revenge System</v>
      </c>
      <c r="C27" s="16" t="str">
        <f>IFERROR(__xludf.DUMMYFUNCTION("""COMPUTED_VALUE"""),"Fantasy")</f>
        <v>Fantasy</v>
      </c>
      <c r="D27" s="16">
        <f>IFERROR(__xludf.DUMMYFUNCTION("""COMPUTED_VALUE"""),9.0)</f>
        <v>9</v>
      </c>
      <c r="E27" s="16">
        <f>IFERROR(__xludf.DUMMYFUNCTION("""COMPUTED_VALUE"""),1.0)</f>
        <v>1</v>
      </c>
      <c r="F27" s="16">
        <f>IFERROR(__xludf.DUMMYFUNCTION("""COMPUTED_VALUE"""),1.0)</f>
        <v>1</v>
      </c>
      <c r="G27" s="16">
        <f>IFERROR(__xludf.DUMMYFUNCTION("""COMPUTED_VALUE"""),0.888888888888888)</f>
        <v>0.8888888889</v>
      </c>
      <c r="H27" s="16">
        <f>IFERROR(__xludf.DUMMYFUNCTION("""COMPUTED_VALUE"""),0.777777777777777)</f>
        <v>0.7777777778</v>
      </c>
      <c r="I27" s="16">
        <f>IFERROR(__xludf.DUMMYFUNCTION("""COMPUTED_VALUE"""),0.777777777777777)</f>
        <v>0.7777777778</v>
      </c>
      <c r="J27" s="16">
        <f>IFERROR(__xludf.DUMMYFUNCTION("""COMPUTED_VALUE"""),0.777777777777777)</f>
        <v>0.7777777778</v>
      </c>
      <c r="K27" s="16">
        <f>IFERROR(__xludf.DUMMYFUNCTION("""COMPUTED_VALUE"""),0.777777777777777)</f>
        <v>0.7777777778</v>
      </c>
      <c r="L27" s="16">
        <f>IFERROR(__xludf.DUMMYFUNCTION("""COMPUTED_VALUE"""),0.777777777777777)</f>
        <v>0.7777777778</v>
      </c>
      <c r="M27" s="16">
        <f>IFERROR(__xludf.DUMMYFUNCTION("""COMPUTED_VALUE"""),0.777777777777777)</f>
        <v>0.7777777778</v>
      </c>
      <c r="N27" s="16">
        <f>IFERROR(__xludf.DUMMYFUNCTION("""COMPUTED_VALUE"""),0.75)</f>
        <v>0.75</v>
      </c>
      <c r="O27" s="16">
        <f>IFERROR(__xludf.DUMMYFUNCTION("""COMPUTED_VALUE"""),0.666666666666666)</f>
        <v>0.6666666667</v>
      </c>
      <c r="P27" s="16">
        <f>IFERROR(__xludf.DUMMYFUNCTION("""COMPUTED_VALUE"""),1.0)</f>
        <v>1</v>
      </c>
      <c r="Q27" s="16">
        <f>IFERROR(__xludf.DUMMYFUNCTION("""COMPUTED_VALUE"""),0.0)</f>
        <v>0</v>
      </c>
      <c r="R27" s="16">
        <f>IFERROR(__xludf.DUMMYFUNCTION("""COMPUTED_VALUE"""),0.0)</f>
        <v>0</v>
      </c>
      <c r="S27" s="16">
        <f>IFERROR(__xludf.DUMMYFUNCTION("""COMPUTED_VALUE"""),0.0)</f>
        <v>0</v>
      </c>
      <c r="T27" s="16">
        <f>IFERROR(__xludf.DUMMYFUNCTION("""COMPUTED_VALUE"""),0.0)</f>
        <v>0</v>
      </c>
      <c r="U27" s="16">
        <f>IFERROR(__xludf.DUMMYFUNCTION("""COMPUTED_VALUE"""),0.0)</f>
        <v>0</v>
      </c>
      <c r="V27" s="16">
        <f>IFERROR(__xludf.DUMMYFUNCTION("""COMPUTED_VALUE"""),0.0)</f>
        <v>0</v>
      </c>
      <c r="W27" s="16">
        <f>IFERROR(__xludf.DUMMYFUNCTION("""COMPUTED_VALUE"""),0.0)</f>
        <v>0</v>
      </c>
      <c r="X27" s="16">
        <f>IFERROR(__xludf.DUMMYFUNCTION("""COMPUTED_VALUE"""),0.0)</f>
        <v>0</v>
      </c>
      <c r="Y27" s="16">
        <f>IFERROR(__xludf.DUMMYFUNCTION("""COMPUTED_VALUE"""),0.0)</f>
        <v>0</v>
      </c>
      <c r="Z27" s="16">
        <f>IFERROR(__xludf.DUMMYFUNCTION("""COMPUTED_VALUE"""),0.0)</f>
        <v>0</v>
      </c>
      <c r="AA27" s="16">
        <f>IFERROR(__xludf.DUMMYFUNCTION("""COMPUTED_VALUE"""),0.0)</f>
        <v>0</v>
      </c>
      <c r="AB27" s="16">
        <f>IFERROR(__xludf.DUMMYFUNCTION("""COMPUTED_VALUE"""),0.0)</f>
        <v>0</v>
      </c>
      <c r="AC27" s="16">
        <f>IFERROR(__xludf.DUMMYFUNCTION("""COMPUTED_VALUE"""),0.0)</f>
        <v>0</v>
      </c>
      <c r="AD27" s="16">
        <f>IFERROR(__xludf.DUMMYFUNCTION("""COMPUTED_VALUE"""),0.0)</f>
        <v>0</v>
      </c>
      <c r="AE27" s="16">
        <f>IFERROR(__xludf.DUMMYFUNCTION("""COMPUTED_VALUE"""),0.0)</f>
        <v>0</v>
      </c>
      <c r="AF27" s="16">
        <f>IFERROR(__xludf.DUMMYFUNCTION("""COMPUTED_VALUE"""),0.0)</f>
        <v>0</v>
      </c>
      <c r="AG27" s="16">
        <f>IFERROR(__xludf.DUMMYFUNCTION("""COMPUTED_VALUE"""),0.0)</f>
        <v>0</v>
      </c>
      <c r="AH27" s="16">
        <f>IFERROR(__xludf.DUMMYFUNCTION("""COMPUTED_VALUE"""),0.0)</f>
        <v>0</v>
      </c>
    </row>
    <row r="28">
      <c r="A28" s="16" t="str">
        <f>IFERROR(__xludf.DUMMYFUNCTION("""COMPUTED_VALUE"""),"1a5df306886a7b0e7736ec2c8efad3467507a1c6")</f>
        <v>1a5df306886a7b0e7736ec2c8efad3467507a1c6</v>
      </c>
      <c r="B28" s="16" t="str">
        <f>IFERROR(__xludf.DUMMYFUNCTION("""COMPUTED_VALUE"""),"Billionaire Bentley’s Runaway Princess")</f>
        <v>Billionaire Bentley’s Runaway Princess</v>
      </c>
      <c r="C28" s="16" t="str">
        <f>IFERROR(__xludf.DUMMYFUNCTION("""COMPUTED_VALUE"""),"Romance")</f>
        <v>Romance</v>
      </c>
      <c r="D28" s="16">
        <f>IFERROR(__xludf.DUMMYFUNCTION("""COMPUTED_VALUE"""),865.0)</f>
        <v>865</v>
      </c>
      <c r="E28" s="16">
        <f>IFERROR(__xludf.DUMMYFUNCTION("""COMPUTED_VALUE"""),0.951445086705202)</f>
        <v>0.9514450867</v>
      </c>
      <c r="F28" s="16">
        <f>IFERROR(__xludf.DUMMYFUNCTION("""COMPUTED_VALUE"""),0.611560693641618)</f>
        <v>0.6115606936</v>
      </c>
      <c r="G28" s="16">
        <f>IFERROR(__xludf.DUMMYFUNCTION("""COMPUTED_VALUE"""),0.557225433526011)</f>
        <v>0.5572254335</v>
      </c>
      <c r="H28" s="16">
        <f>IFERROR(__xludf.DUMMYFUNCTION("""COMPUTED_VALUE"""),0.512138728323699)</f>
        <v>0.5121387283</v>
      </c>
      <c r="I28" s="16">
        <f>IFERROR(__xludf.DUMMYFUNCTION("""COMPUTED_VALUE"""),0.484393063583815)</f>
        <v>0.4843930636</v>
      </c>
      <c r="J28" s="16">
        <f>IFERROR(__xludf.DUMMYFUNCTION("""COMPUTED_VALUE"""),0.434027777777777)</f>
        <v>0.4340277778</v>
      </c>
      <c r="K28" s="16">
        <f>IFERROR(__xludf.DUMMYFUNCTION("""COMPUTED_VALUE"""),0.424768518518518)</f>
        <v>0.4247685185</v>
      </c>
      <c r="L28" s="16">
        <f>IFERROR(__xludf.DUMMYFUNCTION("""COMPUTED_VALUE"""),0.405092592592592)</f>
        <v>0.4050925926</v>
      </c>
      <c r="M28" s="16">
        <f>IFERROR(__xludf.DUMMYFUNCTION("""COMPUTED_VALUE"""),0.380787037037037)</f>
        <v>0.380787037</v>
      </c>
      <c r="N28" s="16">
        <f>IFERROR(__xludf.DUMMYFUNCTION("""COMPUTED_VALUE"""),0.401392111368909)</f>
        <v>0.4013921114</v>
      </c>
      <c r="O28" s="16">
        <f>IFERROR(__xludf.DUMMYFUNCTION("""COMPUTED_VALUE"""),0.284222737819025)</f>
        <v>0.2842227378</v>
      </c>
      <c r="P28" s="16">
        <f>IFERROR(__xludf.DUMMYFUNCTION("""COMPUTED_VALUE"""),0.209847596717467)</f>
        <v>0.2098475967</v>
      </c>
      <c r="Q28" s="16">
        <f>IFERROR(__xludf.DUMMYFUNCTION("""COMPUTED_VALUE"""),0.222222222222222)</f>
        <v>0.2222222222</v>
      </c>
      <c r="R28" s="16">
        <f>IFERROR(__xludf.DUMMYFUNCTION("""COMPUTED_VALUE"""),0.0)</f>
        <v>0</v>
      </c>
      <c r="S28" s="16">
        <f>IFERROR(__xludf.DUMMYFUNCTION("""COMPUTED_VALUE"""),0.0)</f>
        <v>0</v>
      </c>
      <c r="T28" s="16">
        <f>IFERROR(__xludf.DUMMYFUNCTION("""COMPUTED_VALUE"""),0.0)</f>
        <v>0</v>
      </c>
      <c r="U28" s="16">
        <f>IFERROR(__xludf.DUMMYFUNCTION("""COMPUTED_VALUE"""),0.0)</f>
        <v>0</v>
      </c>
      <c r="V28" s="16">
        <f>IFERROR(__xludf.DUMMYFUNCTION("""COMPUTED_VALUE"""),0.0)</f>
        <v>0</v>
      </c>
      <c r="W28" s="16">
        <f>IFERROR(__xludf.DUMMYFUNCTION("""COMPUTED_VALUE"""),0.0)</f>
        <v>0</v>
      </c>
      <c r="X28" s="16">
        <f>IFERROR(__xludf.DUMMYFUNCTION("""COMPUTED_VALUE"""),0.0)</f>
        <v>0</v>
      </c>
      <c r="Y28" s="16">
        <f>IFERROR(__xludf.DUMMYFUNCTION("""COMPUTED_VALUE"""),0.0)</f>
        <v>0</v>
      </c>
      <c r="Z28" s="16">
        <f>IFERROR(__xludf.DUMMYFUNCTION("""COMPUTED_VALUE"""),0.0)</f>
        <v>0</v>
      </c>
      <c r="AA28" s="16">
        <f>IFERROR(__xludf.DUMMYFUNCTION("""COMPUTED_VALUE"""),0.0)</f>
        <v>0</v>
      </c>
      <c r="AB28" s="16">
        <f>IFERROR(__xludf.DUMMYFUNCTION("""COMPUTED_VALUE"""),0.0)</f>
        <v>0</v>
      </c>
      <c r="AC28" s="16">
        <f>IFERROR(__xludf.DUMMYFUNCTION("""COMPUTED_VALUE"""),0.0)</f>
        <v>0</v>
      </c>
      <c r="AD28" s="16">
        <f>IFERROR(__xludf.DUMMYFUNCTION("""COMPUTED_VALUE"""),0.0)</f>
        <v>0</v>
      </c>
      <c r="AE28" s="16">
        <f>IFERROR(__xludf.DUMMYFUNCTION("""COMPUTED_VALUE"""),0.0)</f>
        <v>0</v>
      </c>
      <c r="AF28" s="16">
        <f>IFERROR(__xludf.DUMMYFUNCTION("""COMPUTED_VALUE"""),0.0)</f>
        <v>0</v>
      </c>
      <c r="AG28" s="16">
        <f>IFERROR(__xludf.DUMMYFUNCTION("""COMPUTED_VALUE"""),0.0)</f>
        <v>0</v>
      </c>
      <c r="AH28" s="16">
        <f>IFERROR(__xludf.DUMMYFUNCTION("""COMPUTED_VALUE"""),0.0)</f>
        <v>0</v>
      </c>
    </row>
    <row r="29">
      <c r="A29" s="16" t="str">
        <f>IFERROR(__xludf.DUMMYFUNCTION("""COMPUTED_VALUE"""),"1b5acb214bfe00156d933b176eef6987dcf9aa8c")</f>
        <v>1b5acb214bfe00156d933b176eef6987dcf9aa8c</v>
      </c>
      <c r="B29" s="16" t="str">
        <f>IFERROR(__xludf.DUMMYFUNCTION("""COMPUTED_VALUE"""),"The Night Forgotten by Us")</f>
        <v>The Night Forgotten by Us</v>
      </c>
      <c r="C29" s="16" t="str">
        <f>IFERROR(__xludf.DUMMYFUNCTION("""COMPUTED_VALUE"""),"Romance")</f>
        <v>Romance</v>
      </c>
      <c r="D29" s="16">
        <f>IFERROR(__xludf.DUMMYFUNCTION("""COMPUTED_VALUE"""),450.0)</f>
        <v>450</v>
      </c>
      <c r="E29" s="16">
        <f>IFERROR(__xludf.DUMMYFUNCTION("""COMPUTED_VALUE"""),0.962222222222222)</f>
        <v>0.9622222222</v>
      </c>
      <c r="F29" s="16">
        <f>IFERROR(__xludf.DUMMYFUNCTION("""COMPUTED_VALUE"""),0.595555555555555)</f>
        <v>0.5955555556</v>
      </c>
      <c r="G29" s="16">
        <f>IFERROR(__xludf.DUMMYFUNCTION("""COMPUTED_VALUE"""),0.526666666666666)</f>
        <v>0.5266666667</v>
      </c>
      <c r="H29" s="16">
        <f>IFERROR(__xludf.DUMMYFUNCTION("""COMPUTED_VALUE"""),0.475555555555555)</f>
        <v>0.4755555556</v>
      </c>
      <c r="I29" s="16">
        <f>IFERROR(__xludf.DUMMYFUNCTION("""COMPUTED_VALUE"""),0.464444444444444)</f>
        <v>0.4644444444</v>
      </c>
      <c r="J29" s="16">
        <f>IFERROR(__xludf.DUMMYFUNCTION("""COMPUTED_VALUE"""),0.457777777777777)</f>
        <v>0.4577777778</v>
      </c>
      <c r="K29" s="16">
        <f>IFERROR(__xludf.DUMMYFUNCTION("""COMPUTED_VALUE"""),0.431111111111111)</f>
        <v>0.4311111111</v>
      </c>
      <c r="L29" s="16">
        <f>IFERROR(__xludf.DUMMYFUNCTION("""COMPUTED_VALUE"""),0.424444444444444)</f>
        <v>0.4244444444</v>
      </c>
      <c r="M29" s="16">
        <f>IFERROR(__xludf.DUMMYFUNCTION("""COMPUTED_VALUE"""),0.395555555555555)</f>
        <v>0.3955555556</v>
      </c>
      <c r="N29" s="16">
        <f>IFERROR(__xludf.DUMMYFUNCTION("""COMPUTED_VALUE"""),0.393333333333333)</f>
        <v>0.3933333333</v>
      </c>
      <c r="O29" s="16">
        <f>IFERROR(__xludf.DUMMYFUNCTION("""COMPUTED_VALUE"""),0.387892376681614)</f>
        <v>0.3878923767</v>
      </c>
      <c r="P29" s="16">
        <f>IFERROR(__xludf.DUMMYFUNCTION("""COMPUTED_VALUE"""),0.282110091743119)</f>
        <v>0.2821100917</v>
      </c>
      <c r="Q29" s="16">
        <f>IFERROR(__xludf.DUMMYFUNCTION("""COMPUTED_VALUE"""),0.216019417475728)</f>
        <v>0.2160194175</v>
      </c>
      <c r="R29" s="16">
        <f>IFERROR(__xludf.DUMMYFUNCTION("""COMPUTED_VALUE"""),0.0)</f>
        <v>0</v>
      </c>
      <c r="S29" s="16">
        <f>IFERROR(__xludf.DUMMYFUNCTION("""COMPUTED_VALUE"""),0.0)</f>
        <v>0</v>
      </c>
      <c r="T29" s="16">
        <f>IFERROR(__xludf.DUMMYFUNCTION("""COMPUTED_VALUE"""),0.0)</f>
        <v>0</v>
      </c>
      <c r="U29" s="16">
        <f>IFERROR(__xludf.DUMMYFUNCTION("""COMPUTED_VALUE"""),0.0)</f>
        <v>0</v>
      </c>
      <c r="V29" s="16">
        <f>IFERROR(__xludf.DUMMYFUNCTION("""COMPUTED_VALUE"""),0.0)</f>
        <v>0</v>
      </c>
      <c r="W29" s="16">
        <f>IFERROR(__xludf.DUMMYFUNCTION("""COMPUTED_VALUE"""),0.0)</f>
        <v>0</v>
      </c>
      <c r="X29" s="16">
        <f>IFERROR(__xludf.DUMMYFUNCTION("""COMPUTED_VALUE"""),0.0)</f>
        <v>0</v>
      </c>
      <c r="Y29" s="16">
        <f>IFERROR(__xludf.DUMMYFUNCTION("""COMPUTED_VALUE"""),0.0)</f>
        <v>0</v>
      </c>
      <c r="Z29" s="16">
        <f>IFERROR(__xludf.DUMMYFUNCTION("""COMPUTED_VALUE"""),0.0)</f>
        <v>0</v>
      </c>
      <c r="AA29" s="16">
        <f>IFERROR(__xludf.DUMMYFUNCTION("""COMPUTED_VALUE"""),0.0)</f>
        <v>0</v>
      </c>
      <c r="AB29" s="16">
        <f>IFERROR(__xludf.DUMMYFUNCTION("""COMPUTED_VALUE"""),0.0)</f>
        <v>0</v>
      </c>
      <c r="AC29" s="16">
        <f>IFERROR(__xludf.DUMMYFUNCTION("""COMPUTED_VALUE"""),0.0)</f>
        <v>0</v>
      </c>
      <c r="AD29" s="16">
        <f>IFERROR(__xludf.DUMMYFUNCTION("""COMPUTED_VALUE"""),0.0)</f>
        <v>0</v>
      </c>
      <c r="AE29" s="16">
        <f>IFERROR(__xludf.DUMMYFUNCTION("""COMPUTED_VALUE"""),0.0)</f>
        <v>0</v>
      </c>
      <c r="AF29" s="16">
        <f>IFERROR(__xludf.DUMMYFUNCTION("""COMPUTED_VALUE"""),0.0)</f>
        <v>0</v>
      </c>
      <c r="AG29" s="16">
        <f>IFERROR(__xludf.DUMMYFUNCTION("""COMPUTED_VALUE"""),0.0)</f>
        <v>0</v>
      </c>
      <c r="AH29" s="16">
        <f>IFERROR(__xludf.DUMMYFUNCTION("""COMPUTED_VALUE"""),0.0)</f>
        <v>0</v>
      </c>
    </row>
    <row r="30">
      <c r="A30" s="16" t="str">
        <f>IFERROR(__xludf.DUMMYFUNCTION("""COMPUTED_VALUE"""),"1b7d7de6c90d2460cfe3da014469e3c056fec830")</f>
        <v>1b7d7de6c90d2460cfe3da014469e3c056fec830</v>
      </c>
      <c r="B30" s="16" t="str">
        <f>IFERROR(__xludf.DUMMYFUNCTION("""COMPUTED_VALUE"""),"The Ceo's Secret Babies")</f>
        <v>The Ceo's Secret Babies</v>
      </c>
      <c r="C30" s="16" t="str">
        <f>IFERROR(__xludf.DUMMYFUNCTION("""COMPUTED_VALUE"""),"Romance")</f>
        <v>Romance</v>
      </c>
      <c r="D30" s="16">
        <f>IFERROR(__xludf.DUMMYFUNCTION("""COMPUTED_VALUE"""),175.0)</f>
        <v>175</v>
      </c>
      <c r="E30" s="16">
        <f>IFERROR(__xludf.DUMMYFUNCTION("""COMPUTED_VALUE"""),0.914285714285714)</f>
        <v>0.9142857143</v>
      </c>
      <c r="F30" s="16">
        <f>IFERROR(__xludf.DUMMYFUNCTION("""COMPUTED_VALUE"""),0.674285714285714)</f>
        <v>0.6742857143</v>
      </c>
      <c r="G30" s="16">
        <f>IFERROR(__xludf.DUMMYFUNCTION("""COMPUTED_VALUE"""),0.571428571428571)</f>
        <v>0.5714285714</v>
      </c>
      <c r="H30" s="16">
        <f>IFERROR(__xludf.DUMMYFUNCTION("""COMPUTED_VALUE"""),0.565714285714285)</f>
        <v>0.5657142857</v>
      </c>
      <c r="I30" s="16">
        <f>IFERROR(__xludf.DUMMYFUNCTION("""COMPUTED_VALUE"""),0.565714285714285)</f>
        <v>0.5657142857</v>
      </c>
      <c r="J30" s="16">
        <f>IFERROR(__xludf.DUMMYFUNCTION("""COMPUTED_VALUE"""),0.508571428571428)</f>
        <v>0.5085714286</v>
      </c>
      <c r="K30" s="16">
        <f>IFERROR(__xludf.DUMMYFUNCTION("""COMPUTED_VALUE"""),0.468208092485549)</f>
        <v>0.4682080925</v>
      </c>
      <c r="L30" s="16">
        <f>IFERROR(__xludf.DUMMYFUNCTION("""COMPUTED_VALUE"""),0.423529411764705)</f>
        <v>0.4235294118</v>
      </c>
      <c r="M30" s="16">
        <f>IFERROR(__xludf.DUMMYFUNCTION("""COMPUTED_VALUE"""),0.452380952380952)</f>
        <v>0.4523809524</v>
      </c>
      <c r="N30" s="16">
        <f>IFERROR(__xludf.DUMMYFUNCTION("""COMPUTED_VALUE"""),0.460122699386503)</f>
        <v>0.4601226994</v>
      </c>
      <c r="O30" s="16">
        <f>IFERROR(__xludf.DUMMYFUNCTION("""COMPUTED_VALUE"""),0.371621621621621)</f>
        <v>0.3716216216</v>
      </c>
      <c r="P30" s="16">
        <f>IFERROR(__xludf.DUMMYFUNCTION("""COMPUTED_VALUE"""),0.321739130434782)</f>
        <v>0.3217391304</v>
      </c>
      <c r="Q30" s="16">
        <f>IFERROR(__xludf.DUMMYFUNCTION("""COMPUTED_VALUE"""),0.122807017543859)</f>
        <v>0.1228070175</v>
      </c>
      <c r="R30" s="16">
        <f>IFERROR(__xludf.DUMMYFUNCTION("""COMPUTED_VALUE"""),0.043859649122807)</f>
        <v>0.04385964912</v>
      </c>
      <c r="S30" s="16">
        <f>IFERROR(__xludf.DUMMYFUNCTION("""COMPUTED_VALUE"""),0.034090909090909)</f>
        <v>0.03409090909</v>
      </c>
      <c r="T30" s="16">
        <f>IFERROR(__xludf.DUMMYFUNCTION("""COMPUTED_VALUE"""),0.0)</f>
        <v>0</v>
      </c>
      <c r="U30" s="16">
        <f>IFERROR(__xludf.DUMMYFUNCTION("""COMPUTED_VALUE"""),0.0)</f>
        <v>0</v>
      </c>
      <c r="V30" s="16">
        <f>IFERROR(__xludf.DUMMYFUNCTION("""COMPUTED_VALUE"""),0.0)</f>
        <v>0</v>
      </c>
      <c r="W30" s="16">
        <f>IFERROR(__xludf.DUMMYFUNCTION("""COMPUTED_VALUE"""),0.0)</f>
        <v>0</v>
      </c>
      <c r="X30" s="16">
        <f>IFERROR(__xludf.DUMMYFUNCTION("""COMPUTED_VALUE"""),0.0)</f>
        <v>0</v>
      </c>
      <c r="Y30" s="16">
        <f>IFERROR(__xludf.DUMMYFUNCTION("""COMPUTED_VALUE"""),0.0)</f>
        <v>0</v>
      </c>
      <c r="Z30" s="16">
        <f>IFERROR(__xludf.DUMMYFUNCTION("""COMPUTED_VALUE"""),0.0)</f>
        <v>0</v>
      </c>
      <c r="AA30" s="16">
        <f>IFERROR(__xludf.DUMMYFUNCTION("""COMPUTED_VALUE"""),0.0)</f>
        <v>0</v>
      </c>
      <c r="AB30" s="16">
        <f>IFERROR(__xludf.DUMMYFUNCTION("""COMPUTED_VALUE"""),0.0)</f>
        <v>0</v>
      </c>
      <c r="AC30" s="16">
        <f>IFERROR(__xludf.DUMMYFUNCTION("""COMPUTED_VALUE"""),0.0)</f>
        <v>0</v>
      </c>
      <c r="AD30" s="16">
        <f>IFERROR(__xludf.DUMMYFUNCTION("""COMPUTED_VALUE"""),0.0)</f>
        <v>0</v>
      </c>
      <c r="AE30" s="16">
        <f>IFERROR(__xludf.DUMMYFUNCTION("""COMPUTED_VALUE"""),0.0)</f>
        <v>0</v>
      </c>
      <c r="AF30" s="16">
        <f>IFERROR(__xludf.DUMMYFUNCTION("""COMPUTED_VALUE"""),0.0)</f>
        <v>0</v>
      </c>
      <c r="AG30" s="16">
        <f>IFERROR(__xludf.DUMMYFUNCTION("""COMPUTED_VALUE"""),0.0)</f>
        <v>0</v>
      </c>
      <c r="AH30" s="16">
        <f>IFERROR(__xludf.DUMMYFUNCTION("""COMPUTED_VALUE"""),0.0)</f>
        <v>0</v>
      </c>
    </row>
    <row r="31">
      <c r="A31" s="16" t="str">
        <f>IFERROR(__xludf.DUMMYFUNCTION("""COMPUTED_VALUE"""),"1b7d89c237c133e6c5b15db13e684c2e1f3688e1")</f>
        <v>1b7d89c237c133e6c5b15db13e684c2e1f3688e1</v>
      </c>
      <c r="B31" s="16" t="str">
        <f>IFERROR(__xludf.DUMMYFUNCTION("""COMPUTED_VALUE"""),"War God of the Red Sea!")</f>
        <v>War God of the Red Sea!</v>
      </c>
      <c r="C31" s="16" t="str">
        <f>IFERROR(__xludf.DUMMYFUNCTION("""COMPUTED_VALUE"""),"Drama")</f>
        <v>Drama</v>
      </c>
      <c r="D31" s="16">
        <f>IFERROR(__xludf.DUMMYFUNCTION("""COMPUTED_VALUE"""),48.0)</f>
        <v>48</v>
      </c>
      <c r="E31" s="16">
        <f>IFERROR(__xludf.DUMMYFUNCTION("""COMPUTED_VALUE"""),1.0)</f>
        <v>1</v>
      </c>
      <c r="F31" s="16">
        <f>IFERROR(__xludf.DUMMYFUNCTION("""COMPUTED_VALUE"""),0.604166666666666)</f>
        <v>0.6041666667</v>
      </c>
      <c r="G31" s="16">
        <f>IFERROR(__xludf.DUMMYFUNCTION("""COMPUTED_VALUE"""),0.416666666666666)</f>
        <v>0.4166666667</v>
      </c>
      <c r="H31" s="16">
        <f>IFERROR(__xludf.DUMMYFUNCTION("""COMPUTED_VALUE"""),0.291666666666666)</f>
        <v>0.2916666667</v>
      </c>
      <c r="I31" s="16">
        <f>IFERROR(__xludf.DUMMYFUNCTION("""COMPUTED_VALUE"""),0.270833333333333)</f>
        <v>0.2708333333</v>
      </c>
      <c r="J31" s="16">
        <f>IFERROR(__xludf.DUMMYFUNCTION("""COMPUTED_VALUE"""),0.25531914893617)</f>
        <v>0.2553191489</v>
      </c>
      <c r="K31" s="16">
        <f>IFERROR(__xludf.DUMMYFUNCTION("""COMPUTED_VALUE"""),0.260869565217391)</f>
        <v>0.2608695652</v>
      </c>
      <c r="L31" s="16">
        <f>IFERROR(__xludf.DUMMYFUNCTION("""COMPUTED_VALUE"""),0.268292682926829)</f>
        <v>0.2682926829</v>
      </c>
      <c r="M31" s="16">
        <f>IFERROR(__xludf.DUMMYFUNCTION("""COMPUTED_VALUE"""),0.23076923076923)</f>
        <v>0.2307692308</v>
      </c>
      <c r="N31" s="16">
        <f>IFERROR(__xludf.DUMMYFUNCTION("""COMPUTED_VALUE"""),0.212121212121212)</f>
        <v>0.2121212121</v>
      </c>
      <c r="O31" s="16">
        <f>IFERROR(__xludf.DUMMYFUNCTION("""COMPUTED_VALUE"""),0.153846153846153)</f>
        <v>0.1538461538</v>
      </c>
      <c r="P31" s="16">
        <f>IFERROR(__xludf.DUMMYFUNCTION("""COMPUTED_VALUE"""),0.176470588235294)</f>
        <v>0.1764705882</v>
      </c>
      <c r="Q31" s="16">
        <f>IFERROR(__xludf.DUMMYFUNCTION("""COMPUTED_VALUE"""),0.0)</f>
        <v>0</v>
      </c>
      <c r="R31" s="16">
        <f>IFERROR(__xludf.DUMMYFUNCTION("""COMPUTED_VALUE"""),0.0)</f>
        <v>0</v>
      </c>
      <c r="S31" s="16">
        <f>IFERROR(__xludf.DUMMYFUNCTION("""COMPUTED_VALUE"""),0.0)</f>
        <v>0</v>
      </c>
      <c r="T31" s="16">
        <f>IFERROR(__xludf.DUMMYFUNCTION("""COMPUTED_VALUE"""),0.0)</f>
        <v>0</v>
      </c>
      <c r="U31" s="16">
        <f>IFERROR(__xludf.DUMMYFUNCTION("""COMPUTED_VALUE"""),0.0)</f>
        <v>0</v>
      </c>
      <c r="V31" s="16">
        <f>IFERROR(__xludf.DUMMYFUNCTION("""COMPUTED_VALUE"""),0.0)</f>
        <v>0</v>
      </c>
      <c r="W31" s="16">
        <f>IFERROR(__xludf.DUMMYFUNCTION("""COMPUTED_VALUE"""),0.0)</f>
        <v>0</v>
      </c>
      <c r="X31" s="16">
        <f>IFERROR(__xludf.DUMMYFUNCTION("""COMPUTED_VALUE"""),0.0)</f>
        <v>0</v>
      </c>
      <c r="Y31" s="16">
        <f>IFERROR(__xludf.DUMMYFUNCTION("""COMPUTED_VALUE"""),0.0)</f>
        <v>0</v>
      </c>
      <c r="Z31" s="16">
        <f>IFERROR(__xludf.DUMMYFUNCTION("""COMPUTED_VALUE"""),0.0)</f>
        <v>0</v>
      </c>
      <c r="AA31" s="16">
        <f>IFERROR(__xludf.DUMMYFUNCTION("""COMPUTED_VALUE"""),0.0)</f>
        <v>0</v>
      </c>
      <c r="AB31" s="16">
        <f>IFERROR(__xludf.DUMMYFUNCTION("""COMPUTED_VALUE"""),0.0)</f>
        <v>0</v>
      </c>
      <c r="AC31" s="16">
        <f>IFERROR(__xludf.DUMMYFUNCTION("""COMPUTED_VALUE"""),0.0)</f>
        <v>0</v>
      </c>
      <c r="AD31" s="16">
        <f>IFERROR(__xludf.DUMMYFUNCTION("""COMPUTED_VALUE"""),0.0)</f>
        <v>0</v>
      </c>
      <c r="AE31" s="16">
        <f>IFERROR(__xludf.DUMMYFUNCTION("""COMPUTED_VALUE"""),0.0)</f>
        <v>0</v>
      </c>
      <c r="AF31" s="16">
        <f>IFERROR(__xludf.DUMMYFUNCTION("""COMPUTED_VALUE"""),0.0)</f>
        <v>0</v>
      </c>
      <c r="AG31" s="16">
        <f>IFERROR(__xludf.DUMMYFUNCTION("""COMPUTED_VALUE"""),0.0)</f>
        <v>0</v>
      </c>
      <c r="AH31" s="16">
        <f>IFERROR(__xludf.DUMMYFUNCTION("""COMPUTED_VALUE"""),0.0)</f>
        <v>0</v>
      </c>
    </row>
    <row r="32">
      <c r="A32" s="16" t="str">
        <f>IFERROR(__xludf.DUMMYFUNCTION("""COMPUTED_VALUE"""),"1c56eb2cce6609cb207d235ae3464f7759d4cb84")</f>
        <v>1c56eb2cce6609cb207d235ae3464f7759d4cb84</v>
      </c>
      <c r="B32" s="16" t="str">
        <f>IFERROR(__xludf.DUMMYFUNCTION("""COMPUTED_VALUE"""),"Rage of the Heiress")</f>
        <v>Rage of the Heiress</v>
      </c>
      <c r="C32" s="16" t="str">
        <f>IFERROR(__xludf.DUMMYFUNCTION("""COMPUTED_VALUE"""),"Drama")</f>
        <v>Drama</v>
      </c>
      <c r="D32" s="16">
        <f>IFERROR(__xludf.DUMMYFUNCTION("""COMPUTED_VALUE"""),1463.0)</f>
        <v>1463</v>
      </c>
      <c r="E32" s="16">
        <f>IFERROR(__xludf.DUMMYFUNCTION("""COMPUTED_VALUE"""),0.948735475051264)</f>
        <v>0.9487354751</v>
      </c>
      <c r="F32" s="16">
        <f>IFERROR(__xludf.DUMMYFUNCTION("""COMPUTED_VALUE"""),0.609706083390293)</f>
        <v>0.6097060834</v>
      </c>
      <c r="G32" s="16">
        <f>IFERROR(__xludf.DUMMYFUNCTION("""COMPUTED_VALUE"""),0.589200273410799)</f>
        <v>0.5892002734</v>
      </c>
      <c r="H32" s="16">
        <f>IFERROR(__xludf.DUMMYFUNCTION("""COMPUTED_VALUE"""),0.546821599453178)</f>
        <v>0.5468215995</v>
      </c>
      <c r="I32" s="16">
        <f>IFERROR(__xludf.DUMMYFUNCTION("""COMPUTED_VALUE"""),0.52904989747095)</f>
        <v>0.5290498975</v>
      </c>
      <c r="J32" s="16">
        <f>IFERROR(__xludf.DUMMYFUNCTION("""COMPUTED_VALUE"""),0.513121546961326)</f>
        <v>0.513121547</v>
      </c>
      <c r="K32" s="16">
        <f>IFERROR(__xludf.DUMMYFUNCTION("""COMPUTED_VALUE"""),0.48854961832061)</f>
        <v>0.4885496183</v>
      </c>
      <c r="L32" s="16">
        <f>IFERROR(__xludf.DUMMYFUNCTION("""COMPUTED_VALUE"""),0.463552724699221)</f>
        <v>0.4635527247</v>
      </c>
      <c r="M32" s="16">
        <f>IFERROR(__xludf.DUMMYFUNCTION("""COMPUTED_VALUE"""),0.453890489913544)</f>
        <v>0.4538904899</v>
      </c>
      <c r="N32" s="16">
        <f>IFERROR(__xludf.DUMMYFUNCTION("""COMPUTED_VALUE"""),0.446536144578313)</f>
        <v>0.4465361446</v>
      </c>
      <c r="O32" s="16">
        <f>IFERROR(__xludf.DUMMYFUNCTION("""COMPUTED_VALUE"""),0.475746268656716)</f>
        <v>0.4757462687</v>
      </c>
      <c r="P32" s="16">
        <f>IFERROR(__xludf.DUMMYFUNCTION("""COMPUTED_VALUE"""),0.405561993047508)</f>
        <v>0.405561993</v>
      </c>
      <c r="Q32" s="16">
        <f>IFERROR(__xludf.DUMMYFUNCTION("""COMPUTED_VALUE"""),0.33041958041958)</f>
        <v>0.3304195804</v>
      </c>
      <c r="R32" s="16">
        <f>IFERROR(__xludf.DUMMYFUNCTION("""COMPUTED_VALUE"""),0.288679245283018)</f>
        <v>0.2886792453</v>
      </c>
      <c r="S32" s="16">
        <f>IFERROR(__xludf.DUMMYFUNCTION("""COMPUTED_VALUE"""),0.263056092843326)</f>
        <v>0.2630560928</v>
      </c>
      <c r="T32" s="16">
        <f>IFERROR(__xludf.DUMMYFUNCTION("""COMPUTED_VALUE"""),0.228744939271255)</f>
        <v>0.2287449393</v>
      </c>
      <c r="U32" s="16">
        <f>IFERROR(__xludf.DUMMYFUNCTION("""COMPUTED_VALUE"""),0.1890756302521)</f>
        <v>0.1890756303</v>
      </c>
      <c r="V32" s="16">
        <f>IFERROR(__xludf.DUMMYFUNCTION("""COMPUTED_VALUE"""),0.172413793103448)</f>
        <v>0.1724137931</v>
      </c>
      <c r="W32" s="16">
        <f>IFERROR(__xludf.DUMMYFUNCTION("""COMPUTED_VALUE"""),0.148148148148148)</f>
        <v>0.1481481481</v>
      </c>
      <c r="X32" s="16">
        <f>IFERROR(__xludf.DUMMYFUNCTION("""COMPUTED_VALUE"""),0.0)</f>
        <v>0</v>
      </c>
      <c r="Y32" s="16">
        <f>IFERROR(__xludf.DUMMYFUNCTION("""COMPUTED_VALUE"""),0.0)</f>
        <v>0</v>
      </c>
      <c r="Z32" s="16">
        <f>IFERROR(__xludf.DUMMYFUNCTION("""COMPUTED_VALUE"""),0.0)</f>
        <v>0</v>
      </c>
      <c r="AA32" s="16">
        <f>IFERROR(__xludf.DUMMYFUNCTION("""COMPUTED_VALUE"""),0.0)</f>
        <v>0</v>
      </c>
      <c r="AB32" s="16">
        <f>IFERROR(__xludf.DUMMYFUNCTION("""COMPUTED_VALUE"""),0.0)</f>
        <v>0</v>
      </c>
      <c r="AC32" s="16">
        <f>IFERROR(__xludf.DUMMYFUNCTION("""COMPUTED_VALUE"""),0.0)</f>
        <v>0</v>
      </c>
      <c r="AD32" s="16">
        <f>IFERROR(__xludf.DUMMYFUNCTION("""COMPUTED_VALUE"""),0.0)</f>
        <v>0</v>
      </c>
      <c r="AE32" s="16">
        <f>IFERROR(__xludf.DUMMYFUNCTION("""COMPUTED_VALUE"""),0.0)</f>
        <v>0</v>
      </c>
      <c r="AF32" s="16">
        <f>IFERROR(__xludf.DUMMYFUNCTION("""COMPUTED_VALUE"""),0.0)</f>
        <v>0</v>
      </c>
      <c r="AG32" s="16">
        <f>IFERROR(__xludf.DUMMYFUNCTION("""COMPUTED_VALUE"""),0.0)</f>
        <v>0</v>
      </c>
      <c r="AH32" s="16">
        <f>IFERROR(__xludf.DUMMYFUNCTION("""COMPUTED_VALUE"""),0.0)</f>
        <v>0</v>
      </c>
    </row>
    <row r="33">
      <c r="A33" s="16" t="str">
        <f>IFERROR(__xludf.DUMMYFUNCTION("""COMPUTED_VALUE"""),"1ca4f3c3b8e200f37ec14ed7a11442df6a65f4e6")</f>
        <v>1ca4f3c3b8e200f37ec14ed7a11442df6a65f4e6</v>
      </c>
      <c r="B33" s="16" t="str">
        <f>IFERROR(__xludf.DUMMYFUNCTION("""COMPUTED_VALUE"""),"Unstoppable Cultivator")</f>
        <v>Unstoppable Cultivator</v>
      </c>
      <c r="C33" s="16" t="str">
        <f>IFERROR(__xludf.DUMMYFUNCTION("""COMPUTED_VALUE"""),"Fantasy")</f>
        <v>Fantasy</v>
      </c>
      <c r="D33" s="16">
        <f>IFERROR(__xludf.DUMMYFUNCTION("""COMPUTED_VALUE"""),32.0)</f>
        <v>32</v>
      </c>
      <c r="E33" s="16">
        <f>IFERROR(__xludf.DUMMYFUNCTION("""COMPUTED_VALUE"""),0.9375)</f>
        <v>0.9375</v>
      </c>
      <c r="F33" s="16">
        <f>IFERROR(__xludf.DUMMYFUNCTION("""COMPUTED_VALUE"""),0.34375)</f>
        <v>0.34375</v>
      </c>
      <c r="G33" s="16">
        <f>IFERROR(__xludf.DUMMYFUNCTION("""COMPUTED_VALUE"""),0.28125)</f>
        <v>0.28125</v>
      </c>
      <c r="H33" s="16">
        <f>IFERROR(__xludf.DUMMYFUNCTION("""COMPUTED_VALUE"""),0.28125)</f>
        <v>0.28125</v>
      </c>
      <c r="I33" s="16">
        <f>IFERROR(__xludf.DUMMYFUNCTION("""COMPUTED_VALUE"""),0.28125)</f>
        <v>0.28125</v>
      </c>
      <c r="J33" s="16">
        <f>IFERROR(__xludf.DUMMYFUNCTION("""COMPUTED_VALUE"""),0.25)</f>
        <v>0.25</v>
      </c>
      <c r="K33" s="16">
        <f>IFERROR(__xludf.DUMMYFUNCTION("""COMPUTED_VALUE"""),0.1875)</f>
        <v>0.1875</v>
      </c>
      <c r="L33" s="16">
        <f>IFERROR(__xludf.DUMMYFUNCTION("""COMPUTED_VALUE"""),0.15625)</f>
        <v>0.15625</v>
      </c>
      <c r="M33" s="16">
        <f>IFERROR(__xludf.DUMMYFUNCTION("""COMPUTED_VALUE"""),0.15625)</f>
        <v>0.15625</v>
      </c>
      <c r="N33" s="16">
        <f>IFERROR(__xludf.DUMMYFUNCTION("""COMPUTED_VALUE"""),0.161290322580645)</f>
        <v>0.1612903226</v>
      </c>
      <c r="O33" s="16">
        <f>IFERROR(__xludf.DUMMYFUNCTION("""COMPUTED_VALUE"""),0.1)</f>
        <v>0.1</v>
      </c>
      <c r="P33" s="16">
        <f>IFERROR(__xludf.DUMMYFUNCTION("""COMPUTED_VALUE"""),0.0)</f>
        <v>0</v>
      </c>
      <c r="Q33" s="16">
        <f>IFERROR(__xludf.DUMMYFUNCTION("""COMPUTED_VALUE"""),0.0)</f>
        <v>0</v>
      </c>
      <c r="R33" s="16">
        <f>IFERROR(__xludf.DUMMYFUNCTION("""COMPUTED_VALUE"""),0.0)</f>
        <v>0</v>
      </c>
      <c r="S33" s="16">
        <f>IFERROR(__xludf.DUMMYFUNCTION("""COMPUTED_VALUE"""),0.0)</f>
        <v>0</v>
      </c>
      <c r="T33" s="16">
        <f>IFERROR(__xludf.DUMMYFUNCTION("""COMPUTED_VALUE"""),0.0)</f>
        <v>0</v>
      </c>
      <c r="U33" s="16">
        <f>IFERROR(__xludf.DUMMYFUNCTION("""COMPUTED_VALUE"""),0.0)</f>
        <v>0</v>
      </c>
      <c r="V33" s="16">
        <f>IFERROR(__xludf.DUMMYFUNCTION("""COMPUTED_VALUE"""),0.0)</f>
        <v>0</v>
      </c>
      <c r="W33" s="16">
        <f>IFERROR(__xludf.DUMMYFUNCTION("""COMPUTED_VALUE"""),0.0)</f>
        <v>0</v>
      </c>
      <c r="X33" s="16">
        <f>IFERROR(__xludf.DUMMYFUNCTION("""COMPUTED_VALUE"""),0.0)</f>
        <v>0</v>
      </c>
      <c r="Y33" s="16">
        <f>IFERROR(__xludf.DUMMYFUNCTION("""COMPUTED_VALUE"""),0.0)</f>
        <v>0</v>
      </c>
      <c r="Z33" s="16">
        <f>IFERROR(__xludf.DUMMYFUNCTION("""COMPUTED_VALUE"""),0.0)</f>
        <v>0</v>
      </c>
      <c r="AA33" s="16">
        <f>IFERROR(__xludf.DUMMYFUNCTION("""COMPUTED_VALUE"""),0.0)</f>
        <v>0</v>
      </c>
      <c r="AB33" s="16">
        <f>IFERROR(__xludf.DUMMYFUNCTION("""COMPUTED_VALUE"""),0.0)</f>
        <v>0</v>
      </c>
      <c r="AC33" s="16">
        <f>IFERROR(__xludf.DUMMYFUNCTION("""COMPUTED_VALUE"""),0.0)</f>
        <v>0</v>
      </c>
      <c r="AD33" s="16">
        <f>IFERROR(__xludf.DUMMYFUNCTION("""COMPUTED_VALUE"""),0.0)</f>
        <v>0</v>
      </c>
      <c r="AE33" s="16">
        <f>IFERROR(__xludf.DUMMYFUNCTION("""COMPUTED_VALUE"""),0.0)</f>
        <v>0</v>
      </c>
      <c r="AF33" s="16">
        <f>IFERROR(__xludf.DUMMYFUNCTION("""COMPUTED_VALUE"""),0.0)</f>
        <v>0</v>
      </c>
      <c r="AG33" s="16">
        <f>IFERROR(__xludf.DUMMYFUNCTION("""COMPUTED_VALUE"""),0.0)</f>
        <v>0</v>
      </c>
      <c r="AH33" s="16">
        <f>IFERROR(__xludf.DUMMYFUNCTION("""COMPUTED_VALUE"""),0.0)</f>
        <v>0</v>
      </c>
    </row>
    <row r="34">
      <c r="A34" s="16" t="str">
        <f>IFERROR(__xludf.DUMMYFUNCTION("""COMPUTED_VALUE"""),"1d8b1f39e146ede1f7528763445a7a47aad10b05")</f>
        <v>1d8b1f39e146ede1f7528763445a7a47aad10b05</v>
      </c>
      <c r="B34" s="16" t="str">
        <f>IFERROR(__xludf.DUMMYFUNCTION("""COMPUTED_VALUE"""),"Love and Heartbroken")</f>
        <v>Love and Heartbroken</v>
      </c>
      <c r="C34" s="16" t="str">
        <f>IFERROR(__xludf.DUMMYFUNCTION("""COMPUTED_VALUE"""),"System and Superpower")</f>
        <v>System and Superpower</v>
      </c>
      <c r="D34" s="16">
        <f>IFERROR(__xludf.DUMMYFUNCTION("""COMPUTED_VALUE"""),341.0)</f>
        <v>341</v>
      </c>
      <c r="E34" s="16">
        <f>IFERROR(__xludf.DUMMYFUNCTION("""COMPUTED_VALUE"""),0.991202346041055)</f>
        <v>0.991202346</v>
      </c>
      <c r="F34" s="16">
        <f>IFERROR(__xludf.DUMMYFUNCTION("""COMPUTED_VALUE"""),0.457478005865102)</f>
        <v>0.4574780059</v>
      </c>
      <c r="G34" s="16">
        <f>IFERROR(__xludf.DUMMYFUNCTION("""COMPUTED_VALUE"""),0.416422287390029)</f>
        <v>0.4164222874</v>
      </c>
      <c r="H34" s="16">
        <f>IFERROR(__xludf.DUMMYFUNCTION("""COMPUTED_VALUE"""),0.375366568914956)</f>
        <v>0.3753665689</v>
      </c>
      <c r="I34" s="16">
        <f>IFERROR(__xludf.DUMMYFUNCTION("""COMPUTED_VALUE"""),0.32258064516129)</f>
        <v>0.3225806452</v>
      </c>
      <c r="J34" s="16">
        <f>IFERROR(__xludf.DUMMYFUNCTION("""COMPUTED_VALUE"""),0.284457478005865)</f>
        <v>0.284457478</v>
      </c>
      <c r="K34" s="16">
        <f>IFERROR(__xludf.DUMMYFUNCTION("""COMPUTED_VALUE"""),0.255131964809384)</f>
        <v>0.2551319648</v>
      </c>
      <c r="L34" s="16">
        <f>IFERROR(__xludf.DUMMYFUNCTION("""COMPUTED_VALUE"""),0.202346041055718)</f>
        <v>0.2023460411</v>
      </c>
      <c r="M34" s="16">
        <f>IFERROR(__xludf.DUMMYFUNCTION("""COMPUTED_VALUE"""),0.170087976539589)</f>
        <v>0.1700879765</v>
      </c>
      <c r="N34" s="16">
        <f>IFERROR(__xludf.DUMMYFUNCTION("""COMPUTED_VALUE"""),0.149560117302052)</f>
        <v>0.1495601173</v>
      </c>
      <c r="O34" s="16">
        <f>IFERROR(__xludf.DUMMYFUNCTION("""COMPUTED_VALUE"""),0.0911764705882352)</f>
        <v>0.09117647059</v>
      </c>
      <c r="P34" s="16">
        <f>IFERROR(__xludf.DUMMYFUNCTION("""COMPUTED_VALUE"""),0.0336391437308868)</f>
        <v>0.03363914373</v>
      </c>
      <c r="Q34" s="16">
        <f>IFERROR(__xludf.DUMMYFUNCTION("""COMPUTED_VALUE"""),0.0145985401459854)</f>
        <v>0.01459854015</v>
      </c>
      <c r="R34" s="16">
        <f>IFERROR(__xludf.DUMMYFUNCTION("""COMPUTED_VALUE"""),0.0072992700729927)</f>
        <v>0.007299270073</v>
      </c>
      <c r="S34" s="16">
        <f>IFERROR(__xludf.DUMMYFUNCTION("""COMPUTED_VALUE"""),0.0106382978723404)</f>
        <v>0.01063829787</v>
      </c>
      <c r="T34" s="16">
        <f>IFERROR(__xludf.DUMMYFUNCTION("""COMPUTED_VALUE"""),0.0)</f>
        <v>0</v>
      </c>
      <c r="U34" s="16">
        <f>IFERROR(__xludf.DUMMYFUNCTION("""COMPUTED_VALUE"""),0.0)</f>
        <v>0</v>
      </c>
      <c r="V34" s="16">
        <f>IFERROR(__xludf.DUMMYFUNCTION("""COMPUTED_VALUE"""),0.0)</f>
        <v>0</v>
      </c>
      <c r="W34" s="16">
        <f>IFERROR(__xludf.DUMMYFUNCTION("""COMPUTED_VALUE"""),0.0)</f>
        <v>0</v>
      </c>
      <c r="X34" s="16">
        <f>IFERROR(__xludf.DUMMYFUNCTION("""COMPUTED_VALUE"""),0.0)</f>
        <v>0</v>
      </c>
      <c r="Y34" s="16">
        <f>IFERROR(__xludf.DUMMYFUNCTION("""COMPUTED_VALUE"""),0.0)</f>
        <v>0</v>
      </c>
      <c r="Z34" s="16">
        <f>IFERROR(__xludf.DUMMYFUNCTION("""COMPUTED_VALUE"""),0.0)</f>
        <v>0</v>
      </c>
      <c r="AA34" s="16">
        <f>IFERROR(__xludf.DUMMYFUNCTION("""COMPUTED_VALUE"""),0.0)</f>
        <v>0</v>
      </c>
      <c r="AB34" s="16">
        <f>IFERROR(__xludf.DUMMYFUNCTION("""COMPUTED_VALUE"""),0.0)</f>
        <v>0</v>
      </c>
      <c r="AC34" s="16">
        <f>IFERROR(__xludf.DUMMYFUNCTION("""COMPUTED_VALUE"""),0.0)</f>
        <v>0</v>
      </c>
      <c r="AD34" s="16">
        <f>IFERROR(__xludf.DUMMYFUNCTION("""COMPUTED_VALUE"""),0.0)</f>
        <v>0</v>
      </c>
      <c r="AE34" s="16">
        <f>IFERROR(__xludf.DUMMYFUNCTION("""COMPUTED_VALUE"""),0.0)</f>
        <v>0</v>
      </c>
      <c r="AF34" s="16">
        <f>IFERROR(__xludf.DUMMYFUNCTION("""COMPUTED_VALUE"""),0.0)</f>
        <v>0</v>
      </c>
      <c r="AG34" s="16">
        <f>IFERROR(__xludf.DUMMYFUNCTION("""COMPUTED_VALUE"""),0.0)</f>
        <v>0</v>
      </c>
      <c r="AH34" s="16">
        <f>IFERROR(__xludf.DUMMYFUNCTION("""COMPUTED_VALUE"""),0.0)</f>
        <v>0</v>
      </c>
    </row>
    <row r="35">
      <c r="A35" s="16" t="str">
        <f>IFERROR(__xludf.DUMMYFUNCTION("""COMPUTED_VALUE"""),"1e1205d9e93348005e7eb4b2e071c8c63b7914ca")</f>
        <v>1e1205d9e93348005e7eb4b2e071c8c63b7914ca</v>
      </c>
      <c r="B35" s="16" t="str">
        <f>IFERROR(__xludf.DUMMYFUNCTION("""COMPUTED_VALUE"""),"The Heart's Captive")</f>
        <v>The Heart's Captive</v>
      </c>
      <c r="C35" s="16" t="str">
        <f>IFERROR(__xludf.DUMMYFUNCTION("""COMPUTED_VALUE"""),"Romantasy")</f>
        <v>Romantasy</v>
      </c>
      <c r="D35" s="16">
        <f>IFERROR(__xludf.DUMMYFUNCTION("""COMPUTED_VALUE"""),51.0)</f>
        <v>51</v>
      </c>
      <c r="E35" s="16">
        <f>IFERROR(__xludf.DUMMYFUNCTION("""COMPUTED_VALUE"""),0.941176470588235)</f>
        <v>0.9411764706</v>
      </c>
      <c r="F35" s="16">
        <f>IFERROR(__xludf.DUMMYFUNCTION("""COMPUTED_VALUE"""),0.509803921568627)</f>
        <v>0.5098039216</v>
      </c>
      <c r="G35" s="16">
        <f>IFERROR(__xludf.DUMMYFUNCTION("""COMPUTED_VALUE"""),0.470588235294117)</f>
        <v>0.4705882353</v>
      </c>
      <c r="H35" s="16">
        <f>IFERROR(__xludf.DUMMYFUNCTION("""COMPUTED_VALUE"""),0.490196078431372)</f>
        <v>0.4901960784</v>
      </c>
      <c r="I35" s="16">
        <f>IFERROR(__xludf.DUMMYFUNCTION("""COMPUTED_VALUE"""),0.431372549019607)</f>
        <v>0.431372549</v>
      </c>
      <c r="J35" s="16">
        <f>IFERROR(__xludf.DUMMYFUNCTION("""COMPUTED_VALUE"""),0.470588235294117)</f>
        <v>0.4705882353</v>
      </c>
      <c r="K35" s="16">
        <f>IFERROR(__xludf.DUMMYFUNCTION("""COMPUTED_VALUE"""),0.392156862745098)</f>
        <v>0.3921568627</v>
      </c>
      <c r="L35" s="16">
        <f>IFERROR(__xludf.DUMMYFUNCTION("""COMPUTED_VALUE"""),0.470588235294117)</f>
        <v>0.4705882353</v>
      </c>
      <c r="M35" s="16">
        <f>IFERROR(__xludf.DUMMYFUNCTION("""COMPUTED_VALUE"""),0.450980392156862)</f>
        <v>0.4509803922</v>
      </c>
      <c r="N35" s="16">
        <f>IFERROR(__xludf.DUMMYFUNCTION("""COMPUTED_VALUE"""),0.470588235294117)</f>
        <v>0.4705882353</v>
      </c>
      <c r="O35" s="16">
        <f>IFERROR(__xludf.DUMMYFUNCTION("""COMPUTED_VALUE"""),0.46)</f>
        <v>0.46</v>
      </c>
      <c r="P35" s="16">
        <f>IFERROR(__xludf.DUMMYFUNCTION("""COMPUTED_VALUE"""),0.24)</f>
        <v>0.24</v>
      </c>
      <c r="Q35" s="16">
        <f>IFERROR(__xludf.DUMMYFUNCTION("""COMPUTED_VALUE"""),0.04)</f>
        <v>0.04</v>
      </c>
      <c r="R35" s="16">
        <f>IFERROR(__xludf.DUMMYFUNCTION("""COMPUTED_VALUE"""),0.0)</f>
        <v>0</v>
      </c>
      <c r="S35" s="16">
        <f>IFERROR(__xludf.DUMMYFUNCTION("""COMPUTED_VALUE"""),0.0)</f>
        <v>0</v>
      </c>
      <c r="T35" s="16">
        <f>IFERROR(__xludf.DUMMYFUNCTION("""COMPUTED_VALUE"""),0.0)</f>
        <v>0</v>
      </c>
      <c r="U35" s="16">
        <f>IFERROR(__xludf.DUMMYFUNCTION("""COMPUTED_VALUE"""),0.0)</f>
        <v>0</v>
      </c>
      <c r="V35" s="16">
        <f>IFERROR(__xludf.DUMMYFUNCTION("""COMPUTED_VALUE"""),0.0)</f>
        <v>0</v>
      </c>
      <c r="W35" s="16">
        <f>IFERROR(__xludf.DUMMYFUNCTION("""COMPUTED_VALUE"""),0.0)</f>
        <v>0</v>
      </c>
      <c r="X35" s="16">
        <f>IFERROR(__xludf.DUMMYFUNCTION("""COMPUTED_VALUE"""),0.0)</f>
        <v>0</v>
      </c>
      <c r="Y35" s="16">
        <f>IFERROR(__xludf.DUMMYFUNCTION("""COMPUTED_VALUE"""),0.0)</f>
        <v>0</v>
      </c>
      <c r="Z35" s="16">
        <f>IFERROR(__xludf.DUMMYFUNCTION("""COMPUTED_VALUE"""),0.0)</f>
        <v>0</v>
      </c>
      <c r="AA35" s="16">
        <f>IFERROR(__xludf.DUMMYFUNCTION("""COMPUTED_VALUE"""),0.0)</f>
        <v>0</v>
      </c>
      <c r="AB35" s="16">
        <f>IFERROR(__xludf.DUMMYFUNCTION("""COMPUTED_VALUE"""),0.0)</f>
        <v>0</v>
      </c>
      <c r="AC35" s="16">
        <f>IFERROR(__xludf.DUMMYFUNCTION("""COMPUTED_VALUE"""),0.0)</f>
        <v>0</v>
      </c>
      <c r="AD35" s="16">
        <f>IFERROR(__xludf.DUMMYFUNCTION("""COMPUTED_VALUE"""),0.0)</f>
        <v>0</v>
      </c>
      <c r="AE35" s="16">
        <f>IFERROR(__xludf.DUMMYFUNCTION("""COMPUTED_VALUE"""),0.0)</f>
        <v>0</v>
      </c>
      <c r="AF35" s="16">
        <f>IFERROR(__xludf.DUMMYFUNCTION("""COMPUTED_VALUE"""),0.0)</f>
        <v>0</v>
      </c>
      <c r="AG35" s="16">
        <f>IFERROR(__xludf.DUMMYFUNCTION("""COMPUTED_VALUE"""),0.0)</f>
        <v>0</v>
      </c>
      <c r="AH35" s="16">
        <f>IFERROR(__xludf.DUMMYFUNCTION("""COMPUTED_VALUE"""),0.0)</f>
        <v>0</v>
      </c>
    </row>
    <row r="36">
      <c r="A36" s="16" t="str">
        <f>IFERROR(__xludf.DUMMYFUNCTION("""COMPUTED_VALUE"""),"1e2b4197fd4a9f595c560bc8d4530339758b031a")</f>
        <v>1e2b4197fd4a9f595c560bc8d4530339758b031a</v>
      </c>
      <c r="B36" s="16" t="str">
        <f>IFERROR(__xludf.DUMMYFUNCTION("""COMPUTED_VALUE"""),"Becoming Garrison Green")</f>
        <v>Becoming Garrison Green</v>
      </c>
      <c r="C36" s="16" t="str">
        <f>IFERROR(__xludf.DUMMYFUNCTION("""COMPUTED_VALUE"""),"Drama")</f>
        <v>Drama</v>
      </c>
      <c r="D36" s="16">
        <f>IFERROR(__xludf.DUMMYFUNCTION("""COMPUTED_VALUE"""),410.0)</f>
        <v>410</v>
      </c>
      <c r="E36" s="16">
        <f>IFERROR(__xludf.DUMMYFUNCTION("""COMPUTED_VALUE"""),0.973170731707317)</f>
        <v>0.9731707317</v>
      </c>
      <c r="F36" s="16">
        <f>IFERROR(__xludf.DUMMYFUNCTION("""COMPUTED_VALUE"""),0.504878048780487)</f>
        <v>0.5048780488</v>
      </c>
      <c r="G36" s="16">
        <f>IFERROR(__xludf.DUMMYFUNCTION("""COMPUTED_VALUE"""),0.463414634146341)</f>
        <v>0.4634146341</v>
      </c>
      <c r="H36" s="16">
        <f>IFERROR(__xludf.DUMMYFUNCTION("""COMPUTED_VALUE"""),0.434146341463414)</f>
        <v>0.4341463415</v>
      </c>
      <c r="I36" s="16">
        <f>IFERROR(__xludf.DUMMYFUNCTION("""COMPUTED_VALUE"""),0.404878048780487)</f>
        <v>0.4048780488</v>
      </c>
      <c r="J36" s="16">
        <f>IFERROR(__xludf.DUMMYFUNCTION("""COMPUTED_VALUE"""),0.373170731707317)</f>
        <v>0.3731707317</v>
      </c>
      <c r="K36" s="16">
        <f>IFERROR(__xludf.DUMMYFUNCTION("""COMPUTED_VALUE"""),0.351219512195121)</f>
        <v>0.3512195122</v>
      </c>
      <c r="L36" s="16">
        <f>IFERROR(__xludf.DUMMYFUNCTION("""COMPUTED_VALUE"""),0.336585365853658)</f>
        <v>0.3365853659</v>
      </c>
      <c r="M36" s="16">
        <f>IFERROR(__xludf.DUMMYFUNCTION("""COMPUTED_VALUE"""),0.324390243902439)</f>
        <v>0.3243902439</v>
      </c>
      <c r="N36" s="16">
        <f>IFERROR(__xludf.DUMMYFUNCTION("""COMPUTED_VALUE"""),0.317073170731707)</f>
        <v>0.3170731707</v>
      </c>
      <c r="O36" s="16">
        <f>IFERROR(__xludf.DUMMYFUNCTION("""COMPUTED_VALUE"""),0.278048780487804)</f>
        <v>0.2780487805</v>
      </c>
      <c r="P36" s="16">
        <f>IFERROR(__xludf.DUMMYFUNCTION("""COMPUTED_VALUE"""),0.21091811414392)</f>
        <v>0.2109181141</v>
      </c>
      <c r="Q36" s="16">
        <f>IFERROR(__xludf.DUMMYFUNCTION("""COMPUTED_VALUE"""),0.157657657657657)</f>
        <v>0.1576576577</v>
      </c>
      <c r="R36" s="16">
        <f>IFERROR(__xludf.DUMMYFUNCTION("""COMPUTED_VALUE"""),0.3)</f>
        <v>0.3</v>
      </c>
      <c r="S36" s="16">
        <f>IFERROR(__xludf.DUMMYFUNCTION("""COMPUTED_VALUE"""),0.0)</f>
        <v>0</v>
      </c>
      <c r="T36" s="16">
        <f>IFERROR(__xludf.DUMMYFUNCTION("""COMPUTED_VALUE"""),0.0)</f>
        <v>0</v>
      </c>
      <c r="U36" s="16">
        <f>IFERROR(__xludf.DUMMYFUNCTION("""COMPUTED_VALUE"""),0.0)</f>
        <v>0</v>
      </c>
      <c r="V36" s="16">
        <f>IFERROR(__xludf.DUMMYFUNCTION("""COMPUTED_VALUE"""),0.0)</f>
        <v>0</v>
      </c>
      <c r="W36" s="16">
        <f>IFERROR(__xludf.DUMMYFUNCTION("""COMPUTED_VALUE"""),0.0)</f>
        <v>0</v>
      </c>
      <c r="X36" s="16">
        <f>IFERROR(__xludf.DUMMYFUNCTION("""COMPUTED_VALUE"""),0.0)</f>
        <v>0</v>
      </c>
      <c r="Y36" s="16">
        <f>IFERROR(__xludf.DUMMYFUNCTION("""COMPUTED_VALUE"""),0.0)</f>
        <v>0</v>
      </c>
      <c r="Z36" s="16">
        <f>IFERROR(__xludf.DUMMYFUNCTION("""COMPUTED_VALUE"""),0.0)</f>
        <v>0</v>
      </c>
      <c r="AA36" s="16">
        <f>IFERROR(__xludf.DUMMYFUNCTION("""COMPUTED_VALUE"""),0.0)</f>
        <v>0</v>
      </c>
      <c r="AB36" s="16">
        <f>IFERROR(__xludf.DUMMYFUNCTION("""COMPUTED_VALUE"""),0.0)</f>
        <v>0</v>
      </c>
      <c r="AC36" s="16">
        <f>IFERROR(__xludf.DUMMYFUNCTION("""COMPUTED_VALUE"""),0.0)</f>
        <v>0</v>
      </c>
      <c r="AD36" s="16">
        <f>IFERROR(__xludf.DUMMYFUNCTION("""COMPUTED_VALUE"""),0.0)</f>
        <v>0</v>
      </c>
      <c r="AE36" s="16">
        <f>IFERROR(__xludf.DUMMYFUNCTION("""COMPUTED_VALUE"""),0.0)</f>
        <v>0</v>
      </c>
      <c r="AF36" s="16">
        <f>IFERROR(__xludf.DUMMYFUNCTION("""COMPUTED_VALUE"""),0.0)</f>
        <v>0</v>
      </c>
      <c r="AG36" s="16">
        <f>IFERROR(__xludf.DUMMYFUNCTION("""COMPUTED_VALUE"""),0.0)</f>
        <v>0</v>
      </c>
      <c r="AH36" s="16">
        <f>IFERROR(__xludf.DUMMYFUNCTION("""COMPUTED_VALUE"""),0.0)</f>
        <v>0</v>
      </c>
    </row>
    <row r="37">
      <c r="A37" s="16" t="str">
        <f>IFERROR(__xludf.DUMMYFUNCTION("""COMPUTED_VALUE"""),"1e8c33b5d824973efcdca4b5194f961aed4ba258")</f>
        <v>1e8c33b5d824973efcdca4b5194f961aed4ba258</v>
      </c>
      <c r="B37" s="16" t="str">
        <f>IFERROR(__xludf.DUMMYFUNCTION("""COMPUTED_VALUE"""),"Mafia's Reluctant Bride")</f>
        <v>Mafia's Reluctant Bride</v>
      </c>
      <c r="C37" s="16" t="str">
        <f>IFERROR(__xludf.DUMMYFUNCTION("""COMPUTED_VALUE"""),"Romance")</f>
        <v>Romance</v>
      </c>
      <c r="D37" s="16">
        <f>IFERROR(__xludf.DUMMYFUNCTION("""COMPUTED_VALUE"""),712.0)</f>
        <v>712</v>
      </c>
      <c r="E37" s="16">
        <f>IFERROR(__xludf.DUMMYFUNCTION("""COMPUTED_VALUE"""),0.978932584269662)</f>
        <v>0.9789325843</v>
      </c>
      <c r="F37" s="16">
        <f>IFERROR(__xludf.DUMMYFUNCTION("""COMPUTED_VALUE"""),0.511235955056179)</f>
        <v>0.5112359551</v>
      </c>
      <c r="G37" s="16">
        <f>IFERROR(__xludf.DUMMYFUNCTION("""COMPUTED_VALUE"""),0.448033707865168)</f>
        <v>0.4480337079</v>
      </c>
      <c r="H37" s="16">
        <f>IFERROR(__xludf.DUMMYFUNCTION("""COMPUTED_VALUE"""),0.408707865168539)</f>
        <v>0.4087078652</v>
      </c>
      <c r="I37" s="16">
        <f>IFERROR(__xludf.DUMMYFUNCTION("""COMPUTED_VALUE"""),0.377808988764044)</f>
        <v>0.3778089888</v>
      </c>
      <c r="J37" s="16">
        <f>IFERROR(__xludf.DUMMYFUNCTION("""COMPUTED_VALUE"""),0.331436699857752)</f>
        <v>0.3314366999</v>
      </c>
      <c r="K37" s="16">
        <f>IFERROR(__xludf.DUMMYFUNCTION("""COMPUTED_VALUE"""),0.320813771517996)</f>
        <v>0.3208137715</v>
      </c>
      <c r="L37" s="16">
        <f>IFERROR(__xludf.DUMMYFUNCTION("""COMPUTED_VALUE"""),0.298804780876494)</f>
        <v>0.2988047809</v>
      </c>
      <c r="M37" s="16">
        <f>IFERROR(__xludf.DUMMYFUNCTION("""COMPUTED_VALUE"""),0.269874476987447)</f>
        <v>0.269874477</v>
      </c>
      <c r="N37" s="16">
        <f>IFERROR(__xludf.DUMMYFUNCTION("""COMPUTED_VALUE"""),0.25813953488372)</f>
        <v>0.2581395349</v>
      </c>
      <c r="O37" s="16">
        <f>IFERROR(__xludf.DUMMYFUNCTION("""COMPUTED_VALUE"""),0.253012048192771)</f>
        <v>0.2530120482</v>
      </c>
      <c r="P37" s="16">
        <f>IFERROR(__xludf.DUMMYFUNCTION("""COMPUTED_VALUE"""),0.215189873417721)</f>
        <v>0.2151898734</v>
      </c>
      <c r="Q37" s="16">
        <f>IFERROR(__xludf.DUMMYFUNCTION("""COMPUTED_VALUE"""),0.0)</f>
        <v>0</v>
      </c>
      <c r="R37" s="16">
        <f>IFERROR(__xludf.DUMMYFUNCTION("""COMPUTED_VALUE"""),0.0)</f>
        <v>0</v>
      </c>
      <c r="S37" s="16">
        <f>IFERROR(__xludf.DUMMYFUNCTION("""COMPUTED_VALUE"""),0.0)</f>
        <v>0</v>
      </c>
      <c r="T37" s="16">
        <f>IFERROR(__xludf.DUMMYFUNCTION("""COMPUTED_VALUE"""),0.0)</f>
        <v>0</v>
      </c>
      <c r="U37" s="16">
        <f>IFERROR(__xludf.DUMMYFUNCTION("""COMPUTED_VALUE"""),0.0)</f>
        <v>0</v>
      </c>
      <c r="V37" s="16">
        <f>IFERROR(__xludf.DUMMYFUNCTION("""COMPUTED_VALUE"""),0.0)</f>
        <v>0</v>
      </c>
      <c r="W37" s="16">
        <f>IFERROR(__xludf.DUMMYFUNCTION("""COMPUTED_VALUE"""),0.0)</f>
        <v>0</v>
      </c>
      <c r="X37" s="16">
        <f>IFERROR(__xludf.DUMMYFUNCTION("""COMPUTED_VALUE"""),0.0)</f>
        <v>0</v>
      </c>
      <c r="Y37" s="16">
        <f>IFERROR(__xludf.DUMMYFUNCTION("""COMPUTED_VALUE"""),0.0)</f>
        <v>0</v>
      </c>
      <c r="Z37" s="16">
        <f>IFERROR(__xludf.DUMMYFUNCTION("""COMPUTED_VALUE"""),0.0)</f>
        <v>0</v>
      </c>
      <c r="AA37" s="16">
        <f>IFERROR(__xludf.DUMMYFUNCTION("""COMPUTED_VALUE"""),0.0)</f>
        <v>0</v>
      </c>
      <c r="AB37" s="16">
        <f>IFERROR(__xludf.DUMMYFUNCTION("""COMPUTED_VALUE"""),0.0)</f>
        <v>0</v>
      </c>
      <c r="AC37" s="16">
        <f>IFERROR(__xludf.DUMMYFUNCTION("""COMPUTED_VALUE"""),0.0)</f>
        <v>0</v>
      </c>
      <c r="AD37" s="16">
        <f>IFERROR(__xludf.DUMMYFUNCTION("""COMPUTED_VALUE"""),0.0)</f>
        <v>0</v>
      </c>
      <c r="AE37" s="16">
        <f>IFERROR(__xludf.DUMMYFUNCTION("""COMPUTED_VALUE"""),0.0)</f>
        <v>0</v>
      </c>
      <c r="AF37" s="16">
        <f>IFERROR(__xludf.DUMMYFUNCTION("""COMPUTED_VALUE"""),0.0)</f>
        <v>0</v>
      </c>
      <c r="AG37" s="16">
        <f>IFERROR(__xludf.DUMMYFUNCTION("""COMPUTED_VALUE"""),0.0)</f>
        <v>0</v>
      </c>
      <c r="AH37" s="16">
        <f>IFERROR(__xludf.DUMMYFUNCTION("""COMPUTED_VALUE"""),0.0)</f>
        <v>0</v>
      </c>
    </row>
    <row r="38">
      <c r="A38" s="16" t="str">
        <f>IFERROR(__xludf.DUMMYFUNCTION("""COMPUTED_VALUE"""),"1f78098e196cc2154bbadfe054e0bdd13c10fa60")</f>
        <v>1f78098e196cc2154bbadfe054e0bdd13c10fa60</v>
      </c>
      <c r="B38" s="16" t="str">
        <f>IFERROR(__xludf.DUMMYFUNCTION("""COMPUTED_VALUE"""),"The Marriage Timer")</f>
        <v>The Marriage Timer</v>
      </c>
      <c r="C38" s="16" t="str">
        <f>IFERROR(__xludf.DUMMYFUNCTION("""COMPUTED_VALUE"""),"Romance")</f>
        <v>Romance</v>
      </c>
      <c r="D38" s="16">
        <f>IFERROR(__xludf.DUMMYFUNCTION("""COMPUTED_VALUE"""),1025.0)</f>
        <v>1025</v>
      </c>
      <c r="E38" s="16">
        <f>IFERROR(__xludf.DUMMYFUNCTION("""COMPUTED_VALUE"""),0.970731707317073)</f>
        <v>0.9707317073</v>
      </c>
      <c r="F38" s="16">
        <f>IFERROR(__xludf.DUMMYFUNCTION("""COMPUTED_VALUE"""),0.633170731707317)</f>
        <v>0.6331707317</v>
      </c>
      <c r="G38" s="16">
        <f>IFERROR(__xludf.DUMMYFUNCTION("""COMPUTED_VALUE"""),0.535609756097561)</f>
        <v>0.5356097561</v>
      </c>
      <c r="H38" s="16">
        <f>IFERROR(__xludf.DUMMYFUNCTION("""COMPUTED_VALUE"""),0.48)</f>
        <v>0.48</v>
      </c>
      <c r="I38" s="16">
        <f>IFERROR(__xludf.DUMMYFUNCTION("""COMPUTED_VALUE"""),0.462439024390243)</f>
        <v>0.4624390244</v>
      </c>
      <c r="J38" s="16">
        <f>IFERROR(__xludf.DUMMYFUNCTION("""COMPUTED_VALUE"""),0.42409402546523)</f>
        <v>0.4240940255</v>
      </c>
      <c r="K38" s="16">
        <f>IFERROR(__xludf.DUMMYFUNCTION("""COMPUTED_VALUE"""),0.398821218074656)</f>
        <v>0.3988212181</v>
      </c>
      <c r="L38" s="16">
        <f>IFERROR(__xludf.DUMMYFUNCTION("""COMPUTED_VALUE"""),0.397044334975369)</f>
        <v>0.397044335</v>
      </c>
      <c r="M38" s="16">
        <f>IFERROR(__xludf.DUMMYFUNCTION("""COMPUTED_VALUE"""),0.389162561576354)</f>
        <v>0.3891625616</v>
      </c>
      <c r="N38" s="16">
        <f>IFERROR(__xludf.DUMMYFUNCTION("""COMPUTED_VALUE"""),0.361744301288404)</f>
        <v>0.3617443013</v>
      </c>
      <c r="O38" s="16">
        <f>IFERROR(__xludf.DUMMYFUNCTION("""COMPUTED_VALUE"""),0.335005015045135)</f>
        <v>0.335005015</v>
      </c>
      <c r="P38" s="16">
        <f>IFERROR(__xludf.DUMMYFUNCTION("""COMPUTED_VALUE"""),0.20061099796334)</f>
        <v>0.200610998</v>
      </c>
      <c r="Q38" s="16">
        <f>IFERROR(__xludf.DUMMYFUNCTION("""COMPUTED_VALUE"""),0.104540654699049)</f>
        <v>0.1045406547</v>
      </c>
      <c r="R38" s="16">
        <f>IFERROR(__xludf.DUMMYFUNCTION("""COMPUTED_VALUE"""),0.0)</f>
        <v>0</v>
      </c>
      <c r="S38" s="16">
        <f>IFERROR(__xludf.DUMMYFUNCTION("""COMPUTED_VALUE"""),0.0)</f>
        <v>0</v>
      </c>
      <c r="T38" s="16">
        <f>IFERROR(__xludf.DUMMYFUNCTION("""COMPUTED_VALUE"""),0.0)</f>
        <v>0</v>
      </c>
      <c r="U38" s="16">
        <f>IFERROR(__xludf.DUMMYFUNCTION("""COMPUTED_VALUE"""),0.0)</f>
        <v>0</v>
      </c>
      <c r="V38" s="16">
        <f>IFERROR(__xludf.DUMMYFUNCTION("""COMPUTED_VALUE"""),0.0)</f>
        <v>0</v>
      </c>
      <c r="W38" s="16">
        <f>IFERROR(__xludf.DUMMYFUNCTION("""COMPUTED_VALUE"""),0.0)</f>
        <v>0</v>
      </c>
      <c r="X38" s="16">
        <f>IFERROR(__xludf.DUMMYFUNCTION("""COMPUTED_VALUE"""),0.0)</f>
        <v>0</v>
      </c>
      <c r="Y38" s="16">
        <f>IFERROR(__xludf.DUMMYFUNCTION("""COMPUTED_VALUE"""),0.0)</f>
        <v>0</v>
      </c>
      <c r="Z38" s="16">
        <f>IFERROR(__xludf.DUMMYFUNCTION("""COMPUTED_VALUE"""),0.0)</f>
        <v>0</v>
      </c>
      <c r="AA38" s="16">
        <f>IFERROR(__xludf.DUMMYFUNCTION("""COMPUTED_VALUE"""),0.0)</f>
        <v>0</v>
      </c>
      <c r="AB38" s="16">
        <f>IFERROR(__xludf.DUMMYFUNCTION("""COMPUTED_VALUE"""),0.0)</f>
        <v>0</v>
      </c>
      <c r="AC38" s="16">
        <f>IFERROR(__xludf.DUMMYFUNCTION("""COMPUTED_VALUE"""),0.0)</f>
        <v>0</v>
      </c>
      <c r="AD38" s="16">
        <f>IFERROR(__xludf.DUMMYFUNCTION("""COMPUTED_VALUE"""),0.0)</f>
        <v>0</v>
      </c>
      <c r="AE38" s="16">
        <f>IFERROR(__xludf.DUMMYFUNCTION("""COMPUTED_VALUE"""),0.0)</f>
        <v>0</v>
      </c>
      <c r="AF38" s="16">
        <f>IFERROR(__xludf.DUMMYFUNCTION("""COMPUTED_VALUE"""),0.0)</f>
        <v>0</v>
      </c>
      <c r="AG38" s="16">
        <f>IFERROR(__xludf.DUMMYFUNCTION("""COMPUTED_VALUE"""),0.0)</f>
        <v>0</v>
      </c>
      <c r="AH38" s="16">
        <f>IFERROR(__xludf.DUMMYFUNCTION("""COMPUTED_VALUE"""),0.0)</f>
        <v>0</v>
      </c>
    </row>
    <row r="39">
      <c r="A39" s="16" t="str">
        <f>IFERROR(__xludf.DUMMYFUNCTION("""COMPUTED_VALUE"""),"2039c770620dbd485e50118a476f0b91b4bd035b")</f>
        <v>2039c770620dbd485e50118a476f0b91b4bd035b</v>
      </c>
      <c r="B39" s="16" t="str">
        <f>IFERROR(__xludf.DUMMYFUNCTION("""COMPUTED_VALUE"""),"Princess Ebony &amp; the Silver Dragon - Remastered Edition")</f>
        <v>Princess Ebony &amp; the Silver Dragon - Remastered Edition</v>
      </c>
      <c r="C39" s="16" t="str">
        <f>IFERROR(__xludf.DUMMYFUNCTION("""COMPUTED_VALUE"""),"Fantasy")</f>
        <v>Fantasy</v>
      </c>
      <c r="D39" s="16">
        <f>IFERROR(__xludf.DUMMYFUNCTION("""COMPUTED_VALUE"""),5207.0)</f>
        <v>5207</v>
      </c>
      <c r="E39" s="16">
        <f>IFERROR(__xludf.DUMMYFUNCTION("""COMPUTED_VALUE"""),0.951219512195121)</f>
        <v>0.9512195122</v>
      </c>
      <c r="F39" s="16">
        <f>IFERROR(__xludf.DUMMYFUNCTION("""COMPUTED_VALUE"""),0.483963894757057)</f>
        <v>0.4839638948</v>
      </c>
      <c r="G39" s="16">
        <f>IFERROR(__xludf.DUMMYFUNCTION("""COMPUTED_VALUE"""),0.436335701939696)</f>
        <v>0.4363357019</v>
      </c>
      <c r="H39" s="16">
        <f>IFERROR(__xludf.DUMMYFUNCTION("""COMPUTED_VALUE"""),0.411945458037257)</f>
        <v>0.411945458</v>
      </c>
      <c r="I39" s="16">
        <f>IFERROR(__xludf.DUMMYFUNCTION("""COMPUTED_VALUE"""),0.393508738236988)</f>
        <v>0.3935087382</v>
      </c>
      <c r="J39" s="16">
        <f>IFERROR(__xludf.DUMMYFUNCTION("""COMPUTED_VALUE"""),0.375963020030816)</f>
        <v>0.37596302</v>
      </c>
      <c r="K39" s="16">
        <f>IFERROR(__xludf.DUMMYFUNCTION("""COMPUTED_VALUE"""),0.36463768115942)</f>
        <v>0.3646376812</v>
      </c>
      <c r="L39" s="16">
        <f>IFERROR(__xludf.DUMMYFUNCTION("""COMPUTED_VALUE"""),0.356795644565428)</f>
        <v>0.3567956446</v>
      </c>
      <c r="M39" s="16">
        <f>IFERROR(__xludf.DUMMYFUNCTION("""COMPUTED_VALUE"""),0.35078125)</f>
        <v>0.35078125</v>
      </c>
      <c r="N39" s="16">
        <f>IFERROR(__xludf.DUMMYFUNCTION("""COMPUTED_VALUE"""),0.344922412099783)</f>
        <v>0.3449224121</v>
      </c>
      <c r="O39" s="16">
        <f>IFERROR(__xludf.DUMMYFUNCTION("""COMPUTED_VALUE"""),0.330114665057332)</f>
        <v>0.3301146651</v>
      </c>
      <c r="P39" s="16">
        <f>IFERROR(__xludf.DUMMYFUNCTION("""COMPUTED_VALUE"""),0.309513917739925)</f>
        <v>0.3095139177</v>
      </c>
      <c r="Q39" s="16">
        <f>IFERROR(__xludf.DUMMYFUNCTION("""COMPUTED_VALUE"""),0.263553530751708)</f>
        <v>0.2635535308</v>
      </c>
      <c r="R39" s="16">
        <f>IFERROR(__xludf.DUMMYFUNCTION("""COMPUTED_VALUE"""),0.217412217412217)</f>
        <v>0.2174122174</v>
      </c>
      <c r="S39" s="16">
        <f>IFERROR(__xludf.DUMMYFUNCTION("""COMPUTED_VALUE"""),0.180520142784293)</f>
        <v>0.1805201428</v>
      </c>
      <c r="T39" s="16">
        <f>IFERROR(__xludf.DUMMYFUNCTION("""COMPUTED_VALUE"""),0.150876232201533)</f>
        <v>0.1508762322</v>
      </c>
      <c r="U39" s="16">
        <f>IFERROR(__xludf.DUMMYFUNCTION("""COMPUTED_VALUE"""),0.119423012411942)</f>
        <v>0.1194230124</v>
      </c>
      <c r="V39" s="16">
        <f>IFERROR(__xludf.DUMMYFUNCTION("""COMPUTED_VALUE"""),0.100039077764751)</f>
        <v>0.1000390778</v>
      </c>
      <c r="W39" s="16">
        <f>IFERROR(__xludf.DUMMYFUNCTION("""COMPUTED_VALUE"""),0.0688888888888888)</f>
        <v>0.06888888889</v>
      </c>
      <c r="X39" s="16">
        <f>IFERROR(__xludf.DUMMYFUNCTION("""COMPUTED_VALUE"""),0.0385356454720616)</f>
        <v>0.03853564547</v>
      </c>
      <c r="Y39" s="16">
        <f>IFERROR(__xludf.DUMMYFUNCTION("""COMPUTED_VALUE"""),0.0348101265822784)</f>
        <v>0.03481012658</v>
      </c>
      <c r="Z39" s="16">
        <f>IFERROR(__xludf.DUMMYFUNCTION("""COMPUTED_VALUE"""),0.0)</f>
        <v>0</v>
      </c>
      <c r="AA39" s="16">
        <f>IFERROR(__xludf.DUMMYFUNCTION("""COMPUTED_VALUE"""),0.0)</f>
        <v>0</v>
      </c>
      <c r="AB39" s="16">
        <f>IFERROR(__xludf.DUMMYFUNCTION("""COMPUTED_VALUE"""),0.0)</f>
        <v>0</v>
      </c>
      <c r="AC39" s="16">
        <f>IFERROR(__xludf.DUMMYFUNCTION("""COMPUTED_VALUE"""),0.0)</f>
        <v>0</v>
      </c>
      <c r="AD39" s="16">
        <f>IFERROR(__xludf.DUMMYFUNCTION("""COMPUTED_VALUE"""),0.0)</f>
        <v>0</v>
      </c>
      <c r="AE39" s="16">
        <f>IFERROR(__xludf.DUMMYFUNCTION("""COMPUTED_VALUE"""),0.0)</f>
        <v>0</v>
      </c>
      <c r="AF39" s="16">
        <f>IFERROR(__xludf.DUMMYFUNCTION("""COMPUTED_VALUE"""),0.0)</f>
        <v>0</v>
      </c>
      <c r="AG39" s="16">
        <f>IFERROR(__xludf.DUMMYFUNCTION("""COMPUTED_VALUE"""),0.0)</f>
        <v>0</v>
      </c>
      <c r="AH39" s="16">
        <f>IFERROR(__xludf.DUMMYFUNCTION("""COMPUTED_VALUE"""),0.0)</f>
        <v>0</v>
      </c>
    </row>
    <row r="40">
      <c r="A40" s="16" t="str">
        <f>IFERROR(__xludf.DUMMYFUNCTION("""COMPUTED_VALUE"""),"215d4622bad0b1fca5cb36bca9f92b3c41d21f7e")</f>
        <v>215d4622bad0b1fca5cb36bca9f92b3c41d21f7e</v>
      </c>
      <c r="B40" s="16" t="str">
        <f>IFERROR(__xludf.DUMMYFUNCTION("""COMPUTED_VALUE"""),"Aiden's Regression")</f>
        <v>Aiden's Regression</v>
      </c>
      <c r="C40" s="16" t="str">
        <f>IFERROR(__xludf.DUMMYFUNCTION("""COMPUTED_VALUE"""),"System and Superpower")</f>
        <v>System and Superpower</v>
      </c>
      <c r="D40" s="16">
        <f>IFERROR(__xludf.DUMMYFUNCTION("""COMPUTED_VALUE"""),42.0)</f>
        <v>42</v>
      </c>
      <c r="E40" s="16">
        <f>IFERROR(__xludf.DUMMYFUNCTION("""COMPUTED_VALUE"""),0.976190476190476)</f>
        <v>0.9761904762</v>
      </c>
      <c r="F40" s="16">
        <f>IFERROR(__xludf.DUMMYFUNCTION("""COMPUTED_VALUE"""),0.642857142857142)</f>
        <v>0.6428571429</v>
      </c>
      <c r="G40" s="16">
        <f>IFERROR(__xludf.DUMMYFUNCTION("""COMPUTED_VALUE"""),0.595238095238095)</f>
        <v>0.5952380952</v>
      </c>
      <c r="H40" s="16">
        <f>IFERROR(__xludf.DUMMYFUNCTION("""COMPUTED_VALUE"""),0.619047619047619)</f>
        <v>0.619047619</v>
      </c>
      <c r="I40" s="16">
        <f>IFERROR(__xludf.DUMMYFUNCTION("""COMPUTED_VALUE"""),0.595238095238095)</f>
        <v>0.5952380952</v>
      </c>
      <c r="J40" s="16">
        <f>IFERROR(__xludf.DUMMYFUNCTION("""COMPUTED_VALUE"""),0.595238095238095)</f>
        <v>0.5952380952</v>
      </c>
      <c r="K40" s="16">
        <f>IFERROR(__xludf.DUMMYFUNCTION("""COMPUTED_VALUE"""),0.547619047619047)</f>
        <v>0.5476190476</v>
      </c>
      <c r="L40" s="16">
        <f>IFERROR(__xludf.DUMMYFUNCTION("""COMPUTED_VALUE"""),0.523809523809523)</f>
        <v>0.5238095238</v>
      </c>
      <c r="M40" s="16">
        <f>IFERROR(__xludf.DUMMYFUNCTION("""COMPUTED_VALUE"""),0.523809523809523)</f>
        <v>0.5238095238</v>
      </c>
      <c r="N40" s="16">
        <f>IFERROR(__xludf.DUMMYFUNCTION("""COMPUTED_VALUE"""),0.5)</f>
        <v>0.5</v>
      </c>
      <c r="O40" s="16">
        <f>IFERROR(__xludf.DUMMYFUNCTION("""COMPUTED_VALUE"""),0.463414634146341)</f>
        <v>0.4634146341</v>
      </c>
      <c r="P40" s="16">
        <f>IFERROR(__xludf.DUMMYFUNCTION("""COMPUTED_VALUE"""),0.314285714285714)</f>
        <v>0.3142857143</v>
      </c>
      <c r="Q40" s="16">
        <f>IFERROR(__xludf.DUMMYFUNCTION("""COMPUTED_VALUE"""),0.0)</f>
        <v>0</v>
      </c>
      <c r="R40" s="16">
        <f>IFERROR(__xludf.DUMMYFUNCTION("""COMPUTED_VALUE"""),0.0)</f>
        <v>0</v>
      </c>
      <c r="S40" s="16">
        <f>IFERROR(__xludf.DUMMYFUNCTION("""COMPUTED_VALUE"""),0.0)</f>
        <v>0</v>
      </c>
      <c r="T40" s="16">
        <f>IFERROR(__xludf.DUMMYFUNCTION("""COMPUTED_VALUE"""),0.0)</f>
        <v>0</v>
      </c>
      <c r="U40" s="16">
        <f>IFERROR(__xludf.DUMMYFUNCTION("""COMPUTED_VALUE"""),0.0)</f>
        <v>0</v>
      </c>
      <c r="V40" s="16">
        <f>IFERROR(__xludf.DUMMYFUNCTION("""COMPUTED_VALUE"""),0.0)</f>
        <v>0</v>
      </c>
      <c r="W40" s="16">
        <f>IFERROR(__xludf.DUMMYFUNCTION("""COMPUTED_VALUE"""),0.0)</f>
        <v>0</v>
      </c>
      <c r="X40" s="16">
        <f>IFERROR(__xludf.DUMMYFUNCTION("""COMPUTED_VALUE"""),0.0)</f>
        <v>0</v>
      </c>
      <c r="Y40" s="16">
        <f>IFERROR(__xludf.DUMMYFUNCTION("""COMPUTED_VALUE"""),0.0)</f>
        <v>0</v>
      </c>
      <c r="Z40" s="16">
        <f>IFERROR(__xludf.DUMMYFUNCTION("""COMPUTED_VALUE"""),0.0)</f>
        <v>0</v>
      </c>
      <c r="AA40" s="16">
        <f>IFERROR(__xludf.DUMMYFUNCTION("""COMPUTED_VALUE"""),0.0)</f>
        <v>0</v>
      </c>
      <c r="AB40" s="16">
        <f>IFERROR(__xludf.DUMMYFUNCTION("""COMPUTED_VALUE"""),0.0)</f>
        <v>0</v>
      </c>
      <c r="AC40" s="16">
        <f>IFERROR(__xludf.DUMMYFUNCTION("""COMPUTED_VALUE"""),0.0)</f>
        <v>0</v>
      </c>
      <c r="AD40" s="16">
        <f>IFERROR(__xludf.DUMMYFUNCTION("""COMPUTED_VALUE"""),0.0)</f>
        <v>0</v>
      </c>
      <c r="AE40" s="16">
        <f>IFERROR(__xludf.DUMMYFUNCTION("""COMPUTED_VALUE"""),0.0)</f>
        <v>0</v>
      </c>
      <c r="AF40" s="16">
        <f>IFERROR(__xludf.DUMMYFUNCTION("""COMPUTED_VALUE"""),0.0)</f>
        <v>0</v>
      </c>
      <c r="AG40" s="16">
        <f>IFERROR(__xludf.DUMMYFUNCTION("""COMPUTED_VALUE"""),0.0)</f>
        <v>0</v>
      </c>
      <c r="AH40" s="16">
        <f>IFERROR(__xludf.DUMMYFUNCTION("""COMPUTED_VALUE"""),0.0)</f>
        <v>0</v>
      </c>
    </row>
    <row r="41">
      <c r="A41" s="16" t="str">
        <f>IFERROR(__xludf.DUMMYFUNCTION("""COMPUTED_VALUE"""),"2217881cc8f3c05fb3e0dbf70a118129e4e12471")</f>
        <v>2217881cc8f3c05fb3e0dbf70a118129e4e12471</v>
      </c>
      <c r="B41" s="16" t="str">
        <f>IFERROR(__xludf.DUMMYFUNCTION("""COMPUTED_VALUE"""),"Sevenfold Saint's Rise")</f>
        <v>Sevenfold Saint's Rise</v>
      </c>
      <c r="C41" s="16" t="str">
        <f>IFERROR(__xludf.DUMMYFUNCTION("""COMPUTED_VALUE"""),"Fantasy")</f>
        <v>Fantasy</v>
      </c>
      <c r="D41" s="16">
        <f>IFERROR(__xludf.DUMMYFUNCTION("""COMPUTED_VALUE"""),78.0)</f>
        <v>78</v>
      </c>
      <c r="E41" s="16">
        <f>IFERROR(__xludf.DUMMYFUNCTION("""COMPUTED_VALUE"""),0.961538461538461)</f>
        <v>0.9615384615</v>
      </c>
      <c r="F41" s="16">
        <f>IFERROR(__xludf.DUMMYFUNCTION("""COMPUTED_VALUE"""),0.615384615384615)</f>
        <v>0.6153846154</v>
      </c>
      <c r="G41" s="16">
        <f>IFERROR(__xludf.DUMMYFUNCTION("""COMPUTED_VALUE"""),0.564102564102564)</f>
        <v>0.5641025641</v>
      </c>
      <c r="H41" s="16">
        <f>IFERROR(__xludf.DUMMYFUNCTION("""COMPUTED_VALUE"""),0.538461538461538)</f>
        <v>0.5384615385</v>
      </c>
      <c r="I41" s="16">
        <f>IFERROR(__xludf.DUMMYFUNCTION("""COMPUTED_VALUE"""),0.461538461538461)</f>
        <v>0.4615384615</v>
      </c>
      <c r="J41" s="16">
        <f>IFERROR(__xludf.DUMMYFUNCTION("""COMPUTED_VALUE"""),0.371794871794871)</f>
        <v>0.3717948718</v>
      </c>
      <c r="K41" s="16">
        <f>IFERROR(__xludf.DUMMYFUNCTION("""COMPUTED_VALUE"""),0.333333333333333)</f>
        <v>0.3333333333</v>
      </c>
      <c r="L41" s="16">
        <f>IFERROR(__xludf.DUMMYFUNCTION("""COMPUTED_VALUE"""),0.32051282051282)</f>
        <v>0.3205128205</v>
      </c>
      <c r="M41" s="16">
        <f>IFERROR(__xludf.DUMMYFUNCTION("""COMPUTED_VALUE"""),0.294871794871794)</f>
        <v>0.2948717949</v>
      </c>
      <c r="N41" s="16">
        <f>IFERROR(__xludf.DUMMYFUNCTION("""COMPUTED_VALUE"""),0.223684210526315)</f>
        <v>0.2236842105</v>
      </c>
      <c r="O41" s="16">
        <f>IFERROR(__xludf.DUMMYFUNCTION("""COMPUTED_VALUE"""),0.157142857142857)</f>
        <v>0.1571428571</v>
      </c>
      <c r="P41" s="16">
        <f>IFERROR(__xludf.DUMMYFUNCTION("""COMPUTED_VALUE"""),0.0)</f>
        <v>0</v>
      </c>
      <c r="Q41" s="16">
        <f>IFERROR(__xludf.DUMMYFUNCTION("""COMPUTED_VALUE"""),0.0)</f>
        <v>0</v>
      </c>
      <c r="R41" s="16">
        <f>IFERROR(__xludf.DUMMYFUNCTION("""COMPUTED_VALUE"""),0.0)</f>
        <v>0</v>
      </c>
      <c r="S41" s="16">
        <f>IFERROR(__xludf.DUMMYFUNCTION("""COMPUTED_VALUE"""),0.0)</f>
        <v>0</v>
      </c>
      <c r="T41" s="16">
        <f>IFERROR(__xludf.DUMMYFUNCTION("""COMPUTED_VALUE"""),0.0)</f>
        <v>0</v>
      </c>
      <c r="U41" s="16">
        <f>IFERROR(__xludf.DUMMYFUNCTION("""COMPUTED_VALUE"""),0.0)</f>
        <v>0</v>
      </c>
      <c r="V41" s="16">
        <f>IFERROR(__xludf.DUMMYFUNCTION("""COMPUTED_VALUE"""),0.0)</f>
        <v>0</v>
      </c>
      <c r="W41" s="16">
        <f>IFERROR(__xludf.DUMMYFUNCTION("""COMPUTED_VALUE"""),0.0)</f>
        <v>0</v>
      </c>
      <c r="X41" s="16">
        <f>IFERROR(__xludf.DUMMYFUNCTION("""COMPUTED_VALUE"""),0.0)</f>
        <v>0</v>
      </c>
      <c r="Y41" s="16">
        <f>IFERROR(__xludf.DUMMYFUNCTION("""COMPUTED_VALUE"""),0.0)</f>
        <v>0</v>
      </c>
      <c r="Z41" s="16">
        <f>IFERROR(__xludf.DUMMYFUNCTION("""COMPUTED_VALUE"""),0.0)</f>
        <v>0</v>
      </c>
      <c r="AA41" s="16">
        <f>IFERROR(__xludf.DUMMYFUNCTION("""COMPUTED_VALUE"""),0.0)</f>
        <v>0</v>
      </c>
      <c r="AB41" s="16">
        <f>IFERROR(__xludf.DUMMYFUNCTION("""COMPUTED_VALUE"""),0.0)</f>
        <v>0</v>
      </c>
      <c r="AC41" s="16">
        <f>IFERROR(__xludf.DUMMYFUNCTION("""COMPUTED_VALUE"""),0.0)</f>
        <v>0</v>
      </c>
      <c r="AD41" s="16">
        <f>IFERROR(__xludf.DUMMYFUNCTION("""COMPUTED_VALUE"""),0.0)</f>
        <v>0</v>
      </c>
      <c r="AE41" s="16">
        <f>IFERROR(__xludf.DUMMYFUNCTION("""COMPUTED_VALUE"""),0.0)</f>
        <v>0</v>
      </c>
      <c r="AF41" s="16">
        <f>IFERROR(__xludf.DUMMYFUNCTION("""COMPUTED_VALUE"""),0.0)</f>
        <v>0</v>
      </c>
      <c r="AG41" s="16">
        <f>IFERROR(__xludf.DUMMYFUNCTION("""COMPUTED_VALUE"""),0.0)</f>
        <v>0</v>
      </c>
      <c r="AH41" s="16">
        <f>IFERROR(__xludf.DUMMYFUNCTION("""COMPUTED_VALUE"""),0.0)</f>
        <v>0</v>
      </c>
    </row>
    <row r="42">
      <c r="A42" s="16" t="str">
        <f>IFERROR(__xludf.DUMMYFUNCTION("""COMPUTED_VALUE"""),"224e6f56466e098b0d6a19535a60cc9f4da7f36a")</f>
        <v>224e6f56466e098b0d6a19535a60cc9f4da7f36a</v>
      </c>
      <c r="B42" s="16" t="str">
        <f>IFERROR(__xludf.DUMMYFUNCTION("""COMPUTED_VALUE"""),"Bound by Billions")</f>
        <v>Bound by Billions</v>
      </c>
      <c r="C42" s="16" t="str">
        <f>IFERROR(__xludf.DUMMYFUNCTION("""COMPUTED_VALUE"""),"Drama")</f>
        <v>Drama</v>
      </c>
      <c r="D42" s="16">
        <f>IFERROR(__xludf.DUMMYFUNCTION("""COMPUTED_VALUE"""),2802.0)</f>
        <v>2802</v>
      </c>
      <c r="E42" s="16">
        <f>IFERROR(__xludf.DUMMYFUNCTION("""COMPUTED_VALUE"""),0.947180585296217)</f>
        <v>0.9471805853</v>
      </c>
      <c r="F42" s="16">
        <f>IFERROR(__xludf.DUMMYFUNCTION("""COMPUTED_VALUE"""),0.771948608137045)</f>
        <v>0.7719486081</v>
      </c>
      <c r="G42" s="16">
        <f>IFERROR(__xludf.DUMMYFUNCTION("""COMPUTED_VALUE"""),0.735189150606709)</f>
        <v>0.7351891506</v>
      </c>
      <c r="H42" s="16">
        <f>IFERROR(__xludf.DUMMYFUNCTION("""COMPUTED_VALUE"""),0.706995003568879)</f>
        <v>0.7069950036</v>
      </c>
      <c r="I42" s="16">
        <f>IFERROR(__xludf.DUMMYFUNCTION("""COMPUTED_VALUE"""),0.681299072091363)</f>
        <v>0.6812990721</v>
      </c>
      <c r="J42" s="16">
        <f>IFERROR(__xludf.DUMMYFUNCTION("""COMPUTED_VALUE"""),0.654175588865096)</f>
        <v>0.6541755889</v>
      </c>
      <c r="K42" s="16">
        <f>IFERROR(__xludf.DUMMYFUNCTION("""COMPUTED_VALUE"""),0.629550321199143)</f>
        <v>0.6295503212</v>
      </c>
      <c r="L42" s="16">
        <f>IFERROR(__xludf.DUMMYFUNCTION("""COMPUTED_VALUE"""),0.626695217701641)</f>
        <v>0.6266952177</v>
      </c>
      <c r="M42" s="16">
        <f>IFERROR(__xludf.DUMMYFUNCTION("""COMPUTED_VALUE"""),0.596002855103497)</f>
        <v>0.5960028551</v>
      </c>
      <c r="N42" s="16">
        <f>IFERROR(__xludf.DUMMYFUNCTION("""COMPUTED_VALUE"""),0.583868665239115)</f>
        <v>0.5838686652</v>
      </c>
      <c r="O42" s="16">
        <f>IFERROR(__xludf.DUMMYFUNCTION("""COMPUTED_VALUE"""),0.528907922912205)</f>
        <v>0.5289079229</v>
      </c>
      <c r="P42" s="16">
        <f>IFERROR(__xludf.DUMMYFUNCTION("""COMPUTED_VALUE"""),0.379642857142857)</f>
        <v>0.3796428571</v>
      </c>
      <c r="Q42" s="16">
        <f>IFERROR(__xludf.DUMMYFUNCTION("""COMPUTED_VALUE"""),0.262589928057553)</f>
        <v>0.2625899281</v>
      </c>
      <c r="R42" s="16">
        <f>IFERROR(__xludf.DUMMYFUNCTION("""COMPUTED_VALUE"""),0.204627621113521)</f>
        <v>0.2046276211</v>
      </c>
      <c r="S42" s="16">
        <f>IFERROR(__xludf.DUMMYFUNCTION("""COMPUTED_VALUE"""),0.149199417758369)</f>
        <v>0.1491994178</v>
      </c>
      <c r="T42" s="16">
        <f>IFERROR(__xludf.DUMMYFUNCTION("""COMPUTED_VALUE"""),0.114715189873417)</f>
        <v>0.1147151899</v>
      </c>
      <c r="U42" s="16">
        <f>IFERROR(__xludf.DUMMYFUNCTION("""COMPUTED_VALUE"""),0.0954773869346733)</f>
        <v>0.09547738693</v>
      </c>
      <c r="V42" s="16">
        <f>IFERROR(__xludf.DUMMYFUNCTION("""COMPUTED_VALUE"""),0.0815402038505096)</f>
        <v>0.08154020385</v>
      </c>
      <c r="W42" s="16">
        <f>IFERROR(__xludf.DUMMYFUNCTION("""COMPUTED_VALUE"""),0.0713153724247226)</f>
        <v>0.07131537242</v>
      </c>
      <c r="X42" s="16">
        <f>IFERROR(__xludf.DUMMYFUNCTION("""COMPUTED_VALUE"""),0.0833333333333333)</f>
        <v>0.08333333333</v>
      </c>
      <c r="Y42" s="16">
        <f>IFERROR(__xludf.DUMMYFUNCTION("""COMPUTED_VALUE"""),0.0666666666666666)</f>
        <v>0.06666666667</v>
      </c>
      <c r="Z42" s="16">
        <f>IFERROR(__xludf.DUMMYFUNCTION("""COMPUTED_VALUE"""),0.0555555555555555)</f>
        <v>0.05555555556</v>
      </c>
      <c r="AA42" s="16">
        <f>IFERROR(__xludf.DUMMYFUNCTION("""COMPUTED_VALUE"""),0.0454545454545454)</f>
        <v>0.04545454545</v>
      </c>
      <c r="AB42" s="16">
        <f>IFERROR(__xludf.DUMMYFUNCTION("""COMPUTED_VALUE"""),0.04)</f>
        <v>0.04</v>
      </c>
      <c r="AC42" s="16">
        <f>IFERROR(__xludf.DUMMYFUNCTION("""COMPUTED_VALUE"""),0.0131578947368421)</f>
        <v>0.01315789474</v>
      </c>
      <c r="AD42" s="16">
        <f>IFERROR(__xludf.DUMMYFUNCTION("""COMPUTED_VALUE"""),0.0142857142857142)</f>
        <v>0.01428571429</v>
      </c>
      <c r="AE42" s="16">
        <f>IFERROR(__xludf.DUMMYFUNCTION("""COMPUTED_VALUE"""),0.0172413793103448)</f>
        <v>0.01724137931</v>
      </c>
      <c r="AF42" s="16">
        <f>IFERROR(__xludf.DUMMYFUNCTION("""COMPUTED_VALUE"""),0.0)</f>
        <v>0</v>
      </c>
      <c r="AG42" s="16">
        <f>IFERROR(__xludf.DUMMYFUNCTION("""COMPUTED_VALUE"""),0.0)</f>
        <v>0</v>
      </c>
      <c r="AH42" s="16">
        <f>IFERROR(__xludf.DUMMYFUNCTION("""COMPUTED_VALUE"""),0.0)</f>
        <v>0</v>
      </c>
    </row>
    <row r="43">
      <c r="A43" s="16" t="str">
        <f>IFERROR(__xludf.DUMMYFUNCTION("""COMPUTED_VALUE"""),"23200139c53ab123429a0f621a7519272bf21ea7")</f>
        <v>23200139c53ab123429a0f621a7519272bf21ea7</v>
      </c>
      <c r="B43" s="16" t="str">
        <f>IFERROR(__xludf.DUMMYFUNCTION("""COMPUTED_VALUE"""),"The Fae Lycan Abomination")</f>
        <v>The Fae Lycan Abomination</v>
      </c>
      <c r="C43" s="16" t="str">
        <f>IFERROR(__xludf.DUMMYFUNCTION("""COMPUTED_VALUE"""),"Fantasy")</f>
        <v>Fantasy</v>
      </c>
      <c r="D43" s="16">
        <f>IFERROR(__xludf.DUMMYFUNCTION("""COMPUTED_VALUE"""),115.0)</f>
        <v>115</v>
      </c>
      <c r="E43" s="16">
        <f>IFERROR(__xludf.DUMMYFUNCTION("""COMPUTED_VALUE"""),0.97391304347826)</f>
        <v>0.9739130435</v>
      </c>
      <c r="F43" s="16">
        <f>IFERROR(__xludf.DUMMYFUNCTION("""COMPUTED_VALUE"""),0.460869565217391)</f>
        <v>0.4608695652</v>
      </c>
      <c r="G43" s="16">
        <f>IFERROR(__xludf.DUMMYFUNCTION("""COMPUTED_VALUE"""),0.356521739130434)</f>
        <v>0.3565217391</v>
      </c>
      <c r="H43" s="16">
        <f>IFERROR(__xludf.DUMMYFUNCTION("""COMPUTED_VALUE"""),0.269565217391304)</f>
        <v>0.2695652174</v>
      </c>
      <c r="I43" s="16">
        <f>IFERROR(__xludf.DUMMYFUNCTION("""COMPUTED_VALUE"""),0.243478260869565)</f>
        <v>0.2434782609</v>
      </c>
      <c r="J43" s="16">
        <f>IFERROR(__xludf.DUMMYFUNCTION("""COMPUTED_VALUE"""),0.264150943396226)</f>
        <v>0.2641509434</v>
      </c>
      <c r="K43" s="16">
        <f>IFERROR(__xludf.DUMMYFUNCTION("""COMPUTED_VALUE"""),0.225490196078431)</f>
        <v>0.2254901961</v>
      </c>
      <c r="L43" s="16">
        <f>IFERROR(__xludf.DUMMYFUNCTION("""COMPUTED_VALUE"""),0.212765957446808)</f>
        <v>0.2127659574</v>
      </c>
      <c r="M43" s="16">
        <f>IFERROR(__xludf.DUMMYFUNCTION("""COMPUTED_VALUE"""),0.219780219780219)</f>
        <v>0.2197802198</v>
      </c>
      <c r="N43" s="16">
        <f>IFERROR(__xludf.DUMMYFUNCTION("""COMPUTED_VALUE"""),0.246753246753246)</f>
        <v>0.2467532468</v>
      </c>
      <c r="O43" s="16">
        <f>IFERROR(__xludf.DUMMYFUNCTION("""COMPUTED_VALUE"""),0.270833333333333)</f>
        <v>0.2708333333</v>
      </c>
      <c r="P43" s="16">
        <f>IFERROR(__xludf.DUMMYFUNCTION("""COMPUTED_VALUE"""),0.0833333333333333)</f>
        <v>0.08333333333</v>
      </c>
      <c r="Q43" s="16">
        <f>IFERROR(__xludf.DUMMYFUNCTION("""COMPUTED_VALUE"""),0.0)</f>
        <v>0</v>
      </c>
      <c r="R43" s="16">
        <f>IFERROR(__xludf.DUMMYFUNCTION("""COMPUTED_VALUE"""),0.0)</f>
        <v>0</v>
      </c>
      <c r="S43" s="16">
        <f>IFERROR(__xludf.DUMMYFUNCTION("""COMPUTED_VALUE"""),0.0)</f>
        <v>0</v>
      </c>
      <c r="T43" s="16">
        <f>IFERROR(__xludf.DUMMYFUNCTION("""COMPUTED_VALUE"""),0.0)</f>
        <v>0</v>
      </c>
      <c r="U43" s="16">
        <f>IFERROR(__xludf.DUMMYFUNCTION("""COMPUTED_VALUE"""),0.0)</f>
        <v>0</v>
      </c>
      <c r="V43" s="16">
        <f>IFERROR(__xludf.DUMMYFUNCTION("""COMPUTED_VALUE"""),0.0)</f>
        <v>0</v>
      </c>
      <c r="W43" s="16">
        <f>IFERROR(__xludf.DUMMYFUNCTION("""COMPUTED_VALUE"""),0.0)</f>
        <v>0</v>
      </c>
      <c r="X43" s="16">
        <f>IFERROR(__xludf.DUMMYFUNCTION("""COMPUTED_VALUE"""),0.0)</f>
        <v>0</v>
      </c>
      <c r="Y43" s="16">
        <f>IFERROR(__xludf.DUMMYFUNCTION("""COMPUTED_VALUE"""),0.0)</f>
        <v>0</v>
      </c>
      <c r="Z43" s="16">
        <f>IFERROR(__xludf.DUMMYFUNCTION("""COMPUTED_VALUE"""),0.0)</f>
        <v>0</v>
      </c>
      <c r="AA43" s="16">
        <f>IFERROR(__xludf.DUMMYFUNCTION("""COMPUTED_VALUE"""),0.0)</f>
        <v>0</v>
      </c>
      <c r="AB43" s="16">
        <f>IFERROR(__xludf.DUMMYFUNCTION("""COMPUTED_VALUE"""),0.0)</f>
        <v>0</v>
      </c>
      <c r="AC43" s="16">
        <f>IFERROR(__xludf.DUMMYFUNCTION("""COMPUTED_VALUE"""),0.0)</f>
        <v>0</v>
      </c>
      <c r="AD43" s="16">
        <f>IFERROR(__xludf.DUMMYFUNCTION("""COMPUTED_VALUE"""),0.0)</f>
        <v>0</v>
      </c>
      <c r="AE43" s="16">
        <f>IFERROR(__xludf.DUMMYFUNCTION("""COMPUTED_VALUE"""),0.0)</f>
        <v>0</v>
      </c>
      <c r="AF43" s="16">
        <f>IFERROR(__xludf.DUMMYFUNCTION("""COMPUTED_VALUE"""),0.0)</f>
        <v>0</v>
      </c>
      <c r="AG43" s="16">
        <f>IFERROR(__xludf.DUMMYFUNCTION("""COMPUTED_VALUE"""),0.0)</f>
        <v>0</v>
      </c>
      <c r="AH43" s="16">
        <f>IFERROR(__xludf.DUMMYFUNCTION("""COMPUTED_VALUE"""),0.0)</f>
        <v>0</v>
      </c>
    </row>
    <row r="44">
      <c r="A44" s="16" t="str">
        <f>IFERROR(__xludf.DUMMYFUNCTION("""COMPUTED_VALUE"""),"234ed47144507d63e9a903acfe37512c24bc9290")</f>
        <v>234ed47144507d63e9a903acfe37512c24bc9290</v>
      </c>
      <c r="B44" s="16" t="str">
        <f>IFERROR(__xludf.DUMMYFUNCTION("""COMPUTED_VALUE"""),"Twists of Love &amp; Revenge")</f>
        <v>Twists of Love &amp; Revenge</v>
      </c>
      <c r="C44" s="16" t="str">
        <f>IFERROR(__xludf.DUMMYFUNCTION("""COMPUTED_VALUE"""),"Romantasy")</f>
        <v>Romantasy</v>
      </c>
      <c r="D44" s="16">
        <f>IFERROR(__xludf.DUMMYFUNCTION("""COMPUTED_VALUE"""),7449.0)</f>
        <v>7449</v>
      </c>
      <c r="E44" s="16">
        <f>IFERROR(__xludf.DUMMYFUNCTION("""COMPUTED_VALUE"""),0.952745334944287)</f>
        <v>0.9527453349</v>
      </c>
      <c r="F44" s="16">
        <f>IFERROR(__xludf.DUMMYFUNCTION("""COMPUTED_VALUE"""),0.711504899986575)</f>
        <v>0.7115049</v>
      </c>
      <c r="G44" s="16">
        <f>IFERROR(__xludf.DUMMYFUNCTION("""COMPUTED_VALUE"""),0.657537924553631)</f>
        <v>0.6575379246</v>
      </c>
      <c r="H44" s="16">
        <f>IFERROR(__xludf.DUMMYFUNCTION("""COMPUTED_VALUE"""),0.610685998120553)</f>
        <v>0.6106859981</v>
      </c>
      <c r="I44" s="16">
        <f>IFERROR(__xludf.DUMMYFUNCTION("""COMPUTED_VALUE"""),0.583031279366357)</f>
        <v>0.5830312794</v>
      </c>
      <c r="J44" s="16">
        <f>IFERROR(__xludf.DUMMYFUNCTION("""COMPUTED_VALUE"""),0.565310779970465)</f>
        <v>0.56531078</v>
      </c>
      <c r="K44" s="16">
        <f>IFERROR(__xludf.DUMMYFUNCTION("""COMPUTED_VALUE"""),0.55096011816839)</f>
        <v>0.5509601182</v>
      </c>
      <c r="L44" s="16">
        <f>IFERROR(__xludf.DUMMYFUNCTION("""COMPUTED_VALUE"""),0.537129045253122)</f>
        <v>0.5371290453</v>
      </c>
      <c r="M44" s="16">
        <f>IFERROR(__xludf.DUMMYFUNCTION("""COMPUTED_VALUE"""),0.527262959978511)</f>
        <v>0.52726296</v>
      </c>
      <c r="N44" s="16">
        <f>IFERROR(__xludf.DUMMYFUNCTION("""COMPUTED_VALUE"""),0.520827734479978)</f>
        <v>0.5208277345</v>
      </c>
      <c r="O44" s="16">
        <f>IFERROR(__xludf.DUMMYFUNCTION("""COMPUTED_VALUE"""),0.49663435648896)</f>
        <v>0.4966343565</v>
      </c>
      <c r="P44" s="16">
        <f>IFERROR(__xludf.DUMMYFUNCTION("""COMPUTED_VALUE"""),0.450768815753979)</f>
        <v>0.4507688158</v>
      </c>
      <c r="Q44" s="16">
        <f>IFERROR(__xludf.DUMMYFUNCTION("""COMPUTED_VALUE"""),0.372370742298819)</f>
        <v>0.3723707423</v>
      </c>
      <c r="R44" s="16">
        <f>IFERROR(__xludf.DUMMYFUNCTION("""COMPUTED_VALUE"""),0.302074802074802)</f>
        <v>0.3020748021</v>
      </c>
      <c r="S44" s="16">
        <f>IFERROR(__xludf.DUMMYFUNCTION("""COMPUTED_VALUE"""),0.274646921705745)</f>
        <v>0.2746469217</v>
      </c>
      <c r="T44" s="16">
        <f>IFERROR(__xludf.DUMMYFUNCTION("""COMPUTED_VALUE"""),0.259718775847808)</f>
        <v>0.2597187758</v>
      </c>
      <c r="U44" s="16">
        <f>IFERROR(__xludf.DUMMYFUNCTION("""COMPUTED_VALUE"""),0.237278761061946)</f>
        <v>0.2372787611</v>
      </c>
      <c r="V44" s="16">
        <f>IFERROR(__xludf.DUMMYFUNCTION("""COMPUTED_VALUE"""),0.22013201320132)</f>
        <v>0.2201320132</v>
      </c>
      <c r="W44" s="16">
        <f>IFERROR(__xludf.DUMMYFUNCTION("""COMPUTED_VALUE"""),0.207406149142177)</f>
        <v>0.2074061491</v>
      </c>
      <c r="X44" s="16">
        <f>IFERROR(__xludf.DUMMYFUNCTION("""COMPUTED_VALUE"""),0.189824236817761)</f>
        <v>0.1898242368</v>
      </c>
      <c r="Y44" s="16">
        <f>IFERROR(__xludf.DUMMYFUNCTION("""COMPUTED_VALUE"""),0.185213414634146)</f>
        <v>0.1852134146</v>
      </c>
      <c r="Z44" s="16">
        <f>IFERROR(__xludf.DUMMYFUNCTION("""COMPUTED_VALUE"""),0.169453959298811)</f>
        <v>0.1694539593</v>
      </c>
      <c r="AA44" s="16">
        <f>IFERROR(__xludf.DUMMYFUNCTION("""COMPUTED_VALUE"""),0.158264462809917)</f>
        <v>0.1582644628</v>
      </c>
      <c r="AB44" s="16">
        <f>IFERROR(__xludf.DUMMYFUNCTION("""COMPUTED_VALUE"""),0.139316239316239)</f>
        <v>0.1393162393</v>
      </c>
      <c r="AC44" s="16">
        <f>IFERROR(__xludf.DUMMYFUNCTION("""COMPUTED_VALUE"""),0.123718712753277)</f>
        <v>0.1237187128</v>
      </c>
      <c r="AD44" s="16">
        <f>IFERROR(__xludf.DUMMYFUNCTION("""COMPUTED_VALUE"""),0.0705792098197161)</f>
        <v>0.07057920982</v>
      </c>
      <c r="AE44" s="16">
        <f>IFERROR(__xludf.DUMMYFUNCTION("""COMPUTED_VALUE"""),0.0414937759336099)</f>
        <v>0.04149377593</v>
      </c>
      <c r="AF44" s="16">
        <f>IFERROR(__xludf.DUMMYFUNCTION("""COMPUTED_VALUE"""),0.0219298245614035)</f>
        <v>0.02192982456</v>
      </c>
      <c r="AG44" s="16">
        <f>IFERROR(__xludf.DUMMYFUNCTION("""COMPUTED_VALUE"""),0.0)</f>
        <v>0</v>
      </c>
      <c r="AH44" s="16">
        <f>IFERROR(__xludf.DUMMYFUNCTION("""COMPUTED_VALUE"""),0.0)</f>
        <v>0</v>
      </c>
    </row>
    <row r="45">
      <c r="A45" s="16" t="str">
        <f>IFERROR(__xludf.DUMMYFUNCTION("""COMPUTED_VALUE"""),"239987644f409ac822be4ca9051a98eb8bf7e766")</f>
        <v>239987644f409ac822be4ca9051a98eb8bf7e766</v>
      </c>
      <c r="B45" s="16" t="str">
        <f>IFERROR(__xludf.DUMMYFUNCTION("""COMPUTED_VALUE"""),"The Silent Rebirth")</f>
        <v>The Silent Rebirth</v>
      </c>
      <c r="C45" s="16" t="str">
        <f>IFERROR(__xludf.DUMMYFUNCTION("""COMPUTED_VALUE"""),"Romantasy")</f>
        <v>Romantasy</v>
      </c>
      <c r="D45" s="16">
        <f>IFERROR(__xludf.DUMMYFUNCTION("""COMPUTED_VALUE"""),3072.0)</f>
        <v>3072</v>
      </c>
      <c r="E45" s="16">
        <f>IFERROR(__xludf.DUMMYFUNCTION("""COMPUTED_VALUE"""),0.961588541666666)</f>
        <v>0.9615885417</v>
      </c>
      <c r="F45" s="16">
        <f>IFERROR(__xludf.DUMMYFUNCTION("""COMPUTED_VALUE"""),0.6162109375)</f>
        <v>0.6162109375</v>
      </c>
      <c r="G45" s="16">
        <f>IFERROR(__xludf.DUMMYFUNCTION("""COMPUTED_VALUE"""),0.5556640625)</f>
        <v>0.5556640625</v>
      </c>
      <c r="H45" s="16">
        <f>IFERROR(__xludf.DUMMYFUNCTION("""COMPUTED_VALUE"""),0.521484375)</f>
        <v>0.521484375</v>
      </c>
      <c r="I45" s="16">
        <f>IFERROR(__xludf.DUMMYFUNCTION("""COMPUTED_VALUE"""),0.505208333333333)</f>
        <v>0.5052083333</v>
      </c>
      <c r="J45" s="16">
        <f>IFERROR(__xludf.DUMMYFUNCTION("""COMPUTED_VALUE"""),0.477694562031911)</f>
        <v>0.477694562</v>
      </c>
      <c r="K45" s="16">
        <f>IFERROR(__xludf.DUMMYFUNCTION("""COMPUTED_VALUE"""),0.457328990228013)</f>
        <v>0.4573289902</v>
      </c>
      <c r="L45" s="16">
        <f>IFERROR(__xludf.DUMMYFUNCTION("""COMPUTED_VALUE"""),0.447051156728576)</f>
        <v>0.4470511567</v>
      </c>
      <c r="M45" s="16">
        <f>IFERROR(__xludf.DUMMYFUNCTION("""COMPUTED_VALUE"""),0.436298468556533)</f>
        <v>0.4362984686</v>
      </c>
      <c r="N45" s="16">
        <f>IFERROR(__xludf.DUMMYFUNCTION("""COMPUTED_VALUE"""),0.426523297491039)</f>
        <v>0.4265232975</v>
      </c>
      <c r="O45" s="16">
        <f>IFERROR(__xludf.DUMMYFUNCTION("""COMPUTED_VALUE"""),0.412014365001632)</f>
        <v>0.412014365</v>
      </c>
      <c r="P45" s="16">
        <f>IFERROR(__xludf.DUMMYFUNCTION("""COMPUTED_VALUE"""),0.360747051114023)</f>
        <v>0.3607470511</v>
      </c>
      <c r="Q45" s="16">
        <f>IFERROR(__xludf.DUMMYFUNCTION("""COMPUTED_VALUE"""),0.277741083223249)</f>
        <v>0.2777410832</v>
      </c>
      <c r="R45" s="16">
        <f>IFERROR(__xludf.DUMMYFUNCTION("""COMPUTED_VALUE"""),0.242657856093979)</f>
        <v>0.2426578561</v>
      </c>
      <c r="S45" s="16">
        <f>IFERROR(__xludf.DUMMYFUNCTION("""COMPUTED_VALUE"""),0.209510357815442)</f>
        <v>0.2095103578</v>
      </c>
      <c r="T45" s="16">
        <f>IFERROR(__xludf.DUMMYFUNCTION("""COMPUTED_VALUE"""),0.183520599250936)</f>
        <v>0.1835205993</v>
      </c>
      <c r="U45" s="16">
        <f>IFERROR(__xludf.DUMMYFUNCTION("""COMPUTED_VALUE"""),0.168821839080459)</f>
        <v>0.1688218391</v>
      </c>
      <c r="V45" s="16">
        <f>IFERROR(__xludf.DUMMYFUNCTION("""COMPUTED_VALUE"""),0.160070360598065)</f>
        <v>0.1600703606</v>
      </c>
      <c r="W45" s="16">
        <f>IFERROR(__xludf.DUMMYFUNCTION("""COMPUTED_VALUE"""),0.121387283236994)</f>
        <v>0.1213872832</v>
      </c>
      <c r="X45" s="16">
        <f>IFERROR(__xludf.DUMMYFUNCTION("""COMPUTED_VALUE"""),0.0916808149405772)</f>
        <v>0.09168081494</v>
      </c>
      <c r="Y45" s="16">
        <f>IFERROR(__xludf.DUMMYFUNCTION("""COMPUTED_VALUE"""),0.0482315112540192)</f>
        <v>0.04823151125</v>
      </c>
      <c r="Z45" s="16">
        <f>IFERROR(__xludf.DUMMYFUNCTION("""COMPUTED_VALUE"""),0.0)</f>
        <v>0</v>
      </c>
      <c r="AA45" s="16">
        <f>IFERROR(__xludf.DUMMYFUNCTION("""COMPUTED_VALUE"""),0.0)</f>
        <v>0</v>
      </c>
      <c r="AB45" s="16">
        <f>IFERROR(__xludf.DUMMYFUNCTION("""COMPUTED_VALUE"""),0.0)</f>
        <v>0</v>
      </c>
      <c r="AC45" s="16">
        <f>IFERROR(__xludf.DUMMYFUNCTION("""COMPUTED_VALUE"""),0.0)</f>
        <v>0</v>
      </c>
      <c r="AD45" s="16">
        <f>IFERROR(__xludf.DUMMYFUNCTION("""COMPUTED_VALUE"""),0.0)</f>
        <v>0</v>
      </c>
      <c r="AE45" s="16">
        <f>IFERROR(__xludf.DUMMYFUNCTION("""COMPUTED_VALUE"""),0.0)</f>
        <v>0</v>
      </c>
      <c r="AF45" s="16">
        <f>IFERROR(__xludf.DUMMYFUNCTION("""COMPUTED_VALUE"""),0.0)</f>
        <v>0</v>
      </c>
      <c r="AG45" s="16">
        <f>IFERROR(__xludf.DUMMYFUNCTION("""COMPUTED_VALUE"""),0.0)</f>
        <v>0</v>
      </c>
      <c r="AH45" s="16">
        <f>IFERROR(__xludf.DUMMYFUNCTION("""COMPUTED_VALUE"""),0.0)</f>
        <v>0</v>
      </c>
    </row>
    <row r="46">
      <c r="A46" s="16" t="str">
        <f>IFERROR(__xludf.DUMMYFUNCTION("""COMPUTED_VALUE"""),"239fafc880752526fba110a11c49b101aec7192f")</f>
        <v>239fafc880752526fba110a11c49b101aec7192f</v>
      </c>
      <c r="B46" s="16" t="str">
        <f>IFERROR(__xludf.DUMMYFUNCTION("""COMPUTED_VALUE"""),"Mama's Lil Kings")</f>
        <v>Mama's Lil Kings</v>
      </c>
      <c r="C46" s="16" t="str">
        <f>IFERROR(__xludf.DUMMYFUNCTION("""COMPUTED_VALUE"""),"Drama")</f>
        <v>Drama</v>
      </c>
      <c r="D46" s="16">
        <f>IFERROR(__xludf.DUMMYFUNCTION("""COMPUTED_VALUE"""),64.0)</f>
        <v>64</v>
      </c>
      <c r="E46" s="16">
        <f>IFERROR(__xludf.DUMMYFUNCTION("""COMPUTED_VALUE"""),0.96875)</f>
        <v>0.96875</v>
      </c>
      <c r="F46" s="16">
        <f>IFERROR(__xludf.DUMMYFUNCTION("""COMPUTED_VALUE"""),0.140625)</f>
        <v>0.140625</v>
      </c>
      <c r="G46" s="16">
        <f>IFERROR(__xludf.DUMMYFUNCTION("""COMPUTED_VALUE"""),0.140625)</f>
        <v>0.140625</v>
      </c>
      <c r="H46" s="16">
        <f>IFERROR(__xludf.DUMMYFUNCTION("""COMPUTED_VALUE"""),0.09375)</f>
        <v>0.09375</v>
      </c>
      <c r="I46" s="16">
        <f>IFERROR(__xludf.DUMMYFUNCTION("""COMPUTED_VALUE"""),0.078125)</f>
        <v>0.078125</v>
      </c>
      <c r="J46" s="16">
        <f>IFERROR(__xludf.DUMMYFUNCTION("""COMPUTED_VALUE"""),0.078125)</f>
        <v>0.078125</v>
      </c>
      <c r="K46" s="16">
        <f>IFERROR(__xludf.DUMMYFUNCTION("""COMPUTED_VALUE"""),0.0793650793650793)</f>
        <v>0.07936507937</v>
      </c>
      <c r="L46" s="16">
        <f>IFERROR(__xludf.DUMMYFUNCTION("""COMPUTED_VALUE"""),0.0793650793650793)</f>
        <v>0.07936507937</v>
      </c>
      <c r="M46" s="16">
        <f>IFERROR(__xludf.DUMMYFUNCTION("""COMPUTED_VALUE"""),0.0634920634920634)</f>
        <v>0.06349206349</v>
      </c>
      <c r="N46" s="16">
        <f>IFERROR(__xludf.DUMMYFUNCTION("""COMPUTED_VALUE"""),0.0793650793650793)</f>
        <v>0.07936507937</v>
      </c>
      <c r="O46" s="16">
        <f>IFERROR(__xludf.DUMMYFUNCTION("""COMPUTED_VALUE"""),0.0892857142857142)</f>
        <v>0.08928571429</v>
      </c>
      <c r="P46" s="16">
        <f>IFERROR(__xludf.DUMMYFUNCTION("""COMPUTED_VALUE"""),0.037037037037037)</f>
        <v>0.03703703704</v>
      </c>
      <c r="Q46" s="16">
        <f>IFERROR(__xludf.DUMMYFUNCTION("""COMPUTED_VALUE"""),0.037037037037037)</f>
        <v>0.03703703704</v>
      </c>
      <c r="R46" s="16">
        <f>IFERROR(__xludf.DUMMYFUNCTION("""COMPUTED_VALUE"""),0.0377358490566037)</f>
        <v>0.03773584906</v>
      </c>
      <c r="S46" s="16">
        <f>IFERROR(__xludf.DUMMYFUNCTION("""COMPUTED_VALUE"""),0.04)</f>
        <v>0.04</v>
      </c>
      <c r="T46" s="16">
        <f>IFERROR(__xludf.DUMMYFUNCTION("""COMPUTED_VALUE"""),0.04)</f>
        <v>0.04</v>
      </c>
      <c r="U46" s="16">
        <f>IFERROR(__xludf.DUMMYFUNCTION("""COMPUTED_VALUE"""),0.0444444444444444)</f>
        <v>0.04444444444</v>
      </c>
      <c r="V46" s="16">
        <f>IFERROR(__xludf.DUMMYFUNCTION("""COMPUTED_VALUE"""),0.05)</f>
        <v>0.05</v>
      </c>
      <c r="W46" s="16">
        <f>IFERROR(__xludf.DUMMYFUNCTION("""COMPUTED_VALUE"""),0.0571428571428571)</f>
        <v>0.05714285714</v>
      </c>
      <c r="X46" s="16">
        <f>IFERROR(__xludf.DUMMYFUNCTION("""COMPUTED_VALUE"""),0.0357142857142857)</f>
        <v>0.03571428571</v>
      </c>
      <c r="Y46" s="16">
        <f>IFERROR(__xludf.DUMMYFUNCTION("""COMPUTED_VALUE"""),0.074074074074074)</f>
        <v>0.07407407407</v>
      </c>
      <c r="Z46" s="16">
        <f>IFERROR(__xludf.DUMMYFUNCTION("""COMPUTED_VALUE"""),0.0833333333333333)</f>
        <v>0.08333333333</v>
      </c>
      <c r="AA46" s="16">
        <f>IFERROR(__xludf.DUMMYFUNCTION("""COMPUTED_VALUE"""),0.0869565217391304)</f>
        <v>0.08695652174</v>
      </c>
      <c r="AB46" s="16">
        <f>IFERROR(__xludf.DUMMYFUNCTION("""COMPUTED_VALUE"""),0.0909090909090909)</f>
        <v>0.09090909091</v>
      </c>
      <c r="AC46" s="16">
        <f>IFERROR(__xludf.DUMMYFUNCTION("""COMPUTED_VALUE"""),0.0476190476190476)</f>
        <v>0.04761904762</v>
      </c>
      <c r="AD46" s="16">
        <f>IFERROR(__xludf.DUMMYFUNCTION("""COMPUTED_VALUE"""),0.0476190476190476)</f>
        <v>0.04761904762</v>
      </c>
      <c r="AE46" s="16">
        <f>IFERROR(__xludf.DUMMYFUNCTION("""COMPUTED_VALUE"""),0.0)</f>
        <v>0</v>
      </c>
      <c r="AF46" s="16">
        <f>IFERROR(__xludf.DUMMYFUNCTION("""COMPUTED_VALUE"""),0.0)</f>
        <v>0</v>
      </c>
      <c r="AG46" s="16">
        <f>IFERROR(__xludf.DUMMYFUNCTION("""COMPUTED_VALUE"""),0.0)</f>
        <v>0</v>
      </c>
      <c r="AH46" s="16">
        <f>IFERROR(__xludf.DUMMYFUNCTION("""COMPUTED_VALUE"""),0.0)</f>
        <v>0</v>
      </c>
    </row>
    <row r="47">
      <c r="A47" s="16" t="str">
        <f>IFERROR(__xludf.DUMMYFUNCTION("""COMPUTED_VALUE"""),"23a0bb3d5deb8d4707bdb34175170e288d724c97")</f>
        <v>23a0bb3d5deb8d4707bdb34175170e288d724c97</v>
      </c>
      <c r="B47" s="16" t="str">
        <f>IFERROR(__xludf.DUMMYFUNCTION("""COMPUTED_VALUE"""),"System of Super Tech")</f>
        <v>System of Super Tech</v>
      </c>
      <c r="C47" s="16" t="str">
        <f>IFERROR(__xludf.DUMMYFUNCTION("""COMPUTED_VALUE"""),"System and Superpower")</f>
        <v>System and Superpower</v>
      </c>
      <c r="D47" s="16">
        <f>IFERROR(__xludf.DUMMYFUNCTION("""COMPUTED_VALUE"""),22.0)</f>
        <v>22</v>
      </c>
      <c r="E47" s="16">
        <f>IFERROR(__xludf.DUMMYFUNCTION("""COMPUTED_VALUE"""),1.0)</f>
        <v>1</v>
      </c>
      <c r="F47" s="16">
        <f>IFERROR(__xludf.DUMMYFUNCTION("""COMPUTED_VALUE"""),0.409090909090909)</f>
        <v>0.4090909091</v>
      </c>
      <c r="G47" s="16">
        <f>IFERROR(__xludf.DUMMYFUNCTION("""COMPUTED_VALUE"""),0.318181818181818)</f>
        <v>0.3181818182</v>
      </c>
      <c r="H47" s="16">
        <f>IFERROR(__xludf.DUMMYFUNCTION("""COMPUTED_VALUE"""),0.272727272727272)</f>
        <v>0.2727272727</v>
      </c>
      <c r="I47" s="16">
        <f>IFERROR(__xludf.DUMMYFUNCTION("""COMPUTED_VALUE"""),0.227272727272727)</f>
        <v>0.2272727273</v>
      </c>
      <c r="J47" s="16">
        <f>IFERROR(__xludf.DUMMYFUNCTION("""COMPUTED_VALUE"""),0.181818181818181)</f>
        <v>0.1818181818</v>
      </c>
      <c r="K47" s="16">
        <f>IFERROR(__xludf.DUMMYFUNCTION("""COMPUTED_VALUE"""),0.136363636363636)</f>
        <v>0.1363636364</v>
      </c>
      <c r="L47" s="16">
        <f>IFERROR(__xludf.DUMMYFUNCTION("""COMPUTED_VALUE"""),0.142857142857142)</f>
        <v>0.1428571429</v>
      </c>
      <c r="M47" s="16">
        <f>IFERROR(__xludf.DUMMYFUNCTION("""COMPUTED_VALUE"""),0.142857142857142)</f>
        <v>0.1428571429</v>
      </c>
      <c r="N47" s="16">
        <f>IFERROR(__xludf.DUMMYFUNCTION("""COMPUTED_VALUE"""),0.105263157894736)</f>
        <v>0.1052631579</v>
      </c>
      <c r="O47" s="16">
        <f>IFERROR(__xludf.DUMMYFUNCTION("""COMPUTED_VALUE"""),0.0588235294117647)</f>
        <v>0.05882352941</v>
      </c>
      <c r="P47" s="16">
        <f>IFERROR(__xludf.DUMMYFUNCTION("""COMPUTED_VALUE"""),0.0)</f>
        <v>0</v>
      </c>
      <c r="Q47" s="16">
        <f>IFERROR(__xludf.DUMMYFUNCTION("""COMPUTED_VALUE"""),0.0)</f>
        <v>0</v>
      </c>
      <c r="R47" s="16">
        <f>IFERROR(__xludf.DUMMYFUNCTION("""COMPUTED_VALUE"""),0.0)</f>
        <v>0</v>
      </c>
      <c r="S47" s="16">
        <f>IFERROR(__xludf.DUMMYFUNCTION("""COMPUTED_VALUE"""),0.0)</f>
        <v>0</v>
      </c>
      <c r="T47" s="16">
        <f>IFERROR(__xludf.DUMMYFUNCTION("""COMPUTED_VALUE"""),0.0)</f>
        <v>0</v>
      </c>
      <c r="U47" s="16">
        <f>IFERROR(__xludf.DUMMYFUNCTION("""COMPUTED_VALUE"""),0.0)</f>
        <v>0</v>
      </c>
      <c r="V47" s="16">
        <f>IFERROR(__xludf.DUMMYFUNCTION("""COMPUTED_VALUE"""),0.0)</f>
        <v>0</v>
      </c>
      <c r="W47" s="16">
        <f>IFERROR(__xludf.DUMMYFUNCTION("""COMPUTED_VALUE"""),0.0)</f>
        <v>0</v>
      </c>
      <c r="X47" s="16">
        <f>IFERROR(__xludf.DUMMYFUNCTION("""COMPUTED_VALUE"""),0.0)</f>
        <v>0</v>
      </c>
      <c r="Y47" s="16">
        <f>IFERROR(__xludf.DUMMYFUNCTION("""COMPUTED_VALUE"""),0.0)</f>
        <v>0</v>
      </c>
      <c r="Z47" s="16">
        <f>IFERROR(__xludf.DUMMYFUNCTION("""COMPUTED_VALUE"""),0.0)</f>
        <v>0</v>
      </c>
      <c r="AA47" s="16">
        <f>IFERROR(__xludf.DUMMYFUNCTION("""COMPUTED_VALUE"""),0.0)</f>
        <v>0</v>
      </c>
      <c r="AB47" s="16">
        <f>IFERROR(__xludf.DUMMYFUNCTION("""COMPUTED_VALUE"""),0.0)</f>
        <v>0</v>
      </c>
      <c r="AC47" s="16">
        <f>IFERROR(__xludf.DUMMYFUNCTION("""COMPUTED_VALUE"""),0.0)</f>
        <v>0</v>
      </c>
      <c r="AD47" s="16">
        <f>IFERROR(__xludf.DUMMYFUNCTION("""COMPUTED_VALUE"""),0.0)</f>
        <v>0</v>
      </c>
      <c r="AE47" s="16">
        <f>IFERROR(__xludf.DUMMYFUNCTION("""COMPUTED_VALUE"""),0.0)</f>
        <v>0</v>
      </c>
      <c r="AF47" s="16">
        <f>IFERROR(__xludf.DUMMYFUNCTION("""COMPUTED_VALUE"""),0.0)</f>
        <v>0</v>
      </c>
      <c r="AG47" s="16">
        <f>IFERROR(__xludf.DUMMYFUNCTION("""COMPUTED_VALUE"""),0.0)</f>
        <v>0</v>
      </c>
      <c r="AH47" s="16">
        <f>IFERROR(__xludf.DUMMYFUNCTION("""COMPUTED_VALUE"""),0.0)</f>
        <v>0</v>
      </c>
    </row>
    <row r="48">
      <c r="A48" s="16" t="str">
        <f>IFERROR(__xludf.DUMMYFUNCTION("""COMPUTED_VALUE"""),"247dcedeaecc161909c6ddd57b599f4e38d758d8")</f>
        <v>247dcedeaecc161909c6ddd57b599f4e38d758d8</v>
      </c>
      <c r="B48" s="16" t="str">
        <f>IFERROR(__xludf.DUMMYFUNCTION("""COMPUTED_VALUE"""),"A Christmas of Betrayals")</f>
        <v>A Christmas of Betrayals</v>
      </c>
      <c r="C48" s="16" t="str">
        <f>IFERROR(__xludf.DUMMYFUNCTION("""COMPUTED_VALUE"""),"Romance")</f>
        <v>Romance</v>
      </c>
      <c r="D48" s="16">
        <f>IFERROR(__xludf.DUMMYFUNCTION("""COMPUTED_VALUE"""),132.0)</f>
        <v>132</v>
      </c>
      <c r="E48" s="16">
        <f>IFERROR(__xludf.DUMMYFUNCTION("""COMPUTED_VALUE"""),0.946969696969697)</f>
        <v>0.946969697</v>
      </c>
      <c r="F48" s="16">
        <f>IFERROR(__xludf.DUMMYFUNCTION("""COMPUTED_VALUE"""),0.606060606060606)</f>
        <v>0.6060606061</v>
      </c>
      <c r="G48" s="16">
        <f>IFERROR(__xludf.DUMMYFUNCTION("""COMPUTED_VALUE"""),0.545454545454545)</f>
        <v>0.5454545455</v>
      </c>
      <c r="H48" s="16">
        <f>IFERROR(__xludf.DUMMYFUNCTION("""COMPUTED_VALUE"""),0.492424242424242)</f>
        <v>0.4924242424</v>
      </c>
      <c r="I48" s="16">
        <f>IFERROR(__xludf.DUMMYFUNCTION("""COMPUTED_VALUE"""),0.393939393939393)</f>
        <v>0.3939393939</v>
      </c>
      <c r="J48" s="16">
        <f>IFERROR(__xludf.DUMMYFUNCTION("""COMPUTED_VALUE"""),0.401515151515151)</f>
        <v>0.4015151515</v>
      </c>
      <c r="K48" s="16">
        <f>IFERROR(__xludf.DUMMYFUNCTION("""COMPUTED_VALUE"""),0.371212121212121)</f>
        <v>0.3712121212</v>
      </c>
      <c r="L48" s="16">
        <f>IFERROR(__xludf.DUMMYFUNCTION("""COMPUTED_VALUE"""),0.348837209302325)</f>
        <v>0.3488372093</v>
      </c>
      <c r="M48" s="16">
        <f>IFERROR(__xludf.DUMMYFUNCTION("""COMPUTED_VALUE"""),0.3125)</f>
        <v>0.3125</v>
      </c>
      <c r="N48" s="16">
        <f>IFERROR(__xludf.DUMMYFUNCTION("""COMPUTED_VALUE"""),0.301587301587301)</f>
        <v>0.3015873016</v>
      </c>
      <c r="O48" s="16">
        <f>IFERROR(__xludf.DUMMYFUNCTION("""COMPUTED_VALUE"""),0.269841269841269)</f>
        <v>0.2698412698</v>
      </c>
      <c r="P48" s="16">
        <f>IFERROR(__xludf.DUMMYFUNCTION("""COMPUTED_VALUE"""),0.161290322580645)</f>
        <v>0.1612903226</v>
      </c>
      <c r="Q48" s="16">
        <f>IFERROR(__xludf.DUMMYFUNCTION("""COMPUTED_VALUE"""),0.126760563380281)</f>
        <v>0.1267605634</v>
      </c>
      <c r="R48" s="16">
        <f>IFERROR(__xludf.DUMMYFUNCTION("""COMPUTED_VALUE"""),0.0)</f>
        <v>0</v>
      </c>
      <c r="S48" s="16">
        <f>IFERROR(__xludf.DUMMYFUNCTION("""COMPUTED_VALUE"""),0.0)</f>
        <v>0</v>
      </c>
      <c r="T48" s="16">
        <f>IFERROR(__xludf.DUMMYFUNCTION("""COMPUTED_VALUE"""),0.0)</f>
        <v>0</v>
      </c>
      <c r="U48" s="16">
        <f>IFERROR(__xludf.DUMMYFUNCTION("""COMPUTED_VALUE"""),0.0)</f>
        <v>0</v>
      </c>
      <c r="V48" s="16">
        <f>IFERROR(__xludf.DUMMYFUNCTION("""COMPUTED_VALUE"""),0.0)</f>
        <v>0</v>
      </c>
      <c r="W48" s="16">
        <f>IFERROR(__xludf.DUMMYFUNCTION("""COMPUTED_VALUE"""),0.0)</f>
        <v>0</v>
      </c>
      <c r="X48" s="16">
        <f>IFERROR(__xludf.DUMMYFUNCTION("""COMPUTED_VALUE"""),0.0)</f>
        <v>0</v>
      </c>
      <c r="Y48" s="16">
        <f>IFERROR(__xludf.DUMMYFUNCTION("""COMPUTED_VALUE"""),0.0)</f>
        <v>0</v>
      </c>
      <c r="Z48" s="16">
        <f>IFERROR(__xludf.DUMMYFUNCTION("""COMPUTED_VALUE"""),0.0)</f>
        <v>0</v>
      </c>
      <c r="AA48" s="16">
        <f>IFERROR(__xludf.DUMMYFUNCTION("""COMPUTED_VALUE"""),0.0)</f>
        <v>0</v>
      </c>
      <c r="AB48" s="16">
        <f>IFERROR(__xludf.DUMMYFUNCTION("""COMPUTED_VALUE"""),0.0)</f>
        <v>0</v>
      </c>
      <c r="AC48" s="16">
        <f>IFERROR(__xludf.DUMMYFUNCTION("""COMPUTED_VALUE"""),0.0)</f>
        <v>0</v>
      </c>
      <c r="AD48" s="16">
        <f>IFERROR(__xludf.DUMMYFUNCTION("""COMPUTED_VALUE"""),0.0)</f>
        <v>0</v>
      </c>
      <c r="AE48" s="16">
        <f>IFERROR(__xludf.DUMMYFUNCTION("""COMPUTED_VALUE"""),0.0)</f>
        <v>0</v>
      </c>
      <c r="AF48" s="16">
        <f>IFERROR(__xludf.DUMMYFUNCTION("""COMPUTED_VALUE"""),0.0)</f>
        <v>0</v>
      </c>
      <c r="AG48" s="16">
        <f>IFERROR(__xludf.DUMMYFUNCTION("""COMPUTED_VALUE"""),0.0)</f>
        <v>0</v>
      </c>
      <c r="AH48" s="16">
        <f>IFERROR(__xludf.DUMMYFUNCTION("""COMPUTED_VALUE"""),0.0)</f>
        <v>0</v>
      </c>
    </row>
    <row r="49">
      <c r="A49" s="16" t="str">
        <f>IFERROR(__xludf.DUMMYFUNCTION("""COMPUTED_VALUE"""),"248aae390e84177edc04ecc06fac6c17aed375ff")</f>
        <v>248aae390e84177edc04ecc06fac6c17aed375ff</v>
      </c>
      <c r="B49" s="16" t="str">
        <f>IFERROR(__xludf.DUMMYFUNCTION("""COMPUTED_VALUE"""),"Silver Onyx: Dragonbound")</f>
        <v>Silver Onyx: Dragonbound</v>
      </c>
      <c r="C49" s="16" t="str">
        <f>IFERROR(__xludf.DUMMYFUNCTION("""COMPUTED_VALUE"""),"Romantasy")</f>
        <v>Romantasy</v>
      </c>
      <c r="D49" s="16">
        <f>IFERROR(__xludf.DUMMYFUNCTION("""COMPUTED_VALUE"""),233.0)</f>
        <v>233</v>
      </c>
      <c r="E49" s="16">
        <f>IFERROR(__xludf.DUMMYFUNCTION("""COMPUTED_VALUE"""),0.978540772532188)</f>
        <v>0.9785407725</v>
      </c>
      <c r="F49" s="16">
        <f>IFERROR(__xludf.DUMMYFUNCTION("""COMPUTED_VALUE"""),0.609442060085836)</f>
        <v>0.6094420601</v>
      </c>
      <c r="G49" s="16">
        <f>IFERROR(__xludf.DUMMYFUNCTION("""COMPUTED_VALUE"""),0.566523605150214)</f>
        <v>0.5665236052</v>
      </c>
      <c r="H49" s="16">
        <f>IFERROR(__xludf.DUMMYFUNCTION("""COMPUTED_VALUE"""),0.523605150214592)</f>
        <v>0.5236051502</v>
      </c>
      <c r="I49" s="16">
        <f>IFERROR(__xludf.DUMMYFUNCTION("""COMPUTED_VALUE"""),0.515021459227467)</f>
        <v>0.5150214592</v>
      </c>
      <c r="J49" s="16">
        <f>IFERROR(__xludf.DUMMYFUNCTION("""COMPUTED_VALUE"""),0.5)</f>
        <v>0.5</v>
      </c>
      <c r="K49" s="16">
        <f>IFERROR(__xludf.DUMMYFUNCTION("""COMPUTED_VALUE"""),0.504310344827586)</f>
        <v>0.5043103448</v>
      </c>
      <c r="L49" s="16">
        <f>IFERROR(__xludf.DUMMYFUNCTION("""COMPUTED_VALUE"""),0.502183406113537)</f>
        <v>0.5021834061</v>
      </c>
      <c r="M49" s="16">
        <f>IFERROR(__xludf.DUMMYFUNCTION("""COMPUTED_VALUE"""),0.478070175438596)</f>
        <v>0.4780701754</v>
      </c>
      <c r="N49" s="16">
        <f>IFERROR(__xludf.DUMMYFUNCTION("""COMPUTED_VALUE"""),0.481981981981982)</f>
        <v>0.481981982</v>
      </c>
      <c r="O49" s="16">
        <f>IFERROR(__xludf.DUMMYFUNCTION("""COMPUTED_VALUE"""),0.54054054054054)</f>
        <v>0.5405405405</v>
      </c>
      <c r="P49" s="16">
        <f>IFERROR(__xludf.DUMMYFUNCTION("""COMPUTED_VALUE"""),0.583333333333333)</f>
        <v>0.5833333333</v>
      </c>
      <c r="Q49" s="16">
        <f>IFERROR(__xludf.DUMMYFUNCTION("""COMPUTED_VALUE"""),0.0)</f>
        <v>0</v>
      </c>
      <c r="R49" s="16">
        <f>IFERROR(__xludf.DUMMYFUNCTION("""COMPUTED_VALUE"""),0.0)</f>
        <v>0</v>
      </c>
      <c r="S49" s="16">
        <f>IFERROR(__xludf.DUMMYFUNCTION("""COMPUTED_VALUE"""),0.0)</f>
        <v>0</v>
      </c>
      <c r="T49" s="16">
        <f>IFERROR(__xludf.DUMMYFUNCTION("""COMPUTED_VALUE"""),0.0)</f>
        <v>0</v>
      </c>
      <c r="U49" s="16">
        <f>IFERROR(__xludf.DUMMYFUNCTION("""COMPUTED_VALUE"""),0.0)</f>
        <v>0</v>
      </c>
      <c r="V49" s="16">
        <f>IFERROR(__xludf.DUMMYFUNCTION("""COMPUTED_VALUE"""),0.0)</f>
        <v>0</v>
      </c>
      <c r="W49" s="16">
        <f>IFERROR(__xludf.DUMMYFUNCTION("""COMPUTED_VALUE"""),0.0)</f>
        <v>0</v>
      </c>
      <c r="X49" s="16">
        <f>IFERROR(__xludf.DUMMYFUNCTION("""COMPUTED_VALUE"""),0.0)</f>
        <v>0</v>
      </c>
      <c r="Y49" s="16">
        <f>IFERROR(__xludf.DUMMYFUNCTION("""COMPUTED_VALUE"""),0.0)</f>
        <v>0</v>
      </c>
      <c r="Z49" s="16">
        <f>IFERROR(__xludf.DUMMYFUNCTION("""COMPUTED_VALUE"""),0.0)</f>
        <v>0</v>
      </c>
      <c r="AA49" s="16">
        <f>IFERROR(__xludf.DUMMYFUNCTION("""COMPUTED_VALUE"""),0.0)</f>
        <v>0</v>
      </c>
      <c r="AB49" s="16">
        <f>IFERROR(__xludf.DUMMYFUNCTION("""COMPUTED_VALUE"""),0.0)</f>
        <v>0</v>
      </c>
      <c r="AC49" s="16">
        <f>IFERROR(__xludf.DUMMYFUNCTION("""COMPUTED_VALUE"""),0.0)</f>
        <v>0</v>
      </c>
      <c r="AD49" s="16">
        <f>IFERROR(__xludf.DUMMYFUNCTION("""COMPUTED_VALUE"""),0.0)</f>
        <v>0</v>
      </c>
      <c r="AE49" s="16">
        <f>IFERROR(__xludf.DUMMYFUNCTION("""COMPUTED_VALUE"""),0.0)</f>
        <v>0</v>
      </c>
      <c r="AF49" s="16">
        <f>IFERROR(__xludf.DUMMYFUNCTION("""COMPUTED_VALUE"""),0.0)</f>
        <v>0</v>
      </c>
      <c r="AG49" s="16">
        <f>IFERROR(__xludf.DUMMYFUNCTION("""COMPUTED_VALUE"""),0.0)</f>
        <v>0</v>
      </c>
      <c r="AH49" s="16">
        <f>IFERROR(__xludf.DUMMYFUNCTION("""COMPUTED_VALUE"""),0.0)</f>
        <v>0</v>
      </c>
    </row>
    <row r="50">
      <c r="A50" s="16" t="str">
        <f>IFERROR(__xludf.DUMMYFUNCTION("""COMPUTED_VALUE"""),"248ba0ec55862a22dd7993c8b49d5f052ce03954")</f>
        <v>248ba0ec55862a22dd7993c8b49d5f052ce03954</v>
      </c>
      <c r="B50" s="16" t="str">
        <f>IFERROR(__xludf.DUMMYFUNCTION("""COMPUTED_VALUE"""),"The Silent Sovereign")</f>
        <v>The Silent Sovereign</v>
      </c>
      <c r="C50" s="16" t="str">
        <f>IFERROR(__xludf.DUMMYFUNCTION("""COMPUTED_VALUE"""),"Fantasy")</f>
        <v>Fantasy</v>
      </c>
      <c r="D50" s="16">
        <f>IFERROR(__xludf.DUMMYFUNCTION("""COMPUTED_VALUE"""),89.0)</f>
        <v>89</v>
      </c>
      <c r="E50" s="16">
        <f>IFERROR(__xludf.DUMMYFUNCTION("""COMPUTED_VALUE"""),0.921348314606741)</f>
        <v>0.9213483146</v>
      </c>
      <c r="F50" s="16">
        <f>IFERROR(__xludf.DUMMYFUNCTION("""COMPUTED_VALUE"""),0.640449438202247)</f>
        <v>0.6404494382</v>
      </c>
      <c r="G50" s="16">
        <f>IFERROR(__xludf.DUMMYFUNCTION("""COMPUTED_VALUE"""),0.584269662921348)</f>
        <v>0.5842696629</v>
      </c>
      <c r="H50" s="16">
        <f>IFERROR(__xludf.DUMMYFUNCTION("""COMPUTED_VALUE"""),0.573033707865168)</f>
        <v>0.5730337079</v>
      </c>
      <c r="I50" s="16">
        <f>IFERROR(__xludf.DUMMYFUNCTION("""COMPUTED_VALUE"""),0.505617977528089)</f>
        <v>0.5056179775</v>
      </c>
      <c r="J50" s="16">
        <f>IFERROR(__xludf.DUMMYFUNCTION("""COMPUTED_VALUE"""),0.47191011235955)</f>
        <v>0.4719101124</v>
      </c>
      <c r="K50" s="16">
        <f>IFERROR(__xludf.DUMMYFUNCTION("""COMPUTED_VALUE"""),0.393258426966292)</f>
        <v>0.393258427</v>
      </c>
      <c r="L50" s="16">
        <f>IFERROR(__xludf.DUMMYFUNCTION("""COMPUTED_VALUE"""),0.352272727272727)</f>
        <v>0.3522727273</v>
      </c>
      <c r="M50" s="16">
        <f>IFERROR(__xludf.DUMMYFUNCTION("""COMPUTED_VALUE"""),0.344827586206896)</f>
        <v>0.3448275862</v>
      </c>
      <c r="N50" s="16">
        <f>IFERROR(__xludf.DUMMYFUNCTION("""COMPUTED_VALUE"""),0.32183908045977)</f>
        <v>0.3218390805</v>
      </c>
      <c r="O50" s="16">
        <f>IFERROR(__xludf.DUMMYFUNCTION("""COMPUTED_VALUE"""),0.242424242424242)</f>
        <v>0.2424242424</v>
      </c>
      <c r="P50" s="16">
        <f>IFERROR(__xludf.DUMMYFUNCTION("""COMPUTED_VALUE"""),0.0)</f>
        <v>0</v>
      </c>
      <c r="Q50" s="16">
        <f>IFERROR(__xludf.DUMMYFUNCTION("""COMPUTED_VALUE"""),0.0)</f>
        <v>0</v>
      </c>
      <c r="R50" s="16">
        <f>IFERROR(__xludf.DUMMYFUNCTION("""COMPUTED_VALUE"""),0.0)</f>
        <v>0</v>
      </c>
      <c r="S50" s="16">
        <f>IFERROR(__xludf.DUMMYFUNCTION("""COMPUTED_VALUE"""),0.0)</f>
        <v>0</v>
      </c>
      <c r="T50" s="16">
        <f>IFERROR(__xludf.DUMMYFUNCTION("""COMPUTED_VALUE"""),0.0)</f>
        <v>0</v>
      </c>
      <c r="U50" s="16">
        <f>IFERROR(__xludf.DUMMYFUNCTION("""COMPUTED_VALUE"""),0.0)</f>
        <v>0</v>
      </c>
      <c r="V50" s="16">
        <f>IFERROR(__xludf.DUMMYFUNCTION("""COMPUTED_VALUE"""),0.0)</f>
        <v>0</v>
      </c>
      <c r="W50" s="16">
        <f>IFERROR(__xludf.DUMMYFUNCTION("""COMPUTED_VALUE"""),0.0)</f>
        <v>0</v>
      </c>
      <c r="X50" s="16">
        <f>IFERROR(__xludf.DUMMYFUNCTION("""COMPUTED_VALUE"""),0.0)</f>
        <v>0</v>
      </c>
      <c r="Y50" s="16">
        <f>IFERROR(__xludf.DUMMYFUNCTION("""COMPUTED_VALUE"""),0.0)</f>
        <v>0</v>
      </c>
      <c r="Z50" s="16">
        <f>IFERROR(__xludf.DUMMYFUNCTION("""COMPUTED_VALUE"""),0.0)</f>
        <v>0</v>
      </c>
      <c r="AA50" s="16">
        <f>IFERROR(__xludf.DUMMYFUNCTION("""COMPUTED_VALUE"""),0.0)</f>
        <v>0</v>
      </c>
      <c r="AB50" s="16">
        <f>IFERROR(__xludf.DUMMYFUNCTION("""COMPUTED_VALUE"""),0.0)</f>
        <v>0</v>
      </c>
      <c r="AC50" s="16">
        <f>IFERROR(__xludf.DUMMYFUNCTION("""COMPUTED_VALUE"""),0.0)</f>
        <v>0</v>
      </c>
      <c r="AD50" s="16">
        <f>IFERROR(__xludf.DUMMYFUNCTION("""COMPUTED_VALUE"""),0.0)</f>
        <v>0</v>
      </c>
      <c r="AE50" s="16">
        <f>IFERROR(__xludf.DUMMYFUNCTION("""COMPUTED_VALUE"""),0.0)</f>
        <v>0</v>
      </c>
      <c r="AF50" s="16">
        <f>IFERROR(__xludf.DUMMYFUNCTION("""COMPUTED_VALUE"""),0.0)</f>
        <v>0</v>
      </c>
      <c r="AG50" s="16">
        <f>IFERROR(__xludf.DUMMYFUNCTION("""COMPUTED_VALUE"""),0.0)</f>
        <v>0</v>
      </c>
      <c r="AH50" s="16">
        <f>IFERROR(__xludf.DUMMYFUNCTION("""COMPUTED_VALUE"""),0.0)</f>
        <v>0</v>
      </c>
    </row>
    <row r="51">
      <c r="A51" s="16" t="str">
        <f>IFERROR(__xludf.DUMMYFUNCTION("""COMPUTED_VALUE"""),"256420b150a08ae24e418a9316db10d1c7142a09")</f>
        <v>256420b150a08ae24e418a9316db10d1c7142a09</v>
      </c>
      <c r="B51" s="16" t="str">
        <f>IFERROR(__xludf.DUMMYFUNCTION("""COMPUTED_VALUE"""),"Monarch of Spirits")</f>
        <v>Monarch of Spirits</v>
      </c>
      <c r="C51" s="16" t="str">
        <f>IFERROR(__xludf.DUMMYFUNCTION("""COMPUTED_VALUE"""),"Fantasy")</f>
        <v>Fantasy</v>
      </c>
      <c r="D51" s="16">
        <f>IFERROR(__xludf.DUMMYFUNCTION("""COMPUTED_VALUE"""),86.0)</f>
        <v>86</v>
      </c>
      <c r="E51" s="16">
        <f>IFERROR(__xludf.DUMMYFUNCTION("""COMPUTED_VALUE"""),0.976744186046511)</f>
        <v>0.976744186</v>
      </c>
      <c r="F51" s="16">
        <f>IFERROR(__xludf.DUMMYFUNCTION("""COMPUTED_VALUE"""),0.55813953488372)</f>
        <v>0.5581395349</v>
      </c>
      <c r="G51" s="16">
        <f>IFERROR(__xludf.DUMMYFUNCTION("""COMPUTED_VALUE"""),0.488372093023255)</f>
        <v>0.488372093</v>
      </c>
      <c r="H51" s="16">
        <f>IFERROR(__xludf.DUMMYFUNCTION("""COMPUTED_VALUE"""),0.395348837209302)</f>
        <v>0.3953488372</v>
      </c>
      <c r="I51" s="16">
        <f>IFERROR(__xludf.DUMMYFUNCTION("""COMPUTED_VALUE"""),0.302325581395348)</f>
        <v>0.3023255814</v>
      </c>
      <c r="J51" s="16">
        <f>IFERROR(__xludf.DUMMYFUNCTION("""COMPUTED_VALUE"""),0.27906976744186)</f>
        <v>0.2790697674</v>
      </c>
      <c r="K51" s="16">
        <f>IFERROR(__xludf.DUMMYFUNCTION("""COMPUTED_VALUE"""),0.255813953488372)</f>
        <v>0.2558139535</v>
      </c>
      <c r="L51" s="16">
        <f>IFERROR(__xludf.DUMMYFUNCTION("""COMPUTED_VALUE"""),0.232558139534883)</f>
        <v>0.2325581395</v>
      </c>
      <c r="M51" s="16">
        <f>IFERROR(__xludf.DUMMYFUNCTION("""COMPUTED_VALUE"""),0.232558139534883)</f>
        <v>0.2325581395</v>
      </c>
      <c r="N51" s="16">
        <f>IFERROR(__xludf.DUMMYFUNCTION("""COMPUTED_VALUE"""),0.220930232558139)</f>
        <v>0.2209302326</v>
      </c>
      <c r="O51" s="16">
        <f>IFERROR(__xludf.DUMMYFUNCTION("""COMPUTED_VALUE"""),0.186046511627906)</f>
        <v>0.1860465116</v>
      </c>
      <c r="P51" s="16">
        <f>IFERROR(__xludf.DUMMYFUNCTION("""COMPUTED_VALUE"""),0.0930232558139534)</f>
        <v>0.09302325581</v>
      </c>
      <c r="Q51" s="16">
        <f>IFERROR(__xludf.DUMMYFUNCTION("""COMPUTED_VALUE"""),0.0547945205479452)</f>
        <v>0.05479452055</v>
      </c>
      <c r="R51" s="16">
        <f>IFERROR(__xludf.DUMMYFUNCTION("""COMPUTED_VALUE"""),0.1)</f>
        <v>0.1</v>
      </c>
      <c r="S51" s="16">
        <f>IFERROR(__xludf.DUMMYFUNCTION("""COMPUTED_VALUE"""),0.111111111111111)</f>
        <v>0.1111111111</v>
      </c>
      <c r="T51" s="16">
        <f>IFERROR(__xludf.DUMMYFUNCTION("""COMPUTED_VALUE"""),0.0)</f>
        <v>0</v>
      </c>
      <c r="U51" s="16">
        <f>IFERROR(__xludf.DUMMYFUNCTION("""COMPUTED_VALUE"""),0.0)</f>
        <v>0</v>
      </c>
      <c r="V51" s="16">
        <f>IFERROR(__xludf.DUMMYFUNCTION("""COMPUTED_VALUE"""),0.0)</f>
        <v>0</v>
      </c>
      <c r="W51" s="16">
        <f>IFERROR(__xludf.DUMMYFUNCTION("""COMPUTED_VALUE"""),0.0)</f>
        <v>0</v>
      </c>
      <c r="X51" s="16">
        <f>IFERROR(__xludf.DUMMYFUNCTION("""COMPUTED_VALUE"""),0.0)</f>
        <v>0</v>
      </c>
      <c r="Y51" s="16">
        <f>IFERROR(__xludf.DUMMYFUNCTION("""COMPUTED_VALUE"""),0.0)</f>
        <v>0</v>
      </c>
      <c r="Z51" s="16">
        <f>IFERROR(__xludf.DUMMYFUNCTION("""COMPUTED_VALUE"""),0.0)</f>
        <v>0</v>
      </c>
      <c r="AA51" s="16">
        <f>IFERROR(__xludf.DUMMYFUNCTION("""COMPUTED_VALUE"""),0.0)</f>
        <v>0</v>
      </c>
      <c r="AB51" s="16">
        <f>IFERROR(__xludf.DUMMYFUNCTION("""COMPUTED_VALUE"""),0.0)</f>
        <v>0</v>
      </c>
      <c r="AC51" s="16">
        <f>IFERROR(__xludf.DUMMYFUNCTION("""COMPUTED_VALUE"""),0.0)</f>
        <v>0</v>
      </c>
      <c r="AD51" s="16">
        <f>IFERROR(__xludf.DUMMYFUNCTION("""COMPUTED_VALUE"""),0.0)</f>
        <v>0</v>
      </c>
      <c r="AE51" s="16">
        <f>IFERROR(__xludf.DUMMYFUNCTION("""COMPUTED_VALUE"""),0.0)</f>
        <v>0</v>
      </c>
      <c r="AF51" s="16">
        <f>IFERROR(__xludf.DUMMYFUNCTION("""COMPUTED_VALUE"""),0.0)</f>
        <v>0</v>
      </c>
      <c r="AG51" s="16">
        <f>IFERROR(__xludf.DUMMYFUNCTION("""COMPUTED_VALUE"""),0.0)</f>
        <v>0</v>
      </c>
      <c r="AH51" s="16">
        <f>IFERROR(__xludf.DUMMYFUNCTION("""COMPUTED_VALUE"""),0.0)</f>
        <v>0</v>
      </c>
    </row>
    <row r="52">
      <c r="A52" s="16" t="str">
        <f>IFERROR(__xludf.DUMMYFUNCTION("""COMPUTED_VALUE"""),"26e1fd07be016edcad6988356011ef8b49038bd1")</f>
        <v>26e1fd07be016edcad6988356011ef8b49038bd1</v>
      </c>
      <c r="B52" s="16" t="str">
        <f>IFERROR(__xludf.DUMMYFUNCTION("""COMPUTED_VALUE"""),"The Last Anniversary Lie")</f>
        <v>The Last Anniversary Lie</v>
      </c>
      <c r="C52" s="16" t="str">
        <f>IFERROR(__xludf.DUMMYFUNCTION("""COMPUTED_VALUE"""),"Romance")</f>
        <v>Romance</v>
      </c>
      <c r="D52" s="16">
        <f>IFERROR(__xludf.DUMMYFUNCTION("""COMPUTED_VALUE"""),456.0)</f>
        <v>456</v>
      </c>
      <c r="E52" s="16">
        <f>IFERROR(__xludf.DUMMYFUNCTION("""COMPUTED_VALUE"""),0.971491228070175)</f>
        <v>0.9714912281</v>
      </c>
      <c r="F52" s="16">
        <f>IFERROR(__xludf.DUMMYFUNCTION("""COMPUTED_VALUE"""),0.640350877192982)</f>
        <v>0.6403508772</v>
      </c>
      <c r="G52" s="16">
        <f>IFERROR(__xludf.DUMMYFUNCTION("""COMPUTED_VALUE"""),0.56359649122807)</f>
        <v>0.5635964912</v>
      </c>
      <c r="H52" s="16">
        <f>IFERROR(__xludf.DUMMYFUNCTION("""COMPUTED_VALUE"""),0.519736842105263)</f>
        <v>0.5197368421</v>
      </c>
      <c r="I52" s="16">
        <f>IFERROR(__xludf.DUMMYFUNCTION("""COMPUTED_VALUE"""),0.471491228070175)</f>
        <v>0.4714912281</v>
      </c>
      <c r="J52" s="16">
        <f>IFERROR(__xludf.DUMMYFUNCTION("""COMPUTED_VALUE"""),0.44078947368421)</f>
        <v>0.4407894737</v>
      </c>
      <c r="K52" s="16">
        <f>IFERROR(__xludf.DUMMYFUNCTION("""COMPUTED_VALUE"""),0.394736842105263)</f>
        <v>0.3947368421</v>
      </c>
      <c r="L52" s="16">
        <f>IFERROR(__xludf.DUMMYFUNCTION("""COMPUTED_VALUE"""),0.395604395604395)</f>
        <v>0.3956043956</v>
      </c>
      <c r="M52" s="16">
        <f>IFERROR(__xludf.DUMMYFUNCTION("""COMPUTED_VALUE"""),0.39647577092511)</f>
        <v>0.3964757709</v>
      </c>
      <c r="N52" s="16">
        <f>IFERROR(__xludf.DUMMYFUNCTION("""COMPUTED_VALUE"""),0.403547671840354)</f>
        <v>0.4035476718</v>
      </c>
      <c r="O52" s="16">
        <f>IFERROR(__xludf.DUMMYFUNCTION("""COMPUTED_VALUE"""),0.296213808463251)</f>
        <v>0.2962138085</v>
      </c>
      <c r="P52" s="16">
        <f>IFERROR(__xludf.DUMMYFUNCTION("""COMPUTED_VALUE"""),0.138888888888888)</f>
        <v>0.1388888889</v>
      </c>
      <c r="Q52" s="16">
        <f>IFERROR(__xludf.DUMMYFUNCTION("""COMPUTED_VALUE"""),0.0)</f>
        <v>0</v>
      </c>
      <c r="R52" s="16">
        <f>IFERROR(__xludf.DUMMYFUNCTION("""COMPUTED_VALUE"""),0.0)</f>
        <v>0</v>
      </c>
      <c r="S52" s="16">
        <f>IFERROR(__xludf.DUMMYFUNCTION("""COMPUTED_VALUE"""),0.0)</f>
        <v>0</v>
      </c>
      <c r="T52" s="16">
        <f>IFERROR(__xludf.DUMMYFUNCTION("""COMPUTED_VALUE"""),0.0)</f>
        <v>0</v>
      </c>
      <c r="U52" s="16">
        <f>IFERROR(__xludf.DUMMYFUNCTION("""COMPUTED_VALUE"""),0.0)</f>
        <v>0</v>
      </c>
      <c r="V52" s="16">
        <f>IFERROR(__xludf.DUMMYFUNCTION("""COMPUTED_VALUE"""),0.0)</f>
        <v>0</v>
      </c>
      <c r="W52" s="16">
        <f>IFERROR(__xludf.DUMMYFUNCTION("""COMPUTED_VALUE"""),0.0)</f>
        <v>0</v>
      </c>
      <c r="X52" s="16">
        <f>IFERROR(__xludf.DUMMYFUNCTION("""COMPUTED_VALUE"""),0.0)</f>
        <v>0</v>
      </c>
      <c r="Y52" s="16">
        <f>IFERROR(__xludf.DUMMYFUNCTION("""COMPUTED_VALUE"""),0.0)</f>
        <v>0</v>
      </c>
      <c r="Z52" s="16">
        <f>IFERROR(__xludf.DUMMYFUNCTION("""COMPUTED_VALUE"""),0.0)</f>
        <v>0</v>
      </c>
      <c r="AA52" s="16">
        <f>IFERROR(__xludf.DUMMYFUNCTION("""COMPUTED_VALUE"""),0.0)</f>
        <v>0</v>
      </c>
      <c r="AB52" s="16">
        <f>IFERROR(__xludf.DUMMYFUNCTION("""COMPUTED_VALUE"""),0.0)</f>
        <v>0</v>
      </c>
      <c r="AC52" s="16">
        <f>IFERROR(__xludf.DUMMYFUNCTION("""COMPUTED_VALUE"""),0.0)</f>
        <v>0</v>
      </c>
      <c r="AD52" s="16">
        <f>IFERROR(__xludf.DUMMYFUNCTION("""COMPUTED_VALUE"""),0.0)</f>
        <v>0</v>
      </c>
      <c r="AE52" s="16">
        <f>IFERROR(__xludf.DUMMYFUNCTION("""COMPUTED_VALUE"""),0.0)</f>
        <v>0</v>
      </c>
      <c r="AF52" s="16">
        <f>IFERROR(__xludf.DUMMYFUNCTION("""COMPUTED_VALUE"""),0.0)</f>
        <v>0</v>
      </c>
      <c r="AG52" s="16">
        <f>IFERROR(__xludf.DUMMYFUNCTION("""COMPUTED_VALUE"""),0.0)</f>
        <v>0</v>
      </c>
      <c r="AH52" s="16">
        <f>IFERROR(__xludf.DUMMYFUNCTION("""COMPUTED_VALUE"""),0.0)</f>
        <v>0</v>
      </c>
    </row>
    <row r="53">
      <c r="A53" s="16" t="str">
        <f>IFERROR(__xludf.DUMMYFUNCTION("""COMPUTED_VALUE"""),"2804c5c0d94ac97e4b67564cc852e784e64583e5")</f>
        <v>2804c5c0d94ac97e4b67564cc852e784e64583e5</v>
      </c>
      <c r="B53" s="16" t="str">
        <f>IFERROR(__xludf.DUMMYFUNCTION("""COMPUTED_VALUE"""),"Rebirth in Beauty")</f>
        <v>Rebirth in Beauty</v>
      </c>
      <c r="C53" s="16" t="str">
        <f>IFERROR(__xludf.DUMMYFUNCTION("""COMPUTED_VALUE"""),"Fantasy")</f>
        <v>Fantasy</v>
      </c>
      <c r="D53" s="16">
        <f>IFERROR(__xludf.DUMMYFUNCTION("""COMPUTED_VALUE"""),309.0)</f>
        <v>309</v>
      </c>
      <c r="E53" s="16">
        <f>IFERROR(__xludf.DUMMYFUNCTION("""COMPUTED_VALUE"""),0.970873786407767)</f>
        <v>0.9708737864</v>
      </c>
      <c r="F53" s="16">
        <f>IFERROR(__xludf.DUMMYFUNCTION("""COMPUTED_VALUE"""),0.634304207119741)</f>
        <v>0.6343042071</v>
      </c>
      <c r="G53" s="16">
        <f>IFERROR(__xludf.DUMMYFUNCTION("""COMPUTED_VALUE"""),0.556634304207119)</f>
        <v>0.5566343042</v>
      </c>
      <c r="H53" s="16">
        <f>IFERROR(__xludf.DUMMYFUNCTION("""COMPUTED_VALUE"""),0.498381877022653)</f>
        <v>0.498381877</v>
      </c>
      <c r="I53" s="16">
        <f>IFERROR(__xludf.DUMMYFUNCTION("""COMPUTED_VALUE"""),0.446601941747572)</f>
        <v>0.4466019417</v>
      </c>
      <c r="J53" s="16">
        <f>IFERROR(__xludf.DUMMYFUNCTION("""COMPUTED_VALUE"""),0.434931506849315)</f>
        <v>0.4349315068</v>
      </c>
      <c r="K53" s="16">
        <f>IFERROR(__xludf.DUMMYFUNCTION("""COMPUTED_VALUE"""),0.390243902439024)</f>
        <v>0.3902439024</v>
      </c>
      <c r="L53" s="16">
        <f>IFERROR(__xludf.DUMMYFUNCTION("""COMPUTED_VALUE"""),0.384615384615384)</f>
        <v>0.3846153846</v>
      </c>
      <c r="M53" s="16">
        <f>IFERROR(__xludf.DUMMYFUNCTION("""COMPUTED_VALUE"""),0.357142857142857)</f>
        <v>0.3571428571</v>
      </c>
      <c r="N53" s="16">
        <f>IFERROR(__xludf.DUMMYFUNCTION("""COMPUTED_VALUE"""),0.334728033472803)</f>
        <v>0.3347280335</v>
      </c>
      <c r="O53" s="16">
        <f>IFERROR(__xludf.DUMMYFUNCTION("""COMPUTED_VALUE"""),0.312883435582822)</f>
        <v>0.3128834356</v>
      </c>
      <c r="P53" s="16">
        <f>IFERROR(__xludf.DUMMYFUNCTION("""COMPUTED_VALUE"""),0.0)</f>
        <v>0</v>
      </c>
      <c r="Q53" s="16">
        <f>IFERROR(__xludf.DUMMYFUNCTION("""COMPUTED_VALUE"""),0.0)</f>
        <v>0</v>
      </c>
      <c r="R53" s="16">
        <f>IFERROR(__xludf.DUMMYFUNCTION("""COMPUTED_VALUE"""),0.0)</f>
        <v>0</v>
      </c>
      <c r="S53" s="16">
        <f>IFERROR(__xludf.DUMMYFUNCTION("""COMPUTED_VALUE"""),0.0)</f>
        <v>0</v>
      </c>
      <c r="T53" s="16">
        <f>IFERROR(__xludf.DUMMYFUNCTION("""COMPUTED_VALUE"""),0.0)</f>
        <v>0</v>
      </c>
      <c r="U53" s="16">
        <f>IFERROR(__xludf.DUMMYFUNCTION("""COMPUTED_VALUE"""),0.0)</f>
        <v>0</v>
      </c>
      <c r="V53" s="16">
        <f>IFERROR(__xludf.DUMMYFUNCTION("""COMPUTED_VALUE"""),0.0)</f>
        <v>0</v>
      </c>
      <c r="W53" s="16">
        <f>IFERROR(__xludf.DUMMYFUNCTION("""COMPUTED_VALUE"""),0.0)</f>
        <v>0</v>
      </c>
      <c r="X53" s="16">
        <f>IFERROR(__xludf.DUMMYFUNCTION("""COMPUTED_VALUE"""),0.0)</f>
        <v>0</v>
      </c>
      <c r="Y53" s="16">
        <f>IFERROR(__xludf.DUMMYFUNCTION("""COMPUTED_VALUE"""),0.0)</f>
        <v>0</v>
      </c>
      <c r="Z53" s="16">
        <f>IFERROR(__xludf.DUMMYFUNCTION("""COMPUTED_VALUE"""),0.0)</f>
        <v>0</v>
      </c>
      <c r="AA53" s="16">
        <f>IFERROR(__xludf.DUMMYFUNCTION("""COMPUTED_VALUE"""),0.0)</f>
        <v>0</v>
      </c>
      <c r="AB53" s="16">
        <f>IFERROR(__xludf.DUMMYFUNCTION("""COMPUTED_VALUE"""),0.0)</f>
        <v>0</v>
      </c>
      <c r="AC53" s="16">
        <f>IFERROR(__xludf.DUMMYFUNCTION("""COMPUTED_VALUE"""),0.0)</f>
        <v>0</v>
      </c>
      <c r="AD53" s="16">
        <f>IFERROR(__xludf.DUMMYFUNCTION("""COMPUTED_VALUE"""),0.0)</f>
        <v>0</v>
      </c>
      <c r="AE53" s="16">
        <f>IFERROR(__xludf.DUMMYFUNCTION("""COMPUTED_VALUE"""),0.0)</f>
        <v>0</v>
      </c>
      <c r="AF53" s="16">
        <f>IFERROR(__xludf.DUMMYFUNCTION("""COMPUTED_VALUE"""),0.0)</f>
        <v>0</v>
      </c>
      <c r="AG53" s="16">
        <f>IFERROR(__xludf.DUMMYFUNCTION("""COMPUTED_VALUE"""),0.0)</f>
        <v>0</v>
      </c>
      <c r="AH53" s="16">
        <f>IFERROR(__xludf.DUMMYFUNCTION("""COMPUTED_VALUE"""),0.0)</f>
        <v>0</v>
      </c>
    </row>
    <row r="54">
      <c r="A54" s="16" t="str">
        <f>IFERROR(__xludf.DUMMYFUNCTION("""COMPUTED_VALUE"""),"2969766ce2d0cd5c21da961666ea357622d5d073")</f>
        <v>2969766ce2d0cd5c21da961666ea357622d5d073</v>
      </c>
      <c r="B54" s="16" t="str">
        <f>IFERROR(__xludf.DUMMYFUNCTION("""COMPUTED_VALUE"""),"The Magical Mystic Master")</f>
        <v>The Magical Mystic Master</v>
      </c>
      <c r="C54" s="16" t="str">
        <f>IFERROR(__xludf.DUMMYFUNCTION("""COMPUTED_VALUE"""),"Fantasy")</f>
        <v>Fantasy</v>
      </c>
      <c r="D54" s="16">
        <f>IFERROR(__xludf.DUMMYFUNCTION("""COMPUTED_VALUE"""),70.0)</f>
        <v>70</v>
      </c>
      <c r="E54" s="16">
        <f>IFERROR(__xludf.DUMMYFUNCTION("""COMPUTED_VALUE"""),0.985714285714285)</f>
        <v>0.9857142857</v>
      </c>
      <c r="F54" s="16">
        <f>IFERROR(__xludf.DUMMYFUNCTION("""COMPUTED_VALUE"""),0.642857142857142)</f>
        <v>0.6428571429</v>
      </c>
      <c r="G54" s="16">
        <f>IFERROR(__xludf.DUMMYFUNCTION("""COMPUTED_VALUE"""),0.557142857142857)</f>
        <v>0.5571428571</v>
      </c>
      <c r="H54" s="16">
        <f>IFERROR(__xludf.DUMMYFUNCTION("""COMPUTED_VALUE"""),0.514285714285714)</f>
        <v>0.5142857143</v>
      </c>
      <c r="I54" s="16">
        <f>IFERROR(__xludf.DUMMYFUNCTION("""COMPUTED_VALUE"""),0.428571428571428)</f>
        <v>0.4285714286</v>
      </c>
      <c r="J54" s="16">
        <f>IFERROR(__xludf.DUMMYFUNCTION("""COMPUTED_VALUE"""),0.342857142857142)</f>
        <v>0.3428571429</v>
      </c>
      <c r="K54" s="16">
        <f>IFERROR(__xludf.DUMMYFUNCTION("""COMPUTED_VALUE"""),0.304347826086956)</f>
        <v>0.3043478261</v>
      </c>
      <c r="L54" s="16">
        <f>IFERROR(__xludf.DUMMYFUNCTION("""COMPUTED_VALUE"""),0.246376811594202)</f>
        <v>0.2463768116</v>
      </c>
      <c r="M54" s="16">
        <f>IFERROR(__xludf.DUMMYFUNCTION("""COMPUTED_VALUE"""),0.246376811594202)</f>
        <v>0.2463768116</v>
      </c>
      <c r="N54" s="16">
        <f>IFERROR(__xludf.DUMMYFUNCTION("""COMPUTED_VALUE"""),0.220588235294117)</f>
        <v>0.2205882353</v>
      </c>
      <c r="O54" s="16">
        <f>IFERROR(__xludf.DUMMYFUNCTION("""COMPUTED_VALUE"""),0.166666666666666)</f>
        <v>0.1666666667</v>
      </c>
      <c r="P54" s="16">
        <f>IFERROR(__xludf.DUMMYFUNCTION("""COMPUTED_VALUE"""),0.106060606060606)</f>
        <v>0.1060606061</v>
      </c>
      <c r="Q54" s="16">
        <f>IFERROR(__xludf.DUMMYFUNCTION("""COMPUTED_VALUE"""),0.0727272727272727)</f>
        <v>0.07272727273</v>
      </c>
      <c r="R54" s="16">
        <f>IFERROR(__xludf.DUMMYFUNCTION("""COMPUTED_VALUE"""),0.0967741935483871)</f>
        <v>0.09677419355</v>
      </c>
      <c r="S54" s="16">
        <f>IFERROR(__xludf.DUMMYFUNCTION("""COMPUTED_VALUE"""),0.0)</f>
        <v>0</v>
      </c>
      <c r="T54" s="16">
        <f>IFERROR(__xludf.DUMMYFUNCTION("""COMPUTED_VALUE"""),0.0)</f>
        <v>0</v>
      </c>
      <c r="U54" s="16">
        <f>IFERROR(__xludf.DUMMYFUNCTION("""COMPUTED_VALUE"""),0.0)</f>
        <v>0</v>
      </c>
      <c r="V54" s="16">
        <f>IFERROR(__xludf.DUMMYFUNCTION("""COMPUTED_VALUE"""),0.0)</f>
        <v>0</v>
      </c>
      <c r="W54" s="16">
        <f>IFERROR(__xludf.DUMMYFUNCTION("""COMPUTED_VALUE"""),0.0)</f>
        <v>0</v>
      </c>
      <c r="X54" s="16">
        <f>IFERROR(__xludf.DUMMYFUNCTION("""COMPUTED_VALUE"""),0.0)</f>
        <v>0</v>
      </c>
      <c r="Y54" s="16">
        <f>IFERROR(__xludf.DUMMYFUNCTION("""COMPUTED_VALUE"""),0.0)</f>
        <v>0</v>
      </c>
      <c r="Z54" s="16">
        <f>IFERROR(__xludf.DUMMYFUNCTION("""COMPUTED_VALUE"""),0.0)</f>
        <v>0</v>
      </c>
      <c r="AA54" s="16">
        <f>IFERROR(__xludf.DUMMYFUNCTION("""COMPUTED_VALUE"""),0.0)</f>
        <v>0</v>
      </c>
      <c r="AB54" s="16">
        <f>IFERROR(__xludf.DUMMYFUNCTION("""COMPUTED_VALUE"""),0.0)</f>
        <v>0</v>
      </c>
      <c r="AC54" s="16">
        <f>IFERROR(__xludf.DUMMYFUNCTION("""COMPUTED_VALUE"""),0.0)</f>
        <v>0</v>
      </c>
      <c r="AD54" s="16">
        <f>IFERROR(__xludf.DUMMYFUNCTION("""COMPUTED_VALUE"""),0.0)</f>
        <v>0</v>
      </c>
      <c r="AE54" s="16">
        <f>IFERROR(__xludf.DUMMYFUNCTION("""COMPUTED_VALUE"""),0.0)</f>
        <v>0</v>
      </c>
      <c r="AF54" s="16">
        <f>IFERROR(__xludf.DUMMYFUNCTION("""COMPUTED_VALUE"""),0.0)</f>
        <v>0</v>
      </c>
      <c r="AG54" s="16">
        <f>IFERROR(__xludf.DUMMYFUNCTION("""COMPUTED_VALUE"""),0.0)</f>
        <v>0</v>
      </c>
      <c r="AH54" s="16">
        <f>IFERROR(__xludf.DUMMYFUNCTION("""COMPUTED_VALUE"""),0.0)</f>
        <v>0</v>
      </c>
    </row>
    <row r="55">
      <c r="A55" s="16" t="str">
        <f>IFERROR(__xludf.DUMMYFUNCTION("""COMPUTED_VALUE"""),"29b6547143fa9e79e6e0d3e0463e7b79ac00c7fd")</f>
        <v>29b6547143fa9e79e6e0d3e0463e7b79ac00c7fd</v>
      </c>
      <c r="B55" s="16" t="str">
        <f>IFERROR(__xludf.DUMMYFUNCTION("""COMPUTED_VALUE"""),"Love, Revenge &amp; My Past")</f>
        <v>Love, Revenge &amp; My Past</v>
      </c>
      <c r="C55" s="16" t="str">
        <f>IFERROR(__xludf.DUMMYFUNCTION("""COMPUTED_VALUE"""),"Romance")</f>
        <v>Romance</v>
      </c>
      <c r="D55" s="16">
        <f>IFERROR(__xludf.DUMMYFUNCTION("""COMPUTED_VALUE"""),425.0)</f>
        <v>425</v>
      </c>
      <c r="E55" s="16">
        <f>IFERROR(__xludf.DUMMYFUNCTION("""COMPUTED_VALUE"""),0.976470588235294)</f>
        <v>0.9764705882</v>
      </c>
      <c r="F55" s="16">
        <f>IFERROR(__xludf.DUMMYFUNCTION("""COMPUTED_VALUE"""),0.409411764705882)</f>
        <v>0.4094117647</v>
      </c>
      <c r="G55" s="16">
        <f>IFERROR(__xludf.DUMMYFUNCTION("""COMPUTED_VALUE"""),0.377358490566037)</f>
        <v>0.3773584906</v>
      </c>
      <c r="H55" s="16">
        <f>IFERROR(__xludf.DUMMYFUNCTION("""COMPUTED_VALUE"""),0.349056603773584)</f>
        <v>0.3490566038</v>
      </c>
      <c r="I55" s="16">
        <f>IFERROR(__xludf.DUMMYFUNCTION("""COMPUTED_VALUE"""),0.318396226415094)</f>
        <v>0.3183962264</v>
      </c>
      <c r="J55" s="16">
        <f>IFERROR(__xludf.DUMMYFUNCTION("""COMPUTED_VALUE"""),0.292452830188679)</f>
        <v>0.2924528302</v>
      </c>
      <c r="K55" s="16">
        <f>IFERROR(__xludf.DUMMYFUNCTION("""COMPUTED_VALUE"""),0.278301886792452)</f>
        <v>0.2783018868</v>
      </c>
      <c r="L55" s="16">
        <f>IFERROR(__xludf.DUMMYFUNCTION("""COMPUTED_VALUE"""),0.271867612293144)</f>
        <v>0.2718676123</v>
      </c>
      <c r="M55" s="16">
        <f>IFERROR(__xludf.DUMMYFUNCTION("""COMPUTED_VALUE"""),0.25531914893617)</f>
        <v>0.2553191489</v>
      </c>
      <c r="N55" s="16">
        <f>IFERROR(__xludf.DUMMYFUNCTION("""COMPUTED_VALUE"""),0.252955082742316)</f>
        <v>0.2529550827</v>
      </c>
      <c r="O55" s="16">
        <f>IFERROR(__xludf.DUMMYFUNCTION("""COMPUTED_VALUE"""),0.189573459715639)</f>
        <v>0.1895734597</v>
      </c>
      <c r="P55" s="16">
        <f>IFERROR(__xludf.DUMMYFUNCTION("""COMPUTED_VALUE"""),0.133971291866028)</f>
        <v>0.1339712919</v>
      </c>
      <c r="Q55" s="16">
        <f>IFERROR(__xludf.DUMMYFUNCTION("""COMPUTED_VALUE"""),0.0617283950617283)</f>
        <v>0.06172839506</v>
      </c>
      <c r="R55" s="16">
        <f>IFERROR(__xludf.DUMMYFUNCTION("""COMPUTED_VALUE"""),0.0296052631578947)</f>
        <v>0.02960526316</v>
      </c>
      <c r="S55" s="16">
        <f>IFERROR(__xludf.DUMMYFUNCTION("""COMPUTED_VALUE"""),0.0258620689655172)</f>
        <v>0.02586206897</v>
      </c>
      <c r="T55" s="16">
        <f>IFERROR(__xludf.DUMMYFUNCTION("""COMPUTED_VALUE"""),0.0)</f>
        <v>0</v>
      </c>
      <c r="U55" s="16">
        <f>IFERROR(__xludf.DUMMYFUNCTION("""COMPUTED_VALUE"""),0.0)</f>
        <v>0</v>
      </c>
      <c r="V55" s="16">
        <f>IFERROR(__xludf.DUMMYFUNCTION("""COMPUTED_VALUE"""),0.0)</f>
        <v>0</v>
      </c>
      <c r="W55" s="16">
        <f>IFERROR(__xludf.DUMMYFUNCTION("""COMPUTED_VALUE"""),0.0)</f>
        <v>0</v>
      </c>
      <c r="X55" s="16">
        <f>IFERROR(__xludf.DUMMYFUNCTION("""COMPUTED_VALUE"""),0.0)</f>
        <v>0</v>
      </c>
      <c r="Y55" s="16">
        <f>IFERROR(__xludf.DUMMYFUNCTION("""COMPUTED_VALUE"""),0.0)</f>
        <v>0</v>
      </c>
      <c r="Z55" s="16">
        <f>IFERROR(__xludf.DUMMYFUNCTION("""COMPUTED_VALUE"""),0.0)</f>
        <v>0</v>
      </c>
      <c r="AA55" s="16">
        <f>IFERROR(__xludf.DUMMYFUNCTION("""COMPUTED_VALUE"""),0.0)</f>
        <v>0</v>
      </c>
      <c r="AB55" s="16">
        <f>IFERROR(__xludf.DUMMYFUNCTION("""COMPUTED_VALUE"""),0.0)</f>
        <v>0</v>
      </c>
      <c r="AC55" s="16">
        <f>IFERROR(__xludf.DUMMYFUNCTION("""COMPUTED_VALUE"""),0.0)</f>
        <v>0</v>
      </c>
      <c r="AD55" s="16">
        <f>IFERROR(__xludf.DUMMYFUNCTION("""COMPUTED_VALUE"""),0.0)</f>
        <v>0</v>
      </c>
      <c r="AE55" s="16">
        <f>IFERROR(__xludf.DUMMYFUNCTION("""COMPUTED_VALUE"""),0.0)</f>
        <v>0</v>
      </c>
      <c r="AF55" s="16">
        <f>IFERROR(__xludf.DUMMYFUNCTION("""COMPUTED_VALUE"""),0.0)</f>
        <v>0</v>
      </c>
      <c r="AG55" s="16">
        <f>IFERROR(__xludf.DUMMYFUNCTION("""COMPUTED_VALUE"""),0.0)</f>
        <v>0</v>
      </c>
      <c r="AH55" s="16">
        <f>IFERROR(__xludf.DUMMYFUNCTION("""COMPUTED_VALUE"""),0.0)</f>
        <v>0</v>
      </c>
    </row>
    <row r="56">
      <c r="A56" s="16" t="str">
        <f>IFERROR(__xludf.DUMMYFUNCTION("""COMPUTED_VALUE"""),"2a8120a20d0bebaa0f325746e4058859d5e610ee")</f>
        <v>2a8120a20d0bebaa0f325746e4058859d5e610ee</v>
      </c>
      <c r="B56" s="16" t="str">
        <f>IFERROR(__xludf.DUMMYFUNCTION("""COMPUTED_VALUE"""),"Cultivated Love")</f>
        <v>Cultivated Love</v>
      </c>
      <c r="C56" s="16" t="str">
        <f>IFERROR(__xludf.DUMMYFUNCTION("""COMPUTED_VALUE"""),"Romance")</f>
        <v>Romance</v>
      </c>
      <c r="D56" s="16">
        <f>IFERROR(__xludf.DUMMYFUNCTION("""COMPUTED_VALUE"""),91.0)</f>
        <v>91</v>
      </c>
      <c r="E56" s="16">
        <f>IFERROR(__xludf.DUMMYFUNCTION("""COMPUTED_VALUE"""),0.901098901098901)</f>
        <v>0.9010989011</v>
      </c>
      <c r="F56" s="16">
        <f>IFERROR(__xludf.DUMMYFUNCTION("""COMPUTED_VALUE"""),0.241758241758241)</f>
        <v>0.2417582418</v>
      </c>
      <c r="G56" s="16">
        <f>IFERROR(__xludf.DUMMYFUNCTION("""COMPUTED_VALUE"""),0.219780219780219)</f>
        <v>0.2197802198</v>
      </c>
      <c r="H56" s="16">
        <f>IFERROR(__xludf.DUMMYFUNCTION("""COMPUTED_VALUE"""),0.153846153846153)</f>
        <v>0.1538461538</v>
      </c>
      <c r="I56" s="16">
        <f>IFERROR(__xludf.DUMMYFUNCTION("""COMPUTED_VALUE"""),0.164835164835164)</f>
        <v>0.1648351648</v>
      </c>
      <c r="J56" s="16">
        <f>IFERROR(__xludf.DUMMYFUNCTION("""COMPUTED_VALUE"""),0.166666666666666)</f>
        <v>0.1666666667</v>
      </c>
      <c r="K56" s="16">
        <f>IFERROR(__xludf.DUMMYFUNCTION("""COMPUTED_VALUE"""),0.155555555555555)</f>
        <v>0.1555555556</v>
      </c>
      <c r="L56" s="16">
        <f>IFERROR(__xludf.DUMMYFUNCTION("""COMPUTED_VALUE"""),0.144444444444444)</f>
        <v>0.1444444444</v>
      </c>
      <c r="M56" s="16">
        <f>IFERROR(__xludf.DUMMYFUNCTION("""COMPUTED_VALUE"""),0.2)</f>
        <v>0.2</v>
      </c>
      <c r="N56" s="16">
        <f>IFERROR(__xludf.DUMMYFUNCTION("""COMPUTED_VALUE"""),0.147727272727272)</f>
        <v>0.1477272727</v>
      </c>
      <c r="O56" s="16">
        <f>IFERROR(__xludf.DUMMYFUNCTION("""COMPUTED_VALUE"""),0.179487179487179)</f>
        <v>0.1794871795</v>
      </c>
      <c r="P56" s="16">
        <f>IFERROR(__xludf.DUMMYFUNCTION("""COMPUTED_VALUE"""),0.1875)</f>
        <v>0.1875</v>
      </c>
      <c r="Q56" s="16">
        <f>IFERROR(__xludf.DUMMYFUNCTION("""COMPUTED_VALUE"""),0.133333333333333)</f>
        <v>0.1333333333</v>
      </c>
      <c r="R56" s="16">
        <f>IFERROR(__xludf.DUMMYFUNCTION("""COMPUTED_VALUE"""),0.111111111111111)</f>
        <v>0.1111111111</v>
      </c>
      <c r="S56" s="16">
        <f>IFERROR(__xludf.DUMMYFUNCTION("""COMPUTED_VALUE"""),0.0909090909090909)</f>
        <v>0.09090909091</v>
      </c>
      <c r="T56" s="16">
        <f>IFERROR(__xludf.DUMMYFUNCTION("""COMPUTED_VALUE"""),0.111111111111111)</f>
        <v>0.1111111111</v>
      </c>
      <c r="U56" s="16">
        <f>IFERROR(__xludf.DUMMYFUNCTION("""COMPUTED_VALUE"""),0.0)</f>
        <v>0</v>
      </c>
      <c r="V56" s="16">
        <f>IFERROR(__xludf.DUMMYFUNCTION("""COMPUTED_VALUE"""),0.0)</f>
        <v>0</v>
      </c>
      <c r="W56" s="16">
        <f>IFERROR(__xludf.DUMMYFUNCTION("""COMPUTED_VALUE"""),0.0)</f>
        <v>0</v>
      </c>
      <c r="X56" s="16">
        <f>IFERROR(__xludf.DUMMYFUNCTION("""COMPUTED_VALUE"""),0.0)</f>
        <v>0</v>
      </c>
      <c r="Y56" s="16">
        <f>IFERROR(__xludf.DUMMYFUNCTION("""COMPUTED_VALUE"""),0.0)</f>
        <v>0</v>
      </c>
      <c r="Z56" s="16">
        <f>IFERROR(__xludf.DUMMYFUNCTION("""COMPUTED_VALUE"""),0.0)</f>
        <v>0</v>
      </c>
      <c r="AA56" s="16">
        <f>IFERROR(__xludf.DUMMYFUNCTION("""COMPUTED_VALUE"""),0.0)</f>
        <v>0</v>
      </c>
      <c r="AB56" s="16">
        <f>IFERROR(__xludf.DUMMYFUNCTION("""COMPUTED_VALUE"""),0.0)</f>
        <v>0</v>
      </c>
      <c r="AC56" s="16">
        <f>IFERROR(__xludf.DUMMYFUNCTION("""COMPUTED_VALUE"""),0.0)</f>
        <v>0</v>
      </c>
      <c r="AD56" s="16">
        <f>IFERROR(__xludf.DUMMYFUNCTION("""COMPUTED_VALUE"""),0.0)</f>
        <v>0</v>
      </c>
      <c r="AE56" s="16">
        <f>IFERROR(__xludf.DUMMYFUNCTION("""COMPUTED_VALUE"""),0.0)</f>
        <v>0</v>
      </c>
      <c r="AF56" s="16">
        <f>IFERROR(__xludf.DUMMYFUNCTION("""COMPUTED_VALUE"""),0.0)</f>
        <v>0</v>
      </c>
      <c r="AG56" s="16">
        <f>IFERROR(__xludf.DUMMYFUNCTION("""COMPUTED_VALUE"""),0.0)</f>
        <v>0</v>
      </c>
      <c r="AH56" s="16">
        <f>IFERROR(__xludf.DUMMYFUNCTION("""COMPUTED_VALUE"""),0.0)</f>
        <v>0</v>
      </c>
    </row>
    <row r="57">
      <c r="A57" s="16" t="str">
        <f>IFERROR(__xludf.DUMMYFUNCTION("""COMPUTED_VALUE"""),"2b967281ca19c941aa99d03c959adaf6349da9b3")</f>
        <v>2b967281ca19c941aa99d03c959adaf6349da9b3</v>
      </c>
      <c r="B57" s="16" t="str">
        <f>IFERROR(__xludf.DUMMYFUNCTION("""COMPUTED_VALUE"""),"The Unlikely Heiress")</f>
        <v>The Unlikely Heiress</v>
      </c>
      <c r="C57" s="16" t="str">
        <f>IFERROR(__xludf.DUMMYFUNCTION("""COMPUTED_VALUE"""),"Romance")</f>
        <v>Romance</v>
      </c>
      <c r="D57" s="16">
        <f>IFERROR(__xludf.DUMMYFUNCTION("""COMPUTED_VALUE"""),4325.0)</f>
        <v>4325</v>
      </c>
      <c r="E57" s="16">
        <f>IFERROR(__xludf.DUMMYFUNCTION("""COMPUTED_VALUE"""),0.955606936416185)</f>
        <v>0.9556069364</v>
      </c>
      <c r="F57" s="16">
        <f>IFERROR(__xludf.DUMMYFUNCTION("""COMPUTED_VALUE"""),0.559306358381502)</f>
        <v>0.5593063584</v>
      </c>
      <c r="G57" s="16">
        <f>IFERROR(__xludf.DUMMYFUNCTION("""COMPUTED_VALUE"""),0.535260115606936)</f>
        <v>0.5352601156</v>
      </c>
      <c r="H57" s="16">
        <f>IFERROR(__xludf.DUMMYFUNCTION("""COMPUTED_VALUE"""),0.507976878612716)</f>
        <v>0.5079768786</v>
      </c>
      <c r="I57" s="16">
        <f>IFERROR(__xludf.DUMMYFUNCTION("""COMPUTED_VALUE"""),0.489942196531791)</f>
        <v>0.4899421965</v>
      </c>
      <c r="J57" s="16">
        <f>IFERROR(__xludf.DUMMYFUNCTION("""COMPUTED_VALUE"""),0.469472710453284)</f>
        <v>0.4694727105</v>
      </c>
      <c r="K57" s="16">
        <f>IFERROR(__xludf.DUMMYFUNCTION("""COMPUTED_VALUE"""),0.451202590194264)</f>
        <v>0.4512025902</v>
      </c>
      <c r="L57" s="16">
        <f>IFERROR(__xludf.DUMMYFUNCTION("""COMPUTED_VALUE"""),0.432770192085165)</f>
        <v>0.4327701921</v>
      </c>
      <c r="M57" s="16">
        <f>IFERROR(__xludf.DUMMYFUNCTION("""COMPUTED_VALUE"""),0.422319981477193)</f>
        <v>0.4223199815</v>
      </c>
      <c r="N57" s="16">
        <f>IFERROR(__xludf.DUMMYFUNCTION("""COMPUTED_VALUE"""),0.420333487725799)</f>
        <v>0.4203334877</v>
      </c>
      <c r="O57" s="16">
        <f>IFERROR(__xludf.DUMMYFUNCTION("""COMPUTED_VALUE"""),0.377612633534602)</f>
        <v>0.3776126335</v>
      </c>
      <c r="P57" s="16">
        <f>IFERROR(__xludf.DUMMYFUNCTION("""COMPUTED_VALUE"""),0.314551804423748)</f>
        <v>0.3145518044</v>
      </c>
      <c r="Q57" s="16">
        <f>IFERROR(__xludf.DUMMYFUNCTION("""COMPUTED_VALUE"""),0.220949263502455)</f>
        <v>0.2209492635</v>
      </c>
      <c r="R57" s="16">
        <f>IFERROR(__xludf.DUMMYFUNCTION("""COMPUTED_VALUE"""),0.194033356824054)</f>
        <v>0.1940333568</v>
      </c>
      <c r="S57" s="16">
        <f>IFERROR(__xludf.DUMMYFUNCTION("""COMPUTED_VALUE"""),0.14956364730665)</f>
        <v>0.1495636473</v>
      </c>
      <c r="T57" s="16">
        <f>IFERROR(__xludf.DUMMYFUNCTION("""COMPUTED_VALUE"""),0.0811244979919678)</f>
        <v>0.08112449799</v>
      </c>
      <c r="U57" s="16">
        <f>IFERROR(__xludf.DUMMYFUNCTION("""COMPUTED_VALUE"""),0.00595238095238095)</f>
        <v>0.005952380952</v>
      </c>
      <c r="V57" s="16">
        <f>IFERROR(__xludf.DUMMYFUNCTION("""COMPUTED_VALUE"""),0.0)</f>
        <v>0</v>
      </c>
      <c r="W57" s="16">
        <f>IFERROR(__xludf.DUMMYFUNCTION("""COMPUTED_VALUE"""),0.0)</f>
        <v>0</v>
      </c>
      <c r="X57" s="16">
        <f>IFERROR(__xludf.DUMMYFUNCTION("""COMPUTED_VALUE"""),0.0)</f>
        <v>0</v>
      </c>
      <c r="Y57" s="16">
        <f>IFERROR(__xludf.DUMMYFUNCTION("""COMPUTED_VALUE"""),0.0)</f>
        <v>0</v>
      </c>
      <c r="Z57" s="16">
        <f>IFERROR(__xludf.DUMMYFUNCTION("""COMPUTED_VALUE"""),0.0)</f>
        <v>0</v>
      </c>
      <c r="AA57" s="16">
        <f>IFERROR(__xludf.DUMMYFUNCTION("""COMPUTED_VALUE"""),0.0)</f>
        <v>0</v>
      </c>
      <c r="AB57" s="16">
        <f>IFERROR(__xludf.DUMMYFUNCTION("""COMPUTED_VALUE"""),0.0)</f>
        <v>0</v>
      </c>
      <c r="AC57" s="16">
        <f>IFERROR(__xludf.DUMMYFUNCTION("""COMPUTED_VALUE"""),0.0)</f>
        <v>0</v>
      </c>
      <c r="AD57" s="16">
        <f>IFERROR(__xludf.DUMMYFUNCTION("""COMPUTED_VALUE"""),0.0)</f>
        <v>0</v>
      </c>
      <c r="AE57" s="16">
        <f>IFERROR(__xludf.DUMMYFUNCTION("""COMPUTED_VALUE"""),0.0)</f>
        <v>0</v>
      </c>
      <c r="AF57" s="16">
        <f>IFERROR(__xludf.DUMMYFUNCTION("""COMPUTED_VALUE"""),0.0)</f>
        <v>0</v>
      </c>
      <c r="AG57" s="16">
        <f>IFERROR(__xludf.DUMMYFUNCTION("""COMPUTED_VALUE"""),0.0)</f>
        <v>0</v>
      </c>
      <c r="AH57" s="16">
        <f>IFERROR(__xludf.DUMMYFUNCTION("""COMPUTED_VALUE"""),0.0)</f>
        <v>0</v>
      </c>
    </row>
    <row r="58">
      <c r="A58" s="16" t="str">
        <f>IFERROR(__xludf.DUMMYFUNCTION("""COMPUTED_VALUE"""),"2fb79ac2c90574002aaeec2f842f6693eb8ff7c2")</f>
        <v>2fb79ac2c90574002aaeec2f842f6693eb8ff7c2</v>
      </c>
      <c r="B58" s="16" t="str">
        <f>IFERROR(__xludf.DUMMYFUNCTION("""COMPUTED_VALUE"""),"Dear Boss")</f>
        <v>Dear Boss</v>
      </c>
      <c r="C58" s="16" t="str">
        <f>IFERROR(__xludf.DUMMYFUNCTION("""COMPUTED_VALUE"""),"Romance")</f>
        <v>Romance</v>
      </c>
      <c r="D58" s="16">
        <f>IFERROR(__xludf.DUMMYFUNCTION("""COMPUTED_VALUE"""),410.0)</f>
        <v>410</v>
      </c>
      <c r="E58" s="16">
        <f>IFERROR(__xludf.DUMMYFUNCTION("""COMPUTED_VALUE"""),0.973170731707317)</f>
        <v>0.9731707317</v>
      </c>
      <c r="F58" s="16">
        <f>IFERROR(__xludf.DUMMYFUNCTION("""COMPUTED_VALUE"""),0.560975609756097)</f>
        <v>0.5609756098</v>
      </c>
      <c r="G58" s="16">
        <f>IFERROR(__xludf.DUMMYFUNCTION("""COMPUTED_VALUE"""),0.492682926829268)</f>
        <v>0.4926829268</v>
      </c>
      <c r="H58" s="16">
        <f>IFERROR(__xludf.DUMMYFUNCTION("""COMPUTED_VALUE"""),0.463414634146341)</f>
        <v>0.4634146341</v>
      </c>
      <c r="I58" s="16">
        <f>IFERROR(__xludf.DUMMYFUNCTION("""COMPUTED_VALUE"""),0.436585365853658)</f>
        <v>0.4365853659</v>
      </c>
      <c r="J58" s="16">
        <f>IFERROR(__xludf.DUMMYFUNCTION("""COMPUTED_VALUE"""),0.378973105134474)</f>
        <v>0.3789731051</v>
      </c>
      <c r="K58" s="16">
        <f>IFERROR(__xludf.DUMMYFUNCTION("""COMPUTED_VALUE"""),0.352078239608801)</f>
        <v>0.3520782396</v>
      </c>
      <c r="L58" s="16">
        <f>IFERROR(__xludf.DUMMYFUNCTION("""COMPUTED_VALUE"""),0.34313725490196)</f>
        <v>0.3431372549</v>
      </c>
      <c r="M58" s="16">
        <f>IFERROR(__xludf.DUMMYFUNCTION("""COMPUTED_VALUE"""),0.323529411764705)</f>
        <v>0.3235294118</v>
      </c>
      <c r="N58" s="16">
        <f>IFERROR(__xludf.DUMMYFUNCTION("""COMPUTED_VALUE"""),0.320197044334975)</f>
        <v>0.3201970443</v>
      </c>
      <c r="O58" s="16">
        <f>IFERROR(__xludf.DUMMYFUNCTION("""COMPUTED_VALUE"""),0.295977011494252)</f>
        <v>0.2959770115</v>
      </c>
      <c r="P58" s="16">
        <f>IFERROR(__xludf.DUMMYFUNCTION("""COMPUTED_VALUE"""),0.214285714285714)</f>
        <v>0.2142857143</v>
      </c>
      <c r="Q58" s="16">
        <f>IFERROR(__xludf.DUMMYFUNCTION("""COMPUTED_VALUE"""),0.0)</f>
        <v>0</v>
      </c>
      <c r="R58" s="16">
        <f>IFERROR(__xludf.DUMMYFUNCTION("""COMPUTED_VALUE"""),0.0)</f>
        <v>0</v>
      </c>
      <c r="S58" s="16">
        <f>IFERROR(__xludf.DUMMYFUNCTION("""COMPUTED_VALUE"""),0.0)</f>
        <v>0</v>
      </c>
      <c r="T58" s="16">
        <f>IFERROR(__xludf.DUMMYFUNCTION("""COMPUTED_VALUE"""),0.0)</f>
        <v>0</v>
      </c>
      <c r="U58" s="16">
        <f>IFERROR(__xludf.DUMMYFUNCTION("""COMPUTED_VALUE"""),0.0)</f>
        <v>0</v>
      </c>
      <c r="V58" s="16">
        <f>IFERROR(__xludf.DUMMYFUNCTION("""COMPUTED_VALUE"""),0.0)</f>
        <v>0</v>
      </c>
      <c r="W58" s="16">
        <f>IFERROR(__xludf.DUMMYFUNCTION("""COMPUTED_VALUE"""),0.0)</f>
        <v>0</v>
      </c>
      <c r="X58" s="16">
        <f>IFERROR(__xludf.DUMMYFUNCTION("""COMPUTED_VALUE"""),0.0)</f>
        <v>0</v>
      </c>
      <c r="Y58" s="16">
        <f>IFERROR(__xludf.DUMMYFUNCTION("""COMPUTED_VALUE"""),0.0)</f>
        <v>0</v>
      </c>
      <c r="Z58" s="16">
        <f>IFERROR(__xludf.DUMMYFUNCTION("""COMPUTED_VALUE"""),0.0)</f>
        <v>0</v>
      </c>
      <c r="AA58" s="16">
        <f>IFERROR(__xludf.DUMMYFUNCTION("""COMPUTED_VALUE"""),0.0)</f>
        <v>0</v>
      </c>
      <c r="AB58" s="16">
        <f>IFERROR(__xludf.DUMMYFUNCTION("""COMPUTED_VALUE"""),0.0)</f>
        <v>0</v>
      </c>
      <c r="AC58" s="16">
        <f>IFERROR(__xludf.DUMMYFUNCTION("""COMPUTED_VALUE"""),0.0)</f>
        <v>0</v>
      </c>
      <c r="AD58" s="16">
        <f>IFERROR(__xludf.DUMMYFUNCTION("""COMPUTED_VALUE"""),0.0)</f>
        <v>0</v>
      </c>
      <c r="AE58" s="16">
        <f>IFERROR(__xludf.DUMMYFUNCTION("""COMPUTED_VALUE"""),0.0)</f>
        <v>0</v>
      </c>
      <c r="AF58" s="16">
        <f>IFERROR(__xludf.DUMMYFUNCTION("""COMPUTED_VALUE"""),0.0)</f>
        <v>0</v>
      </c>
      <c r="AG58" s="16">
        <f>IFERROR(__xludf.DUMMYFUNCTION("""COMPUTED_VALUE"""),0.0)</f>
        <v>0</v>
      </c>
      <c r="AH58" s="16">
        <f>IFERROR(__xludf.DUMMYFUNCTION("""COMPUTED_VALUE"""),0.0)</f>
        <v>0</v>
      </c>
    </row>
    <row r="59">
      <c r="A59" s="16" t="str">
        <f>IFERROR(__xludf.DUMMYFUNCTION("""COMPUTED_VALUE"""),"31b86ee5ffeadf52fab3148c3add083a2f90b442")</f>
        <v>31b86ee5ffeadf52fab3148c3add083a2f90b442</v>
      </c>
      <c r="B59" s="16" t="str">
        <f>IFERROR(__xludf.DUMMYFUNCTION("""COMPUTED_VALUE"""),"Enchanted by Blood ")</f>
        <v>Enchanted by Blood </v>
      </c>
      <c r="C59" s="16" t="str">
        <f>IFERROR(__xludf.DUMMYFUNCTION("""COMPUTED_VALUE"""),"Romantasy")</f>
        <v>Romantasy</v>
      </c>
      <c r="D59" s="16">
        <f>IFERROR(__xludf.DUMMYFUNCTION("""COMPUTED_VALUE"""),109.0)</f>
        <v>109</v>
      </c>
      <c r="E59" s="16">
        <f>IFERROR(__xludf.DUMMYFUNCTION("""COMPUTED_VALUE"""),0.972477064220183)</f>
        <v>0.9724770642</v>
      </c>
      <c r="F59" s="16">
        <f>IFERROR(__xludf.DUMMYFUNCTION("""COMPUTED_VALUE"""),0.275229357798165)</f>
        <v>0.2752293578</v>
      </c>
      <c r="G59" s="16">
        <f>IFERROR(__xludf.DUMMYFUNCTION("""COMPUTED_VALUE"""),0.220183486238532)</f>
        <v>0.2201834862</v>
      </c>
      <c r="H59" s="16">
        <f>IFERROR(__xludf.DUMMYFUNCTION("""COMPUTED_VALUE"""),0.18348623853211)</f>
        <v>0.1834862385</v>
      </c>
      <c r="I59" s="16">
        <f>IFERROR(__xludf.DUMMYFUNCTION("""COMPUTED_VALUE"""),0.146788990825688)</f>
        <v>0.1467889908</v>
      </c>
      <c r="J59" s="16">
        <f>IFERROR(__xludf.DUMMYFUNCTION("""COMPUTED_VALUE"""),0.12)</f>
        <v>0.12</v>
      </c>
      <c r="K59" s="16">
        <f>IFERROR(__xludf.DUMMYFUNCTION("""COMPUTED_VALUE"""),0.0947368421052631)</f>
        <v>0.09473684211</v>
      </c>
      <c r="L59" s="16">
        <f>IFERROR(__xludf.DUMMYFUNCTION("""COMPUTED_VALUE"""),0.086021505376344)</f>
        <v>0.08602150538</v>
      </c>
      <c r="M59" s="16">
        <f>IFERROR(__xludf.DUMMYFUNCTION("""COMPUTED_VALUE"""),0.053763440860215)</f>
        <v>0.05376344086</v>
      </c>
      <c r="N59" s="16">
        <f>IFERROR(__xludf.DUMMYFUNCTION("""COMPUTED_VALUE"""),0.0454545454545454)</f>
        <v>0.04545454545</v>
      </c>
      <c r="O59" s="16">
        <f>IFERROR(__xludf.DUMMYFUNCTION("""COMPUTED_VALUE"""),0.0317460317460317)</f>
        <v>0.03174603175</v>
      </c>
      <c r="P59" s="16">
        <f>IFERROR(__xludf.DUMMYFUNCTION("""COMPUTED_VALUE"""),0.2)</f>
        <v>0.2</v>
      </c>
      <c r="Q59" s="16">
        <f>IFERROR(__xludf.DUMMYFUNCTION("""COMPUTED_VALUE"""),0.2)</f>
        <v>0.2</v>
      </c>
      <c r="R59" s="16">
        <f>IFERROR(__xludf.DUMMYFUNCTION("""COMPUTED_VALUE"""),0.0)</f>
        <v>0</v>
      </c>
      <c r="S59" s="16">
        <f>IFERROR(__xludf.DUMMYFUNCTION("""COMPUTED_VALUE"""),0.0)</f>
        <v>0</v>
      </c>
      <c r="T59" s="16">
        <f>IFERROR(__xludf.DUMMYFUNCTION("""COMPUTED_VALUE"""),0.0)</f>
        <v>0</v>
      </c>
      <c r="U59" s="16">
        <f>IFERROR(__xludf.DUMMYFUNCTION("""COMPUTED_VALUE"""),0.0)</f>
        <v>0</v>
      </c>
      <c r="V59" s="16">
        <f>IFERROR(__xludf.DUMMYFUNCTION("""COMPUTED_VALUE"""),0.0)</f>
        <v>0</v>
      </c>
      <c r="W59" s="16">
        <f>IFERROR(__xludf.DUMMYFUNCTION("""COMPUTED_VALUE"""),0.0)</f>
        <v>0</v>
      </c>
      <c r="X59" s="16">
        <f>IFERROR(__xludf.DUMMYFUNCTION("""COMPUTED_VALUE"""),0.0)</f>
        <v>0</v>
      </c>
      <c r="Y59" s="16">
        <f>IFERROR(__xludf.DUMMYFUNCTION("""COMPUTED_VALUE"""),0.0)</f>
        <v>0</v>
      </c>
      <c r="Z59" s="16">
        <f>IFERROR(__xludf.DUMMYFUNCTION("""COMPUTED_VALUE"""),0.0)</f>
        <v>0</v>
      </c>
      <c r="AA59" s="16">
        <f>IFERROR(__xludf.DUMMYFUNCTION("""COMPUTED_VALUE"""),0.0)</f>
        <v>0</v>
      </c>
      <c r="AB59" s="16">
        <f>IFERROR(__xludf.DUMMYFUNCTION("""COMPUTED_VALUE"""),0.0)</f>
        <v>0</v>
      </c>
      <c r="AC59" s="16">
        <f>IFERROR(__xludf.DUMMYFUNCTION("""COMPUTED_VALUE"""),0.0)</f>
        <v>0</v>
      </c>
      <c r="AD59" s="16">
        <f>IFERROR(__xludf.DUMMYFUNCTION("""COMPUTED_VALUE"""),0.0)</f>
        <v>0</v>
      </c>
      <c r="AE59" s="16">
        <f>IFERROR(__xludf.DUMMYFUNCTION("""COMPUTED_VALUE"""),0.0)</f>
        <v>0</v>
      </c>
      <c r="AF59" s="16">
        <f>IFERROR(__xludf.DUMMYFUNCTION("""COMPUTED_VALUE"""),0.0)</f>
        <v>0</v>
      </c>
      <c r="AG59" s="16">
        <f>IFERROR(__xludf.DUMMYFUNCTION("""COMPUTED_VALUE"""),0.0)</f>
        <v>0</v>
      </c>
      <c r="AH59" s="16">
        <f>IFERROR(__xludf.DUMMYFUNCTION("""COMPUTED_VALUE"""),0.0)</f>
        <v>0</v>
      </c>
    </row>
    <row r="60">
      <c r="A60" s="16" t="str">
        <f>IFERROR(__xludf.DUMMYFUNCTION("""COMPUTED_VALUE"""),"31e58f7ec421b1daaed1f4ac654ecd9eb855bc93")</f>
        <v>31e58f7ec421b1daaed1f4ac654ecd9eb855bc93</v>
      </c>
      <c r="B60" s="16" t="str">
        <f>IFERROR(__xludf.DUMMYFUNCTION("""COMPUTED_VALUE"""),"The Forsaken Path")</f>
        <v>The Forsaken Path</v>
      </c>
      <c r="C60" s="16" t="str">
        <f>IFERROR(__xludf.DUMMYFUNCTION("""COMPUTED_VALUE"""),"Fantasy")</f>
        <v>Fantasy</v>
      </c>
      <c r="D60" s="16">
        <f>IFERROR(__xludf.DUMMYFUNCTION("""COMPUTED_VALUE"""),56.0)</f>
        <v>56</v>
      </c>
      <c r="E60" s="16">
        <f>IFERROR(__xludf.DUMMYFUNCTION("""COMPUTED_VALUE"""),0.964285714285714)</f>
        <v>0.9642857143</v>
      </c>
      <c r="F60" s="16">
        <f>IFERROR(__xludf.DUMMYFUNCTION("""COMPUTED_VALUE"""),0.535714285714285)</f>
        <v>0.5357142857</v>
      </c>
      <c r="G60" s="16">
        <f>IFERROR(__xludf.DUMMYFUNCTION("""COMPUTED_VALUE"""),0.517857142857142)</f>
        <v>0.5178571429</v>
      </c>
      <c r="H60" s="16">
        <f>IFERROR(__xludf.DUMMYFUNCTION("""COMPUTED_VALUE"""),0.464285714285714)</f>
        <v>0.4642857143</v>
      </c>
      <c r="I60" s="16">
        <f>IFERROR(__xludf.DUMMYFUNCTION("""COMPUTED_VALUE"""),0.428571428571428)</f>
        <v>0.4285714286</v>
      </c>
      <c r="J60" s="16">
        <f>IFERROR(__xludf.DUMMYFUNCTION("""COMPUTED_VALUE"""),0.428571428571428)</f>
        <v>0.4285714286</v>
      </c>
      <c r="K60" s="16">
        <f>IFERROR(__xludf.DUMMYFUNCTION("""COMPUTED_VALUE"""),0.392857142857142)</f>
        <v>0.3928571429</v>
      </c>
      <c r="L60" s="16">
        <f>IFERROR(__xludf.DUMMYFUNCTION("""COMPUTED_VALUE"""),0.392857142857142)</f>
        <v>0.3928571429</v>
      </c>
      <c r="M60" s="16">
        <f>IFERROR(__xludf.DUMMYFUNCTION("""COMPUTED_VALUE"""),0.392857142857142)</f>
        <v>0.3928571429</v>
      </c>
      <c r="N60" s="16">
        <f>IFERROR(__xludf.DUMMYFUNCTION("""COMPUTED_VALUE"""),0.4)</f>
        <v>0.4</v>
      </c>
      <c r="O60" s="16">
        <f>IFERROR(__xludf.DUMMYFUNCTION("""COMPUTED_VALUE"""),0.369565217391304)</f>
        <v>0.3695652174</v>
      </c>
      <c r="P60" s="16">
        <f>IFERROR(__xludf.DUMMYFUNCTION("""COMPUTED_VALUE"""),0.0)</f>
        <v>0</v>
      </c>
      <c r="Q60" s="16">
        <f>IFERROR(__xludf.DUMMYFUNCTION("""COMPUTED_VALUE"""),0.0)</f>
        <v>0</v>
      </c>
      <c r="R60" s="16">
        <f>IFERROR(__xludf.DUMMYFUNCTION("""COMPUTED_VALUE"""),0.0)</f>
        <v>0</v>
      </c>
      <c r="S60" s="16">
        <f>IFERROR(__xludf.DUMMYFUNCTION("""COMPUTED_VALUE"""),0.0)</f>
        <v>0</v>
      </c>
      <c r="T60" s="16">
        <f>IFERROR(__xludf.DUMMYFUNCTION("""COMPUTED_VALUE"""),0.0)</f>
        <v>0</v>
      </c>
      <c r="U60" s="16">
        <f>IFERROR(__xludf.DUMMYFUNCTION("""COMPUTED_VALUE"""),0.0)</f>
        <v>0</v>
      </c>
      <c r="V60" s="16">
        <f>IFERROR(__xludf.DUMMYFUNCTION("""COMPUTED_VALUE"""),0.0)</f>
        <v>0</v>
      </c>
      <c r="W60" s="16">
        <f>IFERROR(__xludf.DUMMYFUNCTION("""COMPUTED_VALUE"""),0.0)</f>
        <v>0</v>
      </c>
      <c r="X60" s="16">
        <f>IFERROR(__xludf.DUMMYFUNCTION("""COMPUTED_VALUE"""),0.0)</f>
        <v>0</v>
      </c>
      <c r="Y60" s="16">
        <f>IFERROR(__xludf.DUMMYFUNCTION("""COMPUTED_VALUE"""),0.0)</f>
        <v>0</v>
      </c>
      <c r="Z60" s="16">
        <f>IFERROR(__xludf.DUMMYFUNCTION("""COMPUTED_VALUE"""),0.0)</f>
        <v>0</v>
      </c>
      <c r="AA60" s="16">
        <f>IFERROR(__xludf.DUMMYFUNCTION("""COMPUTED_VALUE"""),0.0)</f>
        <v>0</v>
      </c>
      <c r="AB60" s="16">
        <f>IFERROR(__xludf.DUMMYFUNCTION("""COMPUTED_VALUE"""),0.0)</f>
        <v>0</v>
      </c>
      <c r="AC60" s="16">
        <f>IFERROR(__xludf.DUMMYFUNCTION("""COMPUTED_VALUE"""),0.0)</f>
        <v>0</v>
      </c>
      <c r="AD60" s="16">
        <f>IFERROR(__xludf.DUMMYFUNCTION("""COMPUTED_VALUE"""),0.0)</f>
        <v>0</v>
      </c>
      <c r="AE60" s="16">
        <f>IFERROR(__xludf.DUMMYFUNCTION("""COMPUTED_VALUE"""),0.0)</f>
        <v>0</v>
      </c>
      <c r="AF60" s="16">
        <f>IFERROR(__xludf.DUMMYFUNCTION("""COMPUTED_VALUE"""),0.0)</f>
        <v>0</v>
      </c>
      <c r="AG60" s="16">
        <f>IFERROR(__xludf.DUMMYFUNCTION("""COMPUTED_VALUE"""),0.0)</f>
        <v>0</v>
      </c>
      <c r="AH60" s="16">
        <f>IFERROR(__xludf.DUMMYFUNCTION("""COMPUTED_VALUE"""),0.0)</f>
        <v>0</v>
      </c>
    </row>
    <row r="61">
      <c r="A61" s="16" t="str">
        <f>IFERROR(__xludf.DUMMYFUNCTION("""COMPUTED_VALUE"""),"328a6c95d732271bc4717aa2abf3a7c15f89a25e")</f>
        <v>328a6c95d732271bc4717aa2abf3a7c15f89a25e</v>
      </c>
      <c r="B61" s="16" t="str">
        <f>IFERROR(__xludf.DUMMYFUNCTION("""COMPUTED_VALUE"""),"Braving the Rapid Waters")</f>
        <v>Braving the Rapid Waters</v>
      </c>
      <c r="C61" s="16" t="str">
        <f>IFERROR(__xludf.DUMMYFUNCTION("""COMPUTED_VALUE"""),"Romance")</f>
        <v>Romance</v>
      </c>
      <c r="D61" s="16">
        <f>IFERROR(__xludf.DUMMYFUNCTION("""COMPUTED_VALUE"""),363.0)</f>
        <v>363</v>
      </c>
      <c r="E61" s="16">
        <f>IFERROR(__xludf.DUMMYFUNCTION("""COMPUTED_VALUE"""),0.977961432506887)</f>
        <v>0.9779614325</v>
      </c>
      <c r="F61" s="16">
        <f>IFERROR(__xludf.DUMMYFUNCTION("""COMPUTED_VALUE"""),0.52892561983471)</f>
        <v>0.5289256198</v>
      </c>
      <c r="G61" s="16">
        <f>IFERROR(__xludf.DUMMYFUNCTION("""COMPUTED_VALUE"""),0.457300275482093)</f>
        <v>0.4573002755</v>
      </c>
      <c r="H61" s="16">
        <f>IFERROR(__xludf.DUMMYFUNCTION("""COMPUTED_VALUE"""),0.429752066115702)</f>
        <v>0.4297520661</v>
      </c>
      <c r="I61" s="16">
        <f>IFERROR(__xludf.DUMMYFUNCTION("""COMPUTED_VALUE"""),0.402203856749311)</f>
        <v>0.4022038567</v>
      </c>
      <c r="J61" s="16">
        <f>IFERROR(__xludf.DUMMYFUNCTION("""COMPUTED_VALUE"""),0.391184573002754)</f>
        <v>0.391184573</v>
      </c>
      <c r="K61" s="16">
        <f>IFERROR(__xludf.DUMMYFUNCTION("""COMPUTED_VALUE"""),0.371900826446281)</f>
        <v>0.3719008264</v>
      </c>
      <c r="L61" s="16">
        <f>IFERROR(__xludf.DUMMYFUNCTION("""COMPUTED_VALUE"""),0.349862258953168)</f>
        <v>0.349862259</v>
      </c>
      <c r="M61" s="16">
        <f>IFERROR(__xludf.DUMMYFUNCTION("""COMPUTED_VALUE"""),0.336088154269972)</f>
        <v>0.3360881543</v>
      </c>
      <c r="N61" s="16">
        <f>IFERROR(__xludf.DUMMYFUNCTION("""COMPUTED_VALUE"""),0.325068870523416)</f>
        <v>0.3250688705</v>
      </c>
      <c r="O61" s="16">
        <f>IFERROR(__xludf.DUMMYFUNCTION("""COMPUTED_VALUE"""),0.226519337016574)</f>
        <v>0.226519337</v>
      </c>
      <c r="P61" s="16">
        <f>IFERROR(__xludf.DUMMYFUNCTION("""COMPUTED_VALUE"""),0.135359116022099)</f>
        <v>0.135359116</v>
      </c>
      <c r="Q61" s="16">
        <f>IFERROR(__xludf.DUMMYFUNCTION("""COMPUTED_VALUE"""),0.0762711864406779)</f>
        <v>0.07627118644</v>
      </c>
      <c r="R61" s="16">
        <f>IFERROR(__xludf.DUMMYFUNCTION("""COMPUTED_VALUE"""),0.0311614730878186)</f>
        <v>0.03116147309</v>
      </c>
      <c r="S61" s="16">
        <f>IFERROR(__xludf.DUMMYFUNCTION("""COMPUTED_VALUE"""),0.0)</f>
        <v>0</v>
      </c>
      <c r="T61" s="16">
        <f>IFERROR(__xludf.DUMMYFUNCTION("""COMPUTED_VALUE"""),0.0)</f>
        <v>0</v>
      </c>
      <c r="U61" s="16">
        <f>IFERROR(__xludf.DUMMYFUNCTION("""COMPUTED_VALUE"""),0.0)</f>
        <v>0</v>
      </c>
      <c r="V61" s="16">
        <f>IFERROR(__xludf.DUMMYFUNCTION("""COMPUTED_VALUE"""),0.0)</f>
        <v>0</v>
      </c>
      <c r="W61" s="16">
        <f>IFERROR(__xludf.DUMMYFUNCTION("""COMPUTED_VALUE"""),0.0)</f>
        <v>0</v>
      </c>
      <c r="X61" s="16">
        <f>IFERROR(__xludf.DUMMYFUNCTION("""COMPUTED_VALUE"""),0.0)</f>
        <v>0</v>
      </c>
      <c r="Y61" s="16">
        <f>IFERROR(__xludf.DUMMYFUNCTION("""COMPUTED_VALUE"""),0.0)</f>
        <v>0</v>
      </c>
      <c r="Z61" s="16">
        <f>IFERROR(__xludf.DUMMYFUNCTION("""COMPUTED_VALUE"""),0.0)</f>
        <v>0</v>
      </c>
      <c r="AA61" s="16">
        <f>IFERROR(__xludf.DUMMYFUNCTION("""COMPUTED_VALUE"""),0.0)</f>
        <v>0</v>
      </c>
      <c r="AB61" s="16">
        <f>IFERROR(__xludf.DUMMYFUNCTION("""COMPUTED_VALUE"""),0.0)</f>
        <v>0</v>
      </c>
      <c r="AC61" s="16">
        <f>IFERROR(__xludf.DUMMYFUNCTION("""COMPUTED_VALUE"""),0.0)</f>
        <v>0</v>
      </c>
      <c r="AD61" s="16">
        <f>IFERROR(__xludf.DUMMYFUNCTION("""COMPUTED_VALUE"""),0.0)</f>
        <v>0</v>
      </c>
      <c r="AE61" s="16">
        <f>IFERROR(__xludf.DUMMYFUNCTION("""COMPUTED_VALUE"""),0.0)</f>
        <v>0</v>
      </c>
      <c r="AF61" s="16">
        <f>IFERROR(__xludf.DUMMYFUNCTION("""COMPUTED_VALUE"""),0.0)</f>
        <v>0</v>
      </c>
      <c r="AG61" s="16">
        <f>IFERROR(__xludf.DUMMYFUNCTION("""COMPUTED_VALUE"""),0.0)</f>
        <v>0</v>
      </c>
      <c r="AH61" s="16">
        <f>IFERROR(__xludf.DUMMYFUNCTION("""COMPUTED_VALUE"""),0.0)</f>
        <v>0</v>
      </c>
    </row>
    <row r="62">
      <c r="A62" s="16" t="str">
        <f>IFERROR(__xludf.DUMMYFUNCTION("""COMPUTED_VALUE"""),"328d4b017d5db890a886902acdade960088fb3d8")</f>
        <v>328d4b017d5db890a886902acdade960088fb3d8</v>
      </c>
      <c r="B62" s="16" t="str">
        <f>IFERROR(__xludf.DUMMYFUNCTION("""COMPUTED_VALUE"""),"Her Worthless Son-in-Law")</f>
        <v>Her Worthless Son-in-Law</v>
      </c>
      <c r="C62" s="16" t="str">
        <f>IFERROR(__xludf.DUMMYFUNCTION("""COMPUTED_VALUE"""),"System and Superpower")</f>
        <v>System and Superpower</v>
      </c>
      <c r="D62" s="16">
        <f>IFERROR(__xludf.DUMMYFUNCTION("""COMPUTED_VALUE"""),20.0)</f>
        <v>20</v>
      </c>
      <c r="E62" s="16">
        <f>IFERROR(__xludf.DUMMYFUNCTION("""COMPUTED_VALUE"""),0.95)</f>
        <v>0.95</v>
      </c>
      <c r="F62" s="16">
        <f>IFERROR(__xludf.DUMMYFUNCTION("""COMPUTED_VALUE"""),0.7)</f>
        <v>0.7</v>
      </c>
      <c r="G62" s="16">
        <f>IFERROR(__xludf.DUMMYFUNCTION("""COMPUTED_VALUE"""),0.7)</f>
        <v>0.7</v>
      </c>
      <c r="H62" s="16">
        <f>IFERROR(__xludf.DUMMYFUNCTION("""COMPUTED_VALUE"""),0.7)</f>
        <v>0.7</v>
      </c>
      <c r="I62" s="16">
        <f>IFERROR(__xludf.DUMMYFUNCTION("""COMPUTED_VALUE"""),0.7)</f>
        <v>0.7</v>
      </c>
      <c r="J62" s="16">
        <f>IFERROR(__xludf.DUMMYFUNCTION("""COMPUTED_VALUE"""),0.65)</f>
        <v>0.65</v>
      </c>
      <c r="K62" s="16">
        <f>IFERROR(__xludf.DUMMYFUNCTION("""COMPUTED_VALUE"""),0.65)</f>
        <v>0.65</v>
      </c>
      <c r="L62" s="16">
        <f>IFERROR(__xludf.DUMMYFUNCTION("""COMPUTED_VALUE"""),0.65)</f>
        <v>0.65</v>
      </c>
      <c r="M62" s="16">
        <f>IFERROR(__xludf.DUMMYFUNCTION("""COMPUTED_VALUE"""),0.65)</f>
        <v>0.65</v>
      </c>
      <c r="N62" s="16">
        <f>IFERROR(__xludf.DUMMYFUNCTION("""COMPUTED_VALUE"""),0.578947368421052)</f>
        <v>0.5789473684</v>
      </c>
      <c r="O62" s="16">
        <f>IFERROR(__xludf.DUMMYFUNCTION("""COMPUTED_VALUE"""),0.5)</f>
        <v>0.5</v>
      </c>
      <c r="P62" s="16">
        <f>IFERROR(__xludf.DUMMYFUNCTION("""COMPUTED_VALUE"""),0.333333333333333)</f>
        <v>0.3333333333</v>
      </c>
      <c r="Q62" s="16">
        <f>IFERROR(__xludf.DUMMYFUNCTION("""COMPUTED_VALUE"""),0.428571428571428)</f>
        <v>0.4285714286</v>
      </c>
      <c r="R62" s="16">
        <f>IFERROR(__xludf.DUMMYFUNCTION("""COMPUTED_VALUE"""),0.0)</f>
        <v>0</v>
      </c>
      <c r="S62" s="16">
        <f>IFERROR(__xludf.DUMMYFUNCTION("""COMPUTED_VALUE"""),0.0)</f>
        <v>0</v>
      </c>
      <c r="T62" s="16">
        <f>IFERROR(__xludf.DUMMYFUNCTION("""COMPUTED_VALUE"""),0.0)</f>
        <v>0</v>
      </c>
      <c r="U62" s="16">
        <f>IFERROR(__xludf.DUMMYFUNCTION("""COMPUTED_VALUE"""),0.0)</f>
        <v>0</v>
      </c>
      <c r="V62" s="16">
        <f>IFERROR(__xludf.DUMMYFUNCTION("""COMPUTED_VALUE"""),0.0)</f>
        <v>0</v>
      </c>
      <c r="W62" s="16">
        <f>IFERROR(__xludf.DUMMYFUNCTION("""COMPUTED_VALUE"""),0.0)</f>
        <v>0</v>
      </c>
      <c r="X62" s="16">
        <f>IFERROR(__xludf.DUMMYFUNCTION("""COMPUTED_VALUE"""),0.0)</f>
        <v>0</v>
      </c>
      <c r="Y62" s="16">
        <f>IFERROR(__xludf.DUMMYFUNCTION("""COMPUTED_VALUE"""),0.0)</f>
        <v>0</v>
      </c>
      <c r="Z62" s="16">
        <f>IFERROR(__xludf.DUMMYFUNCTION("""COMPUTED_VALUE"""),0.0)</f>
        <v>0</v>
      </c>
      <c r="AA62" s="16">
        <f>IFERROR(__xludf.DUMMYFUNCTION("""COMPUTED_VALUE"""),0.0)</f>
        <v>0</v>
      </c>
      <c r="AB62" s="16">
        <f>IFERROR(__xludf.DUMMYFUNCTION("""COMPUTED_VALUE"""),0.0)</f>
        <v>0</v>
      </c>
      <c r="AC62" s="16">
        <f>IFERROR(__xludf.DUMMYFUNCTION("""COMPUTED_VALUE"""),0.0)</f>
        <v>0</v>
      </c>
      <c r="AD62" s="16">
        <f>IFERROR(__xludf.DUMMYFUNCTION("""COMPUTED_VALUE"""),0.0)</f>
        <v>0</v>
      </c>
      <c r="AE62" s="16">
        <f>IFERROR(__xludf.DUMMYFUNCTION("""COMPUTED_VALUE"""),0.0)</f>
        <v>0</v>
      </c>
      <c r="AF62" s="16">
        <f>IFERROR(__xludf.DUMMYFUNCTION("""COMPUTED_VALUE"""),0.0)</f>
        <v>0</v>
      </c>
      <c r="AG62" s="16">
        <f>IFERROR(__xludf.DUMMYFUNCTION("""COMPUTED_VALUE"""),0.0)</f>
        <v>0</v>
      </c>
      <c r="AH62" s="16">
        <f>IFERROR(__xludf.DUMMYFUNCTION("""COMPUTED_VALUE"""),0.0)</f>
        <v>0</v>
      </c>
    </row>
    <row r="63">
      <c r="A63" s="16" t="str">
        <f>IFERROR(__xludf.DUMMYFUNCTION("""COMPUTED_VALUE"""),"33e8ab0db9ae32917785af78276932f16eac10c0")</f>
        <v>33e8ab0db9ae32917785af78276932f16eac10c0</v>
      </c>
      <c r="B63" s="16" t="str">
        <f>IFERROR(__xludf.DUMMYFUNCTION("""COMPUTED_VALUE"""),"The Crowns Selection")</f>
        <v>The Crowns Selection</v>
      </c>
      <c r="C63" s="16" t="str">
        <f>IFERROR(__xludf.DUMMYFUNCTION("""COMPUTED_VALUE"""),"Romance")</f>
        <v>Romance</v>
      </c>
      <c r="D63" s="16">
        <f>IFERROR(__xludf.DUMMYFUNCTION("""COMPUTED_VALUE"""),516.0)</f>
        <v>516</v>
      </c>
      <c r="E63" s="16">
        <f>IFERROR(__xludf.DUMMYFUNCTION("""COMPUTED_VALUE"""),0.982558139534883)</f>
        <v>0.9825581395</v>
      </c>
      <c r="F63" s="16">
        <f>IFERROR(__xludf.DUMMYFUNCTION("""COMPUTED_VALUE"""),0.579457364341085)</f>
        <v>0.5794573643</v>
      </c>
      <c r="G63" s="16">
        <f>IFERROR(__xludf.DUMMYFUNCTION("""COMPUTED_VALUE"""),0.513565891472868)</f>
        <v>0.5135658915</v>
      </c>
      <c r="H63" s="16">
        <f>IFERROR(__xludf.DUMMYFUNCTION("""COMPUTED_VALUE"""),0.482558139534883)</f>
        <v>0.4825581395</v>
      </c>
      <c r="I63" s="16">
        <f>IFERROR(__xludf.DUMMYFUNCTION("""COMPUTED_VALUE"""),0.375968992248062)</f>
        <v>0.3759689922</v>
      </c>
      <c r="J63" s="16">
        <f>IFERROR(__xludf.DUMMYFUNCTION("""COMPUTED_VALUE"""),0.355339805825242)</f>
        <v>0.3553398058</v>
      </c>
      <c r="K63" s="16">
        <f>IFERROR(__xludf.DUMMYFUNCTION("""COMPUTED_VALUE"""),0.317120622568093)</f>
        <v>0.3171206226</v>
      </c>
      <c r="L63" s="16">
        <f>IFERROR(__xludf.DUMMYFUNCTION("""COMPUTED_VALUE"""),0.30859375)</f>
        <v>0.30859375</v>
      </c>
      <c r="M63" s="16">
        <f>IFERROR(__xludf.DUMMYFUNCTION("""COMPUTED_VALUE"""),0.285714285714285)</f>
        <v>0.2857142857</v>
      </c>
      <c r="N63" s="16">
        <f>IFERROR(__xludf.DUMMYFUNCTION("""COMPUTED_VALUE"""),0.290726817042606)</f>
        <v>0.290726817</v>
      </c>
      <c r="O63" s="16">
        <f>IFERROR(__xludf.DUMMYFUNCTION("""COMPUTED_VALUE"""),0.245901639344262)</f>
        <v>0.2459016393</v>
      </c>
      <c r="P63" s="16">
        <f>IFERROR(__xludf.DUMMYFUNCTION("""COMPUTED_VALUE"""),0.27027027027027)</f>
        <v>0.2702702703</v>
      </c>
      <c r="Q63" s="16">
        <f>IFERROR(__xludf.DUMMYFUNCTION("""COMPUTED_VALUE"""),0.307692307692307)</f>
        <v>0.3076923077</v>
      </c>
      <c r="R63" s="16">
        <f>IFERROR(__xludf.DUMMYFUNCTION("""COMPUTED_VALUE"""),0.0)</f>
        <v>0</v>
      </c>
      <c r="S63" s="16">
        <f>IFERROR(__xludf.DUMMYFUNCTION("""COMPUTED_VALUE"""),0.0)</f>
        <v>0</v>
      </c>
      <c r="T63" s="16">
        <f>IFERROR(__xludf.DUMMYFUNCTION("""COMPUTED_VALUE"""),0.0)</f>
        <v>0</v>
      </c>
      <c r="U63" s="16">
        <f>IFERROR(__xludf.DUMMYFUNCTION("""COMPUTED_VALUE"""),0.0)</f>
        <v>0</v>
      </c>
      <c r="V63" s="16">
        <f>IFERROR(__xludf.DUMMYFUNCTION("""COMPUTED_VALUE"""),0.0)</f>
        <v>0</v>
      </c>
      <c r="W63" s="16">
        <f>IFERROR(__xludf.DUMMYFUNCTION("""COMPUTED_VALUE"""),0.0)</f>
        <v>0</v>
      </c>
      <c r="X63" s="16">
        <f>IFERROR(__xludf.DUMMYFUNCTION("""COMPUTED_VALUE"""),0.0)</f>
        <v>0</v>
      </c>
      <c r="Y63" s="16">
        <f>IFERROR(__xludf.DUMMYFUNCTION("""COMPUTED_VALUE"""),0.0)</f>
        <v>0</v>
      </c>
      <c r="Z63" s="16">
        <f>IFERROR(__xludf.DUMMYFUNCTION("""COMPUTED_VALUE"""),0.0)</f>
        <v>0</v>
      </c>
      <c r="AA63" s="16">
        <f>IFERROR(__xludf.DUMMYFUNCTION("""COMPUTED_VALUE"""),0.0)</f>
        <v>0</v>
      </c>
      <c r="AB63" s="16">
        <f>IFERROR(__xludf.DUMMYFUNCTION("""COMPUTED_VALUE"""),0.0)</f>
        <v>0</v>
      </c>
      <c r="AC63" s="16">
        <f>IFERROR(__xludf.DUMMYFUNCTION("""COMPUTED_VALUE"""),0.0)</f>
        <v>0</v>
      </c>
      <c r="AD63" s="16">
        <f>IFERROR(__xludf.DUMMYFUNCTION("""COMPUTED_VALUE"""),0.0)</f>
        <v>0</v>
      </c>
      <c r="AE63" s="16">
        <f>IFERROR(__xludf.DUMMYFUNCTION("""COMPUTED_VALUE"""),0.0)</f>
        <v>0</v>
      </c>
      <c r="AF63" s="16">
        <f>IFERROR(__xludf.DUMMYFUNCTION("""COMPUTED_VALUE"""),0.0)</f>
        <v>0</v>
      </c>
      <c r="AG63" s="16">
        <f>IFERROR(__xludf.DUMMYFUNCTION("""COMPUTED_VALUE"""),0.0)</f>
        <v>0</v>
      </c>
      <c r="AH63" s="16">
        <f>IFERROR(__xludf.DUMMYFUNCTION("""COMPUTED_VALUE"""),0.0)</f>
        <v>0</v>
      </c>
    </row>
    <row r="64">
      <c r="A64" s="16" t="str">
        <f>IFERROR(__xludf.DUMMYFUNCTION("""COMPUTED_VALUE"""),"344fcbb2ea419c5e240def842cb2949db59acee4")</f>
        <v>344fcbb2ea419c5e240def842cb2949db59acee4</v>
      </c>
      <c r="B64" s="16" t="str">
        <f>IFERROR(__xludf.DUMMYFUNCTION("""COMPUTED_VALUE"""),"Gate of Immortality")</f>
        <v>Gate of Immortality</v>
      </c>
      <c r="C64" s="16" t="str">
        <f>IFERROR(__xludf.DUMMYFUNCTION("""COMPUTED_VALUE"""),"Drama")</f>
        <v>Drama</v>
      </c>
      <c r="D64" s="16">
        <f>IFERROR(__xludf.DUMMYFUNCTION("""COMPUTED_VALUE"""),37.0)</f>
        <v>37</v>
      </c>
      <c r="E64" s="16">
        <f>IFERROR(__xludf.DUMMYFUNCTION("""COMPUTED_VALUE"""),0.972972972972973)</f>
        <v>0.972972973</v>
      </c>
      <c r="F64" s="16">
        <f>IFERROR(__xludf.DUMMYFUNCTION("""COMPUTED_VALUE"""),0.432432432432432)</f>
        <v>0.4324324324</v>
      </c>
      <c r="G64" s="16">
        <f>IFERROR(__xludf.DUMMYFUNCTION("""COMPUTED_VALUE"""),0.378378378378378)</f>
        <v>0.3783783784</v>
      </c>
      <c r="H64" s="16">
        <f>IFERROR(__xludf.DUMMYFUNCTION("""COMPUTED_VALUE"""),0.378378378378378)</f>
        <v>0.3783783784</v>
      </c>
      <c r="I64" s="16">
        <f>IFERROR(__xludf.DUMMYFUNCTION("""COMPUTED_VALUE"""),0.351351351351351)</f>
        <v>0.3513513514</v>
      </c>
      <c r="J64" s="16">
        <f>IFERROR(__xludf.DUMMYFUNCTION("""COMPUTED_VALUE"""),0.305555555555555)</f>
        <v>0.3055555556</v>
      </c>
      <c r="K64" s="16">
        <f>IFERROR(__xludf.DUMMYFUNCTION("""COMPUTED_VALUE"""),0.242424242424242)</f>
        <v>0.2424242424</v>
      </c>
      <c r="L64" s="16">
        <f>IFERROR(__xludf.DUMMYFUNCTION("""COMPUTED_VALUE"""),0.2)</f>
        <v>0.2</v>
      </c>
      <c r="M64" s="16">
        <f>IFERROR(__xludf.DUMMYFUNCTION("""COMPUTED_VALUE"""),0.2)</f>
        <v>0.2</v>
      </c>
      <c r="N64" s="16">
        <f>IFERROR(__xludf.DUMMYFUNCTION("""COMPUTED_VALUE"""),0.217391304347826)</f>
        <v>0.2173913043</v>
      </c>
      <c r="O64" s="16">
        <f>IFERROR(__xludf.DUMMYFUNCTION("""COMPUTED_VALUE"""),0.0666666666666666)</f>
        <v>0.06666666667</v>
      </c>
      <c r="P64" s="16">
        <f>IFERROR(__xludf.DUMMYFUNCTION("""COMPUTED_VALUE"""),0.2)</f>
        <v>0.2</v>
      </c>
      <c r="Q64" s="16">
        <f>IFERROR(__xludf.DUMMYFUNCTION("""COMPUTED_VALUE"""),0.0)</f>
        <v>0</v>
      </c>
      <c r="R64" s="16">
        <f>IFERROR(__xludf.DUMMYFUNCTION("""COMPUTED_VALUE"""),0.0)</f>
        <v>0</v>
      </c>
      <c r="S64" s="16">
        <f>IFERROR(__xludf.DUMMYFUNCTION("""COMPUTED_VALUE"""),0.0)</f>
        <v>0</v>
      </c>
      <c r="T64" s="16">
        <f>IFERROR(__xludf.DUMMYFUNCTION("""COMPUTED_VALUE"""),0.0)</f>
        <v>0</v>
      </c>
      <c r="U64" s="16">
        <f>IFERROR(__xludf.DUMMYFUNCTION("""COMPUTED_VALUE"""),0.0)</f>
        <v>0</v>
      </c>
      <c r="V64" s="16">
        <f>IFERROR(__xludf.DUMMYFUNCTION("""COMPUTED_VALUE"""),0.0)</f>
        <v>0</v>
      </c>
      <c r="W64" s="16">
        <f>IFERROR(__xludf.DUMMYFUNCTION("""COMPUTED_VALUE"""),0.0)</f>
        <v>0</v>
      </c>
      <c r="X64" s="16">
        <f>IFERROR(__xludf.DUMMYFUNCTION("""COMPUTED_VALUE"""),0.0)</f>
        <v>0</v>
      </c>
      <c r="Y64" s="16">
        <f>IFERROR(__xludf.DUMMYFUNCTION("""COMPUTED_VALUE"""),0.0)</f>
        <v>0</v>
      </c>
      <c r="Z64" s="16">
        <f>IFERROR(__xludf.DUMMYFUNCTION("""COMPUTED_VALUE"""),0.0)</f>
        <v>0</v>
      </c>
      <c r="AA64" s="16">
        <f>IFERROR(__xludf.DUMMYFUNCTION("""COMPUTED_VALUE"""),0.0)</f>
        <v>0</v>
      </c>
      <c r="AB64" s="16">
        <f>IFERROR(__xludf.DUMMYFUNCTION("""COMPUTED_VALUE"""),0.0)</f>
        <v>0</v>
      </c>
      <c r="AC64" s="16">
        <f>IFERROR(__xludf.DUMMYFUNCTION("""COMPUTED_VALUE"""),0.0)</f>
        <v>0</v>
      </c>
      <c r="AD64" s="16">
        <f>IFERROR(__xludf.DUMMYFUNCTION("""COMPUTED_VALUE"""),0.0)</f>
        <v>0</v>
      </c>
      <c r="AE64" s="16">
        <f>IFERROR(__xludf.DUMMYFUNCTION("""COMPUTED_VALUE"""),0.0)</f>
        <v>0</v>
      </c>
      <c r="AF64" s="16">
        <f>IFERROR(__xludf.DUMMYFUNCTION("""COMPUTED_VALUE"""),0.0)</f>
        <v>0</v>
      </c>
      <c r="AG64" s="16">
        <f>IFERROR(__xludf.DUMMYFUNCTION("""COMPUTED_VALUE"""),0.0)</f>
        <v>0</v>
      </c>
      <c r="AH64" s="16">
        <f>IFERROR(__xludf.DUMMYFUNCTION("""COMPUTED_VALUE"""),0.0)</f>
        <v>0</v>
      </c>
    </row>
    <row r="65">
      <c r="A65" s="16" t="str">
        <f>IFERROR(__xludf.DUMMYFUNCTION("""COMPUTED_VALUE"""),"34997bc4167305107b251e0bf8431553064ef3a5")</f>
        <v>34997bc4167305107b251e0bf8431553064ef3a5</v>
      </c>
      <c r="B65" s="16" t="str">
        <f>IFERROR(__xludf.DUMMYFUNCTION("""COMPUTED_VALUE"""),"The Ghost Heiress")</f>
        <v>The Ghost Heiress</v>
      </c>
      <c r="C65" s="16" t="str">
        <f>IFERROR(__xludf.DUMMYFUNCTION("""COMPUTED_VALUE"""),"Romance")</f>
        <v>Romance</v>
      </c>
      <c r="D65" s="16">
        <f>IFERROR(__xludf.DUMMYFUNCTION("""COMPUTED_VALUE"""),319.0)</f>
        <v>319</v>
      </c>
      <c r="E65" s="16">
        <f>IFERROR(__xludf.DUMMYFUNCTION("""COMPUTED_VALUE"""),0.946708463949843)</f>
        <v>0.9467084639</v>
      </c>
      <c r="F65" s="16">
        <f>IFERROR(__xludf.DUMMYFUNCTION("""COMPUTED_VALUE"""),0.561128526645768)</f>
        <v>0.5611285266</v>
      </c>
      <c r="G65" s="16">
        <f>IFERROR(__xludf.DUMMYFUNCTION("""COMPUTED_VALUE"""),0.507836990595611)</f>
        <v>0.5078369906</v>
      </c>
      <c r="H65" s="16">
        <f>IFERROR(__xludf.DUMMYFUNCTION("""COMPUTED_VALUE"""),0.460815047021943)</f>
        <v>0.460815047</v>
      </c>
      <c r="I65" s="16">
        <f>IFERROR(__xludf.DUMMYFUNCTION("""COMPUTED_VALUE"""),0.423197492163009)</f>
        <v>0.4231974922</v>
      </c>
      <c r="J65" s="16">
        <f>IFERROR(__xludf.DUMMYFUNCTION("""COMPUTED_VALUE"""),0.374193548387096)</f>
        <v>0.3741935484</v>
      </c>
      <c r="K65" s="16">
        <f>IFERROR(__xludf.DUMMYFUNCTION("""COMPUTED_VALUE"""),0.286184210526315)</f>
        <v>0.2861842105</v>
      </c>
      <c r="L65" s="16">
        <f>IFERROR(__xludf.DUMMYFUNCTION("""COMPUTED_VALUE"""),0.293233082706766)</f>
        <v>0.2932330827</v>
      </c>
      <c r="M65" s="16">
        <f>IFERROR(__xludf.DUMMYFUNCTION("""COMPUTED_VALUE"""),0.318725099601593)</f>
        <v>0.3187250996</v>
      </c>
      <c r="N65" s="16">
        <f>IFERROR(__xludf.DUMMYFUNCTION("""COMPUTED_VALUE"""),0.313364055299539)</f>
        <v>0.3133640553</v>
      </c>
      <c r="O65" s="16">
        <f>IFERROR(__xludf.DUMMYFUNCTION("""COMPUTED_VALUE"""),0.264705882352941)</f>
        <v>0.2647058824</v>
      </c>
      <c r="P65" s="16">
        <f>IFERROR(__xludf.DUMMYFUNCTION("""COMPUTED_VALUE"""),0.196078431372549)</f>
        <v>0.1960784314</v>
      </c>
      <c r="Q65" s="16">
        <f>IFERROR(__xludf.DUMMYFUNCTION("""COMPUTED_VALUE"""),0.333333333333333)</f>
        <v>0.3333333333</v>
      </c>
      <c r="R65" s="16">
        <f>IFERROR(__xludf.DUMMYFUNCTION("""COMPUTED_VALUE"""),0.0)</f>
        <v>0</v>
      </c>
      <c r="S65" s="16">
        <f>IFERROR(__xludf.DUMMYFUNCTION("""COMPUTED_VALUE"""),0.0)</f>
        <v>0</v>
      </c>
      <c r="T65" s="16">
        <f>IFERROR(__xludf.DUMMYFUNCTION("""COMPUTED_VALUE"""),0.0)</f>
        <v>0</v>
      </c>
      <c r="U65" s="16">
        <f>IFERROR(__xludf.DUMMYFUNCTION("""COMPUTED_VALUE"""),0.0)</f>
        <v>0</v>
      </c>
      <c r="V65" s="16">
        <f>IFERROR(__xludf.DUMMYFUNCTION("""COMPUTED_VALUE"""),0.0)</f>
        <v>0</v>
      </c>
      <c r="W65" s="16">
        <f>IFERROR(__xludf.DUMMYFUNCTION("""COMPUTED_VALUE"""),0.0)</f>
        <v>0</v>
      </c>
      <c r="X65" s="16">
        <f>IFERROR(__xludf.DUMMYFUNCTION("""COMPUTED_VALUE"""),0.0)</f>
        <v>0</v>
      </c>
      <c r="Y65" s="16">
        <f>IFERROR(__xludf.DUMMYFUNCTION("""COMPUTED_VALUE"""),0.0)</f>
        <v>0</v>
      </c>
      <c r="Z65" s="16">
        <f>IFERROR(__xludf.DUMMYFUNCTION("""COMPUTED_VALUE"""),0.0)</f>
        <v>0</v>
      </c>
      <c r="AA65" s="16">
        <f>IFERROR(__xludf.DUMMYFUNCTION("""COMPUTED_VALUE"""),0.0)</f>
        <v>0</v>
      </c>
      <c r="AB65" s="16">
        <f>IFERROR(__xludf.DUMMYFUNCTION("""COMPUTED_VALUE"""),0.0)</f>
        <v>0</v>
      </c>
      <c r="AC65" s="16">
        <f>IFERROR(__xludf.DUMMYFUNCTION("""COMPUTED_VALUE"""),0.0)</f>
        <v>0</v>
      </c>
      <c r="AD65" s="16">
        <f>IFERROR(__xludf.DUMMYFUNCTION("""COMPUTED_VALUE"""),0.0)</f>
        <v>0</v>
      </c>
      <c r="AE65" s="16">
        <f>IFERROR(__xludf.DUMMYFUNCTION("""COMPUTED_VALUE"""),0.0)</f>
        <v>0</v>
      </c>
      <c r="AF65" s="16">
        <f>IFERROR(__xludf.DUMMYFUNCTION("""COMPUTED_VALUE"""),0.0)</f>
        <v>0</v>
      </c>
      <c r="AG65" s="16">
        <f>IFERROR(__xludf.DUMMYFUNCTION("""COMPUTED_VALUE"""),0.0)</f>
        <v>0</v>
      </c>
      <c r="AH65" s="16">
        <f>IFERROR(__xludf.DUMMYFUNCTION("""COMPUTED_VALUE"""),0.0)</f>
        <v>0</v>
      </c>
    </row>
    <row r="66">
      <c r="A66" s="16" t="str">
        <f>IFERROR(__xludf.DUMMYFUNCTION("""COMPUTED_VALUE"""),"34f2f307c600eaadeadd185f5681a891034fb635")</f>
        <v>34f2f307c600eaadeadd185f5681a891034fb635</v>
      </c>
      <c r="B66" s="16" t="str">
        <f>IFERROR(__xludf.DUMMYFUNCTION("""COMPUTED_VALUE"""),"Complete Deception")</f>
        <v>Complete Deception</v>
      </c>
      <c r="C66" s="16" t="str">
        <f>IFERROR(__xludf.DUMMYFUNCTION("""COMPUTED_VALUE"""),"Romance")</f>
        <v>Romance</v>
      </c>
      <c r="D66" s="16">
        <f>IFERROR(__xludf.DUMMYFUNCTION("""COMPUTED_VALUE"""),373.0)</f>
        <v>373</v>
      </c>
      <c r="E66" s="16">
        <f>IFERROR(__xludf.DUMMYFUNCTION("""COMPUTED_VALUE"""),0.981233243967828)</f>
        <v>0.981233244</v>
      </c>
      <c r="F66" s="16">
        <f>IFERROR(__xludf.DUMMYFUNCTION("""COMPUTED_VALUE"""),0.571045576407506)</f>
        <v>0.5710455764</v>
      </c>
      <c r="G66" s="16">
        <f>IFERROR(__xludf.DUMMYFUNCTION("""COMPUTED_VALUE"""),0.434316353887399)</f>
        <v>0.4343163539</v>
      </c>
      <c r="H66" s="16">
        <f>IFERROR(__xludf.DUMMYFUNCTION("""COMPUTED_VALUE"""),0.399463806970509)</f>
        <v>0.399463807</v>
      </c>
      <c r="I66" s="16">
        <f>IFERROR(__xludf.DUMMYFUNCTION("""COMPUTED_VALUE"""),0.404825737265415)</f>
        <v>0.4048257373</v>
      </c>
      <c r="J66" s="16">
        <f>IFERROR(__xludf.DUMMYFUNCTION("""COMPUTED_VALUE"""),0.364611260053619)</f>
        <v>0.3646112601</v>
      </c>
      <c r="K66" s="16">
        <f>IFERROR(__xludf.DUMMYFUNCTION("""COMPUTED_VALUE"""),0.31367292225201)</f>
        <v>0.3136729223</v>
      </c>
      <c r="L66" s="16">
        <f>IFERROR(__xludf.DUMMYFUNCTION("""COMPUTED_VALUE"""),0.303763440860215)</f>
        <v>0.3037634409</v>
      </c>
      <c r="M66" s="16">
        <f>IFERROR(__xludf.DUMMYFUNCTION("""COMPUTED_VALUE"""),0.306451612903225)</f>
        <v>0.3064516129</v>
      </c>
      <c r="N66" s="16">
        <f>IFERROR(__xludf.DUMMYFUNCTION("""COMPUTED_VALUE"""),0.293010752688172)</f>
        <v>0.2930107527</v>
      </c>
      <c r="O66" s="16">
        <f>IFERROR(__xludf.DUMMYFUNCTION("""COMPUTED_VALUE"""),0.235135135135135)</f>
        <v>0.2351351351</v>
      </c>
      <c r="P66" s="16">
        <f>IFERROR(__xludf.DUMMYFUNCTION("""COMPUTED_VALUE"""),0.132911392405063)</f>
        <v>0.1329113924</v>
      </c>
      <c r="Q66" s="16">
        <f>IFERROR(__xludf.DUMMYFUNCTION("""COMPUTED_VALUE"""),0.116666666666666)</f>
        <v>0.1166666667</v>
      </c>
      <c r="R66" s="16">
        <f>IFERROR(__xludf.DUMMYFUNCTION("""COMPUTED_VALUE"""),0.0677966101694915)</f>
        <v>0.06779661017</v>
      </c>
      <c r="S66" s="16">
        <f>IFERROR(__xludf.DUMMYFUNCTION("""COMPUTED_VALUE"""),0.0341880341880341)</f>
        <v>0.03418803419</v>
      </c>
      <c r="T66" s="16">
        <f>IFERROR(__xludf.DUMMYFUNCTION("""COMPUTED_VALUE"""),0.0265486725663716)</f>
        <v>0.02654867257</v>
      </c>
      <c r="U66" s="16">
        <f>IFERROR(__xludf.DUMMYFUNCTION("""COMPUTED_VALUE"""),0.0212765957446808)</f>
        <v>0.02127659574</v>
      </c>
      <c r="V66" s="16">
        <f>IFERROR(__xludf.DUMMYFUNCTION("""COMPUTED_VALUE"""),0.0161290322580645)</f>
        <v>0.01612903226</v>
      </c>
      <c r="W66" s="16">
        <f>IFERROR(__xludf.DUMMYFUNCTION("""COMPUTED_VALUE"""),0.0)</f>
        <v>0</v>
      </c>
      <c r="X66" s="16">
        <f>IFERROR(__xludf.DUMMYFUNCTION("""COMPUTED_VALUE"""),0.0)</f>
        <v>0</v>
      </c>
      <c r="Y66" s="16">
        <f>IFERROR(__xludf.DUMMYFUNCTION("""COMPUTED_VALUE"""),0.0)</f>
        <v>0</v>
      </c>
      <c r="Z66" s="16">
        <f>IFERROR(__xludf.DUMMYFUNCTION("""COMPUTED_VALUE"""),0.0)</f>
        <v>0</v>
      </c>
      <c r="AA66" s="16">
        <f>IFERROR(__xludf.DUMMYFUNCTION("""COMPUTED_VALUE"""),0.0)</f>
        <v>0</v>
      </c>
      <c r="AB66" s="16">
        <f>IFERROR(__xludf.DUMMYFUNCTION("""COMPUTED_VALUE"""),0.0)</f>
        <v>0</v>
      </c>
      <c r="AC66" s="16">
        <f>IFERROR(__xludf.DUMMYFUNCTION("""COMPUTED_VALUE"""),0.0)</f>
        <v>0</v>
      </c>
      <c r="AD66" s="16">
        <f>IFERROR(__xludf.DUMMYFUNCTION("""COMPUTED_VALUE"""),0.0)</f>
        <v>0</v>
      </c>
      <c r="AE66" s="16">
        <f>IFERROR(__xludf.DUMMYFUNCTION("""COMPUTED_VALUE"""),0.0)</f>
        <v>0</v>
      </c>
      <c r="AF66" s="16">
        <f>IFERROR(__xludf.DUMMYFUNCTION("""COMPUTED_VALUE"""),0.0)</f>
        <v>0</v>
      </c>
      <c r="AG66" s="16">
        <f>IFERROR(__xludf.DUMMYFUNCTION("""COMPUTED_VALUE"""),0.0)</f>
        <v>0</v>
      </c>
      <c r="AH66" s="16">
        <f>IFERROR(__xludf.DUMMYFUNCTION("""COMPUTED_VALUE"""),0.0)</f>
        <v>0</v>
      </c>
    </row>
    <row r="67">
      <c r="A67" s="16" t="str">
        <f>IFERROR(__xludf.DUMMYFUNCTION("""COMPUTED_VALUE"""),"362902a5f0edf9862b88e64b166bdf3fa44487fc")</f>
        <v>362902a5f0edf9862b88e64b166bdf3fa44487fc</v>
      </c>
      <c r="B67" s="16" t="str">
        <f>IFERROR(__xludf.DUMMYFUNCTION("""COMPUTED_VALUE"""),"Almighty Sword Domain")</f>
        <v>Almighty Sword Domain</v>
      </c>
      <c r="C67" s="16" t="str">
        <f>IFERROR(__xludf.DUMMYFUNCTION("""COMPUTED_VALUE"""),"Fantasy")</f>
        <v>Fantasy</v>
      </c>
      <c r="D67" s="16">
        <f>IFERROR(__xludf.DUMMYFUNCTION("""COMPUTED_VALUE"""),27.0)</f>
        <v>27</v>
      </c>
      <c r="E67" s="16">
        <f>IFERROR(__xludf.DUMMYFUNCTION("""COMPUTED_VALUE"""),1.0)</f>
        <v>1</v>
      </c>
      <c r="F67" s="16">
        <f>IFERROR(__xludf.DUMMYFUNCTION("""COMPUTED_VALUE"""),0.296296296296296)</f>
        <v>0.2962962963</v>
      </c>
      <c r="G67" s="16">
        <f>IFERROR(__xludf.DUMMYFUNCTION("""COMPUTED_VALUE"""),0.259259259259259)</f>
        <v>0.2592592593</v>
      </c>
      <c r="H67" s="16">
        <f>IFERROR(__xludf.DUMMYFUNCTION("""COMPUTED_VALUE"""),0.222222222222222)</f>
        <v>0.2222222222</v>
      </c>
      <c r="I67" s="16">
        <f>IFERROR(__xludf.DUMMYFUNCTION("""COMPUTED_VALUE"""),0.148148148148148)</f>
        <v>0.1481481481</v>
      </c>
      <c r="J67" s="16">
        <f>IFERROR(__xludf.DUMMYFUNCTION("""COMPUTED_VALUE"""),0.16)</f>
        <v>0.16</v>
      </c>
      <c r="K67" s="16">
        <f>IFERROR(__xludf.DUMMYFUNCTION("""COMPUTED_VALUE"""),0.0869565217391304)</f>
        <v>0.08695652174</v>
      </c>
      <c r="L67" s="16">
        <f>IFERROR(__xludf.DUMMYFUNCTION("""COMPUTED_VALUE"""),0.142857142857142)</f>
        <v>0.1428571429</v>
      </c>
      <c r="M67" s="16">
        <f>IFERROR(__xludf.DUMMYFUNCTION("""COMPUTED_VALUE"""),0.2)</f>
        <v>0.2</v>
      </c>
      <c r="N67" s="16">
        <f>IFERROR(__xludf.DUMMYFUNCTION("""COMPUTED_VALUE"""),0.222222222222222)</f>
        <v>0.2222222222</v>
      </c>
      <c r="O67" s="16">
        <f>IFERROR(__xludf.DUMMYFUNCTION("""COMPUTED_VALUE"""),0.333333333333333)</f>
        <v>0.3333333333</v>
      </c>
      <c r="P67" s="16">
        <f>IFERROR(__xludf.DUMMYFUNCTION("""COMPUTED_VALUE"""),0.333333333333333)</f>
        <v>0.3333333333</v>
      </c>
      <c r="Q67" s="16">
        <f>IFERROR(__xludf.DUMMYFUNCTION("""COMPUTED_VALUE"""),0.333333333333333)</f>
        <v>0.3333333333</v>
      </c>
      <c r="R67" s="16">
        <f>IFERROR(__xludf.DUMMYFUNCTION("""COMPUTED_VALUE"""),0.333333333333333)</f>
        <v>0.3333333333</v>
      </c>
      <c r="S67" s="16">
        <f>IFERROR(__xludf.DUMMYFUNCTION("""COMPUTED_VALUE"""),0.0)</f>
        <v>0</v>
      </c>
      <c r="T67" s="16">
        <f>IFERROR(__xludf.DUMMYFUNCTION("""COMPUTED_VALUE"""),0.0)</f>
        <v>0</v>
      </c>
      <c r="U67" s="16">
        <f>IFERROR(__xludf.DUMMYFUNCTION("""COMPUTED_VALUE"""),0.0)</f>
        <v>0</v>
      </c>
      <c r="V67" s="16">
        <f>IFERROR(__xludf.DUMMYFUNCTION("""COMPUTED_VALUE"""),0.0)</f>
        <v>0</v>
      </c>
      <c r="W67" s="16">
        <f>IFERROR(__xludf.DUMMYFUNCTION("""COMPUTED_VALUE"""),0.0)</f>
        <v>0</v>
      </c>
      <c r="X67" s="16">
        <f>IFERROR(__xludf.DUMMYFUNCTION("""COMPUTED_VALUE"""),0.0)</f>
        <v>0</v>
      </c>
      <c r="Y67" s="16">
        <f>IFERROR(__xludf.DUMMYFUNCTION("""COMPUTED_VALUE"""),0.0)</f>
        <v>0</v>
      </c>
      <c r="Z67" s="16">
        <f>IFERROR(__xludf.DUMMYFUNCTION("""COMPUTED_VALUE"""),0.0)</f>
        <v>0</v>
      </c>
      <c r="AA67" s="16">
        <f>IFERROR(__xludf.DUMMYFUNCTION("""COMPUTED_VALUE"""),0.0)</f>
        <v>0</v>
      </c>
      <c r="AB67" s="16">
        <f>IFERROR(__xludf.DUMMYFUNCTION("""COMPUTED_VALUE"""),0.0)</f>
        <v>0</v>
      </c>
      <c r="AC67" s="16">
        <f>IFERROR(__xludf.DUMMYFUNCTION("""COMPUTED_VALUE"""),0.0)</f>
        <v>0</v>
      </c>
      <c r="AD67" s="16">
        <f>IFERROR(__xludf.DUMMYFUNCTION("""COMPUTED_VALUE"""),0.0)</f>
        <v>0</v>
      </c>
      <c r="AE67" s="16">
        <f>IFERROR(__xludf.DUMMYFUNCTION("""COMPUTED_VALUE"""),0.0)</f>
        <v>0</v>
      </c>
      <c r="AF67" s="16">
        <f>IFERROR(__xludf.DUMMYFUNCTION("""COMPUTED_VALUE"""),0.0)</f>
        <v>0</v>
      </c>
      <c r="AG67" s="16">
        <f>IFERROR(__xludf.DUMMYFUNCTION("""COMPUTED_VALUE"""),0.0)</f>
        <v>0</v>
      </c>
      <c r="AH67" s="16">
        <f>IFERROR(__xludf.DUMMYFUNCTION("""COMPUTED_VALUE"""),0.0)</f>
        <v>0</v>
      </c>
    </row>
    <row r="68">
      <c r="A68" s="16" t="str">
        <f>IFERROR(__xludf.DUMMYFUNCTION("""COMPUTED_VALUE"""),"37a4619595e440ac361cdc0df4d1bd0a9bd5d60c")</f>
        <v>37a4619595e440ac361cdc0df4d1bd0a9bd5d60c</v>
      </c>
      <c r="B68" s="16" t="str">
        <f>IFERROR(__xludf.DUMMYFUNCTION("""COMPUTED_VALUE"""),"The Bloodline Copy System")</f>
        <v>The Bloodline Copy System</v>
      </c>
      <c r="C68" s="16" t="str">
        <f>IFERROR(__xludf.DUMMYFUNCTION("""COMPUTED_VALUE"""),"System and Superpower")</f>
        <v>System and Superpower</v>
      </c>
      <c r="D68" s="16">
        <f>IFERROR(__xludf.DUMMYFUNCTION("""COMPUTED_VALUE"""),47.0)</f>
        <v>47</v>
      </c>
      <c r="E68" s="16">
        <f>IFERROR(__xludf.DUMMYFUNCTION("""COMPUTED_VALUE"""),0.978723404255319)</f>
        <v>0.9787234043</v>
      </c>
      <c r="F68" s="16">
        <f>IFERROR(__xludf.DUMMYFUNCTION("""COMPUTED_VALUE"""),0.553191489361702)</f>
        <v>0.5531914894</v>
      </c>
      <c r="G68" s="16">
        <f>IFERROR(__xludf.DUMMYFUNCTION("""COMPUTED_VALUE"""),0.489361702127659)</f>
        <v>0.4893617021</v>
      </c>
      <c r="H68" s="16">
        <f>IFERROR(__xludf.DUMMYFUNCTION("""COMPUTED_VALUE"""),0.468085106382978)</f>
        <v>0.4680851064</v>
      </c>
      <c r="I68" s="16">
        <f>IFERROR(__xludf.DUMMYFUNCTION("""COMPUTED_VALUE"""),0.446808510638297)</f>
        <v>0.4468085106</v>
      </c>
      <c r="J68" s="16">
        <f>IFERROR(__xludf.DUMMYFUNCTION("""COMPUTED_VALUE"""),0.404255319148936)</f>
        <v>0.4042553191</v>
      </c>
      <c r="K68" s="16">
        <f>IFERROR(__xludf.DUMMYFUNCTION("""COMPUTED_VALUE"""),0.347826086956521)</f>
        <v>0.347826087</v>
      </c>
      <c r="L68" s="16">
        <f>IFERROR(__xludf.DUMMYFUNCTION("""COMPUTED_VALUE"""),0.347826086956521)</f>
        <v>0.347826087</v>
      </c>
      <c r="M68" s="16">
        <f>IFERROR(__xludf.DUMMYFUNCTION("""COMPUTED_VALUE"""),0.304347826086956)</f>
        <v>0.3043478261</v>
      </c>
      <c r="N68" s="16">
        <f>IFERROR(__xludf.DUMMYFUNCTION("""COMPUTED_VALUE"""),0.304347826086956)</f>
        <v>0.3043478261</v>
      </c>
      <c r="O68" s="16">
        <f>IFERROR(__xludf.DUMMYFUNCTION("""COMPUTED_VALUE"""),0.227272727272727)</f>
        <v>0.2272727273</v>
      </c>
      <c r="P68" s="16">
        <f>IFERROR(__xludf.DUMMYFUNCTION("""COMPUTED_VALUE"""),0.212121212121212)</f>
        <v>0.2121212121</v>
      </c>
      <c r="Q68" s="16">
        <f>IFERROR(__xludf.DUMMYFUNCTION("""COMPUTED_VALUE"""),0.0526315789473684)</f>
        <v>0.05263157895</v>
      </c>
      <c r="R68" s="16">
        <f>IFERROR(__xludf.DUMMYFUNCTION("""COMPUTED_VALUE"""),0.142857142857142)</f>
        <v>0.1428571429</v>
      </c>
      <c r="S68" s="16">
        <f>IFERROR(__xludf.DUMMYFUNCTION("""COMPUTED_VALUE"""),0.2)</f>
        <v>0.2</v>
      </c>
      <c r="T68" s="16">
        <f>IFERROR(__xludf.DUMMYFUNCTION("""COMPUTED_VALUE"""),0.25)</f>
        <v>0.25</v>
      </c>
      <c r="U68" s="16">
        <f>IFERROR(__xludf.DUMMYFUNCTION("""COMPUTED_VALUE"""),0.0)</f>
        <v>0</v>
      </c>
      <c r="V68" s="16">
        <f>IFERROR(__xludf.DUMMYFUNCTION("""COMPUTED_VALUE"""),0.0)</f>
        <v>0</v>
      </c>
      <c r="W68" s="16">
        <f>IFERROR(__xludf.DUMMYFUNCTION("""COMPUTED_VALUE"""),0.0)</f>
        <v>0</v>
      </c>
      <c r="X68" s="16">
        <f>IFERROR(__xludf.DUMMYFUNCTION("""COMPUTED_VALUE"""),0.0)</f>
        <v>0</v>
      </c>
      <c r="Y68" s="16">
        <f>IFERROR(__xludf.DUMMYFUNCTION("""COMPUTED_VALUE"""),0.0)</f>
        <v>0</v>
      </c>
      <c r="Z68" s="16">
        <f>IFERROR(__xludf.DUMMYFUNCTION("""COMPUTED_VALUE"""),0.0)</f>
        <v>0</v>
      </c>
      <c r="AA68" s="16">
        <f>IFERROR(__xludf.DUMMYFUNCTION("""COMPUTED_VALUE"""),0.0)</f>
        <v>0</v>
      </c>
      <c r="AB68" s="16">
        <f>IFERROR(__xludf.DUMMYFUNCTION("""COMPUTED_VALUE"""),0.0)</f>
        <v>0</v>
      </c>
      <c r="AC68" s="16">
        <f>IFERROR(__xludf.DUMMYFUNCTION("""COMPUTED_VALUE"""),0.0)</f>
        <v>0</v>
      </c>
      <c r="AD68" s="16">
        <f>IFERROR(__xludf.DUMMYFUNCTION("""COMPUTED_VALUE"""),0.0)</f>
        <v>0</v>
      </c>
      <c r="AE68" s="16">
        <f>IFERROR(__xludf.DUMMYFUNCTION("""COMPUTED_VALUE"""),0.0)</f>
        <v>0</v>
      </c>
      <c r="AF68" s="16">
        <f>IFERROR(__xludf.DUMMYFUNCTION("""COMPUTED_VALUE"""),0.0)</f>
        <v>0</v>
      </c>
      <c r="AG68" s="16">
        <f>IFERROR(__xludf.DUMMYFUNCTION("""COMPUTED_VALUE"""),0.0)</f>
        <v>0</v>
      </c>
      <c r="AH68" s="16">
        <f>IFERROR(__xludf.DUMMYFUNCTION("""COMPUTED_VALUE"""),0.0)</f>
        <v>0</v>
      </c>
    </row>
    <row r="69">
      <c r="A69" s="16" t="str">
        <f>IFERROR(__xludf.DUMMYFUNCTION("""COMPUTED_VALUE"""),"381f2f23cfe6043e04a4a705bfde2d0832cb6847")</f>
        <v>381f2f23cfe6043e04a4a705bfde2d0832cb6847</v>
      </c>
      <c r="B69" s="16" t="str">
        <f>IFERROR(__xludf.DUMMYFUNCTION("""COMPUTED_VALUE"""),"The Personal Maid")</f>
        <v>The Personal Maid</v>
      </c>
      <c r="C69" s="16" t="str">
        <f>IFERROR(__xludf.DUMMYFUNCTION("""COMPUTED_VALUE"""),"Romance")</f>
        <v>Romance</v>
      </c>
      <c r="D69" s="16">
        <f>IFERROR(__xludf.DUMMYFUNCTION("""COMPUTED_VALUE"""),47.0)</f>
        <v>47</v>
      </c>
      <c r="E69" s="16">
        <f>IFERROR(__xludf.DUMMYFUNCTION("""COMPUTED_VALUE"""),0.957446808510638)</f>
        <v>0.9574468085</v>
      </c>
      <c r="F69" s="16">
        <f>IFERROR(__xludf.DUMMYFUNCTION("""COMPUTED_VALUE"""),0.659574468085106)</f>
        <v>0.6595744681</v>
      </c>
      <c r="G69" s="16">
        <f>IFERROR(__xludf.DUMMYFUNCTION("""COMPUTED_VALUE"""),0.51063829787234)</f>
        <v>0.5106382979</v>
      </c>
      <c r="H69" s="16">
        <f>IFERROR(__xludf.DUMMYFUNCTION("""COMPUTED_VALUE"""),0.51063829787234)</f>
        <v>0.5106382979</v>
      </c>
      <c r="I69" s="16">
        <f>IFERROR(__xludf.DUMMYFUNCTION("""COMPUTED_VALUE"""),0.489361702127659)</f>
        <v>0.4893617021</v>
      </c>
      <c r="J69" s="16">
        <f>IFERROR(__xludf.DUMMYFUNCTION("""COMPUTED_VALUE"""),0.404255319148936)</f>
        <v>0.4042553191</v>
      </c>
      <c r="K69" s="16">
        <f>IFERROR(__xludf.DUMMYFUNCTION("""COMPUTED_VALUE"""),0.382978723404255)</f>
        <v>0.3829787234</v>
      </c>
      <c r="L69" s="16">
        <f>IFERROR(__xludf.DUMMYFUNCTION("""COMPUTED_VALUE"""),0.319148936170212)</f>
        <v>0.3191489362</v>
      </c>
      <c r="M69" s="16">
        <f>IFERROR(__xludf.DUMMYFUNCTION("""COMPUTED_VALUE"""),0.297872340425531)</f>
        <v>0.2978723404</v>
      </c>
      <c r="N69" s="16">
        <f>IFERROR(__xludf.DUMMYFUNCTION("""COMPUTED_VALUE"""),0.276595744680851)</f>
        <v>0.2765957447</v>
      </c>
      <c r="O69" s="16">
        <f>IFERROR(__xludf.DUMMYFUNCTION("""COMPUTED_VALUE"""),0.319148936170212)</f>
        <v>0.3191489362</v>
      </c>
      <c r="P69" s="16">
        <f>IFERROR(__xludf.DUMMYFUNCTION("""COMPUTED_VALUE"""),0.170212765957446)</f>
        <v>0.170212766</v>
      </c>
      <c r="Q69" s="16">
        <f>IFERROR(__xludf.DUMMYFUNCTION("""COMPUTED_VALUE"""),0.088235294117647)</f>
        <v>0.08823529412</v>
      </c>
      <c r="R69" s="16">
        <f>IFERROR(__xludf.DUMMYFUNCTION("""COMPUTED_VALUE"""),0.0)</f>
        <v>0</v>
      </c>
      <c r="S69" s="16">
        <f>IFERROR(__xludf.DUMMYFUNCTION("""COMPUTED_VALUE"""),0.0)</f>
        <v>0</v>
      </c>
      <c r="T69" s="16">
        <f>IFERROR(__xludf.DUMMYFUNCTION("""COMPUTED_VALUE"""),0.0)</f>
        <v>0</v>
      </c>
      <c r="U69" s="16">
        <f>IFERROR(__xludf.DUMMYFUNCTION("""COMPUTED_VALUE"""),0.0)</f>
        <v>0</v>
      </c>
      <c r="V69" s="16">
        <f>IFERROR(__xludf.DUMMYFUNCTION("""COMPUTED_VALUE"""),0.0)</f>
        <v>0</v>
      </c>
      <c r="W69" s="16">
        <f>IFERROR(__xludf.DUMMYFUNCTION("""COMPUTED_VALUE"""),0.0)</f>
        <v>0</v>
      </c>
      <c r="X69" s="16">
        <f>IFERROR(__xludf.DUMMYFUNCTION("""COMPUTED_VALUE"""),0.0)</f>
        <v>0</v>
      </c>
      <c r="Y69" s="16">
        <f>IFERROR(__xludf.DUMMYFUNCTION("""COMPUTED_VALUE"""),0.0)</f>
        <v>0</v>
      </c>
      <c r="Z69" s="16">
        <f>IFERROR(__xludf.DUMMYFUNCTION("""COMPUTED_VALUE"""),0.0)</f>
        <v>0</v>
      </c>
      <c r="AA69" s="16">
        <f>IFERROR(__xludf.DUMMYFUNCTION("""COMPUTED_VALUE"""),0.0)</f>
        <v>0</v>
      </c>
      <c r="AB69" s="16">
        <f>IFERROR(__xludf.DUMMYFUNCTION("""COMPUTED_VALUE"""),0.0)</f>
        <v>0</v>
      </c>
      <c r="AC69" s="16">
        <f>IFERROR(__xludf.DUMMYFUNCTION("""COMPUTED_VALUE"""),0.0)</f>
        <v>0</v>
      </c>
      <c r="AD69" s="16">
        <f>IFERROR(__xludf.DUMMYFUNCTION("""COMPUTED_VALUE"""),0.0)</f>
        <v>0</v>
      </c>
      <c r="AE69" s="16">
        <f>IFERROR(__xludf.DUMMYFUNCTION("""COMPUTED_VALUE"""),0.0)</f>
        <v>0</v>
      </c>
      <c r="AF69" s="16">
        <f>IFERROR(__xludf.DUMMYFUNCTION("""COMPUTED_VALUE"""),0.0)</f>
        <v>0</v>
      </c>
      <c r="AG69" s="16">
        <f>IFERROR(__xludf.DUMMYFUNCTION("""COMPUTED_VALUE"""),0.0)</f>
        <v>0</v>
      </c>
      <c r="AH69" s="16">
        <f>IFERROR(__xludf.DUMMYFUNCTION("""COMPUTED_VALUE"""),0.0)</f>
        <v>0</v>
      </c>
    </row>
    <row r="70">
      <c r="A70" s="16" t="str">
        <f>IFERROR(__xludf.DUMMYFUNCTION("""COMPUTED_VALUE"""),"3a6212d18e444c9585676ce7dba35b7111dd1613")</f>
        <v>3a6212d18e444c9585676ce7dba35b7111dd1613</v>
      </c>
      <c r="B70" s="16" t="str">
        <f>IFERROR(__xludf.DUMMYFUNCTION("""COMPUTED_VALUE"""),"King of Throne")</f>
        <v>King of Throne</v>
      </c>
      <c r="C70" s="16" t="str">
        <f>IFERROR(__xludf.DUMMYFUNCTION("""COMPUTED_VALUE"""),"Fantasy")</f>
        <v>Fantasy</v>
      </c>
      <c r="D70" s="16">
        <f>IFERROR(__xludf.DUMMYFUNCTION("""COMPUTED_VALUE"""),18.0)</f>
        <v>18</v>
      </c>
      <c r="E70" s="16">
        <f>IFERROR(__xludf.DUMMYFUNCTION("""COMPUTED_VALUE"""),1.0)</f>
        <v>1</v>
      </c>
      <c r="F70" s="16">
        <f>IFERROR(__xludf.DUMMYFUNCTION("""COMPUTED_VALUE"""),0.611111111111111)</f>
        <v>0.6111111111</v>
      </c>
      <c r="G70" s="16">
        <f>IFERROR(__xludf.DUMMYFUNCTION("""COMPUTED_VALUE"""),0.444444444444444)</f>
        <v>0.4444444444</v>
      </c>
      <c r="H70" s="16">
        <f>IFERROR(__xludf.DUMMYFUNCTION("""COMPUTED_VALUE"""),0.388888888888888)</f>
        <v>0.3888888889</v>
      </c>
      <c r="I70" s="16">
        <f>IFERROR(__xludf.DUMMYFUNCTION("""COMPUTED_VALUE"""),0.388888888888888)</f>
        <v>0.3888888889</v>
      </c>
      <c r="J70" s="16">
        <f>IFERROR(__xludf.DUMMYFUNCTION("""COMPUTED_VALUE"""),0.388888888888888)</f>
        <v>0.3888888889</v>
      </c>
      <c r="K70" s="16">
        <f>IFERROR(__xludf.DUMMYFUNCTION("""COMPUTED_VALUE"""),0.333333333333333)</f>
        <v>0.3333333333</v>
      </c>
      <c r="L70" s="16">
        <f>IFERROR(__xludf.DUMMYFUNCTION("""COMPUTED_VALUE"""),0.285714285714285)</f>
        <v>0.2857142857</v>
      </c>
      <c r="M70" s="16">
        <f>IFERROR(__xludf.DUMMYFUNCTION("""COMPUTED_VALUE"""),0.285714285714285)</f>
        <v>0.2857142857</v>
      </c>
      <c r="N70" s="16">
        <f>IFERROR(__xludf.DUMMYFUNCTION("""COMPUTED_VALUE"""),0.5)</f>
        <v>0.5</v>
      </c>
      <c r="O70" s="16">
        <f>IFERROR(__xludf.DUMMYFUNCTION("""COMPUTED_VALUE"""),0.0)</f>
        <v>0</v>
      </c>
      <c r="P70" s="16">
        <f>IFERROR(__xludf.DUMMYFUNCTION("""COMPUTED_VALUE"""),0.0)</f>
        <v>0</v>
      </c>
      <c r="Q70" s="16">
        <f>IFERROR(__xludf.DUMMYFUNCTION("""COMPUTED_VALUE"""),0.0)</f>
        <v>0</v>
      </c>
      <c r="R70" s="16">
        <f>IFERROR(__xludf.DUMMYFUNCTION("""COMPUTED_VALUE"""),0.0)</f>
        <v>0</v>
      </c>
      <c r="S70" s="16">
        <f>IFERROR(__xludf.DUMMYFUNCTION("""COMPUTED_VALUE"""),0.0)</f>
        <v>0</v>
      </c>
      <c r="T70" s="16">
        <f>IFERROR(__xludf.DUMMYFUNCTION("""COMPUTED_VALUE"""),0.0)</f>
        <v>0</v>
      </c>
      <c r="U70" s="16">
        <f>IFERROR(__xludf.DUMMYFUNCTION("""COMPUTED_VALUE"""),0.0)</f>
        <v>0</v>
      </c>
      <c r="V70" s="16">
        <f>IFERROR(__xludf.DUMMYFUNCTION("""COMPUTED_VALUE"""),0.0)</f>
        <v>0</v>
      </c>
      <c r="W70" s="16">
        <f>IFERROR(__xludf.DUMMYFUNCTION("""COMPUTED_VALUE"""),0.0)</f>
        <v>0</v>
      </c>
      <c r="X70" s="16">
        <f>IFERROR(__xludf.DUMMYFUNCTION("""COMPUTED_VALUE"""),0.0)</f>
        <v>0</v>
      </c>
      <c r="Y70" s="16">
        <f>IFERROR(__xludf.DUMMYFUNCTION("""COMPUTED_VALUE"""),0.0)</f>
        <v>0</v>
      </c>
      <c r="Z70" s="16">
        <f>IFERROR(__xludf.DUMMYFUNCTION("""COMPUTED_VALUE"""),0.0)</f>
        <v>0</v>
      </c>
      <c r="AA70" s="16">
        <f>IFERROR(__xludf.DUMMYFUNCTION("""COMPUTED_VALUE"""),0.0)</f>
        <v>0</v>
      </c>
      <c r="AB70" s="16">
        <f>IFERROR(__xludf.DUMMYFUNCTION("""COMPUTED_VALUE"""),0.0)</f>
        <v>0</v>
      </c>
      <c r="AC70" s="16">
        <f>IFERROR(__xludf.DUMMYFUNCTION("""COMPUTED_VALUE"""),0.0)</f>
        <v>0</v>
      </c>
      <c r="AD70" s="16">
        <f>IFERROR(__xludf.DUMMYFUNCTION("""COMPUTED_VALUE"""),0.0)</f>
        <v>0</v>
      </c>
      <c r="AE70" s="16">
        <f>IFERROR(__xludf.DUMMYFUNCTION("""COMPUTED_VALUE"""),0.0)</f>
        <v>0</v>
      </c>
      <c r="AF70" s="16">
        <f>IFERROR(__xludf.DUMMYFUNCTION("""COMPUTED_VALUE"""),0.0)</f>
        <v>0</v>
      </c>
      <c r="AG70" s="16">
        <f>IFERROR(__xludf.DUMMYFUNCTION("""COMPUTED_VALUE"""),0.0)</f>
        <v>0</v>
      </c>
      <c r="AH70" s="16">
        <f>IFERROR(__xludf.DUMMYFUNCTION("""COMPUTED_VALUE"""),0.0)</f>
        <v>0</v>
      </c>
    </row>
    <row r="71">
      <c r="A71" s="16" t="str">
        <f>IFERROR(__xludf.DUMMYFUNCTION("""COMPUTED_VALUE"""),"3b626e0d14c34edb82f4b215f3b8d2e50455bbdd")</f>
        <v>3b626e0d14c34edb82f4b215f3b8d2e50455bbdd</v>
      </c>
      <c r="B71" s="16" t="str">
        <f>IFERROR(__xludf.DUMMYFUNCTION("""COMPUTED_VALUE"""),"His Lady Boss Is a Mafia")</f>
        <v>His Lady Boss Is a Mafia</v>
      </c>
      <c r="C71" s="16" t="str">
        <f>IFERROR(__xludf.DUMMYFUNCTION("""COMPUTED_VALUE"""),"Romance")</f>
        <v>Romance</v>
      </c>
      <c r="D71" s="16">
        <f>IFERROR(__xludf.DUMMYFUNCTION("""COMPUTED_VALUE"""),294.0)</f>
        <v>294</v>
      </c>
      <c r="E71" s="16">
        <f>IFERROR(__xludf.DUMMYFUNCTION("""COMPUTED_VALUE"""),0.95578231292517)</f>
        <v>0.9557823129</v>
      </c>
      <c r="F71" s="16">
        <f>IFERROR(__xludf.DUMMYFUNCTION("""COMPUTED_VALUE"""),0.435374149659863)</f>
        <v>0.4353741497</v>
      </c>
      <c r="G71" s="16">
        <f>IFERROR(__xludf.DUMMYFUNCTION("""COMPUTED_VALUE"""),0.397959183673469)</f>
        <v>0.3979591837</v>
      </c>
      <c r="H71" s="16">
        <f>IFERROR(__xludf.DUMMYFUNCTION("""COMPUTED_VALUE"""),0.374149659863945)</f>
        <v>0.3741496599</v>
      </c>
      <c r="I71" s="16">
        <f>IFERROR(__xludf.DUMMYFUNCTION("""COMPUTED_VALUE"""),0.333333333333333)</f>
        <v>0.3333333333</v>
      </c>
      <c r="J71" s="16">
        <f>IFERROR(__xludf.DUMMYFUNCTION("""COMPUTED_VALUE"""),0.323024054982817)</f>
        <v>0.323024055</v>
      </c>
      <c r="K71" s="16">
        <f>IFERROR(__xludf.DUMMYFUNCTION("""COMPUTED_VALUE"""),0.312714776632302)</f>
        <v>0.3127147766</v>
      </c>
      <c r="L71" s="16">
        <f>IFERROR(__xludf.DUMMYFUNCTION("""COMPUTED_VALUE"""),0.288732394366197)</f>
        <v>0.2887323944</v>
      </c>
      <c r="M71" s="16">
        <f>IFERROR(__xludf.DUMMYFUNCTION("""COMPUTED_VALUE"""),0.307142857142857)</f>
        <v>0.3071428571</v>
      </c>
      <c r="N71" s="16">
        <f>IFERROR(__xludf.DUMMYFUNCTION("""COMPUTED_VALUE"""),0.304347826086956)</f>
        <v>0.3043478261</v>
      </c>
      <c r="O71" s="16">
        <f>IFERROR(__xludf.DUMMYFUNCTION("""COMPUTED_VALUE"""),0.2890625)</f>
        <v>0.2890625</v>
      </c>
      <c r="P71" s="16">
        <f>IFERROR(__xludf.DUMMYFUNCTION("""COMPUTED_VALUE"""),0.263829787234042)</f>
        <v>0.2638297872</v>
      </c>
      <c r="Q71" s="16">
        <f>IFERROR(__xludf.DUMMYFUNCTION("""COMPUTED_VALUE"""),1.0)</f>
        <v>1</v>
      </c>
      <c r="R71" s="16">
        <f>IFERROR(__xludf.DUMMYFUNCTION("""COMPUTED_VALUE"""),0.0)</f>
        <v>0</v>
      </c>
      <c r="S71" s="16">
        <f>IFERROR(__xludf.DUMMYFUNCTION("""COMPUTED_VALUE"""),0.0)</f>
        <v>0</v>
      </c>
      <c r="T71" s="16">
        <f>IFERROR(__xludf.DUMMYFUNCTION("""COMPUTED_VALUE"""),0.0)</f>
        <v>0</v>
      </c>
      <c r="U71" s="16">
        <f>IFERROR(__xludf.DUMMYFUNCTION("""COMPUTED_VALUE"""),0.0)</f>
        <v>0</v>
      </c>
      <c r="V71" s="16">
        <f>IFERROR(__xludf.DUMMYFUNCTION("""COMPUTED_VALUE"""),0.0)</f>
        <v>0</v>
      </c>
      <c r="W71" s="16">
        <f>IFERROR(__xludf.DUMMYFUNCTION("""COMPUTED_VALUE"""),0.0)</f>
        <v>0</v>
      </c>
      <c r="X71" s="16">
        <f>IFERROR(__xludf.DUMMYFUNCTION("""COMPUTED_VALUE"""),0.0)</f>
        <v>0</v>
      </c>
      <c r="Y71" s="16">
        <f>IFERROR(__xludf.DUMMYFUNCTION("""COMPUTED_VALUE"""),0.0)</f>
        <v>0</v>
      </c>
      <c r="Z71" s="16">
        <f>IFERROR(__xludf.DUMMYFUNCTION("""COMPUTED_VALUE"""),0.0)</f>
        <v>0</v>
      </c>
      <c r="AA71" s="16">
        <f>IFERROR(__xludf.DUMMYFUNCTION("""COMPUTED_VALUE"""),0.0)</f>
        <v>0</v>
      </c>
      <c r="AB71" s="16">
        <f>IFERROR(__xludf.DUMMYFUNCTION("""COMPUTED_VALUE"""),0.0)</f>
        <v>0</v>
      </c>
      <c r="AC71" s="16">
        <f>IFERROR(__xludf.DUMMYFUNCTION("""COMPUTED_VALUE"""),0.0)</f>
        <v>0</v>
      </c>
      <c r="AD71" s="16">
        <f>IFERROR(__xludf.DUMMYFUNCTION("""COMPUTED_VALUE"""),0.0)</f>
        <v>0</v>
      </c>
      <c r="AE71" s="16">
        <f>IFERROR(__xludf.DUMMYFUNCTION("""COMPUTED_VALUE"""),0.0)</f>
        <v>0</v>
      </c>
      <c r="AF71" s="16">
        <f>IFERROR(__xludf.DUMMYFUNCTION("""COMPUTED_VALUE"""),0.0)</f>
        <v>0</v>
      </c>
      <c r="AG71" s="16">
        <f>IFERROR(__xludf.DUMMYFUNCTION("""COMPUTED_VALUE"""),0.0)</f>
        <v>0</v>
      </c>
      <c r="AH71" s="16">
        <f>IFERROR(__xludf.DUMMYFUNCTION("""COMPUTED_VALUE"""),0.0)</f>
        <v>0</v>
      </c>
    </row>
    <row r="72">
      <c r="A72" s="16" t="str">
        <f>IFERROR(__xludf.DUMMYFUNCTION("""COMPUTED_VALUE"""),"3c57dd9bd6f929bdb36d8716aa9f261a72778e24")</f>
        <v>3c57dd9bd6f929bdb36d8716aa9f261a72778e24</v>
      </c>
      <c r="B72" s="16" t="str">
        <f>IFERROR(__xludf.DUMMYFUNCTION("""COMPUTED_VALUE"""),"Resurrected as a Secret Billionaire Liam Carson")</f>
        <v>Resurrected as a Secret Billionaire Liam Carson</v>
      </c>
      <c r="C72" s="16" t="str">
        <f>IFERROR(__xludf.DUMMYFUNCTION("""COMPUTED_VALUE"""),"Fantasy")</f>
        <v>Fantasy</v>
      </c>
      <c r="D72" s="16">
        <f>IFERROR(__xludf.DUMMYFUNCTION("""COMPUTED_VALUE"""),3218.0)</f>
        <v>3218</v>
      </c>
      <c r="E72" s="16">
        <f>IFERROR(__xludf.DUMMYFUNCTION("""COMPUTED_VALUE"""),0.946550652579241)</f>
        <v>0.9465506526</v>
      </c>
      <c r="F72" s="16">
        <f>IFERROR(__xludf.DUMMYFUNCTION("""COMPUTED_VALUE"""),0.522995649471721)</f>
        <v>0.5229956495</v>
      </c>
      <c r="G72" s="16">
        <f>IFERROR(__xludf.DUMMYFUNCTION("""COMPUTED_VALUE"""),0.475139838408949)</f>
        <v>0.4751398384</v>
      </c>
      <c r="H72" s="16">
        <f>IFERROR(__xludf.DUMMYFUNCTION("""COMPUTED_VALUE"""),0.452144188937228)</f>
        <v>0.4521441889</v>
      </c>
      <c r="I72" s="16">
        <f>IFERROR(__xludf.DUMMYFUNCTION("""COMPUTED_VALUE"""),0.434742075823492)</f>
        <v>0.4347420758</v>
      </c>
      <c r="J72" s="16">
        <f>IFERROR(__xludf.DUMMYFUNCTION("""COMPUTED_VALUE"""),0.420447482908638)</f>
        <v>0.4204474829</v>
      </c>
      <c r="K72" s="16">
        <f>IFERROR(__xludf.DUMMYFUNCTION("""COMPUTED_VALUE"""),0.414179104477611)</f>
        <v>0.4141791045</v>
      </c>
      <c r="L72" s="16">
        <f>IFERROR(__xludf.DUMMYFUNCTION("""COMPUTED_VALUE"""),0.402803738317757)</f>
        <v>0.4028037383</v>
      </c>
      <c r="M72" s="16">
        <f>IFERROR(__xludf.DUMMYFUNCTION("""COMPUTED_VALUE"""),0.390829694323144)</f>
        <v>0.3908296943</v>
      </c>
      <c r="N72" s="16">
        <f>IFERROR(__xludf.DUMMYFUNCTION("""COMPUTED_VALUE"""),0.383390571339369)</f>
        <v>0.3833905713</v>
      </c>
      <c r="O72" s="16">
        <f>IFERROR(__xludf.DUMMYFUNCTION("""COMPUTED_VALUE"""),0.363322884012539)</f>
        <v>0.363322884</v>
      </c>
      <c r="P72" s="16">
        <f>IFERROR(__xludf.DUMMYFUNCTION("""COMPUTED_VALUE"""),0.299053627760252)</f>
        <v>0.2990536278</v>
      </c>
      <c r="Q72" s="16">
        <f>IFERROR(__xludf.DUMMYFUNCTION("""COMPUTED_VALUE"""),0.227460974832749)</f>
        <v>0.2274609748</v>
      </c>
      <c r="R72" s="16">
        <f>IFERROR(__xludf.DUMMYFUNCTION("""COMPUTED_VALUE"""),0.184900831733845)</f>
        <v>0.1849008317</v>
      </c>
      <c r="S72" s="16">
        <f>IFERROR(__xludf.DUMMYFUNCTION("""COMPUTED_VALUE"""),0.142903121982619)</f>
        <v>0.142903122</v>
      </c>
      <c r="T72" s="16">
        <f>IFERROR(__xludf.DUMMYFUNCTION("""COMPUTED_VALUE"""),0.121516526247569)</f>
        <v>0.1215165262</v>
      </c>
      <c r="U72" s="16">
        <f>IFERROR(__xludf.DUMMYFUNCTION("""COMPUTED_VALUE"""),0.11445366528354)</f>
        <v>0.1144536653</v>
      </c>
      <c r="V72" s="16">
        <f>IFERROR(__xludf.DUMMYFUNCTION("""COMPUTED_VALUE"""),0.109902067464635)</f>
        <v>0.1099020675</v>
      </c>
      <c r="W72" s="16">
        <f>IFERROR(__xludf.DUMMYFUNCTION("""COMPUTED_VALUE"""),0.0971599402092675)</f>
        <v>0.09715994021</v>
      </c>
      <c r="X72" s="16">
        <f>IFERROR(__xludf.DUMMYFUNCTION("""COMPUTED_VALUE"""),0.0749770009199632)</f>
        <v>0.07497700092</v>
      </c>
      <c r="Y72" s="16">
        <f>IFERROR(__xludf.DUMMYFUNCTION("""COMPUTED_VALUE"""),0.0545839957604663)</f>
        <v>0.05458399576</v>
      </c>
      <c r="Z72" s="16">
        <f>IFERROR(__xludf.DUMMYFUNCTION("""COMPUTED_VALUE"""),0.0322209436133486)</f>
        <v>0.03222094361</v>
      </c>
      <c r="AA72" s="16">
        <f>IFERROR(__xludf.DUMMYFUNCTION("""COMPUTED_VALUE"""),0.027431421446384)</f>
        <v>0.02743142145</v>
      </c>
      <c r="AB72" s="16">
        <f>IFERROR(__xludf.DUMMYFUNCTION("""COMPUTED_VALUE"""),0.0175070028011204)</f>
        <v>0.0175070028</v>
      </c>
      <c r="AC72" s="16">
        <f>IFERROR(__xludf.DUMMYFUNCTION("""COMPUTED_VALUE"""),0.0119808306709265)</f>
        <v>0.01198083067</v>
      </c>
      <c r="AD72" s="16">
        <f>IFERROR(__xludf.DUMMYFUNCTION("""COMPUTED_VALUE"""),0.0166666666666666)</f>
        <v>0.01666666667</v>
      </c>
      <c r="AE72" s="16">
        <f>IFERROR(__xludf.DUMMYFUNCTION("""COMPUTED_VALUE"""),0.00602409638554216)</f>
        <v>0.006024096386</v>
      </c>
      <c r="AF72" s="16">
        <f>IFERROR(__xludf.DUMMYFUNCTION("""COMPUTED_VALUE"""),0.0)</f>
        <v>0</v>
      </c>
      <c r="AG72" s="16">
        <f>IFERROR(__xludf.DUMMYFUNCTION("""COMPUTED_VALUE"""),0.0)</f>
        <v>0</v>
      </c>
      <c r="AH72" s="16">
        <f>IFERROR(__xludf.DUMMYFUNCTION("""COMPUTED_VALUE"""),0.0)</f>
        <v>0</v>
      </c>
    </row>
    <row r="73">
      <c r="A73" s="16" t="str">
        <f>IFERROR(__xludf.DUMMYFUNCTION("""COMPUTED_VALUE"""),"4010f733ac400156fd9f4d75852b8ebdeabe1689")</f>
        <v>4010f733ac400156fd9f4d75852b8ebdeabe1689</v>
      </c>
      <c r="B73" s="16" t="str">
        <f>IFERROR(__xludf.DUMMYFUNCTION("""COMPUTED_VALUE"""),"My Ceo Husband's Secret")</f>
        <v>My Ceo Husband's Secret</v>
      </c>
      <c r="C73" s="16" t="str">
        <f>IFERROR(__xludf.DUMMYFUNCTION("""COMPUTED_VALUE"""),"Romance")</f>
        <v>Romance</v>
      </c>
      <c r="D73" s="16">
        <f>IFERROR(__xludf.DUMMYFUNCTION("""COMPUTED_VALUE"""),463.0)</f>
        <v>463</v>
      </c>
      <c r="E73" s="16">
        <f>IFERROR(__xludf.DUMMYFUNCTION("""COMPUTED_VALUE"""),0.974082073434125)</f>
        <v>0.9740820734</v>
      </c>
      <c r="F73" s="16">
        <f>IFERROR(__xludf.DUMMYFUNCTION("""COMPUTED_VALUE"""),0.710583153347732)</f>
        <v>0.7105831533</v>
      </c>
      <c r="G73" s="16">
        <f>IFERROR(__xludf.DUMMYFUNCTION("""COMPUTED_VALUE"""),0.630669546436285)</f>
        <v>0.6306695464</v>
      </c>
      <c r="H73" s="16">
        <f>IFERROR(__xludf.DUMMYFUNCTION("""COMPUTED_VALUE"""),0.576673866090712)</f>
        <v>0.5766738661</v>
      </c>
      <c r="I73" s="16">
        <f>IFERROR(__xludf.DUMMYFUNCTION("""COMPUTED_VALUE"""),0.516198704103671)</f>
        <v>0.5161987041</v>
      </c>
      <c r="J73" s="16">
        <f>IFERROR(__xludf.DUMMYFUNCTION("""COMPUTED_VALUE"""),0.453563714902807)</f>
        <v>0.4535637149</v>
      </c>
      <c r="K73" s="16">
        <f>IFERROR(__xludf.DUMMYFUNCTION("""COMPUTED_VALUE"""),0.412526997840172)</f>
        <v>0.4125269978</v>
      </c>
      <c r="L73" s="16">
        <f>IFERROR(__xludf.DUMMYFUNCTION("""COMPUTED_VALUE"""),0.370932754880694)</f>
        <v>0.3709327549</v>
      </c>
      <c r="M73" s="16">
        <f>IFERROR(__xludf.DUMMYFUNCTION("""COMPUTED_VALUE"""),0.325379609544468)</f>
        <v>0.3253796095</v>
      </c>
      <c r="N73" s="16">
        <f>IFERROR(__xludf.DUMMYFUNCTION("""COMPUTED_VALUE"""),0.291304347826086)</f>
        <v>0.2913043478</v>
      </c>
      <c r="O73" s="16">
        <f>IFERROR(__xludf.DUMMYFUNCTION("""COMPUTED_VALUE"""),0.225382932166301)</f>
        <v>0.2253829322</v>
      </c>
      <c r="P73" s="16">
        <f>IFERROR(__xludf.DUMMYFUNCTION("""COMPUTED_VALUE"""),0.148888888888888)</f>
        <v>0.1488888889</v>
      </c>
      <c r="Q73" s="16">
        <f>IFERROR(__xludf.DUMMYFUNCTION("""COMPUTED_VALUE"""),0.402439024390243)</f>
        <v>0.4024390244</v>
      </c>
      <c r="R73" s="16">
        <f>IFERROR(__xludf.DUMMYFUNCTION("""COMPUTED_VALUE"""),0.428571428571428)</f>
        <v>0.4285714286</v>
      </c>
      <c r="S73" s="16">
        <f>IFERROR(__xludf.DUMMYFUNCTION("""COMPUTED_VALUE"""),0.327272727272727)</f>
        <v>0.3272727273</v>
      </c>
      <c r="T73" s="16">
        <f>IFERROR(__xludf.DUMMYFUNCTION("""COMPUTED_VALUE"""),0.212121212121212)</f>
        <v>0.2121212121</v>
      </c>
      <c r="U73" s="16">
        <f>IFERROR(__xludf.DUMMYFUNCTION("""COMPUTED_VALUE"""),0.142857142857142)</f>
        <v>0.1428571429</v>
      </c>
      <c r="V73" s="16">
        <f>IFERROR(__xludf.DUMMYFUNCTION("""COMPUTED_VALUE"""),0.0)</f>
        <v>0</v>
      </c>
      <c r="W73" s="16">
        <f>IFERROR(__xludf.DUMMYFUNCTION("""COMPUTED_VALUE"""),0.0)</f>
        <v>0</v>
      </c>
      <c r="X73" s="16">
        <f>IFERROR(__xludf.DUMMYFUNCTION("""COMPUTED_VALUE"""),0.0)</f>
        <v>0</v>
      </c>
      <c r="Y73" s="16">
        <f>IFERROR(__xludf.DUMMYFUNCTION("""COMPUTED_VALUE"""),0.0)</f>
        <v>0</v>
      </c>
      <c r="Z73" s="16">
        <f>IFERROR(__xludf.DUMMYFUNCTION("""COMPUTED_VALUE"""),0.0)</f>
        <v>0</v>
      </c>
      <c r="AA73" s="16">
        <f>IFERROR(__xludf.DUMMYFUNCTION("""COMPUTED_VALUE"""),0.0)</f>
        <v>0</v>
      </c>
      <c r="AB73" s="16">
        <f>IFERROR(__xludf.DUMMYFUNCTION("""COMPUTED_VALUE"""),0.0)</f>
        <v>0</v>
      </c>
      <c r="AC73" s="16">
        <f>IFERROR(__xludf.DUMMYFUNCTION("""COMPUTED_VALUE"""),0.0)</f>
        <v>0</v>
      </c>
      <c r="AD73" s="16">
        <f>IFERROR(__xludf.DUMMYFUNCTION("""COMPUTED_VALUE"""),0.0)</f>
        <v>0</v>
      </c>
      <c r="AE73" s="16">
        <f>IFERROR(__xludf.DUMMYFUNCTION("""COMPUTED_VALUE"""),0.0)</f>
        <v>0</v>
      </c>
      <c r="AF73" s="16">
        <f>IFERROR(__xludf.DUMMYFUNCTION("""COMPUTED_VALUE"""),0.0)</f>
        <v>0</v>
      </c>
      <c r="AG73" s="16">
        <f>IFERROR(__xludf.DUMMYFUNCTION("""COMPUTED_VALUE"""),0.0)</f>
        <v>0</v>
      </c>
      <c r="AH73" s="16">
        <f>IFERROR(__xludf.DUMMYFUNCTION("""COMPUTED_VALUE"""),0.0)</f>
        <v>0</v>
      </c>
    </row>
    <row r="74">
      <c r="A74" s="16" t="str">
        <f>IFERROR(__xludf.DUMMYFUNCTION("""COMPUTED_VALUE"""),"4056d8e031445adbb80d52b1fd723609be585a3b")</f>
        <v>4056d8e031445adbb80d52b1fd723609be585a3b</v>
      </c>
      <c r="B74" s="16" t="str">
        <f>IFERROR(__xludf.DUMMYFUNCTION("""COMPUTED_VALUE"""),"Only Boy on the Bus")</f>
        <v>Only Boy on the Bus</v>
      </c>
      <c r="C74" s="16" t="str">
        <f>IFERROR(__xludf.DUMMYFUNCTION("""COMPUTED_VALUE"""),"Fantasy")</f>
        <v>Fantasy</v>
      </c>
      <c r="D74" s="16">
        <f>IFERROR(__xludf.DUMMYFUNCTION("""COMPUTED_VALUE"""),32.0)</f>
        <v>32</v>
      </c>
      <c r="E74" s="16">
        <f>IFERROR(__xludf.DUMMYFUNCTION("""COMPUTED_VALUE"""),0.96875)</f>
        <v>0.96875</v>
      </c>
      <c r="F74" s="16">
        <f>IFERROR(__xludf.DUMMYFUNCTION("""COMPUTED_VALUE"""),0.28125)</f>
        <v>0.28125</v>
      </c>
      <c r="G74" s="16">
        <f>IFERROR(__xludf.DUMMYFUNCTION("""COMPUTED_VALUE"""),0.25)</f>
        <v>0.25</v>
      </c>
      <c r="H74" s="16">
        <f>IFERROR(__xludf.DUMMYFUNCTION("""COMPUTED_VALUE"""),0.25)</f>
        <v>0.25</v>
      </c>
      <c r="I74" s="16">
        <f>IFERROR(__xludf.DUMMYFUNCTION("""COMPUTED_VALUE"""),0.15625)</f>
        <v>0.15625</v>
      </c>
      <c r="J74" s="16">
        <f>IFERROR(__xludf.DUMMYFUNCTION("""COMPUTED_VALUE"""),0.15625)</f>
        <v>0.15625</v>
      </c>
      <c r="K74" s="16">
        <f>IFERROR(__xludf.DUMMYFUNCTION("""COMPUTED_VALUE"""),0.15625)</f>
        <v>0.15625</v>
      </c>
      <c r="L74" s="16">
        <f>IFERROR(__xludf.DUMMYFUNCTION("""COMPUTED_VALUE"""),0.125)</f>
        <v>0.125</v>
      </c>
      <c r="M74" s="16">
        <f>IFERROR(__xludf.DUMMYFUNCTION("""COMPUTED_VALUE"""),0.125)</f>
        <v>0.125</v>
      </c>
      <c r="N74" s="16">
        <f>IFERROR(__xludf.DUMMYFUNCTION("""COMPUTED_VALUE"""),0.125)</f>
        <v>0.125</v>
      </c>
      <c r="O74" s="16">
        <f>IFERROR(__xludf.DUMMYFUNCTION("""COMPUTED_VALUE"""),0.137931034482758)</f>
        <v>0.1379310345</v>
      </c>
      <c r="P74" s="16">
        <f>IFERROR(__xludf.DUMMYFUNCTION("""COMPUTED_VALUE"""),0.137931034482758)</f>
        <v>0.1379310345</v>
      </c>
      <c r="Q74" s="16">
        <f>IFERROR(__xludf.DUMMYFUNCTION("""COMPUTED_VALUE"""),0.0)</f>
        <v>0</v>
      </c>
      <c r="R74" s="16">
        <f>IFERROR(__xludf.DUMMYFUNCTION("""COMPUTED_VALUE"""),0.0)</f>
        <v>0</v>
      </c>
      <c r="S74" s="16">
        <f>IFERROR(__xludf.DUMMYFUNCTION("""COMPUTED_VALUE"""),0.0)</f>
        <v>0</v>
      </c>
      <c r="T74" s="16">
        <f>IFERROR(__xludf.DUMMYFUNCTION("""COMPUTED_VALUE"""),0.0)</f>
        <v>0</v>
      </c>
      <c r="U74" s="16">
        <f>IFERROR(__xludf.DUMMYFUNCTION("""COMPUTED_VALUE"""),0.0)</f>
        <v>0</v>
      </c>
      <c r="V74" s="16">
        <f>IFERROR(__xludf.DUMMYFUNCTION("""COMPUTED_VALUE"""),0.0)</f>
        <v>0</v>
      </c>
      <c r="W74" s="16">
        <f>IFERROR(__xludf.DUMMYFUNCTION("""COMPUTED_VALUE"""),0.0)</f>
        <v>0</v>
      </c>
      <c r="X74" s="16">
        <f>IFERROR(__xludf.DUMMYFUNCTION("""COMPUTED_VALUE"""),0.0)</f>
        <v>0</v>
      </c>
      <c r="Y74" s="16">
        <f>IFERROR(__xludf.DUMMYFUNCTION("""COMPUTED_VALUE"""),0.0)</f>
        <v>0</v>
      </c>
      <c r="Z74" s="16">
        <f>IFERROR(__xludf.DUMMYFUNCTION("""COMPUTED_VALUE"""),0.0)</f>
        <v>0</v>
      </c>
      <c r="AA74" s="16">
        <f>IFERROR(__xludf.DUMMYFUNCTION("""COMPUTED_VALUE"""),0.0)</f>
        <v>0</v>
      </c>
      <c r="AB74" s="16">
        <f>IFERROR(__xludf.DUMMYFUNCTION("""COMPUTED_VALUE"""),0.0)</f>
        <v>0</v>
      </c>
      <c r="AC74" s="16">
        <f>IFERROR(__xludf.DUMMYFUNCTION("""COMPUTED_VALUE"""),0.0)</f>
        <v>0</v>
      </c>
      <c r="AD74" s="16">
        <f>IFERROR(__xludf.DUMMYFUNCTION("""COMPUTED_VALUE"""),0.0)</f>
        <v>0</v>
      </c>
      <c r="AE74" s="16">
        <f>IFERROR(__xludf.DUMMYFUNCTION("""COMPUTED_VALUE"""),0.0)</f>
        <v>0</v>
      </c>
      <c r="AF74" s="16">
        <f>IFERROR(__xludf.DUMMYFUNCTION("""COMPUTED_VALUE"""),0.0)</f>
        <v>0</v>
      </c>
      <c r="AG74" s="16">
        <f>IFERROR(__xludf.DUMMYFUNCTION("""COMPUTED_VALUE"""),0.0)</f>
        <v>0</v>
      </c>
      <c r="AH74" s="16">
        <f>IFERROR(__xludf.DUMMYFUNCTION("""COMPUTED_VALUE"""),0.0)</f>
        <v>0</v>
      </c>
    </row>
    <row r="75">
      <c r="A75" s="16" t="str">
        <f>IFERROR(__xludf.DUMMYFUNCTION("""COMPUTED_VALUE"""),"40e06046d3679811f910f8beed9306369f59c60e")</f>
        <v>40e06046d3679811f910f8beed9306369f59c60e</v>
      </c>
      <c r="B75" s="16" t="str">
        <f>IFERROR(__xludf.DUMMYFUNCTION("""COMPUTED_VALUE"""),"Lycan Unity Academy")</f>
        <v>Lycan Unity Academy</v>
      </c>
      <c r="C75" s="16" t="str">
        <f>IFERROR(__xludf.DUMMYFUNCTION("""COMPUTED_VALUE"""),"Romantasy")</f>
        <v>Romantasy</v>
      </c>
      <c r="D75" s="16">
        <f>IFERROR(__xludf.DUMMYFUNCTION("""COMPUTED_VALUE"""),938.0)</f>
        <v>938</v>
      </c>
      <c r="E75" s="16">
        <f>IFERROR(__xludf.DUMMYFUNCTION("""COMPUTED_VALUE"""),0.969083155650319)</f>
        <v>0.9690831557</v>
      </c>
      <c r="F75" s="16">
        <f>IFERROR(__xludf.DUMMYFUNCTION("""COMPUTED_VALUE"""),0.53731343283582)</f>
        <v>0.5373134328</v>
      </c>
      <c r="G75" s="16">
        <f>IFERROR(__xludf.DUMMYFUNCTION("""COMPUTED_VALUE"""),0.473347547974413)</f>
        <v>0.473347548</v>
      </c>
      <c r="H75" s="16">
        <f>IFERROR(__xludf.DUMMYFUNCTION("""COMPUTED_VALUE"""),0.434968017057569)</f>
        <v>0.4349680171</v>
      </c>
      <c r="I75" s="16">
        <f>IFERROR(__xludf.DUMMYFUNCTION("""COMPUTED_VALUE"""),0.395522388059701)</f>
        <v>0.3955223881</v>
      </c>
      <c r="J75" s="16">
        <f>IFERROR(__xludf.DUMMYFUNCTION("""COMPUTED_VALUE"""),0.379530916844349)</f>
        <v>0.3795309168</v>
      </c>
      <c r="K75" s="16">
        <f>IFERROR(__xludf.DUMMYFUNCTION("""COMPUTED_VALUE"""),0.368869936034115)</f>
        <v>0.368869936</v>
      </c>
      <c r="L75" s="16">
        <f>IFERROR(__xludf.DUMMYFUNCTION("""COMPUTED_VALUE"""),0.345784418356456)</f>
        <v>0.3457844184</v>
      </c>
      <c r="M75" s="16">
        <f>IFERROR(__xludf.DUMMYFUNCTION("""COMPUTED_VALUE"""),0.3258547008547)</f>
        <v>0.3258547009</v>
      </c>
      <c r="N75" s="16">
        <f>IFERROR(__xludf.DUMMYFUNCTION("""COMPUTED_VALUE"""),0.318376068376068)</f>
        <v>0.3183760684</v>
      </c>
      <c r="O75" s="16">
        <f>IFERROR(__xludf.DUMMYFUNCTION("""COMPUTED_VALUE"""),0.286480686695279)</f>
        <v>0.2864806867</v>
      </c>
      <c r="P75" s="16">
        <f>IFERROR(__xludf.DUMMYFUNCTION("""COMPUTED_VALUE"""),0.225945945945945)</f>
        <v>0.2259459459</v>
      </c>
      <c r="Q75" s="16">
        <f>IFERROR(__xludf.DUMMYFUNCTION("""COMPUTED_VALUE"""),0.156079854809437)</f>
        <v>0.1560798548</v>
      </c>
      <c r="R75" s="16">
        <f>IFERROR(__xludf.DUMMYFUNCTION("""COMPUTED_VALUE"""),0.225806451612903)</f>
        <v>0.2258064516</v>
      </c>
      <c r="S75" s="16">
        <f>IFERROR(__xludf.DUMMYFUNCTION("""COMPUTED_VALUE"""),0.0)</f>
        <v>0</v>
      </c>
      <c r="T75" s="16">
        <f>IFERROR(__xludf.DUMMYFUNCTION("""COMPUTED_VALUE"""),0.0)</f>
        <v>0</v>
      </c>
      <c r="U75" s="16">
        <f>IFERROR(__xludf.DUMMYFUNCTION("""COMPUTED_VALUE"""),0.0)</f>
        <v>0</v>
      </c>
      <c r="V75" s="16">
        <f>IFERROR(__xludf.DUMMYFUNCTION("""COMPUTED_VALUE"""),0.0)</f>
        <v>0</v>
      </c>
      <c r="W75" s="16">
        <f>IFERROR(__xludf.DUMMYFUNCTION("""COMPUTED_VALUE"""),0.0)</f>
        <v>0</v>
      </c>
      <c r="X75" s="16">
        <f>IFERROR(__xludf.DUMMYFUNCTION("""COMPUTED_VALUE"""),0.0)</f>
        <v>0</v>
      </c>
      <c r="Y75" s="16">
        <f>IFERROR(__xludf.DUMMYFUNCTION("""COMPUTED_VALUE"""),0.0)</f>
        <v>0</v>
      </c>
      <c r="Z75" s="16">
        <f>IFERROR(__xludf.DUMMYFUNCTION("""COMPUTED_VALUE"""),0.0)</f>
        <v>0</v>
      </c>
      <c r="AA75" s="16">
        <f>IFERROR(__xludf.DUMMYFUNCTION("""COMPUTED_VALUE"""),0.0)</f>
        <v>0</v>
      </c>
      <c r="AB75" s="16">
        <f>IFERROR(__xludf.DUMMYFUNCTION("""COMPUTED_VALUE"""),0.0)</f>
        <v>0</v>
      </c>
      <c r="AC75" s="16">
        <f>IFERROR(__xludf.DUMMYFUNCTION("""COMPUTED_VALUE"""),0.0)</f>
        <v>0</v>
      </c>
      <c r="AD75" s="16">
        <f>IFERROR(__xludf.DUMMYFUNCTION("""COMPUTED_VALUE"""),0.0)</f>
        <v>0</v>
      </c>
      <c r="AE75" s="16">
        <f>IFERROR(__xludf.DUMMYFUNCTION("""COMPUTED_VALUE"""),0.0)</f>
        <v>0</v>
      </c>
      <c r="AF75" s="16">
        <f>IFERROR(__xludf.DUMMYFUNCTION("""COMPUTED_VALUE"""),0.0)</f>
        <v>0</v>
      </c>
      <c r="AG75" s="16">
        <f>IFERROR(__xludf.DUMMYFUNCTION("""COMPUTED_VALUE"""),0.0)</f>
        <v>0</v>
      </c>
      <c r="AH75" s="16">
        <f>IFERROR(__xludf.DUMMYFUNCTION("""COMPUTED_VALUE"""),0.0)</f>
        <v>0</v>
      </c>
    </row>
    <row r="76">
      <c r="A76" s="16" t="str">
        <f>IFERROR(__xludf.DUMMYFUNCTION("""COMPUTED_VALUE"""),"41afeacb4e481e249d618ae39936f1173864e026")</f>
        <v>41afeacb4e481e249d618ae39936f1173864e026</v>
      </c>
      <c r="B76" s="16" t="str">
        <f>IFERROR(__xludf.DUMMYFUNCTION("""COMPUTED_VALUE"""),"Disguised Successor")</f>
        <v>Disguised Successor</v>
      </c>
      <c r="C76" s="16" t="str">
        <f>IFERROR(__xludf.DUMMYFUNCTION("""COMPUTED_VALUE"""),"Drama")</f>
        <v>Drama</v>
      </c>
      <c r="D76" s="16">
        <f>IFERROR(__xludf.DUMMYFUNCTION("""COMPUTED_VALUE"""),139.0)</f>
        <v>139</v>
      </c>
      <c r="E76" s="16">
        <f>IFERROR(__xludf.DUMMYFUNCTION("""COMPUTED_VALUE"""),0.97841726618705)</f>
        <v>0.9784172662</v>
      </c>
      <c r="F76" s="16">
        <f>IFERROR(__xludf.DUMMYFUNCTION("""COMPUTED_VALUE"""),0.56115107913669)</f>
        <v>0.5611510791</v>
      </c>
      <c r="G76" s="16">
        <f>IFERROR(__xludf.DUMMYFUNCTION("""COMPUTED_VALUE"""),0.489208633093525)</f>
        <v>0.4892086331</v>
      </c>
      <c r="H76" s="16">
        <f>IFERROR(__xludf.DUMMYFUNCTION("""COMPUTED_VALUE"""),0.417266187050359)</f>
        <v>0.4172661871</v>
      </c>
      <c r="I76" s="16">
        <f>IFERROR(__xludf.DUMMYFUNCTION("""COMPUTED_VALUE"""),0.381294964028777)</f>
        <v>0.381294964</v>
      </c>
      <c r="J76" s="16">
        <f>IFERROR(__xludf.DUMMYFUNCTION("""COMPUTED_VALUE"""),0.366906474820143)</f>
        <v>0.3669064748</v>
      </c>
      <c r="K76" s="16">
        <f>IFERROR(__xludf.DUMMYFUNCTION("""COMPUTED_VALUE"""),0.309352517985611)</f>
        <v>0.309352518</v>
      </c>
      <c r="L76" s="16">
        <f>IFERROR(__xludf.DUMMYFUNCTION("""COMPUTED_VALUE"""),0.309352517985611)</f>
        <v>0.309352518</v>
      </c>
      <c r="M76" s="16">
        <f>IFERROR(__xludf.DUMMYFUNCTION("""COMPUTED_VALUE"""),0.280575539568345)</f>
        <v>0.2805755396</v>
      </c>
      <c r="N76" s="16">
        <f>IFERROR(__xludf.DUMMYFUNCTION("""COMPUTED_VALUE"""),0.244604316546762)</f>
        <v>0.2446043165</v>
      </c>
      <c r="O76" s="16">
        <f>IFERROR(__xludf.DUMMYFUNCTION("""COMPUTED_VALUE"""),0.214814814814814)</f>
        <v>0.2148148148</v>
      </c>
      <c r="P76" s="16">
        <f>IFERROR(__xludf.DUMMYFUNCTION("""COMPUTED_VALUE"""),0.159090909090909)</f>
        <v>0.1590909091</v>
      </c>
      <c r="Q76" s="16">
        <f>IFERROR(__xludf.DUMMYFUNCTION("""COMPUTED_VALUE"""),0.0687022900763358)</f>
        <v>0.06870229008</v>
      </c>
      <c r="R76" s="16">
        <f>IFERROR(__xludf.DUMMYFUNCTION("""COMPUTED_VALUE"""),0.0327868852459016)</f>
        <v>0.03278688525</v>
      </c>
      <c r="S76" s="16">
        <f>IFERROR(__xludf.DUMMYFUNCTION("""COMPUTED_VALUE"""),0.0)</f>
        <v>0</v>
      </c>
      <c r="T76" s="16">
        <f>IFERROR(__xludf.DUMMYFUNCTION("""COMPUTED_VALUE"""),0.0)</f>
        <v>0</v>
      </c>
      <c r="U76" s="16">
        <f>IFERROR(__xludf.DUMMYFUNCTION("""COMPUTED_VALUE"""),0.0)</f>
        <v>0</v>
      </c>
      <c r="V76" s="16">
        <f>IFERROR(__xludf.DUMMYFUNCTION("""COMPUTED_VALUE"""),0.0)</f>
        <v>0</v>
      </c>
      <c r="W76" s="16">
        <f>IFERROR(__xludf.DUMMYFUNCTION("""COMPUTED_VALUE"""),0.0)</f>
        <v>0</v>
      </c>
      <c r="X76" s="16">
        <f>IFERROR(__xludf.DUMMYFUNCTION("""COMPUTED_VALUE"""),0.0)</f>
        <v>0</v>
      </c>
      <c r="Y76" s="16">
        <f>IFERROR(__xludf.DUMMYFUNCTION("""COMPUTED_VALUE"""),0.0)</f>
        <v>0</v>
      </c>
      <c r="Z76" s="16">
        <f>IFERROR(__xludf.DUMMYFUNCTION("""COMPUTED_VALUE"""),0.0)</f>
        <v>0</v>
      </c>
      <c r="AA76" s="16">
        <f>IFERROR(__xludf.DUMMYFUNCTION("""COMPUTED_VALUE"""),0.0)</f>
        <v>0</v>
      </c>
      <c r="AB76" s="16">
        <f>IFERROR(__xludf.DUMMYFUNCTION("""COMPUTED_VALUE"""),0.0)</f>
        <v>0</v>
      </c>
      <c r="AC76" s="16">
        <f>IFERROR(__xludf.DUMMYFUNCTION("""COMPUTED_VALUE"""),0.0)</f>
        <v>0</v>
      </c>
      <c r="AD76" s="16">
        <f>IFERROR(__xludf.DUMMYFUNCTION("""COMPUTED_VALUE"""),0.0)</f>
        <v>0</v>
      </c>
      <c r="AE76" s="16">
        <f>IFERROR(__xludf.DUMMYFUNCTION("""COMPUTED_VALUE"""),0.0)</f>
        <v>0</v>
      </c>
      <c r="AF76" s="16">
        <f>IFERROR(__xludf.DUMMYFUNCTION("""COMPUTED_VALUE"""),0.0)</f>
        <v>0</v>
      </c>
      <c r="AG76" s="16">
        <f>IFERROR(__xludf.DUMMYFUNCTION("""COMPUTED_VALUE"""),0.0)</f>
        <v>0</v>
      </c>
      <c r="AH76" s="16">
        <f>IFERROR(__xludf.DUMMYFUNCTION("""COMPUTED_VALUE"""),0.0)</f>
        <v>0</v>
      </c>
    </row>
    <row r="77">
      <c r="A77" s="16" t="str">
        <f>IFERROR(__xludf.DUMMYFUNCTION("""COMPUTED_VALUE"""),"41fe3152f98c34f655d93ac2fc85bf506eac3371")</f>
        <v>41fe3152f98c34f655d93ac2fc85bf506eac3371</v>
      </c>
      <c r="B77" s="16" t="str">
        <f>IFERROR(__xludf.DUMMYFUNCTION("""COMPUTED_VALUE"""),"Owen &amp; Liam")</f>
        <v>Owen &amp; Liam</v>
      </c>
      <c r="C77" s="16" t="str">
        <f>IFERROR(__xludf.DUMMYFUNCTION("""COMPUTED_VALUE"""),"Romance")</f>
        <v>Romance</v>
      </c>
      <c r="D77" s="16">
        <f>IFERROR(__xludf.DUMMYFUNCTION("""COMPUTED_VALUE"""),5587.0)</f>
        <v>5587</v>
      </c>
      <c r="E77" s="16">
        <f>IFERROR(__xludf.DUMMYFUNCTION("""COMPUTED_VALUE"""),0.950599606228745)</f>
        <v>0.9505996062</v>
      </c>
      <c r="F77" s="16">
        <f>IFERROR(__xludf.DUMMYFUNCTION("""COMPUTED_VALUE"""),0.622337569357436)</f>
        <v>0.6223375694</v>
      </c>
      <c r="G77" s="16">
        <f>IFERROR(__xludf.DUMMYFUNCTION("""COMPUTED_VALUE"""),0.534275997852156)</f>
        <v>0.5342759979</v>
      </c>
      <c r="H77" s="16">
        <f>IFERROR(__xludf.DUMMYFUNCTION("""COMPUTED_VALUE"""),0.485412564882763)</f>
        <v>0.4854125649</v>
      </c>
      <c r="I77" s="16">
        <f>IFERROR(__xludf.DUMMYFUNCTION("""COMPUTED_VALUE"""),0.456953642384105)</f>
        <v>0.4569536424</v>
      </c>
      <c r="J77" s="16">
        <f>IFERROR(__xludf.DUMMYFUNCTION("""COMPUTED_VALUE"""),0.437981027385)</f>
        <v>0.4379810274</v>
      </c>
      <c r="K77" s="16">
        <f>IFERROR(__xludf.DUMMYFUNCTION("""COMPUTED_VALUE"""),0.416502595310542)</f>
        <v>0.4165025953</v>
      </c>
      <c r="L77" s="16">
        <f>IFERROR(__xludf.DUMMYFUNCTION("""COMPUTED_VALUE"""),0.404152496867728)</f>
        <v>0.4041524969</v>
      </c>
      <c r="M77" s="16">
        <f>IFERROR(__xludf.DUMMYFUNCTION("""COMPUTED_VALUE"""),0.395273899033297)</f>
        <v>0.395273899</v>
      </c>
      <c r="N77" s="16">
        <f>IFERROR(__xludf.DUMMYFUNCTION("""COMPUTED_VALUE"""),0.380483437779767)</f>
        <v>0.3804834378</v>
      </c>
      <c r="O77" s="16">
        <f>IFERROR(__xludf.DUMMYFUNCTION("""COMPUTED_VALUE"""),0.349274583557227)</f>
        <v>0.3492745836</v>
      </c>
      <c r="P77" s="16">
        <f>IFERROR(__xludf.DUMMYFUNCTION("""COMPUTED_VALUE"""),0.319591324610145)</f>
        <v>0.3195913246</v>
      </c>
      <c r="Q77" s="16">
        <f>IFERROR(__xludf.DUMMYFUNCTION("""COMPUTED_VALUE"""),0.258571154951158)</f>
        <v>0.258571155</v>
      </c>
      <c r="R77" s="16">
        <f>IFERROR(__xludf.DUMMYFUNCTION("""COMPUTED_VALUE"""),0.203862190037305)</f>
        <v>0.20386219</v>
      </c>
      <c r="S77" s="16">
        <f>IFERROR(__xludf.DUMMYFUNCTION("""COMPUTED_VALUE"""),0.157187993680884)</f>
        <v>0.1571879937</v>
      </c>
      <c r="T77" s="16">
        <f>IFERROR(__xludf.DUMMYFUNCTION("""COMPUTED_VALUE"""),0.132952924393723)</f>
        <v>0.1329529244</v>
      </c>
      <c r="U77" s="16">
        <f>IFERROR(__xludf.DUMMYFUNCTION("""COMPUTED_VALUE"""),0.122485740018012)</f>
        <v>0.12248574</v>
      </c>
      <c r="V77" s="16">
        <f>IFERROR(__xludf.DUMMYFUNCTION("""COMPUTED_VALUE"""),0.115652724968314)</f>
        <v>0.115652725</v>
      </c>
      <c r="W77" s="16">
        <f>IFERROR(__xludf.DUMMYFUNCTION("""COMPUTED_VALUE"""),0.0976775956284153)</f>
        <v>0.09767759563</v>
      </c>
      <c r="X77" s="16">
        <f>IFERROR(__xludf.DUMMYFUNCTION("""COMPUTED_VALUE"""),0.0944734876773711)</f>
        <v>0.09447348768</v>
      </c>
      <c r="Y77" s="16">
        <f>IFERROR(__xludf.DUMMYFUNCTION("""COMPUTED_VALUE"""),0.0667050028752156)</f>
        <v>0.06670500288</v>
      </c>
      <c r="Z77" s="16">
        <f>IFERROR(__xludf.DUMMYFUNCTION("""COMPUTED_VALUE"""),0.0662188099808061)</f>
        <v>0.06621880998</v>
      </c>
      <c r="AA77" s="16">
        <f>IFERROR(__xludf.DUMMYFUNCTION("""COMPUTED_VALUE"""),0.048076923076923)</f>
        <v>0.04807692308</v>
      </c>
      <c r="AB77" s="16">
        <f>IFERROR(__xludf.DUMMYFUNCTION("""COMPUTED_VALUE"""),0.0634920634920634)</f>
        <v>0.06349206349</v>
      </c>
      <c r="AC77" s="16">
        <f>IFERROR(__xludf.DUMMYFUNCTION("""COMPUTED_VALUE"""),0.0961538461538461)</f>
        <v>0.09615384615</v>
      </c>
      <c r="AD77" s="16">
        <f>IFERROR(__xludf.DUMMYFUNCTION("""COMPUTED_VALUE"""),0.0)</f>
        <v>0</v>
      </c>
      <c r="AE77" s="16">
        <f>IFERROR(__xludf.DUMMYFUNCTION("""COMPUTED_VALUE"""),0.0)</f>
        <v>0</v>
      </c>
      <c r="AF77" s="16">
        <f>IFERROR(__xludf.DUMMYFUNCTION("""COMPUTED_VALUE"""),0.0)</f>
        <v>0</v>
      </c>
      <c r="AG77" s="16">
        <f>IFERROR(__xludf.DUMMYFUNCTION("""COMPUTED_VALUE"""),0.0)</f>
        <v>0</v>
      </c>
      <c r="AH77" s="16">
        <f>IFERROR(__xludf.DUMMYFUNCTION("""COMPUTED_VALUE"""),0.0)</f>
        <v>0</v>
      </c>
    </row>
    <row r="78">
      <c r="A78" s="16" t="str">
        <f>IFERROR(__xludf.DUMMYFUNCTION("""COMPUTED_VALUE"""),"424b450dc35cc4bf4fc088069830e978aa97884a")</f>
        <v>424b450dc35cc4bf4fc088069830e978aa97884a</v>
      </c>
      <c r="B78" s="16" t="str">
        <f>IFERROR(__xludf.DUMMYFUNCTION("""COMPUTED_VALUE"""),"The Alpha's Witch")</f>
        <v>The Alpha's Witch</v>
      </c>
      <c r="C78" s="16" t="str">
        <f>IFERROR(__xludf.DUMMYFUNCTION("""COMPUTED_VALUE"""),"Romantasy")</f>
        <v>Romantasy</v>
      </c>
      <c r="D78" s="16">
        <f>IFERROR(__xludf.DUMMYFUNCTION("""COMPUTED_VALUE"""),563.0)</f>
        <v>563</v>
      </c>
      <c r="E78" s="16">
        <f>IFERROR(__xludf.DUMMYFUNCTION("""COMPUTED_VALUE"""),0.985790408525754)</f>
        <v>0.9857904085</v>
      </c>
      <c r="F78" s="16">
        <f>IFERROR(__xludf.DUMMYFUNCTION("""COMPUTED_VALUE"""),0.673179396092362)</f>
        <v>0.6731793961</v>
      </c>
      <c r="G78" s="16">
        <f>IFERROR(__xludf.DUMMYFUNCTION("""COMPUTED_VALUE"""),0.598579040852575)</f>
        <v>0.5985790409</v>
      </c>
      <c r="H78" s="16">
        <f>IFERROR(__xludf.DUMMYFUNCTION("""COMPUTED_VALUE"""),0.531083481349911)</f>
        <v>0.5310834813</v>
      </c>
      <c r="I78" s="16">
        <f>IFERROR(__xludf.DUMMYFUNCTION("""COMPUTED_VALUE"""),0.488454706927175)</f>
        <v>0.4884547069</v>
      </c>
      <c r="J78" s="16">
        <f>IFERROR(__xludf.DUMMYFUNCTION("""COMPUTED_VALUE"""),0.470692717584369)</f>
        <v>0.4706927176</v>
      </c>
      <c r="K78" s="16">
        <f>IFERROR(__xludf.DUMMYFUNCTION("""COMPUTED_VALUE"""),0.449378330373001)</f>
        <v>0.4493783304</v>
      </c>
      <c r="L78" s="16">
        <f>IFERROR(__xludf.DUMMYFUNCTION("""COMPUTED_VALUE"""),0.438721136767317)</f>
        <v>0.4387211368</v>
      </c>
      <c r="M78" s="16">
        <f>IFERROR(__xludf.DUMMYFUNCTION("""COMPUTED_VALUE"""),0.438721136767317)</f>
        <v>0.4387211368</v>
      </c>
      <c r="N78" s="16">
        <f>IFERROR(__xludf.DUMMYFUNCTION("""COMPUTED_VALUE"""),0.434163701067615)</f>
        <v>0.4341637011</v>
      </c>
      <c r="O78" s="16">
        <f>IFERROR(__xludf.DUMMYFUNCTION("""COMPUTED_VALUE"""),0.244642857142857)</f>
        <v>0.2446428571</v>
      </c>
      <c r="P78" s="16">
        <f>IFERROR(__xludf.DUMMYFUNCTION("""COMPUTED_VALUE"""),0.1985559566787)</f>
        <v>0.1985559567</v>
      </c>
      <c r="Q78" s="16">
        <f>IFERROR(__xludf.DUMMYFUNCTION("""COMPUTED_VALUE"""),0.143129770992366)</f>
        <v>0.143129771</v>
      </c>
      <c r="R78" s="16">
        <f>IFERROR(__xludf.DUMMYFUNCTION("""COMPUTED_VALUE"""),0.115384615384615)</f>
        <v>0.1153846154</v>
      </c>
      <c r="S78" s="16">
        <f>IFERROR(__xludf.DUMMYFUNCTION("""COMPUTED_VALUE"""),0.25)</f>
        <v>0.25</v>
      </c>
      <c r="T78" s="16">
        <f>IFERROR(__xludf.DUMMYFUNCTION("""COMPUTED_VALUE"""),0.0)</f>
        <v>0</v>
      </c>
      <c r="U78" s="16">
        <f>IFERROR(__xludf.DUMMYFUNCTION("""COMPUTED_VALUE"""),0.0)</f>
        <v>0</v>
      </c>
      <c r="V78" s="16">
        <f>IFERROR(__xludf.DUMMYFUNCTION("""COMPUTED_VALUE"""),0.0)</f>
        <v>0</v>
      </c>
      <c r="W78" s="16">
        <f>IFERROR(__xludf.DUMMYFUNCTION("""COMPUTED_VALUE"""),0.0)</f>
        <v>0</v>
      </c>
      <c r="X78" s="16">
        <f>IFERROR(__xludf.DUMMYFUNCTION("""COMPUTED_VALUE"""),0.0)</f>
        <v>0</v>
      </c>
      <c r="Y78" s="16">
        <f>IFERROR(__xludf.DUMMYFUNCTION("""COMPUTED_VALUE"""),0.0)</f>
        <v>0</v>
      </c>
      <c r="Z78" s="16">
        <f>IFERROR(__xludf.DUMMYFUNCTION("""COMPUTED_VALUE"""),0.0)</f>
        <v>0</v>
      </c>
      <c r="AA78" s="16">
        <f>IFERROR(__xludf.DUMMYFUNCTION("""COMPUTED_VALUE"""),0.0)</f>
        <v>0</v>
      </c>
      <c r="AB78" s="16">
        <f>IFERROR(__xludf.DUMMYFUNCTION("""COMPUTED_VALUE"""),0.0)</f>
        <v>0</v>
      </c>
      <c r="AC78" s="16">
        <f>IFERROR(__xludf.DUMMYFUNCTION("""COMPUTED_VALUE"""),0.0)</f>
        <v>0</v>
      </c>
      <c r="AD78" s="16">
        <f>IFERROR(__xludf.DUMMYFUNCTION("""COMPUTED_VALUE"""),0.0)</f>
        <v>0</v>
      </c>
      <c r="AE78" s="16">
        <f>IFERROR(__xludf.DUMMYFUNCTION("""COMPUTED_VALUE"""),0.0)</f>
        <v>0</v>
      </c>
      <c r="AF78" s="16">
        <f>IFERROR(__xludf.DUMMYFUNCTION("""COMPUTED_VALUE"""),0.0)</f>
        <v>0</v>
      </c>
      <c r="AG78" s="16">
        <f>IFERROR(__xludf.DUMMYFUNCTION("""COMPUTED_VALUE"""),0.0)</f>
        <v>0</v>
      </c>
      <c r="AH78" s="16">
        <f>IFERROR(__xludf.DUMMYFUNCTION("""COMPUTED_VALUE"""),0.0)</f>
        <v>0</v>
      </c>
    </row>
    <row r="79">
      <c r="A79" s="16" t="str">
        <f>IFERROR(__xludf.DUMMYFUNCTION("""COMPUTED_VALUE"""),"42515091e7b47b7b2d2381d7512fdb9f9866aa1e")</f>
        <v>42515091e7b47b7b2d2381d7512fdb9f9866aa1e</v>
      </c>
      <c r="B79" s="16" t="str">
        <f>IFERROR(__xludf.DUMMYFUNCTION("""COMPUTED_VALUE"""),"The Tomboy Love Story")</f>
        <v>The Tomboy Love Story</v>
      </c>
      <c r="C79" s="16" t="str">
        <f>IFERROR(__xludf.DUMMYFUNCTION("""COMPUTED_VALUE"""),"Romance")</f>
        <v>Romance</v>
      </c>
      <c r="D79" s="16">
        <f>IFERROR(__xludf.DUMMYFUNCTION("""COMPUTED_VALUE"""),560.0)</f>
        <v>560</v>
      </c>
      <c r="E79" s="16">
        <f>IFERROR(__xludf.DUMMYFUNCTION("""COMPUTED_VALUE"""),0.966071428571428)</f>
        <v>0.9660714286</v>
      </c>
      <c r="F79" s="16">
        <f>IFERROR(__xludf.DUMMYFUNCTION("""COMPUTED_VALUE"""),0.557142857142857)</f>
        <v>0.5571428571</v>
      </c>
      <c r="G79" s="16">
        <f>IFERROR(__xludf.DUMMYFUNCTION("""COMPUTED_VALUE"""),0.514285714285714)</f>
        <v>0.5142857143</v>
      </c>
      <c r="H79" s="16">
        <f>IFERROR(__xludf.DUMMYFUNCTION("""COMPUTED_VALUE"""),0.475)</f>
        <v>0.475</v>
      </c>
      <c r="I79" s="16">
        <f>IFERROR(__xludf.DUMMYFUNCTION("""COMPUTED_VALUE"""),0.442857142857142)</f>
        <v>0.4428571429</v>
      </c>
      <c r="J79" s="16">
        <f>IFERROR(__xludf.DUMMYFUNCTION("""COMPUTED_VALUE"""),0.431127012522361)</f>
        <v>0.4311270125</v>
      </c>
      <c r="K79" s="16">
        <f>IFERROR(__xludf.DUMMYFUNCTION("""COMPUTED_VALUE"""),0.418772563176895)</f>
        <v>0.4187725632</v>
      </c>
      <c r="L79" s="16">
        <f>IFERROR(__xludf.DUMMYFUNCTION("""COMPUTED_VALUE"""),0.415607985480943)</f>
        <v>0.4156079855</v>
      </c>
      <c r="M79" s="16">
        <f>IFERROR(__xludf.DUMMYFUNCTION("""COMPUTED_VALUE"""),0.4010889292196)</f>
        <v>0.4010889292</v>
      </c>
      <c r="N79" s="16">
        <f>IFERROR(__xludf.DUMMYFUNCTION("""COMPUTED_VALUE"""),0.381818181818181)</f>
        <v>0.3818181818</v>
      </c>
      <c r="O79" s="16">
        <f>IFERROR(__xludf.DUMMYFUNCTION("""COMPUTED_VALUE"""),0.373626373626373)</f>
        <v>0.3736263736</v>
      </c>
      <c r="P79" s="16">
        <f>IFERROR(__xludf.DUMMYFUNCTION("""COMPUTED_VALUE"""),0.285444234404536)</f>
        <v>0.2854442344</v>
      </c>
      <c r="Q79" s="16">
        <f>IFERROR(__xludf.DUMMYFUNCTION("""COMPUTED_VALUE"""),0.15301724137931)</f>
        <v>0.1530172414</v>
      </c>
      <c r="R79" s="16">
        <f>IFERROR(__xludf.DUMMYFUNCTION("""COMPUTED_VALUE"""),0.136258660508083)</f>
        <v>0.1362586605</v>
      </c>
      <c r="S79" s="16">
        <f>IFERROR(__xludf.DUMMYFUNCTION("""COMPUTED_VALUE"""),0.0952380952380952)</f>
        <v>0.09523809524</v>
      </c>
      <c r="T79" s="16">
        <f>IFERROR(__xludf.DUMMYFUNCTION("""COMPUTED_VALUE"""),0.0)</f>
        <v>0</v>
      </c>
      <c r="U79" s="16">
        <f>IFERROR(__xludf.DUMMYFUNCTION("""COMPUTED_VALUE"""),0.0)</f>
        <v>0</v>
      </c>
      <c r="V79" s="16">
        <f>IFERROR(__xludf.DUMMYFUNCTION("""COMPUTED_VALUE"""),0.0)</f>
        <v>0</v>
      </c>
      <c r="W79" s="16">
        <f>IFERROR(__xludf.DUMMYFUNCTION("""COMPUTED_VALUE"""),0.0)</f>
        <v>0</v>
      </c>
      <c r="X79" s="16">
        <f>IFERROR(__xludf.DUMMYFUNCTION("""COMPUTED_VALUE"""),0.0)</f>
        <v>0</v>
      </c>
      <c r="Y79" s="16">
        <f>IFERROR(__xludf.DUMMYFUNCTION("""COMPUTED_VALUE"""),0.0)</f>
        <v>0</v>
      </c>
      <c r="Z79" s="16">
        <f>IFERROR(__xludf.DUMMYFUNCTION("""COMPUTED_VALUE"""),0.0)</f>
        <v>0</v>
      </c>
      <c r="AA79" s="16">
        <f>IFERROR(__xludf.DUMMYFUNCTION("""COMPUTED_VALUE"""),0.0)</f>
        <v>0</v>
      </c>
      <c r="AB79" s="16">
        <f>IFERROR(__xludf.DUMMYFUNCTION("""COMPUTED_VALUE"""),0.0)</f>
        <v>0</v>
      </c>
      <c r="AC79" s="16">
        <f>IFERROR(__xludf.DUMMYFUNCTION("""COMPUTED_VALUE"""),0.0)</f>
        <v>0</v>
      </c>
      <c r="AD79" s="16">
        <f>IFERROR(__xludf.DUMMYFUNCTION("""COMPUTED_VALUE"""),0.0)</f>
        <v>0</v>
      </c>
      <c r="AE79" s="16">
        <f>IFERROR(__xludf.DUMMYFUNCTION("""COMPUTED_VALUE"""),0.0)</f>
        <v>0</v>
      </c>
      <c r="AF79" s="16">
        <f>IFERROR(__xludf.DUMMYFUNCTION("""COMPUTED_VALUE"""),0.0)</f>
        <v>0</v>
      </c>
      <c r="AG79" s="16">
        <f>IFERROR(__xludf.DUMMYFUNCTION("""COMPUTED_VALUE"""),0.0)</f>
        <v>0</v>
      </c>
      <c r="AH79" s="16">
        <f>IFERROR(__xludf.DUMMYFUNCTION("""COMPUTED_VALUE"""),0.0)</f>
        <v>0</v>
      </c>
    </row>
    <row r="80">
      <c r="A80" s="16" t="str">
        <f>IFERROR(__xludf.DUMMYFUNCTION("""COMPUTED_VALUE"""),"4335258b71733375cbccc0fbf7ce0bf0975b095d")</f>
        <v>4335258b71733375cbccc0fbf7ce0bf0975b095d</v>
      </c>
      <c r="B80" s="16" t="str">
        <f>IFERROR(__xludf.DUMMYFUNCTION("""COMPUTED_VALUE"""),"Alex &amp; the Prison System")</f>
        <v>Alex &amp; the Prison System</v>
      </c>
      <c r="C80" s="16" t="str">
        <f>IFERROR(__xludf.DUMMYFUNCTION("""COMPUTED_VALUE"""),"System and Superpower")</f>
        <v>System and Superpower</v>
      </c>
      <c r="D80" s="16">
        <f>IFERROR(__xludf.DUMMYFUNCTION("""COMPUTED_VALUE"""),144.0)</f>
        <v>144</v>
      </c>
      <c r="E80" s="16">
        <f>IFERROR(__xludf.DUMMYFUNCTION("""COMPUTED_VALUE"""),0.958333333333333)</f>
        <v>0.9583333333</v>
      </c>
      <c r="F80" s="16">
        <f>IFERROR(__xludf.DUMMYFUNCTION("""COMPUTED_VALUE"""),0.666666666666666)</f>
        <v>0.6666666667</v>
      </c>
      <c r="G80" s="16">
        <f>IFERROR(__xludf.DUMMYFUNCTION("""COMPUTED_VALUE"""),0.541666666666666)</f>
        <v>0.5416666667</v>
      </c>
      <c r="H80" s="16">
        <f>IFERROR(__xludf.DUMMYFUNCTION("""COMPUTED_VALUE"""),0.541666666666666)</f>
        <v>0.5416666667</v>
      </c>
      <c r="I80" s="16">
        <f>IFERROR(__xludf.DUMMYFUNCTION("""COMPUTED_VALUE"""),0.513888888888888)</f>
        <v>0.5138888889</v>
      </c>
      <c r="J80" s="16">
        <f>IFERROR(__xludf.DUMMYFUNCTION("""COMPUTED_VALUE"""),0.486111111111111)</f>
        <v>0.4861111111</v>
      </c>
      <c r="K80" s="16">
        <f>IFERROR(__xludf.DUMMYFUNCTION("""COMPUTED_VALUE"""),0.5)</f>
        <v>0.5</v>
      </c>
      <c r="L80" s="16">
        <f>IFERROR(__xludf.DUMMYFUNCTION("""COMPUTED_VALUE"""),0.513888888888888)</f>
        <v>0.5138888889</v>
      </c>
      <c r="M80" s="16">
        <f>IFERROR(__xludf.DUMMYFUNCTION("""COMPUTED_VALUE"""),0.475524475524475)</f>
        <v>0.4755244755</v>
      </c>
      <c r="N80" s="16">
        <f>IFERROR(__xludf.DUMMYFUNCTION("""COMPUTED_VALUE"""),0.478873239436619)</f>
        <v>0.4788732394</v>
      </c>
      <c r="O80" s="16">
        <f>IFERROR(__xludf.DUMMYFUNCTION("""COMPUTED_VALUE"""),0.373239436619718)</f>
        <v>0.3732394366</v>
      </c>
      <c r="P80" s="16">
        <f>IFERROR(__xludf.DUMMYFUNCTION("""COMPUTED_VALUE"""),0.241134751773049)</f>
        <v>0.2411347518</v>
      </c>
      <c r="Q80" s="16">
        <f>IFERROR(__xludf.DUMMYFUNCTION("""COMPUTED_VALUE"""),0.224489795918367)</f>
        <v>0.2244897959</v>
      </c>
      <c r="R80" s="16">
        <f>IFERROR(__xludf.DUMMYFUNCTION("""COMPUTED_VALUE"""),0.333333333333333)</f>
        <v>0.3333333333</v>
      </c>
      <c r="S80" s="16">
        <f>IFERROR(__xludf.DUMMYFUNCTION("""COMPUTED_VALUE"""),0.0)</f>
        <v>0</v>
      </c>
      <c r="T80" s="16">
        <f>IFERROR(__xludf.DUMMYFUNCTION("""COMPUTED_VALUE"""),0.0)</f>
        <v>0</v>
      </c>
      <c r="U80" s="16">
        <f>IFERROR(__xludf.DUMMYFUNCTION("""COMPUTED_VALUE"""),0.0)</f>
        <v>0</v>
      </c>
      <c r="V80" s="16">
        <f>IFERROR(__xludf.DUMMYFUNCTION("""COMPUTED_VALUE"""),0.0)</f>
        <v>0</v>
      </c>
      <c r="W80" s="16">
        <f>IFERROR(__xludf.DUMMYFUNCTION("""COMPUTED_VALUE"""),0.0)</f>
        <v>0</v>
      </c>
      <c r="X80" s="16">
        <f>IFERROR(__xludf.DUMMYFUNCTION("""COMPUTED_VALUE"""),0.0)</f>
        <v>0</v>
      </c>
      <c r="Y80" s="16">
        <f>IFERROR(__xludf.DUMMYFUNCTION("""COMPUTED_VALUE"""),0.0)</f>
        <v>0</v>
      </c>
      <c r="Z80" s="16">
        <f>IFERROR(__xludf.DUMMYFUNCTION("""COMPUTED_VALUE"""),0.0)</f>
        <v>0</v>
      </c>
      <c r="AA80" s="16">
        <f>IFERROR(__xludf.DUMMYFUNCTION("""COMPUTED_VALUE"""),0.0)</f>
        <v>0</v>
      </c>
      <c r="AB80" s="16">
        <f>IFERROR(__xludf.DUMMYFUNCTION("""COMPUTED_VALUE"""),0.0)</f>
        <v>0</v>
      </c>
      <c r="AC80" s="16">
        <f>IFERROR(__xludf.DUMMYFUNCTION("""COMPUTED_VALUE"""),0.0)</f>
        <v>0</v>
      </c>
      <c r="AD80" s="16">
        <f>IFERROR(__xludf.DUMMYFUNCTION("""COMPUTED_VALUE"""),0.0)</f>
        <v>0</v>
      </c>
      <c r="AE80" s="16">
        <f>IFERROR(__xludf.DUMMYFUNCTION("""COMPUTED_VALUE"""),0.0)</f>
        <v>0</v>
      </c>
      <c r="AF80" s="16">
        <f>IFERROR(__xludf.DUMMYFUNCTION("""COMPUTED_VALUE"""),0.0)</f>
        <v>0</v>
      </c>
      <c r="AG80" s="16">
        <f>IFERROR(__xludf.DUMMYFUNCTION("""COMPUTED_VALUE"""),0.0)</f>
        <v>0</v>
      </c>
      <c r="AH80" s="16">
        <f>IFERROR(__xludf.DUMMYFUNCTION("""COMPUTED_VALUE"""),0.0)</f>
        <v>0</v>
      </c>
    </row>
    <row r="81">
      <c r="A81" s="16" t="str">
        <f>IFERROR(__xludf.DUMMYFUNCTION("""COMPUTED_VALUE"""),"43de49339ed40a2c4d8acef5644870ce292f541e")</f>
        <v>43de49339ed40a2c4d8acef5644870ce292f541e</v>
      </c>
      <c r="B81" s="16" t="str">
        <f>IFERROR(__xludf.DUMMYFUNCTION("""COMPUTED_VALUE"""),"Second Chances: Reborn to Be a CEO’s Wife")</f>
        <v>Second Chances: Reborn to Be a CEO’s Wife</v>
      </c>
      <c r="C81" s="16" t="str">
        <f>IFERROR(__xludf.DUMMYFUNCTION("""COMPUTED_VALUE"""),"Romance")</f>
        <v>Romance</v>
      </c>
      <c r="D81" s="16">
        <f>IFERROR(__xludf.DUMMYFUNCTION("""COMPUTED_VALUE"""),420.0)</f>
        <v>420</v>
      </c>
      <c r="E81" s="16">
        <f>IFERROR(__xludf.DUMMYFUNCTION("""COMPUTED_VALUE"""),0.923809523809523)</f>
        <v>0.9238095238</v>
      </c>
      <c r="F81" s="16">
        <f>IFERROR(__xludf.DUMMYFUNCTION("""COMPUTED_VALUE"""),0.683333333333333)</f>
        <v>0.6833333333</v>
      </c>
      <c r="G81" s="16">
        <f>IFERROR(__xludf.DUMMYFUNCTION("""COMPUTED_VALUE"""),0.597619047619047)</f>
        <v>0.5976190476</v>
      </c>
      <c r="H81" s="16">
        <f>IFERROR(__xludf.DUMMYFUNCTION("""COMPUTED_VALUE"""),0.54047619047619)</f>
        <v>0.5404761905</v>
      </c>
      <c r="I81" s="16">
        <f>IFERROR(__xludf.DUMMYFUNCTION("""COMPUTED_VALUE"""),0.521428571428571)</f>
        <v>0.5214285714</v>
      </c>
      <c r="J81" s="16">
        <f>IFERROR(__xludf.DUMMYFUNCTION("""COMPUTED_VALUE"""),0.49047619047619)</f>
        <v>0.4904761905</v>
      </c>
      <c r="K81" s="16">
        <f>IFERROR(__xludf.DUMMYFUNCTION("""COMPUTED_VALUE"""),0.473809523809523)</f>
        <v>0.4738095238</v>
      </c>
      <c r="L81" s="16">
        <f>IFERROR(__xludf.DUMMYFUNCTION("""COMPUTED_VALUE"""),0.442857142857142)</f>
        <v>0.4428571429</v>
      </c>
      <c r="M81" s="16">
        <f>IFERROR(__xludf.DUMMYFUNCTION("""COMPUTED_VALUE"""),0.407142857142857)</f>
        <v>0.4071428571</v>
      </c>
      <c r="N81" s="16">
        <f>IFERROR(__xludf.DUMMYFUNCTION("""COMPUTED_VALUE"""),0.39047619047619)</f>
        <v>0.3904761905</v>
      </c>
      <c r="O81" s="16">
        <f>IFERROR(__xludf.DUMMYFUNCTION("""COMPUTED_VALUE"""),0.342105263157894)</f>
        <v>0.3421052632</v>
      </c>
      <c r="P81" s="16">
        <f>IFERROR(__xludf.DUMMYFUNCTION("""COMPUTED_VALUE"""),0.177884615384615)</f>
        <v>0.1778846154</v>
      </c>
      <c r="Q81" s="16">
        <f>IFERROR(__xludf.DUMMYFUNCTION("""COMPUTED_VALUE"""),0.0415647921760391)</f>
        <v>0.04156479218</v>
      </c>
      <c r="R81" s="16">
        <f>IFERROR(__xludf.DUMMYFUNCTION("""COMPUTED_VALUE"""),0.0)</f>
        <v>0</v>
      </c>
      <c r="S81" s="16">
        <f>IFERROR(__xludf.DUMMYFUNCTION("""COMPUTED_VALUE"""),0.0)</f>
        <v>0</v>
      </c>
      <c r="T81" s="16">
        <f>IFERROR(__xludf.DUMMYFUNCTION("""COMPUTED_VALUE"""),0.0)</f>
        <v>0</v>
      </c>
      <c r="U81" s="16">
        <f>IFERROR(__xludf.DUMMYFUNCTION("""COMPUTED_VALUE"""),0.0)</f>
        <v>0</v>
      </c>
      <c r="V81" s="16">
        <f>IFERROR(__xludf.DUMMYFUNCTION("""COMPUTED_VALUE"""),0.0)</f>
        <v>0</v>
      </c>
      <c r="W81" s="16">
        <f>IFERROR(__xludf.DUMMYFUNCTION("""COMPUTED_VALUE"""),0.0)</f>
        <v>0</v>
      </c>
      <c r="X81" s="16">
        <f>IFERROR(__xludf.DUMMYFUNCTION("""COMPUTED_VALUE"""),0.0)</f>
        <v>0</v>
      </c>
      <c r="Y81" s="16">
        <f>IFERROR(__xludf.DUMMYFUNCTION("""COMPUTED_VALUE"""),0.0)</f>
        <v>0</v>
      </c>
      <c r="Z81" s="16">
        <f>IFERROR(__xludf.DUMMYFUNCTION("""COMPUTED_VALUE"""),0.0)</f>
        <v>0</v>
      </c>
      <c r="AA81" s="16">
        <f>IFERROR(__xludf.DUMMYFUNCTION("""COMPUTED_VALUE"""),0.0)</f>
        <v>0</v>
      </c>
      <c r="AB81" s="16">
        <f>IFERROR(__xludf.DUMMYFUNCTION("""COMPUTED_VALUE"""),0.0)</f>
        <v>0</v>
      </c>
      <c r="AC81" s="16">
        <f>IFERROR(__xludf.DUMMYFUNCTION("""COMPUTED_VALUE"""),0.0)</f>
        <v>0</v>
      </c>
      <c r="AD81" s="16">
        <f>IFERROR(__xludf.DUMMYFUNCTION("""COMPUTED_VALUE"""),0.0)</f>
        <v>0</v>
      </c>
      <c r="AE81" s="16">
        <f>IFERROR(__xludf.DUMMYFUNCTION("""COMPUTED_VALUE"""),0.0)</f>
        <v>0</v>
      </c>
      <c r="AF81" s="16">
        <f>IFERROR(__xludf.DUMMYFUNCTION("""COMPUTED_VALUE"""),0.0)</f>
        <v>0</v>
      </c>
      <c r="AG81" s="16">
        <f>IFERROR(__xludf.DUMMYFUNCTION("""COMPUTED_VALUE"""),0.0)</f>
        <v>0</v>
      </c>
      <c r="AH81" s="16">
        <f>IFERROR(__xludf.DUMMYFUNCTION("""COMPUTED_VALUE"""),0.0)</f>
        <v>0</v>
      </c>
    </row>
    <row r="82">
      <c r="A82" s="16" t="str">
        <f>IFERROR(__xludf.DUMMYFUNCTION("""COMPUTED_VALUE"""),"442d4dce8ca376c2bb4438209980daa53b761b51")</f>
        <v>442d4dce8ca376c2bb4438209980daa53b761b51</v>
      </c>
      <c r="B82" s="16" t="str">
        <f>IFERROR(__xludf.DUMMYFUNCTION("""COMPUTED_VALUE"""),"Rejected and Craved")</f>
        <v>Rejected and Craved</v>
      </c>
      <c r="C82" s="16" t="str">
        <f>IFERROR(__xludf.DUMMYFUNCTION("""COMPUTED_VALUE"""),"Romantasy")</f>
        <v>Romantasy</v>
      </c>
      <c r="D82" s="16">
        <f>IFERROR(__xludf.DUMMYFUNCTION("""COMPUTED_VALUE"""),486.0)</f>
        <v>486</v>
      </c>
      <c r="E82" s="16">
        <f>IFERROR(__xludf.DUMMYFUNCTION("""COMPUTED_VALUE"""),0.973251028806584)</f>
        <v>0.9732510288</v>
      </c>
      <c r="F82" s="16">
        <f>IFERROR(__xludf.DUMMYFUNCTION("""COMPUTED_VALUE"""),0.668724279835391)</f>
        <v>0.6687242798</v>
      </c>
      <c r="G82" s="16">
        <f>IFERROR(__xludf.DUMMYFUNCTION("""COMPUTED_VALUE"""),0.644032921810699)</f>
        <v>0.6440329218</v>
      </c>
      <c r="H82" s="16">
        <f>IFERROR(__xludf.DUMMYFUNCTION("""COMPUTED_VALUE"""),0.630927835051546)</f>
        <v>0.6309278351</v>
      </c>
      <c r="I82" s="16">
        <f>IFERROR(__xludf.DUMMYFUNCTION("""COMPUTED_VALUE"""),0.602061855670103)</f>
        <v>0.6020618557</v>
      </c>
      <c r="J82" s="16">
        <f>IFERROR(__xludf.DUMMYFUNCTION("""COMPUTED_VALUE"""),0.56701030927835)</f>
        <v>0.5670103093</v>
      </c>
      <c r="K82" s="16">
        <f>IFERROR(__xludf.DUMMYFUNCTION("""COMPUTED_VALUE"""),0.546391752577319)</f>
        <v>0.5463917526</v>
      </c>
      <c r="L82" s="16">
        <f>IFERROR(__xludf.DUMMYFUNCTION("""COMPUTED_VALUE"""),0.53099173553719)</f>
        <v>0.5309917355</v>
      </c>
      <c r="M82" s="16">
        <f>IFERROR(__xludf.DUMMYFUNCTION("""COMPUTED_VALUE"""),0.551652892561983)</f>
        <v>0.5516528926</v>
      </c>
      <c r="N82" s="16">
        <f>IFERROR(__xludf.DUMMYFUNCTION("""COMPUTED_VALUE"""),0.516528925619834)</f>
        <v>0.5165289256</v>
      </c>
      <c r="O82" s="16">
        <f>IFERROR(__xludf.DUMMYFUNCTION("""COMPUTED_VALUE"""),0.433760683760683)</f>
        <v>0.4337606838</v>
      </c>
      <c r="P82" s="16">
        <f>IFERROR(__xludf.DUMMYFUNCTION("""COMPUTED_VALUE"""),0.271739130434782)</f>
        <v>0.2717391304</v>
      </c>
      <c r="Q82" s="16">
        <f>IFERROR(__xludf.DUMMYFUNCTION("""COMPUTED_VALUE"""),0.0812064965197215)</f>
        <v>0.08120649652</v>
      </c>
      <c r="R82" s="16">
        <f>IFERROR(__xludf.DUMMYFUNCTION("""COMPUTED_VALUE"""),0.0)</f>
        <v>0</v>
      </c>
      <c r="S82" s="16">
        <f>IFERROR(__xludf.DUMMYFUNCTION("""COMPUTED_VALUE"""),0.0)</f>
        <v>0</v>
      </c>
      <c r="T82" s="16">
        <f>IFERROR(__xludf.DUMMYFUNCTION("""COMPUTED_VALUE"""),0.0)</f>
        <v>0</v>
      </c>
      <c r="U82" s="16">
        <f>IFERROR(__xludf.DUMMYFUNCTION("""COMPUTED_VALUE"""),0.0)</f>
        <v>0</v>
      </c>
      <c r="V82" s="16">
        <f>IFERROR(__xludf.DUMMYFUNCTION("""COMPUTED_VALUE"""),0.0)</f>
        <v>0</v>
      </c>
      <c r="W82" s="16">
        <f>IFERROR(__xludf.DUMMYFUNCTION("""COMPUTED_VALUE"""),0.0)</f>
        <v>0</v>
      </c>
      <c r="X82" s="16">
        <f>IFERROR(__xludf.DUMMYFUNCTION("""COMPUTED_VALUE"""),0.0)</f>
        <v>0</v>
      </c>
      <c r="Y82" s="16">
        <f>IFERROR(__xludf.DUMMYFUNCTION("""COMPUTED_VALUE"""),0.0)</f>
        <v>0</v>
      </c>
      <c r="Z82" s="16">
        <f>IFERROR(__xludf.DUMMYFUNCTION("""COMPUTED_VALUE"""),0.0)</f>
        <v>0</v>
      </c>
      <c r="AA82" s="16">
        <f>IFERROR(__xludf.DUMMYFUNCTION("""COMPUTED_VALUE"""),0.0)</f>
        <v>0</v>
      </c>
      <c r="AB82" s="16">
        <f>IFERROR(__xludf.DUMMYFUNCTION("""COMPUTED_VALUE"""),0.0)</f>
        <v>0</v>
      </c>
      <c r="AC82" s="16">
        <f>IFERROR(__xludf.DUMMYFUNCTION("""COMPUTED_VALUE"""),0.0)</f>
        <v>0</v>
      </c>
      <c r="AD82" s="16">
        <f>IFERROR(__xludf.DUMMYFUNCTION("""COMPUTED_VALUE"""),0.0)</f>
        <v>0</v>
      </c>
      <c r="AE82" s="16">
        <f>IFERROR(__xludf.DUMMYFUNCTION("""COMPUTED_VALUE"""),0.0)</f>
        <v>0</v>
      </c>
      <c r="AF82" s="16">
        <f>IFERROR(__xludf.DUMMYFUNCTION("""COMPUTED_VALUE"""),0.0)</f>
        <v>0</v>
      </c>
      <c r="AG82" s="16">
        <f>IFERROR(__xludf.DUMMYFUNCTION("""COMPUTED_VALUE"""),0.0)</f>
        <v>0</v>
      </c>
      <c r="AH82" s="16">
        <f>IFERROR(__xludf.DUMMYFUNCTION("""COMPUTED_VALUE"""),0.0)</f>
        <v>0</v>
      </c>
    </row>
    <row r="83">
      <c r="A83" s="16" t="str">
        <f>IFERROR(__xludf.DUMMYFUNCTION("""COMPUTED_VALUE"""),"446d5769edafce0d5daf04c6cfc40515f289004f")</f>
        <v>446d5769edafce0d5daf04c6cfc40515f289004f</v>
      </c>
      <c r="B83" s="16" t="str">
        <f>IFERROR(__xludf.DUMMYFUNCTION("""COMPUTED_VALUE"""),"The Cloaked Mogul")</f>
        <v>The Cloaked Mogul</v>
      </c>
      <c r="C83" s="16" t="str">
        <f>IFERROR(__xludf.DUMMYFUNCTION("""COMPUTED_VALUE"""),"Drama")</f>
        <v>Drama</v>
      </c>
      <c r="D83" s="16">
        <f>IFERROR(__xludf.DUMMYFUNCTION("""COMPUTED_VALUE"""),786.0)</f>
        <v>786</v>
      </c>
      <c r="E83" s="16">
        <f>IFERROR(__xludf.DUMMYFUNCTION("""COMPUTED_VALUE"""),0.956743002544529)</f>
        <v>0.9567430025</v>
      </c>
      <c r="F83" s="16">
        <f>IFERROR(__xludf.DUMMYFUNCTION("""COMPUTED_VALUE"""),0.506361323155216)</f>
        <v>0.5063613232</v>
      </c>
      <c r="G83" s="16">
        <f>IFERROR(__xludf.DUMMYFUNCTION("""COMPUTED_VALUE"""),0.460559796437659)</f>
        <v>0.4605597964</v>
      </c>
      <c r="H83" s="16">
        <f>IFERROR(__xludf.DUMMYFUNCTION("""COMPUTED_VALUE"""),0.444020356234096)</f>
        <v>0.4440203562</v>
      </c>
      <c r="I83" s="16">
        <f>IFERROR(__xludf.DUMMYFUNCTION("""COMPUTED_VALUE"""),0.413486005089058)</f>
        <v>0.4134860051</v>
      </c>
      <c r="J83" s="16">
        <f>IFERROR(__xludf.DUMMYFUNCTION("""COMPUTED_VALUE"""),0.402035623409669)</f>
        <v>0.4020356234</v>
      </c>
      <c r="K83" s="16">
        <f>IFERROR(__xludf.DUMMYFUNCTION("""COMPUTED_VALUE"""),0.391857506361323)</f>
        <v>0.3918575064</v>
      </c>
      <c r="L83" s="16">
        <f>IFERROR(__xludf.DUMMYFUNCTION("""COMPUTED_VALUE"""),0.379310344827586)</f>
        <v>0.3793103448</v>
      </c>
      <c r="M83" s="16">
        <f>IFERROR(__xludf.DUMMYFUNCTION("""COMPUTED_VALUE"""),0.374201787994891)</f>
        <v>0.374201788</v>
      </c>
      <c r="N83" s="16">
        <f>IFERROR(__xludf.DUMMYFUNCTION("""COMPUTED_VALUE"""),0.359335038363171)</f>
        <v>0.3593350384</v>
      </c>
      <c r="O83" s="16">
        <f>IFERROR(__xludf.DUMMYFUNCTION("""COMPUTED_VALUE"""),0.338939197930142)</f>
        <v>0.3389391979</v>
      </c>
      <c r="P83" s="16">
        <f>IFERROR(__xludf.DUMMYFUNCTION("""COMPUTED_VALUE"""),0.275)</f>
        <v>0.275</v>
      </c>
      <c r="Q83" s="16">
        <f>IFERROR(__xludf.DUMMYFUNCTION("""COMPUTED_VALUE"""),0.169559412550066)</f>
        <v>0.1695594126</v>
      </c>
      <c r="R83" s="16">
        <f>IFERROR(__xludf.DUMMYFUNCTION("""COMPUTED_VALUE"""),0.0996621621621621)</f>
        <v>0.09966216216</v>
      </c>
      <c r="S83" s="16">
        <f>IFERROR(__xludf.DUMMYFUNCTION("""COMPUTED_VALUE"""),0.0878243512974051)</f>
        <v>0.0878243513</v>
      </c>
      <c r="T83" s="16">
        <f>IFERROR(__xludf.DUMMYFUNCTION("""COMPUTED_VALUE"""),0.082135523613963)</f>
        <v>0.08213552361</v>
      </c>
      <c r="U83" s="16">
        <f>IFERROR(__xludf.DUMMYFUNCTION("""COMPUTED_VALUE"""),0.0663811563169164)</f>
        <v>0.06638115632</v>
      </c>
      <c r="V83" s="16">
        <f>IFERROR(__xludf.DUMMYFUNCTION("""COMPUTED_VALUE"""),0.0588235294117647)</f>
        <v>0.05882352941</v>
      </c>
      <c r="W83" s="16">
        <f>IFERROR(__xludf.DUMMYFUNCTION("""COMPUTED_VALUE"""),0.0397350993377483)</f>
        <v>0.03973509934</v>
      </c>
      <c r="X83" s="16">
        <f>IFERROR(__xludf.DUMMYFUNCTION("""COMPUTED_VALUE"""),0.0)</f>
        <v>0</v>
      </c>
      <c r="Y83" s="16">
        <f>IFERROR(__xludf.DUMMYFUNCTION("""COMPUTED_VALUE"""),0.0)</f>
        <v>0</v>
      </c>
      <c r="Z83" s="16">
        <f>IFERROR(__xludf.DUMMYFUNCTION("""COMPUTED_VALUE"""),0.0)</f>
        <v>0</v>
      </c>
      <c r="AA83" s="16">
        <f>IFERROR(__xludf.DUMMYFUNCTION("""COMPUTED_VALUE"""),0.0)</f>
        <v>0</v>
      </c>
      <c r="AB83" s="16">
        <f>IFERROR(__xludf.DUMMYFUNCTION("""COMPUTED_VALUE"""),0.0)</f>
        <v>0</v>
      </c>
      <c r="AC83" s="16">
        <f>IFERROR(__xludf.DUMMYFUNCTION("""COMPUTED_VALUE"""),0.0)</f>
        <v>0</v>
      </c>
      <c r="AD83" s="16">
        <f>IFERROR(__xludf.DUMMYFUNCTION("""COMPUTED_VALUE"""),0.0)</f>
        <v>0</v>
      </c>
      <c r="AE83" s="16">
        <f>IFERROR(__xludf.DUMMYFUNCTION("""COMPUTED_VALUE"""),0.0)</f>
        <v>0</v>
      </c>
      <c r="AF83" s="16">
        <f>IFERROR(__xludf.DUMMYFUNCTION("""COMPUTED_VALUE"""),0.0)</f>
        <v>0</v>
      </c>
      <c r="AG83" s="16">
        <f>IFERROR(__xludf.DUMMYFUNCTION("""COMPUTED_VALUE"""),0.0)</f>
        <v>0</v>
      </c>
      <c r="AH83" s="16">
        <f>IFERROR(__xludf.DUMMYFUNCTION("""COMPUTED_VALUE"""),0.0)</f>
        <v>0</v>
      </c>
    </row>
    <row r="84">
      <c r="A84" s="16" t="str">
        <f>IFERROR(__xludf.DUMMYFUNCTION("""COMPUTED_VALUE"""),"44c616c59b6b2cd7fcb80263ece968b250ad9dbe")</f>
        <v>44c616c59b6b2cd7fcb80263ece968b250ad9dbe</v>
      </c>
      <c r="B84" s="16" t="str">
        <f>IFERROR(__xludf.DUMMYFUNCTION("""COMPUTED_VALUE"""),"Supreme Miracle Doctor")</f>
        <v>Supreme Miracle Doctor</v>
      </c>
      <c r="C84" s="16" t="str">
        <f>IFERROR(__xludf.DUMMYFUNCTION("""COMPUTED_VALUE"""),"Drama")</f>
        <v>Drama</v>
      </c>
      <c r="D84" s="16">
        <f>IFERROR(__xludf.DUMMYFUNCTION("""COMPUTED_VALUE"""),116.0)</f>
        <v>116</v>
      </c>
      <c r="E84" s="16">
        <f>IFERROR(__xludf.DUMMYFUNCTION("""COMPUTED_VALUE"""),0.991379310344827)</f>
        <v>0.9913793103</v>
      </c>
      <c r="F84" s="16">
        <f>IFERROR(__xludf.DUMMYFUNCTION("""COMPUTED_VALUE"""),0.439655172413793)</f>
        <v>0.4396551724</v>
      </c>
      <c r="G84" s="16">
        <f>IFERROR(__xludf.DUMMYFUNCTION("""COMPUTED_VALUE"""),0.370689655172413)</f>
        <v>0.3706896552</v>
      </c>
      <c r="H84" s="16">
        <f>IFERROR(__xludf.DUMMYFUNCTION("""COMPUTED_VALUE"""),0.310344827586206)</f>
        <v>0.3103448276</v>
      </c>
      <c r="I84" s="16">
        <f>IFERROR(__xludf.DUMMYFUNCTION("""COMPUTED_VALUE"""),0.258620689655172)</f>
        <v>0.2586206897</v>
      </c>
      <c r="J84" s="16">
        <f>IFERROR(__xludf.DUMMYFUNCTION("""COMPUTED_VALUE"""),0.203539823008849)</f>
        <v>0.203539823</v>
      </c>
      <c r="K84" s="16">
        <f>IFERROR(__xludf.DUMMYFUNCTION("""COMPUTED_VALUE"""),0.18348623853211)</f>
        <v>0.1834862385</v>
      </c>
      <c r="L84" s="16">
        <f>IFERROR(__xludf.DUMMYFUNCTION("""COMPUTED_VALUE"""),0.183673469387755)</f>
        <v>0.1836734694</v>
      </c>
      <c r="M84" s="16">
        <f>IFERROR(__xludf.DUMMYFUNCTION("""COMPUTED_VALUE"""),0.182795698924731)</f>
        <v>0.1827956989</v>
      </c>
      <c r="N84" s="16">
        <f>IFERROR(__xludf.DUMMYFUNCTION("""COMPUTED_VALUE"""),0.16867469879518)</f>
        <v>0.1686746988</v>
      </c>
      <c r="O84" s="16">
        <f>IFERROR(__xludf.DUMMYFUNCTION("""COMPUTED_VALUE"""),0.0980392156862745)</f>
        <v>0.09803921569</v>
      </c>
      <c r="P84" s="16">
        <f>IFERROR(__xludf.DUMMYFUNCTION("""COMPUTED_VALUE"""),0.074074074074074)</f>
        <v>0.07407407407</v>
      </c>
      <c r="Q84" s="16">
        <f>IFERROR(__xludf.DUMMYFUNCTION("""COMPUTED_VALUE"""),0.0)</f>
        <v>0</v>
      </c>
      <c r="R84" s="16">
        <f>IFERROR(__xludf.DUMMYFUNCTION("""COMPUTED_VALUE"""),0.0)</f>
        <v>0</v>
      </c>
      <c r="S84" s="16">
        <f>IFERROR(__xludf.DUMMYFUNCTION("""COMPUTED_VALUE"""),0.0)</f>
        <v>0</v>
      </c>
      <c r="T84" s="16">
        <f>IFERROR(__xludf.DUMMYFUNCTION("""COMPUTED_VALUE"""),0.0)</f>
        <v>0</v>
      </c>
      <c r="U84" s="16">
        <f>IFERROR(__xludf.DUMMYFUNCTION("""COMPUTED_VALUE"""),0.0)</f>
        <v>0</v>
      </c>
      <c r="V84" s="16">
        <f>IFERROR(__xludf.DUMMYFUNCTION("""COMPUTED_VALUE"""),0.0)</f>
        <v>0</v>
      </c>
      <c r="W84" s="16">
        <f>IFERROR(__xludf.DUMMYFUNCTION("""COMPUTED_VALUE"""),0.0)</f>
        <v>0</v>
      </c>
      <c r="X84" s="16">
        <f>IFERROR(__xludf.DUMMYFUNCTION("""COMPUTED_VALUE"""),0.0)</f>
        <v>0</v>
      </c>
      <c r="Y84" s="16">
        <f>IFERROR(__xludf.DUMMYFUNCTION("""COMPUTED_VALUE"""),0.0)</f>
        <v>0</v>
      </c>
      <c r="Z84" s="16">
        <f>IFERROR(__xludf.DUMMYFUNCTION("""COMPUTED_VALUE"""),0.0)</f>
        <v>0</v>
      </c>
      <c r="AA84" s="16">
        <f>IFERROR(__xludf.DUMMYFUNCTION("""COMPUTED_VALUE"""),0.0)</f>
        <v>0</v>
      </c>
      <c r="AB84" s="16">
        <f>IFERROR(__xludf.DUMMYFUNCTION("""COMPUTED_VALUE"""),0.0)</f>
        <v>0</v>
      </c>
      <c r="AC84" s="16">
        <f>IFERROR(__xludf.DUMMYFUNCTION("""COMPUTED_VALUE"""),0.0)</f>
        <v>0</v>
      </c>
      <c r="AD84" s="16">
        <f>IFERROR(__xludf.DUMMYFUNCTION("""COMPUTED_VALUE"""),0.0)</f>
        <v>0</v>
      </c>
      <c r="AE84" s="16">
        <f>IFERROR(__xludf.DUMMYFUNCTION("""COMPUTED_VALUE"""),0.0)</f>
        <v>0</v>
      </c>
      <c r="AF84" s="16">
        <f>IFERROR(__xludf.DUMMYFUNCTION("""COMPUTED_VALUE"""),0.0)</f>
        <v>0</v>
      </c>
      <c r="AG84" s="16">
        <f>IFERROR(__xludf.DUMMYFUNCTION("""COMPUTED_VALUE"""),0.0)</f>
        <v>0</v>
      </c>
      <c r="AH84" s="16">
        <f>IFERROR(__xludf.DUMMYFUNCTION("""COMPUTED_VALUE"""),0.0)</f>
        <v>0</v>
      </c>
    </row>
    <row r="85">
      <c r="A85" s="16" t="str">
        <f>IFERROR(__xludf.DUMMYFUNCTION("""COMPUTED_VALUE"""),"44f5a6fb4876567a5eec3722df1d0a3d436d8bdf")</f>
        <v>44f5a6fb4876567a5eec3722df1d0a3d436d8bdf</v>
      </c>
      <c r="B85" s="16" t="str">
        <f>IFERROR(__xludf.DUMMYFUNCTION("""COMPUTED_VALUE"""),"Alpha Kyros")</f>
        <v>Alpha Kyros</v>
      </c>
      <c r="C85" s="16" t="str">
        <f>IFERROR(__xludf.DUMMYFUNCTION("""COMPUTED_VALUE"""),"Romantasy")</f>
        <v>Romantasy</v>
      </c>
      <c r="D85" s="16">
        <f>IFERROR(__xludf.DUMMYFUNCTION("""COMPUTED_VALUE"""),3557.0)</f>
        <v>3557</v>
      </c>
      <c r="E85" s="16">
        <f>IFERROR(__xludf.DUMMYFUNCTION("""COMPUTED_VALUE"""),0.972167556929997)</f>
        <v>0.9721675569</v>
      </c>
      <c r="F85" s="16">
        <f>IFERROR(__xludf.DUMMYFUNCTION("""COMPUTED_VALUE"""),0.636210289569862)</f>
        <v>0.6362102896</v>
      </c>
      <c r="G85" s="16">
        <f>IFERROR(__xludf.DUMMYFUNCTION("""COMPUTED_VALUE"""),0.583919032892887)</f>
        <v>0.5839190329</v>
      </c>
      <c r="H85" s="16">
        <f>IFERROR(__xludf.DUMMYFUNCTION("""COMPUTED_VALUE"""),0.561709305594602)</f>
        <v>0.5617093056</v>
      </c>
      <c r="I85" s="16">
        <f>IFERROR(__xludf.DUMMYFUNCTION("""COMPUTED_VALUE"""),0.545684565645206)</f>
        <v>0.5456845656</v>
      </c>
      <c r="J85" s="16">
        <f>IFERROR(__xludf.DUMMYFUNCTION("""COMPUTED_VALUE"""),0.524037109924093)</f>
        <v>0.5240371099</v>
      </c>
      <c r="K85" s="16">
        <f>IFERROR(__xludf.DUMMYFUNCTION("""COMPUTED_VALUE"""),0.510967379077615)</f>
        <v>0.5109673791</v>
      </c>
      <c r="L85" s="16">
        <f>IFERROR(__xludf.DUMMYFUNCTION("""COMPUTED_VALUE"""),0.503937007874015)</f>
        <v>0.5039370079</v>
      </c>
      <c r="M85" s="16">
        <f>IFERROR(__xludf.DUMMYFUNCTION("""COMPUTED_VALUE"""),0.49015748031496)</f>
        <v>0.4901574803</v>
      </c>
      <c r="N85" s="16">
        <f>IFERROR(__xludf.DUMMYFUNCTION("""COMPUTED_VALUE"""),0.479752530933633)</f>
        <v>0.4797525309</v>
      </c>
      <c r="O85" s="16">
        <f>IFERROR(__xludf.DUMMYFUNCTION("""COMPUTED_VALUE"""),0.420473773265651)</f>
        <v>0.4204737733</v>
      </c>
      <c r="P85" s="16">
        <f>IFERROR(__xludf.DUMMYFUNCTION("""COMPUTED_VALUE"""),0.351443123938879)</f>
        <v>0.3514431239</v>
      </c>
      <c r="Q85" s="16">
        <f>IFERROR(__xludf.DUMMYFUNCTION("""COMPUTED_VALUE"""),0.19351408825093)</f>
        <v>0.1935140883</v>
      </c>
      <c r="R85" s="16">
        <f>IFERROR(__xludf.DUMMYFUNCTION("""COMPUTED_VALUE"""),0.111111111111111)</f>
        <v>0.1111111111</v>
      </c>
      <c r="S85" s="16">
        <f>IFERROR(__xludf.DUMMYFUNCTION("""COMPUTED_VALUE"""),0.0)</f>
        <v>0</v>
      </c>
      <c r="T85" s="16">
        <f>IFERROR(__xludf.DUMMYFUNCTION("""COMPUTED_VALUE"""),0.0)</f>
        <v>0</v>
      </c>
      <c r="U85" s="16">
        <f>IFERROR(__xludf.DUMMYFUNCTION("""COMPUTED_VALUE"""),0.0)</f>
        <v>0</v>
      </c>
      <c r="V85" s="16">
        <f>IFERROR(__xludf.DUMMYFUNCTION("""COMPUTED_VALUE"""),0.0)</f>
        <v>0</v>
      </c>
      <c r="W85" s="16">
        <f>IFERROR(__xludf.DUMMYFUNCTION("""COMPUTED_VALUE"""),0.0)</f>
        <v>0</v>
      </c>
      <c r="X85" s="16">
        <f>IFERROR(__xludf.DUMMYFUNCTION("""COMPUTED_VALUE"""),0.0)</f>
        <v>0</v>
      </c>
      <c r="Y85" s="16">
        <f>IFERROR(__xludf.DUMMYFUNCTION("""COMPUTED_VALUE"""),0.0)</f>
        <v>0</v>
      </c>
      <c r="Z85" s="16">
        <f>IFERROR(__xludf.DUMMYFUNCTION("""COMPUTED_VALUE"""),0.0)</f>
        <v>0</v>
      </c>
      <c r="AA85" s="16">
        <f>IFERROR(__xludf.DUMMYFUNCTION("""COMPUTED_VALUE"""),0.0)</f>
        <v>0</v>
      </c>
      <c r="AB85" s="16">
        <f>IFERROR(__xludf.DUMMYFUNCTION("""COMPUTED_VALUE"""),0.0)</f>
        <v>0</v>
      </c>
      <c r="AC85" s="16">
        <f>IFERROR(__xludf.DUMMYFUNCTION("""COMPUTED_VALUE"""),0.0)</f>
        <v>0</v>
      </c>
      <c r="AD85" s="16">
        <f>IFERROR(__xludf.DUMMYFUNCTION("""COMPUTED_VALUE"""),0.0)</f>
        <v>0</v>
      </c>
      <c r="AE85" s="16">
        <f>IFERROR(__xludf.DUMMYFUNCTION("""COMPUTED_VALUE"""),0.0)</f>
        <v>0</v>
      </c>
      <c r="AF85" s="16">
        <f>IFERROR(__xludf.DUMMYFUNCTION("""COMPUTED_VALUE"""),0.0)</f>
        <v>0</v>
      </c>
      <c r="AG85" s="16">
        <f>IFERROR(__xludf.DUMMYFUNCTION("""COMPUTED_VALUE"""),0.0)</f>
        <v>0</v>
      </c>
      <c r="AH85" s="16">
        <f>IFERROR(__xludf.DUMMYFUNCTION("""COMPUTED_VALUE"""),0.0)</f>
        <v>0</v>
      </c>
    </row>
    <row r="86">
      <c r="A86" s="16" t="str">
        <f>IFERROR(__xludf.DUMMYFUNCTION("""COMPUTED_VALUE"""),"462b561ac0c6d238fc5ed6d8ce632a9e6a2152d9")</f>
        <v>462b561ac0c6d238fc5ed6d8ce632a9e6a2152d9</v>
      </c>
      <c r="B86" s="16" t="str">
        <f>IFERROR(__xludf.DUMMYFUNCTION("""COMPUTED_VALUE"""),"My Billionaire System")</f>
        <v>My Billionaire System</v>
      </c>
      <c r="C86" s="16" t="str">
        <f>IFERROR(__xludf.DUMMYFUNCTION("""COMPUTED_VALUE"""),"System and Superpower")</f>
        <v>System and Superpower</v>
      </c>
      <c r="D86" s="16">
        <f>IFERROR(__xludf.DUMMYFUNCTION("""COMPUTED_VALUE"""),63.0)</f>
        <v>63</v>
      </c>
      <c r="E86" s="16">
        <f>IFERROR(__xludf.DUMMYFUNCTION("""COMPUTED_VALUE"""),0.984126984126984)</f>
        <v>0.9841269841</v>
      </c>
      <c r="F86" s="16">
        <f>IFERROR(__xludf.DUMMYFUNCTION("""COMPUTED_VALUE"""),0.603174603174603)</f>
        <v>0.6031746032</v>
      </c>
      <c r="G86" s="16">
        <f>IFERROR(__xludf.DUMMYFUNCTION("""COMPUTED_VALUE"""),0.523809523809523)</f>
        <v>0.5238095238</v>
      </c>
      <c r="H86" s="16">
        <f>IFERROR(__xludf.DUMMYFUNCTION("""COMPUTED_VALUE"""),0.46031746031746)</f>
        <v>0.4603174603</v>
      </c>
      <c r="I86" s="16">
        <f>IFERROR(__xludf.DUMMYFUNCTION("""COMPUTED_VALUE"""),0.412698412698412)</f>
        <v>0.4126984127</v>
      </c>
      <c r="J86" s="16">
        <f>IFERROR(__xludf.DUMMYFUNCTION("""COMPUTED_VALUE"""),0.365079365079365)</f>
        <v>0.3650793651</v>
      </c>
      <c r="K86" s="16">
        <f>IFERROR(__xludf.DUMMYFUNCTION("""COMPUTED_VALUE"""),0.285714285714285)</f>
        <v>0.2857142857</v>
      </c>
      <c r="L86" s="16">
        <f>IFERROR(__xludf.DUMMYFUNCTION("""COMPUTED_VALUE"""),0.253968253968253)</f>
        <v>0.253968254</v>
      </c>
      <c r="M86" s="16">
        <f>IFERROR(__xludf.DUMMYFUNCTION("""COMPUTED_VALUE"""),0.222222222222222)</f>
        <v>0.2222222222</v>
      </c>
      <c r="N86" s="16">
        <f>IFERROR(__xludf.DUMMYFUNCTION("""COMPUTED_VALUE"""),0.206349206349206)</f>
        <v>0.2063492063</v>
      </c>
      <c r="O86" s="16">
        <f>IFERROR(__xludf.DUMMYFUNCTION("""COMPUTED_VALUE"""),0.150943396226415)</f>
        <v>0.1509433962</v>
      </c>
      <c r="P86" s="16">
        <f>IFERROR(__xludf.DUMMYFUNCTION("""COMPUTED_VALUE"""),0.0)</f>
        <v>0</v>
      </c>
      <c r="Q86" s="16">
        <f>IFERROR(__xludf.DUMMYFUNCTION("""COMPUTED_VALUE"""),0.0)</f>
        <v>0</v>
      </c>
      <c r="R86" s="16">
        <f>IFERROR(__xludf.DUMMYFUNCTION("""COMPUTED_VALUE"""),0.0)</f>
        <v>0</v>
      </c>
      <c r="S86" s="16">
        <f>IFERROR(__xludf.DUMMYFUNCTION("""COMPUTED_VALUE"""),0.0)</f>
        <v>0</v>
      </c>
      <c r="T86" s="16">
        <f>IFERROR(__xludf.DUMMYFUNCTION("""COMPUTED_VALUE"""),0.0)</f>
        <v>0</v>
      </c>
      <c r="U86" s="16">
        <f>IFERROR(__xludf.DUMMYFUNCTION("""COMPUTED_VALUE"""),0.0)</f>
        <v>0</v>
      </c>
      <c r="V86" s="16">
        <f>IFERROR(__xludf.DUMMYFUNCTION("""COMPUTED_VALUE"""),0.0)</f>
        <v>0</v>
      </c>
      <c r="W86" s="16">
        <f>IFERROR(__xludf.DUMMYFUNCTION("""COMPUTED_VALUE"""),0.0)</f>
        <v>0</v>
      </c>
      <c r="X86" s="16">
        <f>IFERROR(__xludf.DUMMYFUNCTION("""COMPUTED_VALUE"""),0.0)</f>
        <v>0</v>
      </c>
      <c r="Y86" s="16">
        <f>IFERROR(__xludf.DUMMYFUNCTION("""COMPUTED_VALUE"""),0.0)</f>
        <v>0</v>
      </c>
      <c r="Z86" s="16">
        <f>IFERROR(__xludf.DUMMYFUNCTION("""COMPUTED_VALUE"""),0.0)</f>
        <v>0</v>
      </c>
      <c r="AA86" s="16">
        <f>IFERROR(__xludf.DUMMYFUNCTION("""COMPUTED_VALUE"""),0.0)</f>
        <v>0</v>
      </c>
      <c r="AB86" s="16">
        <f>IFERROR(__xludf.DUMMYFUNCTION("""COMPUTED_VALUE"""),0.0)</f>
        <v>0</v>
      </c>
      <c r="AC86" s="16">
        <f>IFERROR(__xludf.DUMMYFUNCTION("""COMPUTED_VALUE"""),0.0)</f>
        <v>0</v>
      </c>
      <c r="AD86" s="16">
        <f>IFERROR(__xludf.DUMMYFUNCTION("""COMPUTED_VALUE"""),0.0)</f>
        <v>0</v>
      </c>
      <c r="AE86" s="16">
        <f>IFERROR(__xludf.DUMMYFUNCTION("""COMPUTED_VALUE"""),0.0)</f>
        <v>0</v>
      </c>
      <c r="AF86" s="16">
        <f>IFERROR(__xludf.DUMMYFUNCTION("""COMPUTED_VALUE"""),0.0)</f>
        <v>0</v>
      </c>
      <c r="AG86" s="16">
        <f>IFERROR(__xludf.DUMMYFUNCTION("""COMPUTED_VALUE"""),0.0)</f>
        <v>0</v>
      </c>
      <c r="AH86" s="16">
        <f>IFERROR(__xludf.DUMMYFUNCTION("""COMPUTED_VALUE"""),0.0)</f>
        <v>0</v>
      </c>
    </row>
    <row r="87">
      <c r="A87" s="16" t="str">
        <f>IFERROR(__xludf.DUMMYFUNCTION("""COMPUTED_VALUE"""),"46b27558432dbda1475a912729ae1e1dee8ac6fa")</f>
        <v>46b27558432dbda1475a912729ae1e1dee8ac6fa</v>
      </c>
      <c r="B87" s="16" t="str">
        <f>IFERROR(__xludf.DUMMYFUNCTION("""COMPUTED_VALUE"""),"Secrets of Thunder Eyes ")</f>
        <v>Secrets of Thunder Eyes </v>
      </c>
      <c r="C87" s="16" t="str">
        <f>IFERROR(__xludf.DUMMYFUNCTION("""COMPUTED_VALUE"""),"Fantasy")</f>
        <v>Fantasy</v>
      </c>
      <c r="D87" s="16">
        <f>IFERROR(__xludf.DUMMYFUNCTION("""COMPUTED_VALUE"""),38.0)</f>
        <v>38</v>
      </c>
      <c r="E87" s="16">
        <f>IFERROR(__xludf.DUMMYFUNCTION("""COMPUTED_VALUE"""),0.973684210526315)</f>
        <v>0.9736842105</v>
      </c>
      <c r="F87" s="16">
        <f>IFERROR(__xludf.DUMMYFUNCTION("""COMPUTED_VALUE"""),0.210526315789473)</f>
        <v>0.2105263158</v>
      </c>
      <c r="G87" s="16">
        <f>IFERROR(__xludf.DUMMYFUNCTION("""COMPUTED_VALUE"""),0.131578947368421)</f>
        <v>0.1315789474</v>
      </c>
      <c r="H87" s="16">
        <f>IFERROR(__xludf.DUMMYFUNCTION("""COMPUTED_VALUE"""),0.131578947368421)</f>
        <v>0.1315789474</v>
      </c>
      <c r="I87" s="16">
        <f>IFERROR(__xludf.DUMMYFUNCTION("""COMPUTED_VALUE"""),0.184210526315789)</f>
        <v>0.1842105263</v>
      </c>
      <c r="J87" s="16">
        <f>IFERROR(__xludf.DUMMYFUNCTION("""COMPUTED_VALUE"""),0.162162162162162)</f>
        <v>0.1621621622</v>
      </c>
      <c r="K87" s="16">
        <f>IFERROR(__xludf.DUMMYFUNCTION("""COMPUTED_VALUE"""),0.0909090909090909)</f>
        <v>0.09090909091</v>
      </c>
      <c r="L87" s="16">
        <f>IFERROR(__xludf.DUMMYFUNCTION("""COMPUTED_VALUE"""),0.0967741935483871)</f>
        <v>0.09677419355</v>
      </c>
      <c r="M87" s="16">
        <f>IFERROR(__xludf.DUMMYFUNCTION("""COMPUTED_VALUE"""),0.0357142857142857)</f>
        <v>0.03571428571</v>
      </c>
      <c r="N87" s="16">
        <f>IFERROR(__xludf.DUMMYFUNCTION("""COMPUTED_VALUE"""),0.0)</f>
        <v>0</v>
      </c>
      <c r="O87" s="16">
        <f>IFERROR(__xludf.DUMMYFUNCTION("""COMPUTED_VALUE"""),0.0)</f>
        <v>0</v>
      </c>
      <c r="P87" s="16">
        <f>IFERROR(__xludf.DUMMYFUNCTION("""COMPUTED_VALUE"""),0.0)</f>
        <v>0</v>
      </c>
      <c r="Q87" s="16">
        <f>IFERROR(__xludf.DUMMYFUNCTION("""COMPUTED_VALUE"""),0.0)</f>
        <v>0</v>
      </c>
      <c r="R87" s="16">
        <f>IFERROR(__xludf.DUMMYFUNCTION("""COMPUTED_VALUE"""),0.0)</f>
        <v>0</v>
      </c>
      <c r="S87" s="16">
        <f>IFERROR(__xludf.DUMMYFUNCTION("""COMPUTED_VALUE"""),0.0)</f>
        <v>0</v>
      </c>
      <c r="T87" s="16">
        <f>IFERROR(__xludf.DUMMYFUNCTION("""COMPUTED_VALUE"""),0.0)</f>
        <v>0</v>
      </c>
      <c r="U87" s="16">
        <f>IFERROR(__xludf.DUMMYFUNCTION("""COMPUTED_VALUE"""),0.0)</f>
        <v>0</v>
      </c>
      <c r="V87" s="16">
        <f>IFERROR(__xludf.DUMMYFUNCTION("""COMPUTED_VALUE"""),0.0)</f>
        <v>0</v>
      </c>
      <c r="W87" s="16">
        <f>IFERROR(__xludf.DUMMYFUNCTION("""COMPUTED_VALUE"""),0.0)</f>
        <v>0</v>
      </c>
      <c r="X87" s="16">
        <f>IFERROR(__xludf.DUMMYFUNCTION("""COMPUTED_VALUE"""),0.0)</f>
        <v>0</v>
      </c>
      <c r="Y87" s="16">
        <f>IFERROR(__xludf.DUMMYFUNCTION("""COMPUTED_VALUE"""),0.0)</f>
        <v>0</v>
      </c>
      <c r="Z87" s="16">
        <f>IFERROR(__xludf.DUMMYFUNCTION("""COMPUTED_VALUE"""),0.0)</f>
        <v>0</v>
      </c>
      <c r="AA87" s="16">
        <f>IFERROR(__xludf.DUMMYFUNCTION("""COMPUTED_VALUE"""),0.0)</f>
        <v>0</v>
      </c>
      <c r="AB87" s="16">
        <f>IFERROR(__xludf.DUMMYFUNCTION("""COMPUTED_VALUE"""),0.0)</f>
        <v>0</v>
      </c>
      <c r="AC87" s="16">
        <f>IFERROR(__xludf.DUMMYFUNCTION("""COMPUTED_VALUE"""),0.0)</f>
        <v>0</v>
      </c>
      <c r="AD87" s="16">
        <f>IFERROR(__xludf.DUMMYFUNCTION("""COMPUTED_VALUE"""),0.0)</f>
        <v>0</v>
      </c>
      <c r="AE87" s="16">
        <f>IFERROR(__xludf.DUMMYFUNCTION("""COMPUTED_VALUE"""),0.0)</f>
        <v>0</v>
      </c>
      <c r="AF87" s="16">
        <f>IFERROR(__xludf.DUMMYFUNCTION("""COMPUTED_VALUE"""),0.0)</f>
        <v>0</v>
      </c>
      <c r="AG87" s="16">
        <f>IFERROR(__xludf.DUMMYFUNCTION("""COMPUTED_VALUE"""),0.0)</f>
        <v>0</v>
      </c>
      <c r="AH87" s="16">
        <f>IFERROR(__xludf.DUMMYFUNCTION("""COMPUTED_VALUE"""),0.0)</f>
        <v>0</v>
      </c>
    </row>
    <row r="88">
      <c r="A88" s="16" t="str">
        <f>IFERROR(__xludf.DUMMYFUNCTION("""COMPUTED_VALUE"""),"48b422f2dbf0dc909fde9fadad832fde3d20f4a4")</f>
        <v>48b422f2dbf0dc909fde9fadad832fde3d20f4a4</v>
      </c>
      <c r="B88" s="16" t="str">
        <f>IFERROR(__xludf.DUMMYFUNCTION("""COMPUTED_VALUE"""),"Bride of the Ice Ceo")</f>
        <v>Bride of the Ice Ceo</v>
      </c>
      <c r="C88" s="16" t="str">
        <f>IFERROR(__xludf.DUMMYFUNCTION("""COMPUTED_VALUE"""),"Romance")</f>
        <v>Romance</v>
      </c>
      <c r="D88" s="16">
        <f>IFERROR(__xludf.DUMMYFUNCTION("""COMPUTED_VALUE"""),557.0)</f>
        <v>557</v>
      </c>
      <c r="E88" s="16">
        <f>IFERROR(__xludf.DUMMYFUNCTION("""COMPUTED_VALUE"""),0.974865350089766)</f>
        <v>0.9748653501</v>
      </c>
      <c r="F88" s="16">
        <f>IFERROR(__xludf.DUMMYFUNCTION("""COMPUTED_VALUE"""),0.759425493716337)</f>
        <v>0.7594254937</v>
      </c>
      <c r="G88" s="16">
        <f>IFERROR(__xludf.DUMMYFUNCTION("""COMPUTED_VALUE"""),0.692998204667863)</f>
        <v>0.6929982047</v>
      </c>
      <c r="H88" s="16">
        <f>IFERROR(__xludf.DUMMYFUNCTION("""COMPUTED_VALUE"""),0.648114901256732)</f>
        <v>0.6481149013</v>
      </c>
      <c r="I88" s="16">
        <f>IFERROR(__xludf.DUMMYFUNCTION("""COMPUTED_VALUE"""),0.59605026929982)</f>
        <v>0.5960502693</v>
      </c>
      <c r="J88" s="16">
        <f>IFERROR(__xludf.DUMMYFUNCTION("""COMPUTED_VALUE"""),0.572710951526032)</f>
        <v>0.5727109515</v>
      </c>
      <c r="K88" s="16">
        <f>IFERROR(__xludf.DUMMYFUNCTION("""COMPUTED_VALUE"""),0.536804308797127)</f>
        <v>0.5368043088</v>
      </c>
      <c r="L88" s="16">
        <f>IFERROR(__xludf.DUMMYFUNCTION("""COMPUTED_VALUE"""),0.531418312387791)</f>
        <v>0.5314183124</v>
      </c>
      <c r="M88" s="16">
        <f>IFERROR(__xludf.DUMMYFUNCTION("""COMPUTED_VALUE"""),0.526978417266187)</f>
        <v>0.5269784173</v>
      </c>
      <c r="N88" s="16">
        <f>IFERROR(__xludf.DUMMYFUNCTION("""COMPUTED_VALUE"""),0.49638989169675)</f>
        <v>0.4963898917</v>
      </c>
      <c r="O88" s="16">
        <f>IFERROR(__xludf.DUMMYFUNCTION("""COMPUTED_VALUE"""),0.421731123388581)</f>
        <v>0.4217311234</v>
      </c>
      <c r="P88" s="16">
        <f>IFERROR(__xludf.DUMMYFUNCTION("""COMPUTED_VALUE"""),0.317164179104477)</f>
        <v>0.3171641791</v>
      </c>
      <c r="Q88" s="16">
        <f>IFERROR(__xludf.DUMMYFUNCTION("""COMPUTED_VALUE"""),0.198731501057082)</f>
        <v>0.1987315011</v>
      </c>
      <c r="R88" s="16">
        <f>IFERROR(__xludf.DUMMYFUNCTION("""COMPUTED_VALUE"""),0.138228941684665)</f>
        <v>0.1382289417</v>
      </c>
      <c r="S88" s="16">
        <f>IFERROR(__xludf.DUMMYFUNCTION("""COMPUTED_VALUE"""),0.0)</f>
        <v>0</v>
      </c>
      <c r="T88" s="16">
        <f>IFERROR(__xludf.DUMMYFUNCTION("""COMPUTED_VALUE"""),0.0)</f>
        <v>0</v>
      </c>
      <c r="U88" s="16">
        <f>IFERROR(__xludf.DUMMYFUNCTION("""COMPUTED_VALUE"""),0.0)</f>
        <v>0</v>
      </c>
      <c r="V88" s="16">
        <f>IFERROR(__xludf.DUMMYFUNCTION("""COMPUTED_VALUE"""),0.0)</f>
        <v>0</v>
      </c>
      <c r="W88" s="16">
        <f>IFERROR(__xludf.DUMMYFUNCTION("""COMPUTED_VALUE"""),0.0)</f>
        <v>0</v>
      </c>
      <c r="X88" s="16">
        <f>IFERROR(__xludf.DUMMYFUNCTION("""COMPUTED_VALUE"""),0.0)</f>
        <v>0</v>
      </c>
      <c r="Y88" s="16">
        <f>IFERROR(__xludf.DUMMYFUNCTION("""COMPUTED_VALUE"""),0.0)</f>
        <v>0</v>
      </c>
      <c r="Z88" s="16">
        <f>IFERROR(__xludf.DUMMYFUNCTION("""COMPUTED_VALUE"""),0.0)</f>
        <v>0</v>
      </c>
      <c r="AA88" s="16">
        <f>IFERROR(__xludf.DUMMYFUNCTION("""COMPUTED_VALUE"""),0.0)</f>
        <v>0</v>
      </c>
      <c r="AB88" s="16">
        <f>IFERROR(__xludf.DUMMYFUNCTION("""COMPUTED_VALUE"""),0.0)</f>
        <v>0</v>
      </c>
      <c r="AC88" s="16">
        <f>IFERROR(__xludf.DUMMYFUNCTION("""COMPUTED_VALUE"""),0.0)</f>
        <v>0</v>
      </c>
      <c r="AD88" s="16">
        <f>IFERROR(__xludf.DUMMYFUNCTION("""COMPUTED_VALUE"""),0.0)</f>
        <v>0</v>
      </c>
      <c r="AE88" s="16">
        <f>IFERROR(__xludf.DUMMYFUNCTION("""COMPUTED_VALUE"""),0.0)</f>
        <v>0</v>
      </c>
      <c r="AF88" s="16">
        <f>IFERROR(__xludf.DUMMYFUNCTION("""COMPUTED_VALUE"""),0.0)</f>
        <v>0</v>
      </c>
      <c r="AG88" s="16">
        <f>IFERROR(__xludf.DUMMYFUNCTION("""COMPUTED_VALUE"""),0.0)</f>
        <v>0</v>
      </c>
      <c r="AH88" s="16">
        <f>IFERROR(__xludf.DUMMYFUNCTION("""COMPUTED_VALUE"""),0.0)</f>
        <v>0</v>
      </c>
    </row>
    <row r="89">
      <c r="A89" s="16" t="str">
        <f>IFERROR(__xludf.DUMMYFUNCTION("""COMPUTED_VALUE"""),"4a310051c4c56c2fab46c3a7f528a09901399ecd")</f>
        <v>4a310051c4c56c2fab46c3a7f528a09901399ecd</v>
      </c>
      <c r="B89" s="16" t="str">
        <f>IFERROR(__xludf.DUMMYFUNCTION("""COMPUTED_VALUE"""),"Strongest Warlock ")</f>
        <v>Strongest Warlock </v>
      </c>
      <c r="C89" s="16" t="str">
        <f>IFERROR(__xludf.DUMMYFUNCTION("""COMPUTED_VALUE"""),"Fantasy")</f>
        <v>Fantasy</v>
      </c>
      <c r="D89" s="16">
        <f>IFERROR(__xludf.DUMMYFUNCTION("""COMPUTED_VALUE"""),5286.0)</f>
        <v>5286</v>
      </c>
      <c r="E89" s="16">
        <f>IFERROR(__xludf.DUMMYFUNCTION("""COMPUTED_VALUE"""),0.964245175936435)</f>
        <v>0.9642451759</v>
      </c>
      <c r="F89" s="16">
        <f>IFERROR(__xludf.DUMMYFUNCTION("""COMPUTED_VALUE"""),0.575482406356413)</f>
        <v>0.5754824064</v>
      </c>
      <c r="G89" s="16">
        <f>IFERROR(__xludf.DUMMYFUNCTION("""COMPUTED_VALUE"""),0.526674233825198)</f>
        <v>0.5266742338</v>
      </c>
      <c r="H89" s="16">
        <f>IFERROR(__xludf.DUMMYFUNCTION("""COMPUTED_VALUE"""),0.49716231555051)</f>
        <v>0.4971623156</v>
      </c>
      <c r="I89" s="16">
        <f>IFERROR(__xludf.DUMMYFUNCTION("""COMPUTED_VALUE"""),0.472190692395005)</f>
        <v>0.4721906924</v>
      </c>
      <c r="J89" s="16">
        <f>IFERROR(__xludf.DUMMYFUNCTION("""COMPUTED_VALUE"""),0.45277304561802)</f>
        <v>0.4527730456</v>
      </c>
      <c r="K89" s="16">
        <f>IFERROR(__xludf.DUMMYFUNCTION("""COMPUTED_VALUE"""),0.429653474720696)</f>
        <v>0.4296534747</v>
      </c>
      <c r="L89" s="16">
        <f>IFERROR(__xludf.DUMMYFUNCTION("""COMPUTED_VALUE"""),0.416998671978751)</f>
        <v>0.416998672</v>
      </c>
      <c r="M89" s="16">
        <f>IFERROR(__xludf.DUMMYFUNCTION("""COMPUTED_VALUE"""),0.404441070411842)</f>
        <v>0.4044410704</v>
      </c>
      <c r="N89" s="16">
        <f>IFERROR(__xludf.DUMMYFUNCTION("""COMPUTED_VALUE"""),0.395172020528416)</f>
        <v>0.3951720205</v>
      </c>
      <c r="O89" s="16">
        <f>IFERROR(__xludf.DUMMYFUNCTION("""COMPUTED_VALUE"""),0.352783623493399)</f>
        <v>0.3527836235</v>
      </c>
      <c r="P89" s="16">
        <f>IFERROR(__xludf.DUMMYFUNCTION("""COMPUTED_VALUE"""),0.310058027079303)</f>
        <v>0.3100580271</v>
      </c>
      <c r="Q89" s="16">
        <f>IFERROR(__xludf.DUMMYFUNCTION("""COMPUTED_VALUE"""),0.235899465663962)</f>
        <v>0.2358994657</v>
      </c>
      <c r="R89" s="16">
        <f>IFERROR(__xludf.DUMMYFUNCTION("""COMPUTED_VALUE"""),0.196058717072189)</f>
        <v>0.1960587171</v>
      </c>
      <c r="S89" s="16">
        <f>IFERROR(__xludf.DUMMYFUNCTION("""COMPUTED_VALUE"""),0.170591849272987)</f>
        <v>0.1705918493</v>
      </c>
      <c r="T89" s="16">
        <f>IFERROR(__xludf.DUMMYFUNCTION("""COMPUTED_VALUE"""),0.149689440993788)</f>
        <v>0.149689441</v>
      </c>
      <c r="U89" s="16">
        <f>IFERROR(__xludf.DUMMYFUNCTION("""COMPUTED_VALUE"""),0.137743353569185)</f>
        <v>0.1377433536</v>
      </c>
      <c r="V89" s="16">
        <f>IFERROR(__xludf.DUMMYFUNCTION("""COMPUTED_VALUE"""),0.12833545108005)</f>
        <v>0.1283354511</v>
      </c>
      <c r="W89" s="16">
        <f>IFERROR(__xludf.DUMMYFUNCTION("""COMPUTED_VALUE"""),0.116955313234979)</f>
        <v>0.1169553132</v>
      </c>
      <c r="X89" s="16">
        <f>IFERROR(__xludf.DUMMYFUNCTION("""COMPUTED_VALUE"""),0.102558542931483)</f>
        <v>0.1025585429</v>
      </c>
      <c r="Y89" s="16">
        <f>IFERROR(__xludf.DUMMYFUNCTION("""COMPUTED_VALUE"""),0.0835715856608753)</f>
        <v>0.08357158566</v>
      </c>
      <c r="Z89" s="16">
        <f>IFERROR(__xludf.DUMMYFUNCTION("""COMPUTED_VALUE"""),0.0708714062848228)</f>
        <v>0.07087140628</v>
      </c>
      <c r="AA89" s="16">
        <f>IFERROR(__xludf.DUMMYFUNCTION("""COMPUTED_VALUE"""),0.0601622352410995)</f>
        <v>0.06016223524</v>
      </c>
      <c r="AB89" s="16">
        <f>IFERROR(__xludf.DUMMYFUNCTION("""COMPUTED_VALUE"""),0.0111974405850091)</f>
        <v>0.01119744059</v>
      </c>
      <c r="AC89" s="16">
        <f>IFERROR(__xludf.DUMMYFUNCTION("""COMPUTED_VALUE"""),0.0034313725490196)</f>
        <v>0.003431372549</v>
      </c>
      <c r="AD89" s="16">
        <f>IFERROR(__xludf.DUMMYFUNCTION("""COMPUTED_VALUE"""),0.0)</f>
        <v>0</v>
      </c>
      <c r="AE89" s="16">
        <f>IFERROR(__xludf.DUMMYFUNCTION("""COMPUTED_VALUE"""),0.0)</f>
        <v>0</v>
      </c>
      <c r="AF89" s="16">
        <f>IFERROR(__xludf.DUMMYFUNCTION("""COMPUTED_VALUE"""),0.0)</f>
        <v>0</v>
      </c>
      <c r="AG89" s="16">
        <f>IFERROR(__xludf.DUMMYFUNCTION("""COMPUTED_VALUE"""),0.0)</f>
        <v>0</v>
      </c>
      <c r="AH89" s="16">
        <f>IFERROR(__xludf.DUMMYFUNCTION("""COMPUTED_VALUE"""),0.0)</f>
        <v>0</v>
      </c>
    </row>
    <row r="90">
      <c r="A90" s="16" t="str">
        <f>IFERROR(__xludf.DUMMYFUNCTION("""COMPUTED_VALUE"""),"4b2d918a2f639175cf29754151e058356b36f273")</f>
        <v>4b2d918a2f639175cf29754151e058356b36f273</v>
      </c>
      <c r="B90" s="16" t="str">
        <f>IFERROR(__xludf.DUMMYFUNCTION("""COMPUTED_VALUE"""),"Surviving Zombies Rising")</f>
        <v>Surviving Zombies Rising</v>
      </c>
      <c r="C90" s="16" t="str">
        <f>IFERROR(__xludf.DUMMYFUNCTION("""COMPUTED_VALUE"""),"Sci-Fi")</f>
        <v>Sci-Fi</v>
      </c>
      <c r="D90" s="16">
        <f>IFERROR(__xludf.DUMMYFUNCTION("""COMPUTED_VALUE"""),44.0)</f>
        <v>44</v>
      </c>
      <c r="E90" s="16">
        <f>IFERROR(__xludf.DUMMYFUNCTION("""COMPUTED_VALUE"""),0.954545454545454)</f>
        <v>0.9545454545</v>
      </c>
      <c r="F90" s="16">
        <f>IFERROR(__xludf.DUMMYFUNCTION("""COMPUTED_VALUE"""),0.568181818181818)</f>
        <v>0.5681818182</v>
      </c>
      <c r="G90" s="16">
        <f>IFERROR(__xludf.DUMMYFUNCTION("""COMPUTED_VALUE"""),0.431818181818181)</f>
        <v>0.4318181818</v>
      </c>
      <c r="H90" s="16">
        <f>IFERROR(__xludf.DUMMYFUNCTION("""COMPUTED_VALUE"""),0.386363636363636)</f>
        <v>0.3863636364</v>
      </c>
      <c r="I90" s="16">
        <f>IFERROR(__xludf.DUMMYFUNCTION("""COMPUTED_VALUE"""),0.325581395348837)</f>
        <v>0.3255813953</v>
      </c>
      <c r="J90" s="16">
        <f>IFERROR(__xludf.DUMMYFUNCTION("""COMPUTED_VALUE"""),0.325581395348837)</f>
        <v>0.3255813953</v>
      </c>
      <c r="K90" s="16">
        <f>IFERROR(__xludf.DUMMYFUNCTION("""COMPUTED_VALUE"""),0.333333333333333)</f>
        <v>0.3333333333</v>
      </c>
      <c r="L90" s="16">
        <f>IFERROR(__xludf.DUMMYFUNCTION("""COMPUTED_VALUE"""),0.31578947368421)</f>
        <v>0.3157894737</v>
      </c>
      <c r="M90" s="16">
        <f>IFERROR(__xludf.DUMMYFUNCTION("""COMPUTED_VALUE"""),0.289473684210526)</f>
        <v>0.2894736842</v>
      </c>
      <c r="N90" s="16">
        <f>IFERROR(__xludf.DUMMYFUNCTION("""COMPUTED_VALUE"""),0.27027027027027)</f>
        <v>0.2702702703</v>
      </c>
      <c r="O90" s="16">
        <f>IFERROR(__xludf.DUMMYFUNCTION("""COMPUTED_VALUE"""),0.28125)</f>
        <v>0.28125</v>
      </c>
      <c r="P90" s="16">
        <f>IFERROR(__xludf.DUMMYFUNCTION("""COMPUTED_VALUE"""),0.275862068965517)</f>
        <v>0.275862069</v>
      </c>
      <c r="Q90" s="16">
        <f>IFERROR(__xludf.DUMMYFUNCTION("""COMPUTED_VALUE"""),0.294117647058823)</f>
        <v>0.2941176471</v>
      </c>
      <c r="R90" s="16">
        <f>IFERROR(__xludf.DUMMYFUNCTION("""COMPUTED_VALUE"""),0.0)</f>
        <v>0</v>
      </c>
      <c r="S90" s="16">
        <f>IFERROR(__xludf.DUMMYFUNCTION("""COMPUTED_VALUE"""),0.0)</f>
        <v>0</v>
      </c>
      <c r="T90" s="16">
        <f>IFERROR(__xludf.DUMMYFUNCTION("""COMPUTED_VALUE"""),0.0)</f>
        <v>0</v>
      </c>
      <c r="U90" s="16">
        <f>IFERROR(__xludf.DUMMYFUNCTION("""COMPUTED_VALUE"""),0.0)</f>
        <v>0</v>
      </c>
      <c r="V90" s="16">
        <f>IFERROR(__xludf.DUMMYFUNCTION("""COMPUTED_VALUE"""),0.0)</f>
        <v>0</v>
      </c>
      <c r="W90" s="16">
        <f>IFERROR(__xludf.DUMMYFUNCTION("""COMPUTED_VALUE"""),0.0)</f>
        <v>0</v>
      </c>
      <c r="X90" s="16">
        <f>IFERROR(__xludf.DUMMYFUNCTION("""COMPUTED_VALUE"""),0.0)</f>
        <v>0</v>
      </c>
      <c r="Y90" s="16">
        <f>IFERROR(__xludf.DUMMYFUNCTION("""COMPUTED_VALUE"""),0.0)</f>
        <v>0</v>
      </c>
      <c r="Z90" s="16">
        <f>IFERROR(__xludf.DUMMYFUNCTION("""COMPUTED_VALUE"""),0.0)</f>
        <v>0</v>
      </c>
      <c r="AA90" s="16">
        <f>IFERROR(__xludf.DUMMYFUNCTION("""COMPUTED_VALUE"""),0.0)</f>
        <v>0</v>
      </c>
      <c r="AB90" s="16">
        <f>IFERROR(__xludf.DUMMYFUNCTION("""COMPUTED_VALUE"""),0.0)</f>
        <v>0</v>
      </c>
      <c r="AC90" s="16">
        <f>IFERROR(__xludf.DUMMYFUNCTION("""COMPUTED_VALUE"""),0.0)</f>
        <v>0</v>
      </c>
      <c r="AD90" s="16">
        <f>IFERROR(__xludf.DUMMYFUNCTION("""COMPUTED_VALUE"""),0.0)</f>
        <v>0</v>
      </c>
      <c r="AE90" s="16">
        <f>IFERROR(__xludf.DUMMYFUNCTION("""COMPUTED_VALUE"""),0.0)</f>
        <v>0</v>
      </c>
      <c r="AF90" s="16">
        <f>IFERROR(__xludf.DUMMYFUNCTION("""COMPUTED_VALUE"""),0.0)</f>
        <v>0</v>
      </c>
      <c r="AG90" s="16">
        <f>IFERROR(__xludf.DUMMYFUNCTION("""COMPUTED_VALUE"""),0.0)</f>
        <v>0</v>
      </c>
      <c r="AH90" s="16">
        <f>IFERROR(__xludf.DUMMYFUNCTION("""COMPUTED_VALUE"""),0.0)</f>
        <v>0</v>
      </c>
    </row>
    <row r="91">
      <c r="A91" s="16" t="str">
        <f>IFERROR(__xludf.DUMMYFUNCTION("""COMPUTED_VALUE"""),"4bb85319b3dd3ab4ec654bdd13098e3f37cb3e3b")</f>
        <v>4bb85319b3dd3ab4ec654bdd13098e3f37cb3e3b</v>
      </c>
      <c r="B91" s="16" t="str">
        <f>IFERROR(__xludf.DUMMYFUNCTION("""COMPUTED_VALUE"""),"Shadowed Wealth")</f>
        <v>Shadowed Wealth</v>
      </c>
      <c r="C91" s="16" t="str">
        <f>IFERROR(__xludf.DUMMYFUNCTION("""COMPUTED_VALUE"""),"System and Superpower")</f>
        <v>System and Superpower</v>
      </c>
      <c r="D91" s="16">
        <f>IFERROR(__xludf.DUMMYFUNCTION("""COMPUTED_VALUE"""),34.0)</f>
        <v>34</v>
      </c>
      <c r="E91" s="16">
        <f>IFERROR(__xludf.DUMMYFUNCTION("""COMPUTED_VALUE"""),0.911764705882352)</f>
        <v>0.9117647059</v>
      </c>
      <c r="F91" s="16">
        <f>IFERROR(__xludf.DUMMYFUNCTION("""COMPUTED_VALUE"""),0.617647058823529)</f>
        <v>0.6176470588</v>
      </c>
      <c r="G91" s="16">
        <f>IFERROR(__xludf.DUMMYFUNCTION("""COMPUTED_VALUE"""),0.588235294117647)</f>
        <v>0.5882352941</v>
      </c>
      <c r="H91" s="16">
        <f>IFERROR(__xludf.DUMMYFUNCTION("""COMPUTED_VALUE"""),0.529411764705882)</f>
        <v>0.5294117647</v>
      </c>
      <c r="I91" s="16">
        <f>IFERROR(__xludf.DUMMYFUNCTION("""COMPUTED_VALUE"""),0.470588235294117)</f>
        <v>0.4705882353</v>
      </c>
      <c r="J91" s="16">
        <f>IFERROR(__xludf.DUMMYFUNCTION("""COMPUTED_VALUE"""),0.441176470588235)</f>
        <v>0.4411764706</v>
      </c>
      <c r="K91" s="16">
        <f>IFERROR(__xludf.DUMMYFUNCTION("""COMPUTED_VALUE"""),0.441176470588235)</f>
        <v>0.4411764706</v>
      </c>
      <c r="L91" s="16">
        <f>IFERROR(__xludf.DUMMYFUNCTION("""COMPUTED_VALUE"""),0.38235294117647)</f>
        <v>0.3823529412</v>
      </c>
      <c r="M91" s="16">
        <f>IFERROR(__xludf.DUMMYFUNCTION("""COMPUTED_VALUE"""),0.352941176470588)</f>
        <v>0.3529411765</v>
      </c>
      <c r="N91" s="16">
        <f>IFERROR(__xludf.DUMMYFUNCTION("""COMPUTED_VALUE"""),0.38235294117647)</f>
        <v>0.3823529412</v>
      </c>
      <c r="O91" s="16">
        <f>IFERROR(__xludf.DUMMYFUNCTION("""COMPUTED_VALUE"""),0.235294117647058)</f>
        <v>0.2352941176</v>
      </c>
      <c r="P91" s="16">
        <f>IFERROR(__xludf.DUMMYFUNCTION("""COMPUTED_VALUE"""),0.235294117647058)</f>
        <v>0.2352941176</v>
      </c>
      <c r="Q91" s="16">
        <f>IFERROR(__xludf.DUMMYFUNCTION("""COMPUTED_VALUE"""),0.121212121212121)</f>
        <v>0.1212121212</v>
      </c>
      <c r="R91" s="16">
        <f>IFERROR(__xludf.DUMMYFUNCTION("""COMPUTED_VALUE"""),0.0)</f>
        <v>0</v>
      </c>
      <c r="S91" s="16">
        <f>IFERROR(__xludf.DUMMYFUNCTION("""COMPUTED_VALUE"""),0.0)</f>
        <v>0</v>
      </c>
      <c r="T91" s="16">
        <f>IFERROR(__xludf.DUMMYFUNCTION("""COMPUTED_VALUE"""),0.0)</f>
        <v>0</v>
      </c>
      <c r="U91" s="16">
        <f>IFERROR(__xludf.DUMMYFUNCTION("""COMPUTED_VALUE"""),0.0)</f>
        <v>0</v>
      </c>
      <c r="V91" s="16">
        <f>IFERROR(__xludf.DUMMYFUNCTION("""COMPUTED_VALUE"""),0.0)</f>
        <v>0</v>
      </c>
      <c r="W91" s="16">
        <f>IFERROR(__xludf.DUMMYFUNCTION("""COMPUTED_VALUE"""),0.0)</f>
        <v>0</v>
      </c>
      <c r="X91" s="16">
        <f>IFERROR(__xludf.DUMMYFUNCTION("""COMPUTED_VALUE"""),0.0)</f>
        <v>0</v>
      </c>
      <c r="Y91" s="16">
        <f>IFERROR(__xludf.DUMMYFUNCTION("""COMPUTED_VALUE"""),0.0)</f>
        <v>0</v>
      </c>
      <c r="Z91" s="16">
        <f>IFERROR(__xludf.DUMMYFUNCTION("""COMPUTED_VALUE"""),0.0)</f>
        <v>0</v>
      </c>
      <c r="AA91" s="16">
        <f>IFERROR(__xludf.DUMMYFUNCTION("""COMPUTED_VALUE"""),0.0)</f>
        <v>0</v>
      </c>
      <c r="AB91" s="16">
        <f>IFERROR(__xludf.DUMMYFUNCTION("""COMPUTED_VALUE"""),0.0)</f>
        <v>0</v>
      </c>
      <c r="AC91" s="16">
        <f>IFERROR(__xludf.DUMMYFUNCTION("""COMPUTED_VALUE"""),0.0)</f>
        <v>0</v>
      </c>
      <c r="AD91" s="16">
        <f>IFERROR(__xludf.DUMMYFUNCTION("""COMPUTED_VALUE"""),0.0)</f>
        <v>0</v>
      </c>
      <c r="AE91" s="16">
        <f>IFERROR(__xludf.DUMMYFUNCTION("""COMPUTED_VALUE"""),0.0)</f>
        <v>0</v>
      </c>
      <c r="AF91" s="16">
        <f>IFERROR(__xludf.DUMMYFUNCTION("""COMPUTED_VALUE"""),0.0)</f>
        <v>0</v>
      </c>
      <c r="AG91" s="16">
        <f>IFERROR(__xludf.DUMMYFUNCTION("""COMPUTED_VALUE"""),0.0)</f>
        <v>0</v>
      </c>
      <c r="AH91" s="16">
        <f>IFERROR(__xludf.DUMMYFUNCTION("""COMPUTED_VALUE"""),0.0)</f>
        <v>0</v>
      </c>
    </row>
    <row r="92">
      <c r="A92" s="16" t="str">
        <f>IFERROR(__xludf.DUMMYFUNCTION("""COMPUTED_VALUE"""),"4c43207d3f7885c90d8aaafbb8952de80561f21d")</f>
        <v>4c43207d3f7885c90d8aaafbb8952de80561f21d</v>
      </c>
      <c r="B92" s="16" t="str">
        <f>IFERROR(__xludf.DUMMYFUNCTION("""COMPUTED_VALUE"""),"The Boss &amp; His Fake Wife")</f>
        <v>The Boss &amp; His Fake Wife</v>
      </c>
      <c r="C92" s="16" t="str">
        <f>IFERROR(__xludf.DUMMYFUNCTION("""COMPUTED_VALUE"""),"Romance")</f>
        <v>Romance</v>
      </c>
      <c r="D92" s="16">
        <f>IFERROR(__xludf.DUMMYFUNCTION("""COMPUTED_VALUE"""),325.0)</f>
        <v>325</v>
      </c>
      <c r="E92" s="16">
        <f>IFERROR(__xludf.DUMMYFUNCTION("""COMPUTED_VALUE"""),0.963076923076923)</f>
        <v>0.9630769231</v>
      </c>
      <c r="F92" s="16">
        <f>IFERROR(__xludf.DUMMYFUNCTION("""COMPUTED_VALUE"""),0.655384615384615)</f>
        <v>0.6553846154</v>
      </c>
      <c r="G92" s="16">
        <f>IFERROR(__xludf.DUMMYFUNCTION("""COMPUTED_VALUE"""),0.615384615384615)</f>
        <v>0.6153846154</v>
      </c>
      <c r="H92" s="16">
        <f>IFERROR(__xludf.DUMMYFUNCTION("""COMPUTED_VALUE"""),0.584615384615384)</f>
        <v>0.5846153846</v>
      </c>
      <c r="I92" s="16">
        <f>IFERROR(__xludf.DUMMYFUNCTION("""COMPUTED_VALUE"""),0.578461538461538)</f>
        <v>0.5784615385</v>
      </c>
      <c r="J92" s="16">
        <f>IFERROR(__xludf.DUMMYFUNCTION("""COMPUTED_VALUE"""),0.55591054313099)</f>
        <v>0.5559105431</v>
      </c>
      <c r="K92" s="16">
        <f>IFERROR(__xludf.DUMMYFUNCTION("""COMPUTED_VALUE"""),0.533018867924528)</f>
        <v>0.5330188679</v>
      </c>
      <c r="L92" s="16">
        <f>IFERROR(__xludf.DUMMYFUNCTION("""COMPUTED_VALUE"""),0.371428571428571)</f>
        <v>0.3714285714</v>
      </c>
      <c r="M92" s="16">
        <f>IFERROR(__xludf.DUMMYFUNCTION("""COMPUTED_VALUE"""),0.363636363636363)</f>
        <v>0.3636363636</v>
      </c>
      <c r="N92" s="16">
        <f>IFERROR(__xludf.DUMMYFUNCTION("""COMPUTED_VALUE"""),0.333333333333333)</f>
        <v>0.3333333333</v>
      </c>
      <c r="O92" s="16">
        <f>IFERROR(__xludf.DUMMYFUNCTION("""COMPUTED_VALUE"""),0.275862068965517)</f>
        <v>0.275862069</v>
      </c>
      <c r="P92" s="16">
        <f>IFERROR(__xludf.DUMMYFUNCTION("""COMPUTED_VALUE"""),0.0)</f>
        <v>0</v>
      </c>
      <c r="Q92" s="16">
        <f>IFERROR(__xludf.DUMMYFUNCTION("""COMPUTED_VALUE"""),0.0)</f>
        <v>0</v>
      </c>
      <c r="R92" s="16">
        <f>IFERROR(__xludf.DUMMYFUNCTION("""COMPUTED_VALUE"""),0.0)</f>
        <v>0</v>
      </c>
      <c r="S92" s="16">
        <f>IFERROR(__xludf.DUMMYFUNCTION("""COMPUTED_VALUE"""),0.0)</f>
        <v>0</v>
      </c>
      <c r="T92" s="16">
        <f>IFERROR(__xludf.DUMMYFUNCTION("""COMPUTED_VALUE"""),0.0)</f>
        <v>0</v>
      </c>
      <c r="U92" s="16">
        <f>IFERROR(__xludf.DUMMYFUNCTION("""COMPUTED_VALUE"""),0.0)</f>
        <v>0</v>
      </c>
      <c r="V92" s="16">
        <f>IFERROR(__xludf.DUMMYFUNCTION("""COMPUTED_VALUE"""),0.0)</f>
        <v>0</v>
      </c>
      <c r="W92" s="16">
        <f>IFERROR(__xludf.DUMMYFUNCTION("""COMPUTED_VALUE"""),0.0)</f>
        <v>0</v>
      </c>
      <c r="X92" s="16">
        <f>IFERROR(__xludf.DUMMYFUNCTION("""COMPUTED_VALUE"""),0.0)</f>
        <v>0</v>
      </c>
      <c r="Y92" s="16">
        <f>IFERROR(__xludf.DUMMYFUNCTION("""COMPUTED_VALUE"""),0.0)</f>
        <v>0</v>
      </c>
      <c r="Z92" s="16">
        <f>IFERROR(__xludf.DUMMYFUNCTION("""COMPUTED_VALUE"""),0.0)</f>
        <v>0</v>
      </c>
      <c r="AA92" s="16">
        <f>IFERROR(__xludf.DUMMYFUNCTION("""COMPUTED_VALUE"""),0.0)</f>
        <v>0</v>
      </c>
      <c r="AB92" s="16">
        <f>IFERROR(__xludf.DUMMYFUNCTION("""COMPUTED_VALUE"""),0.0)</f>
        <v>0</v>
      </c>
      <c r="AC92" s="16">
        <f>IFERROR(__xludf.DUMMYFUNCTION("""COMPUTED_VALUE"""),0.0)</f>
        <v>0</v>
      </c>
      <c r="AD92" s="16">
        <f>IFERROR(__xludf.DUMMYFUNCTION("""COMPUTED_VALUE"""),0.0)</f>
        <v>0</v>
      </c>
      <c r="AE92" s="16">
        <f>IFERROR(__xludf.DUMMYFUNCTION("""COMPUTED_VALUE"""),0.0)</f>
        <v>0</v>
      </c>
      <c r="AF92" s="16">
        <f>IFERROR(__xludf.DUMMYFUNCTION("""COMPUTED_VALUE"""),0.0)</f>
        <v>0</v>
      </c>
      <c r="AG92" s="16">
        <f>IFERROR(__xludf.DUMMYFUNCTION("""COMPUTED_VALUE"""),0.0)</f>
        <v>0</v>
      </c>
      <c r="AH92" s="16">
        <f>IFERROR(__xludf.DUMMYFUNCTION("""COMPUTED_VALUE"""),0.0)</f>
        <v>0</v>
      </c>
    </row>
    <row r="93">
      <c r="A93" s="16" t="str">
        <f>IFERROR(__xludf.DUMMYFUNCTION("""COMPUTED_VALUE"""),"4d01d84cdfff217f33b380cdb07a2a1c706749ea")</f>
        <v>4d01d84cdfff217f33b380cdb07a2a1c706749ea</v>
      </c>
      <c r="B93" s="16" t="str">
        <f>IFERROR(__xludf.DUMMYFUNCTION("""COMPUTED_VALUE"""),"The Fifth Bride")</f>
        <v>The Fifth Bride</v>
      </c>
      <c r="C93" s="16" t="str">
        <f>IFERROR(__xludf.DUMMYFUNCTION("""COMPUTED_VALUE"""),"Suspense or Thriller")</f>
        <v>Suspense or Thriller</v>
      </c>
      <c r="D93" s="16">
        <f>IFERROR(__xludf.DUMMYFUNCTION("""COMPUTED_VALUE"""),109.0)</f>
        <v>109</v>
      </c>
      <c r="E93" s="16">
        <f>IFERROR(__xludf.DUMMYFUNCTION("""COMPUTED_VALUE"""),0.935779816513761)</f>
        <v>0.9357798165</v>
      </c>
      <c r="F93" s="16">
        <f>IFERROR(__xludf.DUMMYFUNCTION("""COMPUTED_VALUE"""),0.559633027522935)</f>
        <v>0.5596330275</v>
      </c>
      <c r="G93" s="16">
        <f>IFERROR(__xludf.DUMMYFUNCTION("""COMPUTED_VALUE"""),0.504587155963302)</f>
        <v>0.504587156</v>
      </c>
      <c r="H93" s="16">
        <f>IFERROR(__xludf.DUMMYFUNCTION("""COMPUTED_VALUE"""),0.477064220183486)</f>
        <v>0.4770642202</v>
      </c>
      <c r="I93" s="16">
        <f>IFERROR(__xludf.DUMMYFUNCTION("""COMPUTED_VALUE"""),0.458715596330275)</f>
        <v>0.4587155963</v>
      </c>
      <c r="J93" s="16">
        <f>IFERROR(__xludf.DUMMYFUNCTION("""COMPUTED_VALUE"""),0.449541284403669)</f>
        <v>0.4495412844</v>
      </c>
      <c r="K93" s="16">
        <f>IFERROR(__xludf.DUMMYFUNCTION("""COMPUTED_VALUE"""),0.422018348623853)</f>
        <v>0.4220183486</v>
      </c>
      <c r="L93" s="16">
        <f>IFERROR(__xludf.DUMMYFUNCTION("""COMPUTED_VALUE"""),0.36697247706422)</f>
        <v>0.3669724771</v>
      </c>
      <c r="M93" s="16">
        <f>IFERROR(__xludf.DUMMYFUNCTION("""COMPUTED_VALUE"""),0.376146788990825)</f>
        <v>0.376146789</v>
      </c>
      <c r="N93" s="16">
        <f>IFERROR(__xludf.DUMMYFUNCTION("""COMPUTED_VALUE"""),0.339449541284403)</f>
        <v>0.3394495413</v>
      </c>
      <c r="O93" s="16">
        <f>IFERROR(__xludf.DUMMYFUNCTION("""COMPUTED_VALUE"""),0.302752293577981)</f>
        <v>0.3027522936</v>
      </c>
      <c r="P93" s="16">
        <f>IFERROR(__xludf.DUMMYFUNCTION("""COMPUTED_VALUE"""),0.25)</f>
        <v>0.25</v>
      </c>
      <c r="Q93" s="16">
        <f>IFERROR(__xludf.DUMMYFUNCTION("""COMPUTED_VALUE"""),0.104651162790697)</f>
        <v>0.1046511628</v>
      </c>
      <c r="R93" s="16">
        <f>IFERROR(__xludf.DUMMYFUNCTION("""COMPUTED_VALUE"""),0.0)</f>
        <v>0</v>
      </c>
      <c r="S93" s="16">
        <f>IFERROR(__xludf.DUMMYFUNCTION("""COMPUTED_VALUE"""),0.0)</f>
        <v>0</v>
      </c>
      <c r="T93" s="16">
        <f>IFERROR(__xludf.DUMMYFUNCTION("""COMPUTED_VALUE"""),0.0)</f>
        <v>0</v>
      </c>
      <c r="U93" s="16">
        <f>IFERROR(__xludf.DUMMYFUNCTION("""COMPUTED_VALUE"""),0.0)</f>
        <v>0</v>
      </c>
      <c r="V93" s="16">
        <f>IFERROR(__xludf.DUMMYFUNCTION("""COMPUTED_VALUE"""),0.0)</f>
        <v>0</v>
      </c>
      <c r="W93" s="16">
        <f>IFERROR(__xludf.DUMMYFUNCTION("""COMPUTED_VALUE"""),0.0)</f>
        <v>0</v>
      </c>
      <c r="X93" s="16">
        <f>IFERROR(__xludf.DUMMYFUNCTION("""COMPUTED_VALUE"""),0.0)</f>
        <v>0</v>
      </c>
      <c r="Y93" s="16">
        <f>IFERROR(__xludf.DUMMYFUNCTION("""COMPUTED_VALUE"""),0.0)</f>
        <v>0</v>
      </c>
      <c r="Z93" s="16">
        <f>IFERROR(__xludf.DUMMYFUNCTION("""COMPUTED_VALUE"""),0.0)</f>
        <v>0</v>
      </c>
      <c r="AA93" s="16">
        <f>IFERROR(__xludf.DUMMYFUNCTION("""COMPUTED_VALUE"""),0.0)</f>
        <v>0</v>
      </c>
      <c r="AB93" s="16">
        <f>IFERROR(__xludf.DUMMYFUNCTION("""COMPUTED_VALUE"""),0.0)</f>
        <v>0</v>
      </c>
      <c r="AC93" s="16">
        <f>IFERROR(__xludf.DUMMYFUNCTION("""COMPUTED_VALUE"""),0.0)</f>
        <v>0</v>
      </c>
      <c r="AD93" s="16">
        <f>IFERROR(__xludf.DUMMYFUNCTION("""COMPUTED_VALUE"""),0.0)</f>
        <v>0</v>
      </c>
      <c r="AE93" s="16">
        <f>IFERROR(__xludf.DUMMYFUNCTION("""COMPUTED_VALUE"""),0.0)</f>
        <v>0</v>
      </c>
      <c r="AF93" s="16">
        <f>IFERROR(__xludf.DUMMYFUNCTION("""COMPUTED_VALUE"""),0.0)</f>
        <v>0</v>
      </c>
      <c r="AG93" s="16">
        <f>IFERROR(__xludf.DUMMYFUNCTION("""COMPUTED_VALUE"""),0.0)</f>
        <v>0</v>
      </c>
      <c r="AH93" s="16">
        <f>IFERROR(__xludf.DUMMYFUNCTION("""COMPUTED_VALUE"""),0.0)</f>
        <v>0</v>
      </c>
    </row>
    <row r="94">
      <c r="A94" s="16" t="str">
        <f>IFERROR(__xludf.DUMMYFUNCTION("""COMPUTED_VALUE"""),"4d887dec2a071a00150fdcd6417f16bcaf5f02b0")</f>
        <v>4d887dec2a071a00150fdcd6417f16bcaf5f02b0</v>
      </c>
      <c r="B94" s="16" t="str">
        <f>IFERROR(__xludf.DUMMYFUNCTION("""COMPUTED_VALUE"""),"Loving Nathaniel Hawthorne: The Billionaire Playboy")</f>
        <v>Loving Nathaniel Hawthorne: The Billionaire Playboy</v>
      </c>
      <c r="C94" s="16" t="str">
        <f>IFERROR(__xludf.DUMMYFUNCTION("""COMPUTED_VALUE"""),"Romance")</f>
        <v>Romance</v>
      </c>
      <c r="D94" s="16">
        <f>IFERROR(__xludf.DUMMYFUNCTION("""COMPUTED_VALUE"""),5664.0)</f>
        <v>5664</v>
      </c>
      <c r="E94" s="16">
        <f>IFERROR(__xludf.DUMMYFUNCTION("""COMPUTED_VALUE"""),0.921080508474576)</f>
        <v>0.9210805085</v>
      </c>
      <c r="F94" s="16">
        <f>IFERROR(__xludf.DUMMYFUNCTION("""COMPUTED_VALUE"""),0.555084745762711)</f>
        <v>0.5550847458</v>
      </c>
      <c r="G94" s="16">
        <f>IFERROR(__xludf.DUMMYFUNCTION("""COMPUTED_VALUE"""),0.508121468926553)</f>
        <v>0.5081214689</v>
      </c>
      <c r="H94" s="16">
        <f>IFERROR(__xludf.DUMMYFUNCTION("""COMPUTED_VALUE"""),0.483933615819209)</f>
        <v>0.4839336158</v>
      </c>
      <c r="I94" s="16">
        <f>IFERROR(__xludf.DUMMYFUNCTION("""COMPUTED_VALUE"""),0.461687853107344)</f>
        <v>0.4616878531</v>
      </c>
      <c r="J94" s="16">
        <f>IFERROR(__xludf.DUMMYFUNCTION("""COMPUTED_VALUE"""),0.44968220338983)</f>
        <v>0.4496822034</v>
      </c>
      <c r="K94" s="16">
        <f>IFERROR(__xludf.DUMMYFUNCTION("""COMPUTED_VALUE"""),0.432909604519774)</f>
        <v>0.4329096045</v>
      </c>
      <c r="L94" s="16">
        <f>IFERROR(__xludf.DUMMYFUNCTION("""COMPUTED_VALUE"""),0.426426426426426)</f>
        <v>0.4264264264</v>
      </c>
      <c r="M94" s="16">
        <f>IFERROR(__xludf.DUMMYFUNCTION("""COMPUTED_VALUE"""),0.420067125949478)</f>
        <v>0.4200671259</v>
      </c>
      <c r="N94" s="16">
        <f>IFERROR(__xludf.DUMMYFUNCTION("""COMPUTED_VALUE"""),0.414487632508833)</f>
        <v>0.4144876325</v>
      </c>
      <c r="O94" s="16">
        <f>IFERROR(__xludf.DUMMYFUNCTION("""COMPUTED_VALUE"""),0.393950114983194)</f>
        <v>0.393950115</v>
      </c>
      <c r="P94" s="16">
        <f>IFERROR(__xludf.DUMMYFUNCTION("""COMPUTED_VALUE"""),0.348927875243664)</f>
        <v>0.3489278752</v>
      </c>
      <c r="Q94" s="16">
        <f>IFERROR(__xludf.DUMMYFUNCTION("""COMPUTED_VALUE"""),0.264533333333333)</f>
        <v>0.2645333333</v>
      </c>
      <c r="R94" s="16">
        <f>IFERROR(__xludf.DUMMYFUNCTION("""COMPUTED_VALUE"""),0.214056939501779)</f>
        <v>0.2140569395</v>
      </c>
      <c r="S94" s="16">
        <f>IFERROR(__xludf.DUMMYFUNCTION("""COMPUTED_VALUE"""),0.191375623663578)</f>
        <v>0.1913756237</v>
      </c>
      <c r="T94" s="16">
        <f>IFERROR(__xludf.DUMMYFUNCTION("""COMPUTED_VALUE"""),0.178526841448189)</f>
        <v>0.1785268414</v>
      </c>
      <c r="U94" s="16">
        <f>IFERROR(__xludf.DUMMYFUNCTION("""COMPUTED_VALUE"""),0.168394708616374)</f>
        <v>0.1683947086</v>
      </c>
      <c r="V94" s="16">
        <f>IFERROR(__xludf.DUMMYFUNCTION("""COMPUTED_VALUE"""),0.158236057068741)</f>
        <v>0.1582360571</v>
      </c>
      <c r="W94" s="16">
        <f>IFERROR(__xludf.DUMMYFUNCTION("""COMPUTED_VALUE"""),0.145470012760527)</f>
        <v>0.1454700128</v>
      </c>
      <c r="X94" s="16">
        <f>IFERROR(__xludf.DUMMYFUNCTION("""COMPUTED_VALUE"""),0.135930047694753)</f>
        <v>0.1359300477</v>
      </c>
      <c r="Y94" s="16">
        <f>IFERROR(__xludf.DUMMYFUNCTION("""COMPUTED_VALUE"""),0.123112278397898)</f>
        <v>0.1231122784</v>
      </c>
      <c r="Z94" s="16">
        <f>IFERROR(__xludf.DUMMYFUNCTION("""COMPUTED_VALUE"""),0.11193202807536)</f>
        <v>0.1119320281</v>
      </c>
      <c r="AA94" s="16">
        <f>IFERROR(__xludf.DUMMYFUNCTION("""COMPUTED_VALUE"""),0.0887831946095917)</f>
        <v>0.08878319461</v>
      </c>
      <c r="AB94" s="16">
        <f>IFERROR(__xludf.DUMMYFUNCTION("""COMPUTED_VALUE"""),0.0844521437851884)</f>
        <v>0.08445214379</v>
      </c>
      <c r="AC94" s="16">
        <f>IFERROR(__xludf.DUMMYFUNCTION("""COMPUTED_VALUE"""),0.0)</f>
        <v>0</v>
      </c>
      <c r="AD94" s="16">
        <f>IFERROR(__xludf.DUMMYFUNCTION("""COMPUTED_VALUE"""),0.0)</f>
        <v>0</v>
      </c>
      <c r="AE94" s="16">
        <f>IFERROR(__xludf.DUMMYFUNCTION("""COMPUTED_VALUE"""),0.0)</f>
        <v>0</v>
      </c>
      <c r="AF94" s="16">
        <f>IFERROR(__xludf.DUMMYFUNCTION("""COMPUTED_VALUE"""),0.0)</f>
        <v>0</v>
      </c>
      <c r="AG94" s="16">
        <f>IFERROR(__xludf.DUMMYFUNCTION("""COMPUTED_VALUE"""),0.0)</f>
        <v>0</v>
      </c>
      <c r="AH94" s="16">
        <f>IFERROR(__xludf.DUMMYFUNCTION("""COMPUTED_VALUE"""),0.0)</f>
        <v>0</v>
      </c>
    </row>
    <row r="95">
      <c r="A95" s="16" t="str">
        <f>IFERROR(__xludf.DUMMYFUNCTION("""COMPUTED_VALUE"""),"4e3bbfc86993cf8c574bdebca34a49627f4a386a")</f>
        <v>4e3bbfc86993cf8c574bdebca34a49627f4a386a</v>
      </c>
      <c r="B95" s="16" t="str">
        <f>IFERROR(__xludf.DUMMYFUNCTION("""COMPUTED_VALUE"""),"Our Beloved Villains ")</f>
        <v>Our Beloved Villains </v>
      </c>
      <c r="C95" s="16" t="str">
        <f>IFERROR(__xludf.DUMMYFUNCTION("""COMPUTED_VALUE"""),"Fantasy")</f>
        <v>Fantasy</v>
      </c>
      <c r="D95" s="16">
        <f>IFERROR(__xludf.DUMMYFUNCTION("""COMPUTED_VALUE"""),15.0)</f>
        <v>15</v>
      </c>
      <c r="E95" s="16">
        <f>IFERROR(__xludf.DUMMYFUNCTION("""COMPUTED_VALUE"""),1.0)</f>
        <v>1</v>
      </c>
      <c r="F95" s="16">
        <f>IFERROR(__xludf.DUMMYFUNCTION("""COMPUTED_VALUE"""),0.466666666666666)</f>
        <v>0.4666666667</v>
      </c>
      <c r="G95" s="16">
        <f>IFERROR(__xludf.DUMMYFUNCTION("""COMPUTED_VALUE"""),0.333333333333333)</f>
        <v>0.3333333333</v>
      </c>
      <c r="H95" s="16">
        <f>IFERROR(__xludf.DUMMYFUNCTION("""COMPUTED_VALUE"""),0.266666666666666)</f>
        <v>0.2666666667</v>
      </c>
      <c r="I95" s="16">
        <f>IFERROR(__xludf.DUMMYFUNCTION("""COMPUTED_VALUE"""),0.266666666666666)</f>
        <v>0.2666666667</v>
      </c>
      <c r="J95" s="16">
        <f>IFERROR(__xludf.DUMMYFUNCTION("""COMPUTED_VALUE"""),0.266666666666666)</f>
        <v>0.2666666667</v>
      </c>
      <c r="K95" s="16">
        <f>IFERROR(__xludf.DUMMYFUNCTION("""COMPUTED_VALUE"""),0.266666666666666)</f>
        <v>0.2666666667</v>
      </c>
      <c r="L95" s="16">
        <f>IFERROR(__xludf.DUMMYFUNCTION("""COMPUTED_VALUE"""),0.2)</f>
        <v>0.2</v>
      </c>
      <c r="M95" s="16">
        <f>IFERROR(__xludf.DUMMYFUNCTION("""COMPUTED_VALUE"""),0.133333333333333)</f>
        <v>0.1333333333</v>
      </c>
      <c r="N95" s="16">
        <f>IFERROR(__xludf.DUMMYFUNCTION("""COMPUTED_VALUE"""),0.0666666666666666)</f>
        <v>0.06666666667</v>
      </c>
      <c r="O95" s="16">
        <f>IFERROR(__xludf.DUMMYFUNCTION("""COMPUTED_VALUE"""),0.0666666666666666)</f>
        <v>0.06666666667</v>
      </c>
      <c r="P95" s="16">
        <f>IFERROR(__xludf.DUMMYFUNCTION("""COMPUTED_VALUE"""),0.0666666666666666)</f>
        <v>0.06666666667</v>
      </c>
      <c r="Q95" s="16">
        <f>IFERROR(__xludf.DUMMYFUNCTION("""COMPUTED_VALUE"""),0.0)</f>
        <v>0</v>
      </c>
      <c r="R95" s="16">
        <f>IFERROR(__xludf.DUMMYFUNCTION("""COMPUTED_VALUE"""),0.0)</f>
        <v>0</v>
      </c>
      <c r="S95" s="16">
        <f>IFERROR(__xludf.DUMMYFUNCTION("""COMPUTED_VALUE"""),0.0)</f>
        <v>0</v>
      </c>
      <c r="T95" s="16">
        <f>IFERROR(__xludf.DUMMYFUNCTION("""COMPUTED_VALUE"""),0.0)</f>
        <v>0</v>
      </c>
      <c r="U95" s="16">
        <f>IFERROR(__xludf.DUMMYFUNCTION("""COMPUTED_VALUE"""),0.0)</f>
        <v>0</v>
      </c>
      <c r="V95" s="16">
        <f>IFERROR(__xludf.DUMMYFUNCTION("""COMPUTED_VALUE"""),0.0)</f>
        <v>0</v>
      </c>
      <c r="W95" s="16">
        <f>IFERROR(__xludf.DUMMYFUNCTION("""COMPUTED_VALUE"""),0.0)</f>
        <v>0</v>
      </c>
      <c r="X95" s="16">
        <f>IFERROR(__xludf.DUMMYFUNCTION("""COMPUTED_VALUE"""),0.0)</f>
        <v>0</v>
      </c>
      <c r="Y95" s="16">
        <f>IFERROR(__xludf.DUMMYFUNCTION("""COMPUTED_VALUE"""),0.0)</f>
        <v>0</v>
      </c>
      <c r="Z95" s="16">
        <f>IFERROR(__xludf.DUMMYFUNCTION("""COMPUTED_VALUE"""),0.0)</f>
        <v>0</v>
      </c>
      <c r="AA95" s="16">
        <f>IFERROR(__xludf.DUMMYFUNCTION("""COMPUTED_VALUE"""),0.0)</f>
        <v>0</v>
      </c>
      <c r="AB95" s="16">
        <f>IFERROR(__xludf.DUMMYFUNCTION("""COMPUTED_VALUE"""),0.0)</f>
        <v>0</v>
      </c>
      <c r="AC95" s="16">
        <f>IFERROR(__xludf.DUMMYFUNCTION("""COMPUTED_VALUE"""),0.0)</f>
        <v>0</v>
      </c>
      <c r="AD95" s="16">
        <f>IFERROR(__xludf.DUMMYFUNCTION("""COMPUTED_VALUE"""),0.0)</f>
        <v>0</v>
      </c>
      <c r="AE95" s="16">
        <f>IFERROR(__xludf.DUMMYFUNCTION("""COMPUTED_VALUE"""),0.0)</f>
        <v>0</v>
      </c>
      <c r="AF95" s="16">
        <f>IFERROR(__xludf.DUMMYFUNCTION("""COMPUTED_VALUE"""),0.0)</f>
        <v>0</v>
      </c>
      <c r="AG95" s="16">
        <f>IFERROR(__xludf.DUMMYFUNCTION("""COMPUTED_VALUE"""),0.0)</f>
        <v>0</v>
      </c>
      <c r="AH95" s="16">
        <f>IFERROR(__xludf.DUMMYFUNCTION("""COMPUTED_VALUE"""),0.0)</f>
        <v>0</v>
      </c>
    </row>
    <row r="96">
      <c r="A96" s="16" t="str">
        <f>IFERROR(__xludf.DUMMYFUNCTION("""COMPUTED_VALUE"""),"4e767fe3eae1eb30991fabcb73be16e9925ab124")</f>
        <v>4e767fe3eae1eb30991fabcb73be16e9925ab124</v>
      </c>
      <c r="B96" s="16" t="str">
        <f>IFERROR(__xludf.DUMMYFUNCTION("""COMPUTED_VALUE"""),"The Ill-Fated Aristocrat")</f>
        <v>The Ill-Fated Aristocrat</v>
      </c>
      <c r="C96" s="16" t="str">
        <f>IFERROR(__xludf.DUMMYFUNCTION("""COMPUTED_VALUE"""),"Romance")</f>
        <v>Romance</v>
      </c>
      <c r="D96" s="16">
        <f>IFERROR(__xludf.DUMMYFUNCTION("""COMPUTED_VALUE"""),594.0)</f>
        <v>594</v>
      </c>
      <c r="E96" s="16">
        <f>IFERROR(__xludf.DUMMYFUNCTION("""COMPUTED_VALUE"""),0.969696969696969)</f>
        <v>0.9696969697</v>
      </c>
      <c r="F96" s="16">
        <f>IFERROR(__xludf.DUMMYFUNCTION("""COMPUTED_VALUE"""),0.613175675675675)</f>
        <v>0.6131756757</v>
      </c>
      <c r="G96" s="16">
        <f>IFERROR(__xludf.DUMMYFUNCTION("""COMPUTED_VALUE"""),0.565878378378378)</f>
        <v>0.5658783784</v>
      </c>
      <c r="H96" s="16">
        <f>IFERROR(__xludf.DUMMYFUNCTION("""COMPUTED_VALUE"""),0.503378378378378)</f>
        <v>0.5033783784</v>
      </c>
      <c r="I96" s="16">
        <f>IFERROR(__xludf.DUMMYFUNCTION("""COMPUTED_VALUE"""),0.473773265651438)</f>
        <v>0.4737732657</v>
      </c>
      <c r="J96" s="16">
        <f>IFERROR(__xludf.DUMMYFUNCTION("""COMPUTED_VALUE"""),0.442372881355932)</f>
        <v>0.4423728814</v>
      </c>
      <c r="K96" s="16">
        <f>IFERROR(__xludf.DUMMYFUNCTION("""COMPUTED_VALUE"""),0.425423728813559)</f>
        <v>0.4254237288</v>
      </c>
      <c r="L96" s="16">
        <f>IFERROR(__xludf.DUMMYFUNCTION("""COMPUTED_VALUE"""),0.408858603066439)</f>
        <v>0.4088586031</v>
      </c>
      <c r="M96" s="16">
        <f>IFERROR(__xludf.DUMMYFUNCTION("""COMPUTED_VALUE"""),0.389078498293515)</f>
        <v>0.3890784983</v>
      </c>
      <c r="N96" s="16">
        <f>IFERROR(__xludf.DUMMYFUNCTION("""COMPUTED_VALUE"""),0.376712328767123)</f>
        <v>0.3767123288</v>
      </c>
      <c r="O96" s="16">
        <f>IFERROR(__xludf.DUMMYFUNCTION("""COMPUTED_VALUE"""),0.34819897084048)</f>
        <v>0.3481989708</v>
      </c>
      <c r="P96" s="16">
        <f>IFERROR(__xludf.DUMMYFUNCTION("""COMPUTED_VALUE"""),0.293103448275862)</f>
        <v>0.2931034483</v>
      </c>
      <c r="Q96" s="16">
        <f>IFERROR(__xludf.DUMMYFUNCTION("""COMPUTED_VALUE"""),0.184981684981685)</f>
        <v>0.184981685</v>
      </c>
      <c r="R96" s="16">
        <f>IFERROR(__xludf.DUMMYFUNCTION("""COMPUTED_VALUE"""),0.118577075098814)</f>
        <v>0.1185770751</v>
      </c>
      <c r="S96" s="16">
        <f>IFERROR(__xludf.DUMMYFUNCTION("""COMPUTED_VALUE"""),0.111111111111111)</f>
        <v>0.1111111111</v>
      </c>
      <c r="T96" s="16">
        <f>IFERROR(__xludf.DUMMYFUNCTION("""COMPUTED_VALUE"""),0.0)</f>
        <v>0</v>
      </c>
      <c r="U96" s="16">
        <f>IFERROR(__xludf.DUMMYFUNCTION("""COMPUTED_VALUE"""),0.0)</f>
        <v>0</v>
      </c>
      <c r="V96" s="16">
        <f>IFERROR(__xludf.DUMMYFUNCTION("""COMPUTED_VALUE"""),0.0)</f>
        <v>0</v>
      </c>
      <c r="W96" s="16">
        <f>IFERROR(__xludf.DUMMYFUNCTION("""COMPUTED_VALUE"""),0.0)</f>
        <v>0</v>
      </c>
      <c r="X96" s="16">
        <f>IFERROR(__xludf.DUMMYFUNCTION("""COMPUTED_VALUE"""),0.0)</f>
        <v>0</v>
      </c>
      <c r="Y96" s="16">
        <f>IFERROR(__xludf.DUMMYFUNCTION("""COMPUTED_VALUE"""),0.0)</f>
        <v>0</v>
      </c>
      <c r="Z96" s="16">
        <f>IFERROR(__xludf.DUMMYFUNCTION("""COMPUTED_VALUE"""),0.0)</f>
        <v>0</v>
      </c>
      <c r="AA96" s="16">
        <f>IFERROR(__xludf.DUMMYFUNCTION("""COMPUTED_VALUE"""),0.0)</f>
        <v>0</v>
      </c>
      <c r="AB96" s="16">
        <f>IFERROR(__xludf.DUMMYFUNCTION("""COMPUTED_VALUE"""),0.0)</f>
        <v>0</v>
      </c>
      <c r="AC96" s="16">
        <f>IFERROR(__xludf.DUMMYFUNCTION("""COMPUTED_VALUE"""),0.0)</f>
        <v>0</v>
      </c>
      <c r="AD96" s="16">
        <f>IFERROR(__xludf.DUMMYFUNCTION("""COMPUTED_VALUE"""),0.0)</f>
        <v>0</v>
      </c>
      <c r="AE96" s="16">
        <f>IFERROR(__xludf.DUMMYFUNCTION("""COMPUTED_VALUE"""),0.0)</f>
        <v>0</v>
      </c>
      <c r="AF96" s="16">
        <f>IFERROR(__xludf.DUMMYFUNCTION("""COMPUTED_VALUE"""),0.0)</f>
        <v>0</v>
      </c>
      <c r="AG96" s="16">
        <f>IFERROR(__xludf.DUMMYFUNCTION("""COMPUTED_VALUE"""),0.0)</f>
        <v>0</v>
      </c>
      <c r="AH96" s="16">
        <f>IFERROR(__xludf.DUMMYFUNCTION("""COMPUTED_VALUE"""),0.0)</f>
        <v>0</v>
      </c>
    </row>
    <row r="97">
      <c r="A97" s="16" t="str">
        <f>IFERROR(__xludf.DUMMYFUNCTION("""COMPUTED_VALUE"""),"4e82e5be987e78daa5bb2bb67006b68256170925")</f>
        <v>4e82e5be987e78daa5bb2bb67006b68256170925</v>
      </c>
      <c r="B97" s="16" t="str">
        <f>IFERROR(__xludf.DUMMYFUNCTION("""COMPUTED_VALUE"""),"Machine Invasion")</f>
        <v>Machine Invasion</v>
      </c>
      <c r="C97" s="16" t="str">
        <f>IFERROR(__xludf.DUMMYFUNCTION("""COMPUTED_VALUE"""),"System and Superpower")</f>
        <v>System and Superpower</v>
      </c>
      <c r="D97" s="16">
        <f>IFERROR(__xludf.DUMMYFUNCTION("""COMPUTED_VALUE"""),184.0)</f>
        <v>184</v>
      </c>
      <c r="E97" s="16">
        <f>IFERROR(__xludf.DUMMYFUNCTION("""COMPUTED_VALUE"""),0.972826086956521)</f>
        <v>0.972826087</v>
      </c>
      <c r="F97" s="16">
        <f>IFERROR(__xludf.DUMMYFUNCTION("""COMPUTED_VALUE"""),0.483695652173913)</f>
        <v>0.4836956522</v>
      </c>
      <c r="G97" s="16">
        <f>IFERROR(__xludf.DUMMYFUNCTION("""COMPUTED_VALUE"""),0.434782608695652)</f>
        <v>0.4347826087</v>
      </c>
      <c r="H97" s="16">
        <f>IFERROR(__xludf.DUMMYFUNCTION("""COMPUTED_VALUE"""),0.418478260869565)</f>
        <v>0.4184782609</v>
      </c>
      <c r="I97" s="16">
        <f>IFERROR(__xludf.DUMMYFUNCTION("""COMPUTED_VALUE"""),0.391304347826087)</f>
        <v>0.3913043478</v>
      </c>
      <c r="J97" s="16">
        <f>IFERROR(__xludf.DUMMYFUNCTION("""COMPUTED_VALUE"""),0.342391304347826)</f>
        <v>0.3423913043</v>
      </c>
      <c r="K97" s="16">
        <f>IFERROR(__xludf.DUMMYFUNCTION("""COMPUTED_VALUE"""),0.309782608695652)</f>
        <v>0.3097826087</v>
      </c>
      <c r="L97" s="16">
        <f>IFERROR(__xludf.DUMMYFUNCTION("""COMPUTED_VALUE"""),0.288043478260869)</f>
        <v>0.2880434783</v>
      </c>
      <c r="M97" s="16">
        <f>IFERROR(__xludf.DUMMYFUNCTION("""COMPUTED_VALUE"""),0.288043478260869)</f>
        <v>0.2880434783</v>
      </c>
      <c r="N97" s="16">
        <f>IFERROR(__xludf.DUMMYFUNCTION("""COMPUTED_VALUE"""),0.293478260869565)</f>
        <v>0.2934782609</v>
      </c>
      <c r="O97" s="16">
        <f>IFERROR(__xludf.DUMMYFUNCTION("""COMPUTED_VALUE"""),0.254437869822485)</f>
        <v>0.2544378698</v>
      </c>
      <c r="P97" s="16">
        <f>IFERROR(__xludf.DUMMYFUNCTION("""COMPUTED_VALUE"""),0.18018018018018)</f>
        <v>0.1801801802</v>
      </c>
      <c r="Q97" s="16">
        <f>IFERROR(__xludf.DUMMYFUNCTION("""COMPUTED_VALUE"""),0.235294117647058)</f>
        <v>0.2352941176</v>
      </c>
      <c r="R97" s="16">
        <f>IFERROR(__xludf.DUMMYFUNCTION("""COMPUTED_VALUE"""),0.0)</f>
        <v>0</v>
      </c>
      <c r="S97" s="16">
        <f>IFERROR(__xludf.DUMMYFUNCTION("""COMPUTED_VALUE"""),0.0)</f>
        <v>0</v>
      </c>
      <c r="T97" s="16">
        <f>IFERROR(__xludf.DUMMYFUNCTION("""COMPUTED_VALUE"""),0.0)</f>
        <v>0</v>
      </c>
      <c r="U97" s="16">
        <f>IFERROR(__xludf.DUMMYFUNCTION("""COMPUTED_VALUE"""),0.0)</f>
        <v>0</v>
      </c>
      <c r="V97" s="16">
        <f>IFERROR(__xludf.DUMMYFUNCTION("""COMPUTED_VALUE"""),0.0)</f>
        <v>0</v>
      </c>
      <c r="W97" s="16">
        <f>IFERROR(__xludf.DUMMYFUNCTION("""COMPUTED_VALUE"""),0.0)</f>
        <v>0</v>
      </c>
      <c r="X97" s="16">
        <f>IFERROR(__xludf.DUMMYFUNCTION("""COMPUTED_VALUE"""),0.0)</f>
        <v>0</v>
      </c>
      <c r="Y97" s="16">
        <f>IFERROR(__xludf.DUMMYFUNCTION("""COMPUTED_VALUE"""),0.0)</f>
        <v>0</v>
      </c>
      <c r="Z97" s="16">
        <f>IFERROR(__xludf.DUMMYFUNCTION("""COMPUTED_VALUE"""),0.0)</f>
        <v>0</v>
      </c>
      <c r="AA97" s="16">
        <f>IFERROR(__xludf.DUMMYFUNCTION("""COMPUTED_VALUE"""),0.0)</f>
        <v>0</v>
      </c>
      <c r="AB97" s="16">
        <f>IFERROR(__xludf.DUMMYFUNCTION("""COMPUTED_VALUE"""),0.0)</f>
        <v>0</v>
      </c>
      <c r="AC97" s="16">
        <f>IFERROR(__xludf.DUMMYFUNCTION("""COMPUTED_VALUE"""),0.0)</f>
        <v>0</v>
      </c>
      <c r="AD97" s="16">
        <f>IFERROR(__xludf.DUMMYFUNCTION("""COMPUTED_VALUE"""),0.0)</f>
        <v>0</v>
      </c>
      <c r="AE97" s="16">
        <f>IFERROR(__xludf.DUMMYFUNCTION("""COMPUTED_VALUE"""),0.0)</f>
        <v>0</v>
      </c>
      <c r="AF97" s="16">
        <f>IFERROR(__xludf.DUMMYFUNCTION("""COMPUTED_VALUE"""),0.0)</f>
        <v>0</v>
      </c>
      <c r="AG97" s="16">
        <f>IFERROR(__xludf.DUMMYFUNCTION("""COMPUTED_VALUE"""),0.0)</f>
        <v>0</v>
      </c>
      <c r="AH97" s="16">
        <f>IFERROR(__xludf.DUMMYFUNCTION("""COMPUTED_VALUE"""),0.0)</f>
        <v>0</v>
      </c>
    </row>
    <row r="98">
      <c r="A98" s="16" t="str">
        <f>IFERROR(__xludf.DUMMYFUNCTION("""COMPUTED_VALUE"""),"4e8fc1ec90ca0e70f873bdd45aea984fc56b5c89")</f>
        <v>4e8fc1ec90ca0e70f873bdd45aea984fc56b5c89</v>
      </c>
      <c r="B98" s="16" t="str">
        <f>IFERROR(__xludf.DUMMYFUNCTION("""COMPUTED_VALUE"""),"When Strangers Say I Do")</f>
        <v>When Strangers Say I Do</v>
      </c>
      <c r="C98" s="16" t="str">
        <f>IFERROR(__xludf.DUMMYFUNCTION("""COMPUTED_VALUE"""),"Drama")</f>
        <v>Drama</v>
      </c>
      <c r="D98" s="16">
        <f>IFERROR(__xludf.DUMMYFUNCTION("""COMPUTED_VALUE"""),214.0)</f>
        <v>214</v>
      </c>
      <c r="E98" s="16">
        <f>IFERROR(__xludf.DUMMYFUNCTION("""COMPUTED_VALUE"""),0.976635514018691)</f>
        <v>0.976635514</v>
      </c>
      <c r="F98" s="16">
        <f>IFERROR(__xludf.DUMMYFUNCTION("""COMPUTED_VALUE"""),0.448598130841121)</f>
        <v>0.4485981308</v>
      </c>
      <c r="G98" s="16">
        <f>IFERROR(__xludf.DUMMYFUNCTION("""COMPUTED_VALUE"""),0.373831775700934)</f>
        <v>0.3738317757</v>
      </c>
      <c r="H98" s="16">
        <f>IFERROR(__xludf.DUMMYFUNCTION("""COMPUTED_VALUE"""),0.331775700934579)</f>
        <v>0.3317757009</v>
      </c>
      <c r="I98" s="16">
        <f>IFERROR(__xludf.DUMMYFUNCTION("""COMPUTED_VALUE"""),0.285046728971962)</f>
        <v>0.285046729</v>
      </c>
      <c r="J98" s="16">
        <f>IFERROR(__xludf.DUMMYFUNCTION("""COMPUTED_VALUE"""),0.258215962441314)</f>
        <v>0.2582159624</v>
      </c>
      <c r="K98" s="16">
        <f>IFERROR(__xludf.DUMMYFUNCTION("""COMPUTED_VALUE"""),0.260663507109004)</f>
        <v>0.2606635071</v>
      </c>
      <c r="L98" s="16">
        <f>IFERROR(__xludf.DUMMYFUNCTION("""COMPUTED_VALUE"""),0.248803827751196)</f>
        <v>0.2488038278</v>
      </c>
      <c r="M98" s="16">
        <f>IFERROR(__xludf.DUMMYFUNCTION("""COMPUTED_VALUE"""),0.227053140096618)</f>
        <v>0.2270531401</v>
      </c>
      <c r="N98" s="16">
        <f>IFERROR(__xludf.DUMMYFUNCTION("""COMPUTED_VALUE"""),0.203883495145631)</f>
        <v>0.2038834951</v>
      </c>
      <c r="O98" s="16">
        <f>IFERROR(__xludf.DUMMYFUNCTION("""COMPUTED_VALUE"""),0.165829145728643)</f>
        <v>0.1658291457</v>
      </c>
      <c r="P98" s="16">
        <f>IFERROR(__xludf.DUMMYFUNCTION("""COMPUTED_VALUE"""),0.110465116279069)</f>
        <v>0.1104651163</v>
      </c>
      <c r="Q98" s="16">
        <f>IFERROR(__xludf.DUMMYFUNCTION("""COMPUTED_VALUE"""),0.0888888888888888)</f>
        <v>0.08888888889</v>
      </c>
      <c r="R98" s="16">
        <f>IFERROR(__xludf.DUMMYFUNCTION("""COMPUTED_VALUE"""),0.0)</f>
        <v>0</v>
      </c>
      <c r="S98" s="16">
        <f>IFERROR(__xludf.DUMMYFUNCTION("""COMPUTED_VALUE"""),0.0)</f>
        <v>0</v>
      </c>
      <c r="T98" s="16">
        <f>IFERROR(__xludf.DUMMYFUNCTION("""COMPUTED_VALUE"""),0.0)</f>
        <v>0</v>
      </c>
      <c r="U98" s="16">
        <f>IFERROR(__xludf.DUMMYFUNCTION("""COMPUTED_VALUE"""),0.0)</f>
        <v>0</v>
      </c>
      <c r="V98" s="16">
        <f>IFERROR(__xludf.DUMMYFUNCTION("""COMPUTED_VALUE"""),0.0)</f>
        <v>0</v>
      </c>
      <c r="W98" s="16">
        <f>IFERROR(__xludf.DUMMYFUNCTION("""COMPUTED_VALUE"""),0.0)</f>
        <v>0</v>
      </c>
      <c r="X98" s="16">
        <f>IFERROR(__xludf.DUMMYFUNCTION("""COMPUTED_VALUE"""),0.0)</f>
        <v>0</v>
      </c>
      <c r="Y98" s="16">
        <f>IFERROR(__xludf.DUMMYFUNCTION("""COMPUTED_VALUE"""),0.0)</f>
        <v>0</v>
      </c>
      <c r="Z98" s="16">
        <f>IFERROR(__xludf.DUMMYFUNCTION("""COMPUTED_VALUE"""),0.0)</f>
        <v>0</v>
      </c>
      <c r="AA98" s="16">
        <f>IFERROR(__xludf.DUMMYFUNCTION("""COMPUTED_VALUE"""),0.0)</f>
        <v>0</v>
      </c>
      <c r="AB98" s="16">
        <f>IFERROR(__xludf.DUMMYFUNCTION("""COMPUTED_VALUE"""),0.0)</f>
        <v>0</v>
      </c>
      <c r="AC98" s="16">
        <f>IFERROR(__xludf.DUMMYFUNCTION("""COMPUTED_VALUE"""),0.0)</f>
        <v>0</v>
      </c>
      <c r="AD98" s="16">
        <f>IFERROR(__xludf.DUMMYFUNCTION("""COMPUTED_VALUE"""),0.0)</f>
        <v>0</v>
      </c>
      <c r="AE98" s="16">
        <f>IFERROR(__xludf.DUMMYFUNCTION("""COMPUTED_VALUE"""),0.0)</f>
        <v>0</v>
      </c>
      <c r="AF98" s="16">
        <f>IFERROR(__xludf.DUMMYFUNCTION("""COMPUTED_VALUE"""),0.0)</f>
        <v>0</v>
      </c>
      <c r="AG98" s="16">
        <f>IFERROR(__xludf.DUMMYFUNCTION("""COMPUTED_VALUE"""),0.0)</f>
        <v>0</v>
      </c>
      <c r="AH98" s="16">
        <f>IFERROR(__xludf.DUMMYFUNCTION("""COMPUTED_VALUE"""),0.0)</f>
        <v>0</v>
      </c>
    </row>
    <row r="99">
      <c r="A99" s="16" t="str">
        <f>IFERROR(__xludf.DUMMYFUNCTION("""COMPUTED_VALUE"""),"4ef829b74ddfb2f550d1c5ceb22a6d68f5936dff")</f>
        <v>4ef829b74ddfb2f550d1c5ceb22a6d68f5936dff</v>
      </c>
      <c r="B99" s="16" t="str">
        <f>IFERROR(__xludf.DUMMYFUNCTION("""COMPUTED_VALUE"""),"The Mad Alpha’s True Luna")</f>
        <v>The Mad Alpha’s True Luna</v>
      </c>
      <c r="C99" s="16" t="str">
        <f>IFERROR(__xludf.DUMMYFUNCTION("""COMPUTED_VALUE"""),"Romantasy")</f>
        <v>Romantasy</v>
      </c>
      <c r="D99" s="16">
        <f>IFERROR(__xludf.DUMMYFUNCTION("""COMPUTED_VALUE"""),504.0)</f>
        <v>504</v>
      </c>
      <c r="E99" s="16">
        <f>IFERROR(__xludf.DUMMYFUNCTION("""COMPUTED_VALUE"""),0.968253968253968)</f>
        <v>0.9682539683</v>
      </c>
      <c r="F99" s="16">
        <f>IFERROR(__xludf.DUMMYFUNCTION("""COMPUTED_VALUE"""),0.678571428571428)</f>
        <v>0.6785714286</v>
      </c>
      <c r="G99" s="16">
        <f>IFERROR(__xludf.DUMMYFUNCTION("""COMPUTED_VALUE"""),0.603174603174603)</f>
        <v>0.6031746032</v>
      </c>
      <c r="H99" s="16">
        <f>IFERROR(__xludf.DUMMYFUNCTION("""COMPUTED_VALUE"""),0.561507936507936)</f>
        <v>0.5615079365</v>
      </c>
      <c r="I99" s="16">
        <f>IFERROR(__xludf.DUMMYFUNCTION("""COMPUTED_VALUE"""),0.52579365079365)</f>
        <v>0.5257936508</v>
      </c>
      <c r="J99" s="16">
        <f>IFERROR(__xludf.DUMMYFUNCTION("""COMPUTED_VALUE"""),0.486973947895791)</f>
        <v>0.4869739479</v>
      </c>
      <c r="K99" s="16">
        <f>IFERROR(__xludf.DUMMYFUNCTION("""COMPUTED_VALUE"""),0.475806451612903)</f>
        <v>0.4758064516</v>
      </c>
      <c r="L99" s="16">
        <f>IFERROR(__xludf.DUMMYFUNCTION("""COMPUTED_VALUE"""),0.461368653421633)</f>
        <v>0.4613686534</v>
      </c>
      <c r="M99" s="16">
        <f>IFERROR(__xludf.DUMMYFUNCTION("""COMPUTED_VALUE"""),0.44041450777202)</f>
        <v>0.4404145078</v>
      </c>
      <c r="N99" s="16">
        <f>IFERROR(__xludf.DUMMYFUNCTION("""COMPUTED_VALUE"""),0.429042904290429)</f>
        <v>0.4290429043</v>
      </c>
      <c r="O99" s="16">
        <f>IFERROR(__xludf.DUMMYFUNCTION("""COMPUTED_VALUE"""),0.545454545454545)</f>
        <v>0.5454545455</v>
      </c>
      <c r="P99" s="16">
        <f>IFERROR(__xludf.DUMMYFUNCTION("""COMPUTED_VALUE"""),0.4)</f>
        <v>0.4</v>
      </c>
      <c r="Q99" s="16">
        <f>IFERROR(__xludf.DUMMYFUNCTION("""COMPUTED_VALUE"""),0.0)</f>
        <v>0</v>
      </c>
      <c r="R99" s="16">
        <f>IFERROR(__xludf.DUMMYFUNCTION("""COMPUTED_VALUE"""),0.0)</f>
        <v>0</v>
      </c>
      <c r="S99" s="16">
        <f>IFERROR(__xludf.DUMMYFUNCTION("""COMPUTED_VALUE"""),0.0)</f>
        <v>0</v>
      </c>
      <c r="T99" s="16">
        <f>IFERROR(__xludf.DUMMYFUNCTION("""COMPUTED_VALUE"""),0.0)</f>
        <v>0</v>
      </c>
      <c r="U99" s="16">
        <f>IFERROR(__xludf.DUMMYFUNCTION("""COMPUTED_VALUE"""),0.0)</f>
        <v>0</v>
      </c>
      <c r="V99" s="16">
        <f>IFERROR(__xludf.DUMMYFUNCTION("""COMPUTED_VALUE"""),0.0)</f>
        <v>0</v>
      </c>
      <c r="W99" s="16">
        <f>IFERROR(__xludf.DUMMYFUNCTION("""COMPUTED_VALUE"""),0.0)</f>
        <v>0</v>
      </c>
      <c r="X99" s="16">
        <f>IFERROR(__xludf.DUMMYFUNCTION("""COMPUTED_VALUE"""),0.0)</f>
        <v>0</v>
      </c>
      <c r="Y99" s="16">
        <f>IFERROR(__xludf.DUMMYFUNCTION("""COMPUTED_VALUE"""),0.0)</f>
        <v>0</v>
      </c>
      <c r="Z99" s="16">
        <f>IFERROR(__xludf.DUMMYFUNCTION("""COMPUTED_VALUE"""),0.0)</f>
        <v>0</v>
      </c>
      <c r="AA99" s="16">
        <f>IFERROR(__xludf.DUMMYFUNCTION("""COMPUTED_VALUE"""),0.0)</f>
        <v>0</v>
      </c>
      <c r="AB99" s="16">
        <f>IFERROR(__xludf.DUMMYFUNCTION("""COMPUTED_VALUE"""),0.0)</f>
        <v>0</v>
      </c>
      <c r="AC99" s="16">
        <f>IFERROR(__xludf.DUMMYFUNCTION("""COMPUTED_VALUE"""),0.0)</f>
        <v>0</v>
      </c>
      <c r="AD99" s="16">
        <f>IFERROR(__xludf.DUMMYFUNCTION("""COMPUTED_VALUE"""),0.0)</f>
        <v>0</v>
      </c>
      <c r="AE99" s="16">
        <f>IFERROR(__xludf.DUMMYFUNCTION("""COMPUTED_VALUE"""),0.0)</f>
        <v>0</v>
      </c>
      <c r="AF99" s="16">
        <f>IFERROR(__xludf.DUMMYFUNCTION("""COMPUTED_VALUE"""),0.0)</f>
        <v>0</v>
      </c>
      <c r="AG99" s="16">
        <f>IFERROR(__xludf.DUMMYFUNCTION("""COMPUTED_VALUE"""),0.0)</f>
        <v>0</v>
      </c>
      <c r="AH99" s="16">
        <f>IFERROR(__xludf.DUMMYFUNCTION("""COMPUTED_VALUE"""),0.0)</f>
        <v>0</v>
      </c>
    </row>
    <row r="100">
      <c r="A100" s="16" t="str">
        <f>IFERROR(__xludf.DUMMYFUNCTION("""COMPUTED_VALUE"""),"4fed71af64877bcaf79252f171bf022a3b80e926")</f>
        <v>4fed71af64877bcaf79252f171bf022a3b80e926</v>
      </c>
      <c r="B100" s="16" t="str">
        <f>IFERROR(__xludf.DUMMYFUNCTION("""COMPUTED_VALUE"""),"Doomsday Hoarder")</f>
        <v>Doomsday Hoarder</v>
      </c>
      <c r="C100" s="16" t="str">
        <f>IFERROR(__xludf.DUMMYFUNCTION("""COMPUTED_VALUE"""),"Fantasy")</f>
        <v>Fantasy</v>
      </c>
      <c r="D100" s="16">
        <f>IFERROR(__xludf.DUMMYFUNCTION("""COMPUTED_VALUE"""),17.0)</f>
        <v>17</v>
      </c>
      <c r="E100" s="16">
        <f>IFERROR(__xludf.DUMMYFUNCTION("""COMPUTED_VALUE"""),0.823529411764705)</f>
        <v>0.8235294118</v>
      </c>
      <c r="F100" s="16">
        <f>IFERROR(__xludf.DUMMYFUNCTION("""COMPUTED_VALUE"""),0.647058823529411)</f>
        <v>0.6470588235</v>
      </c>
      <c r="G100" s="16">
        <f>IFERROR(__xludf.DUMMYFUNCTION("""COMPUTED_VALUE"""),0.647058823529411)</f>
        <v>0.6470588235</v>
      </c>
      <c r="H100" s="16">
        <f>IFERROR(__xludf.DUMMYFUNCTION("""COMPUTED_VALUE"""),0.647058823529411)</f>
        <v>0.6470588235</v>
      </c>
      <c r="I100" s="16">
        <f>IFERROR(__xludf.DUMMYFUNCTION("""COMPUTED_VALUE"""),0.647058823529411)</f>
        <v>0.6470588235</v>
      </c>
      <c r="J100" s="16">
        <f>IFERROR(__xludf.DUMMYFUNCTION("""COMPUTED_VALUE"""),0.588235294117647)</f>
        <v>0.5882352941</v>
      </c>
      <c r="K100" s="16">
        <f>IFERROR(__xludf.DUMMYFUNCTION("""COMPUTED_VALUE"""),0.588235294117647)</f>
        <v>0.5882352941</v>
      </c>
      <c r="L100" s="16">
        <f>IFERROR(__xludf.DUMMYFUNCTION("""COMPUTED_VALUE"""),0.588235294117647)</f>
        <v>0.5882352941</v>
      </c>
      <c r="M100" s="16">
        <f>IFERROR(__xludf.DUMMYFUNCTION("""COMPUTED_VALUE"""),0.529411764705882)</f>
        <v>0.5294117647</v>
      </c>
      <c r="N100" s="16">
        <f>IFERROR(__xludf.DUMMYFUNCTION("""COMPUTED_VALUE"""),0.529411764705882)</f>
        <v>0.5294117647</v>
      </c>
      <c r="O100" s="16">
        <f>IFERROR(__xludf.DUMMYFUNCTION("""COMPUTED_VALUE"""),0.352941176470588)</f>
        <v>0.3529411765</v>
      </c>
      <c r="P100" s="16">
        <f>IFERROR(__xludf.DUMMYFUNCTION("""COMPUTED_VALUE"""),0.235294117647058)</f>
        <v>0.2352941176</v>
      </c>
      <c r="Q100" s="16">
        <f>IFERROR(__xludf.DUMMYFUNCTION("""COMPUTED_VALUE"""),0.25)</f>
        <v>0.25</v>
      </c>
      <c r="R100" s="16">
        <f>IFERROR(__xludf.DUMMYFUNCTION("""COMPUTED_VALUE"""),0.0)</f>
        <v>0</v>
      </c>
      <c r="S100" s="16">
        <f>IFERROR(__xludf.DUMMYFUNCTION("""COMPUTED_VALUE"""),0.0)</f>
        <v>0</v>
      </c>
      <c r="T100" s="16">
        <f>IFERROR(__xludf.DUMMYFUNCTION("""COMPUTED_VALUE"""),0.0)</f>
        <v>0</v>
      </c>
      <c r="U100" s="16">
        <f>IFERROR(__xludf.DUMMYFUNCTION("""COMPUTED_VALUE"""),0.0)</f>
        <v>0</v>
      </c>
      <c r="V100" s="16">
        <f>IFERROR(__xludf.DUMMYFUNCTION("""COMPUTED_VALUE"""),0.0)</f>
        <v>0</v>
      </c>
      <c r="W100" s="16">
        <f>IFERROR(__xludf.DUMMYFUNCTION("""COMPUTED_VALUE"""),0.0)</f>
        <v>0</v>
      </c>
      <c r="X100" s="16">
        <f>IFERROR(__xludf.DUMMYFUNCTION("""COMPUTED_VALUE"""),0.0)</f>
        <v>0</v>
      </c>
      <c r="Y100" s="16">
        <f>IFERROR(__xludf.DUMMYFUNCTION("""COMPUTED_VALUE"""),0.0)</f>
        <v>0</v>
      </c>
      <c r="Z100" s="16">
        <f>IFERROR(__xludf.DUMMYFUNCTION("""COMPUTED_VALUE"""),0.0)</f>
        <v>0</v>
      </c>
      <c r="AA100" s="16">
        <f>IFERROR(__xludf.DUMMYFUNCTION("""COMPUTED_VALUE"""),0.0)</f>
        <v>0</v>
      </c>
      <c r="AB100" s="16">
        <f>IFERROR(__xludf.DUMMYFUNCTION("""COMPUTED_VALUE"""),0.0)</f>
        <v>0</v>
      </c>
      <c r="AC100" s="16">
        <f>IFERROR(__xludf.DUMMYFUNCTION("""COMPUTED_VALUE"""),0.0)</f>
        <v>0</v>
      </c>
      <c r="AD100" s="16">
        <f>IFERROR(__xludf.DUMMYFUNCTION("""COMPUTED_VALUE"""),0.0)</f>
        <v>0</v>
      </c>
      <c r="AE100" s="16">
        <f>IFERROR(__xludf.DUMMYFUNCTION("""COMPUTED_VALUE"""),0.0)</f>
        <v>0</v>
      </c>
      <c r="AF100" s="16">
        <f>IFERROR(__xludf.DUMMYFUNCTION("""COMPUTED_VALUE"""),0.0)</f>
        <v>0</v>
      </c>
      <c r="AG100" s="16">
        <f>IFERROR(__xludf.DUMMYFUNCTION("""COMPUTED_VALUE"""),0.0)</f>
        <v>0</v>
      </c>
      <c r="AH100" s="16">
        <f>IFERROR(__xludf.DUMMYFUNCTION("""COMPUTED_VALUE"""),0.0)</f>
        <v>0</v>
      </c>
    </row>
    <row r="101">
      <c r="A101" s="16" t="str">
        <f>IFERROR(__xludf.DUMMYFUNCTION("""COMPUTED_VALUE"""),"514efd834428337923e640a1254ea9d7477b18b3")</f>
        <v>514efd834428337923e640a1254ea9d7477b18b3</v>
      </c>
      <c r="B101" s="16" t="str">
        <f>IFERROR(__xludf.DUMMYFUNCTION("""COMPUTED_VALUE"""),"Bride of a Dragon")</f>
        <v>Bride of a Dragon</v>
      </c>
      <c r="C101" s="16" t="str">
        <f>IFERROR(__xludf.DUMMYFUNCTION("""COMPUTED_VALUE"""),"Romantasy")</f>
        <v>Romantasy</v>
      </c>
      <c r="D101" s="16">
        <f>IFERROR(__xludf.DUMMYFUNCTION("""COMPUTED_VALUE"""),3234.0)</f>
        <v>3234</v>
      </c>
      <c r="E101" s="16">
        <f>IFERROR(__xludf.DUMMYFUNCTION("""COMPUTED_VALUE"""),0.951144094001236)</f>
        <v>0.951144094</v>
      </c>
      <c r="F101" s="16">
        <f>IFERROR(__xludf.DUMMYFUNCTION("""COMPUTED_VALUE"""),0.69882498453927)</f>
        <v>0.6988249845</v>
      </c>
      <c r="G101" s="16">
        <f>IFERROR(__xludf.DUMMYFUNCTION("""COMPUTED_VALUE"""),0.658317872603586)</f>
        <v>0.6583178726</v>
      </c>
      <c r="H101" s="16">
        <f>IFERROR(__xludf.DUMMYFUNCTION("""COMPUTED_VALUE"""),0.61873840445269)</f>
        <v>0.6187384045</v>
      </c>
      <c r="I101" s="16">
        <f>IFERROR(__xludf.DUMMYFUNCTION("""COMPUTED_VALUE"""),0.600803957946815)</f>
        <v>0.6008039579</v>
      </c>
      <c r="J101" s="16">
        <f>IFERROR(__xludf.DUMMYFUNCTION("""COMPUTED_VALUE"""),0.572268647477561)</f>
        <v>0.5722686475</v>
      </c>
      <c r="K101" s="16">
        <f>IFERROR(__xludf.DUMMYFUNCTION("""COMPUTED_VALUE"""),0.564745972738537)</f>
        <v>0.5647459727</v>
      </c>
      <c r="L101" s="16">
        <f>IFERROR(__xludf.DUMMYFUNCTION("""COMPUTED_VALUE"""),0.548708372237784)</f>
        <v>0.5487083722</v>
      </c>
      <c r="M101" s="16">
        <f>IFERROR(__xludf.DUMMYFUNCTION("""COMPUTED_VALUE"""),0.536737235367372)</f>
        <v>0.5367372354</v>
      </c>
      <c r="N101" s="16">
        <f>IFERROR(__xludf.DUMMYFUNCTION("""COMPUTED_VALUE"""),0.526217228464419)</f>
        <v>0.5262172285</v>
      </c>
      <c r="O101" s="16">
        <f>IFERROR(__xludf.DUMMYFUNCTION("""COMPUTED_VALUE"""),0.483042789223454)</f>
        <v>0.4830427892</v>
      </c>
      <c r="P101" s="16">
        <f>IFERROR(__xludf.DUMMYFUNCTION("""COMPUTED_VALUE"""),0.449675324675324)</f>
        <v>0.4496753247</v>
      </c>
      <c r="Q101" s="16">
        <f>IFERROR(__xludf.DUMMYFUNCTION("""COMPUTED_VALUE"""),0.404878048780487)</f>
        <v>0.4048780488</v>
      </c>
      <c r="R101" s="16">
        <f>IFERROR(__xludf.DUMMYFUNCTION("""COMPUTED_VALUE"""),0.365013774104683)</f>
        <v>0.3650137741</v>
      </c>
      <c r="S101" s="16">
        <f>IFERROR(__xludf.DUMMYFUNCTION("""COMPUTED_VALUE"""),0.314705882352941)</f>
        <v>0.3147058824</v>
      </c>
      <c r="T101" s="16">
        <f>IFERROR(__xludf.DUMMYFUNCTION("""COMPUTED_VALUE"""),0.133663366336633)</f>
        <v>0.1336633663</v>
      </c>
      <c r="U101" s="16">
        <f>IFERROR(__xludf.DUMMYFUNCTION("""COMPUTED_VALUE"""),0.131578947368421)</f>
        <v>0.1315789474</v>
      </c>
      <c r="V101" s="16">
        <f>IFERROR(__xludf.DUMMYFUNCTION("""COMPUTED_VALUE"""),0.0)</f>
        <v>0</v>
      </c>
      <c r="W101" s="16">
        <f>IFERROR(__xludf.DUMMYFUNCTION("""COMPUTED_VALUE"""),0.0)</f>
        <v>0</v>
      </c>
      <c r="X101" s="16">
        <f>IFERROR(__xludf.DUMMYFUNCTION("""COMPUTED_VALUE"""),0.0)</f>
        <v>0</v>
      </c>
      <c r="Y101" s="16">
        <f>IFERROR(__xludf.DUMMYFUNCTION("""COMPUTED_VALUE"""),0.0)</f>
        <v>0</v>
      </c>
      <c r="Z101" s="16">
        <f>IFERROR(__xludf.DUMMYFUNCTION("""COMPUTED_VALUE"""),0.0)</f>
        <v>0</v>
      </c>
      <c r="AA101" s="16">
        <f>IFERROR(__xludf.DUMMYFUNCTION("""COMPUTED_VALUE"""),0.0)</f>
        <v>0</v>
      </c>
      <c r="AB101" s="16">
        <f>IFERROR(__xludf.DUMMYFUNCTION("""COMPUTED_VALUE"""),0.0)</f>
        <v>0</v>
      </c>
      <c r="AC101" s="16">
        <f>IFERROR(__xludf.DUMMYFUNCTION("""COMPUTED_VALUE"""),0.0)</f>
        <v>0</v>
      </c>
      <c r="AD101" s="16">
        <f>IFERROR(__xludf.DUMMYFUNCTION("""COMPUTED_VALUE"""),0.0)</f>
        <v>0</v>
      </c>
      <c r="AE101" s="16">
        <f>IFERROR(__xludf.DUMMYFUNCTION("""COMPUTED_VALUE"""),0.0)</f>
        <v>0</v>
      </c>
      <c r="AF101" s="16">
        <f>IFERROR(__xludf.DUMMYFUNCTION("""COMPUTED_VALUE"""),0.0)</f>
        <v>0</v>
      </c>
      <c r="AG101" s="16">
        <f>IFERROR(__xludf.DUMMYFUNCTION("""COMPUTED_VALUE"""),0.0)</f>
        <v>0</v>
      </c>
      <c r="AH101" s="16">
        <f>IFERROR(__xludf.DUMMYFUNCTION("""COMPUTED_VALUE"""),0.0)</f>
        <v>0</v>
      </c>
    </row>
    <row r="102">
      <c r="A102" s="16" t="str">
        <f>IFERROR(__xludf.DUMMYFUNCTION("""COMPUTED_VALUE"""),"5269f35d5665dd7c25aa81eac9fa9e452b693897")</f>
        <v>5269f35d5665dd7c25aa81eac9fa9e452b693897</v>
      </c>
      <c r="B102" s="16" t="str">
        <f>IFERROR(__xludf.DUMMYFUNCTION("""COMPUTED_VALUE"""),"Her Royal Vampire")</f>
        <v>Her Royal Vampire</v>
      </c>
      <c r="C102" s="16" t="str">
        <f>IFERROR(__xludf.DUMMYFUNCTION("""COMPUTED_VALUE"""),"Romantasy")</f>
        <v>Romantasy</v>
      </c>
      <c r="D102" s="16">
        <f>IFERROR(__xludf.DUMMYFUNCTION("""COMPUTED_VALUE"""),966.0)</f>
        <v>966</v>
      </c>
      <c r="E102" s="16">
        <f>IFERROR(__xludf.DUMMYFUNCTION("""COMPUTED_VALUE"""),0.96687370600414)</f>
        <v>0.966873706</v>
      </c>
      <c r="F102" s="16">
        <f>IFERROR(__xludf.DUMMYFUNCTION("""COMPUTED_VALUE"""),0.642857142857142)</f>
        <v>0.6428571429</v>
      </c>
      <c r="G102" s="16">
        <f>IFERROR(__xludf.DUMMYFUNCTION("""COMPUTED_VALUE"""),0.572463768115942)</f>
        <v>0.5724637681</v>
      </c>
      <c r="H102" s="16">
        <f>IFERROR(__xludf.DUMMYFUNCTION("""COMPUTED_VALUE"""),0.530020703933747)</f>
        <v>0.5300207039</v>
      </c>
      <c r="I102" s="16">
        <f>IFERROR(__xludf.DUMMYFUNCTION("""COMPUTED_VALUE"""),0.491718426501035)</f>
        <v>0.4917184265</v>
      </c>
      <c r="J102" s="16">
        <f>IFERROR(__xludf.DUMMYFUNCTION("""COMPUTED_VALUE"""),0.475103734439834)</f>
        <v>0.4751037344</v>
      </c>
      <c r="K102" s="16">
        <f>IFERROR(__xludf.DUMMYFUNCTION("""COMPUTED_VALUE"""),0.463692946058091)</f>
        <v>0.4636929461</v>
      </c>
      <c r="L102" s="16">
        <f>IFERROR(__xludf.DUMMYFUNCTION("""COMPUTED_VALUE"""),0.457856399583766)</f>
        <v>0.4578563996</v>
      </c>
      <c r="M102" s="16">
        <f>IFERROR(__xludf.DUMMYFUNCTION("""COMPUTED_VALUE"""),0.443288241415192)</f>
        <v>0.4432882414</v>
      </c>
      <c r="N102" s="16">
        <f>IFERROR(__xludf.DUMMYFUNCTION("""COMPUTED_VALUE"""),0.420833333333333)</f>
        <v>0.4208333333</v>
      </c>
      <c r="O102" s="16">
        <f>IFERROR(__xludf.DUMMYFUNCTION("""COMPUTED_VALUE"""),0.374458874458874)</f>
        <v>0.3744588745</v>
      </c>
      <c r="P102" s="16">
        <f>IFERROR(__xludf.DUMMYFUNCTION("""COMPUTED_VALUE"""),0.275442477876106)</f>
        <v>0.2754424779</v>
      </c>
      <c r="Q102" s="16">
        <f>IFERROR(__xludf.DUMMYFUNCTION("""COMPUTED_VALUE"""),0.189453125)</f>
        <v>0.189453125</v>
      </c>
      <c r="R102" s="16">
        <f>IFERROR(__xludf.DUMMYFUNCTION("""COMPUTED_VALUE"""),0.103092783505154)</f>
        <v>0.1030927835</v>
      </c>
      <c r="S102" s="16">
        <f>IFERROR(__xludf.DUMMYFUNCTION("""COMPUTED_VALUE"""),0.125)</f>
        <v>0.125</v>
      </c>
      <c r="T102" s="16">
        <f>IFERROR(__xludf.DUMMYFUNCTION("""COMPUTED_VALUE"""),0.032258064516129)</f>
        <v>0.03225806452</v>
      </c>
      <c r="U102" s="16">
        <f>IFERROR(__xludf.DUMMYFUNCTION("""COMPUTED_VALUE"""),0.0909090909090909)</f>
        <v>0.09090909091</v>
      </c>
      <c r="V102" s="16">
        <f>IFERROR(__xludf.DUMMYFUNCTION("""COMPUTED_VALUE"""),0.0)</f>
        <v>0</v>
      </c>
      <c r="W102" s="16">
        <f>IFERROR(__xludf.DUMMYFUNCTION("""COMPUTED_VALUE"""),0.0)</f>
        <v>0</v>
      </c>
      <c r="X102" s="16">
        <f>IFERROR(__xludf.DUMMYFUNCTION("""COMPUTED_VALUE"""),0.0)</f>
        <v>0</v>
      </c>
      <c r="Y102" s="16">
        <f>IFERROR(__xludf.DUMMYFUNCTION("""COMPUTED_VALUE"""),0.0)</f>
        <v>0</v>
      </c>
      <c r="Z102" s="16">
        <f>IFERROR(__xludf.DUMMYFUNCTION("""COMPUTED_VALUE"""),0.0)</f>
        <v>0</v>
      </c>
      <c r="AA102" s="16">
        <f>IFERROR(__xludf.DUMMYFUNCTION("""COMPUTED_VALUE"""),0.0)</f>
        <v>0</v>
      </c>
      <c r="AB102" s="16">
        <f>IFERROR(__xludf.DUMMYFUNCTION("""COMPUTED_VALUE"""),0.0)</f>
        <v>0</v>
      </c>
      <c r="AC102" s="16">
        <f>IFERROR(__xludf.DUMMYFUNCTION("""COMPUTED_VALUE"""),0.0)</f>
        <v>0</v>
      </c>
      <c r="AD102" s="16">
        <f>IFERROR(__xludf.DUMMYFUNCTION("""COMPUTED_VALUE"""),0.0)</f>
        <v>0</v>
      </c>
      <c r="AE102" s="16">
        <f>IFERROR(__xludf.DUMMYFUNCTION("""COMPUTED_VALUE"""),0.0)</f>
        <v>0</v>
      </c>
      <c r="AF102" s="16">
        <f>IFERROR(__xludf.DUMMYFUNCTION("""COMPUTED_VALUE"""),0.0)</f>
        <v>0</v>
      </c>
      <c r="AG102" s="16">
        <f>IFERROR(__xludf.DUMMYFUNCTION("""COMPUTED_VALUE"""),0.0)</f>
        <v>0</v>
      </c>
      <c r="AH102" s="16">
        <f>IFERROR(__xludf.DUMMYFUNCTION("""COMPUTED_VALUE"""),0.0)</f>
        <v>0</v>
      </c>
    </row>
    <row r="103">
      <c r="A103" s="16" t="str">
        <f>IFERROR(__xludf.DUMMYFUNCTION("""COMPUTED_VALUE"""),"5276da779c8fe48836102d34eea2143d4421865c")</f>
        <v>5276da779c8fe48836102d34eea2143d4421865c</v>
      </c>
      <c r="B103" s="16" t="str">
        <f>IFERROR(__xludf.DUMMYFUNCTION("""COMPUTED_VALUE"""),"The Single Father's Surrender")</f>
        <v>The Single Father's Surrender</v>
      </c>
      <c r="C103" s="16" t="str">
        <f>IFERROR(__xludf.DUMMYFUNCTION("""COMPUTED_VALUE"""),"Romance")</f>
        <v>Romance</v>
      </c>
      <c r="D103" s="16">
        <f>IFERROR(__xludf.DUMMYFUNCTION("""COMPUTED_VALUE"""),353.0)</f>
        <v>353</v>
      </c>
      <c r="E103" s="16">
        <f>IFERROR(__xludf.DUMMYFUNCTION("""COMPUTED_VALUE"""),0.971671388101983)</f>
        <v>0.9716713881</v>
      </c>
      <c r="F103" s="16">
        <f>IFERROR(__xludf.DUMMYFUNCTION("""COMPUTED_VALUE"""),0.631728045325779)</f>
        <v>0.6317280453</v>
      </c>
      <c r="G103" s="16">
        <f>IFERROR(__xludf.DUMMYFUNCTION("""COMPUTED_VALUE"""),0.552407932011331)</f>
        <v>0.552407932</v>
      </c>
      <c r="H103" s="16">
        <f>IFERROR(__xludf.DUMMYFUNCTION("""COMPUTED_VALUE"""),0.481586402266288)</f>
        <v>0.4815864023</v>
      </c>
      <c r="I103" s="16">
        <f>IFERROR(__xludf.DUMMYFUNCTION("""COMPUTED_VALUE"""),0.470254957507082)</f>
        <v>0.4702549575</v>
      </c>
      <c r="J103" s="16">
        <f>IFERROR(__xludf.DUMMYFUNCTION("""COMPUTED_VALUE"""),0.436416184971098)</f>
        <v>0.436416185</v>
      </c>
      <c r="K103" s="16">
        <f>IFERROR(__xludf.DUMMYFUNCTION("""COMPUTED_VALUE"""),0.405247813411078)</f>
        <v>0.4052478134</v>
      </c>
      <c r="L103" s="16">
        <f>IFERROR(__xludf.DUMMYFUNCTION("""COMPUTED_VALUE"""),0.407079646017699)</f>
        <v>0.407079646</v>
      </c>
      <c r="M103" s="16">
        <f>IFERROR(__xludf.DUMMYFUNCTION("""COMPUTED_VALUE"""),0.375)</f>
        <v>0.375</v>
      </c>
      <c r="N103" s="16">
        <f>IFERROR(__xludf.DUMMYFUNCTION("""COMPUTED_VALUE"""),0.377643504531722)</f>
        <v>0.3776435045</v>
      </c>
      <c r="O103" s="16">
        <f>IFERROR(__xludf.DUMMYFUNCTION("""COMPUTED_VALUE"""),0.326599326599326)</f>
        <v>0.3265993266</v>
      </c>
      <c r="P103" s="16">
        <f>IFERROR(__xludf.DUMMYFUNCTION("""COMPUTED_VALUE"""),0.272727272727272)</f>
        <v>0.2727272727</v>
      </c>
      <c r="Q103" s="16">
        <f>IFERROR(__xludf.DUMMYFUNCTION("""COMPUTED_VALUE"""),0.05)</f>
        <v>0.05</v>
      </c>
      <c r="R103" s="16">
        <f>IFERROR(__xludf.DUMMYFUNCTION("""COMPUTED_VALUE"""),0.0)</f>
        <v>0</v>
      </c>
      <c r="S103" s="16">
        <f>IFERROR(__xludf.DUMMYFUNCTION("""COMPUTED_VALUE"""),0.0)</f>
        <v>0</v>
      </c>
      <c r="T103" s="16">
        <f>IFERROR(__xludf.DUMMYFUNCTION("""COMPUTED_VALUE"""),0.0)</f>
        <v>0</v>
      </c>
      <c r="U103" s="16">
        <f>IFERROR(__xludf.DUMMYFUNCTION("""COMPUTED_VALUE"""),0.0)</f>
        <v>0</v>
      </c>
      <c r="V103" s="16">
        <f>IFERROR(__xludf.DUMMYFUNCTION("""COMPUTED_VALUE"""),0.0)</f>
        <v>0</v>
      </c>
      <c r="W103" s="16">
        <f>IFERROR(__xludf.DUMMYFUNCTION("""COMPUTED_VALUE"""),0.0)</f>
        <v>0</v>
      </c>
      <c r="X103" s="16">
        <f>IFERROR(__xludf.DUMMYFUNCTION("""COMPUTED_VALUE"""),0.0)</f>
        <v>0</v>
      </c>
      <c r="Y103" s="16">
        <f>IFERROR(__xludf.DUMMYFUNCTION("""COMPUTED_VALUE"""),0.0)</f>
        <v>0</v>
      </c>
      <c r="Z103" s="16">
        <f>IFERROR(__xludf.DUMMYFUNCTION("""COMPUTED_VALUE"""),0.0)</f>
        <v>0</v>
      </c>
      <c r="AA103" s="16">
        <f>IFERROR(__xludf.DUMMYFUNCTION("""COMPUTED_VALUE"""),0.0)</f>
        <v>0</v>
      </c>
      <c r="AB103" s="16">
        <f>IFERROR(__xludf.DUMMYFUNCTION("""COMPUTED_VALUE"""),0.0)</f>
        <v>0</v>
      </c>
      <c r="AC103" s="16">
        <f>IFERROR(__xludf.DUMMYFUNCTION("""COMPUTED_VALUE"""),0.0)</f>
        <v>0</v>
      </c>
      <c r="AD103" s="16">
        <f>IFERROR(__xludf.DUMMYFUNCTION("""COMPUTED_VALUE"""),0.0)</f>
        <v>0</v>
      </c>
      <c r="AE103" s="16">
        <f>IFERROR(__xludf.DUMMYFUNCTION("""COMPUTED_VALUE"""),0.0)</f>
        <v>0</v>
      </c>
      <c r="AF103" s="16">
        <f>IFERROR(__xludf.DUMMYFUNCTION("""COMPUTED_VALUE"""),0.0)</f>
        <v>0</v>
      </c>
      <c r="AG103" s="16">
        <f>IFERROR(__xludf.DUMMYFUNCTION("""COMPUTED_VALUE"""),0.0)</f>
        <v>0</v>
      </c>
      <c r="AH103" s="16">
        <f>IFERROR(__xludf.DUMMYFUNCTION("""COMPUTED_VALUE"""),0.0)</f>
        <v>0</v>
      </c>
    </row>
    <row r="104">
      <c r="A104" s="16" t="str">
        <f>IFERROR(__xludf.DUMMYFUNCTION("""COMPUTED_VALUE"""),"53bd90147df4228136243c0a218345e3a338b8c1")</f>
        <v>53bd90147df4228136243c0a218345e3a338b8c1</v>
      </c>
      <c r="B104" s="16" t="str">
        <f>IFERROR(__xludf.DUMMYFUNCTION("""COMPUTED_VALUE"""),"His Abandoned Wife")</f>
        <v>His Abandoned Wife</v>
      </c>
      <c r="C104" s="16" t="str">
        <f>IFERROR(__xludf.DUMMYFUNCTION("""COMPUTED_VALUE"""),"Romance")</f>
        <v>Romance</v>
      </c>
      <c r="D104" s="16">
        <f>IFERROR(__xludf.DUMMYFUNCTION("""COMPUTED_VALUE"""),39.0)</f>
        <v>39</v>
      </c>
      <c r="E104" s="16">
        <f>IFERROR(__xludf.DUMMYFUNCTION("""COMPUTED_VALUE"""),1.0)</f>
        <v>1</v>
      </c>
      <c r="F104" s="16">
        <f>IFERROR(__xludf.DUMMYFUNCTION("""COMPUTED_VALUE"""),0.564102564102564)</f>
        <v>0.5641025641</v>
      </c>
      <c r="G104" s="16">
        <f>IFERROR(__xludf.DUMMYFUNCTION("""COMPUTED_VALUE"""),0.512820512820512)</f>
        <v>0.5128205128</v>
      </c>
      <c r="H104" s="16">
        <f>IFERROR(__xludf.DUMMYFUNCTION("""COMPUTED_VALUE"""),0.435897435897435)</f>
        <v>0.4358974359</v>
      </c>
      <c r="I104" s="16">
        <f>IFERROR(__xludf.DUMMYFUNCTION("""COMPUTED_VALUE"""),0.384615384615384)</f>
        <v>0.3846153846</v>
      </c>
      <c r="J104" s="16">
        <f>IFERROR(__xludf.DUMMYFUNCTION("""COMPUTED_VALUE"""),0.4375)</f>
        <v>0.4375</v>
      </c>
      <c r="K104" s="16">
        <f>IFERROR(__xludf.DUMMYFUNCTION("""COMPUTED_VALUE"""),0.333333333333333)</f>
        <v>0.3333333333</v>
      </c>
      <c r="L104" s="16">
        <f>IFERROR(__xludf.DUMMYFUNCTION("""COMPUTED_VALUE"""),0.333333333333333)</f>
        <v>0.3333333333</v>
      </c>
      <c r="M104" s="16">
        <f>IFERROR(__xludf.DUMMYFUNCTION("""COMPUTED_VALUE"""),0.333333333333333)</f>
        <v>0.3333333333</v>
      </c>
      <c r="N104" s="16">
        <f>IFERROR(__xludf.DUMMYFUNCTION("""COMPUTED_VALUE"""),0.133333333333333)</f>
        <v>0.1333333333</v>
      </c>
      <c r="O104" s="16">
        <f>IFERROR(__xludf.DUMMYFUNCTION("""COMPUTED_VALUE"""),0.285714285714285)</f>
        <v>0.2857142857</v>
      </c>
      <c r="P104" s="16">
        <f>IFERROR(__xludf.DUMMYFUNCTION("""COMPUTED_VALUE"""),0.333333333333333)</f>
        <v>0.3333333333</v>
      </c>
      <c r="Q104" s="16">
        <f>IFERROR(__xludf.DUMMYFUNCTION("""COMPUTED_VALUE"""),0.0)</f>
        <v>0</v>
      </c>
      <c r="R104" s="16">
        <f>IFERROR(__xludf.DUMMYFUNCTION("""COMPUTED_VALUE"""),0.0)</f>
        <v>0</v>
      </c>
      <c r="S104" s="16">
        <f>IFERROR(__xludf.DUMMYFUNCTION("""COMPUTED_VALUE"""),0.0)</f>
        <v>0</v>
      </c>
      <c r="T104" s="16">
        <f>IFERROR(__xludf.DUMMYFUNCTION("""COMPUTED_VALUE"""),0.0)</f>
        <v>0</v>
      </c>
      <c r="U104" s="16">
        <f>IFERROR(__xludf.DUMMYFUNCTION("""COMPUTED_VALUE"""),0.0)</f>
        <v>0</v>
      </c>
      <c r="V104" s="16">
        <f>IFERROR(__xludf.DUMMYFUNCTION("""COMPUTED_VALUE"""),0.0)</f>
        <v>0</v>
      </c>
      <c r="W104" s="16">
        <f>IFERROR(__xludf.DUMMYFUNCTION("""COMPUTED_VALUE"""),0.0)</f>
        <v>0</v>
      </c>
      <c r="X104" s="16">
        <f>IFERROR(__xludf.DUMMYFUNCTION("""COMPUTED_VALUE"""),0.0)</f>
        <v>0</v>
      </c>
      <c r="Y104" s="16">
        <f>IFERROR(__xludf.DUMMYFUNCTION("""COMPUTED_VALUE"""),0.0)</f>
        <v>0</v>
      </c>
      <c r="Z104" s="16">
        <f>IFERROR(__xludf.DUMMYFUNCTION("""COMPUTED_VALUE"""),0.0)</f>
        <v>0</v>
      </c>
      <c r="AA104" s="16">
        <f>IFERROR(__xludf.DUMMYFUNCTION("""COMPUTED_VALUE"""),0.0)</f>
        <v>0</v>
      </c>
      <c r="AB104" s="16">
        <f>IFERROR(__xludf.DUMMYFUNCTION("""COMPUTED_VALUE"""),0.0)</f>
        <v>0</v>
      </c>
      <c r="AC104" s="16">
        <f>IFERROR(__xludf.DUMMYFUNCTION("""COMPUTED_VALUE"""),0.0)</f>
        <v>0</v>
      </c>
      <c r="AD104" s="16">
        <f>IFERROR(__xludf.DUMMYFUNCTION("""COMPUTED_VALUE"""),0.0)</f>
        <v>0</v>
      </c>
      <c r="AE104" s="16">
        <f>IFERROR(__xludf.DUMMYFUNCTION("""COMPUTED_VALUE"""),0.0)</f>
        <v>0</v>
      </c>
      <c r="AF104" s="16">
        <f>IFERROR(__xludf.DUMMYFUNCTION("""COMPUTED_VALUE"""),0.0)</f>
        <v>0</v>
      </c>
      <c r="AG104" s="16">
        <f>IFERROR(__xludf.DUMMYFUNCTION("""COMPUTED_VALUE"""),0.0)</f>
        <v>0</v>
      </c>
      <c r="AH104" s="16">
        <f>IFERROR(__xludf.DUMMYFUNCTION("""COMPUTED_VALUE"""),0.0)</f>
        <v>0</v>
      </c>
    </row>
    <row r="105">
      <c r="A105" s="16" t="str">
        <f>IFERROR(__xludf.DUMMYFUNCTION("""COMPUTED_VALUE"""),"54a2cb963cd2e93491b9f03d9cf379ed72d3271f")</f>
        <v>54a2cb963cd2e93491b9f03d9cf379ed72d3271f</v>
      </c>
      <c r="B105" s="16" t="str">
        <f>IFERROR(__xludf.DUMMYFUNCTION("""COMPUTED_VALUE"""),"The One He Can't Break")</f>
        <v>The One He Can't Break</v>
      </c>
      <c r="C105" s="16" t="str">
        <f>IFERROR(__xludf.DUMMYFUNCTION("""COMPUTED_VALUE"""),"Romance")</f>
        <v>Romance</v>
      </c>
      <c r="D105" s="16">
        <f>IFERROR(__xludf.DUMMYFUNCTION("""COMPUTED_VALUE"""),570.0)</f>
        <v>570</v>
      </c>
      <c r="E105" s="16">
        <f>IFERROR(__xludf.DUMMYFUNCTION("""COMPUTED_VALUE"""),0.985964912280701)</f>
        <v>0.9859649123</v>
      </c>
      <c r="F105" s="16">
        <f>IFERROR(__xludf.DUMMYFUNCTION("""COMPUTED_VALUE"""),0.598245614035087)</f>
        <v>0.598245614</v>
      </c>
      <c r="G105" s="16">
        <f>IFERROR(__xludf.DUMMYFUNCTION("""COMPUTED_VALUE"""),0.526315789473684)</f>
        <v>0.5263157895</v>
      </c>
      <c r="H105" s="16">
        <f>IFERROR(__xludf.DUMMYFUNCTION("""COMPUTED_VALUE"""),0.43859649122807)</f>
        <v>0.4385964912</v>
      </c>
      <c r="I105" s="16">
        <f>IFERROR(__xludf.DUMMYFUNCTION("""COMPUTED_VALUE"""),0.419298245614035)</f>
        <v>0.4192982456</v>
      </c>
      <c r="J105" s="16">
        <f>IFERROR(__xludf.DUMMYFUNCTION("""COMPUTED_VALUE"""),0.383128295254833)</f>
        <v>0.3831282953</v>
      </c>
      <c r="K105" s="16">
        <f>IFERROR(__xludf.DUMMYFUNCTION("""COMPUTED_VALUE"""),0.363796133567662)</f>
        <v>0.3637961336</v>
      </c>
      <c r="L105" s="16">
        <f>IFERROR(__xludf.DUMMYFUNCTION("""COMPUTED_VALUE"""),0.322183098591549)</f>
        <v>0.3221830986</v>
      </c>
      <c r="M105" s="16">
        <f>IFERROR(__xludf.DUMMYFUNCTION("""COMPUTED_VALUE"""),0.309859154929577)</f>
        <v>0.3098591549</v>
      </c>
      <c r="N105" s="16">
        <f>IFERROR(__xludf.DUMMYFUNCTION("""COMPUTED_VALUE"""),0.281138790035587)</f>
        <v>0.28113879</v>
      </c>
      <c r="O105" s="16">
        <f>IFERROR(__xludf.DUMMYFUNCTION("""COMPUTED_VALUE"""),0.202453987730061)</f>
        <v>0.2024539877</v>
      </c>
      <c r="P105" s="16">
        <f>IFERROR(__xludf.DUMMYFUNCTION("""COMPUTED_VALUE"""),0.167701863354037)</f>
        <v>0.1677018634</v>
      </c>
      <c r="Q105" s="16">
        <f>IFERROR(__xludf.DUMMYFUNCTION("""COMPUTED_VALUE"""),0.10958904109589)</f>
        <v>0.1095890411</v>
      </c>
      <c r="R105" s="16">
        <f>IFERROR(__xludf.DUMMYFUNCTION("""COMPUTED_VALUE"""),0.0987654320987654)</f>
        <v>0.0987654321</v>
      </c>
      <c r="S105" s="16">
        <f>IFERROR(__xludf.DUMMYFUNCTION("""COMPUTED_VALUE"""),0.105263157894736)</f>
        <v>0.1052631579</v>
      </c>
      <c r="T105" s="16">
        <f>IFERROR(__xludf.DUMMYFUNCTION("""COMPUTED_VALUE"""),0.0)</f>
        <v>0</v>
      </c>
      <c r="U105" s="16">
        <f>IFERROR(__xludf.DUMMYFUNCTION("""COMPUTED_VALUE"""),0.0)</f>
        <v>0</v>
      </c>
      <c r="V105" s="16">
        <f>IFERROR(__xludf.DUMMYFUNCTION("""COMPUTED_VALUE"""),0.0)</f>
        <v>0</v>
      </c>
      <c r="W105" s="16">
        <f>IFERROR(__xludf.DUMMYFUNCTION("""COMPUTED_VALUE"""),0.0)</f>
        <v>0</v>
      </c>
      <c r="X105" s="16">
        <f>IFERROR(__xludf.DUMMYFUNCTION("""COMPUTED_VALUE"""),0.0)</f>
        <v>0</v>
      </c>
      <c r="Y105" s="16">
        <f>IFERROR(__xludf.DUMMYFUNCTION("""COMPUTED_VALUE"""),0.0)</f>
        <v>0</v>
      </c>
      <c r="Z105" s="16">
        <f>IFERROR(__xludf.DUMMYFUNCTION("""COMPUTED_VALUE"""),0.0)</f>
        <v>0</v>
      </c>
      <c r="AA105" s="16">
        <f>IFERROR(__xludf.DUMMYFUNCTION("""COMPUTED_VALUE"""),0.0)</f>
        <v>0</v>
      </c>
      <c r="AB105" s="16">
        <f>IFERROR(__xludf.DUMMYFUNCTION("""COMPUTED_VALUE"""),0.0)</f>
        <v>0</v>
      </c>
      <c r="AC105" s="16">
        <f>IFERROR(__xludf.DUMMYFUNCTION("""COMPUTED_VALUE"""),0.0)</f>
        <v>0</v>
      </c>
      <c r="AD105" s="16">
        <f>IFERROR(__xludf.DUMMYFUNCTION("""COMPUTED_VALUE"""),0.0)</f>
        <v>0</v>
      </c>
      <c r="AE105" s="16">
        <f>IFERROR(__xludf.DUMMYFUNCTION("""COMPUTED_VALUE"""),0.0)</f>
        <v>0</v>
      </c>
      <c r="AF105" s="16">
        <f>IFERROR(__xludf.DUMMYFUNCTION("""COMPUTED_VALUE"""),0.0)</f>
        <v>0</v>
      </c>
      <c r="AG105" s="16">
        <f>IFERROR(__xludf.DUMMYFUNCTION("""COMPUTED_VALUE"""),0.0)</f>
        <v>0</v>
      </c>
      <c r="AH105" s="16">
        <f>IFERROR(__xludf.DUMMYFUNCTION("""COMPUTED_VALUE"""),0.0)</f>
        <v>0</v>
      </c>
    </row>
    <row r="106">
      <c r="A106" s="16" t="str">
        <f>IFERROR(__xludf.DUMMYFUNCTION("""COMPUTED_VALUE"""),"55254a77c40862bb825ededf69a85438157d664f")</f>
        <v>55254a77c40862bb825ededf69a85438157d664f</v>
      </c>
      <c r="B106" s="16" t="str">
        <f>IFERROR(__xludf.DUMMYFUNCTION("""COMPUTED_VALUE"""),"The Billionaire With Mask")</f>
        <v>The Billionaire With Mask</v>
      </c>
      <c r="C106" s="16" t="str">
        <f>IFERROR(__xludf.DUMMYFUNCTION("""COMPUTED_VALUE"""),"Drama")</f>
        <v>Drama</v>
      </c>
      <c r="D106" s="16">
        <f>IFERROR(__xludf.DUMMYFUNCTION("""COMPUTED_VALUE"""),41.0)</f>
        <v>41</v>
      </c>
      <c r="E106" s="16">
        <f>IFERROR(__xludf.DUMMYFUNCTION("""COMPUTED_VALUE"""),0.975609756097561)</f>
        <v>0.9756097561</v>
      </c>
      <c r="F106" s="16">
        <f>IFERROR(__xludf.DUMMYFUNCTION("""COMPUTED_VALUE"""),0.560975609756097)</f>
        <v>0.5609756098</v>
      </c>
      <c r="G106" s="16">
        <f>IFERROR(__xludf.DUMMYFUNCTION("""COMPUTED_VALUE"""),0.365853658536585)</f>
        <v>0.3658536585</v>
      </c>
      <c r="H106" s="16">
        <f>IFERROR(__xludf.DUMMYFUNCTION("""COMPUTED_VALUE"""),0.390243902439024)</f>
        <v>0.3902439024</v>
      </c>
      <c r="I106" s="16">
        <f>IFERROR(__xludf.DUMMYFUNCTION("""COMPUTED_VALUE"""),0.365853658536585)</f>
        <v>0.3658536585</v>
      </c>
      <c r="J106" s="16">
        <f>IFERROR(__xludf.DUMMYFUNCTION("""COMPUTED_VALUE"""),0.341463414634146)</f>
        <v>0.3414634146</v>
      </c>
      <c r="K106" s="16">
        <f>IFERROR(__xludf.DUMMYFUNCTION("""COMPUTED_VALUE"""),0.342105263157894)</f>
        <v>0.3421052632</v>
      </c>
      <c r="L106" s="16">
        <f>IFERROR(__xludf.DUMMYFUNCTION("""COMPUTED_VALUE"""),0.342105263157894)</f>
        <v>0.3421052632</v>
      </c>
      <c r="M106" s="16">
        <f>IFERROR(__xludf.DUMMYFUNCTION("""COMPUTED_VALUE"""),0.31578947368421)</f>
        <v>0.3157894737</v>
      </c>
      <c r="N106" s="16">
        <f>IFERROR(__xludf.DUMMYFUNCTION("""COMPUTED_VALUE"""),0.31578947368421)</f>
        <v>0.3157894737</v>
      </c>
      <c r="O106" s="16">
        <f>IFERROR(__xludf.DUMMYFUNCTION("""COMPUTED_VALUE"""),0.289473684210526)</f>
        <v>0.2894736842</v>
      </c>
      <c r="P106" s="16">
        <f>IFERROR(__xludf.DUMMYFUNCTION("""COMPUTED_VALUE"""),0.235294117647058)</f>
        <v>0.2352941176</v>
      </c>
      <c r="Q106" s="16">
        <f>IFERROR(__xludf.DUMMYFUNCTION("""COMPUTED_VALUE"""),0.0833333333333333)</f>
        <v>0.08333333333</v>
      </c>
      <c r="R106" s="16">
        <f>IFERROR(__xludf.DUMMYFUNCTION("""COMPUTED_VALUE"""),0.0869565217391304)</f>
        <v>0.08695652174</v>
      </c>
      <c r="S106" s="16">
        <f>IFERROR(__xludf.DUMMYFUNCTION("""COMPUTED_VALUE"""),0.0526315789473684)</f>
        <v>0.05263157895</v>
      </c>
      <c r="T106" s="16">
        <f>IFERROR(__xludf.DUMMYFUNCTION("""COMPUTED_VALUE"""),0.0)</f>
        <v>0</v>
      </c>
      <c r="U106" s="16">
        <f>IFERROR(__xludf.DUMMYFUNCTION("""COMPUTED_VALUE"""),0.0)</f>
        <v>0</v>
      </c>
      <c r="V106" s="16">
        <f>IFERROR(__xludf.DUMMYFUNCTION("""COMPUTED_VALUE"""),0.0)</f>
        <v>0</v>
      </c>
      <c r="W106" s="16">
        <f>IFERROR(__xludf.DUMMYFUNCTION("""COMPUTED_VALUE"""),0.0)</f>
        <v>0</v>
      </c>
      <c r="X106" s="16">
        <f>IFERROR(__xludf.DUMMYFUNCTION("""COMPUTED_VALUE"""),0.0)</f>
        <v>0</v>
      </c>
      <c r="Y106" s="16">
        <f>IFERROR(__xludf.DUMMYFUNCTION("""COMPUTED_VALUE"""),0.0)</f>
        <v>0</v>
      </c>
      <c r="Z106" s="16">
        <f>IFERROR(__xludf.DUMMYFUNCTION("""COMPUTED_VALUE"""),0.0)</f>
        <v>0</v>
      </c>
      <c r="AA106" s="16">
        <f>IFERROR(__xludf.DUMMYFUNCTION("""COMPUTED_VALUE"""),0.0)</f>
        <v>0</v>
      </c>
      <c r="AB106" s="16">
        <f>IFERROR(__xludf.DUMMYFUNCTION("""COMPUTED_VALUE"""),0.0)</f>
        <v>0</v>
      </c>
      <c r="AC106" s="16">
        <f>IFERROR(__xludf.DUMMYFUNCTION("""COMPUTED_VALUE"""),0.0)</f>
        <v>0</v>
      </c>
      <c r="AD106" s="16">
        <f>IFERROR(__xludf.DUMMYFUNCTION("""COMPUTED_VALUE"""),0.0)</f>
        <v>0</v>
      </c>
      <c r="AE106" s="16">
        <f>IFERROR(__xludf.DUMMYFUNCTION("""COMPUTED_VALUE"""),0.0)</f>
        <v>0</v>
      </c>
      <c r="AF106" s="16">
        <f>IFERROR(__xludf.DUMMYFUNCTION("""COMPUTED_VALUE"""),0.0)</f>
        <v>0</v>
      </c>
      <c r="AG106" s="16">
        <f>IFERROR(__xludf.DUMMYFUNCTION("""COMPUTED_VALUE"""),0.0)</f>
        <v>0</v>
      </c>
      <c r="AH106" s="16">
        <f>IFERROR(__xludf.DUMMYFUNCTION("""COMPUTED_VALUE"""),0.0)</f>
        <v>0</v>
      </c>
    </row>
    <row r="107">
      <c r="A107" s="16" t="str">
        <f>IFERROR(__xludf.DUMMYFUNCTION("""COMPUTED_VALUE"""),"559db21e99cf5bc0720a814784386a0617e020b9")</f>
        <v>559db21e99cf5bc0720a814784386a0617e020b9</v>
      </c>
      <c r="B107" s="16" t="str">
        <f>IFERROR(__xludf.DUMMYFUNCTION("""COMPUTED_VALUE"""),"The Reborn Sovereign")</f>
        <v>The Reborn Sovereign</v>
      </c>
      <c r="C107" s="16" t="str">
        <f>IFERROR(__xludf.DUMMYFUNCTION("""COMPUTED_VALUE"""),"Fantasy")</f>
        <v>Fantasy</v>
      </c>
      <c r="D107" s="16">
        <f>IFERROR(__xludf.DUMMYFUNCTION("""COMPUTED_VALUE"""),171.0)</f>
        <v>171</v>
      </c>
      <c r="E107" s="16">
        <f>IFERROR(__xludf.DUMMYFUNCTION("""COMPUTED_VALUE"""),0.95906432748538)</f>
        <v>0.9590643275</v>
      </c>
      <c r="F107" s="16">
        <f>IFERROR(__xludf.DUMMYFUNCTION("""COMPUTED_VALUE"""),0.678362573099415)</f>
        <v>0.6783625731</v>
      </c>
      <c r="G107" s="16">
        <f>IFERROR(__xludf.DUMMYFUNCTION("""COMPUTED_VALUE"""),0.625730994152046)</f>
        <v>0.6257309942</v>
      </c>
      <c r="H107" s="16">
        <f>IFERROR(__xludf.DUMMYFUNCTION("""COMPUTED_VALUE"""),0.602339181286549)</f>
        <v>0.6023391813</v>
      </c>
      <c r="I107" s="16">
        <f>IFERROR(__xludf.DUMMYFUNCTION("""COMPUTED_VALUE"""),0.573099415204678)</f>
        <v>0.5730994152</v>
      </c>
      <c r="J107" s="16">
        <f>IFERROR(__xludf.DUMMYFUNCTION("""COMPUTED_VALUE"""),0.532544378698224)</f>
        <v>0.5325443787</v>
      </c>
      <c r="K107" s="16">
        <f>IFERROR(__xludf.DUMMYFUNCTION("""COMPUTED_VALUE"""),0.526946107784431)</f>
        <v>0.5269461078</v>
      </c>
      <c r="L107" s="16">
        <f>IFERROR(__xludf.DUMMYFUNCTION("""COMPUTED_VALUE"""),0.539877300613496)</f>
        <v>0.5398773006</v>
      </c>
      <c r="M107" s="16">
        <f>IFERROR(__xludf.DUMMYFUNCTION("""COMPUTED_VALUE"""),0.546583850931677)</f>
        <v>0.5465838509</v>
      </c>
      <c r="N107" s="16">
        <f>IFERROR(__xludf.DUMMYFUNCTION("""COMPUTED_VALUE"""),0.52258064516129)</f>
        <v>0.5225806452</v>
      </c>
      <c r="O107" s="16">
        <f>IFERROR(__xludf.DUMMYFUNCTION("""COMPUTED_VALUE"""),0.4765625)</f>
        <v>0.4765625</v>
      </c>
      <c r="P107" s="16">
        <f>IFERROR(__xludf.DUMMYFUNCTION("""COMPUTED_VALUE"""),0.361344537815126)</f>
        <v>0.3613445378</v>
      </c>
      <c r="Q107" s="16">
        <f>IFERROR(__xludf.DUMMYFUNCTION("""COMPUTED_VALUE"""),0.281818181818181)</f>
        <v>0.2818181818</v>
      </c>
      <c r="R107" s="16">
        <f>IFERROR(__xludf.DUMMYFUNCTION("""COMPUTED_VALUE"""),0.173076923076923)</f>
        <v>0.1730769231</v>
      </c>
      <c r="S107" s="16">
        <f>IFERROR(__xludf.DUMMYFUNCTION("""COMPUTED_VALUE"""),0.0930232558139534)</f>
        <v>0.09302325581</v>
      </c>
      <c r="T107" s="16">
        <f>IFERROR(__xludf.DUMMYFUNCTION("""COMPUTED_VALUE"""),0.0)</f>
        <v>0</v>
      </c>
      <c r="U107" s="16">
        <f>IFERROR(__xludf.DUMMYFUNCTION("""COMPUTED_VALUE"""),0.0)</f>
        <v>0</v>
      </c>
      <c r="V107" s="16">
        <f>IFERROR(__xludf.DUMMYFUNCTION("""COMPUTED_VALUE"""),0.0)</f>
        <v>0</v>
      </c>
      <c r="W107" s="16">
        <f>IFERROR(__xludf.DUMMYFUNCTION("""COMPUTED_VALUE"""),0.0)</f>
        <v>0</v>
      </c>
      <c r="X107" s="16">
        <f>IFERROR(__xludf.DUMMYFUNCTION("""COMPUTED_VALUE"""),0.0)</f>
        <v>0</v>
      </c>
      <c r="Y107" s="16">
        <f>IFERROR(__xludf.DUMMYFUNCTION("""COMPUTED_VALUE"""),0.0)</f>
        <v>0</v>
      </c>
      <c r="Z107" s="16">
        <f>IFERROR(__xludf.DUMMYFUNCTION("""COMPUTED_VALUE"""),0.0)</f>
        <v>0</v>
      </c>
      <c r="AA107" s="16">
        <f>IFERROR(__xludf.DUMMYFUNCTION("""COMPUTED_VALUE"""),0.0)</f>
        <v>0</v>
      </c>
      <c r="AB107" s="16">
        <f>IFERROR(__xludf.DUMMYFUNCTION("""COMPUTED_VALUE"""),0.0)</f>
        <v>0</v>
      </c>
      <c r="AC107" s="16">
        <f>IFERROR(__xludf.DUMMYFUNCTION("""COMPUTED_VALUE"""),0.0)</f>
        <v>0</v>
      </c>
      <c r="AD107" s="16">
        <f>IFERROR(__xludf.DUMMYFUNCTION("""COMPUTED_VALUE"""),0.0)</f>
        <v>0</v>
      </c>
      <c r="AE107" s="16">
        <f>IFERROR(__xludf.DUMMYFUNCTION("""COMPUTED_VALUE"""),0.0)</f>
        <v>0</v>
      </c>
      <c r="AF107" s="16">
        <f>IFERROR(__xludf.DUMMYFUNCTION("""COMPUTED_VALUE"""),0.0)</f>
        <v>0</v>
      </c>
      <c r="AG107" s="16">
        <f>IFERROR(__xludf.DUMMYFUNCTION("""COMPUTED_VALUE"""),0.0)</f>
        <v>0</v>
      </c>
      <c r="AH107" s="16">
        <f>IFERROR(__xludf.DUMMYFUNCTION("""COMPUTED_VALUE"""),0.0)</f>
        <v>0</v>
      </c>
    </row>
    <row r="108">
      <c r="A108" s="16" t="str">
        <f>IFERROR(__xludf.DUMMYFUNCTION("""COMPUTED_VALUE"""),"562f725dcc83392df0b3d429b6d1ff538f81e71b")</f>
        <v>562f725dcc83392df0b3d429b6d1ff538f81e71b</v>
      </c>
      <c r="B108" s="16" t="str">
        <f>IFERROR(__xludf.DUMMYFUNCTION("""COMPUTED_VALUE"""),"Their Contracted Hearts")</f>
        <v>Their Contracted Hearts</v>
      </c>
      <c r="C108" s="16" t="str">
        <f>IFERROR(__xludf.DUMMYFUNCTION("""COMPUTED_VALUE"""),"Romance")</f>
        <v>Romance</v>
      </c>
      <c r="D108" s="16">
        <f>IFERROR(__xludf.DUMMYFUNCTION("""COMPUTED_VALUE"""),480.0)</f>
        <v>480</v>
      </c>
      <c r="E108" s="16">
        <f>IFERROR(__xludf.DUMMYFUNCTION("""COMPUTED_VALUE"""),0.966666666666666)</f>
        <v>0.9666666667</v>
      </c>
      <c r="F108" s="16">
        <f>IFERROR(__xludf.DUMMYFUNCTION("""COMPUTED_VALUE"""),0.639583333333333)</f>
        <v>0.6395833333</v>
      </c>
      <c r="G108" s="16">
        <f>IFERROR(__xludf.DUMMYFUNCTION("""COMPUTED_VALUE"""),0.664583333333333)</f>
        <v>0.6645833333</v>
      </c>
      <c r="H108" s="16">
        <f>IFERROR(__xludf.DUMMYFUNCTION("""COMPUTED_VALUE"""),0.604166666666666)</f>
        <v>0.6041666667</v>
      </c>
      <c r="I108" s="16">
        <f>IFERROR(__xludf.DUMMYFUNCTION("""COMPUTED_VALUE"""),0.608333333333333)</f>
        <v>0.6083333333</v>
      </c>
      <c r="J108" s="16">
        <f>IFERROR(__xludf.DUMMYFUNCTION("""COMPUTED_VALUE"""),0.5375)</f>
        <v>0.5375</v>
      </c>
      <c r="K108" s="16">
        <f>IFERROR(__xludf.DUMMYFUNCTION("""COMPUTED_VALUE"""),0.511482254697286)</f>
        <v>0.5114822547</v>
      </c>
      <c r="L108" s="16">
        <f>IFERROR(__xludf.DUMMYFUNCTION("""COMPUTED_VALUE"""),0.526096033402922)</f>
        <v>0.5260960334</v>
      </c>
      <c r="M108" s="16">
        <f>IFERROR(__xludf.DUMMYFUNCTION("""COMPUTED_VALUE"""),0.484342379958246)</f>
        <v>0.48434238</v>
      </c>
      <c r="N108" s="16">
        <f>IFERROR(__xludf.DUMMYFUNCTION("""COMPUTED_VALUE"""),0.464435146443514)</f>
        <v>0.4644351464</v>
      </c>
      <c r="O108" s="16">
        <f>IFERROR(__xludf.DUMMYFUNCTION("""COMPUTED_VALUE"""),0.373165618448637)</f>
        <v>0.3731656184</v>
      </c>
      <c r="P108" s="16">
        <f>IFERROR(__xludf.DUMMYFUNCTION("""COMPUTED_VALUE"""),0.179324894514767)</f>
        <v>0.1793248945</v>
      </c>
      <c r="Q108" s="16">
        <f>IFERROR(__xludf.DUMMYFUNCTION("""COMPUTED_VALUE"""),0.103286384976525)</f>
        <v>0.103286385</v>
      </c>
      <c r="R108" s="16">
        <f>IFERROR(__xludf.DUMMYFUNCTION("""COMPUTED_VALUE"""),0.155555555555555)</f>
        <v>0.1555555556</v>
      </c>
      <c r="S108" s="16">
        <f>IFERROR(__xludf.DUMMYFUNCTION("""COMPUTED_VALUE"""),0.0526315789473684)</f>
        <v>0.05263157895</v>
      </c>
      <c r="T108" s="16">
        <f>IFERROR(__xludf.DUMMYFUNCTION("""COMPUTED_VALUE"""),0.0)</f>
        <v>0</v>
      </c>
      <c r="U108" s="16">
        <f>IFERROR(__xludf.DUMMYFUNCTION("""COMPUTED_VALUE"""),0.0)</f>
        <v>0</v>
      </c>
      <c r="V108" s="16">
        <f>IFERROR(__xludf.DUMMYFUNCTION("""COMPUTED_VALUE"""),0.0)</f>
        <v>0</v>
      </c>
      <c r="W108" s="16">
        <f>IFERROR(__xludf.DUMMYFUNCTION("""COMPUTED_VALUE"""),0.0)</f>
        <v>0</v>
      </c>
      <c r="X108" s="16">
        <f>IFERROR(__xludf.DUMMYFUNCTION("""COMPUTED_VALUE"""),0.0)</f>
        <v>0</v>
      </c>
      <c r="Y108" s="16">
        <f>IFERROR(__xludf.DUMMYFUNCTION("""COMPUTED_VALUE"""),0.0)</f>
        <v>0</v>
      </c>
      <c r="Z108" s="16">
        <f>IFERROR(__xludf.DUMMYFUNCTION("""COMPUTED_VALUE"""),0.0)</f>
        <v>0</v>
      </c>
      <c r="AA108" s="16">
        <f>IFERROR(__xludf.DUMMYFUNCTION("""COMPUTED_VALUE"""),0.0)</f>
        <v>0</v>
      </c>
      <c r="AB108" s="16">
        <f>IFERROR(__xludf.DUMMYFUNCTION("""COMPUTED_VALUE"""),0.0)</f>
        <v>0</v>
      </c>
      <c r="AC108" s="16">
        <f>IFERROR(__xludf.DUMMYFUNCTION("""COMPUTED_VALUE"""),0.0)</f>
        <v>0</v>
      </c>
      <c r="AD108" s="16">
        <f>IFERROR(__xludf.DUMMYFUNCTION("""COMPUTED_VALUE"""),0.0)</f>
        <v>0</v>
      </c>
      <c r="AE108" s="16">
        <f>IFERROR(__xludf.DUMMYFUNCTION("""COMPUTED_VALUE"""),0.0)</f>
        <v>0</v>
      </c>
      <c r="AF108" s="16">
        <f>IFERROR(__xludf.DUMMYFUNCTION("""COMPUTED_VALUE"""),0.0)</f>
        <v>0</v>
      </c>
      <c r="AG108" s="16">
        <f>IFERROR(__xludf.DUMMYFUNCTION("""COMPUTED_VALUE"""),0.0)</f>
        <v>0</v>
      </c>
      <c r="AH108" s="16">
        <f>IFERROR(__xludf.DUMMYFUNCTION("""COMPUTED_VALUE"""),0.0)</f>
        <v>0</v>
      </c>
    </row>
    <row r="109">
      <c r="A109" s="16" t="str">
        <f>IFERROR(__xludf.DUMMYFUNCTION("""COMPUTED_VALUE"""),"56fd2f13dbccca0c55f9b02f7334d302737ec3df")</f>
        <v>56fd2f13dbccca0c55f9b02f7334d302737ec3df</v>
      </c>
      <c r="B109" s="16" t="str">
        <f>IFERROR(__xludf.DUMMYFUNCTION("""COMPUTED_VALUE"""),"Heaven-Shaking Doctor")</f>
        <v>Heaven-Shaking Doctor</v>
      </c>
      <c r="C109" s="16" t="str">
        <f>IFERROR(__xludf.DUMMYFUNCTION("""COMPUTED_VALUE"""),"Drama")</f>
        <v>Drama</v>
      </c>
      <c r="D109" s="16">
        <f>IFERROR(__xludf.DUMMYFUNCTION("""COMPUTED_VALUE"""),97.0)</f>
        <v>97</v>
      </c>
      <c r="E109" s="16">
        <f>IFERROR(__xludf.DUMMYFUNCTION("""COMPUTED_VALUE"""),1.0)</f>
        <v>1</v>
      </c>
      <c r="F109" s="16">
        <f>IFERROR(__xludf.DUMMYFUNCTION("""COMPUTED_VALUE"""),0.556701030927835)</f>
        <v>0.5567010309</v>
      </c>
      <c r="G109" s="16">
        <f>IFERROR(__xludf.DUMMYFUNCTION("""COMPUTED_VALUE"""),0.505154639175257)</f>
        <v>0.5051546392</v>
      </c>
      <c r="H109" s="16">
        <f>IFERROR(__xludf.DUMMYFUNCTION("""COMPUTED_VALUE"""),0.412371134020618)</f>
        <v>0.412371134</v>
      </c>
      <c r="I109" s="16">
        <f>IFERROR(__xludf.DUMMYFUNCTION("""COMPUTED_VALUE"""),0.371134020618556)</f>
        <v>0.3711340206</v>
      </c>
      <c r="J109" s="16">
        <f>IFERROR(__xludf.DUMMYFUNCTION("""COMPUTED_VALUE"""),0.329896907216494)</f>
        <v>0.3298969072</v>
      </c>
      <c r="K109" s="16">
        <f>IFERROR(__xludf.DUMMYFUNCTION("""COMPUTED_VALUE"""),0.288659793814432)</f>
        <v>0.2886597938</v>
      </c>
      <c r="L109" s="16">
        <f>IFERROR(__xludf.DUMMYFUNCTION("""COMPUTED_VALUE"""),0.268041237113402)</f>
        <v>0.2680412371</v>
      </c>
      <c r="M109" s="16">
        <f>IFERROR(__xludf.DUMMYFUNCTION("""COMPUTED_VALUE"""),0.239583333333333)</f>
        <v>0.2395833333</v>
      </c>
      <c r="N109" s="16">
        <f>IFERROR(__xludf.DUMMYFUNCTION("""COMPUTED_VALUE"""),0.1875)</f>
        <v>0.1875</v>
      </c>
      <c r="O109" s="16">
        <f>IFERROR(__xludf.DUMMYFUNCTION("""COMPUTED_VALUE"""),0.125)</f>
        <v>0.125</v>
      </c>
      <c r="P109" s="16">
        <f>IFERROR(__xludf.DUMMYFUNCTION("""COMPUTED_VALUE"""),0.0736842105263157)</f>
        <v>0.07368421053</v>
      </c>
      <c r="Q109" s="16">
        <f>IFERROR(__xludf.DUMMYFUNCTION("""COMPUTED_VALUE"""),0.0)</f>
        <v>0</v>
      </c>
      <c r="R109" s="16">
        <f>IFERROR(__xludf.DUMMYFUNCTION("""COMPUTED_VALUE"""),0.0)</f>
        <v>0</v>
      </c>
      <c r="S109" s="16">
        <f>IFERROR(__xludf.DUMMYFUNCTION("""COMPUTED_VALUE"""),0.0)</f>
        <v>0</v>
      </c>
      <c r="T109" s="16">
        <f>IFERROR(__xludf.DUMMYFUNCTION("""COMPUTED_VALUE"""),0.0)</f>
        <v>0</v>
      </c>
      <c r="U109" s="16">
        <f>IFERROR(__xludf.DUMMYFUNCTION("""COMPUTED_VALUE"""),0.0)</f>
        <v>0</v>
      </c>
      <c r="V109" s="16">
        <f>IFERROR(__xludf.DUMMYFUNCTION("""COMPUTED_VALUE"""),0.0)</f>
        <v>0</v>
      </c>
      <c r="W109" s="16">
        <f>IFERROR(__xludf.DUMMYFUNCTION("""COMPUTED_VALUE"""),0.0)</f>
        <v>0</v>
      </c>
      <c r="X109" s="16">
        <f>IFERROR(__xludf.DUMMYFUNCTION("""COMPUTED_VALUE"""),0.0)</f>
        <v>0</v>
      </c>
      <c r="Y109" s="16">
        <f>IFERROR(__xludf.DUMMYFUNCTION("""COMPUTED_VALUE"""),0.0)</f>
        <v>0</v>
      </c>
      <c r="Z109" s="16">
        <f>IFERROR(__xludf.DUMMYFUNCTION("""COMPUTED_VALUE"""),0.0)</f>
        <v>0</v>
      </c>
      <c r="AA109" s="16">
        <f>IFERROR(__xludf.DUMMYFUNCTION("""COMPUTED_VALUE"""),0.0)</f>
        <v>0</v>
      </c>
      <c r="AB109" s="16">
        <f>IFERROR(__xludf.DUMMYFUNCTION("""COMPUTED_VALUE"""),0.0)</f>
        <v>0</v>
      </c>
      <c r="AC109" s="16">
        <f>IFERROR(__xludf.DUMMYFUNCTION("""COMPUTED_VALUE"""),0.0)</f>
        <v>0</v>
      </c>
      <c r="AD109" s="16">
        <f>IFERROR(__xludf.DUMMYFUNCTION("""COMPUTED_VALUE"""),0.0)</f>
        <v>0</v>
      </c>
      <c r="AE109" s="16">
        <f>IFERROR(__xludf.DUMMYFUNCTION("""COMPUTED_VALUE"""),0.0)</f>
        <v>0</v>
      </c>
      <c r="AF109" s="16">
        <f>IFERROR(__xludf.DUMMYFUNCTION("""COMPUTED_VALUE"""),0.0)</f>
        <v>0</v>
      </c>
      <c r="AG109" s="16">
        <f>IFERROR(__xludf.DUMMYFUNCTION("""COMPUTED_VALUE"""),0.0)</f>
        <v>0</v>
      </c>
      <c r="AH109" s="16">
        <f>IFERROR(__xludf.DUMMYFUNCTION("""COMPUTED_VALUE"""),0.0)</f>
        <v>0</v>
      </c>
    </row>
    <row r="110">
      <c r="A110" s="16" t="str">
        <f>IFERROR(__xludf.DUMMYFUNCTION("""COMPUTED_VALUE"""),"5710ee62e2cd01947d8f11e6bcaaa653fd1281b2")</f>
        <v>5710ee62e2cd01947d8f11e6bcaaa653fd1281b2</v>
      </c>
      <c r="B110" s="16" t="str">
        <f>IFERROR(__xludf.DUMMYFUNCTION("""COMPUTED_VALUE"""),"The Greatest Son-in-Law")</f>
        <v>The Greatest Son-in-Law</v>
      </c>
      <c r="C110" s="16" t="str">
        <f>IFERROR(__xludf.DUMMYFUNCTION("""COMPUTED_VALUE"""),"Drama")</f>
        <v>Drama</v>
      </c>
      <c r="D110" s="16">
        <f>IFERROR(__xludf.DUMMYFUNCTION("""COMPUTED_VALUE"""),91.0)</f>
        <v>91</v>
      </c>
      <c r="E110" s="16">
        <f>IFERROR(__xludf.DUMMYFUNCTION("""COMPUTED_VALUE"""),1.0)</f>
        <v>1</v>
      </c>
      <c r="F110" s="16">
        <f>IFERROR(__xludf.DUMMYFUNCTION("""COMPUTED_VALUE"""),0.527472527472527)</f>
        <v>0.5274725275</v>
      </c>
      <c r="G110" s="16">
        <f>IFERROR(__xludf.DUMMYFUNCTION("""COMPUTED_VALUE"""),0.406593406593406)</f>
        <v>0.4065934066</v>
      </c>
      <c r="H110" s="16">
        <f>IFERROR(__xludf.DUMMYFUNCTION("""COMPUTED_VALUE"""),0.34065934065934)</f>
        <v>0.3406593407</v>
      </c>
      <c r="I110" s="16">
        <f>IFERROR(__xludf.DUMMYFUNCTION("""COMPUTED_VALUE"""),0.318681318681318)</f>
        <v>0.3186813187</v>
      </c>
      <c r="J110" s="16">
        <f>IFERROR(__xludf.DUMMYFUNCTION("""COMPUTED_VALUE"""),0.263736263736263)</f>
        <v>0.2637362637</v>
      </c>
      <c r="K110" s="16">
        <f>IFERROR(__xludf.DUMMYFUNCTION("""COMPUTED_VALUE"""),0.233333333333333)</f>
        <v>0.2333333333</v>
      </c>
      <c r="L110" s="16">
        <f>IFERROR(__xludf.DUMMYFUNCTION("""COMPUTED_VALUE"""),0.2)</f>
        <v>0.2</v>
      </c>
      <c r="M110" s="16">
        <f>IFERROR(__xludf.DUMMYFUNCTION("""COMPUTED_VALUE"""),0.2)</f>
        <v>0.2</v>
      </c>
      <c r="N110" s="16">
        <f>IFERROR(__xludf.DUMMYFUNCTION("""COMPUTED_VALUE"""),0.172413793103448)</f>
        <v>0.1724137931</v>
      </c>
      <c r="O110" s="16">
        <f>IFERROR(__xludf.DUMMYFUNCTION("""COMPUTED_VALUE"""),0.106382978723404)</f>
        <v>0.1063829787</v>
      </c>
      <c r="P110" s="16">
        <f>IFERROR(__xludf.DUMMYFUNCTION("""COMPUTED_VALUE"""),0.0)</f>
        <v>0</v>
      </c>
      <c r="Q110" s="16">
        <f>IFERROR(__xludf.DUMMYFUNCTION("""COMPUTED_VALUE"""),0.0)</f>
        <v>0</v>
      </c>
      <c r="R110" s="16">
        <f>IFERROR(__xludf.DUMMYFUNCTION("""COMPUTED_VALUE"""),0.0)</f>
        <v>0</v>
      </c>
      <c r="S110" s="16">
        <f>IFERROR(__xludf.DUMMYFUNCTION("""COMPUTED_VALUE"""),0.0)</f>
        <v>0</v>
      </c>
      <c r="T110" s="16">
        <f>IFERROR(__xludf.DUMMYFUNCTION("""COMPUTED_VALUE"""),0.0)</f>
        <v>0</v>
      </c>
      <c r="U110" s="16">
        <f>IFERROR(__xludf.DUMMYFUNCTION("""COMPUTED_VALUE"""),0.0)</f>
        <v>0</v>
      </c>
      <c r="V110" s="16">
        <f>IFERROR(__xludf.DUMMYFUNCTION("""COMPUTED_VALUE"""),0.0)</f>
        <v>0</v>
      </c>
      <c r="W110" s="16">
        <f>IFERROR(__xludf.DUMMYFUNCTION("""COMPUTED_VALUE"""),0.0)</f>
        <v>0</v>
      </c>
      <c r="X110" s="16">
        <f>IFERROR(__xludf.DUMMYFUNCTION("""COMPUTED_VALUE"""),0.0)</f>
        <v>0</v>
      </c>
      <c r="Y110" s="16">
        <f>IFERROR(__xludf.DUMMYFUNCTION("""COMPUTED_VALUE"""),0.0)</f>
        <v>0</v>
      </c>
      <c r="Z110" s="16">
        <f>IFERROR(__xludf.DUMMYFUNCTION("""COMPUTED_VALUE"""),0.0)</f>
        <v>0</v>
      </c>
      <c r="AA110" s="16">
        <f>IFERROR(__xludf.DUMMYFUNCTION("""COMPUTED_VALUE"""),0.0)</f>
        <v>0</v>
      </c>
      <c r="AB110" s="16">
        <f>IFERROR(__xludf.DUMMYFUNCTION("""COMPUTED_VALUE"""),0.0)</f>
        <v>0</v>
      </c>
      <c r="AC110" s="16">
        <f>IFERROR(__xludf.DUMMYFUNCTION("""COMPUTED_VALUE"""),0.0)</f>
        <v>0</v>
      </c>
      <c r="AD110" s="16">
        <f>IFERROR(__xludf.DUMMYFUNCTION("""COMPUTED_VALUE"""),0.0)</f>
        <v>0</v>
      </c>
      <c r="AE110" s="16">
        <f>IFERROR(__xludf.DUMMYFUNCTION("""COMPUTED_VALUE"""),0.0)</f>
        <v>0</v>
      </c>
      <c r="AF110" s="16">
        <f>IFERROR(__xludf.DUMMYFUNCTION("""COMPUTED_VALUE"""),0.0)</f>
        <v>0</v>
      </c>
      <c r="AG110" s="16">
        <f>IFERROR(__xludf.DUMMYFUNCTION("""COMPUTED_VALUE"""),0.0)</f>
        <v>0</v>
      </c>
      <c r="AH110" s="16">
        <f>IFERROR(__xludf.DUMMYFUNCTION("""COMPUTED_VALUE"""),0.0)</f>
        <v>0</v>
      </c>
    </row>
    <row r="111">
      <c r="A111" s="16" t="str">
        <f>IFERROR(__xludf.DUMMYFUNCTION("""COMPUTED_VALUE"""),"57c4ad36d88c94c3d6132c931c371b08f21ab0e1")</f>
        <v>57c4ad36d88c94c3d6132c931c371b08f21ab0e1</v>
      </c>
      <c r="B111" s="16" t="str">
        <f>IFERROR(__xludf.DUMMYFUNCTION("""COMPUTED_VALUE"""),"Warlord of the Frozen Daw")</f>
        <v>Warlord of the Frozen Daw</v>
      </c>
      <c r="C111" s="16" t="str">
        <f>IFERROR(__xludf.DUMMYFUNCTION("""COMPUTED_VALUE"""),"Drama")</f>
        <v>Drama</v>
      </c>
      <c r="D111" s="16">
        <f>IFERROR(__xludf.DUMMYFUNCTION("""COMPUTED_VALUE"""),4.0)</f>
        <v>4</v>
      </c>
      <c r="E111" s="16">
        <f>IFERROR(__xludf.DUMMYFUNCTION("""COMPUTED_VALUE"""),1.0)</f>
        <v>1</v>
      </c>
      <c r="F111" s="16">
        <f>IFERROR(__xludf.DUMMYFUNCTION("""COMPUTED_VALUE"""),0.5)</f>
        <v>0.5</v>
      </c>
      <c r="G111" s="16">
        <f>IFERROR(__xludf.DUMMYFUNCTION("""COMPUTED_VALUE"""),0.5)</f>
        <v>0.5</v>
      </c>
      <c r="H111" s="16">
        <f>IFERROR(__xludf.DUMMYFUNCTION("""COMPUTED_VALUE"""),0.5)</f>
        <v>0.5</v>
      </c>
      <c r="I111" s="16">
        <f>IFERROR(__xludf.DUMMYFUNCTION("""COMPUTED_VALUE"""),0.5)</f>
        <v>0.5</v>
      </c>
      <c r="J111" s="16">
        <f>IFERROR(__xludf.DUMMYFUNCTION("""COMPUTED_VALUE"""),0.5)</f>
        <v>0.5</v>
      </c>
      <c r="K111" s="16">
        <f>IFERROR(__xludf.DUMMYFUNCTION("""COMPUTED_VALUE"""),0.5)</f>
        <v>0.5</v>
      </c>
      <c r="L111" s="16">
        <f>IFERROR(__xludf.DUMMYFUNCTION("""COMPUTED_VALUE"""),0.5)</f>
        <v>0.5</v>
      </c>
      <c r="M111" s="16">
        <f>IFERROR(__xludf.DUMMYFUNCTION("""COMPUTED_VALUE"""),0.5)</f>
        <v>0.5</v>
      </c>
      <c r="N111" s="16">
        <f>IFERROR(__xludf.DUMMYFUNCTION("""COMPUTED_VALUE"""),0.5)</f>
        <v>0.5</v>
      </c>
      <c r="O111" s="16">
        <f>IFERROR(__xludf.DUMMYFUNCTION("""COMPUTED_VALUE"""),0.666666666666666)</f>
        <v>0.6666666667</v>
      </c>
      <c r="P111" s="16">
        <f>IFERROR(__xludf.DUMMYFUNCTION("""COMPUTED_VALUE"""),0.666666666666666)</f>
        <v>0.6666666667</v>
      </c>
      <c r="Q111" s="16">
        <f>IFERROR(__xludf.DUMMYFUNCTION("""COMPUTED_VALUE"""),0.666666666666666)</f>
        <v>0.6666666667</v>
      </c>
      <c r="R111" s="16">
        <f>IFERROR(__xludf.DUMMYFUNCTION("""COMPUTED_VALUE"""),0.333333333333333)</f>
        <v>0.3333333333</v>
      </c>
      <c r="S111" s="16">
        <f>IFERROR(__xludf.DUMMYFUNCTION("""COMPUTED_VALUE"""),0.0)</f>
        <v>0</v>
      </c>
      <c r="T111" s="16">
        <f>IFERROR(__xludf.DUMMYFUNCTION("""COMPUTED_VALUE"""),0.0)</f>
        <v>0</v>
      </c>
      <c r="U111" s="16">
        <f>IFERROR(__xludf.DUMMYFUNCTION("""COMPUTED_VALUE"""),0.0)</f>
        <v>0</v>
      </c>
      <c r="V111" s="16">
        <f>IFERROR(__xludf.DUMMYFUNCTION("""COMPUTED_VALUE"""),0.0)</f>
        <v>0</v>
      </c>
      <c r="W111" s="16">
        <f>IFERROR(__xludf.DUMMYFUNCTION("""COMPUTED_VALUE"""),0.0)</f>
        <v>0</v>
      </c>
      <c r="X111" s="16">
        <f>IFERROR(__xludf.DUMMYFUNCTION("""COMPUTED_VALUE"""),0.0)</f>
        <v>0</v>
      </c>
      <c r="Y111" s="16">
        <f>IFERROR(__xludf.DUMMYFUNCTION("""COMPUTED_VALUE"""),0.0)</f>
        <v>0</v>
      </c>
      <c r="Z111" s="16">
        <f>IFERROR(__xludf.DUMMYFUNCTION("""COMPUTED_VALUE"""),0.0)</f>
        <v>0</v>
      </c>
      <c r="AA111" s="16">
        <f>IFERROR(__xludf.DUMMYFUNCTION("""COMPUTED_VALUE"""),0.0)</f>
        <v>0</v>
      </c>
      <c r="AB111" s="16">
        <f>IFERROR(__xludf.DUMMYFUNCTION("""COMPUTED_VALUE"""),0.0)</f>
        <v>0</v>
      </c>
      <c r="AC111" s="16">
        <f>IFERROR(__xludf.DUMMYFUNCTION("""COMPUTED_VALUE"""),0.0)</f>
        <v>0</v>
      </c>
      <c r="AD111" s="16">
        <f>IFERROR(__xludf.DUMMYFUNCTION("""COMPUTED_VALUE"""),0.0)</f>
        <v>0</v>
      </c>
      <c r="AE111" s="16">
        <f>IFERROR(__xludf.DUMMYFUNCTION("""COMPUTED_VALUE"""),0.0)</f>
        <v>0</v>
      </c>
      <c r="AF111" s="16">
        <f>IFERROR(__xludf.DUMMYFUNCTION("""COMPUTED_VALUE"""),0.0)</f>
        <v>0</v>
      </c>
      <c r="AG111" s="16">
        <f>IFERROR(__xludf.DUMMYFUNCTION("""COMPUTED_VALUE"""),0.0)</f>
        <v>0</v>
      </c>
      <c r="AH111" s="16">
        <f>IFERROR(__xludf.DUMMYFUNCTION("""COMPUTED_VALUE"""),0.0)</f>
        <v>0</v>
      </c>
    </row>
    <row r="112">
      <c r="A112" s="16" t="str">
        <f>IFERROR(__xludf.DUMMYFUNCTION("""COMPUTED_VALUE"""),"57e670da35fed12abf270953b1cf3cf942fc89e1")</f>
        <v>57e670da35fed12abf270953b1cf3cf942fc89e1</v>
      </c>
      <c r="B112" s="16" t="str">
        <f>IFERROR(__xludf.DUMMYFUNCTION("""COMPUTED_VALUE"""),"You Are Mine Alone, Love")</f>
        <v>You Are Mine Alone, Love</v>
      </c>
      <c r="C112" s="16" t="str">
        <f>IFERROR(__xludf.DUMMYFUNCTION("""COMPUTED_VALUE"""),"Romance")</f>
        <v>Romance</v>
      </c>
      <c r="D112" s="16">
        <f>IFERROR(__xludf.DUMMYFUNCTION("""COMPUTED_VALUE"""),143.0)</f>
        <v>143</v>
      </c>
      <c r="E112" s="16">
        <f>IFERROR(__xludf.DUMMYFUNCTION("""COMPUTED_VALUE"""),0.972027972027972)</f>
        <v>0.972027972</v>
      </c>
      <c r="F112" s="16">
        <f>IFERROR(__xludf.DUMMYFUNCTION("""COMPUTED_VALUE"""),0.608391608391608)</f>
        <v>0.6083916084</v>
      </c>
      <c r="G112" s="16">
        <f>IFERROR(__xludf.DUMMYFUNCTION("""COMPUTED_VALUE"""),0.496503496503496)</f>
        <v>0.4965034965</v>
      </c>
      <c r="H112" s="16">
        <f>IFERROR(__xludf.DUMMYFUNCTION("""COMPUTED_VALUE"""),0.44055944055944)</f>
        <v>0.4405594406</v>
      </c>
      <c r="I112" s="16">
        <f>IFERROR(__xludf.DUMMYFUNCTION("""COMPUTED_VALUE"""),0.405594405594405)</f>
        <v>0.4055944056</v>
      </c>
      <c r="J112" s="16">
        <f>IFERROR(__xludf.DUMMYFUNCTION("""COMPUTED_VALUE"""),0.368794326241134)</f>
        <v>0.3687943262</v>
      </c>
      <c r="K112" s="16">
        <f>IFERROR(__xludf.DUMMYFUNCTION("""COMPUTED_VALUE"""),0.335714285714285)</f>
        <v>0.3357142857</v>
      </c>
      <c r="L112" s="16">
        <f>IFERROR(__xludf.DUMMYFUNCTION("""COMPUTED_VALUE"""),0.316546762589928)</f>
        <v>0.3165467626</v>
      </c>
      <c r="M112" s="16">
        <f>IFERROR(__xludf.DUMMYFUNCTION("""COMPUTED_VALUE"""),0.284671532846715)</f>
        <v>0.2846715328</v>
      </c>
      <c r="N112" s="16">
        <f>IFERROR(__xludf.DUMMYFUNCTION("""COMPUTED_VALUE"""),0.265625)</f>
        <v>0.265625</v>
      </c>
      <c r="O112" s="16">
        <f>IFERROR(__xludf.DUMMYFUNCTION("""COMPUTED_VALUE"""),0.206521739130434)</f>
        <v>0.2065217391</v>
      </c>
      <c r="P112" s="16">
        <f>IFERROR(__xludf.DUMMYFUNCTION("""COMPUTED_VALUE"""),0.180327868852459)</f>
        <v>0.1803278689</v>
      </c>
      <c r="Q112" s="16">
        <f>IFERROR(__xludf.DUMMYFUNCTION("""COMPUTED_VALUE"""),0.157894736842105)</f>
        <v>0.1578947368</v>
      </c>
      <c r="R112" s="16">
        <f>IFERROR(__xludf.DUMMYFUNCTION("""COMPUTED_VALUE"""),0.142857142857142)</f>
        <v>0.1428571429</v>
      </c>
      <c r="S112" s="16">
        <f>IFERROR(__xludf.DUMMYFUNCTION("""COMPUTED_VALUE"""),0.0)</f>
        <v>0</v>
      </c>
      <c r="T112" s="16">
        <f>IFERROR(__xludf.DUMMYFUNCTION("""COMPUTED_VALUE"""),0.0)</f>
        <v>0</v>
      </c>
      <c r="U112" s="16">
        <f>IFERROR(__xludf.DUMMYFUNCTION("""COMPUTED_VALUE"""),0.0)</f>
        <v>0</v>
      </c>
      <c r="V112" s="16">
        <f>IFERROR(__xludf.DUMMYFUNCTION("""COMPUTED_VALUE"""),0.0)</f>
        <v>0</v>
      </c>
      <c r="W112" s="16">
        <f>IFERROR(__xludf.DUMMYFUNCTION("""COMPUTED_VALUE"""),0.0)</f>
        <v>0</v>
      </c>
      <c r="X112" s="16">
        <f>IFERROR(__xludf.DUMMYFUNCTION("""COMPUTED_VALUE"""),0.0)</f>
        <v>0</v>
      </c>
      <c r="Y112" s="16">
        <f>IFERROR(__xludf.DUMMYFUNCTION("""COMPUTED_VALUE"""),0.0)</f>
        <v>0</v>
      </c>
      <c r="Z112" s="16">
        <f>IFERROR(__xludf.DUMMYFUNCTION("""COMPUTED_VALUE"""),0.0)</f>
        <v>0</v>
      </c>
      <c r="AA112" s="16">
        <f>IFERROR(__xludf.DUMMYFUNCTION("""COMPUTED_VALUE"""),0.0)</f>
        <v>0</v>
      </c>
      <c r="AB112" s="16">
        <f>IFERROR(__xludf.DUMMYFUNCTION("""COMPUTED_VALUE"""),0.0)</f>
        <v>0</v>
      </c>
      <c r="AC112" s="16">
        <f>IFERROR(__xludf.DUMMYFUNCTION("""COMPUTED_VALUE"""),0.0)</f>
        <v>0</v>
      </c>
      <c r="AD112" s="16">
        <f>IFERROR(__xludf.DUMMYFUNCTION("""COMPUTED_VALUE"""),0.0)</f>
        <v>0</v>
      </c>
      <c r="AE112" s="16">
        <f>IFERROR(__xludf.DUMMYFUNCTION("""COMPUTED_VALUE"""),0.0)</f>
        <v>0</v>
      </c>
      <c r="AF112" s="16">
        <f>IFERROR(__xludf.DUMMYFUNCTION("""COMPUTED_VALUE"""),0.0)</f>
        <v>0</v>
      </c>
      <c r="AG112" s="16">
        <f>IFERROR(__xludf.DUMMYFUNCTION("""COMPUTED_VALUE"""),0.0)</f>
        <v>0</v>
      </c>
      <c r="AH112" s="16">
        <f>IFERROR(__xludf.DUMMYFUNCTION("""COMPUTED_VALUE"""),0.0)</f>
        <v>0</v>
      </c>
    </row>
    <row r="113">
      <c r="A113" s="16" t="str">
        <f>IFERROR(__xludf.DUMMYFUNCTION("""COMPUTED_VALUE"""),"57ebfa5b58a3257a521a5b9c12c5af19771e4403")</f>
        <v>57ebfa5b58a3257a521a5b9c12c5af19771e4403</v>
      </c>
      <c r="B113" s="16" t="str">
        <f>IFERROR(__xludf.DUMMYFUNCTION("""COMPUTED_VALUE"""),"Unmasking the Bride")</f>
        <v>Unmasking the Bride</v>
      </c>
      <c r="C113" s="16" t="str">
        <f>IFERROR(__xludf.DUMMYFUNCTION("""COMPUTED_VALUE"""),"Romance")</f>
        <v>Romance</v>
      </c>
      <c r="D113" s="16">
        <f>IFERROR(__xludf.DUMMYFUNCTION("""COMPUTED_VALUE"""),54.0)</f>
        <v>54</v>
      </c>
      <c r="E113" s="16">
        <f>IFERROR(__xludf.DUMMYFUNCTION("""COMPUTED_VALUE"""),0.944444444444444)</f>
        <v>0.9444444444</v>
      </c>
      <c r="F113" s="16">
        <f>IFERROR(__xludf.DUMMYFUNCTION("""COMPUTED_VALUE"""),0.462962962962962)</f>
        <v>0.462962963</v>
      </c>
      <c r="G113" s="16">
        <f>IFERROR(__xludf.DUMMYFUNCTION("""COMPUTED_VALUE"""),0.518518518518518)</f>
        <v>0.5185185185</v>
      </c>
      <c r="H113" s="16">
        <f>IFERROR(__xludf.DUMMYFUNCTION("""COMPUTED_VALUE"""),0.462962962962962)</f>
        <v>0.462962963</v>
      </c>
      <c r="I113" s="16">
        <f>IFERROR(__xludf.DUMMYFUNCTION("""COMPUTED_VALUE"""),0.388888888888888)</f>
        <v>0.3888888889</v>
      </c>
      <c r="J113" s="16">
        <f>IFERROR(__xludf.DUMMYFUNCTION("""COMPUTED_VALUE"""),0.351851851851851)</f>
        <v>0.3518518519</v>
      </c>
      <c r="K113" s="16">
        <f>IFERROR(__xludf.DUMMYFUNCTION("""COMPUTED_VALUE"""),0.388888888888888)</f>
        <v>0.3888888889</v>
      </c>
      <c r="L113" s="16">
        <f>IFERROR(__xludf.DUMMYFUNCTION("""COMPUTED_VALUE"""),0.388888888888888)</f>
        <v>0.3888888889</v>
      </c>
      <c r="M113" s="16">
        <f>IFERROR(__xludf.DUMMYFUNCTION("""COMPUTED_VALUE"""),0.296296296296296)</f>
        <v>0.2962962963</v>
      </c>
      <c r="N113" s="16">
        <f>IFERROR(__xludf.DUMMYFUNCTION("""COMPUTED_VALUE"""),0.222222222222222)</f>
        <v>0.2222222222</v>
      </c>
      <c r="O113" s="16">
        <f>IFERROR(__xludf.DUMMYFUNCTION("""COMPUTED_VALUE"""),0.269230769230769)</f>
        <v>0.2692307692</v>
      </c>
      <c r="P113" s="16">
        <f>IFERROR(__xludf.DUMMYFUNCTION("""COMPUTED_VALUE"""),0.0454545454545454)</f>
        <v>0.04545454545</v>
      </c>
      <c r="Q113" s="16">
        <f>IFERROR(__xludf.DUMMYFUNCTION("""COMPUTED_VALUE"""),0.0263157894736842)</f>
        <v>0.02631578947</v>
      </c>
      <c r="R113" s="16">
        <f>IFERROR(__xludf.DUMMYFUNCTION("""COMPUTED_VALUE"""),0.0)</f>
        <v>0</v>
      </c>
      <c r="S113" s="16">
        <f>IFERROR(__xludf.DUMMYFUNCTION("""COMPUTED_VALUE"""),0.0)</f>
        <v>0</v>
      </c>
      <c r="T113" s="16">
        <f>IFERROR(__xludf.DUMMYFUNCTION("""COMPUTED_VALUE"""),0.0)</f>
        <v>0</v>
      </c>
      <c r="U113" s="16">
        <f>IFERROR(__xludf.DUMMYFUNCTION("""COMPUTED_VALUE"""),0.0)</f>
        <v>0</v>
      </c>
      <c r="V113" s="16">
        <f>IFERROR(__xludf.DUMMYFUNCTION("""COMPUTED_VALUE"""),0.0)</f>
        <v>0</v>
      </c>
      <c r="W113" s="16">
        <f>IFERROR(__xludf.DUMMYFUNCTION("""COMPUTED_VALUE"""),0.0)</f>
        <v>0</v>
      </c>
      <c r="X113" s="16">
        <f>IFERROR(__xludf.DUMMYFUNCTION("""COMPUTED_VALUE"""),0.0)</f>
        <v>0</v>
      </c>
      <c r="Y113" s="16">
        <f>IFERROR(__xludf.DUMMYFUNCTION("""COMPUTED_VALUE"""),0.0)</f>
        <v>0</v>
      </c>
      <c r="Z113" s="16">
        <f>IFERROR(__xludf.DUMMYFUNCTION("""COMPUTED_VALUE"""),0.0)</f>
        <v>0</v>
      </c>
      <c r="AA113" s="16">
        <f>IFERROR(__xludf.DUMMYFUNCTION("""COMPUTED_VALUE"""),0.0)</f>
        <v>0</v>
      </c>
      <c r="AB113" s="16">
        <f>IFERROR(__xludf.DUMMYFUNCTION("""COMPUTED_VALUE"""),0.0)</f>
        <v>0</v>
      </c>
      <c r="AC113" s="16">
        <f>IFERROR(__xludf.DUMMYFUNCTION("""COMPUTED_VALUE"""),0.0)</f>
        <v>0</v>
      </c>
      <c r="AD113" s="16">
        <f>IFERROR(__xludf.DUMMYFUNCTION("""COMPUTED_VALUE"""),0.0)</f>
        <v>0</v>
      </c>
      <c r="AE113" s="16">
        <f>IFERROR(__xludf.DUMMYFUNCTION("""COMPUTED_VALUE"""),0.0)</f>
        <v>0</v>
      </c>
      <c r="AF113" s="16">
        <f>IFERROR(__xludf.DUMMYFUNCTION("""COMPUTED_VALUE"""),0.0)</f>
        <v>0</v>
      </c>
      <c r="AG113" s="16">
        <f>IFERROR(__xludf.DUMMYFUNCTION("""COMPUTED_VALUE"""),0.0)</f>
        <v>0</v>
      </c>
      <c r="AH113" s="16">
        <f>IFERROR(__xludf.DUMMYFUNCTION("""COMPUTED_VALUE"""),0.0)</f>
        <v>0</v>
      </c>
    </row>
    <row r="114">
      <c r="A114" s="16" t="str">
        <f>IFERROR(__xludf.DUMMYFUNCTION("""COMPUTED_VALUE"""),"5843f25ac24c8ba34301e2cfe9e73ddc0bfd8fc7")</f>
        <v>5843f25ac24c8ba34301e2cfe9e73ddc0bfd8fc7</v>
      </c>
      <c r="B114" s="16" t="str">
        <f>IFERROR(__xludf.DUMMYFUNCTION("""COMPUTED_VALUE"""),"The Fire Reborn Xavier")</f>
        <v>The Fire Reborn Xavier</v>
      </c>
      <c r="C114" s="16" t="str">
        <f>IFERROR(__xludf.DUMMYFUNCTION("""COMPUTED_VALUE"""),"System and Superpower")</f>
        <v>System and Superpower</v>
      </c>
      <c r="D114" s="16">
        <f>IFERROR(__xludf.DUMMYFUNCTION("""COMPUTED_VALUE"""),73.0)</f>
        <v>73</v>
      </c>
      <c r="E114" s="16">
        <f>IFERROR(__xludf.DUMMYFUNCTION("""COMPUTED_VALUE"""),0.931506849315068)</f>
        <v>0.9315068493</v>
      </c>
      <c r="F114" s="16">
        <f>IFERROR(__xludf.DUMMYFUNCTION("""COMPUTED_VALUE"""),0.506849315068493)</f>
        <v>0.5068493151</v>
      </c>
      <c r="G114" s="16">
        <f>IFERROR(__xludf.DUMMYFUNCTION("""COMPUTED_VALUE"""),0.424657534246575)</f>
        <v>0.4246575342</v>
      </c>
      <c r="H114" s="16">
        <f>IFERROR(__xludf.DUMMYFUNCTION("""COMPUTED_VALUE"""),0.36986301369863)</f>
        <v>0.3698630137</v>
      </c>
      <c r="I114" s="16">
        <f>IFERROR(__xludf.DUMMYFUNCTION("""COMPUTED_VALUE"""),0.315068493150684)</f>
        <v>0.3150684932</v>
      </c>
      <c r="J114" s="16">
        <f>IFERROR(__xludf.DUMMYFUNCTION("""COMPUTED_VALUE"""),0.287671232876712)</f>
        <v>0.2876712329</v>
      </c>
      <c r="K114" s="16">
        <f>IFERROR(__xludf.DUMMYFUNCTION("""COMPUTED_VALUE"""),0.273972602739726)</f>
        <v>0.2739726027</v>
      </c>
      <c r="L114" s="16">
        <f>IFERROR(__xludf.DUMMYFUNCTION("""COMPUTED_VALUE"""),0.273972602739726)</f>
        <v>0.2739726027</v>
      </c>
      <c r="M114" s="16">
        <f>IFERROR(__xludf.DUMMYFUNCTION("""COMPUTED_VALUE"""),0.273972602739726)</f>
        <v>0.2739726027</v>
      </c>
      <c r="N114" s="16">
        <f>IFERROR(__xludf.DUMMYFUNCTION("""COMPUTED_VALUE"""),0.21917808219178)</f>
        <v>0.2191780822</v>
      </c>
      <c r="O114" s="16">
        <f>IFERROR(__xludf.DUMMYFUNCTION("""COMPUTED_VALUE"""),0.140845070422535)</f>
        <v>0.1408450704</v>
      </c>
      <c r="P114" s="16">
        <f>IFERROR(__xludf.DUMMYFUNCTION("""COMPUTED_VALUE"""),0.125)</f>
        <v>0.125</v>
      </c>
      <c r="Q114" s="16">
        <f>IFERROR(__xludf.DUMMYFUNCTION("""COMPUTED_VALUE"""),0.108108108108108)</f>
        <v>0.1081081081</v>
      </c>
      <c r="R114" s="16">
        <f>IFERROR(__xludf.DUMMYFUNCTION("""COMPUTED_VALUE"""),0.137931034482758)</f>
        <v>0.1379310345</v>
      </c>
      <c r="S114" s="16">
        <f>IFERROR(__xludf.DUMMYFUNCTION("""COMPUTED_VALUE"""),0.0)</f>
        <v>0</v>
      </c>
      <c r="T114" s="16">
        <f>IFERROR(__xludf.DUMMYFUNCTION("""COMPUTED_VALUE"""),0.0)</f>
        <v>0</v>
      </c>
      <c r="U114" s="16">
        <f>IFERROR(__xludf.DUMMYFUNCTION("""COMPUTED_VALUE"""),0.0)</f>
        <v>0</v>
      </c>
      <c r="V114" s="16">
        <f>IFERROR(__xludf.DUMMYFUNCTION("""COMPUTED_VALUE"""),0.0)</f>
        <v>0</v>
      </c>
      <c r="W114" s="16">
        <f>IFERROR(__xludf.DUMMYFUNCTION("""COMPUTED_VALUE"""),0.0)</f>
        <v>0</v>
      </c>
      <c r="X114" s="16">
        <f>IFERROR(__xludf.DUMMYFUNCTION("""COMPUTED_VALUE"""),0.0)</f>
        <v>0</v>
      </c>
      <c r="Y114" s="16">
        <f>IFERROR(__xludf.DUMMYFUNCTION("""COMPUTED_VALUE"""),0.0)</f>
        <v>0</v>
      </c>
      <c r="Z114" s="16">
        <f>IFERROR(__xludf.DUMMYFUNCTION("""COMPUTED_VALUE"""),0.0)</f>
        <v>0</v>
      </c>
      <c r="AA114" s="16">
        <f>IFERROR(__xludf.DUMMYFUNCTION("""COMPUTED_VALUE"""),0.0)</f>
        <v>0</v>
      </c>
      <c r="AB114" s="16">
        <f>IFERROR(__xludf.DUMMYFUNCTION("""COMPUTED_VALUE"""),0.0)</f>
        <v>0</v>
      </c>
      <c r="AC114" s="16">
        <f>IFERROR(__xludf.DUMMYFUNCTION("""COMPUTED_VALUE"""),0.0)</f>
        <v>0</v>
      </c>
      <c r="AD114" s="16">
        <f>IFERROR(__xludf.DUMMYFUNCTION("""COMPUTED_VALUE"""),0.0)</f>
        <v>0</v>
      </c>
      <c r="AE114" s="16">
        <f>IFERROR(__xludf.DUMMYFUNCTION("""COMPUTED_VALUE"""),0.0)</f>
        <v>0</v>
      </c>
      <c r="AF114" s="16">
        <f>IFERROR(__xludf.DUMMYFUNCTION("""COMPUTED_VALUE"""),0.0)</f>
        <v>0</v>
      </c>
      <c r="AG114" s="16">
        <f>IFERROR(__xludf.DUMMYFUNCTION("""COMPUTED_VALUE"""),0.0)</f>
        <v>0</v>
      </c>
      <c r="AH114" s="16">
        <f>IFERROR(__xludf.DUMMYFUNCTION("""COMPUTED_VALUE"""),0.0)</f>
        <v>0</v>
      </c>
    </row>
    <row r="115">
      <c r="A115" s="16" t="str">
        <f>IFERROR(__xludf.DUMMYFUNCTION("""COMPUTED_VALUE"""),"596d213162507bbf543b3c2a618f8bb54acd4623")</f>
        <v>596d213162507bbf543b3c2a618f8bb54acd4623</v>
      </c>
      <c r="B115" s="16" t="str">
        <f>IFERROR(__xludf.DUMMYFUNCTION("""COMPUTED_VALUE"""),"Echoes of Regrets")</f>
        <v>Echoes of Regrets</v>
      </c>
      <c r="C115" s="16" t="str">
        <f>IFERROR(__xludf.DUMMYFUNCTION("""COMPUTED_VALUE"""),"Romance")</f>
        <v>Romance</v>
      </c>
      <c r="D115" s="16">
        <f>IFERROR(__xludf.DUMMYFUNCTION("""COMPUTED_VALUE"""),202.0)</f>
        <v>202</v>
      </c>
      <c r="E115" s="16">
        <f>IFERROR(__xludf.DUMMYFUNCTION("""COMPUTED_VALUE"""),0.97029702970297)</f>
        <v>0.9702970297</v>
      </c>
      <c r="F115" s="16">
        <f>IFERROR(__xludf.DUMMYFUNCTION("""COMPUTED_VALUE"""),0.589108910891089)</f>
        <v>0.5891089109</v>
      </c>
      <c r="G115" s="16">
        <f>IFERROR(__xludf.DUMMYFUNCTION("""COMPUTED_VALUE"""),0.504950495049505)</f>
        <v>0.504950495</v>
      </c>
      <c r="H115" s="16">
        <f>IFERROR(__xludf.DUMMYFUNCTION("""COMPUTED_VALUE"""),0.386138613861386)</f>
        <v>0.3861386139</v>
      </c>
      <c r="I115" s="16">
        <f>IFERROR(__xludf.DUMMYFUNCTION("""COMPUTED_VALUE"""),0.366336633663366)</f>
        <v>0.3663366337</v>
      </c>
      <c r="J115" s="16">
        <f>IFERROR(__xludf.DUMMYFUNCTION("""COMPUTED_VALUE"""),0.338541666666666)</f>
        <v>0.3385416667</v>
      </c>
      <c r="K115" s="16">
        <f>IFERROR(__xludf.DUMMYFUNCTION("""COMPUTED_VALUE"""),0.305084745762711)</f>
        <v>0.3050847458</v>
      </c>
      <c r="L115" s="16">
        <f>IFERROR(__xludf.DUMMYFUNCTION("""COMPUTED_VALUE"""),0.324675324675324)</f>
        <v>0.3246753247</v>
      </c>
      <c r="M115" s="16">
        <f>IFERROR(__xludf.DUMMYFUNCTION("""COMPUTED_VALUE"""),0.321917808219178)</f>
        <v>0.3219178082</v>
      </c>
      <c r="N115" s="16">
        <f>IFERROR(__xludf.DUMMYFUNCTION("""COMPUTED_VALUE"""),0.233082706766917)</f>
        <v>0.2330827068</v>
      </c>
      <c r="O115" s="16">
        <f>IFERROR(__xludf.DUMMYFUNCTION("""COMPUTED_VALUE"""),0.261538461538461)</f>
        <v>0.2615384615</v>
      </c>
      <c r="P115" s="16">
        <f>IFERROR(__xludf.DUMMYFUNCTION("""COMPUTED_VALUE"""),0.288888888888888)</f>
        <v>0.2888888889</v>
      </c>
      <c r="Q115" s="16">
        <f>IFERROR(__xludf.DUMMYFUNCTION("""COMPUTED_VALUE"""),0.24)</f>
        <v>0.24</v>
      </c>
      <c r="R115" s="16">
        <f>IFERROR(__xludf.DUMMYFUNCTION("""COMPUTED_VALUE"""),0.0)</f>
        <v>0</v>
      </c>
      <c r="S115" s="16">
        <f>IFERROR(__xludf.DUMMYFUNCTION("""COMPUTED_VALUE"""),0.0)</f>
        <v>0</v>
      </c>
      <c r="T115" s="16">
        <f>IFERROR(__xludf.DUMMYFUNCTION("""COMPUTED_VALUE"""),0.0)</f>
        <v>0</v>
      </c>
      <c r="U115" s="16">
        <f>IFERROR(__xludf.DUMMYFUNCTION("""COMPUTED_VALUE"""),0.0)</f>
        <v>0</v>
      </c>
      <c r="V115" s="16">
        <f>IFERROR(__xludf.DUMMYFUNCTION("""COMPUTED_VALUE"""),0.0)</f>
        <v>0</v>
      </c>
      <c r="W115" s="16">
        <f>IFERROR(__xludf.DUMMYFUNCTION("""COMPUTED_VALUE"""),0.0)</f>
        <v>0</v>
      </c>
      <c r="X115" s="16">
        <f>IFERROR(__xludf.DUMMYFUNCTION("""COMPUTED_VALUE"""),0.0)</f>
        <v>0</v>
      </c>
      <c r="Y115" s="16">
        <f>IFERROR(__xludf.DUMMYFUNCTION("""COMPUTED_VALUE"""),0.0)</f>
        <v>0</v>
      </c>
      <c r="Z115" s="16">
        <f>IFERROR(__xludf.DUMMYFUNCTION("""COMPUTED_VALUE"""),0.0)</f>
        <v>0</v>
      </c>
      <c r="AA115" s="16">
        <f>IFERROR(__xludf.DUMMYFUNCTION("""COMPUTED_VALUE"""),0.0)</f>
        <v>0</v>
      </c>
      <c r="AB115" s="16">
        <f>IFERROR(__xludf.DUMMYFUNCTION("""COMPUTED_VALUE"""),0.0)</f>
        <v>0</v>
      </c>
      <c r="AC115" s="16">
        <f>IFERROR(__xludf.DUMMYFUNCTION("""COMPUTED_VALUE"""),0.0)</f>
        <v>0</v>
      </c>
      <c r="AD115" s="16">
        <f>IFERROR(__xludf.DUMMYFUNCTION("""COMPUTED_VALUE"""),0.0)</f>
        <v>0</v>
      </c>
      <c r="AE115" s="16">
        <f>IFERROR(__xludf.DUMMYFUNCTION("""COMPUTED_VALUE"""),0.0)</f>
        <v>0</v>
      </c>
      <c r="AF115" s="16">
        <f>IFERROR(__xludf.DUMMYFUNCTION("""COMPUTED_VALUE"""),0.0)</f>
        <v>0</v>
      </c>
      <c r="AG115" s="16">
        <f>IFERROR(__xludf.DUMMYFUNCTION("""COMPUTED_VALUE"""),0.0)</f>
        <v>0</v>
      </c>
      <c r="AH115" s="16">
        <f>IFERROR(__xludf.DUMMYFUNCTION("""COMPUTED_VALUE"""),0.0)</f>
        <v>0</v>
      </c>
    </row>
    <row r="116">
      <c r="A116" s="16" t="str">
        <f>IFERROR(__xludf.DUMMYFUNCTION("""COMPUTED_VALUE"""),"5c0a4a3bda3c16a4ed94c8945bade52e165a2848")</f>
        <v>5c0a4a3bda3c16a4ed94c8945bade52e165a2848</v>
      </c>
      <c r="B116" s="16" t="str">
        <f>IFERROR(__xludf.DUMMYFUNCTION("""COMPUTED_VALUE"""),"Bound to Reclusive Alpha")</f>
        <v>Bound to Reclusive Alpha</v>
      </c>
      <c r="C116" s="16" t="str">
        <f>IFERROR(__xludf.DUMMYFUNCTION("""COMPUTED_VALUE"""),"Fantasy")</f>
        <v>Fantasy</v>
      </c>
      <c r="D116" s="16">
        <f>IFERROR(__xludf.DUMMYFUNCTION("""COMPUTED_VALUE"""),580.0)</f>
        <v>580</v>
      </c>
      <c r="E116" s="16">
        <f>IFERROR(__xludf.DUMMYFUNCTION("""COMPUTED_VALUE"""),0.986206896551724)</f>
        <v>0.9862068966</v>
      </c>
      <c r="F116" s="16">
        <f>IFERROR(__xludf.DUMMYFUNCTION("""COMPUTED_VALUE"""),0.532758620689655)</f>
        <v>0.5327586207</v>
      </c>
      <c r="G116" s="16">
        <f>IFERROR(__xludf.DUMMYFUNCTION("""COMPUTED_VALUE"""),0.46551724137931)</f>
        <v>0.4655172414</v>
      </c>
      <c r="H116" s="16">
        <f>IFERROR(__xludf.DUMMYFUNCTION("""COMPUTED_VALUE"""),0.424137931034482)</f>
        <v>0.424137931</v>
      </c>
      <c r="I116" s="16">
        <f>IFERROR(__xludf.DUMMYFUNCTION("""COMPUTED_VALUE"""),0.386206896551724)</f>
        <v>0.3862068966</v>
      </c>
      <c r="J116" s="16">
        <f>IFERROR(__xludf.DUMMYFUNCTION("""COMPUTED_VALUE"""),0.346551724137931)</f>
        <v>0.3465517241</v>
      </c>
      <c r="K116" s="16">
        <f>IFERROR(__xludf.DUMMYFUNCTION("""COMPUTED_VALUE"""),0.320689655172413)</f>
        <v>0.3206896552</v>
      </c>
      <c r="L116" s="16">
        <f>IFERROR(__xludf.DUMMYFUNCTION("""COMPUTED_VALUE"""),0.300518134715025)</f>
        <v>0.3005181347</v>
      </c>
      <c r="M116" s="16">
        <f>IFERROR(__xludf.DUMMYFUNCTION("""COMPUTED_VALUE"""),0.280701754385964)</f>
        <v>0.2807017544</v>
      </c>
      <c r="N116" s="16">
        <f>IFERROR(__xludf.DUMMYFUNCTION("""COMPUTED_VALUE"""),0.248628884826325)</f>
        <v>0.2486288848</v>
      </c>
      <c r="O116" s="16">
        <f>IFERROR(__xludf.DUMMYFUNCTION("""COMPUTED_VALUE"""),0.198)</f>
        <v>0.198</v>
      </c>
      <c r="P116" s="16">
        <f>IFERROR(__xludf.DUMMYFUNCTION("""COMPUTED_VALUE"""),0.161383285302593)</f>
        <v>0.1613832853</v>
      </c>
      <c r="Q116" s="16">
        <f>IFERROR(__xludf.DUMMYFUNCTION("""COMPUTED_VALUE"""),0.0533333333333333)</f>
        <v>0.05333333333</v>
      </c>
      <c r="R116" s="16">
        <f>IFERROR(__xludf.DUMMYFUNCTION("""COMPUTED_VALUE"""),0.0317460317460317)</f>
        <v>0.03174603175</v>
      </c>
      <c r="S116" s="16">
        <f>IFERROR(__xludf.DUMMYFUNCTION("""COMPUTED_VALUE"""),0.0909090909090909)</f>
        <v>0.09090909091</v>
      </c>
      <c r="T116" s="16">
        <f>IFERROR(__xludf.DUMMYFUNCTION("""COMPUTED_VALUE"""),0.0)</f>
        <v>0</v>
      </c>
      <c r="U116" s="16">
        <f>IFERROR(__xludf.DUMMYFUNCTION("""COMPUTED_VALUE"""),0.0)</f>
        <v>0</v>
      </c>
      <c r="V116" s="16">
        <f>IFERROR(__xludf.DUMMYFUNCTION("""COMPUTED_VALUE"""),0.0)</f>
        <v>0</v>
      </c>
      <c r="W116" s="16">
        <f>IFERROR(__xludf.DUMMYFUNCTION("""COMPUTED_VALUE"""),0.0)</f>
        <v>0</v>
      </c>
      <c r="X116" s="16">
        <f>IFERROR(__xludf.DUMMYFUNCTION("""COMPUTED_VALUE"""),0.0)</f>
        <v>0</v>
      </c>
      <c r="Y116" s="16">
        <f>IFERROR(__xludf.DUMMYFUNCTION("""COMPUTED_VALUE"""),0.0)</f>
        <v>0</v>
      </c>
      <c r="Z116" s="16">
        <f>IFERROR(__xludf.DUMMYFUNCTION("""COMPUTED_VALUE"""),0.0)</f>
        <v>0</v>
      </c>
      <c r="AA116" s="16">
        <f>IFERROR(__xludf.DUMMYFUNCTION("""COMPUTED_VALUE"""),0.0)</f>
        <v>0</v>
      </c>
      <c r="AB116" s="16">
        <f>IFERROR(__xludf.DUMMYFUNCTION("""COMPUTED_VALUE"""),0.0)</f>
        <v>0</v>
      </c>
      <c r="AC116" s="16">
        <f>IFERROR(__xludf.DUMMYFUNCTION("""COMPUTED_VALUE"""),0.0)</f>
        <v>0</v>
      </c>
      <c r="AD116" s="16">
        <f>IFERROR(__xludf.DUMMYFUNCTION("""COMPUTED_VALUE"""),0.0)</f>
        <v>0</v>
      </c>
      <c r="AE116" s="16">
        <f>IFERROR(__xludf.DUMMYFUNCTION("""COMPUTED_VALUE"""),0.0)</f>
        <v>0</v>
      </c>
      <c r="AF116" s="16">
        <f>IFERROR(__xludf.DUMMYFUNCTION("""COMPUTED_VALUE"""),0.0)</f>
        <v>0</v>
      </c>
      <c r="AG116" s="16">
        <f>IFERROR(__xludf.DUMMYFUNCTION("""COMPUTED_VALUE"""),0.0)</f>
        <v>0</v>
      </c>
      <c r="AH116" s="16">
        <f>IFERROR(__xludf.DUMMYFUNCTION("""COMPUTED_VALUE"""),0.0)</f>
        <v>0</v>
      </c>
    </row>
    <row r="117">
      <c r="A117" s="16" t="str">
        <f>IFERROR(__xludf.DUMMYFUNCTION("""COMPUTED_VALUE"""),"5cf4b46f18d6bb7294440595874ef70922a2b9a3")</f>
        <v>5cf4b46f18d6bb7294440595874ef70922a2b9a3</v>
      </c>
      <c r="B117" s="16" t="str">
        <f>IFERROR(__xludf.DUMMYFUNCTION("""COMPUTED_VALUE"""),"Alabama Royal")</f>
        <v>Alabama Royal</v>
      </c>
      <c r="C117" s="16" t="str">
        <f>IFERROR(__xludf.DUMMYFUNCTION("""COMPUTED_VALUE"""),"Romance")</f>
        <v>Romance</v>
      </c>
      <c r="D117" s="16">
        <f>IFERROR(__xludf.DUMMYFUNCTION("""COMPUTED_VALUE"""),471.0)</f>
        <v>471</v>
      </c>
      <c r="E117" s="16">
        <f>IFERROR(__xludf.DUMMYFUNCTION("""COMPUTED_VALUE"""),0.972399150743099)</f>
        <v>0.9723991507</v>
      </c>
      <c r="F117" s="16">
        <f>IFERROR(__xludf.DUMMYFUNCTION("""COMPUTED_VALUE"""),0.486199575371549)</f>
        <v>0.4861995754</v>
      </c>
      <c r="G117" s="16">
        <f>IFERROR(__xludf.DUMMYFUNCTION("""COMPUTED_VALUE"""),0.441613588110403)</f>
        <v>0.4416135881</v>
      </c>
      <c r="H117" s="16">
        <f>IFERROR(__xludf.DUMMYFUNCTION("""COMPUTED_VALUE"""),0.401273885350318)</f>
        <v>0.4012738854</v>
      </c>
      <c r="I117" s="16">
        <f>IFERROR(__xludf.DUMMYFUNCTION("""COMPUTED_VALUE"""),0.371549893842887)</f>
        <v>0.3715498938</v>
      </c>
      <c r="J117" s="16">
        <f>IFERROR(__xludf.DUMMYFUNCTION("""COMPUTED_VALUE"""),0.335456475583864)</f>
        <v>0.3354564756</v>
      </c>
      <c r="K117" s="16">
        <f>IFERROR(__xludf.DUMMYFUNCTION("""COMPUTED_VALUE"""),0.320594479830148)</f>
        <v>0.3205944798</v>
      </c>
      <c r="L117" s="16">
        <f>IFERROR(__xludf.DUMMYFUNCTION("""COMPUTED_VALUE"""),0.29936305732484)</f>
        <v>0.2993630573</v>
      </c>
      <c r="M117" s="16">
        <f>IFERROR(__xludf.DUMMYFUNCTION("""COMPUTED_VALUE"""),0.282377919320594)</f>
        <v>0.2823779193</v>
      </c>
      <c r="N117" s="16">
        <f>IFERROR(__xludf.DUMMYFUNCTION("""COMPUTED_VALUE"""),0.268085106382978)</f>
        <v>0.2680851064</v>
      </c>
      <c r="O117" s="16">
        <f>IFERROR(__xludf.DUMMYFUNCTION("""COMPUTED_VALUE"""),0.227765726681128)</f>
        <v>0.2277657267</v>
      </c>
      <c r="P117" s="16">
        <f>IFERROR(__xludf.DUMMYFUNCTION("""COMPUTED_VALUE"""),0.194690265486725)</f>
        <v>0.1946902655</v>
      </c>
      <c r="Q117" s="16">
        <f>IFERROR(__xludf.DUMMYFUNCTION("""COMPUTED_VALUE"""),0.148148148148148)</f>
        <v>0.1481481481</v>
      </c>
      <c r="R117" s="16">
        <f>IFERROR(__xludf.DUMMYFUNCTION("""COMPUTED_VALUE"""),0.0)</f>
        <v>0</v>
      </c>
      <c r="S117" s="16">
        <f>IFERROR(__xludf.DUMMYFUNCTION("""COMPUTED_VALUE"""),0.0)</f>
        <v>0</v>
      </c>
      <c r="T117" s="16">
        <f>IFERROR(__xludf.DUMMYFUNCTION("""COMPUTED_VALUE"""),0.0)</f>
        <v>0</v>
      </c>
      <c r="U117" s="16">
        <f>IFERROR(__xludf.DUMMYFUNCTION("""COMPUTED_VALUE"""),0.0)</f>
        <v>0</v>
      </c>
      <c r="V117" s="16">
        <f>IFERROR(__xludf.DUMMYFUNCTION("""COMPUTED_VALUE"""),0.0)</f>
        <v>0</v>
      </c>
      <c r="W117" s="16">
        <f>IFERROR(__xludf.DUMMYFUNCTION("""COMPUTED_VALUE"""),0.0)</f>
        <v>0</v>
      </c>
      <c r="X117" s="16">
        <f>IFERROR(__xludf.DUMMYFUNCTION("""COMPUTED_VALUE"""),0.0)</f>
        <v>0</v>
      </c>
      <c r="Y117" s="16">
        <f>IFERROR(__xludf.DUMMYFUNCTION("""COMPUTED_VALUE"""),0.0)</f>
        <v>0</v>
      </c>
      <c r="Z117" s="16">
        <f>IFERROR(__xludf.DUMMYFUNCTION("""COMPUTED_VALUE"""),0.0)</f>
        <v>0</v>
      </c>
      <c r="AA117" s="16">
        <f>IFERROR(__xludf.DUMMYFUNCTION("""COMPUTED_VALUE"""),0.0)</f>
        <v>0</v>
      </c>
      <c r="AB117" s="16">
        <f>IFERROR(__xludf.DUMMYFUNCTION("""COMPUTED_VALUE"""),0.0)</f>
        <v>0</v>
      </c>
      <c r="AC117" s="16">
        <f>IFERROR(__xludf.DUMMYFUNCTION("""COMPUTED_VALUE"""),0.0)</f>
        <v>0</v>
      </c>
      <c r="AD117" s="16">
        <f>IFERROR(__xludf.DUMMYFUNCTION("""COMPUTED_VALUE"""),0.0)</f>
        <v>0</v>
      </c>
      <c r="AE117" s="16">
        <f>IFERROR(__xludf.DUMMYFUNCTION("""COMPUTED_VALUE"""),0.0)</f>
        <v>0</v>
      </c>
      <c r="AF117" s="16">
        <f>IFERROR(__xludf.DUMMYFUNCTION("""COMPUTED_VALUE"""),0.0)</f>
        <v>0</v>
      </c>
      <c r="AG117" s="16">
        <f>IFERROR(__xludf.DUMMYFUNCTION("""COMPUTED_VALUE"""),0.0)</f>
        <v>0</v>
      </c>
      <c r="AH117" s="16">
        <f>IFERROR(__xludf.DUMMYFUNCTION("""COMPUTED_VALUE"""),0.0)</f>
        <v>0</v>
      </c>
    </row>
    <row r="118">
      <c r="A118" s="16" t="str">
        <f>IFERROR(__xludf.DUMMYFUNCTION("""COMPUTED_VALUE"""),"5d4e7e8696e74e383e0ea0e4f4f535ba9758496a")</f>
        <v>5d4e7e8696e74e383e0ea0e4f4f535ba9758496a</v>
      </c>
      <c r="B118" s="16" t="str">
        <f>IFERROR(__xludf.DUMMYFUNCTION("""COMPUTED_VALUE"""),"Who Fathered My Twins")</f>
        <v>Who Fathered My Twins</v>
      </c>
      <c r="C118" s="16" t="str">
        <f>IFERROR(__xludf.DUMMYFUNCTION("""COMPUTED_VALUE"""),"Romance")</f>
        <v>Romance</v>
      </c>
      <c r="D118" s="16">
        <f>IFERROR(__xludf.DUMMYFUNCTION("""COMPUTED_VALUE"""),83.0)</f>
        <v>83</v>
      </c>
      <c r="E118" s="16">
        <f>IFERROR(__xludf.DUMMYFUNCTION("""COMPUTED_VALUE"""),0.951807228915662)</f>
        <v>0.9518072289</v>
      </c>
      <c r="F118" s="16">
        <f>IFERROR(__xludf.DUMMYFUNCTION("""COMPUTED_VALUE"""),0.662650602409638)</f>
        <v>0.6626506024</v>
      </c>
      <c r="G118" s="16">
        <f>IFERROR(__xludf.DUMMYFUNCTION("""COMPUTED_VALUE"""),0.614457831325301)</f>
        <v>0.6144578313</v>
      </c>
      <c r="H118" s="16">
        <f>IFERROR(__xludf.DUMMYFUNCTION("""COMPUTED_VALUE"""),0.578313253012048)</f>
        <v>0.578313253</v>
      </c>
      <c r="I118" s="16">
        <f>IFERROR(__xludf.DUMMYFUNCTION("""COMPUTED_VALUE"""),0.542168674698795)</f>
        <v>0.5421686747</v>
      </c>
      <c r="J118" s="16">
        <f>IFERROR(__xludf.DUMMYFUNCTION("""COMPUTED_VALUE"""),0.542168674698795)</f>
        <v>0.5421686747</v>
      </c>
      <c r="K118" s="16">
        <f>IFERROR(__xludf.DUMMYFUNCTION("""COMPUTED_VALUE"""),0.493975903614457)</f>
        <v>0.4939759036</v>
      </c>
      <c r="L118" s="16">
        <f>IFERROR(__xludf.DUMMYFUNCTION("""COMPUTED_VALUE"""),0.469879518072289)</f>
        <v>0.4698795181</v>
      </c>
      <c r="M118" s="16">
        <f>IFERROR(__xludf.DUMMYFUNCTION("""COMPUTED_VALUE"""),0.493975903614457)</f>
        <v>0.4939759036</v>
      </c>
      <c r="N118" s="16">
        <f>IFERROR(__xludf.DUMMYFUNCTION("""COMPUTED_VALUE"""),0.469135802469135)</f>
        <v>0.4691358025</v>
      </c>
      <c r="O118" s="16">
        <f>IFERROR(__xludf.DUMMYFUNCTION("""COMPUTED_VALUE"""),0.47945205479452)</f>
        <v>0.4794520548</v>
      </c>
      <c r="P118" s="16">
        <f>IFERROR(__xludf.DUMMYFUNCTION("""COMPUTED_VALUE"""),0.208333333333333)</f>
        <v>0.2083333333</v>
      </c>
      <c r="Q118" s="16">
        <f>IFERROR(__xludf.DUMMYFUNCTION("""COMPUTED_VALUE"""),0.0806451612903225)</f>
        <v>0.08064516129</v>
      </c>
      <c r="R118" s="16">
        <f>IFERROR(__xludf.DUMMYFUNCTION("""COMPUTED_VALUE"""),0.127659574468085)</f>
        <v>0.1276595745</v>
      </c>
      <c r="S118" s="16">
        <f>IFERROR(__xludf.DUMMYFUNCTION("""COMPUTED_VALUE"""),0.0)</f>
        <v>0</v>
      </c>
      <c r="T118" s="16">
        <f>IFERROR(__xludf.DUMMYFUNCTION("""COMPUTED_VALUE"""),0.0)</f>
        <v>0</v>
      </c>
      <c r="U118" s="16">
        <f>IFERROR(__xludf.DUMMYFUNCTION("""COMPUTED_VALUE"""),0.0)</f>
        <v>0</v>
      </c>
      <c r="V118" s="16">
        <f>IFERROR(__xludf.DUMMYFUNCTION("""COMPUTED_VALUE"""),0.0)</f>
        <v>0</v>
      </c>
      <c r="W118" s="16">
        <f>IFERROR(__xludf.DUMMYFUNCTION("""COMPUTED_VALUE"""),0.0)</f>
        <v>0</v>
      </c>
      <c r="X118" s="16">
        <f>IFERROR(__xludf.DUMMYFUNCTION("""COMPUTED_VALUE"""),0.0)</f>
        <v>0</v>
      </c>
      <c r="Y118" s="16">
        <f>IFERROR(__xludf.DUMMYFUNCTION("""COMPUTED_VALUE"""),0.0)</f>
        <v>0</v>
      </c>
      <c r="Z118" s="16">
        <f>IFERROR(__xludf.DUMMYFUNCTION("""COMPUTED_VALUE"""),0.0)</f>
        <v>0</v>
      </c>
      <c r="AA118" s="16">
        <f>IFERROR(__xludf.DUMMYFUNCTION("""COMPUTED_VALUE"""),0.0)</f>
        <v>0</v>
      </c>
      <c r="AB118" s="16">
        <f>IFERROR(__xludf.DUMMYFUNCTION("""COMPUTED_VALUE"""),0.0)</f>
        <v>0</v>
      </c>
      <c r="AC118" s="16">
        <f>IFERROR(__xludf.DUMMYFUNCTION("""COMPUTED_VALUE"""),0.0)</f>
        <v>0</v>
      </c>
      <c r="AD118" s="16">
        <f>IFERROR(__xludf.DUMMYFUNCTION("""COMPUTED_VALUE"""),0.0)</f>
        <v>0</v>
      </c>
      <c r="AE118" s="16">
        <f>IFERROR(__xludf.DUMMYFUNCTION("""COMPUTED_VALUE"""),0.0)</f>
        <v>0</v>
      </c>
      <c r="AF118" s="16">
        <f>IFERROR(__xludf.DUMMYFUNCTION("""COMPUTED_VALUE"""),0.0)</f>
        <v>0</v>
      </c>
      <c r="AG118" s="16">
        <f>IFERROR(__xludf.DUMMYFUNCTION("""COMPUTED_VALUE"""),0.0)</f>
        <v>0</v>
      </c>
      <c r="AH118" s="16">
        <f>IFERROR(__xludf.DUMMYFUNCTION("""COMPUTED_VALUE"""),0.0)</f>
        <v>0</v>
      </c>
    </row>
    <row r="119">
      <c r="A119" s="16" t="str">
        <f>IFERROR(__xludf.DUMMYFUNCTION("""COMPUTED_VALUE"""),"5e570d3fccfb5029774b4d9f9669429f580d0791")</f>
        <v>5e570d3fccfb5029774b4d9f9669429f580d0791</v>
      </c>
      <c r="B119" s="16" t="str">
        <f>IFERROR(__xludf.DUMMYFUNCTION("""COMPUTED_VALUE"""),"Princess Ebony &amp; the Silver Dragon")</f>
        <v>Princess Ebony &amp; the Silver Dragon</v>
      </c>
      <c r="C119" s="16" t="str">
        <f>IFERROR(__xludf.DUMMYFUNCTION("""COMPUTED_VALUE"""),"Fantasy")</f>
        <v>Fantasy</v>
      </c>
      <c r="D119" s="16">
        <f>IFERROR(__xludf.DUMMYFUNCTION("""COMPUTED_VALUE"""),914.0)</f>
        <v>914</v>
      </c>
      <c r="E119" s="16">
        <f>IFERROR(__xludf.DUMMYFUNCTION("""COMPUTED_VALUE"""),0.927789934354485)</f>
        <v>0.9277899344</v>
      </c>
      <c r="F119" s="16">
        <f>IFERROR(__xludf.DUMMYFUNCTION("""COMPUTED_VALUE"""),0.659737417943107)</f>
        <v>0.6597374179</v>
      </c>
      <c r="G119" s="16">
        <f>IFERROR(__xludf.DUMMYFUNCTION("""COMPUTED_VALUE"""),0.597374179431072)</f>
        <v>0.5973741794</v>
      </c>
      <c r="H119" s="16">
        <f>IFERROR(__xludf.DUMMYFUNCTION("""COMPUTED_VALUE"""),0.565645514223194)</f>
        <v>0.5656455142</v>
      </c>
      <c r="I119" s="16">
        <f>IFERROR(__xludf.DUMMYFUNCTION("""COMPUTED_VALUE"""),0.560175054704595)</f>
        <v>0.5601750547</v>
      </c>
      <c r="J119" s="16">
        <f>IFERROR(__xludf.DUMMYFUNCTION("""COMPUTED_VALUE"""),0.543763676148796)</f>
        <v>0.5437636761</v>
      </c>
      <c r="K119" s="16">
        <f>IFERROR(__xludf.DUMMYFUNCTION("""COMPUTED_VALUE"""),0.514786418400876)</f>
        <v>0.5147864184</v>
      </c>
      <c r="L119" s="16">
        <f>IFERROR(__xludf.DUMMYFUNCTION("""COMPUTED_VALUE"""),0.509911894273127)</f>
        <v>0.5099118943</v>
      </c>
      <c r="M119" s="16">
        <f>IFERROR(__xludf.DUMMYFUNCTION("""COMPUTED_VALUE"""),0.501101321585903)</f>
        <v>0.5011013216</v>
      </c>
      <c r="N119" s="16">
        <f>IFERROR(__xludf.DUMMYFUNCTION("""COMPUTED_VALUE"""),0.492290748898678)</f>
        <v>0.4922907489</v>
      </c>
      <c r="O119" s="16">
        <f>IFERROR(__xludf.DUMMYFUNCTION("""COMPUTED_VALUE"""),0.454845814977973)</f>
        <v>0.454845815</v>
      </c>
      <c r="P119" s="16">
        <f>IFERROR(__xludf.DUMMYFUNCTION("""COMPUTED_VALUE"""),0.399779735682819)</f>
        <v>0.3997797357</v>
      </c>
      <c r="Q119" s="16">
        <f>IFERROR(__xludf.DUMMYFUNCTION("""COMPUTED_VALUE"""),0.320484581497797)</f>
        <v>0.3204845815</v>
      </c>
      <c r="R119" s="16">
        <f>IFERROR(__xludf.DUMMYFUNCTION("""COMPUTED_VALUE"""),0.296255506607929)</f>
        <v>0.2962555066</v>
      </c>
      <c r="S119" s="16">
        <f>IFERROR(__xludf.DUMMYFUNCTION("""COMPUTED_VALUE"""),0.258810572687224)</f>
        <v>0.2588105727</v>
      </c>
      <c r="T119" s="16">
        <f>IFERROR(__xludf.DUMMYFUNCTION("""COMPUTED_VALUE"""),0.224917309812568)</f>
        <v>0.2249173098</v>
      </c>
      <c r="U119" s="16">
        <f>IFERROR(__xludf.DUMMYFUNCTION("""COMPUTED_VALUE"""),0.176646706586826)</f>
        <v>0.1766467066</v>
      </c>
      <c r="V119" s="16">
        <f>IFERROR(__xludf.DUMMYFUNCTION("""COMPUTED_VALUE"""),0.120535714285714)</f>
        <v>0.1205357143</v>
      </c>
      <c r="W119" s="16">
        <f>IFERROR(__xludf.DUMMYFUNCTION("""COMPUTED_VALUE"""),0.123076923076923)</f>
        <v>0.1230769231</v>
      </c>
      <c r="X119" s="16">
        <f>IFERROR(__xludf.DUMMYFUNCTION("""COMPUTED_VALUE"""),0.032258064516129)</f>
        <v>0.03225806452</v>
      </c>
      <c r="Y119" s="16">
        <f>IFERROR(__xludf.DUMMYFUNCTION("""COMPUTED_VALUE"""),0.116279069767441)</f>
        <v>0.1162790698</v>
      </c>
      <c r="Z119" s="16">
        <f>IFERROR(__xludf.DUMMYFUNCTION("""COMPUTED_VALUE"""),0.0606060606060606)</f>
        <v>0.06060606061</v>
      </c>
      <c r="AA119" s="16">
        <f>IFERROR(__xludf.DUMMYFUNCTION("""COMPUTED_VALUE"""),1.0)</f>
        <v>1</v>
      </c>
      <c r="AB119" s="16">
        <f>IFERROR(__xludf.DUMMYFUNCTION("""COMPUTED_VALUE"""),0.0)</f>
        <v>0</v>
      </c>
      <c r="AC119" s="16">
        <f>IFERROR(__xludf.DUMMYFUNCTION("""COMPUTED_VALUE"""),0.0)</f>
        <v>0</v>
      </c>
      <c r="AD119" s="16">
        <f>IFERROR(__xludf.DUMMYFUNCTION("""COMPUTED_VALUE"""),0.0)</f>
        <v>0</v>
      </c>
      <c r="AE119" s="16">
        <f>IFERROR(__xludf.DUMMYFUNCTION("""COMPUTED_VALUE"""),0.0)</f>
        <v>0</v>
      </c>
      <c r="AF119" s="16">
        <f>IFERROR(__xludf.DUMMYFUNCTION("""COMPUTED_VALUE"""),0.0)</f>
        <v>0</v>
      </c>
      <c r="AG119" s="16">
        <f>IFERROR(__xludf.DUMMYFUNCTION("""COMPUTED_VALUE"""),0.0)</f>
        <v>0</v>
      </c>
      <c r="AH119" s="16">
        <f>IFERROR(__xludf.DUMMYFUNCTION("""COMPUTED_VALUE"""),0.0)</f>
        <v>0</v>
      </c>
    </row>
    <row r="120">
      <c r="A120" s="16" t="str">
        <f>IFERROR(__xludf.DUMMYFUNCTION("""COMPUTED_VALUE"""),"600fd3dce36442cc62b42d3dc874d91d13e1d8e4")</f>
        <v>600fd3dce36442cc62b42d3dc874d91d13e1d8e4</v>
      </c>
      <c r="B120" s="16" t="str">
        <f>IFERROR(__xludf.DUMMYFUNCTION("""COMPUTED_VALUE"""),"Solo Leveling Respawn")</f>
        <v>Solo Leveling Respawn</v>
      </c>
      <c r="C120" s="16" t="str">
        <f>IFERROR(__xludf.DUMMYFUNCTION("""COMPUTED_VALUE"""),"System and Superpower")</f>
        <v>System and Superpower</v>
      </c>
      <c r="D120" s="16">
        <f>IFERROR(__xludf.DUMMYFUNCTION("""COMPUTED_VALUE"""),8.0)</f>
        <v>8</v>
      </c>
      <c r="E120" s="16">
        <f>IFERROR(__xludf.DUMMYFUNCTION("""COMPUTED_VALUE"""),1.0)</f>
        <v>1</v>
      </c>
      <c r="F120" s="16">
        <f>IFERROR(__xludf.DUMMYFUNCTION("""COMPUTED_VALUE"""),0.375)</f>
        <v>0.375</v>
      </c>
      <c r="G120" s="16">
        <f>IFERROR(__xludf.DUMMYFUNCTION("""COMPUTED_VALUE"""),0.25)</f>
        <v>0.25</v>
      </c>
      <c r="H120" s="16">
        <f>IFERROR(__xludf.DUMMYFUNCTION("""COMPUTED_VALUE"""),0.25)</f>
        <v>0.25</v>
      </c>
      <c r="I120" s="16">
        <f>IFERROR(__xludf.DUMMYFUNCTION("""COMPUTED_VALUE"""),0.125)</f>
        <v>0.125</v>
      </c>
      <c r="J120" s="16">
        <f>IFERROR(__xludf.DUMMYFUNCTION("""COMPUTED_VALUE"""),0.0)</f>
        <v>0</v>
      </c>
      <c r="K120" s="16">
        <f>IFERROR(__xludf.DUMMYFUNCTION("""COMPUTED_VALUE"""),0.0)</f>
        <v>0</v>
      </c>
      <c r="L120" s="16">
        <f>IFERROR(__xludf.DUMMYFUNCTION("""COMPUTED_VALUE"""),0.0)</f>
        <v>0</v>
      </c>
      <c r="M120" s="16">
        <f>IFERROR(__xludf.DUMMYFUNCTION("""COMPUTED_VALUE"""),0.0)</f>
        <v>0</v>
      </c>
      <c r="N120" s="16">
        <f>IFERROR(__xludf.DUMMYFUNCTION("""COMPUTED_VALUE"""),0.0)</f>
        <v>0</v>
      </c>
      <c r="O120" s="16">
        <f>IFERROR(__xludf.DUMMYFUNCTION("""COMPUTED_VALUE"""),0.0)</f>
        <v>0</v>
      </c>
      <c r="P120" s="16">
        <f>IFERROR(__xludf.DUMMYFUNCTION("""COMPUTED_VALUE"""),0.0)</f>
        <v>0</v>
      </c>
      <c r="Q120" s="16">
        <f>IFERROR(__xludf.DUMMYFUNCTION("""COMPUTED_VALUE"""),0.0)</f>
        <v>0</v>
      </c>
      <c r="R120" s="16">
        <f>IFERROR(__xludf.DUMMYFUNCTION("""COMPUTED_VALUE"""),0.0)</f>
        <v>0</v>
      </c>
      <c r="S120" s="16">
        <f>IFERROR(__xludf.DUMMYFUNCTION("""COMPUTED_VALUE"""),0.0)</f>
        <v>0</v>
      </c>
      <c r="T120" s="16">
        <f>IFERROR(__xludf.DUMMYFUNCTION("""COMPUTED_VALUE"""),0.0)</f>
        <v>0</v>
      </c>
      <c r="U120" s="16">
        <f>IFERROR(__xludf.DUMMYFUNCTION("""COMPUTED_VALUE"""),0.0)</f>
        <v>0</v>
      </c>
      <c r="V120" s="16">
        <f>IFERROR(__xludf.DUMMYFUNCTION("""COMPUTED_VALUE"""),0.0)</f>
        <v>0</v>
      </c>
      <c r="W120" s="16">
        <f>IFERROR(__xludf.DUMMYFUNCTION("""COMPUTED_VALUE"""),0.0)</f>
        <v>0</v>
      </c>
      <c r="X120" s="16">
        <f>IFERROR(__xludf.DUMMYFUNCTION("""COMPUTED_VALUE"""),0.0)</f>
        <v>0</v>
      </c>
      <c r="Y120" s="16">
        <f>IFERROR(__xludf.DUMMYFUNCTION("""COMPUTED_VALUE"""),0.0)</f>
        <v>0</v>
      </c>
      <c r="Z120" s="16">
        <f>IFERROR(__xludf.DUMMYFUNCTION("""COMPUTED_VALUE"""),0.0)</f>
        <v>0</v>
      </c>
      <c r="AA120" s="16">
        <f>IFERROR(__xludf.DUMMYFUNCTION("""COMPUTED_VALUE"""),0.0)</f>
        <v>0</v>
      </c>
      <c r="AB120" s="16">
        <f>IFERROR(__xludf.DUMMYFUNCTION("""COMPUTED_VALUE"""),0.0)</f>
        <v>0</v>
      </c>
      <c r="AC120" s="16">
        <f>IFERROR(__xludf.DUMMYFUNCTION("""COMPUTED_VALUE"""),0.0)</f>
        <v>0</v>
      </c>
      <c r="AD120" s="16">
        <f>IFERROR(__xludf.DUMMYFUNCTION("""COMPUTED_VALUE"""),0.0)</f>
        <v>0</v>
      </c>
      <c r="AE120" s="16">
        <f>IFERROR(__xludf.DUMMYFUNCTION("""COMPUTED_VALUE"""),0.0)</f>
        <v>0</v>
      </c>
      <c r="AF120" s="16">
        <f>IFERROR(__xludf.DUMMYFUNCTION("""COMPUTED_VALUE"""),0.0)</f>
        <v>0</v>
      </c>
      <c r="AG120" s="16">
        <f>IFERROR(__xludf.DUMMYFUNCTION("""COMPUTED_VALUE"""),0.0)</f>
        <v>0</v>
      </c>
      <c r="AH120" s="16">
        <f>IFERROR(__xludf.DUMMYFUNCTION("""COMPUTED_VALUE"""),0.0)</f>
        <v>0</v>
      </c>
    </row>
    <row r="121">
      <c r="A121" s="16" t="str">
        <f>IFERROR(__xludf.DUMMYFUNCTION("""COMPUTED_VALUE"""),"607c0f609185406d26ef53f75ec53702dfb292d7")</f>
        <v>607c0f609185406d26ef53f75ec53702dfb292d7</v>
      </c>
      <c r="B121" s="16" t="str">
        <f>IFERROR(__xludf.DUMMYFUNCTION("""COMPUTED_VALUE"""),"The Chaosborn Child")</f>
        <v>The Chaosborn Child</v>
      </c>
      <c r="C121" s="16" t="str">
        <f>IFERROR(__xludf.DUMMYFUNCTION("""COMPUTED_VALUE"""),"Fantasy")</f>
        <v>Fantasy</v>
      </c>
      <c r="D121" s="16">
        <f>IFERROR(__xludf.DUMMYFUNCTION("""COMPUTED_VALUE"""),15.0)</f>
        <v>15</v>
      </c>
      <c r="E121" s="16">
        <f>IFERROR(__xludf.DUMMYFUNCTION("""COMPUTED_VALUE"""),1.0)</f>
        <v>1</v>
      </c>
      <c r="F121" s="16">
        <f>IFERROR(__xludf.DUMMYFUNCTION("""COMPUTED_VALUE"""),0.733333333333333)</f>
        <v>0.7333333333</v>
      </c>
      <c r="G121" s="16">
        <f>IFERROR(__xludf.DUMMYFUNCTION("""COMPUTED_VALUE"""),0.6)</f>
        <v>0.6</v>
      </c>
      <c r="H121" s="16">
        <f>IFERROR(__xludf.DUMMYFUNCTION("""COMPUTED_VALUE"""),0.6)</f>
        <v>0.6</v>
      </c>
      <c r="I121" s="16">
        <f>IFERROR(__xludf.DUMMYFUNCTION("""COMPUTED_VALUE"""),0.533333333333333)</f>
        <v>0.5333333333</v>
      </c>
      <c r="J121" s="16">
        <f>IFERROR(__xludf.DUMMYFUNCTION("""COMPUTED_VALUE"""),0.533333333333333)</f>
        <v>0.5333333333</v>
      </c>
      <c r="K121" s="16">
        <f>IFERROR(__xludf.DUMMYFUNCTION("""COMPUTED_VALUE"""),0.533333333333333)</f>
        <v>0.5333333333</v>
      </c>
      <c r="L121" s="16">
        <f>IFERROR(__xludf.DUMMYFUNCTION("""COMPUTED_VALUE"""),0.466666666666666)</f>
        <v>0.4666666667</v>
      </c>
      <c r="M121" s="16">
        <f>IFERROR(__xludf.DUMMYFUNCTION("""COMPUTED_VALUE"""),0.466666666666666)</f>
        <v>0.4666666667</v>
      </c>
      <c r="N121" s="16">
        <f>IFERROR(__xludf.DUMMYFUNCTION("""COMPUTED_VALUE"""),0.4)</f>
        <v>0.4</v>
      </c>
      <c r="O121" s="16">
        <f>IFERROR(__xludf.DUMMYFUNCTION("""COMPUTED_VALUE"""),0.266666666666666)</f>
        <v>0.2666666667</v>
      </c>
      <c r="P121" s="16">
        <f>IFERROR(__xludf.DUMMYFUNCTION("""COMPUTED_VALUE"""),0.307692307692307)</f>
        <v>0.3076923077</v>
      </c>
      <c r="Q121" s="16">
        <f>IFERROR(__xludf.DUMMYFUNCTION("""COMPUTED_VALUE"""),0.111111111111111)</f>
        <v>0.1111111111</v>
      </c>
      <c r="R121" s="16">
        <f>IFERROR(__xludf.DUMMYFUNCTION("""COMPUTED_VALUE"""),0.0)</f>
        <v>0</v>
      </c>
      <c r="S121" s="16">
        <f>IFERROR(__xludf.DUMMYFUNCTION("""COMPUTED_VALUE"""),0.0)</f>
        <v>0</v>
      </c>
      <c r="T121" s="16">
        <f>IFERROR(__xludf.DUMMYFUNCTION("""COMPUTED_VALUE"""),0.0)</f>
        <v>0</v>
      </c>
      <c r="U121" s="16">
        <f>IFERROR(__xludf.DUMMYFUNCTION("""COMPUTED_VALUE"""),0.0)</f>
        <v>0</v>
      </c>
      <c r="V121" s="16">
        <f>IFERROR(__xludf.DUMMYFUNCTION("""COMPUTED_VALUE"""),0.0)</f>
        <v>0</v>
      </c>
      <c r="W121" s="16">
        <f>IFERROR(__xludf.DUMMYFUNCTION("""COMPUTED_VALUE"""),0.0)</f>
        <v>0</v>
      </c>
      <c r="X121" s="16">
        <f>IFERROR(__xludf.DUMMYFUNCTION("""COMPUTED_VALUE"""),0.0)</f>
        <v>0</v>
      </c>
      <c r="Y121" s="16">
        <f>IFERROR(__xludf.DUMMYFUNCTION("""COMPUTED_VALUE"""),0.0)</f>
        <v>0</v>
      </c>
      <c r="Z121" s="16">
        <f>IFERROR(__xludf.DUMMYFUNCTION("""COMPUTED_VALUE"""),0.0)</f>
        <v>0</v>
      </c>
      <c r="AA121" s="16">
        <f>IFERROR(__xludf.DUMMYFUNCTION("""COMPUTED_VALUE"""),0.0)</f>
        <v>0</v>
      </c>
      <c r="AB121" s="16">
        <f>IFERROR(__xludf.DUMMYFUNCTION("""COMPUTED_VALUE"""),0.0)</f>
        <v>0</v>
      </c>
      <c r="AC121" s="16">
        <f>IFERROR(__xludf.DUMMYFUNCTION("""COMPUTED_VALUE"""),0.0)</f>
        <v>0</v>
      </c>
      <c r="AD121" s="16">
        <f>IFERROR(__xludf.DUMMYFUNCTION("""COMPUTED_VALUE"""),0.0)</f>
        <v>0</v>
      </c>
      <c r="AE121" s="16">
        <f>IFERROR(__xludf.DUMMYFUNCTION("""COMPUTED_VALUE"""),0.0)</f>
        <v>0</v>
      </c>
      <c r="AF121" s="16">
        <f>IFERROR(__xludf.DUMMYFUNCTION("""COMPUTED_VALUE"""),0.0)</f>
        <v>0</v>
      </c>
      <c r="AG121" s="16">
        <f>IFERROR(__xludf.DUMMYFUNCTION("""COMPUTED_VALUE"""),0.0)</f>
        <v>0</v>
      </c>
      <c r="AH121" s="16">
        <f>IFERROR(__xludf.DUMMYFUNCTION("""COMPUTED_VALUE"""),0.0)</f>
        <v>0</v>
      </c>
    </row>
    <row r="122">
      <c r="A122" s="16" t="str">
        <f>IFERROR(__xludf.DUMMYFUNCTION("""COMPUTED_VALUE"""),"616431aa030a50bfb34a59a1919f5a8db0c29017")</f>
        <v>616431aa030a50bfb34a59a1919f5a8db0c29017</v>
      </c>
      <c r="B122" s="16" t="str">
        <f>IFERROR(__xludf.DUMMYFUNCTION("""COMPUTED_VALUE"""),"She Came Back Fabulous")</f>
        <v>She Came Back Fabulous</v>
      </c>
      <c r="C122" s="16" t="str">
        <f>IFERROR(__xludf.DUMMYFUNCTION("""COMPUTED_VALUE"""),"Romance")</f>
        <v>Romance</v>
      </c>
      <c r="D122" s="16">
        <f>IFERROR(__xludf.DUMMYFUNCTION("""COMPUTED_VALUE"""),446.0)</f>
        <v>446</v>
      </c>
      <c r="E122" s="16">
        <f>IFERROR(__xludf.DUMMYFUNCTION("""COMPUTED_VALUE"""),0.959641255605381)</f>
        <v>0.9596412556</v>
      </c>
      <c r="F122" s="16">
        <f>IFERROR(__xludf.DUMMYFUNCTION("""COMPUTED_VALUE"""),0.571748878923766)</f>
        <v>0.5717488789</v>
      </c>
      <c r="G122" s="16">
        <f>IFERROR(__xludf.DUMMYFUNCTION("""COMPUTED_VALUE"""),0.533632286995515)</f>
        <v>0.533632287</v>
      </c>
      <c r="H122" s="16">
        <f>IFERROR(__xludf.DUMMYFUNCTION("""COMPUTED_VALUE"""),0.495515695067264)</f>
        <v>0.4955156951</v>
      </c>
      <c r="I122" s="16">
        <f>IFERROR(__xludf.DUMMYFUNCTION("""COMPUTED_VALUE"""),0.437219730941704)</f>
        <v>0.4372197309</v>
      </c>
      <c r="J122" s="16">
        <f>IFERROR(__xludf.DUMMYFUNCTION("""COMPUTED_VALUE"""),0.392776523702031)</f>
        <v>0.3927765237</v>
      </c>
      <c r="K122" s="16">
        <f>IFERROR(__xludf.DUMMYFUNCTION("""COMPUTED_VALUE"""),0.37641723356009)</f>
        <v>0.3764172336</v>
      </c>
      <c r="L122" s="16">
        <f>IFERROR(__xludf.DUMMYFUNCTION("""COMPUTED_VALUE"""),0.346420323325635)</f>
        <v>0.3464203233</v>
      </c>
      <c r="M122" s="16">
        <f>IFERROR(__xludf.DUMMYFUNCTION("""COMPUTED_VALUE"""),0.359813084112149)</f>
        <v>0.3598130841</v>
      </c>
      <c r="N122" s="16">
        <f>IFERROR(__xludf.DUMMYFUNCTION("""COMPUTED_VALUE"""),0.357487922705314)</f>
        <v>0.3574879227</v>
      </c>
      <c r="O122" s="16">
        <f>IFERROR(__xludf.DUMMYFUNCTION("""COMPUTED_VALUE"""),0.341666666666666)</f>
        <v>0.3416666667</v>
      </c>
      <c r="P122" s="16">
        <f>IFERROR(__xludf.DUMMYFUNCTION("""COMPUTED_VALUE"""),0.328571428571428)</f>
        <v>0.3285714286</v>
      </c>
      <c r="Q122" s="16">
        <f>IFERROR(__xludf.DUMMYFUNCTION("""COMPUTED_VALUE"""),0.142857142857142)</f>
        <v>0.1428571429</v>
      </c>
      <c r="R122" s="16">
        <f>IFERROR(__xludf.DUMMYFUNCTION("""COMPUTED_VALUE"""),0.0)</f>
        <v>0</v>
      </c>
      <c r="S122" s="16">
        <f>IFERROR(__xludf.DUMMYFUNCTION("""COMPUTED_VALUE"""),0.0)</f>
        <v>0</v>
      </c>
      <c r="T122" s="16">
        <f>IFERROR(__xludf.DUMMYFUNCTION("""COMPUTED_VALUE"""),0.0)</f>
        <v>0</v>
      </c>
      <c r="U122" s="16">
        <f>IFERROR(__xludf.DUMMYFUNCTION("""COMPUTED_VALUE"""),0.0)</f>
        <v>0</v>
      </c>
      <c r="V122" s="16">
        <f>IFERROR(__xludf.DUMMYFUNCTION("""COMPUTED_VALUE"""),0.0)</f>
        <v>0</v>
      </c>
      <c r="W122" s="16">
        <f>IFERROR(__xludf.DUMMYFUNCTION("""COMPUTED_VALUE"""),0.0)</f>
        <v>0</v>
      </c>
      <c r="X122" s="16">
        <f>IFERROR(__xludf.DUMMYFUNCTION("""COMPUTED_VALUE"""),0.0)</f>
        <v>0</v>
      </c>
      <c r="Y122" s="16">
        <f>IFERROR(__xludf.DUMMYFUNCTION("""COMPUTED_VALUE"""),0.0)</f>
        <v>0</v>
      </c>
      <c r="Z122" s="16">
        <f>IFERROR(__xludf.DUMMYFUNCTION("""COMPUTED_VALUE"""),0.0)</f>
        <v>0</v>
      </c>
      <c r="AA122" s="16">
        <f>IFERROR(__xludf.DUMMYFUNCTION("""COMPUTED_VALUE"""),0.0)</f>
        <v>0</v>
      </c>
      <c r="AB122" s="16">
        <f>IFERROR(__xludf.DUMMYFUNCTION("""COMPUTED_VALUE"""),0.0)</f>
        <v>0</v>
      </c>
      <c r="AC122" s="16">
        <f>IFERROR(__xludf.DUMMYFUNCTION("""COMPUTED_VALUE"""),0.0)</f>
        <v>0</v>
      </c>
      <c r="AD122" s="16">
        <f>IFERROR(__xludf.DUMMYFUNCTION("""COMPUTED_VALUE"""),0.0)</f>
        <v>0</v>
      </c>
      <c r="AE122" s="16">
        <f>IFERROR(__xludf.DUMMYFUNCTION("""COMPUTED_VALUE"""),0.0)</f>
        <v>0</v>
      </c>
      <c r="AF122" s="16">
        <f>IFERROR(__xludf.DUMMYFUNCTION("""COMPUTED_VALUE"""),0.0)</f>
        <v>0</v>
      </c>
      <c r="AG122" s="16">
        <f>IFERROR(__xludf.DUMMYFUNCTION("""COMPUTED_VALUE"""),0.0)</f>
        <v>0</v>
      </c>
      <c r="AH122" s="16">
        <f>IFERROR(__xludf.DUMMYFUNCTION("""COMPUTED_VALUE"""),0.0)</f>
        <v>0</v>
      </c>
    </row>
    <row r="123">
      <c r="A123" s="16" t="str">
        <f>IFERROR(__xludf.DUMMYFUNCTION("""COMPUTED_VALUE"""),"6214ecac2801afde28aa63c555faf06203321c85")</f>
        <v>6214ecac2801afde28aa63c555faf06203321c85</v>
      </c>
      <c r="B123" s="16" t="str">
        <f>IFERROR(__xludf.DUMMYFUNCTION("""COMPUTED_VALUE"""),"Love Behind the Screen")</f>
        <v>Love Behind the Screen</v>
      </c>
      <c r="C123" s="16" t="str">
        <f>IFERROR(__xludf.DUMMYFUNCTION("""COMPUTED_VALUE"""),"Romance")</f>
        <v>Romance</v>
      </c>
      <c r="D123" s="16">
        <f>IFERROR(__xludf.DUMMYFUNCTION("""COMPUTED_VALUE"""),730.0)</f>
        <v>730</v>
      </c>
      <c r="E123" s="16">
        <f>IFERROR(__xludf.DUMMYFUNCTION("""COMPUTED_VALUE"""),0.963013698630137)</f>
        <v>0.9630136986</v>
      </c>
      <c r="F123" s="16">
        <f>IFERROR(__xludf.DUMMYFUNCTION("""COMPUTED_VALUE"""),0.536351165980795)</f>
        <v>0.536351166</v>
      </c>
      <c r="G123" s="16">
        <f>IFERROR(__xludf.DUMMYFUNCTION("""COMPUTED_VALUE"""),0.480109739368998)</f>
        <v>0.4801097394</v>
      </c>
      <c r="H123" s="16">
        <f>IFERROR(__xludf.DUMMYFUNCTION("""COMPUTED_VALUE"""),0.46639231824417)</f>
        <v>0.4663923182</v>
      </c>
      <c r="I123" s="16">
        <f>IFERROR(__xludf.DUMMYFUNCTION("""COMPUTED_VALUE"""),0.426611796982167)</f>
        <v>0.426611797</v>
      </c>
      <c r="J123" s="16">
        <f>IFERROR(__xludf.DUMMYFUNCTION("""COMPUTED_VALUE"""),0.410468319559228)</f>
        <v>0.4104683196</v>
      </c>
      <c r="K123" s="16">
        <f>IFERROR(__xludf.DUMMYFUNCTION("""COMPUTED_VALUE"""),0.396408839779005)</f>
        <v>0.3964088398</v>
      </c>
      <c r="L123" s="16">
        <f>IFERROR(__xludf.DUMMYFUNCTION("""COMPUTED_VALUE"""),0.379501385041551)</f>
        <v>0.379501385</v>
      </c>
      <c r="M123" s="16">
        <f>IFERROR(__xludf.DUMMYFUNCTION("""COMPUTED_VALUE"""),0.361997226074896)</f>
        <v>0.3619972261</v>
      </c>
      <c r="N123" s="16">
        <f>IFERROR(__xludf.DUMMYFUNCTION("""COMPUTED_VALUE"""),0.353268428372739)</f>
        <v>0.3532684284</v>
      </c>
      <c r="O123" s="16">
        <f>IFERROR(__xludf.DUMMYFUNCTION("""COMPUTED_VALUE"""),0.327731092436974)</f>
        <v>0.3277310924</v>
      </c>
      <c r="P123" s="16">
        <f>IFERROR(__xludf.DUMMYFUNCTION("""COMPUTED_VALUE"""),0.201716738197424)</f>
        <v>0.2017167382</v>
      </c>
      <c r="Q123" s="16">
        <f>IFERROR(__xludf.DUMMYFUNCTION("""COMPUTED_VALUE"""),0.145336225596529)</f>
        <v>0.1453362256</v>
      </c>
      <c r="R123" s="16">
        <f>IFERROR(__xludf.DUMMYFUNCTION("""COMPUTED_VALUE"""),0.110869565217391)</f>
        <v>0.1108695652</v>
      </c>
      <c r="S123" s="16">
        <f>IFERROR(__xludf.DUMMYFUNCTION("""COMPUTED_VALUE"""),0.0821256038647343)</f>
        <v>0.08212560386</v>
      </c>
      <c r="T123" s="16">
        <f>IFERROR(__xludf.DUMMYFUNCTION("""COMPUTED_VALUE"""),0.0)</f>
        <v>0</v>
      </c>
      <c r="U123" s="16">
        <f>IFERROR(__xludf.DUMMYFUNCTION("""COMPUTED_VALUE"""),0.0)</f>
        <v>0</v>
      </c>
      <c r="V123" s="16">
        <f>IFERROR(__xludf.DUMMYFUNCTION("""COMPUTED_VALUE"""),0.0)</f>
        <v>0</v>
      </c>
      <c r="W123" s="16">
        <f>IFERROR(__xludf.DUMMYFUNCTION("""COMPUTED_VALUE"""),0.0)</f>
        <v>0</v>
      </c>
      <c r="X123" s="16">
        <f>IFERROR(__xludf.DUMMYFUNCTION("""COMPUTED_VALUE"""),0.0)</f>
        <v>0</v>
      </c>
      <c r="Y123" s="16">
        <f>IFERROR(__xludf.DUMMYFUNCTION("""COMPUTED_VALUE"""),0.0)</f>
        <v>0</v>
      </c>
      <c r="Z123" s="16">
        <f>IFERROR(__xludf.DUMMYFUNCTION("""COMPUTED_VALUE"""),0.0)</f>
        <v>0</v>
      </c>
      <c r="AA123" s="16">
        <f>IFERROR(__xludf.DUMMYFUNCTION("""COMPUTED_VALUE"""),0.0)</f>
        <v>0</v>
      </c>
      <c r="AB123" s="16">
        <f>IFERROR(__xludf.DUMMYFUNCTION("""COMPUTED_VALUE"""),0.0)</f>
        <v>0</v>
      </c>
      <c r="AC123" s="16">
        <f>IFERROR(__xludf.DUMMYFUNCTION("""COMPUTED_VALUE"""),0.0)</f>
        <v>0</v>
      </c>
      <c r="AD123" s="16">
        <f>IFERROR(__xludf.DUMMYFUNCTION("""COMPUTED_VALUE"""),0.0)</f>
        <v>0</v>
      </c>
      <c r="AE123" s="16">
        <f>IFERROR(__xludf.DUMMYFUNCTION("""COMPUTED_VALUE"""),0.0)</f>
        <v>0</v>
      </c>
      <c r="AF123" s="16">
        <f>IFERROR(__xludf.DUMMYFUNCTION("""COMPUTED_VALUE"""),0.0)</f>
        <v>0</v>
      </c>
      <c r="AG123" s="16">
        <f>IFERROR(__xludf.DUMMYFUNCTION("""COMPUTED_VALUE"""),0.0)</f>
        <v>0</v>
      </c>
      <c r="AH123" s="16">
        <f>IFERROR(__xludf.DUMMYFUNCTION("""COMPUTED_VALUE"""),0.0)</f>
        <v>0</v>
      </c>
    </row>
    <row r="124">
      <c r="A124" s="16" t="str">
        <f>IFERROR(__xludf.DUMMYFUNCTION("""COMPUTED_VALUE"""),"622c96a576425047d6bff8447205921132d7f61c")</f>
        <v>622c96a576425047d6bff8447205921132d7f61c</v>
      </c>
      <c r="B124" s="16" t="str">
        <f>IFERROR(__xludf.DUMMYFUNCTION("""COMPUTED_VALUE"""),"The Exit Nobody Expected")</f>
        <v>The Exit Nobody Expected</v>
      </c>
      <c r="C124" s="16" t="str">
        <f>IFERROR(__xludf.DUMMYFUNCTION("""COMPUTED_VALUE"""),"Suspense or Thriller")</f>
        <v>Suspense or Thriller</v>
      </c>
      <c r="D124" s="16">
        <f>IFERROR(__xludf.DUMMYFUNCTION("""COMPUTED_VALUE"""),44.0)</f>
        <v>44</v>
      </c>
      <c r="E124" s="16">
        <f>IFERROR(__xludf.DUMMYFUNCTION("""COMPUTED_VALUE"""),0.931818181818181)</f>
        <v>0.9318181818</v>
      </c>
      <c r="F124" s="16">
        <f>IFERROR(__xludf.DUMMYFUNCTION("""COMPUTED_VALUE"""),0.386363636363636)</f>
        <v>0.3863636364</v>
      </c>
      <c r="G124" s="16">
        <f>IFERROR(__xludf.DUMMYFUNCTION("""COMPUTED_VALUE"""),0.34090909090909)</f>
        <v>0.3409090909</v>
      </c>
      <c r="H124" s="16">
        <f>IFERROR(__xludf.DUMMYFUNCTION("""COMPUTED_VALUE"""),0.34090909090909)</f>
        <v>0.3409090909</v>
      </c>
      <c r="I124" s="16">
        <f>IFERROR(__xludf.DUMMYFUNCTION("""COMPUTED_VALUE"""),0.227272727272727)</f>
        <v>0.2272727273</v>
      </c>
      <c r="J124" s="16">
        <f>IFERROR(__xludf.DUMMYFUNCTION("""COMPUTED_VALUE"""),0.209302325581395)</f>
        <v>0.2093023256</v>
      </c>
      <c r="K124" s="16">
        <f>IFERROR(__xludf.DUMMYFUNCTION("""COMPUTED_VALUE"""),0.225)</f>
        <v>0.225</v>
      </c>
      <c r="L124" s="16">
        <f>IFERROR(__xludf.DUMMYFUNCTION("""COMPUTED_VALUE"""),0.135135135135135)</f>
        <v>0.1351351351</v>
      </c>
      <c r="M124" s="16">
        <f>IFERROR(__xludf.DUMMYFUNCTION("""COMPUTED_VALUE"""),0.114285714285714)</f>
        <v>0.1142857143</v>
      </c>
      <c r="N124" s="16">
        <f>IFERROR(__xludf.DUMMYFUNCTION("""COMPUTED_VALUE"""),0.0606060606060606)</f>
        <v>0.06060606061</v>
      </c>
      <c r="O124" s="16">
        <f>IFERROR(__xludf.DUMMYFUNCTION("""COMPUTED_VALUE"""),0.0555555555555555)</f>
        <v>0.05555555556</v>
      </c>
      <c r="P124" s="16">
        <f>IFERROR(__xludf.DUMMYFUNCTION("""COMPUTED_VALUE"""),0.0)</f>
        <v>0</v>
      </c>
      <c r="Q124" s="16">
        <f>IFERROR(__xludf.DUMMYFUNCTION("""COMPUTED_VALUE"""),0.125)</f>
        <v>0.125</v>
      </c>
      <c r="R124" s="16">
        <f>IFERROR(__xludf.DUMMYFUNCTION("""COMPUTED_VALUE"""),0.0)</f>
        <v>0</v>
      </c>
      <c r="S124" s="16">
        <f>IFERROR(__xludf.DUMMYFUNCTION("""COMPUTED_VALUE"""),0.0)</f>
        <v>0</v>
      </c>
      <c r="T124" s="16">
        <f>IFERROR(__xludf.DUMMYFUNCTION("""COMPUTED_VALUE"""),0.0)</f>
        <v>0</v>
      </c>
      <c r="U124" s="16">
        <f>IFERROR(__xludf.DUMMYFUNCTION("""COMPUTED_VALUE"""),0.0)</f>
        <v>0</v>
      </c>
      <c r="V124" s="16">
        <f>IFERROR(__xludf.DUMMYFUNCTION("""COMPUTED_VALUE"""),0.0)</f>
        <v>0</v>
      </c>
      <c r="W124" s="16">
        <f>IFERROR(__xludf.DUMMYFUNCTION("""COMPUTED_VALUE"""),0.0)</f>
        <v>0</v>
      </c>
      <c r="X124" s="16">
        <f>IFERROR(__xludf.DUMMYFUNCTION("""COMPUTED_VALUE"""),0.0)</f>
        <v>0</v>
      </c>
      <c r="Y124" s="16">
        <f>IFERROR(__xludf.DUMMYFUNCTION("""COMPUTED_VALUE"""),0.0)</f>
        <v>0</v>
      </c>
      <c r="Z124" s="16">
        <f>IFERROR(__xludf.DUMMYFUNCTION("""COMPUTED_VALUE"""),0.0)</f>
        <v>0</v>
      </c>
      <c r="AA124" s="16">
        <f>IFERROR(__xludf.DUMMYFUNCTION("""COMPUTED_VALUE"""),0.0)</f>
        <v>0</v>
      </c>
      <c r="AB124" s="16">
        <f>IFERROR(__xludf.DUMMYFUNCTION("""COMPUTED_VALUE"""),0.0)</f>
        <v>0</v>
      </c>
      <c r="AC124" s="16">
        <f>IFERROR(__xludf.DUMMYFUNCTION("""COMPUTED_VALUE"""),0.0)</f>
        <v>0</v>
      </c>
      <c r="AD124" s="16">
        <f>IFERROR(__xludf.DUMMYFUNCTION("""COMPUTED_VALUE"""),0.0)</f>
        <v>0</v>
      </c>
      <c r="AE124" s="16">
        <f>IFERROR(__xludf.DUMMYFUNCTION("""COMPUTED_VALUE"""),0.0)</f>
        <v>0</v>
      </c>
      <c r="AF124" s="16">
        <f>IFERROR(__xludf.DUMMYFUNCTION("""COMPUTED_VALUE"""),0.0)</f>
        <v>0</v>
      </c>
      <c r="AG124" s="16">
        <f>IFERROR(__xludf.DUMMYFUNCTION("""COMPUTED_VALUE"""),0.0)</f>
        <v>0</v>
      </c>
      <c r="AH124" s="16">
        <f>IFERROR(__xludf.DUMMYFUNCTION("""COMPUTED_VALUE"""),0.0)</f>
        <v>0</v>
      </c>
    </row>
    <row r="125">
      <c r="A125" s="16" t="str">
        <f>IFERROR(__xludf.DUMMYFUNCTION("""COMPUTED_VALUE"""),"6346e154f10078de4f17cbc6268066519b02789f")</f>
        <v>6346e154f10078de4f17cbc6268066519b02789f</v>
      </c>
      <c r="B125" s="16" t="str">
        <f>IFERROR(__xludf.DUMMYFUNCTION("""COMPUTED_VALUE"""),"Doctor Young")</f>
        <v>Doctor Young</v>
      </c>
      <c r="C125" s="16" t="str">
        <f>IFERROR(__xludf.DUMMYFUNCTION("""COMPUTED_VALUE"""),"Suspense or Thriller")</f>
        <v>Suspense or Thriller</v>
      </c>
      <c r="D125" s="16">
        <f>IFERROR(__xludf.DUMMYFUNCTION("""COMPUTED_VALUE"""),69.0)</f>
        <v>69</v>
      </c>
      <c r="E125" s="16">
        <f>IFERROR(__xludf.DUMMYFUNCTION("""COMPUTED_VALUE"""),0.971014492753623)</f>
        <v>0.9710144928</v>
      </c>
      <c r="F125" s="16">
        <f>IFERROR(__xludf.DUMMYFUNCTION("""COMPUTED_VALUE"""),0.376811594202898)</f>
        <v>0.3768115942</v>
      </c>
      <c r="G125" s="16">
        <f>IFERROR(__xludf.DUMMYFUNCTION("""COMPUTED_VALUE"""),0.304347826086956)</f>
        <v>0.3043478261</v>
      </c>
      <c r="H125" s="16">
        <f>IFERROR(__xludf.DUMMYFUNCTION("""COMPUTED_VALUE"""),0.260869565217391)</f>
        <v>0.2608695652</v>
      </c>
      <c r="I125" s="16">
        <f>IFERROR(__xludf.DUMMYFUNCTION("""COMPUTED_VALUE"""),0.231884057971014)</f>
        <v>0.231884058</v>
      </c>
      <c r="J125" s="16">
        <f>IFERROR(__xludf.DUMMYFUNCTION("""COMPUTED_VALUE"""),0.235294117647058)</f>
        <v>0.2352941176</v>
      </c>
      <c r="K125" s="16">
        <f>IFERROR(__xludf.DUMMYFUNCTION("""COMPUTED_VALUE"""),0.208955223880597)</f>
        <v>0.2089552239</v>
      </c>
      <c r="L125" s="16">
        <f>IFERROR(__xludf.DUMMYFUNCTION("""COMPUTED_VALUE"""),0.223880597014925)</f>
        <v>0.223880597</v>
      </c>
      <c r="M125" s="16">
        <f>IFERROR(__xludf.DUMMYFUNCTION("""COMPUTED_VALUE"""),0.194029850746268)</f>
        <v>0.1940298507</v>
      </c>
      <c r="N125" s="16">
        <f>IFERROR(__xludf.DUMMYFUNCTION("""COMPUTED_VALUE"""),0.2)</f>
        <v>0.2</v>
      </c>
      <c r="O125" s="16">
        <f>IFERROR(__xludf.DUMMYFUNCTION("""COMPUTED_VALUE"""),0.15)</f>
        <v>0.15</v>
      </c>
      <c r="P125" s="16">
        <f>IFERROR(__xludf.DUMMYFUNCTION("""COMPUTED_VALUE"""),0.12)</f>
        <v>0.12</v>
      </c>
      <c r="Q125" s="16">
        <f>IFERROR(__xludf.DUMMYFUNCTION("""COMPUTED_VALUE"""),0.113636363636363)</f>
        <v>0.1136363636</v>
      </c>
      <c r="R125" s="16">
        <f>IFERROR(__xludf.DUMMYFUNCTION("""COMPUTED_VALUE"""),0.0930232558139534)</f>
        <v>0.09302325581</v>
      </c>
      <c r="S125" s="16">
        <f>IFERROR(__xludf.DUMMYFUNCTION("""COMPUTED_VALUE"""),0.0)</f>
        <v>0</v>
      </c>
      <c r="T125" s="16">
        <f>IFERROR(__xludf.DUMMYFUNCTION("""COMPUTED_VALUE"""),0.0)</f>
        <v>0</v>
      </c>
      <c r="U125" s="16">
        <f>IFERROR(__xludf.DUMMYFUNCTION("""COMPUTED_VALUE"""),0.0)</f>
        <v>0</v>
      </c>
      <c r="V125" s="16">
        <f>IFERROR(__xludf.DUMMYFUNCTION("""COMPUTED_VALUE"""),0.0)</f>
        <v>0</v>
      </c>
      <c r="W125" s="16">
        <f>IFERROR(__xludf.DUMMYFUNCTION("""COMPUTED_VALUE"""),0.0)</f>
        <v>0</v>
      </c>
      <c r="X125" s="16">
        <f>IFERROR(__xludf.DUMMYFUNCTION("""COMPUTED_VALUE"""),0.0)</f>
        <v>0</v>
      </c>
      <c r="Y125" s="16">
        <f>IFERROR(__xludf.DUMMYFUNCTION("""COMPUTED_VALUE"""),0.0)</f>
        <v>0</v>
      </c>
      <c r="Z125" s="16">
        <f>IFERROR(__xludf.DUMMYFUNCTION("""COMPUTED_VALUE"""),0.0)</f>
        <v>0</v>
      </c>
      <c r="AA125" s="16">
        <f>IFERROR(__xludf.DUMMYFUNCTION("""COMPUTED_VALUE"""),0.0)</f>
        <v>0</v>
      </c>
      <c r="AB125" s="16">
        <f>IFERROR(__xludf.DUMMYFUNCTION("""COMPUTED_VALUE"""),0.0)</f>
        <v>0</v>
      </c>
      <c r="AC125" s="16">
        <f>IFERROR(__xludf.DUMMYFUNCTION("""COMPUTED_VALUE"""),0.0)</f>
        <v>0</v>
      </c>
      <c r="AD125" s="16">
        <f>IFERROR(__xludf.DUMMYFUNCTION("""COMPUTED_VALUE"""),0.0)</f>
        <v>0</v>
      </c>
      <c r="AE125" s="16">
        <f>IFERROR(__xludf.DUMMYFUNCTION("""COMPUTED_VALUE"""),0.0)</f>
        <v>0</v>
      </c>
      <c r="AF125" s="16">
        <f>IFERROR(__xludf.DUMMYFUNCTION("""COMPUTED_VALUE"""),0.0)</f>
        <v>0</v>
      </c>
      <c r="AG125" s="16">
        <f>IFERROR(__xludf.DUMMYFUNCTION("""COMPUTED_VALUE"""),0.0)</f>
        <v>0</v>
      </c>
      <c r="AH125" s="16">
        <f>IFERROR(__xludf.DUMMYFUNCTION("""COMPUTED_VALUE"""),0.0)</f>
        <v>0</v>
      </c>
    </row>
    <row r="126">
      <c r="A126" s="16" t="str">
        <f>IFERROR(__xludf.DUMMYFUNCTION("""COMPUTED_VALUE"""),"646112abf2d6a5c232155a853f029ad1737b504e")</f>
        <v>646112abf2d6a5c232155a853f029ad1737b504e</v>
      </c>
      <c r="B126" s="16" t="str">
        <f>IFERROR(__xludf.DUMMYFUNCTION("""COMPUTED_VALUE"""),"Gatebreak")</f>
        <v>Gatebreak</v>
      </c>
      <c r="C126" s="16" t="str">
        <f>IFERROR(__xludf.DUMMYFUNCTION("""COMPUTED_VALUE"""),"Fantasy")</f>
        <v>Fantasy</v>
      </c>
      <c r="D126" s="16">
        <f>IFERROR(__xludf.DUMMYFUNCTION("""COMPUTED_VALUE"""),54.0)</f>
        <v>54</v>
      </c>
      <c r="E126" s="16">
        <f>IFERROR(__xludf.DUMMYFUNCTION("""COMPUTED_VALUE"""),0.944444444444444)</f>
        <v>0.9444444444</v>
      </c>
      <c r="F126" s="16">
        <f>IFERROR(__xludf.DUMMYFUNCTION("""COMPUTED_VALUE"""),0.611111111111111)</f>
        <v>0.6111111111</v>
      </c>
      <c r="G126" s="16">
        <f>IFERROR(__xludf.DUMMYFUNCTION("""COMPUTED_VALUE"""),0.5)</f>
        <v>0.5</v>
      </c>
      <c r="H126" s="16">
        <f>IFERROR(__xludf.DUMMYFUNCTION("""COMPUTED_VALUE"""),0.462962962962962)</f>
        <v>0.462962963</v>
      </c>
      <c r="I126" s="16">
        <f>IFERROR(__xludf.DUMMYFUNCTION("""COMPUTED_VALUE"""),0.444444444444444)</f>
        <v>0.4444444444</v>
      </c>
      <c r="J126" s="16">
        <f>IFERROR(__xludf.DUMMYFUNCTION("""COMPUTED_VALUE"""),0.462962962962962)</f>
        <v>0.462962963</v>
      </c>
      <c r="K126" s="16">
        <f>IFERROR(__xludf.DUMMYFUNCTION("""COMPUTED_VALUE"""),0.452830188679245)</f>
        <v>0.4528301887</v>
      </c>
      <c r="L126" s="16">
        <f>IFERROR(__xludf.DUMMYFUNCTION("""COMPUTED_VALUE"""),0.471698113207547)</f>
        <v>0.4716981132</v>
      </c>
      <c r="M126" s="16">
        <f>IFERROR(__xludf.DUMMYFUNCTION("""COMPUTED_VALUE"""),0.452830188679245)</f>
        <v>0.4528301887</v>
      </c>
      <c r="N126" s="16">
        <f>IFERROR(__xludf.DUMMYFUNCTION("""COMPUTED_VALUE"""),0.433962264150943)</f>
        <v>0.4339622642</v>
      </c>
      <c r="O126" s="16">
        <f>IFERROR(__xludf.DUMMYFUNCTION("""COMPUTED_VALUE"""),0.339622641509433)</f>
        <v>0.3396226415</v>
      </c>
      <c r="P126" s="16">
        <f>IFERROR(__xludf.DUMMYFUNCTION("""COMPUTED_VALUE"""),0.346153846153846)</f>
        <v>0.3461538462</v>
      </c>
      <c r="Q126" s="16">
        <f>IFERROR(__xludf.DUMMYFUNCTION("""COMPUTED_VALUE"""),0.235294117647058)</f>
        <v>0.2352941176</v>
      </c>
      <c r="R126" s="16">
        <f>IFERROR(__xludf.DUMMYFUNCTION("""COMPUTED_VALUE"""),0.117647058823529)</f>
        <v>0.1176470588</v>
      </c>
      <c r="S126" s="16">
        <f>IFERROR(__xludf.DUMMYFUNCTION("""COMPUTED_VALUE"""),0.1)</f>
        <v>0.1</v>
      </c>
      <c r="T126" s="16">
        <f>IFERROR(__xludf.DUMMYFUNCTION("""COMPUTED_VALUE"""),0.10204081632653)</f>
        <v>0.1020408163</v>
      </c>
      <c r="U126" s="16">
        <f>IFERROR(__xludf.DUMMYFUNCTION("""COMPUTED_VALUE"""),0.0)</f>
        <v>0</v>
      </c>
      <c r="V126" s="16">
        <f>IFERROR(__xludf.DUMMYFUNCTION("""COMPUTED_VALUE"""),0.0)</f>
        <v>0</v>
      </c>
      <c r="W126" s="16">
        <f>IFERROR(__xludf.DUMMYFUNCTION("""COMPUTED_VALUE"""),0.0)</f>
        <v>0</v>
      </c>
      <c r="X126" s="16">
        <f>IFERROR(__xludf.DUMMYFUNCTION("""COMPUTED_VALUE"""),0.0)</f>
        <v>0</v>
      </c>
      <c r="Y126" s="16">
        <f>IFERROR(__xludf.DUMMYFUNCTION("""COMPUTED_VALUE"""),0.0)</f>
        <v>0</v>
      </c>
      <c r="Z126" s="16">
        <f>IFERROR(__xludf.DUMMYFUNCTION("""COMPUTED_VALUE"""),0.0)</f>
        <v>0</v>
      </c>
      <c r="AA126" s="16">
        <f>IFERROR(__xludf.DUMMYFUNCTION("""COMPUTED_VALUE"""),0.0)</f>
        <v>0</v>
      </c>
      <c r="AB126" s="16">
        <f>IFERROR(__xludf.DUMMYFUNCTION("""COMPUTED_VALUE"""),0.0)</f>
        <v>0</v>
      </c>
      <c r="AC126" s="16">
        <f>IFERROR(__xludf.DUMMYFUNCTION("""COMPUTED_VALUE"""),0.0)</f>
        <v>0</v>
      </c>
      <c r="AD126" s="16">
        <f>IFERROR(__xludf.DUMMYFUNCTION("""COMPUTED_VALUE"""),0.0)</f>
        <v>0</v>
      </c>
      <c r="AE126" s="16">
        <f>IFERROR(__xludf.DUMMYFUNCTION("""COMPUTED_VALUE"""),0.0)</f>
        <v>0</v>
      </c>
      <c r="AF126" s="16">
        <f>IFERROR(__xludf.DUMMYFUNCTION("""COMPUTED_VALUE"""),0.0)</f>
        <v>0</v>
      </c>
      <c r="AG126" s="16">
        <f>IFERROR(__xludf.DUMMYFUNCTION("""COMPUTED_VALUE"""),0.0)</f>
        <v>0</v>
      </c>
      <c r="AH126" s="16">
        <f>IFERROR(__xludf.DUMMYFUNCTION("""COMPUTED_VALUE"""),0.0)</f>
        <v>0</v>
      </c>
    </row>
    <row r="127">
      <c r="A127" s="16" t="str">
        <f>IFERROR(__xludf.DUMMYFUNCTION("""COMPUTED_VALUE"""),"6537ebcf99ebb2572c378cc92edd07b6d165b13b")</f>
        <v>6537ebcf99ebb2572c378cc92edd07b6d165b13b</v>
      </c>
      <c r="B127" s="16" t="str">
        <f>IFERROR(__xludf.DUMMYFUNCTION("""COMPUTED_VALUE"""),"The Legendary Beast Archi")</f>
        <v>The Legendary Beast Archi</v>
      </c>
      <c r="C127" s="16" t="str">
        <f>IFERROR(__xludf.DUMMYFUNCTION("""COMPUTED_VALUE"""),"Fantasy")</f>
        <v>Fantasy</v>
      </c>
      <c r="D127" s="16">
        <f>IFERROR(__xludf.DUMMYFUNCTION("""COMPUTED_VALUE"""),51.0)</f>
        <v>51</v>
      </c>
      <c r="E127" s="16">
        <f>IFERROR(__xludf.DUMMYFUNCTION("""COMPUTED_VALUE"""),1.0)</f>
        <v>1</v>
      </c>
      <c r="F127" s="16">
        <f>IFERROR(__xludf.DUMMYFUNCTION("""COMPUTED_VALUE"""),0.509803921568627)</f>
        <v>0.5098039216</v>
      </c>
      <c r="G127" s="16">
        <f>IFERROR(__xludf.DUMMYFUNCTION("""COMPUTED_VALUE"""),0.431372549019607)</f>
        <v>0.431372549</v>
      </c>
      <c r="H127" s="16">
        <f>IFERROR(__xludf.DUMMYFUNCTION("""COMPUTED_VALUE"""),0.372549019607843)</f>
        <v>0.3725490196</v>
      </c>
      <c r="I127" s="16">
        <f>IFERROR(__xludf.DUMMYFUNCTION("""COMPUTED_VALUE"""),0.333333333333333)</f>
        <v>0.3333333333</v>
      </c>
      <c r="J127" s="16">
        <f>IFERROR(__xludf.DUMMYFUNCTION("""COMPUTED_VALUE"""),0.294117647058823)</f>
        <v>0.2941176471</v>
      </c>
      <c r="K127" s="16">
        <f>IFERROR(__xludf.DUMMYFUNCTION("""COMPUTED_VALUE"""),0.24)</f>
        <v>0.24</v>
      </c>
      <c r="L127" s="16">
        <f>IFERROR(__xludf.DUMMYFUNCTION("""COMPUTED_VALUE"""),0.24)</f>
        <v>0.24</v>
      </c>
      <c r="M127" s="16">
        <f>IFERROR(__xludf.DUMMYFUNCTION("""COMPUTED_VALUE"""),0.22)</f>
        <v>0.22</v>
      </c>
      <c r="N127" s="16">
        <f>IFERROR(__xludf.DUMMYFUNCTION("""COMPUTED_VALUE"""),0.2)</f>
        <v>0.2</v>
      </c>
      <c r="O127" s="16">
        <f>IFERROR(__xludf.DUMMYFUNCTION("""COMPUTED_VALUE"""),0.09375)</f>
        <v>0.09375</v>
      </c>
      <c r="P127" s="16">
        <f>IFERROR(__xludf.DUMMYFUNCTION("""COMPUTED_VALUE"""),0.0)</f>
        <v>0</v>
      </c>
      <c r="Q127" s="16">
        <f>IFERROR(__xludf.DUMMYFUNCTION("""COMPUTED_VALUE"""),0.0)</f>
        <v>0</v>
      </c>
      <c r="R127" s="16">
        <f>IFERROR(__xludf.DUMMYFUNCTION("""COMPUTED_VALUE"""),0.0)</f>
        <v>0</v>
      </c>
      <c r="S127" s="16">
        <f>IFERROR(__xludf.DUMMYFUNCTION("""COMPUTED_VALUE"""),0.0)</f>
        <v>0</v>
      </c>
      <c r="T127" s="16">
        <f>IFERROR(__xludf.DUMMYFUNCTION("""COMPUTED_VALUE"""),0.0)</f>
        <v>0</v>
      </c>
      <c r="U127" s="16">
        <f>IFERROR(__xludf.DUMMYFUNCTION("""COMPUTED_VALUE"""),0.0)</f>
        <v>0</v>
      </c>
      <c r="V127" s="16">
        <f>IFERROR(__xludf.DUMMYFUNCTION("""COMPUTED_VALUE"""),0.0)</f>
        <v>0</v>
      </c>
      <c r="W127" s="16">
        <f>IFERROR(__xludf.DUMMYFUNCTION("""COMPUTED_VALUE"""),0.0)</f>
        <v>0</v>
      </c>
      <c r="X127" s="16">
        <f>IFERROR(__xludf.DUMMYFUNCTION("""COMPUTED_VALUE"""),0.0)</f>
        <v>0</v>
      </c>
      <c r="Y127" s="16">
        <f>IFERROR(__xludf.DUMMYFUNCTION("""COMPUTED_VALUE"""),0.0)</f>
        <v>0</v>
      </c>
      <c r="Z127" s="16">
        <f>IFERROR(__xludf.DUMMYFUNCTION("""COMPUTED_VALUE"""),0.0)</f>
        <v>0</v>
      </c>
      <c r="AA127" s="16">
        <f>IFERROR(__xludf.DUMMYFUNCTION("""COMPUTED_VALUE"""),0.0)</f>
        <v>0</v>
      </c>
      <c r="AB127" s="16">
        <f>IFERROR(__xludf.DUMMYFUNCTION("""COMPUTED_VALUE"""),0.0)</f>
        <v>0</v>
      </c>
      <c r="AC127" s="16">
        <f>IFERROR(__xludf.DUMMYFUNCTION("""COMPUTED_VALUE"""),0.0)</f>
        <v>0</v>
      </c>
      <c r="AD127" s="16">
        <f>IFERROR(__xludf.DUMMYFUNCTION("""COMPUTED_VALUE"""),0.0)</f>
        <v>0</v>
      </c>
      <c r="AE127" s="16">
        <f>IFERROR(__xludf.DUMMYFUNCTION("""COMPUTED_VALUE"""),0.0)</f>
        <v>0</v>
      </c>
      <c r="AF127" s="16">
        <f>IFERROR(__xludf.DUMMYFUNCTION("""COMPUTED_VALUE"""),0.0)</f>
        <v>0</v>
      </c>
      <c r="AG127" s="16">
        <f>IFERROR(__xludf.DUMMYFUNCTION("""COMPUTED_VALUE"""),0.0)</f>
        <v>0</v>
      </c>
      <c r="AH127" s="16">
        <f>IFERROR(__xludf.DUMMYFUNCTION("""COMPUTED_VALUE"""),0.0)</f>
        <v>0</v>
      </c>
    </row>
    <row r="128">
      <c r="A128" s="16" t="str">
        <f>IFERROR(__xludf.DUMMYFUNCTION("""COMPUTED_VALUE"""),"66d071d24615af48b285815d02992a008381015d")</f>
        <v>66d071d24615af48b285815d02992a008381015d</v>
      </c>
      <c r="B128" s="16" t="str">
        <f>IFERROR(__xludf.DUMMYFUNCTION("""COMPUTED_VALUE"""),"Exile Star")</f>
        <v>Exile Star</v>
      </c>
      <c r="C128" s="16" t="str">
        <f>IFERROR(__xludf.DUMMYFUNCTION("""COMPUTED_VALUE"""),"Fantasy")</f>
        <v>Fantasy</v>
      </c>
      <c r="D128" s="16">
        <f>IFERROR(__xludf.DUMMYFUNCTION("""COMPUTED_VALUE"""),2.0)</f>
        <v>2</v>
      </c>
      <c r="E128" s="16">
        <f>IFERROR(__xludf.DUMMYFUNCTION("""COMPUTED_VALUE"""),1.0)</f>
        <v>1</v>
      </c>
      <c r="F128" s="16">
        <f>IFERROR(__xludf.DUMMYFUNCTION("""COMPUTED_VALUE"""),0.5)</f>
        <v>0.5</v>
      </c>
      <c r="G128" s="16">
        <f>IFERROR(__xludf.DUMMYFUNCTION("""COMPUTED_VALUE"""),0.5)</f>
        <v>0.5</v>
      </c>
      <c r="H128" s="16">
        <f>IFERROR(__xludf.DUMMYFUNCTION("""COMPUTED_VALUE"""),0.5)</f>
        <v>0.5</v>
      </c>
      <c r="I128" s="16">
        <f>IFERROR(__xludf.DUMMYFUNCTION("""COMPUTED_VALUE"""),0.5)</f>
        <v>0.5</v>
      </c>
      <c r="J128" s="16">
        <f>IFERROR(__xludf.DUMMYFUNCTION("""COMPUTED_VALUE"""),0.5)</f>
        <v>0.5</v>
      </c>
      <c r="K128" s="16">
        <f>IFERROR(__xludf.DUMMYFUNCTION("""COMPUTED_VALUE"""),0.0)</f>
        <v>0</v>
      </c>
      <c r="L128" s="16">
        <f>IFERROR(__xludf.DUMMYFUNCTION("""COMPUTED_VALUE"""),0.0)</f>
        <v>0</v>
      </c>
      <c r="M128" s="16">
        <f>IFERROR(__xludf.DUMMYFUNCTION("""COMPUTED_VALUE"""),0.0)</f>
        <v>0</v>
      </c>
      <c r="N128" s="16">
        <f>IFERROR(__xludf.DUMMYFUNCTION("""COMPUTED_VALUE"""),0.0)</f>
        <v>0</v>
      </c>
      <c r="O128" s="16">
        <f>IFERROR(__xludf.DUMMYFUNCTION("""COMPUTED_VALUE"""),0.0)</f>
        <v>0</v>
      </c>
      <c r="P128" s="16">
        <f>IFERROR(__xludf.DUMMYFUNCTION("""COMPUTED_VALUE"""),0.0)</f>
        <v>0</v>
      </c>
      <c r="Q128" s="16">
        <f>IFERROR(__xludf.DUMMYFUNCTION("""COMPUTED_VALUE"""),0.0)</f>
        <v>0</v>
      </c>
      <c r="R128" s="16">
        <f>IFERROR(__xludf.DUMMYFUNCTION("""COMPUTED_VALUE"""),0.0)</f>
        <v>0</v>
      </c>
      <c r="S128" s="16">
        <f>IFERROR(__xludf.DUMMYFUNCTION("""COMPUTED_VALUE"""),0.0)</f>
        <v>0</v>
      </c>
      <c r="T128" s="16">
        <f>IFERROR(__xludf.DUMMYFUNCTION("""COMPUTED_VALUE"""),0.0)</f>
        <v>0</v>
      </c>
      <c r="U128" s="16">
        <f>IFERROR(__xludf.DUMMYFUNCTION("""COMPUTED_VALUE"""),0.0)</f>
        <v>0</v>
      </c>
      <c r="V128" s="16">
        <f>IFERROR(__xludf.DUMMYFUNCTION("""COMPUTED_VALUE"""),0.0)</f>
        <v>0</v>
      </c>
      <c r="W128" s="16">
        <f>IFERROR(__xludf.DUMMYFUNCTION("""COMPUTED_VALUE"""),0.0)</f>
        <v>0</v>
      </c>
      <c r="X128" s="16">
        <f>IFERROR(__xludf.DUMMYFUNCTION("""COMPUTED_VALUE"""),0.0)</f>
        <v>0</v>
      </c>
      <c r="Y128" s="16">
        <f>IFERROR(__xludf.DUMMYFUNCTION("""COMPUTED_VALUE"""),0.0)</f>
        <v>0</v>
      </c>
      <c r="Z128" s="16">
        <f>IFERROR(__xludf.DUMMYFUNCTION("""COMPUTED_VALUE"""),0.0)</f>
        <v>0</v>
      </c>
      <c r="AA128" s="16">
        <f>IFERROR(__xludf.DUMMYFUNCTION("""COMPUTED_VALUE"""),0.0)</f>
        <v>0</v>
      </c>
      <c r="AB128" s="16">
        <f>IFERROR(__xludf.DUMMYFUNCTION("""COMPUTED_VALUE"""),0.0)</f>
        <v>0</v>
      </c>
      <c r="AC128" s="16">
        <f>IFERROR(__xludf.DUMMYFUNCTION("""COMPUTED_VALUE"""),0.0)</f>
        <v>0</v>
      </c>
      <c r="AD128" s="16">
        <f>IFERROR(__xludf.DUMMYFUNCTION("""COMPUTED_VALUE"""),0.0)</f>
        <v>0</v>
      </c>
      <c r="AE128" s="16">
        <f>IFERROR(__xludf.DUMMYFUNCTION("""COMPUTED_VALUE"""),0.0)</f>
        <v>0</v>
      </c>
      <c r="AF128" s="16">
        <f>IFERROR(__xludf.DUMMYFUNCTION("""COMPUTED_VALUE"""),0.0)</f>
        <v>0</v>
      </c>
      <c r="AG128" s="16">
        <f>IFERROR(__xludf.DUMMYFUNCTION("""COMPUTED_VALUE"""),0.0)</f>
        <v>0</v>
      </c>
      <c r="AH128" s="16">
        <f>IFERROR(__xludf.DUMMYFUNCTION("""COMPUTED_VALUE"""),0.0)</f>
        <v>0</v>
      </c>
    </row>
    <row r="129">
      <c r="A129" s="16" t="str">
        <f>IFERROR(__xludf.DUMMYFUNCTION("""COMPUTED_VALUE"""),"66e5597d741c6d87c2bc8e35ec83065242c0e34d")</f>
        <v>66e5597d741c6d87c2bc8e35ec83065242c0e34d</v>
      </c>
      <c r="B129" s="16" t="str">
        <f>IFERROR(__xludf.DUMMYFUNCTION("""COMPUTED_VALUE"""),"Sky Lord")</f>
        <v>Sky Lord</v>
      </c>
      <c r="C129" s="16" t="str">
        <f>IFERROR(__xludf.DUMMYFUNCTION("""COMPUTED_VALUE"""),"Fantasy")</f>
        <v>Fantasy</v>
      </c>
      <c r="D129" s="16">
        <f>IFERROR(__xludf.DUMMYFUNCTION("""COMPUTED_VALUE"""),48.0)</f>
        <v>48</v>
      </c>
      <c r="E129" s="16">
        <f>IFERROR(__xludf.DUMMYFUNCTION("""COMPUTED_VALUE"""),0.958333333333333)</f>
        <v>0.9583333333</v>
      </c>
      <c r="F129" s="16">
        <f>IFERROR(__xludf.DUMMYFUNCTION("""COMPUTED_VALUE"""),0.604166666666666)</f>
        <v>0.6041666667</v>
      </c>
      <c r="G129" s="16">
        <f>IFERROR(__xludf.DUMMYFUNCTION("""COMPUTED_VALUE"""),0.5625)</f>
        <v>0.5625</v>
      </c>
      <c r="H129" s="16">
        <f>IFERROR(__xludf.DUMMYFUNCTION("""COMPUTED_VALUE"""),0.541666666666666)</f>
        <v>0.5416666667</v>
      </c>
      <c r="I129" s="16">
        <f>IFERROR(__xludf.DUMMYFUNCTION("""COMPUTED_VALUE"""),0.479166666666666)</f>
        <v>0.4791666667</v>
      </c>
      <c r="J129" s="16">
        <f>IFERROR(__xludf.DUMMYFUNCTION("""COMPUTED_VALUE"""),0.458333333333333)</f>
        <v>0.4583333333</v>
      </c>
      <c r="K129" s="16">
        <f>IFERROR(__xludf.DUMMYFUNCTION("""COMPUTED_VALUE"""),0.425531914893617)</f>
        <v>0.4255319149</v>
      </c>
      <c r="L129" s="16">
        <f>IFERROR(__xludf.DUMMYFUNCTION("""COMPUTED_VALUE"""),0.340425531914893)</f>
        <v>0.3404255319</v>
      </c>
      <c r="M129" s="16">
        <f>IFERROR(__xludf.DUMMYFUNCTION("""COMPUTED_VALUE"""),0.276595744680851)</f>
        <v>0.2765957447</v>
      </c>
      <c r="N129" s="16">
        <f>IFERROR(__xludf.DUMMYFUNCTION("""COMPUTED_VALUE"""),0.311111111111111)</f>
        <v>0.3111111111</v>
      </c>
      <c r="O129" s="16">
        <f>IFERROR(__xludf.DUMMYFUNCTION("""COMPUTED_VALUE"""),0.268292682926829)</f>
        <v>0.2682926829</v>
      </c>
      <c r="P129" s="16">
        <f>IFERROR(__xludf.DUMMYFUNCTION("""COMPUTED_VALUE"""),0.0)</f>
        <v>0</v>
      </c>
      <c r="Q129" s="16">
        <f>IFERROR(__xludf.DUMMYFUNCTION("""COMPUTED_VALUE"""),0.0)</f>
        <v>0</v>
      </c>
      <c r="R129" s="16">
        <f>IFERROR(__xludf.DUMMYFUNCTION("""COMPUTED_VALUE"""),0.0)</f>
        <v>0</v>
      </c>
      <c r="S129" s="16">
        <f>IFERROR(__xludf.DUMMYFUNCTION("""COMPUTED_VALUE"""),0.0)</f>
        <v>0</v>
      </c>
      <c r="T129" s="16">
        <f>IFERROR(__xludf.DUMMYFUNCTION("""COMPUTED_VALUE"""),0.0)</f>
        <v>0</v>
      </c>
      <c r="U129" s="16">
        <f>IFERROR(__xludf.DUMMYFUNCTION("""COMPUTED_VALUE"""),0.0)</f>
        <v>0</v>
      </c>
      <c r="V129" s="16">
        <f>IFERROR(__xludf.DUMMYFUNCTION("""COMPUTED_VALUE"""),0.0)</f>
        <v>0</v>
      </c>
      <c r="W129" s="16">
        <f>IFERROR(__xludf.DUMMYFUNCTION("""COMPUTED_VALUE"""),0.0)</f>
        <v>0</v>
      </c>
      <c r="X129" s="16">
        <f>IFERROR(__xludf.DUMMYFUNCTION("""COMPUTED_VALUE"""),0.0)</f>
        <v>0</v>
      </c>
      <c r="Y129" s="16">
        <f>IFERROR(__xludf.DUMMYFUNCTION("""COMPUTED_VALUE"""),0.0)</f>
        <v>0</v>
      </c>
      <c r="Z129" s="16">
        <f>IFERROR(__xludf.DUMMYFUNCTION("""COMPUTED_VALUE"""),0.0)</f>
        <v>0</v>
      </c>
      <c r="AA129" s="16">
        <f>IFERROR(__xludf.DUMMYFUNCTION("""COMPUTED_VALUE"""),0.0)</f>
        <v>0</v>
      </c>
      <c r="AB129" s="16">
        <f>IFERROR(__xludf.DUMMYFUNCTION("""COMPUTED_VALUE"""),0.0)</f>
        <v>0</v>
      </c>
      <c r="AC129" s="16">
        <f>IFERROR(__xludf.DUMMYFUNCTION("""COMPUTED_VALUE"""),0.0)</f>
        <v>0</v>
      </c>
      <c r="AD129" s="16">
        <f>IFERROR(__xludf.DUMMYFUNCTION("""COMPUTED_VALUE"""),0.0)</f>
        <v>0</v>
      </c>
      <c r="AE129" s="16">
        <f>IFERROR(__xludf.DUMMYFUNCTION("""COMPUTED_VALUE"""),0.0)</f>
        <v>0</v>
      </c>
      <c r="AF129" s="16">
        <f>IFERROR(__xludf.DUMMYFUNCTION("""COMPUTED_VALUE"""),0.0)</f>
        <v>0</v>
      </c>
      <c r="AG129" s="16">
        <f>IFERROR(__xludf.DUMMYFUNCTION("""COMPUTED_VALUE"""),0.0)</f>
        <v>0</v>
      </c>
      <c r="AH129" s="16">
        <f>IFERROR(__xludf.DUMMYFUNCTION("""COMPUTED_VALUE"""),0.0)</f>
        <v>0</v>
      </c>
    </row>
    <row r="130">
      <c r="A130" s="16" t="str">
        <f>IFERROR(__xludf.DUMMYFUNCTION("""COMPUTED_VALUE"""),"69e29d606b65c300fffe9a9af149d4b81b170a78")</f>
        <v>69e29d606b65c300fffe9a9af149d4b81b170a78</v>
      </c>
      <c r="B130" s="16" t="str">
        <f>IFERROR(__xludf.DUMMYFUNCTION("""COMPUTED_VALUE"""),"Unexpectedly Entwined")</f>
        <v>Unexpectedly Entwined</v>
      </c>
      <c r="C130" s="16" t="str">
        <f>IFERROR(__xludf.DUMMYFUNCTION("""COMPUTED_VALUE"""),"Romance")</f>
        <v>Romance</v>
      </c>
      <c r="D130" s="16">
        <f>IFERROR(__xludf.DUMMYFUNCTION("""COMPUTED_VALUE"""),114.0)</f>
        <v>114</v>
      </c>
      <c r="E130" s="16">
        <f>IFERROR(__xludf.DUMMYFUNCTION("""COMPUTED_VALUE"""),0.947368421052631)</f>
        <v>0.9473684211</v>
      </c>
      <c r="F130" s="16">
        <f>IFERROR(__xludf.DUMMYFUNCTION("""COMPUTED_VALUE"""),0.587719298245614)</f>
        <v>0.5877192982</v>
      </c>
      <c r="G130" s="16">
        <f>IFERROR(__xludf.DUMMYFUNCTION("""COMPUTED_VALUE"""),0.543859649122807)</f>
        <v>0.5438596491</v>
      </c>
      <c r="H130" s="16">
        <f>IFERROR(__xludf.DUMMYFUNCTION("""COMPUTED_VALUE"""),0.491228070175438)</f>
        <v>0.4912280702</v>
      </c>
      <c r="I130" s="16">
        <f>IFERROR(__xludf.DUMMYFUNCTION("""COMPUTED_VALUE"""),0.464912280701754)</f>
        <v>0.4649122807</v>
      </c>
      <c r="J130" s="16">
        <f>IFERROR(__xludf.DUMMYFUNCTION("""COMPUTED_VALUE"""),0.412280701754385)</f>
        <v>0.4122807018</v>
      </c>
      <c r="K130" s="16">
        <f>IFERROR(__xludf.DUMMYFUNCTION("""COMPUTED_VALUE"""),0.368421052631578)</f>
        <v>0.3684210526</v>
      </c>
      <c r="L130" s="16">
        <f>IFERROR(__xludf.DUMMYFUNCTION("""COMPUTED_VALUE"""),0.37719298245614)</f>
        <v>0.3771929825</v>
      </c>
      <c r="M130" s="16">
        <f>IFERROR(__xludf.DUMMYFUNCTION("""COMPUTED_VALUE"""),0.324561403508771)</f>
        <v>0.3245614035</v>
      </c>
      <c r="N130" s="16">
        <f>IFERROR(__xludf.DUMMYFUNCTION("""COMPUTED_VALUE"""),0.31858407079646)</f>
        <v>0.3185840708</v>
      </c>
      <c r="O130" s="16">
        <f>IFERROR(__xludf.DUMMYFUNCTION("""COMPUTED_VALUE"""),0.247787610619469)</f>
        <v>0.2477876106</v>
      </c>
      <c r="P130" s="16">
        <f>IFERROR(__xludf.DUMMYFUNCTION("""COMPUTED_VALUE"""),0.135135135135135)</f>
        <v>0.1351351351</v>
      </c>
      <c r="Q130" s="16">
        <f>IFERROR(__xludf.DUMMYFUNCTION("""COMPUTED_VALUE"""),0.101851851851851)</f>
        <v>0.1018518519</v>
      </c>
      <c r="R130" s="16">
        <f>IFERROR(__xludf.DUMMYFUNCTION("""COMPUTED_VALUE"""),0.0967741935483871)</f>
        <v>0.09677419355</v>
      </c>
      <c r="S130" s="16">
        <f>IFERROR(__xludf.DUMMYFUNCTION("""COMPUTED_VALUE"""),0.145833333333333)</f>
        <v>0.1458333333</v>
      </c>
      <c r="T130" s="16">
        <f>IFERROR(__xludf.DUMMYFUNCTION("""COMPUTED_VALUE"""),0.0303030303030303)</f>
        <v>0.0303030303</v>
      </c>
      <c r="U130" s="16">
        <f>IFERROR(__xludf.DUMMYFUNCTION("""COMPUTED_VALUE"""),0.0)</f>
        <v>0</v>
      </c>
      <c r="V130" s="16">
        <f>IFERROR(__xludf.DUMMYFUNCTION("""COMPUTED_VALUE"""),0.0)</f>
        <v>0</v>
      </c>
      <c r="W130" s="16">
        <f>IFERROR(__xludf.DUMMYFUNCTION("""COMPUTED_VALUE"""),0.0)</f>
        <v>0</v>
      </c>
      <c r="X130" s="16">
        <f>IFERROR(__xludf.DUMMYFUNCTION("""COMPUTED_VALUE"""),0.0)</f>
        <v>0</v>
      </c>
      <c r="Y130" s="16">
        <f>IFERROR(__xludf.DUMMYFUNCTION("""COMPUTED_VALUE"""),0.0)</f>
        <v>0</v>
      </c>
      <c r="Z130" s="16">
        <f>IFERROR(__xludf.DUMMYFUNCTION("""COMPUTED_VALUE"""),0.0)</f>
        <v>0</v>
      </c>
      <c r="AA130" s="16">
        <f>IFERROR(__xludf.DUMMYFUNCTION("""COMPUTED_VALUE"""),0.0)</f>
        <v>0</v>
      </c>
      <c r="AB130" s="16">
        <f>IFERROR(__xludf.DUMMYFUNCTION("""COMPUTED_VALUE"""),0.0)</f>
        <v>0</v>
      </c>
      <c r="AC130" s="16">
        <f>IFERROR(__xludf.DUMMYFUNCTION("""COMPUTED_VALUE"""),0.0)</f>
        <v>0</v>
      </c>
      <c r="AD130" s="16">
        <f>IFERROR(__xludf.DUMMYFUNCTION("""COMPUTED_VALUE"""),0.0)</f>
        <v>0</v>
      </c>
      <c r="AE130" s="16">
        <f>IFERROR(__xludf.DUMMYFUNCTION("""COMPUTED_VALUE"""),0.0)</f>
        <v>0</v>
      </c>
      <c r="AF130" s="16">
        <f>IFERROR(__xludf.DUMMYFUNCTION("""COMPUTED_VALUE"""),0.0)</f>
        <v>0</v>
      </c>
      <c r="AG130" s="16">
        <f>IFERROR(__xludf.DUMMYFUNCTION("""COMPUTED_VALUE"""),0.0)</f>
        <v>0</v>
      </c>
      <c r="AH130" s="16">
        <f>IFERROR(__xludf.DUMMYFUNCTION("""COMPUTED_VALUE"""),0.0)</f>
        <v>0</v>
      </c>
    </row>
    <row r="131">
      <c r="A131" s="16" t="str">
        <f>IFERROR(__xludf.DUMMYFUNCTION("""COMPUTED_VALUE"""),"69e2eb3772b49e749fed57ae96a86147dde154cb")</f>
        <v>69e2eb3772b49e749fed57ae96a86147dde154cb</v>
      </c>
      <c r="B131" s="16" t="str">
        <f>IFERROR(__xludf.DUMMYFUNCTION("""COMPUTED_VALUE"""),"The Alpha She Chose")</f>
        <v>The Alpha She Chose</v>
      </c>
      <c r="C131" s="16" t="str">
        <f>IFERROR(__xludf.DUMMYFUNCTION("""COMPUTED_VALUE"""),"Romantasy")</f>
        <v>Romantasy</v>
      </c>
      <c r="D131" s="16">
        <f>IFERROR(__xludf.DUMMYFUNCTION("""COMPUTED_VALUE"""),626.0)</f>
        <v>626</v>
      </c>
      <c r="E131" s="16">
        <f>IFERROR(__xludf.DUMMYFUNCTION("""COMPUTED_VALUE"""),0.955271565495207)</f>
        <v>0.9552715655</v>
      </c>
      <c r="F131" s="16">
        <f>IFERROR(__xludf.DUMMYFUNCTION("""COMPUTED_VALUE"""),0.640575079872204)</f>
        <v>0.6405750799</v>
      </c>
      <c r="G131" s="16">
        <f>IFERROR(__xludf.DUMMYFUNCTION("""COMPUTED_VALUE"""),0.613418530351437)</f>
        <v>0.6134185304</v>
      </c>
      <c r="H131" s="16">
        <f>IFERROR(__xludf.DUMMYFUNCTION("""COMPUTED_VALUE"""),0.5814696485623)</f>
        <v>0.5814696486</v>
      </c>
      <c r="I131" s="16">
        <f>IFERROR(__xludf.DUMMYFUNCTION("""COMPUTED_VALUE"""),0.547923322683706)</f>
        <v>0.5479233227</v>
      </c>
      <c r="J131" s="16">
        <f>IFERROR(__xludf.DUMMYFUNCTION("""COMPUTED_VALUE"""),0.526484751203852)</f>
        <v>0.5264847512</v>
      </c>
      <c r="K131" s="16">
        <f>IFERROR(__xludf.DUMMYFUNCTION("""COMPUTED_VALUE"""),0.507246376811594)</f>
        <v>0.5072463768</v>
      </c>
      <c r="L131" s="16">
        <f>IFERROR(__xludf.DUMMYFUNCTION("""COMPUTED_VALUE"""),0.491114701130856)</f>
        <v>0.4911147011</v>
      </c>
      <c r="M131" s="16">
        <f>IFERROR(__xludf.DUMMYFUNCTION("""COMPUTED_VALUE"""),0.47564935064935)</f>
        <v>0.4756493506</v>
      </c>
      <c r="N131" s="16">
        <f>IFERROR(__xludf.DUMMYFUNCTION("""COMPUTED_VALUE"""),0.460032626427406)</f>
        <v>0.4600326264</v>
      </c>
      <c r="O131" s="16">
        <f>IFERROR(__xludf.DUMMYFUNCTION("""COMPUTED_VALUE"""),0.439597315436241)</f>
        <v>0.4395973154</v>
      </c>
      <c r="P131" s="16">
        <f>IFERROR(__xludf.DUMMYFUNCTION("""COMPUTED_VALUE"""),0.350533807829181)</f>
        <v>0.3505338078</v>
      </c>
      <c r="Q131" s="16">
        <f>IFERROR(__xludf.DUMMYFUNCTION("""COMPUTED_VALUE"""),0.299610894941634)</f>
        <v>0.2996108949</v>
      </c>
      <c r="R131" s="16">
        <f>IFERROR(__xludf.DUMMYFUNCTION("""COMPUTED_VALUE"""),0.246252676659528)</f>
        <v>0.2462526767</v>
      </c>
      <c r="S131" s="16">
        <f>IFERROR(__xludf.DUMMYFUNCTION("""COMPUTED_VALUE"""),0.176470588235294)</f>
        <v>0.1764705882</v>
      </c>
      <c r="T131" s="16">
        <f>IFERROR(__xludf.DUMMYFUNCTION("""COMPUTED_VALUE"""),0.0)</f>
        <v>0</v>
      </c>
      <c r="U131" s="16">
        <f>IFERROR(__xludf.DUMMYFUNCTION("""COMPUTED_VALUE"""),0.0)</f>
        <v>0</v>
      </c>
      <c r="V131" s="16">
        <f>IFERROR(__xludf.DUMMYFUNCTION("""COMPUTED_VALUE"""),0.0)</f>
        <v>0</v>
      </c>
      <c r="W131" s="16">
        <f>IFERROR(__xludf.DUMMYFUNCTION("""COMPUTED_VALUE"""),0.0)</f>
        <v>0</v>
      </c>
      <c r="X131" s="16">
        <f>IFERROR(__xludf.DUMMYFUNCTION("""COMPUTED_VALUE"""),0.0)</f>
        <v>0</v>
      </c>
      <c r="Y131" s="16">
        <f>IFERROR(__xludf.DUMMYFUNCTION("""COMPUTED_VALUE"""),0.0)</f>
        <v>0</v>
      </c>
      <c r="Z131" s="16">
        <f>IFERROR(__xludf.DUMMYFUNCTION("""COMPUTED_VALUE"""),0.0)</f>
        <v>0</v>
      </c>
      <c r="AA131" s="16">
        <f>IFERROR(__xludf.DUMMYFUNCTION("""COMPUTED_VALUE"""),0.0)</f>
        <v>0</v>
      </c>
      <c r="AB131" s="16">
        <f>IFERROR(__xludf.DUMMYFUNCTION("""COMPUTED_VALUE"""),0.0)</f>
        <v>0</v>
      </c>
      <c r="AC131" s="16">
        <f>IFERROR(__xludf.DUMMYFUNCTION("""COMPUTED_VALUE"""),0.0)</f>
        <v>0</v>
      </c>
      <c r="AD131" s="16">
        <f>IFERROR(__xludf.DUMMYFUNCTION("""COMPUTED_VALUE"""),0.0)</f>
        <v>0</v>
      </c>
      <c r="AE131" s="16">
        <f>IFERROR(__xludf.DUMMYFUNCTION("""COMPUTED_VALUE"""),0.0)</f>
        <v>0</v>
      </c>
      <c r="AF131" s="16">
        <f>IFERROR(__xludf.DUMMYFUNCTION("""COMPUTED_VALUE"""),0.0)</f>
        <v>0</v>
      </c>
      <c r="AG131" s="16">
        <f>IFERROR(__xludf.DUMMYFUNCTION("""COMPUTED_VALUE"""),0.0)</f>
        <v>0</v>
      </c>
      <c r="AH131" s="16">
        <f>IFERROR(__xludf.DUMMYFUNCTION("""COMPUTED_VALUE"""),0.0)</f>
        <v>0</v>
      </c>
    </row>
    <row r="132">
      <c r="A132" s="16" t="str">
        <f>IFERROR(__xludf.DUMMYFUNCTION("""COMPUTED_VALUE"""),"6c13ac0e01a86e60a2d75bbcee5bb8f9be472700")</f>
        <v>6c13ac0e01a86e60a2d75bbcee5bb8f9be472700</v>
      </c>
      <c r="B132" s="16" t="str">
        <f>IFERROR(__xludf.DUMMYFUNCTION("""COMPUTED_VALUE"""),"Fated to You")</f>
        <v>Fated to You</v>
      </c>
      <c r="C132" s="16" t="str">
        <f>IFERROR(__xludf.DUMMYFUNCTION("""COMPUTED_VALUE"""),"Romance")</f>
        <v>Romance</v>
      </c>
      <c r="D132" s="16">
        <f>IFERROR(__xludf.DUMMYFUNCTION("""COMPUTED_VALUE"""),83.0)</f>
        <v>83</v>
      </c>
      <c r="E132" s="16">
        <f>IFERROR(__xludf.DUMMYFUNCTION("""COMPUTED_VALUE"""),0.493975903614457)</f>
        <v>0.4939759036</v>
      </c>
      <c r="F132" s="16">
        <f>IFERROR(__xludf.DUMMYFUNCTION("""COMPUTED_VALUE"""),0.313253012048192)</f>
        <v>0.313253012</v>
      </c>
      <c r="G132" s="16">
        <f>IFERROR(__xludf.DUMMYFUNCTION("""COMPUTED_VALUE"""),0.325301204819277)</f>
        <v>0.3253012048</v>
      </c>
      <c r="H132" s="16">
        <f>IFERROR(__xludf.DUMMYFUNCTION("""COMPUTED_VALUE"""),0.289156626506024)</f>
        <v>0.2891566265</v>
      </c>
      <c r="I132" s="16">
        <f>IFERROR(__xludf.DUMMYFUNCTION("""COMPUTED_VALUE"""),0.253012048192771)</f>
        <v>0.2530120482</v>
      </c>
      <c r="J132" s="16">
        <f>IFERROR(__xludf.DUMMYFUNCTION("""COMPUTED_VALUE"""),0.256097560975609)</f>
        <v>0.256097561</v>
      </c>
      <c r="K132" s="16">
        <f>IFERROR(__xludf.DUMMYFUNCTION("""COMPUTED_VALUE"""),0.23170731707317)</f>
        <v>0.2317073171</v>
      </c>
      <c r="L132" s="16">
        <f>IFERROR(__xludf.DUMMYFUNCTION("""COMPUTED_VALUE"""),0.23170731707317)</f>
        <v>0.2317073171</v>
      </c>
      <c r="M132" s="16">
        <f>IFERROR(__xludf.DUMMYFUNCTION("""COMPUTED_VALUE"""),0.207317073170731)</f>
        <v>0.2073170732</v>
      </c>
      <c r="N132" s="16">
        <f>IFERROR(__xludf.DUMMYFUNCTION("""COMPUTED_VALUE"""),0.234567901234567)</f>
        <v>0.2345679012</v>
      </c>
      <c r="O132" s="16">
        <f>IFERROR(__xludf.DUMMYFUNCTION("""COMPUTED_VALUE"""),0.2)</f>
        <v>0.2</v>
      </c>
      <c r="P132" s="16">
        <f>IFERROR(__xludf.DUMMYFUNCTION("""COMPUTED_VALUE"""),0.210526315789473)</f>
        <v>0.2105263158</v>
      </c>
      <c r="Q132" s="16">
        <f>IFERROR(__xludf.DUMMYFUNCTION("""COMPUTED_VALUE"""),0.0921052631578947)</f>
        <v>0.09210526316</v>
      </c>
      <c r="R132" s="16">
        <f>IFERROR(__xludf.DUMMYFUNCTION("""COMPUTED_VALUE"""),0.0933333333333333)</f>
        <v>0.09333333333</v>
      </c>
      <c r="S132" s="16">
        <f>IFERROR(__xludf.DUMMYFUNCTION("""COMPUTED_VALUE"""),0.0655737704918032)</f>
        <v>0.06557377049</v>
      </c>
      <c r="T132" s="16">
        <f>IFERROR(__xludf.DUMMYFUNCTION("""COMPUTED_VALUE"""),0.0545454545454545)</f>
        <v>0.05454545455</v>
      </c>
      <c r="U132" s="16">
        <f>IFERROR(__xludf.DUMMYFUNCTION("""COMPUTED_VALUE"""),0.037037037037037)</f>
        <v>0.03703703704</v>
      </c>
      <c r="V132" s="16">
        <f>IFERROR(__xludf.DUMMYFUNCTION("""COMPUTED_VALUE"""),0.0185185185185185)</f>
        <v>0.01851851852</v>
      </c>
      <c r="W132" s="16">
        <f>IFERROR(__xludf.DUMMYFUNCTION("""COMPUTED_VALUE"""),0.0)</f>
        <v>0</v>
      </c>
      <c r="X132" s="16">
        <f>IFERROR(__xludf.DUMMYFUNCTION("""COMPUTED_VALUE"""),0.0192307692307692)</f>
        <v>0.01923076923</v>
      </c>
      <c r="Y132" s="16">
        <f>IFERROR(__xludf.DUMMYFUNCTION("""COMPUTED_VALUE"""),0.0)</f>
        <v>0</v>
      </c>
      <c r="Z132" s="16">
        <f>IFERROR(__xludf.DUMMYFUNCTION("""COMPUTED_VALUE"""),0.0)</f>
        <v>0</v>
      </c>
      <c r="AA132" s="16">
        <f>IFERROR(__xludf.DUMMYFUNCTION("""COMPUTED_VALUE"""),0.0)</f>
        <v>0</v>
      </c>
      <c r="AB132" s="16">
        <f>IFERROR(__xludf.DUMMYFUNCTION("""COMPUTED_VALUE"""),0.0)</f>
        <v>0</v>
      </c>
      <c r="AC132" s="16">
        <f>IFERROR(__xludf.DUMMYFUNCTION("""COMPUTED_VALUE"""),0.0)</f>
        <v>0</v>
      </c>
      <c r="AD132" s="16">
        <f>IFERROR(__xludf.DUMMYFUNCTION("""COMPUTED_VALUE"""),0.0)</f>
        <v>0</v>
      </c>
      <c r="AE132" s="16">
        <f>IFERROR(__xludf.DUMMYFUNCTION("""COMPUTED_VALUE"""),0.0)</f>
        <v>0</v>
      </c>
      <c r="AF132" s="16">
        <f>IFERROR(__xludf.DUMMYFUNCTION("""COMPUTED_VALUE"""),0.0)</f>
        <v>0</v>
      </c>
      <c r="AG132" s="16">
        <f>IFERROR(__xludf.DUMMYFUNCTION("""COMPUTED_VALUE"""),0.0)</f>
        <v>0</v>
      </c>
      <c r="AH132" s="16">
        <f>IFERROR(__xludf.DUMMYFUNCTION("""COMPUTED_VALUE"""),0.0)</f>
        <v>0</v>
      </c>
    </row>
    <row r="133">
      <c r="A133" s="16" t="str">
        <f>IFERROR(__xludf.DUMMYFUNCTION("""COMPUTED_VALUE"""),"6e9cd8b5ce597e73f12a6a180c18888a89f8aac3")</f>
        <v>6e9cd8b5ce597e73f12a6a180c18888a89f8aac3</v>
      </c>
      <c r="B133" s="16" t="str">
        <f>IFERROR(__xludf.DUMMYFUNCTION("""COMPUTED_VALUE"""),"Sovereign Retribution")</f>
        <v>Sovereign Retribution</v>
      </c>
      <c r="C133" s="16" t="str">
        <f>IFERROR(__xludf.DUMMYFUNCTION("""COMPUTED_VALUE"""),"Drama")</f>
        <v>Drama</v>
      </c>
      <c r="D133" s="16">
        <f>IFERROR(__xludf.DUMMYFUNCTION("""COMPUTED_VALUE"""),243.0)</f>
        <v>243</v>
      </c>
      <c r="E133" s="16">
        <f>IFERROR(__xludf.DUMMYFUNCTION("""COMPUTED_VALUE"""),0.946502057613168)</f>
        <v>0.9465020576</v>
      </c>
      <c r="F133" s="16">
        <f>IFERROR(__xludf.DUMMYFUNCTION("""COMPUTED_VALUE"""),0.703703703703703)</f>
        <v>0.7037037037</v>
      </c>
      <c r="G133" s="16">
        <f>IFERROR(__xludf.DUMMYFUNCTION("""COMPUTED_VALUE"""),0.658436213991769)</f>
        <v>0.658436214</v>
      </c>
      <c r="H133" s="16">
        <f>IFERROR(__xludf.DUMMYFUNCTION("""COMPUTED_VALUE"""),0.629629629629629)</f>
        <v>0.6296296296</v>
      </c>
      <c r="I133" s="16">
        <f>IFERROR(__xludf.DUMMYFUNCTION("""COMPUTED_VALUE"""),0.604938271604938)</f>
        <v>0.6049382716</v>
      </c>
      <c r="J133" s="16">
        <f>IFERROR(__xludf.DUMMYFUNCTION("""COMPUTED_VALUE"""),0.580246913580246)</f>
        <v>0.5802469136</v>
      </c>
      <c r="K133" s="16">
        <f>IFERROR(__xludf.DUMMYFUNCTION("""COMPUTED_VALUE"""),0.539094650205761)</f>
        <v>0.5390946502</v>
      </c>
      <c r="L133" s="16">
        <f>IFERROR(__xludf.DUMMYFUNCTION("""COMPUTED_VALUE"""),0.522633744855967)</f>
        <v>0.5226337449</v>
      </c>
      <c r="M133" s="16">
        <f>IFERROR(__xludf.DUMMYFUNCTION("""COMPUTED_VALUE"""),0.51440329218107)</f>
        <v>0.5144032922</v>
      </c>
      <c r="N133" s="16">
        <f>IFERROR(__xludf.DUMMYFUNCTION("""COMPUTED_VALUE"""),0.483471074380165)</f>
        <v>0.4834710744</v>
      </c>
      <c r="O133" s="16">
        <f>IFERROR(__xludf.DUMMYFUNCTION("""COMPUTED_VALUE"""),0.40928270042194)</f>
        <v>0.4092827004</v>
      </c>
      <c r="P133" s="16">
        <f>IFERROR(__xludf.DUMMYFUNCTION("""COMPUTED_VALUE"""),0.318385650224215)</f>
        <v>0.3183856502</v>
      </c>
      <c r="Q133" s="16">
        <f>IFERROR(__xludf.DUMMYFUNCTION("""COMPUTED_VALUE"""),0.242105263157894)</f>
        <v>0.2421052632</v>
      </c>
      <c r="R133" s="16">
        <f>IFERROR(__xludf.DUMMYFUNCTION("""COMPUTED_VALUE"""),0.307692307692307)</f>
        <v>0.3076923077</v>
      </c>
      <c r="S133" s="16">
        <f>IFERROR(__xludf.DUMMYFUNCTION("""COMPUTED_VALUE"""),0.0)</f>
        <v>0</v>
      </c>
      <c r="T133" s="16">
        <f>IFERROR(__xludf.DUMMYFUNCTION("""COMPUTED_VALUE"""),0.0)</f>
        <v>0</v>
      </c>
      <c r="U133" s="16">
        <f>IFERROR(__xludf.DUMMYFUNCTION("""COMPUTED_VALUE"""),0.0)</f>
        <v>0</v>
      </c>
      <c r="V133" s="16">
        <f>IFERROR(__xludf.DUMMYFUNCTION("""COMPUTED_VALUE"""),0.0)</f>
        <v>0</v>
      </c>
      <c r="W133" s="16">
        <f>IFERROR(__xludf.DUMMYFUNCTION("""COMPUTED_VALUE"""),0.0)</f>
        <v>0</v>
      </c>
      <c r="X133" s="16">
        <f>IFERROR(__xludf.DUMMYFUNCTION("""COMPUTED_VALUE"""),0.0)</f>
        <v>0</v>
      </c>
      <c r="Y133" s="16">
        <f>IFERROR(__xludf.DUMMYFUNCTION("""COMPUTED_VALUE"""),0.0)</f>
        <v>0</v>
      </c>
      <c r="Z133" s="16">
        <f>IFERROR(__xludf.DUMMYFUNCTION("""COMPUTED_VALUE"""),0.0)</f>
        <v>0</v>
      </c>
      <c r="AA133" s="16">
        <f>IFERROR(__xludf.DUMMYFUNCTION("""COMPUTED_VALUE"""),0.0)</f>
        <v>0</v>
      </c>
      <c r="AB133" s="16">
        <f>IFERROR(__xludf.DUMMYFUNCTION("""COMPUTED_VALUE"""),0.0)</f>
        <v>0</v>
      </c>
      <c r="AC133" s="16">
        <f>IFERROR(__xludf.DUMMYFUNCTION("""COMPUTED_VALUE"""),0.0)</f>
        <v>0</v>
      </c>
      <c r="AD133" s="16">
        <f>IFERROR(__xludf.DUMMYFUNCTION("""COMPUTED_VALUE"""),0.0)</f>
        <v>0</v>
      </c>
      <c r="AE133" s="16">
        <f>IFERROR(__xludf.DUMMYFUNCTION("""COMPUTED_VALUE"""),0.0)</f>
        <v>0</v>
      </c>
      <c r="AF133" s="16">
        <f>IFERROR(__xludf.DUMMYFUNCTION("""COMPUTED_VALUE"""),0.0)</f>
        <v>0</v>
      </c>
      <c r="AG133" s="16">
        <f>IFERROR(__xludf.DUMMYFUNCTION("""COMPUTED_VALUE"""),0.0)</f>
        <v>0</v>
      </c>
      <c r="AH133" s="16">
        <f>IFERROR(__xludf.DUMMYFUNCTION("""COMPUTED_VALUE"""),0.0)</f>
        <v>0</v>
      </c>
    </row>
    <row r="134">
      <c r="A134" s="16" t="str">
        <f>IFERROR(__xludf.DUMMYFUNCTION("""COMPUTED_VALUE"""),"6f82cdfa2792a89aec9172918610c124246ad8bd")</f>
        <v>6f82cdfa2792a89aec9172918610c124246ad8bd</v>
      </c>
      <c r="B134" s="16" t="str">
        <f>IFERROR(__xludf.DUMMYFUNCTION("""COMPUTED_VALUE"""),"Hector's Rise to Power")</f>
        <v>Hector's Rise to Power</v>
      </c>
      <c r="C134" s="16" t="str">
        <f>IFERROR(__xludf.DUMMYFUNCTION("""COMPUTED_VALUE"""),"Drama")</f>
        <v>Drama</v>
      </c>
      <c r="D134" s="16">
        <f>IFERROR(__xludf.DUMMYFUNCTION("""COMPUTED_VALUE"""),11.0)</f>
        <v>11</v>
      </c>
      <c r="E134" s="16">
        <f>IFERROR(__xludf.DUMMYFUNCTION("""COMPUTED_VALUE"""),1.0)</f>
        <v>1</v>
      </c>
      <c r="F134" s="16">
        <f>IFERROR(__xludf.DUMMYFUNCTION("""COMPUTED_VALUE"""),0.636363636363636)</f>
        <v>0.6363636364</v>
      </c>
      <c r="G134" s="16">
        <f>IFERROR(__xludf.DUMMYFUNCTION("""COMPUTED_VALUE"""),0.545454545454545)</f>
        <v>0.5454545455</v>
      </c>
      <c r="H134" s="16">
        <f>IFERROR(__xludf.DUMMYFUNCTION("""COMPUTED_VALUE"""),0.363636363636363)</f>
        <v>0.3636363636</v>
      </c>
      <c r="I134" s="16">
        <f>IFERROR(__xludf.DUMMYFUNCTION("""COMPUTED_VALUE"""),0.363636363636363)</f>
        <v>0.3636363636</v>
      </c>
      <c r="J134" s="16">
        <f>IFERROR(__xludf.DUMMYFUNCTION("""COMPUTED_VALUE"""),0.272727272727272)</f>
        <v>0.2727272727</v>
      </c>
      <c r="K134" s="16">
        <f>IFERROR(__xludf.DUMMYFUNCTION("""COMPUTED_VALUE"""),0.181818181818181)</f>
        <v>0.1818181818</v>
      </c>
      <c r="L134" s="16">
        <f>IFERROR(__xludf.DUMMYFUNCTION("""COMPUTED_VALUE"""),0.181818181818181)</f>
        <v>0.1818181818</v>
      </c>
      <c r="M134" s="16">
        <f>IFERROR(__xludf.DUMMYFUNCTION("""COMPUTED_VALUE"""),0.0909090909090909)</f>
        <v>0.09090909091</v>
      </c>
      <c r="N134" s="16">
        <f>IFERROR(__xludf.DUMMYFUNCTION("""COMPUTED_VALUE"""),0.0909090909090909)</f>
        <v>0.09090909091</v>
      </c>
      <c r="O134" s="16">
        <f>IFERROR(__xludf.DUMMYFUNCTION("""COMPUTED_VALUE"""),0.0909090909090909)</f>
        <v>0.09090909091</v>
      </c>
      <c r="P134" s="16">
        <f>IFERROR(__xludf.DUMMYFUNCTION("""COMPUTED_VALUE"""),0.142857142857142)</f>
        <v>0.1428571429</v>
      </c>
      <c r="Q134" s="16">
        <f>IFERROR(__xludf.DUMMYFUNCTION("""COMPUTED_VALUE"""),0.0)</f>
        <v>0</v>
      </c>
      <c r="R134" s="16">
        <f>IFERROR(__xludf.DUMMYFUNCTION("""COMPUTED_VALUE"""),0.0)</f>
        <v>0</v>
      </c>
      <c r="S134" s="16">
        <f>IFERROR(__xludf.DUMMYFUNCTION("""COMPUTED_VALUE"""),0.0)</f>
        <v>0</v>
      </c>
      <c r="T134" s="16">
        <f>IFERROR(__xludf.DUMMYFUNCTION("""COMPUTED_VALUE"""),0.0)</f>
        <v>0</v>
      </c>
      <c r="U134" s="16">
        <f>IFERROR(__xludf.DUMMYFUNCTION("""COMPUTED_VALUE"""),0.0)</f>
        <v>0</v>
      </c>
      <c r="V134" s="16">
        <f>IFERROR(__xludf.DUMMYFUNCTION("""COMPUTED_VALUE"""),0.0)</f>
        <v>0</v>
      </c>
      <c r="W134" s="16">
        <f>IFERROR(__xludf.DUMMYFUNCTION("""COMPUTED_VALUE"""),0.0)</f>
        <v>0</v>
      </c>
      <c r="X134" s="16">
        <f>IFERROR(__xludf.DUMMYFUNCTION("""COMPUTED_VALUE"""),0.0)</f>
        <v>0</v>
      </c>
      <c r="Y134" s="16">
        <f>IFERROR(__xludf.DUMMYFUNCTION("""COMPUTED_VALUE"""),0.0)</f>
        <v>0</v>
      </c>
      <c r="Z134" s="16">
        <f>IFERROR(__xludf.DUMMYFUNCTION("""COMPUTED_VALUE"""),0.0)</f>
        <v>0</v>
      </c>
      <c r="AA134" s="16">
        <f>IFERROR(__xludf.DUMMYFUNCTION("""COMPUTED_VALUE"""),0.0)</f>
        <v>0</v>
      </c>
      <c r="AB134" s="16">
        <f>IFERROR(__xludf.DUMMYFUNCTION("""COMPUTED_VALUE"""),0.0)</f>
        <v>0</v>
      </c>
      <c r="AC134" s="16">
        <f>IFERROR(__xludf.DUMMYFUNCTION("""COMPUTED_VALUE"""),0.0)</f>
        <v>0</v>
      </c>
      <c r="AD134" s="16">
        <f>IFERROR(__xludf.DUMMYFUNCTION("""COMPUTED_VALUE"""),0.0)</f>
        <v>0</v>
      </c>
      <c r="AE134" s="16">
        <f>IFERROR(__xludf.DUMMYFUNCTION("""COMPUTED_VALUE"""),0.0)</f>
        <v>0</v>
      </c>
      <c r="AF134" s="16">
        <f>IFERROR(__xludf.DUMMYFUNCTION("""COMPUTED_VALUE"""),0.0)</f>
        <v>0</v>
      </c>
      <c r="AG134" s="16">
        <f>IFERROR(__xludf.DUMMYFUNCTION("""COMPUTED_VALUE"""),0.0)</f>
        <v>0</v>
      </c>
      <c r="AH134" s="16">
        <f>IFERROR(__xludf.DUMMYFUNCTION("""COMPUTED_VALUE"""),0.0)</f>
        <v>0</v>
      </c>
    </row>
    <row r="135">
      <c r="A135" s="16" t="str">
        <f>IFERROR(__xludf.DUMMYFUNCTION("""COMPUTED_VALUE"""),"6f907f1e2ab28d03dcc8246bf380f11b97d00c06")</f>
        <v>6f907f1e2ab28d03dcc8246bf380f11b97d00c06</v>
      </c>
      <c r="B135" s="16" t="str">
        <f>IFERROR(__xludf.DUMMYFUNCTION("""COMPUTED_VALUE"""),"CEO Inherited Bride ")</f>
        <v>CEO Inherited Bride </v>
      </c>
      <c r="C135" s="16" t="str">
        <f>IFERROR(__xludf.DUMMYFUNCTION("""COMPUTED_VALUE"""),"Romance")</f>
        <v>Romance</v>
      </c>
      <c r="D135" s="16">
        <f>IFERROR(__xludf.DUMMYFUNCTION("""COMPUTED_VALUE"""),36.0)</f>
        <v>36</v>
      </c>
      <c r="E135" s="16">
        <f>IFERROR(__xludf.DUMMYFUNCTION("""COMPUTED_VALUE"""),1.0)</f>
        <v>1</v>
      </c>
      <c r="F135" s="16">
        <f>IFERROR(__xludf.DUMMYFUNCTION("""COMPUTED_VALUE"""),0.722222222222222)</f>
        <v>0.7222222222</v>
      </c>
      <c r="G135" s="16">
        <f>IFERROR(__xludf.DUMMYFUNCTION("""COMPUTED_VALUE"""),0.611111111111111)</f>
        <v>0.6111111111</v>
      </c>
      <c r="H135" s="16">
        <f>IFERROR(__xludf.DUMMYFUNCTION("""COMPUTED_VALUE"""),0.611111111111111)</f>
        <v>0.6111111111</v>
      </c>
      <c r="I135" s="16">
        <f>IFERROR(__xludf.DUMMYFUNCTION("""COMPUTED_VALUE"""),0.555555555555555)</f>
        <v>0.5555555556</v>
      </c>
      <c r="J135" s="16">
        <f>IFERROR(__xludf.DUMMYFUNCTION("""COMPUTED_VALUE"""),0.527777777777777)</f>
        <v>0.5277777778</v>
      </c>
      <c r="K135" s="16">
        <f>IFERROR(__xludf.DUMMYFUNCTION("""COMPUTED_VALUE"""),0.5)</f>
        <v>0.5</v>
      </c>
      <c r="L135" s="16">
        <f>IFERROR(__xludf.DUMMYFUNCTION("""COMPUTED_VALUE"""),0.444444444444444)</f>
        <v>0.4444444444</v>
      </c>
      <c r="M135" s="16">
        <f>IFERROR(__xludf.DUMMYFUNCTION("""COMPUTED_VALUE"""),0.416666666666666)</f>
        <v>0.4166666667</v>
      </c>
      <c r="N135" s="16">
        <f>IFERROR(__xludf.DUMMYFUNCTION("""COMPUTED_VALUE"""),0.388888888888888)</f>
        <v>0.3888888889</v>
      </c>
      <c r="O135" s="16">
        <f>IFERROR(__xludf.DUMMYFUNCTION("""COMPUTED_VALUE"""),0.314285714285714)</f>
        <v>0.3142857143</v>
      </c>
      <c r="P135" s="16">
        <f>IFERROR(__xludf.DUMMYFUNCTION("""COMPUTED_VALUE"""),0.235294117647058)</f>
        <v>0.2352941176</v>
      </c>
      <c r="Q135" s="16">
        <f>IFERROR(__xludf.DUMMYFUNCTION("""COMPUTED_VALUE"""),0.15625)</f>
        <v>0.15625</v>
      </c>
      <c r="R135" s="16">
        <f>IFERROR(__xludf.DUMMYFUNCTION("""COMPUTED_VALUE"""),0.0967741935483871)</f>
        <v>0.09677419355</v>
      </c>
      <c r="S135" s="16">
        <f>IFERROR(__xludf.DUMMYFUNCTION("""COMPUTED_VALUE"""),0.0476190476190476)</f>
        <v>0.04761904762</v>
      </c>
      <c r="T135" s="16">
        <f>IFERROR(__xludf.DUMMYFUNCTION("""COMPUTED_VALUE"""),0.133333333333333)</f>
        <v>0.1333333333</v>
      </c>
      <c r="U135" s="16">
        <f>IFERROR(__xludf.DUMMYFUNCTION("""COMPUTED_VALUE"""),0.0)</f>
        <v>0</v>
      </c>
      <c r="V135" s="16">
        <f>IFERROR(__xludf.DUMMYFUNCTION("""COMPUTED_VALUE"""),0.0)</f>
        <v>0</v>
      </c>
      <c r="W135" s="16">
        <f>IFERROR(__xludf.DUMMYFUNCTION("""COMPUTED_VALUE"""),0.0)</f>
        <v>0</v>
      </c>
      <c r="X135" s="16">
        <f>IFERROR(__xludf.DUMMYFUNCTION("""COMPUTED_VALUE"""),0.0)</f>
        <v>0</v>
      </c>
      <c r="Y135" s="16">
        <f>IFERROR(__xludf.DUMMYFUNCTION("""COMPUTED_VALUE"""),0.0)</f>
        <v>0</v>
      </c>
      <c r="Z135" s="16">
        <f>IFERROR(__xludf.DUMMYFUNCTION("""COMPUTED_VALUE"""),0.0)</f>
        <v>0</v>
      </c>
      <c r="AA135" s="16">
        <f>IFERROR(__xludf.DUMMYFUNCTION("""COMPUTED_VALUE"""),0.0)</f>
        <v>0</v>
      </c>
      <c r="AB135" s="16">
        <f>IFERROR(__xludf.DUMMYFUNCTION("""COMPUTED_VALUE"""),0.0)</f>
        <v>0</v>
      </c>
      <c r="AC135" s="16">
        <f>IFERROR(__xludf.DUMMYFUNCTION("""COMPUTED_VALUE"""),0.0)</f>
        <v>0</v>
      </c>
      <c r="AD135" s="16">
        <f>IFERROR(__xludf.DUMMYFUNCTION("""COMPUTED_VALUE"""),0.0)</f>
        <v>0</v>
      </c>
      <c r="AE135" s="16">
        <f>IFERROR(__xludf.DUMMYFUNCTION("""COMPUTED_VALUE"""),0.0)</f>
        <v>0</v>
      </c>
      <c r="AF135" s="16">
        <f>IFERROR(__xludf.DUMMYFUNCTION("""COMPUTED_VALUE"""),0.0)</f>
        <v>0</v>
      </c>
      <c r="AG135" s="16">
        <f>IFERROR(__xludf.DUMMYFUNCTION("""COMPUTED_VALUE"""),0.0)</f>
        <v>0</v>
      </c>
      <c r="AH135" s="16">
        <f>IFERROR(__xludf.DUMMYFUNCTION("""COMPUTED_VALUE"""),0.0)</f>
        <v>0</v>
      </c>
    </row>
    <row r="136">
      <c r="A136" s="16" t="str">
        <f>IFERROR(__xludf.DUMMYFUNCTION("""COMPUTED_VALUE"""),"71bfacd374965f4c980894477e36ea695b41c609")</f>
        <v>71bfacd374965f4c980894477e36ea695b41c609</v>
      </c>
      <c r="B136" s="16" t="str">
        <f>IFERROR(__xludf.DUMMYFUNCTION("""COMPUTED_VALUE"""),"Bride Who Didn't Want Him")</f>
        <v>Bride Who Didn't Want Him</v>
      </c>
      <c r="C136" s="16" t="str">
        <f>IFERROR(__xludf.DUMMYFUNCTION("""COMPUTED_VALUE"""),"Romance")</f>
        <v>Romance</v>
      </c>
      <c r="D136" s="16">
        <f>IFERROR(__xludf.DUMMYFUNCTION("""COMPUTED_VALUE"""),488.0)</f>
        <v>488</v>
      </c>
      <c r="E136" s="16">
        <f>IFERROR(__xludf.DUMMYFUNCTION("""COMPUTED_VALUE"""),0.977459016393442)</f>
        <v>0.9774590164</v>
      </c>
      <c r="F136" s="16">
        <f>IFERROR(__xludf.DUMMYFUNCTION("""COMPUTED_VALUE"""),0.563524590163934)</f>
        <v>0.5635245902</v>
      </c>
      <c r="G136" s="16">
        <f>IFERROR(__xludf.DUMMYFUNCTION("""COMPUTED_VALUE"""),0.495901639344262)</f>
        <v>0.4959016393</v>
      </c>
      <c r="H136" s="16">
        <f>IFERROR(__xludf.DUMMYFUNCTION("""COMPUTED_VALUE"""),0.436475409836065)</f>
        <v>0.4364754098</v>
      </c>
      <c r="I136" s="16">
        <f>IFERROR(__xludf.DUMMYFUNCTION("""COMPUTED_VALUE"""),0.418032786885245)</f>
        <v>0.4180327869</v>
      </c>
      <c r="J136" s="16">
        <f>IFERROR(__xludf.DUMMYFUNCTION("""COMPUTED_VALUE"""),0.395491803278688)</f>
        <v>0.3954918033</v>
      </c>
      <c r="K136" s="16">
        <f>IFERROR(__xludf.DUMMYFUNCTION("""COMPUTED_VALUE"""),0.383196721311475)</f>
        <v>0.3831967213</v>
      </c>
      <c r="L136" s="16">
        <f>IFERROR(__xludf.DUMMYFUNCTION("""COMPUTED_VALUE"""),0.362704918032786)</f>
        <v>0.362704918</v>
      </c>
      <c r="M136" s="16">
        <f>IFERROR(__xludf.DUMMYFUNCTION("""COMPUTED_VALUE"""),0.370901639344262)</f>
        <v>0.3709016393</v>
      </c>
      <c r="N136" s="16">
        <f>IFERROR(__xludf.DUMMYFUNCTION("""COMPUTED_VALUE"""),0.353182751540041)</f>
        <v>0.3531827515</v>
      </c>
      <c r="O136" s="16">
        <f>IFERROR(__xludf.DUMMYFUNCTION("""COMPUTED_VALUE"""),0.329218106995884)</f>
        <v>0.329218107</v>
      </c>
      <c r="P136" s="16">
        <f>IFERROR(__xludf.DUMMYFUNCTION("""COMPUTED_VALUE"""),0.251546391752577)</f>
        <v>0.2515463918</v>
      </c>
      <c r="Q136" s="16">
        <f>IFERROR(__xludf.DUMMYFUNCTION("""COMPUTED_VALUE"""),0.144086021505376)</f>
        <v>0.1440860215</v>
      </c>
      <c r="R136" s="16">
        <f>IFERROR(__xludf.DUMMYFUNCTION("""COMPUTED_VALUE"""),0.0)</f>
        <v>0</v>
      </c>
      <c r="S136" s="16">
        <f>IFERROR(__xludf.DUMMYFUNCTION("""COMPUTED_VALUE"""),0.0)</f>
        <v>0</v>
      </c>
      <c r="T136" s="16">
        <f>IFERROR(__xludf.DUMMYFUNCTION("""COMPUTED_VALUE"""),0.0)</f>
        <v>0</v>
      </c>
      <c r="U136" s="16">
        <f>IFERROR(__xludf.DUMMYFUNCTION("""COMPUTED_VALUE"""),0.0)</f>
        <v>0</v>
      </c>
      <c r="V136" s="16">
        <f>IFERROR(__xludf.DUMMYFUNCTION("""COMPUTED_VALUE"""),0.0)</f>
        <v>0</v>
      </c>
      <c r="W136" s="16">
        <f>IFERROR(__xludf.DUMMYFUNCTION("""COMPUTED_VALUE"""),0.0)</f>
        <v>0</v>
      </c>
      <c r="X136" s="16">
        <f>IFERROR(__xludf.DUMMYFUNCTION("""COMPUTED_VALUE"""),0.0)</f>
        <v>0</v>
      </c>
      <c r="Y136" s="16">
        <f>IFERROR(__xludf.DUMMYFUNCTION("""COMPUTED_VALUE"""),0.0)</f>
        <v>0</v>
      </c>
      <c r="Z136" s="16">
        <f>IFERROR(__xludf.DUMMYFUNCTION("""COMPUTED_VALUE"""),0.0)</f>
        <v>0</v>
      </c>
      <c r="AA136" s="16">
        <f>IFERROR(__xludf.DUMMYFUNCTION("""COMPUTED_VALUE"""),0.0)</f>
        <v>0</v>
      </c>
      <c r="AB136" s="16">
        <f>IFERROR(__xludf.DUMMYFUNCTION("""COMPUTED_VALUE"""),0.0)</f>
        <v>0</v>
      </c>
      <c r="AC136" s="16">
        <f>IFERROR(__xludf.DUMMYFUNCTION("""COMPUTED_VALUE"""),0.0)</f>
        <v>0</v>
      </c>
      <c r="AD136" s="16">
        <f>IFERROR(__xludf.DUMMYFUNCTION("""COMPUTED_VALUE"""),0.0)</f>
        <v>0</v>
      </c>
      <c r="AE136" s="16">
        <f>IFERROR(__xludf.DUMMYFUNCTION("""COMPUTED_VALUE"""),0.0)</f>
        <v>0</v>
      </c>
      <c r="AF136" s="16">
        <f>IFERROR(__xludf.DUMMYFUNCTION("""COMPUTED_VALUE"""),0.0)</f>
        <v>0</v>
      </c>
      <c r="AG136" s="16">
        <f>IFERROR(__xludf.DUMMYFUNCTION("""COMPUTED_VALUE"""),0.0)</f>
        <v>0</v>
      </c>
      <c r="AH136" s="16">
        <f>IFERROR(__xludf.DUMMYFUNCTION("""COMPUTED_VALUE"""),0.0)</f>
        <v>0</v>
      </c>
    </row>
    <row r="137">
      <c r="A137" s="16" t="str">
        <f>IFERROR(__xludf.DUMMYFUNCTION("""COMPUTED_VALUE"""),"730a3d0d6b094f151aed0a3dff6794a1d2fedee3")</f>
        <v>730a3d0d6b094f151aed0a3dff6794a1d2fedee3</v>
      </c>
      <c r="B137" s="16" t="str">
        <f>IFERROR(__xludf.DUMMYFUNCTION("""COMPUTED_VALUE"""),"Her Beauty Is Reborn")</f>
        <v>Her Beauty Is Reborn</v>
      </c>
      <c r="C137" s="16" t="str">
        <f>IFERROR(__xludf.DUMMYFUNCTION("""COMPUTED_VALUE"""),"Romance")</f>
        <v>Romance</v>
      </c>
      <c r="D137" s="16">
        <f>IFERROR(__xludf.DUMMYFUNCTION("""COMPUTED_VALUE"""),2680.0)</f>
        <v>2680</v>
      </c>
      <c r="E137" s="16">
        <f>IFERROR(__xludf.DUMMYFUNCTION("""COMPUTED_VALUE"""),0.960447761194029)</f>
        <v>0.9604477612</v>
      </c>
      <c r="F137" s="16">
        <f>IFERROR(__xludf.DUMMYFUNCTION("""COMPUTED_VALUE"""),0.607089552238806)</f>
        <v>0.6070895522</v>
      </c>
      <c r="G137" s="16">
        <f>IFERROR(__xludf.DUMMYFUNCTION("""COMPUTED_VALUE"""),0.547388059701492)</f>
        <v>0.5473880597</v>
      </c>
      <c r="H137" s="16">
        <f>IFERROR(__xludf.DUMMYFUNCTION("""COMPUTED_VALUE"""),0.509328358208955)</f>
        <v>0.5093283582</v>
      </c>
      <c r="I137" s="16">
        <f>IFERROR(__xludf.DUMMYFUNCTION("""COMPUTED_VALUE"""),0.488805970149253)</f>
        <v>0.4888059701</v>
      </c>
      <c r="J137" s="16">
        <f>IFERROR(__xludf.DUMMYFUNCTION("""COMPUTED_VALUE"""),0.466791044776119)</f>
        <v>0.4667910448</v>
      </c>
      <c r="K137" s="16">
        <f>IFERROR(__xludf.DUMMYFUNCTION("""COMPUTED_VALUE"""),0.449626865671641)</f>
        <v>0.4496268657</v>
      </c>
      <c r="L137" s="16">
        <f>IFERROR(__xludf.DUMMYFUNCTION("""COMPUTED_VALUE"""),0.437266616878267)</f>
        <v>0.4372666169</v>
      </c>
      <c r="M137" s="16">
        <f>IFERROR(__xludf.DUMMYFUNCTION("""COMPUTED_VALUE"""),0.426811053024645)</f>
        <v>0.426811053</v>
      </c>
      <c r="N137" s="16">
        <f>IFERROR(__xludf.DUMMYFUNCTION("""COMPUTED_VALUE"""),0.417849141150112)</f>
        <v>0.4178491412</v>
      </c>
      <c r="O137" s="16">
        <f>IFERROR(__xludf.DUMMYFUNCTION("""COMPUTED_VALUE"""),0.385104790419161)</f>
        <v>0.3851047904</v>
      </c>
      <c r="P137" s="16">
        <f>IFERROR(__xludf.DUMMYFUNCTION("""COMPUTED_VALUE"""),0.335590669676448)</f>
        <v>0.3355906697</v>
      </c>
      <c r="Q137" s="16">
        <f>IFERROR(__xludf.DUMMYFUNCTION("""COMPUTED_VALUE"""),0.27845220030349)</f>
        <v>0.2784522003</v>
      </c>
      <c r="R137" s="16">
        <f>IFERROR(__xludf.DUMMYFUNCTION("""COMPUTED_VALUE"""),0.22)</f>
        <v>0.22</v>
      </c>
      <c r="S137" s="16">
        <f>IFERROR(__xludf.DUMMYFUNCTION("""COMPUTED_VALUE"""),0.18573264781491)</f>
        <v>0.1857326478</v>
      </c>
      <c r="T137" s="16">
        <f>IFERROR(__xludf.DUMMYFUNCTION("""COMPUTED_VALUE"""),0.164363636363636)</f>
        <v>0.1643636364</v>
      </c>
      <c r="U137" s="16">
        <f>IFERROR(__xludf.DUMMYFUNCTION("""COMPUTED_VALUE"""),0.138063279002876)</f>
        <v>0.138063279</v>
      </c>
      <c r="V137" s="16">
        <f>IFERROR(__xludf.DUMMYFUNCTION("""COMPUTED_VALUE"""),0.126398210290827)</f>
        <v>0.1263982103</v>
      </c>
      <c r="W137" s="16">
        <f>IFERROR(__xludf.DUMMYFUNCTION("""COMPUTED_VALUE"""),0.110444177671068)</f>
        <v>0.1104441777</v>
      </c>
      <c r="X137" s="16">
        <f>IFERROR(__xludf.DUMMYFUNCTION("""COMPUTED_VALUE"""),0.0918774966711051)</f>
        <v>0.09187749667</v>
      </c>
      <c r="Y137" s="16">
        <f>IFERROR(__xludf.DUMMYFUNCTION("""COMPUTED_VALUE"""),0.06984667802385)</f>
        <v>0.06984667802</v>
      </c>
      <c r="Z137" s="16">
        <f>IFERROR(__xludf.DUMMYFUNCTION("""COMPUTED_VALUE"""),0.0174672489082969)</f>
        <v>0.01746724891</v>
      </c>
      <c r="AA137" s="16">
        <f>IFERROR(__xludf.DUMMYFUNCTION("""COMPUTED_VALUE"""),0.0)</f>
        <v>0</v>
      </c>
      <c r="AB137" s="16">
        <f>IFERROR(__xludf.DUMMYFUNCTION("""COMPUTED_VALUE"""),0.0)</f>
        <v>0</v>
      </c>
      <c r="AC137" s="16">
        <f>IFERROR(__xludf.DUMMYFUNCTION("""COMPUTED_VALUE"""),0.0)</f>
        <v>0</v>
      </c>
      <c r="AD137" s="16">
        <f>IFERROR(__xludf.DUMMYFUNCTION("""COMPUTED_VALUE"""),0.0)</f>
        <v>0</v>
      </c>
      <c r="AE137" s="16">
        <f>IFERROR(__xludf.DUMMYFUNCTION("""COMPUTED_VALUE"""),0.0)</f>
        <v>0</v>
      </c>
      <c r="AF137" s="16">
        <f>IFERROR(__xludf.DUMMYFUNCTION("""COMPUTED_VALUE"""),0.0)</f>
        <v>0</v>
      </c>
      <c r="AG137" s="16">
        <f>IFERROR(__xludf.DUMMYFUNCTION("""COMPUTED_VALUE"""),0.0)</f>
        <v>0</v>
      </c>
      <c r="AH137" s="16">
        <f>IFERROR(__xludf.DUMMYFUNCTION("""COMPUTED_VALUE"""),0.0)</f>
        <v>0</v>
      </c>
    </row>
    <row r="138">
      <c r="A138" s="16" t="str">
        <f>IFERROR(__xludf.DUMMYFUNCTION("""COMPUTED_VALUE"""),"7315dca13e406894d8407cd6d050c5d3b69eec10")</f>
        <v>7315dca13e406894d8407cd6d050c5d3b69eec10</v>
      </c>
      <c r="B138" s="16" t="str">
        <f>IFERROR(__xludf.DUMMYFUNCTION("""COMPUTED_VALUE"""),"The Uncle Who Chose Me")</f>
        <v>The Uncle Who Chose Me</v>
      </c>
      <c r="C138" s="16" t="str">
        <f>IFERROR(__xludf.DUMMYFUNCTION("""COMPUTED_VALUE"""),"Romance")</f>
        <v>Romance</v>
      </c>
      <c r="D138" s="16">
        <f>IFERROR(__xludf.DUMMYFUNCTION("""COMPUTED_VALUE"""),439.0)</f>
        <v>439</v>
      </c>
      <c r="E138" s="16">
        <f>IFERROR(__xludf.DUMMYFUNCTION("""COMPUTED_VALUE"""),0.981776765375854)</f>
        <v>0.9817767654</v>
      </c>
      <c r="F138" s="16">
        <f>IFERROR(__xludf.DUMMYFUNCTION("""COMPUTED_VALUE"""),0.626423690205011)</f>
        <v>0.6264236902</v>
      </c>
      <c r="G138" s="16">
        <f>IFERROR(__xludf.DUMMYFUNCTION("""COMPUTED_VALUE"""),0.519362186788154)</f>
        <v>0.5193621868</v>
      </c>
      <c r="H138" s="16">
        <f>IFERROR(__xludf.DUMMYFUNCTION("""COMPUTED_VALUE"""),0.480637813211845)</f>
        <v>0.4806378132</v>
      </c>
      <c r="I138" s="16">
        <f>IFERROR(__xludf.DUMMYFUNCTION("""COMPUTED_VALUE"""),0.425968109339407)</f>
        <v>0.4259681093</v>
      </c>
      <c r="J138" s="16">
        <f>IFERROR(__xludf.DUMMYFUNCTION("""COMPUTED_VALUE"""),0.39635535307517)</f>
        <v>0.3963553531</v>
      </c>
      <c r="K138" s="16">
        <f>IFERROR(__xludf.DUMMYFUNCTION("""COMPUTED_VALUE"""),0.378132118451025)</f>
        <v>0.3781321185</v>
      </c>
      <c r="L138" s="16">
        <f>IFERROR(__xludf.DUMMYFUNCTION("""COMPUTED_VALUE"""),0.357630979498861)</f>
        <v>0.3576309795</v>
      </c>
      <c r="M138" s="16">
        <f>IFERROR(__xludf.DUMMYFUNCTION("""COMPUTED_VALUE"""),0.346241457858769)</f>
        <v>0.3462414579</v>
      </c>
      <c r="N138" s="16">
        <f>IFERROR(__xludf.DUMMYFUNCTION("""COMPUTED_VALUE"""),0.318906605922551)</f>
        <v>0.3189066059</v>
      </c>
      <c r="O138" s="16">
        <f>IFERROR(__xludf.DUMMYFUNCTION("""COMPUTED_VALUE"""),0.26255707762557)</f>
        <v>0.2625570776</v>
      </c>
      <c r="P138" s="16">
        <f>IFERROR(__xludf.DUMMYFUNCTION("""COMPUTED_VALUE"""),0.189376443418013)</f>
        <v>0.1893764434</v>
      </c>
      <c r="Q138" s="16">
        <f>IFERROR(__xludf.DUMMYFUNCTION("""COMPUTED_VALUE"""),0.0892018779342723)</f>
        <v>0.08920187793</v>
      </c>
      <c r="R138" s="16">
        <f>IFERROR(__xludf.DUMMYFUNCTION("""COMPUTED_VALUE"""),0.0)</f>
        <v>0</v>
      </c>
      <c r="S138" s="16">
        <f>IFERROR(__xludf.DUMMYFUNCTION("""COMPUTED_VALUE"""),0.0)</f>
        <v>0</v>
      </c>
      <c r="T138" s="16">
        <f>IFERROR(__xludf.DUMMYFUNCTION("""COMPUTED_VALUE"""),0.0)</f>
        <v>0</v>
      </c>
      <c r="U138" s="16">
        <f>IFERROR(__xludf.DUMMYFUNCTION("""COMPUTED_VALUE"""),0.0)</f>
        <v>0</v>
      </c>
      <c r="V138" s="16">
        <f>IFERROR(__xludf.DUMMYFUNCTION("""COMPUTED_VALUE"""),0.0)</f>
        <v>0</v>
      </c>
      <c r="W138" s="16">
        <f>IFERROR(__xludf.DUMMYFUNCTION("""COMPUTED_VALUE"""),0.0)</f>
        <v>0</v>
      </c>
      <c r="X138" s="16">
        <f>IFERROR(__xludf.DUMMYFUNCTION("""COMPUTED_VALUE"""),0.0)</f>
        <v>0</v>
      </c>
      <c r="Y138" s="16">
        <f>IFERROR(__xludf.DUMMYFUNCTION("""COMPUTED_VALUE"""),0.0)</f>
        <v>0</v>
      </c>
      <c r="Z138" s="16">
        <f>IFERROR(__xludf.DUMMYFUNCTION("""COMPUTED_VALUE"""),0.0)</f>
        <v>0</v>
      </c>
      <c r="AA138" s="16">
        <f>IFERROR(__xludf.DUMMYFUNCTION("""COMPUTED_VALUE"""),0.0)</f>
        <v>0</v>
      </c>
      <c r="AB138" s="16">
        <f>IFERROR(__xludf.DUMMYFUNCTION("""COMPUTED_VALUE"""),0.0)</f>
        <v>0</v>
      </c>
      <c r="AC138" s="16">
        <f>IFERROR(__xludf.DUMMYFUNCTION("""COMPUTED_VALUE"""),0.0)</f>
        <v>0</v>
      </c>
      <c r="AD138" s="16">
        <f>IFERROR(__xludf.DUMMYFUNCTION("""COMPUTED_VALUE"""),0.0)</f>
        <v>0</v>
      </c>
      <c r="AE138" s="16">
        <f>IFERROR(__xludf.DUMMYFUNCTION("""COMPUTED_VALUE"""),0.0)</f>
        <v>0</v>
      </c>
      <c r="AF138" s="16">
        <f>IFERROR(__xludf.DUMMYFUNCTION("""COMPUTED_VALUE"""),0.0)</f>
        <v>0</v>
      </c>
      <c r="AG138" s="16">
        <f>IFERROR(__xludf.DUMMYFUNCTION("""COMPUTED_VALUE"""),0.0)</f>
        <v>0</v>
      </c>
      <c r="AH138" s="16">
        <f>IFERROR(__xludf.DUMMYFUNCTION("""COMPUTED_VALUE"""),0.0)</f>
        <v>0</v>
      </c>
    </row>
    <row r="139">
      <c r="A139" s="16" t="str">
        <f>IFERROR(__xludf.DUMMYFUNCTION("""COMPUTED_VALUE"""),"749524eadbd429949b1a44242bd8fb3559f3626c")</f>
        <v>749524eadbd429949b1a44242bd8fb3559f3626c</v>
      </c>
      <c r="B139" s="16" t="str">
        <f>IFERROR(__xludf.DUMMYFUNCTION("""COMPUTED_VALUE"""),"Monarch of His Shadows")</f>
        <v>Monarch of His Shadows</v>
      </c>
      <c r="C139" s="16" t="str">
        <f>IFERROR(__xludf.DUMMYFUNCTION("""COMPUTED_VALUE"""),"Fantasy")</f>
        <v>Fantasy</v>
      </c>
      <c r="D139" s="16">
        <f>IFERROR(__xludf.DUMMYFUNCTION("""COMPUTED_VALUE"""),6.0)</f>
        <v>6</v>
      </c>
      <c r="E139" s="16">
        <f>IFERROR(__xludf.DUMMYFUNCTION("""COMPUTED_VALUE"""),1.0)</f>
        <v>1</v>
      </c>
      <c r="F139" s="16">
        <f>IFERROR(__xludf.DUMMYFUNCTION("""COMPUTED_VALUE"""),0.5)</f>
        <v>0.5</v>
      </c>
      <c r="G139" s="16">
        <f>IFERROR(__xludf.DUMMYFUNCTION("""COMPUTED_VALUE"""),0.5)</f>
        <v>0.5</v>
      </c>
      <c r="H139" s="16">
        <f>IFERROR(__xludf.DUMMYFUNCTION("""COMPUTED_VALUE"""),0.5)</f>
        <v>0.5</v>
      </c>
      <c r="I139" s="16">
        <f>IFERROR(__xludf.DUMMYFUNCTION("""COMPUTED_VALUE"""),0.5)</f>
        <v>0.5</v>
      </c>
      <c r="J139" s="16">
        <f>IFERROR(__xludf.DUMMYFUNCTION("""COMPUTED_VALUE"""),0.333333333333333)</f>
        <v>0.3333333333</v>
      </c>
      <c r="K139" s="16">
        <f>IFERROR(__xludf.DUMMYFUNCTION("""COMPUTED_VALUE"""),0.333333333333333)</f>
        <v>0.3333333333</v>
      </c>
      <c r="L139" s="16">
        <f>IFERROR(__xludf.DUMMYFUNCTION("""COMPUTED_VALUE"""),0.333333333333333)</f>
        <v>0.3333333333</v>
      </c>
      <c r="M139" s="16">
        <f>IFERROR(__xludf.DUMMYFUNCTION("""COMPUTED_VALUE"""),0.333333333333333)</f>
        <v>0.3333333333</v>
      </c>
      <c r="N139" s="16">
        <f>IFERROR(__xludf.DUMMYFUNCTION("""COMPUTED_VALUE"""),0.333333333333333)</f>
        <v>0.3333333333</v>
      </c>
      <c r="O139" s="16">
        <f>IFERROR(__xludf.DUMMYFUNCTION("""COMPUTED_VALUE"""),0.166666666666666)</f>
        <v>0.1666666667</v>
      </c>
      <c r="P139" s="16">
        <f>IFERROR(__xludf.DUMMYFUNCTION("""COMPUTED_VALUE"""),0.0)</f>
        <v>0</v>
      </c>
      <c r="Q139" s="16">
        <f>IFERROR(__xludf.DUMMYFUNCTION("""COMPUTED_VALUE"""),0.0)</f>
        <v>0</v>
      </c>
      <c r="R139" s="16">
        <f>IFERROR(__xludf.DUMMYFUNCTION("""COMPUTED_VALUE"""),0.0)</f>
        <v>0</v>
      </c>
      <c r="S139" s="16">
        <f>IFERROR(__xludf.DUMMYFUNCTION("""COMPUTED_VALUE"""),0.0)</f>
        <v>0</v>
      </c>
      <c r="T139" s="16">
        <f>IFERROR(__xludf.DUMMYFUNCTION("""COMPUTED_VALUE"""),0.0)</f>
        <v>0</v>
      </c>
      <c r="U139" s="16">
        <f>IFERROR(__xludf.DUMMYFUNCTION("""COMPUTED_VALUE"""),0.0)</f>
        <v>0</v>
      </c>
      <c r="V139" s="16">
        <f>IFERROR(__xludf.DUMMYFUNCTION("""COMPUTED_VALUE"""),0.0)</f>
        <v>0</v>
      </c>
      <c r="W139" s="16">
        <f>IFERROR(__xludf.DUMMYFUNCTION("""COMPUTED_VALUE"""),0.0)</f>
        <v>0</v>
      </c>
      <c r="X139" s="16">
        <f>IFERROR(__xludf.DUMMYFUNCTION("""COMPUTED_VALUE"""),0.0)</f>
        <v>0</v>
      </c>
      <c r="Y139" s="16">
        <f>IFERROR(__xludf.DUMMYFUNCTION("""COMPUTED_VALUE"""),0.0)</f>
        <v>0</v>
      </c>
      <c r="Z139" s="16">
        <f>IFERROR(__xludf.DUMMYFUNCTION("""COMPUTED_VALUE"""),0.0)</f>
        <v>0</v>
      </c>
      <c r="AA139" s="16">
        <f>IFERROR(__xludf.DUMMYFUNCTION("""COMPUTED_VALUE"""),0.0)</f>
        <v>0</v>
      </c>
      <c r="AB139" s="16">
        <f>IFERROR(__xludf.DUMMYFUNCTION("""COMPUTED_VALUE"""),0.0)</f>
        <v>0</v>
      </c>
      <c r="AC139" s="16">
        <f>IFERROR(__xludf.DUMMYFUNCTION("""COMPUTED_VALUE"""),0.0)</f>
        <v>0</v>
      </c>
      <c r="AD139" s="16">
        <f>IFERROR(__xludf.DUMMYFUNCTION("""COMPUTED_VALUE"""),0.0)</f>
        <v>0</v>
      </c>
      <c r="AE139" s="16">
        <f>IFERROR(__xludf.DUMMYFUNCTION("""COMPUTED_VALUE"""),0.0)</f>
        <v>0</v>
      </c>
      <c r="AF139" s="16">
        <f>IFERROR(__xludf.DUMMYFUNCTION("""COMPUTED_VALUE"""),0.0)</f>
        <v>0</v>
      </c>
      <c r="AG139" s="16">
        <f>IFERROR(__xludf.DUMMYFUNCTION("""COMPUTED_VALUE"""),0.0)</f>
        <v>0</v>
      </c>
      <c r="AH139" s="16">
        <f>IFERROR(__xludf.DUMMYFUNCTION("""COMPUTED_VALUE"""),0.0)</f>
        <v>0</v>
      </c>
    </row>
    <row r="140">
      <c r="A140" s="16" t="str">
        <f>IFERROR(__xludf.DUMMYFUNCTION("""COMPUTED_VALUE"""),"75537e31c1c79bdbb6ca1cd286c8e6bcb2697a51")</f>
        <v>75537e31c1c79bdbb6ca1cd286c8e6bcb2697a51</v>
      </c>
      <c r="B140" s="16" t="str">
        <f>IFERROR(__xludf.DUMMYFUNCTION("""COMPUTED_VALUE"""),"The Story of the CEO and the Heiress")</f>
        <v>The Story of the CEO and the Heiress</v>
      </c>
      <c r="C140" s="16" t="str">
        <f>IFERROR(__xludf.DUMMYFUNCTION("""COMPUTED_VALUE"""),"Romance")</f>
        <v>Romance</v>
      </c>
      <c r="D140" s="16">
        <f>IFERROR(__xludf.DUMMYFUNCTION("""COMPUTED_VALUE"""),4288.0)</f>
        <v>4288</v>
      </c>
      <c r="E140" s="16">
        <f>IFERROR(__xludf.DUMMYFUNCTION("""COMPUTED_VALUE"""),0.937266791044776)</f>
        <v>0.937266791</v>
      </c>
      <c r="F140" s="16">
        <f>IFERROR(__xludf.DUMMYFUNCTION("""COMPUTED_VALUE"""),0.562966417910447)</f>
        <v>0.5629664179</v>
      </c>
      <c r="G140" s="16">
        <f>IFERROR(__xludf.DUMMYFUNCTION("""COMPUTED_VALUE"""),0.502798507462686)</f>
        <v>0.5027985075</v>
      </c>
      <c r="H140" s="16">
        <f>IFERROR(__xludf.DUMMYFUNCTION("""COMPUTED_VALUE"""),0.475279850746268)</f>
        <v>0.4752798507</v>
      </c>
      <c r="I140" s="16">
        <f>IFERROR(__xludf.DUMMYFUNCTION("""COMPUTED_VALUE"""),0.449626865671641)</f>
        <v>0.4496268657</v>
      </c>
      <c r="J140" s="16">
        <f>IFERROR(__xludf.DUMMYFUNCTION("""COMPUTED_VALUE"""),0.433138856476079)</f>
        <v>0.4331388565</v>
      </c>
      <c r="K140" s="16">
        <f>IFERROR(__xludf.DUMMYFUNCTION("""COMPUTED_VALUE"""),0.419897244278374)</f>
        <v>0.4198972443</v>
      </c>
      <c r="L140" s="16">
        <f>IFERROR(__xludf.DUMMYFUNCTION("""COMPUTED_VALUE"""),0.415945756371288)</f>
        <v>0.4159457564</v>
      </c>
      <c r="M140" s="16">
        <f>IFERROR(__xludf.DUMMYFUNCTION("""COMPUTED_VALUE"""),0.404823226410676)</f>
        <v>0.4048232264</v>
      </c>
      <c r="N140" s="16">
        <f>IFERROR(__xludf.DUMMYFUNCTION("""COMPUTED_VALUE"""),0.396765877665807)</f>
        <v>0.3967658777</v>
      </c>
      <c r="O140" s="16">
        <f>IFERROR(__xludf.DUMMYFUNCTION("""COMPUTED_VALUE"""),0.386823529411764)</f>
        <v>0.3868235294</v>
      </c>
      <c r="P140" s="16">
        <f>IFERROR(__xludf.DUMMYFUNCTION("""COMPUTED_VALUE"""),0.350247816851545)</f>
        <v>0.3502478169</v>
      </c>
      <c r="Q140" s="16">
        <f>IFERROR(__xludf.DUMMYFUNCTION("""COMPUTED_VALUE"""),0.292717753450737)</f>
        <v>0.2927177535</v>
      </c>
      <c r="R140" s="16">
        <f>IFERROR(__xludf.DUMMYFUNCTION("""COMPUTED_VALUE"""),0.248686096512183)</f>
        <v>0.2486860965</v>
      </c>
      <c r="S140" s="16">
        <f>IFERROR(__xludf.DUMMYFUNCTION("""COMPUTED_VALUE"""),0.214560307544449)</f>
        <v>0.2145603075</v>
      </c>
      <c r="T140" s="16">
        <f>IFERROR(__xludf.DUMMYFUNCTION("""COMPUTED_VALUE"""),0.14324233232221)</f>
        <v>0.1432423323</v>
      </c>
      <c r="U140" s="16">
        <f>IFERROR(__xludf.DUMMYFUNCTION("""COMPUTED_VALUE"""),0.116447088822779)</f>
        <v>0.1164470888</v>
      </c>
      <c r="V140" s="16">
        <f>IFERROR(__xludf.DUMMYFUNCTION("""COMPUTED_VALUE"""),0.0871921182266009)</f>
        <v>0.08719211823</v>
      </c>
      <c r="W140" s="16">
        <f>IFERROR(__xludf.DUMMYFUNCTION("""COMPUTED_VALUE"""),0.0671358960476448)</f>
        <v>0.06713589605</v>
      </c>
      <c r="X140" s="16">
        <f>IFERROR(__xludf.DUMMYFUNCTION("""COMPUTED_VALUE"""),0.0)</f>
        <v>0</v>
      </c>
      <c r="Y140" s="16">
        <f>IFERROR(__xludf.DUMMYFUNCTION("""COMPUTED_VALUE"""),0.0)</f>
        <v>0</v>
      </c>
      <c r="Z140" s="16">
        <f>IFERROR(__xludf.DUMMYFUNCTION("""COMPUTED_VALUE"""),0.0)</f>
        <v>0</v>
      </c>
      <c r="AA140" s="16">
        <f>IFERROR(__xludf.DUMMYFUNCTION("""COMPUTED_VALUE"""),0.0)</f>
        <v>0</v>
      </c>
      <c r="AB140" s="16">
        <f>IFERROR(__xludf.DUMMYFUNCTION("""COMPUTED_VALUE"""),0.0)</f>
        <v>0</v>
      </c>
      <c r="AC140" s="16">
        <f>IFERROR(__xludf.DUMMYFUNCTION("""COMPUTED_VALUE"""),0.0)</f>
        <v>0</v>
      </c>
      <c r="AD140" s="16">
        <f>IFERROR(__xludf.DUMMYFUNCTION("""COMPUTED_VALUE"""),0.0)</f>
        <v>0</v>
      </c>
      <c r="AE140" s="16">
        <f>IFERROR(__xludf.DUMMYFUNCTION("""COMPUTED_VALUE"""),0.0)</f>
        <v>0</v>
      </c>
      <c r="AF140" s="16">
        <f>IFERROR(__xludf.DUMMYFUNCTION("""COMPUTED_VALUE"""),0.0)</f>
        <v>0</v>
      </c>
      <c r="AG140" s="16">
        <f>IFERROR(__xludf.DUMMYFUNCTION("""COMPUTED_VALUE"""),0.0)</f>
        <v>0</v>
      </c>
      <c r="AH140" s="16">
        <f>IFERROR(__xludf.DUMMYFUNCTION("""COMPUTED_VALUE"""),0.0)</f>
        <v>0</v>
      </c>
    </row>
    <row r="141">
      <c r="A141" s="16" t="str">
        <f>IFERROR(__xludf.DUMMYFUNCTION("""COMPUTED_VALUE"""),"767e135d338072c6a947db01691ead3f3174c6e1")</f>
        <v>767e135d338072c6a947db01691ead3f3174c6e1</v>
      </c>
      <c r="B141" s="16" t="str">
        <f>IFERROR(__xludf.DUMMYFUNCTION("""COMPUTED_VALUE"""),"The Hidden Heir Returns")</f>
        <v>The Hidden Heir Returns</v>
      </c>
      <c r="C141" s="16" t="str">
        <f>IFERROR(__xludf.DUMMYFUNCTION("""COMPUTED_VALUE"""),"Drama")</f>
        <v>Drama</v>
      </c>
      <c r="D141" s="16">
        <f>IFERROR(__xludf.DUMMYFUNCTION("""COMPUTED_VALUE"""),755.0)</f>
        <v>755</v>
      </c>
      <c r="E141" s="16">
        <f>IFERROR(__xludf.DUMMYFUNCTION("""COMPUTED_VALUE"""),0.863576158940397)</f>
        <v>0.8635761589</v>
      </c>
      <c r="F141" s="16">
        <f>IFERROR(__xludf.DUMMYFUNCTION("""COMPUTED_VALUE"""),0.419867549668874)</f>
        <v>0.4198675497</v>
      </c>
      <c r="G141" s="16">
        <f>IFERROR(__xludf.DUMMYFUNCTION("""COMPUTED_VALUE"""),0.362913907284768)</f>
        <v>0.3629139073</v>
      </c>
      <c r="H141" s="16">
        <f>IFERROR(__xludf.DUMMYFUNCTION("""COMPUTED_VALUE"""),0.331125827814569)</f>
        <v>0.3311258278</v>
      </c>
      <c r="I141" s="16">
        <f>IFERROR(__xludf.DUMMYFUNCTION("""COMPUTED_VALUE"""),0.303311258278145)</f>
        <v>0.3033112583</v>
      </c>
      <c r="J141" s="16">
        <f>IFERROR(__xludf.DUMMYFUNCTION("""COMPUTED_VALUE"""),0.282493368700265)</f>
        <v>0.2824933687</v>
      </c>
      <c r="K141" s="16">
        <f>IFERROR(__xludf.DUMMYFUNCTION("""COMPUTED_VALUE"""),0.275265957446808)</f>
        <v>0.2752659574</v>
      </c>
      <c r="L141" s="16">
        <f>IFERROR(__xludf.DUMMYFUNCTION("""COMPUTED_VALUE"""),0.252673796791443)</f>
        <v>0.2526737968</v>
      </c>
      <c r="M141" s="16">
        <f>IFERROR(__xludf.DUMMYFUNCTION("""COMPUTED_VALUE"""),0.241610738255033)</f>
        <v>0.2416107383</v>
      </c>
      <c r="N141" s="16">
        <f>IFERROR(__xludf.DUMMYFUNCTION("""COMPUTED_VALUE"""),0.226720647773279)</f>
        <v>0.2267206478</v>
      </c>
      <c r="O141" s="16">
        <f>IFERROR(__xludf.DUMMYFUNCTION("""COMPUTED_VALUE"""),0.184065934065934)</f>
        <v>0.1840659341</v>
      </c>
      <c r="P141" s="16">
        <f>IFERROR(__xludf.DUMMYFUNCTION("""COMPUTED_VALUE"""),0.165487977369165)</f>
        <v>0.1654879774</v>
      </c>
      <c r="Q141" s="16">
        <f>IFERROR(__xludf.DUMMYFUNCTION("""COMPUTED_VALUE"""),0.128698224852071)</f>
        <v>0.1286982249</v>
      </c>
      <c r="R141" s="16">
        <f>IFERROR(__xludf.DUMMYFUNCTION("""COMPUTED_VALUE"""),0.0796875)</f>
        <v>0.0796875</v>
      </c>
      <c r="S141" s="16">
        <f>IFERROR(__xludf.DUMMYFUNCTION("""COMPUTED_VALUE"""),0.0660225442834138)</f>
        <v>0.06602254428</v>
      </c>
      <c r="T141" s="16">
        <f>IFERROR(__xludf.DUMMYFUNCTION("""COMPUTED_VALUE"""),0.05)</f>
        <v>0.05</v>
      </c>
      <c r="U141" s="16">
        <f>IFERROR(__xludf.DUMMYFUNCTION("""COMPUTED_VALUE"""),0.0408163265306122)</f>
        <v>0.04081632653</v>
      </c>
      <c r="V141" s="16">
        <f>IFERROR(__xludf.DUMMYFUNCTION("""COMPUTED_VALUE"""),0.0407079646017699)</f>
        <v>0.0407079646</v>
      </c>
      <c r="W141" s="16">
        <f>IFERROR(__xludf.DUMMYFUNCTION("""COMPUTED_VALUE"""),0.0408921933085501)</f>
        <v>0.04089219331</v>
      </c>
      <c r="X141" s="16">
        <f>IFERROR(__xludf.DUMMYFUNCTION("""COMPUTED_VALUE"""),0.0358565737051792)</f>
        <v>0.03585657371</v>
      </c>
      <c r="Y141" s="16">
        <f>IFERROR(__xludf.DUMMYFUNCTION("""COMPUTED_VALUE"""),0.0389344262295082)</f>
        <v>0.03893442623</v>
      </c>
      <c r="Z141" s="16">
        <f>IFERROR(__xludf.DUMMYFUNCTION("""COMPUTED_VALUE"""),0.0356394129979035)</f>
        <v>0.035639413</v>
      </c>
      <c r="AA141" s="16">
        <f>IFERROR(__xludf.DUMMYFUNCTION("""COMPUTED_VALUE"""),0.0360169491525423)</f>
        <v>0.03601694915</v>
      </c>
      <c r="AB141" s="16">
        <f>IFERROR(__xludf.DUMMYFUNCTION("""COMPUTED_VALUE"""),0.0345572354211663)</f>
        <v>0.03455723542</v>
      </c>
      <c r="AC141" s="16">
        <f>IFERROR(__xludf.DUMMYFUNCTION("""COMPUTED_VALUE"""),0.029082774049217)</f>
        <v>0.02908277405</v>
      </c>
      <c r="AD141" s="16">
        <f>IFERROR(__xludf.DUMMYFUNCTION("""COMPUTED_VALUE"""),0.0268456375838926)</f>
        <v>0.02684563758</v>
      </c>
      <c r="AE141" s="16">
        <f>IFERROR(__xludf.DUMMYFUNCTION("""COMPUTED_VALUE"""),0.0201342281879194)</f>
        <v>0.02013422819</v>
      </c>
      <c r="AF141" s="16">
        <f>IFERROR(__xludf.DUMMYFUNCTION("""COMPUTED_VALUE"""),0.0156599552572706)</f>
        <v>0.01565995526</v>
      </c>
      <c r="AG141" s="16">
        <f>IFERROR(__xludf.DUMMYFUNCTION("""COMPUTED_VALUE"""),0.0173267326732673)</f>
        <v>0.01732673267</v>
      </c>
      <c r="AH141" s="16">
        <f>IFERROR(__xludf.DUMMYFUNCTION("""COMPUTED_VALUE"""),0.0)</f>
        <v>0</v>
      </c>
    </row>
    <row r="142">
      <c r="A142" s="16" t="str">
        <f>IFERROR(__xludf.DUMMYFUNCTION("""COMPUTED_VALUE"""),"778663539ccabc8ee781b66d2bf6ff6a7f527163")</f>
        <v>778663539ccabc8ee781b66d2bf6ff6a7f527163</v>
      </c>
      <c r="B142" s="16" t="str">
        <f>IFERROR(__xludf.DUMMYFUNCTION("""COMPUTED_VALUE"""),"The Lazuras Engine System")</f>
        <v>The Lazuras Engine System</v>
      </c>
      <c r="C142" s="16" t="str">
        <f>IFERROR(__xludf.DUMMYFUNCTION("""COMPUTED_VALUE"""),"System and Superpower")</f>
        <v>System and Superpower</v>
      </c>
      <c r="D142" s="16">
        <f>IFERROR(__xludf.DUMMYFUNCTION("""COMPUTED_VALUE"""),7.0)</f>
        <v>7</v>
      </c>
      <c r="E142" s="16">
        <f>IFERROR(__xludf.DUMMYFUNCTION("""COMPUTED_VALUE"""),1.0)</f>
        <v>1</v>
      </c>
      <c r="F142" s="16">
        <f>IFERROR(__xludf.DUMMYFUNCTION("""COMPUTED_VALUE"""),0.428571428571428)</f>
        <v>0.4285714286</v>
      </c>
      <c r="G142" s="16">
        <f>IFERROR(__xludf.DUMMYFUNCTION("""COMPUTED_VALUE"""),0.285714285714285)</f>
        <v>0.2857142857</v>
      </c>
      <c r="H142" s="16">
        <f>IFERROR(__xludf.DUMMYFUNCTION("""COMPUTED_VALUE"""),0.285714285714285)</f>
        <v>0.2857142857</v>
      </c>
      <c r="I142" s="16">
        <f>IFERROR(__xludf.DUMMYFUNCTION("""COMPUTED_VALUE"""),0.285714285714285)</f>
        <v>0.2857142857</v>
      </c>
      <c r="J142" s="16">
        <f>IFERROR(__xludf.DUMMYFUNCTION("""COMPUTED_VALUE"""),0.285714285714285)</f>
        <v>0.2857142857</v>
      </c>
      <c r="K142" s="16">
        <f>IFERROR(__xludf.DUMMYFUNCTION("""COMPUTED_VALUE"""),0.285714285714285)</f>
        <v>0.2857142857</v>
      </c>
      <c r="L142" s="16">
        <f>IFERROR(__xludf.DUMMYFUNCTION("""COMPUTED_VALUE"""),0.285714285714285)</f>
        <v>0.2857142857</v>
      </c>
      <c r="M142" s="16">
        <f>IFERROR(__xludf.DUMMYFUNCTION("""COMPUTED_VALUE"""),0.285714285714285)</f>
        <v>0.2857142857</v>
      </c>
      <c r="N142" s="16">
        <f>IFERROR(__xludf.DUMMYFUNCTION("""COMPUTED_VALUE"""),0.142857142857142)</f>
        <v>0.1428571429</v>
      </c>
      <c r="O142" s="16">
        <f>IFERROR(__xludf.DUMMYFUNCTION("""COMPUTED_VALUE"""),0.142857142857142)</f>
        <v>0.1428571429</v>
      </c>
      <c r="P142" s="16">
        <f>IFERROR(__xludf.DUMMYFUNCTION("""COMPUTED_VALUE"""),0.166666666666666)</f>
        <v>0.1666666667</v>
      </c>
      <c r="Q142" s="16">
        <f>IFERROR(__xludf.DUMMYFUNCTION("""COMPUTED_VALUE"""),0.25)</f>
        <v>0.25</v>
      </c>
      <c r="R142" s="16">
        <f>IFERROR(__xludf.DUMMYFUNCTION("""COMPUTED_VALUE"""),0.0)</f>
        <v>0</v>
      </c>
      <c r="S142" s="16">
        <f>IFERROR(__xludf.DUMMYFUNCTION("""COMPUTED_VALUE"""),0.0)</f>
        <v>0</v>
      </c>
      <c r="T142" s="16">
        <f>IFERROR(__xludf.DUMMYFUNCTION("""COMPUTED_VALUE"""),0.0)</f>
        <v>0</v>
      </c>
      <c r="U142" s="16">
        <f>IFERROR(__xludf.DUMMYFUNCTION("""COMPUTED_VALUE"""),0.0)</f>
        <v>0</v>
      </c>
      <c r="V142" s="16">
        <f>IFERROR(__xludf.DUMMYFUNCTION("""COMPUTED_VALUE"""),0.0)</f>
        <v>0</v>
      </c>
      <c r="W142" s="16">
        <f>IFERROR(__xludf.DUMMYFUNCTION("""COMPUTED_VALUE"""),0.0)</f>
        <v>0</v>
      </c>
      <c r="X142" s="16">
        <f>IFERROR(__xludf.DUMMYFUNCTION("""COMPUTED_VALUE"""),0.0)</f>
        <v>0</v>
      </c>
      <c r="Y142" s="16">
        <f>IFERROR(__xludf.DUMMYFUNCTION("""COMPUTED_VALUE"""),0.0)</f>
        <v>0</v>
      </c>
      <c r="Z142" s="16">
        <f>IFERROR(__xludf.DUMMYFUNCTION("""COMPUTED_VALUE"""),0.0)</f>
        <v>0</v>
      </c>
      <c r="AA142" s="16">
        <f>IFERROR(__xludf.DUMMYFUNCTION("""COMPUTED_VALUE"""),0.0)</f>
        <v>0</v>
      </c>
      <c r="AB142" s="16">
        <f>IFERROR(__xludf.DUMMYFUNCTION("""COMPUTED_VALUE"""),0.0)</f>
        <v>0</v>
      </c>
      <c r="AC142" s="16">
        <f>IFERROR(__xludf.DUMMYFUNCTION("""COMPUTED_VALUE"""),0.0)</f>
        <v>0</v>
      </c>
      <c r="AD142" s="16">
        <f>IFERROR(__xludf.DUMMYFUNCTION("""COMPUTED_VALUE"""),0.0)</f>
        <v>0</v>
      </c>
      <c r="AE142" s="16">
        <f>IFERROR(__xludf.DUMMYFUNCTION("""COMPUTED_VALUE"""),0.0)</f>
        <v>0</v>
      </c>
      <c r="AF142" s="16">
        <f>IFERROR(__xludf.DUMMYFUNCTION("""COMPUTED_VALUE"""),0.0)</f>
        <v>0</v>
      </c>
      <c r="AG142" s="16">
        <f>IFERROR(__xludf.DUMMYFUNCTION("""COMPUTED_VALUE"""),0.0)</f>
        <v>0</v>
      </c>
      <c r="AH142" s="16">
        <f>IFERROR(__xludf.DUMMYFUNCTION("""COMPUTED_VALUE"""),0.0)</f>
        <v>0</v>
      </c>
    </row>
    <row r="143">
      <c r="A143" s="16" t="str">
        <f>IFERROR(__xludf.DUMMYFUNCTION("""COMPUTED_VALUE"""),"77c25fc29116ebc88dff5390f311fed0e9b28cf4")</f>
        <v>77c25fc29116ebc88dff5390f311fed0e9b28cf4</v>
      </c>
      <c r="B143" s="16" t="str">
        <f>IFERROR(__xludf.DUMMYFUNCTION("""COMPUTED_VALUE"""),"Zaaynn: Birth of a Kingg")</f>
        <v>Zaaynn: Birth of a Kingg</v>
      </c>
      <c r="C143" s="16" t="str">
        <f>IFERROR(__xludf.DUMMYFUNCTION("""COMPUTED_VALUE"""),"Fantasy")</f>
        <v>Fantasy</v>
      </c>
      <c r="D143" s="16">
        <f>IFERROR(__xludf.DUMMYFUNCTION("""COMPUTED_VALUE"""),1.0)</f>
        <v>1</v>
      </c>
      <c r="E143" s="16">
        <f>IFERROR(__xludf.DUMMYFUNCTION("""COMPUTED_VALUE"""),1.0)</f>
        <v>1</v>
      </c>
      <c r="F143" s="16">
        <f>IFERROR(__xludf.DUMMYFUNCTION("""COMPUTED_VALUE"""),1.0)</f>
        <v>1</v>
      </c>
      <c r="G143" s="16">
        <f>IFERROR(__xludf.DUMMYFUNCTION("""COMPUTED_VALUE"""),1.0)</f>
        <v>1</v>
      </c>
      <c r="H143" s="16">
        <f>IFERROR(__xludf.DUMMYFUNCTION("""COMPUTED_VALUE"""),1.0)</f>
        <v>1</v>
      </c>
      <c r="I143" s="16">
        <f>IFERROR(__xludf.DUMMYFUNCTION("""COMPUTED_VALUE"""),1.0)</f>
        <v>1</v>
      </c>
      <c r="J143" s="16">
        <f>IFERROR(__xludf.DUMMYFUNCTION("""COMPUTED_VALUE"""),1.0)</f>
        <v>1</v>
      </c>
      <c r="K143" s="16">
        <f>IFERROR(__xludf.DUMMYFUNCTION("""COMPUTED_VALUE"""),1.0)</f>
        <v>1</v>
      </c>
      <c r="L143" s="16">
        <f>IFERROR(__xludf.DUMMYFUNCTION("""COMPUTED_VALUE"""),1.0)</f>
        <v>1</v>
      </c>
      <c r="M143" s="16">
        <f>IFERROR(__xludf.DUMMYFUNCTION("""COMPUTED_VALUE"""),1.0)</f>
        <v>1</v>
      </c>
      <c r="N143" s="16">
        <f>IFERROR(__xludf.DUMMYFUNCTION("""COMPUTED_VALUE"""),1.0)</f>
        <v>1</v>
      </c>
      <c r="O143" s="16">
        <f>IFERROR(__xludf.DUMMYFUNCTION("""COMPUTED_VALUE"""),0.0)</f>
        <v>0</v>
      </c>
      <c r="P143" s="16">
        <f>IFERROR(__xludf.DUMMYFUNCTION("""COMPUTED_VALUE"""),0.0)</f>
        <v>0</v>
      </c>
      <c r="Q143" s="16">
        <f>IFERROR(__xludf.DUMMYFUNCTION("""COMPUTED_VALUE"""),0.0)</f>
        <v>0</v>
      </c>
      <c r="R143" s="16">
        <f>IFERROR(__xludf.DUMMYFUNCTION("""COMPUTED_VALUE"""),0.0)</f>
        <v>0</v>
      </c>
      <c r="S143" s="16">
        <f>IFERROR(__xludf.DUMMYFUNCTION("""COMPUTED_VALUE"""),0.0)</f>
        <v>0</v>
      </c>
      <c r="T143" s="16">
        <f>IFERROR(__xludf.DUMMYFUNCTION("""COMPUTED_VALUE"""),0.0)</f>
        <v>0</v>
      </c>
      <c r="U143" s="16">
        <f>IFERROR(__xludf.DUMMYFUNCTION("""COMPUTED_VALUE"""),0.0)</f>
        <v>0</v>
      </c>
      <c r="V143" s="16">
        <f>IFERROR(__xludf.DUMMYFUNCTION("""COMPUTED_VALUE"""),0.0)</f>
        <v>0</v>
      </c>
      <c r="W143" s="16">
        <f>IFERROR(__xludf.DUMMYFUNCTION("""COMPUTED_VALUE"""),0.0)</f>
        <v>0</v>
      </c>
      <c r="X143" s="16">
        <f>IFERROR(__xludf.DUMMYFUNCTION("""COMPUTED_VALUE"""),0.0)</f>
        <v>0</v>
      </c>
      <c r="Y143" s="16">
        <f>IFERROR(__xludf.DUMMYFUNCTION("""COMPUTED_VALUE"""),0.0)</f>
        <v>0</v>
      </c>
      <c r="Z143" s="16">
        <f>IFERROR(__xludf.DUMMYFUNCTION("""COMPUTED_VALUE"""),0.0)</f>
        <v>0</v>
      </c>
      <c r="AA143" s="16">
        <f>IFERROR(__xludf.DUMMYFUNCTION("""COMPUTED_VALUE"""),0.0)</f>
        <v>0</v>
      </c>
      <c r="AB143" s="16">
        <f>IFERROR(__xludf.DUMMYFUNCTION("""COMPUTED_VALUE"""),0.0)</f>
        <v>0</v>
      </c>
      <c r="AC143" s="16">
        <f>IFERROR(__xludf.DUMMYFUNCTION("""COMPUTED_VALUE"""),0.0)</f>
        <v>0</v>
      </c>
      <c r="AD143" s="16">
        <f>IFERROR(__xludf.DUMMYFUNCTION("""COMPUTED_VALUE"""),0.0)</f>
        <v>0</v>
      </c>
      <c r="AE143" s="16">
        <f>IFERROR(__xludf.DUMMYFUNCTION("""COMPUTED_VALUE"""),0.0)</f>
        <v>0</v>
      </c>
      <c r="AF143" s="16">
        <f>IFERROR(__xludf.DUMMYFUNCTION("""COMPUTED_VALUE"""),0.0)</f>
        <v>0</v>
      </c>
      <c r="AG143" s="16">
        <f>IFERROR(__xludf.DUMMYFUNCTION("""COMPUTED_VALUE"""),0.0)</f>
        <v>0</v>
      </c>
      <c r="AH143" s="16">
        <f>IFERROR(__xludf.DUMMYFUNCTION("""COMPUTED_VALUE"""),0.0)</f>
        <v>0</v>
      </c>
    </row>
    <row r="144">
      <c r="A144" s="16" t="str">
        <f>IFERROR(__xludf.DUMMYFUNCTION("""COMPUTED_VALUE"""),"7b3a625b0f5bbaa9080a6795b2d70e994716f8a5")</f>
        <v>7b3a625b0f5bbaa9080a6795b2d70e994716f8a5</v>
      </c>
      <c r="B144" s="16" t="str">
        <f>IFERROR(__xludf.DUMMYFUNCTION("""COMPUTED_VALUE"""),"Unexpectedly Yours")</f>
        <v>Unexpectedly Yours</v>
      </c>
      <c r="C144" s="16" t="str">
        <f>IFERROR(__xludf.DUMMYFUNCTION("""COMPUTED_VALUE"""),"Romance")</f>
        <v>Romance</v>
      </c>
      <c r="D144" s="16">
        <f>IFERROR(__xludf.DUMMYFUNCTION("""COMPUTED_VALUE"""),138.0)</f>
        <v>138</v>
      </c>
      <c r="E144" s="16">
        <f>IFERROR(__xludf.DUMMYFUNCTION("""COMPUTED_VALUE"""),0.942028985507246)</f>
        <v>0.9420289855</v>
      </c>
      <c r="F144" s="16">
        <f>IFERROR(__xludf.DUMMYFUNCTION("""COMPUTED_VALUE"""),0.44927536231884)</f>
        <v>0.4492753623</v>
      </c>
      <c r="G144" s="16">
        <f>IFERROR(__xludf.DUMMYFUNCTION("""COMPUTED_VALUE"""),0.423357664233576)</f>
        <v>0.4233576642</v>
      </c>
      <c r="H144" s="16">
        <f>IFERROR(__xludf.DUMMYFUNCTION("""COMPUTED_VALUE"""),0.372262773722627)</f>
        <v>0.3722627737</v>
      </c>
      <c r="I144" s="16">
        <f>IFERROR(__xludf.DUMMYFUNCTION("""COMPUTED_VALUE"""),0.350364963503649)</f>
        <v>0.3503649635</v>
      </c>
      <c r="J144" s="16">
        <f>IFERROR(__xludf.DUMMYFUNCTION("""COMPUTED_VALUE"""),0.271317829457364)</f>
        <v>0.2713178295</v>
      </c>
      <c r="K144" s="16">
        <f>IFERROR(__xludf.DUMMYFUNCTION("""COMPUTED_VALUE"""),0.282051282051282)</f>
        <v>0.2820512821</v>
      </c>
      <c r="L144" s="16">
        <f>IFERROR(__xludf.DUMMYFUNCTION("""COMPUTED_VALUE"""),0.236559139784946)</f>
        <v>0.2365591398</v>
      </c>
      <c r="M144" s="16">
        <f>IFERROR(__xludf.DUMMYFUNCTION("""COMPUTED_VALUE"""),0.195121951219512)</f>
        <v>0.1951219512</v>
      </c>
      <c r="N144" s="16">
        <f>IFERROR(__xludf.DUMMYFUNCTION("""COMPUTED_VALUE"""),0.163265306122448)</f>
        <v>0.1632653061</v>
      </c>
      <c r="O144" s="16">
        <f>IFERROR(__xludf.DUMMYFUNCTION("""COMPUTED_VALUE"""),0.0689655172413793)</f>
        <v>0.06896551724</v>
      </c>
      <c r="P144" s="16">
        <f>IFERROR(__xludf.DUMMYFUNCTION("""COMPUTED_VALUE"""),0.0833333333333333)</f>
        <v>0.08333333333</v>
      </c>
      <c r="Q144" s="16">
        <f>IFERROR(__xludf.DUMMYFUNCTION("""COMPUTED_VALUE"""),0.5)</f>
        <v>0.5</v>
      </c>
      <c r="R144" s="16">
        <f>IFERROR(__xludf.DUMMYFUNCTION("""COMPUTED_VALUE"""),0.0)</f>
        <v>0</v>
      </c>
      <c r="S144" s="16">
        <f>IFERROR(__xludf.DUMMYFUNCTION("""COMPUTED_VALUE"""),0.0)</f>
        <v>0</v>
      </c>
      <c r="T144" s="16">
        <f>IFERROR(__xludf.DUMMYFUNCTION("""COMPUTED_VALUE"""),0.0)</f>
        <v>0</v>
      </c>
      <c r="U144" s="16">
        <f>IFERROR(__xludf.DUMMYFUNCTION("""COMPUTED_VALUE"""),0.0)</f>
        <v>0</v>
      </c>
      <c r="V144" s="16">
        <f>IFERROR(__xludf.DUMMYFUNCTION("""COMPUTED_VALUE"""),0.0)</f>
        <v>0</v>
      </c>
      <c r="W144" s="16">
        <f>IFERROR(__xludf.DUMMYFUNCTION("""COMPUTED_VALUE"""),0.0)</f>
        <v>0</v>
      </c>
      <c r="X144" s="16">
        <f>IFERROR(__xludf.DUMMYFUNCTION("""COMPUTED_VALUE"""),0.0)</f>
        <v>0</v>
      </c>
      <c r="Y144" s="16">
        <f>IFERROR(__xludf.DUMMYFUNCTION("""COMPUTED_VALUE"""),0.0)</f>
        <v>0</v>
      </c>
      <c r="Z144" s="16">
        <f>IFERROR(__xludf.DUMMYFUNCTION("""COMPUTED_VALUE"""),0.0)</f>
        <v>0</v>
      </c>
      <c r="AA144" s="16">
        <f>IFERROR(__xludf.DUMMYFUNCTION("""COMPUTED_VALUE"""),0.0)</f>
        <v>0</v>
      </c>
      <c r="AB144" s="16">
        <f>IFERROR(__xludf.DUMMYFUNCTION("""COMPUTED_VALUE"""),0.0)</f>
        <v>0</v>
      </c>
      <c r="AC144" s="16">
        <f>IFERROR(__xludf.DUMMYFUNCTION("""COMPUTED_VALUE"""),0.0)</f>
        <v>0</v>
      </c>
      <c r="AD144" s="16">
        <f>IFERROR(__xludf.DUMMYFUNCTION("""COMPUTED_VALUE"""),0.0)</f>
        <v>0</v>
      </c>
      <c r="AE144" s="16">
        <f>IFERROR(__xludf.DUMMYFUNCTION("""COMPUTED_VALUE"""),0.0)</f>
        <v>0</v>
      </c>
      <c r="AF144" s="16">
        <f>IFERROR(__xludf.DUMMYFUNCTION("""COMPUTED_VALUE"""),0.0)</f>
        <v>0</v>
      </c>
      <c r="AG144" s="16">
        <f>IFERROR(__xludf.DUMMYFUNCTION("""COMPUTED_VALUE"""),0.0)</f>
        <v>0</v>
      </c>
      <c r="AH144" s="16">
        <f>IFERROR(__xludf.DUMMYFUNCTION("""COMPUTED_VALUE"""),0.0)</f>
        <v>0</v>
      </c>
    </row>
    <row r="145">
      <c r="A145" s="16" t="str">
        <f>IFERROR(__xludf.DUMMYFUNCTION("""COMPUTED_VALUE"""),"7c9e3c835e58a5ec8e21381910eaaf785ea5ddfc")</f>
        <v>7c9e3c835e58a5ec8e21381910eaaf785ea5ddfc</v>
      </c>
      <c r="B145" s="16" t="str">
        <f>IFERROR(__xludf.DUMMYFUNCTION("""COMPUTED_VALUE"""),"I Do ... Or Do I? ")</f>
        <v>I Do ... Or Do I? </v>
      </c>
      <c r="C145" s="16" t="str">
        <f>IFERROR(__xludf.DUMMYFUNCTION("""COMPUTED_VALUE"""),"Romance")</f>
        <v>Romance</v>
      </c>
      <c r="D145" s="16">
        <f>IFERROR(__xludf.DUMMYFUNCTION("""COMPUTED_VALUE"""),262.0)</f>
        <v>262</v>
      </c>
      <c r="E145" s="16">
        <f>IFERROR(__xludf.DUMMYFUNCTION("""COMPUTED_VALUE"""),0.973282442748091)</f>
        <v>0.9732824427</v>
      </c>
      <c r="F145" s="16">
        <f>IFERROR(__xludf.DUMMYFUNCTION("""COMPUTED_VALUE"""),0.591603053435114)</f>
        <v>0.5916030534</v>
      </c>
      <c r="G145" s="16">
        <f>IFERROR(__xludf.DUMMYFUNCTION("""COMPUTED_VALUE"""),0.549618320610687)</f>
        <v>0.5496183206</v>
      </c>
      <c r="H145" s="16">
        <f>IFERROR(__xludf.DUMMYFUNCTION("""COMPUTED_VALUE"""),0.511450381679389)</f>
        <v>0.5114503817</v>
      </c>
      <c r="I145" s="16">
        <f>IFERROR(__xludf.DUMMYFUNCTION("""COMPUTED_VALUE"""),0.48473282442748)</f>
        <v>0.4847328244</v>
      </c>
      <c r="J145" s="16">
        <f>IFERROR(__xludf.DUMMYFUNCTION("""COMPUTED_VALUE"""),0.461538461538461)</f>
        <v>0.4615384615</v>
      </c>
      <c r="K145" s="16">
        <f>IFERROR(__xludf.DUMMYFUNCTION("""COMPUTED_VALUE"""),0.426356589147286)</f>
        <v>0.4263565891</v>
      </c>
      <c r="L145" s="16">
        <f>IFERROR(__xludf.DUMMYFUNCTION("""COMPUTED_VALUE"""),0.3828125)</f>
        <v>0.3828125</v>
      </c>
      <c r="M145" s="16">
        <f>IFERROR(__xludf.DUMMYFUNCTION("""COMPUTED_VALUE"""),0.34765625)</f>
        <v>0.34765625</v>
      </c>
      <c r="N145" s="16">
        <f>IFERROR(__xludf.DUMMYFUNCTION("""COMPUTED_VALUE"""),0.333333333333333)</f>
        <v>0.3333333333</v>
      </c>
      <c r="O145" s="16">
        <f>IFERROR(__xludf.DUMMYFUNCTION("""COMPUTED_VALUE"""),0.27)</f>
        <v>0.27</v>
      </c>
      <c r="P145" s="16">
        <f>IFERROR(__xludf.DUMMYFUNCTION("""COMPUTED_VALUE"""),0.24)</f>
        <v>0.24</v>
      </c>
      <c r="Q145" s="16">
        <f>IFERROR(__xludf.DUMMYFUNCTION("""COMPUTED_VALUE"""),0.136363636363636)</f>
        <v>0.1363636364</v>
      </c>
      <c r="R145" s="16">
        <f>IFERROR(__xludf.DUMMYFUNCTION("""COMPUTED_VALUE"""),0.0)</f>
        <v>0</v>
      </c>
      <c r="S145" s="16">
        <f>IFERROR(__xludf.DUMMYFUNCTION("""COMPUTED_VALUE"""),0.0)</f>
        <v>0</v>
      </c>
      <c r="T145" s="16">
        <f>IFERROR(__xludf.DUMMYFUNCTION("""COMPUTED_VALUE"""),0.0)</f>
        <v>0</v>
      </c>
      <c r="U145" s="16">
        <f>IFERROR(__xludf.DUMMYFUNCTION("""COMPUTED_VALUE"""),0.0)</f>
        <v>0</v>
      </c>
      <c r="V145" s="16">
        <f>IFERROR(__xludf.DUMMYFUNCTION("""COMPUTED_VALUE"""),0.0)</f>
        <v>0</v>
      </c>
      <c r="W145" s="16">
        <f>IFERROR(__xludf.DUMMYFUNCTION("""COMPUTED_VALUE"""),0.0)</f>
        <v>0</v>
      </c>
      <c r="X145" s="16">
        <f>IFERROR(__xludf.DUMMYFUNCTION("""COMPUTED_VALUE"""),0.0)</f>
        <v>0</v>
      </c>
      <c r="Y145" s="16">
        <f>IFERROR(__xludf.DUMMYFUNCTION("""COMPUTED_VALUE"""),0.0)</f>
        <v>0</v>
      </c>
      <c r="Z145" s="16">
        <f>IFERROR(__xludf.DUMMYFUNCTION("""COMPUTED_VALUE"""),0.0)</f>
        <v>0</v>
      </c>
      <c r="AA145" s="16">
        <f>IFERROR(__xludf.DUMMYFUNCTION("""COMPUTED_VALUE"""),0.0)</f>
        <v>0</v>
      </c>
      <c r="AB145" s="16">
        <f>IFERROR(__xludf.DUMMYFUNCTION("""COMPUTED_VALUE"""),0.0)</f>
        <v>0</v>
      </c>
      <c r="AC145" s="16">
        <f>IFERROR(__xludf.DUMMYFUNCTION("""COMPUTED_VALUE"""),0.0)</f>
        <v>0</v>
      </c>
      <c r="AD145" s="16">
        <f>IFERROR(__xludf.DUMMYFUNCTION("""COMPUTED_VALUE"""),0.0)</f>
        <v>0</v>
      </c>
      <c r="AE145" s="16">
        <f>IFERROR(__xludf.DUMMYFUNCTION("""COMPUTED_VALUE"""),0.0)</f>
        <v>0</v>
      </c>
      <c r="AF145" s="16">
        <f>IFERROR(__xludf.DUMMYFUNCTION("""COMPUTED_VALUE"""),0.0)</f>
        <v>0</v>
      </c>
      <c r="AG145" s="16">
        <f>IFERROR(__xludf.DUMMYFUNCTION("""COMPUTED_VALUE"""),0.0)</f>
        <v>0</v>
      </c>
      <c r="AH145" s="16">
        <f>IFERROR(__xludf.DUMMYFUNCTION("""COMPUTED_VALUE"""),0.0)</f>
        <v>0</v>
      </c>
    </row>
    <row r="146">
      <c r="A146" s="16" t="str">
        <f>IFERROR(__xludf.DUMMYFUNCTION("""COMPUTED_VALUE"""),"7d18c26c9a61af0d543d74280e7328e01a907988")</f>
        <v>7d18c26c9a61af0d543d74280e7328e01a907988</v>
      </c>
      <c r="B146" s="16" t="str">
        <f>IFERROR(__xludf.DUMMYFUNCTION("""COMPUTED_VALUE"""),"Empire of Love and War")</f>
        <v>Empire of Love and War</v>
      </c>
      <c r="C146" s="16" t="str">
        <f>IFERROR(__xludf.DUMMYFUNCTION("""COMPUTED_VALUE"""),"Romance")</f>
        <v>Romance</v>
      </c>
      <c r="D146" s="16">
        <f>IFERROR(__xludf.DUMMYFUNCTION("""COMPUTED_VALUE"""),388.0)</f>
        <v>388</v>
      </c>
      <c r="E146" s="16">
        <f>IFERROR(__xludf.DUMMYFUNCTION("""COMPUTED_VALUE"""),0.971649484536082)</f>
        <v>0.9716494845</v>
      </c>
      <c r="F146" s="16">
        <f>IFERROR(__xludf.DUMMYFUNCTION("""COMPUTED_VALUE"""),0.621134020618556)</f>
        <v>0.6211340206</v>
      </c>
      <c r="G146" s="16">
        <f>IFERROR(__xludf.DUMMYFUNCTION("""COMPUTED_VALUE"""),0.59020618556701)</f>
        <v>0.5902061856</v>
      </c>
      <c r="H146" s="16">
        <f>IFERROR(__xludf.DUMMYFUNCTION("""COMPUTED_VALUE"""),0.556701030927835)</f>
        <v>0.5567010309</v>
      </c>
      <c r="I146" s="16">
        <f>IFERROR(__xludf.DUMMYFUNCTION("""COMPUTED_VALUE"""),0.523195876288659)</f>
        <v>0.5231958763</v>
      </c>
      <c r="J146" s="16">
        <f>IFERROR(__xludf.DUMMYFUNCTION("""COMPUTED_VALUE"""),0.480620155038759)</f>
        <v>0.480620155</v>
      </c>
      <c r="K146" s="16">
        <f>IFERROR(__xludf.DUMMYFUNCTION("""COMPUTED_VALUE"""),0.454308093994778)</f>
        <v>0.454308094</v>
      </c>
      <c r="L146" s="16">
        <f>IFERROR(__xludf.DUMMYFUNCTION("""COMPUTED_VALUE"""),0.417989417989417)</f>
        <v>0.417989418</v>
      </c>
      <c r="M146" s="16">
        <f>IFERROR(__xludf.DUMMYFUNCTION("""COMPUTED_VALUE"""),0.405333333333333)</f>
        <v>0.4053333333</v>
      </c>
      <c r="N146" s="16">
        <f>IFERROR(__xludf.DUMMYFUNCTION("""COMPUTED_VALUE"""),0.397820163487738)</f>
        <v>0.3978201635</v>
      </c>
      <c r="O146" s="16">
        <f>IFERROR(__xludf.DUMMYFUNCTION("""COMPUTED_VALUE"""),0.289473684210526)</f>
        <v>0.2894736842</v>
      </c>
      <c r="P146" s="16">
        <f>IFERROR(__xludf.DUMMYFUNCTION("""COMPUTED_VALUE"""),0.147368421052631)</f>
        <v>0.1473684211</v>
      </c>
      <c r="Q146" s="16">
        <f>IFERROR(__xludf.DUMMYFUNCTION("""COMPUTED_VALUE"""),0.0606060606060606)</f>
        <v>0.06060606061</v>
      </c>
      <c r="R146" s="16">
        <f>IFERROR(__xludf.DUMMYFUNCTION("""COMPUTED_VALUE"""),0.0)</f>
        <v>0</v>
      </c>
      <c r="S146" s="16">
        <f>IFERROR(__xludf.DUMMYFUNCTION("""COMPUTED_VALUE"""),0.0)</f>
        <v>0</v>
      </c>
      <c r="T146" s="16">
        <f>IFERROR(__xludf.DUMMYFUNCTION("""COMPUTED_VALUE"""),0.0)</f>
        <v>0</v>
      </c>
      <c r="U146" s="16">
        <f>IFERROR(__xludf.DUMMYFUNCTION("""COMPUTED_VALUE"""),0.0)</f>
        <v>0</v>
      </c>
      <c r="V146" s="16">
        <f>IFERROR(__xludf.DUMMYFUNCTION("""COMPUTED_VALUE"""),0.0)</f>
        <v>0</v>
      </c>
      <c r="W146" s="16">
        <f>IFERROR(__xludf.DUMMYFUNCTION("""COMPUTED_VALUE"""),0.0)</f>
        <v>0</v>
      </c>
      <c r="X146" s="16">
        <f>IFERROR(__xludf.DUMMYFUNCTION("""COMPUTED_VALUE"""),0.0)</f>
        <v>0</v>
      </c>
      <c r="Y146" s="16">
        <f>IFERROR(__xludf.DUMMYFUNCTION("""COMPUTED_VALUE"""),0.0)</f>
        <v>0</v>
      </c>
      <c r="Z146" s="16">
        <f>IFERROR(__xludf.DUMMYFUNCTION("""COMPUTED_VALUE"""),0.0)</f>
        <v>0</v>
      </c>
      <c r="AA146" s="16">
        <f>IFERROR(__xludf.DUMMYFUNCTION("""COMPUTED_VALUE"""),0.0)</f>
        <v>0</v>
      </c>
      <c r="AB146" s="16">
        <f>IFERROR(__xludf.DUMMYFUNCTION("""COMPUTED_VALUE"""),0.0)</f>
        <v>0</v>
      </c>
      <c r="AC146" s="16">
        <f>IFERROR(__xludf.DUMMYFUNCTION("""COMPUTED_VALUE"""),0.0)</f>
        <v>0</v>
      </c>
      <c r="AD146" s="16">
        <f>IFERROR(__xludf.DUMMYFUNCTION("""COMPUTED_VALUE"""),0.0)</f>
        <v>0</v>
      </c>
      <c r="AE146" s="16">
        <f>IFERROR(__xludf.DUMMYFUNCTION("""COMPUTED_VALUE"""),0.0)</f>
        <v>0</v>
      </c>
      <c r="AF146" s="16">
        <f>IFERROR(__xludf.DUMMYFUNCTION("""COMPUTED_VALUE"""),0.0)</f>
        <v>0</v>
      </c>
      <c r="AG146" s="16">
        <f>IFERROR(__xludf.DUMMYFUNCTION("""COMPUTED_VALUE"""),0.0)</f>
        <v>0</v>
      </c>
      <c r="AH146" s="16">
        <f>IFERROR(__xludf.DUMMYFUNCTION("""COMPUTED_VALUE"""),0.0)</f>
        <v>0</v>
      </c>
    </row>
    <row r="147">
      <c r="A147" s="16" t="str">
        <f>IFERROR(__xludf.DUMMYFUNCTION("""COMPUTED_VALUE"""),"7dcd0d4c632448440b17285c811990532a31efec")</f>
        <v>7dcd0d4c632448440b17285c811990532a31efec</v>
      </c>
      <c r="B147" s="16" t="str">
        <f>IFERROR(__xludf.DUMMYFUNCTION("""COMPUTED_VALUE"""),"The Scentless Luna")</f>
        <v>The Scentless Luna</v>
      </c>
      <c r="C147" s="16" t="str">
        <f>IFERROR(__xludf.DUMMYFUNCTION("""COMPUTED_VALUE"""),"Romantasy")</f>
        <v>Romantasy</v>
      </c>
      <c r="D147" s="16">
        <f>IFERROR(__xludf.DUMMYFUNCTION("""COMPUTED_VALUE"""),386.0)</f>
        <v>386</v>
      </c>
      <c r="E147" s="16">
        <f>IFERROR(__xludf.DUMMYFUNCTION("""COMPUTED_VALUE"""),0.984455958549222)</f>
        <v>0.9844559585</v>
      </c>
      <c r="F147" s="16">
        <f>IFERROR(__xludf.DUMMYFUNCTION("""COMPUTED_VALUE"""),0.575129533678756)</f>
        <v>0.5751295337</v>
      </c>
      <c r="G147" s="16">
        <f>IFERROR(__xludf.DUMMYFUNCTION("""COMPUTED_VALUE"""),0.489637305699481)</f>
        <v>0.4896373057</v>
      </c>
      <c r="H147" s="16">
        <f>IFERROR(__xludf.DUMMYFUNCTION("""COMPUTED_VALUE"""),0.365284974093264)</f>
        <v>0.3652849741</v>
      </c>
      <c r="I147" s="16">
        <f>IFERROR(__xludf.DUMMYFUNCTION("""COMPUTED_VALUE"""),0.316062176165803)</f>
        <v>0.3160621762</v>
      </c>
      <c r="J147" s="16">
        <f>IFERROR(__xludf.DUMMYFUNCTION("""COMPUTED_VALUE"""),0.284960422163588)</f>
        <v>0.2849604222</v>
      </c>
      <c r="K147" s="16">
        <f>IFERROR(__xludf.DUMMYFUNCTION("""COMPUTED_VALUE"""),0.267379679144385)</f>
        <v>0.2673796791</v>
      </c>
      <c r="L147" s="16">
        <f>IFERROR(__xludf.DUMMYFUNCTION("""COMPUTED_VALUE"""),0.272321428571428)</f>
        <v>0.2723214286</v>
      </c>
      <c r="M147" s="16">
        <f>IFERROR(__xludf.DUMMYFUNCTION("""COMPUTED_VALUE"""),0.272727272727272)</f>
        <v>0.2727272727</v>
      </c>
      <c r="N147" s="16">
        <f>IFERROR(__xludf.DUMMYFUNCTION("""COMPUTED_VALUE"""),0.301369863013698)</f>
        <v>0.301369863</v>
      </c>
      <c r="O147" s="16">
        <f>IFERROR(__xludf.DUMMYFUNCTION("""COMPUTED_VALUE"""),0.236111111111111)</f>
        <v>0.2361111111</v>
      </c>
      <c r="P147" s="16">
        <f>IFERROR(__xludf.DUMMYFUNCTION("""COMPUTED_VALUE"""),0.159420289855072)</f>
        <v>0.1594202899</v>
      </c>
      <c r="Q147" s="16">
        <f>IFERROR(__xludf.DUMMYFUNCTION("""COMPUTED_VALUE"""),0.106382978723404)</f>
        <v>0.1063829787</v>
      </c>
      <c r="R147" s="16">
        <f>IFERROR(__xludf.DUMMYFUNCTION("""COMPUTED_VALUE"""),0.166666666666666)</f>
        <v>0.1666666667</v>
      </c>
      <c r="S147" s="16">
        <f>IFERROR(__xludf.DUMMYFUNCTION("""COMPUTED_VALUE"""),0.0)</f>
        <v>0</v>
      </c>
      <c r="T147" s="16">
        <f>IFERROR(__xludf.DUMMYFUNCTION("""COMPUTED_VALUE"""),0.0)</f>
        <v>0</v>
      </c>
      <c r="U147" s="16">
        <f>IFERROR(__xludf.DUMMYFUNCTION("""COMPUTED_VALUE"""),0.0)</f>
        <v>0</v>
      </c>
      <c r="V147" s="16">
        <f>IFERROR(__xludf.DUMMYFUNCTION("""COMPUTED_VALUE"""),0.0)</f>
        <v>0</v>
      </c>
      <c r="W147" s="16">
        <f>IFERROR(__xludf.DUMMYFUNCTION("""COMPUTED_VALUE"""),0.0)</f>
        <v>0</v>
      </c>
      <c r="X147" s="16">
        <f>IFERROR(__xludf.DUMMYFUNCTION("""COMPUTED_VALUE"""),0.0)</f>
        <v>0</v>
      </c>
      <c r="Y147" s="16">
        <f>IFERROR(__xludf.DUMMYFUNCTION("""COMPUTED_VALUE"""),0.0)</f>
        <v>0</v>
      </c>
      <c r="Z147" s="16">
        <f>IFERROR(__xludf.DUMMYFUNCTION("""COMPUTED_VALUE"""),0.0)</f>
        <v>0</v>
      </c>
      <c r="AA147" s="16">
        <f>IFERROR(__xludf.DUMMYFUNCTION("""COMPUTED_VALUE"""),0.0)</f>
        <v>0</v>
      </c>
      <c r="AB147" s="16">
        <f>IFERROR(__xludf.DUMMYFUNCTION("""COMPUTED_VALUE"""),0.0)</f>
        <v>0</v>
      </c>
      <c r="AC147" s="16">
        <f>IFERROR(__xludf.DUMMYFUNCTION("""COMPUTED_VALUE"""),0.0)</f>
        <v>0</v>
      </c>
      <c r="AD147" s="16">
        <f>IFERROR(__xludf.DUMMYFUNCTION("""COMPUTED_VALUE"""),0.0)</f>
        <v>0</v>
      </c>
      <c r="AE147" s="16">
        <f>IFERROR(__xludf.DUMMYFUNCTION("""COMPUTED_VALUE"""),0.0)</f>
        <v>0</v>
      </c>
      <c r="AF147" s="16">
        <f>IFERROR(__xludf.DUMMYFUNCTION("""COMPUTED_VALUE"""),0.0)</f>
        <v>0</v>
      </c>
      <c r="AG147" s="16">
        <f>IFERROR(__xludf.DUMMYFUNCTION("""COMPUTED_VALUE"""),0.0)</f>
        <v>0</v>
      </c>
      <c r="AH147" s="16">
        <f>IFERROR(__xludf.DUMMYFUNCTION("""COMPUTED_VALUE"""),0.0)</f>
        <v>0</v>
      </c>
    </row>
    <row r="148">
      <c r="A148" s="16" t="str">
        <f>IFERROR(__xludf.DUMMYFUNCTION("""COMPUTED_VALUE"""),"7fb3b080b1ad8976195f7a18e1df497bc23037fa")</f>
        <v>7fb3b080b1ad8976195f7a18e1df497bc23037fa</v>
      </c>
      <c r="B148" s="16" t="str">
        <f>IFERROR(__xludf.DUMMYFUNCTION("""COMPUTED_VALUE"""),"The Ghostwalker")</f>
        <v>The Ghostwalker</v>
      </c>
      <c r="C148" s="16" t="str">
        <f>IFERROR(__xludf.DUMMYFUNCTION("""COMPUTED_VALUE"""),"Suspense or Thriller")</f>
        <v>Suspense or Thriller</v>
      </c>
      <c r="D148" s="16">
        <f>IFERROR(__xludf.DUMMYFUNCTION("""COMPUTED_VALUE"""),692.0)</f>
        <v>692</v>
      </c>
      <c r="E148" s="16">
        <f>IFERROR(__xludf.DUMMYFUNCTION("""COMPUTED_VALUE"""),0.984104046242774)</f>
        <v>0.9841040462</v>
      </c>
      <c r="F148" s="16">
        <f>IFERROR(__xludf.DUMMYFUNCTION("""COMPUTED_VALUE"""),0.403179190751445)</f>
        <v>0.4031791908</v>
      </c>
      <c r="G148" s="16">
        <f>IFERROR(__xludf.DUMMYFUNCTION("""COMPUTED_VALUE"""),0.320809248554913)</f>
        <v>0.3208092486</v>
      </c>
      <c r="H148" s="16">
        <f>IFERROR(__xludf.DUMMYFUNCTION("""COMPUTED_VALUE"""),0.278901734104046)</f>
        <v>0.2789017341</v>
      </c>
      <c r="I148" s="16">
        <f>IFERROR(__xludf.DUMMYFUNCTION("""COMPUTED_VALUE"""),0.247109826589595)</f>
        <v>0.2471098266</v>
      </c>
      <c r="J148" s="16">
        <f>IFERROR(__xludf.DUMMYFUNCTION("""COMPUTED_VALUE"""),0.22543352601156)</f>
        <v>0.225433526</v>
      </c>
      <c r="K148" s="16">
        <f>IFERROR(__xludf.DUMMYFUNCTION("""COMPUTED_VALUE"""),0.201741654571843)</f>
        <v>0.2017416546</v>
      </c>
      <c r="L148" s="16">
        <f>IFERROR(__xludf.DUMMYFUNCTION("""COMPUTED_VALUE"""),0.190684133915574)</f>
        <v>0.1906841339</v>
      </c>
      <c r="M148" s="16">
        <f>IFERROR(__xludf.DUMMYFUNCTION("""COMPUTED_VALUE"""),0.173216885007278)</f>
        <v>0.173216885</v>
      </c>
      <c r="N148" s="16">
        <f>IFERROR(__xludf.DUMMYFUNCTION("""COMPUTED_VALUE"""),0.162043795620437)</f>
        <v>0.1620437956</v>
      </c>
      <c r="O148" s="16">
        <f>IFERROR(__xludf.DUMMYFUNCTION("""COMPUTED_VALUE"""),0.134740259740259)</f>
        <v>0.1347402597</v>
      </c>
      <c r="P148" s="16">
        <f>IFERROR(__xludf.DUMMYFUNCTION("""COMPUTED_VALUE"""),0.065359477124183)</f>
        <v>0.06535947712</v>
      </c>
      <c r="Q148" s="16">
        <f>IFERROR(__xludf.DUMMYFUNCTION("""COMPUTED_VALUE"""),0.0)</f>
        <v>0</v>
      </c>
      <c r="R148" s="16">
        <f>IFERROR(__xludf.DUMMYFUNCTION("""COMPUTED_VALUE"""),0.0)</f>
        <v>0</v>
      </c>
      <c r="S148" s="16">
        <f>IFERROR(__xludf.DUMMYFUNCTION("""COMPUTED_VALUE"""),0.0)</f>
        <v>0</v>
      </c>
      <c r="T148" s="16">
        <f>IFERROR(__xludf.DUMMYFUNCTION("""COMPUTED_VALUE"""),0.0)</f>
        <v>0</v>
      </c>
      <c r="U148" s="16">
        <f>IFERROR(__xludf.DUMMYFUNCTION("""COMPUTED_VALUE"""),0.0)</f>
        <v>0</v>
      </c>
      <c r="V148" s="16">
        <f>IFERROR(__xludf.DUMMYFUNCTION("""COMPUTED_VALUE"""),0.0)</f>
        <v>0</v>
      </c>
      <c r="W148" s="16">
        <f>IFERROR(__xludf.DUMMYFUNCTION("""COMPUTED_VALUE"""),0.0)</f>
        <v>0</v>
      </c>
      <c r="X148" s="16">
        <f>IFERROR(__xludf.DUMMYFUNCTION("""COMPUTED_VALUE"""),0.0)</f>
        <v>0</v>
      </c>
      <c r="Y148" s="16">
        <f>IFERROR(__xludf.DUMMYFUNCTION("""COMPUTED_VALUE"""),0.0)</f>
        <v>0</v>
      </c>
      <c r="Z148" s="16">
        <f>IFERROR(__xludf.DUMMYFUNCTION("""COMPUTED_VALUE"""),0.0)</f>
        <v>0</v>
      </c>
      <c r="AA148" s="16">
        <f>IFERROR(__xludf.DUMMYFUNCTION("""COMPUTED_VALUE"""),0.0)</f>
        <v>0</v>
      </c>
      <c r="AB148" s="16">
        <f>IFERROR(__xludf.DUMMYFUNCTION("""COMPUTED_VALUE"""),0.0)</f>
        <v>0</v>
      </c>
      <c r="AC148" s="16">
        <f>IFERROR(__xludf.DUMMYFUNCTION("""COMPUTED_VALUE"""),0.0)</f>
        <v>0</v>
      </c>
      <c r="AD148" s="16">
        <f>IFERROR(__xludf.DUMMYFUNCTION("""COMPUTED_VALUE"""),0.0)</f>
        <v>0</v>
      </c>
      <c r="AE148" s="16">
        <f>IFERROR(__xludf.DUMMYFUNCTION("""COMPUTED_VALUE"""),0.0)</f>
        <v>0</v>
      </c>
      <c r="AF148" s="16">
        <f>IFERROR(__xludf.DUMMYFUNCTION("""COMPUTED_VALUE"""),0.0)</f>
        <v>0</v>
      </c>
      <c r="AG148" s="16">
        <f>IFERROR(__xludf.DUMMYFUNCTION("""COMPUTED_VALUE"""),0.0)</f>
        <v>0</v>
      </c>
      <c r="AH148" s="16">
        <f>IFERROR(__xludf.DUMMYFUNCTION("""COMPUTED_VALUE"""),0.0)</f>
        <v>0</v>
      </c>
    </row>
    <row r="149">
      <c r="A149" s="16" t="str">
        <f>IFERROR(__xludf.DUMMYFUNCTION("""COMPUTED_VALUE"""),"7fd747e6520471a8653824ad1a2ba2ad33b91835")</f>
        <v>7fd747e6520471a8653824ad1a2ba2ad33b91835</v>
      </c>
      <c r="B149" s="16" t="str">
        <f>IFERROR(__xludf.DUMMYFUNCTION("""COMPUTED_VALUE"""),"Evolution Online")</f>
        <v>Evolution Online</v>
      </c>
      <c r="C149" s="16" t="str">
        <f>IFERROR(__xludf.DUMMYFUNCTION("""COMPUTED_VALUE"""),"Fantasy")</f>
        <v>Fantasy</v>
      </c>
      <c r="D149" s="16">
        <f>IFERROR(__xludf.DUMMYFUNCTION("""COMPUTED_VALUE"""),6.0)</f>
        <v>6</v>
      </c>
      <c r="E149" s="16">
        <f>IFERROR(__xludf.DUMMYFUNCTION("""COMPUTED_VALUE"""),0.833333333333333)</f>
        <v>0.8333333333</v>
      </c>
      <c r="F149" s="16">
        <f>IFERROR(__xludf.DUMMYFUNCTION("""COMPUTED_VALUE"""),0.666666666666666)</f>
        <v>0.6666666667</v>
      </c>
      <c r="G149" s="16">
        <f>IFERROR(__xludf.DUMMYFUNCTION("""COMPUTED_VALUE"""),0.0)</f>
        <v>0</v>
      </c>
      <c r="H149" s="16">
        <f>IFERROR(__xludf.DUMMYFUNCTION("""COMPUTED_VALUE"""),0.0)</f>
        <v>0</v>
      </c>
      <c r="I149" s="16">
        <f>IFERROR(__xludf.DUMMYFUNCTION("""COMPUTED_VALUE"""),0.0)</f>
        <v>0</v>
      </c>
      <c r="J149" s="16">
        <f>IFERROR(__xludf.DUMMYFUNCTION("""COMPUTED_VALUE"""),0.166666666666666)</f>
        <v>0.1666666667</v>
      </c>
      <c r="K149" s="16">
        <f>IFERROR(__xludf.DUMMYFUNCTION("""COMPUTED_VALUE"""),0.0)</f>
        <v>0</v>
      </c>
      <c r="L149" s="16">
        <f>IFERROR(__xludf.DUMMYFUNCTION("""COMPUTED_VALUE"""),0.0)</f>
        <v>0</v>
      </c>
      <c r="M149" s="16">
        <f>IFERROR(__xludf.DUMMYFUNCTION("""COMPUTED_VALUE"""),0.0)</f>
        <v>0</v>
      </c>
      <c r="N149" s="16">
        <f>IFERROR(__xludf.DUMMYFUNCTION("""COMPUTED_VALUE"""),0.0)</f>
        <v>0</v>
      </c>
      <c r="O149" s="16">
        <f>IFERROR(__xludf.DUMMYFUNCTION("""COMPUTED_VALUE"""),0.0)</f>
        <v>0</v>
      </c>
      <c r="P149" s="16">
        <f>IFERROR(__xludf.DUMMYFUNCTION("""COMPUTED_VALUE"""),0.0)</f>
        <v>0</v>
      </c>
      <c r="Q149" s="16">
        <f>IFERROR(__xludf.DUMMYFUNCTION("""COMPUTED_VALUE"""),0.0)</f>
        <v>0</v>
      </c>
      <c r="R149" s="16">
        <f>IFERROR(__xludf.DUMMYFUNCTION("""COMPUTED_VALUE"""),0.0)</f>
        <v>0</v>
      </c>
      <c r="S149" s="16">
        <f>IFERROR(__xludf.DUMMYFUNCTION("""COMPUTED_VALUE"""),0.0)</f>
        <v>0</v>
      </c>
      <c r="T149" s="16">
        <f>IFERROR(__xludf.DUMMYFUNCTION("""COMPUTED_VALUE"""),0.0)</f>
        <v>0</v>
      </c>
      <c r="U149" s="16">
        <f>IFERROR(__xludf.DUMMYFUNCTION("""COMPUTED_VALUE"""),0.0)</f>
        <v>0</v>
      </c>
      <c r="V149" s="16">
        <f>IFERROR(__xludf.DUMMYFUNCTION("""COMPUTED_VALUE"""),0.0)</f>
        <v>0</v>
      </c>
      <c r="W149" s="16">
        <f>IFERROR(__xludf.DUMMYFUNCTION("""COMPUTED_VALUE"""),0.0)</f>
        <v>0</v>
      </c>
      <c r="X149" s="16">
        <f>IFERROR(__xludf.DUMMYFUNCTION("""COMPUTED_VALUE"""),0.0)</f>
        <v>0</v>
      </c>
      <c r="Y149" s="16">
        <f>IFERROR(__xludf.DUMMYFUNCTION("""COMPUTED_VALUE"""),0.0)</f>
        <v>0</v>
      </c>
      <c r="Z149" s="16">
        <f>IFERROR(__xludf.DUMMYFUNCTION("""COMPUTED_VALUE"""),0.0)</f>
        <v>0</v>
      </c>
      <c r="AA149" s="16">
        <f>IFERROR(__xludf.DUMMYFUNCTION("""COMPUTED_VALUE"""),0.0)</f>
        <v>0</v>
      </c>
      <c r="AB149" s="16">
        <f>IFERROR(__xludf.DUMMYFUNCTION("""COMPUTED_VALUE"""),0.0)</f>
        <v>0</v>
      </c>
      <c r="AC149" s="16">
        <f>IFERROR(__xludf.DUMMYFUNCTION("""COMPUTED_VALUE"""),0.0)</f>
        <v>0</v>
      </c>
      <c r="AD149" s="16">
        <f>IFERROR(__xludf.DUMMYFUNCTION("""COMPUTED_VALUE"""),0.0)</f>
        <v>0</v>
      </c>
      <c r="AE149" s="16">
        <f>IFERROR(__xludf.DUMMYFUNCTION("""COMPUTED_VALUE"""),0.0)</f>
        <v>0</v>
      </c>
      <c r="AF149" s="16">
        <f>IFERROR(__xludf.DUMMYFUNCTION("""COMPUTED_VALUE"""),0.0)</f>
        <v>0</v>
      </c>
      <c r="AG149" s="16">
        <f>IFERROR(__xludf.DUMMYFUNCTION("""COMPUTED_VALUE"""),0.0)</f>
        <v>0</v>
      </c>
      <c r="AH149" s="16">
        <f>IFERROR(__xludf.DUMMYFUNCTION("""COMPUTED_VALUE"""),0.0)</f>
        <v>0</v>
      </c>
    </row>
    <row r="150">
      <c r="A150" s="16" t="str">
        <f>IFERROR(__xludf.DUMMYFUNCTION("""COMPUTED_VALUE"""),"80e6be6f7d165552c60a2fc7cbf39746d2ab2466")</f>
        <v>80e6be6f7d165552c60a2fc7cbf39746d2ab2466</v>
      </c>
      <c r="B150" s="16" t="str">
        <f>IFERROR(__xludf.DUMMYFUNCTION("""COMPUTED_VALUE"""),"Marked by Him: True Mate")</f>
        <v>Marked by Him: True Mate</v>
      </c>
      <c r="C150" s="16" t="str">
        <f>IFERROR(__xludf.DUMMYFUNCTION("""COMPUTED_VALUE"""),"Romantasy")</f>
        <v>Romantasy</v>
      </c>
      <c r="D150" s="16">
        <f>IFERROR(__xludf.DUMMYFUNCTION("""COMPUTED_VALUE"""),897.0)</f>
        <v>897</v>
      </c>
      <c r="E150" s="16">
        <f>IFERROR(__xludf.DUMMYFUNCTION("""COMPUTED_VALUE"""),0.968784838350055)</f>
        <v>0.9687848384</v>
      </c>
      <c r="F150" s="16">
        <f>IFERROR(__xludf.DUMMYFUNCTION("""COMPUTED_VALUE"""),0.622073578595317)</f>
        <v>0.6220735786</v>
      </c>
      <c r="G150" s="16">
        <f>IFERROR(__xludf.DUMMYFUNCTION("""COMPUTED_VALUE"""),0.564102564102564)</f>
        <v>0.5641025641</v>
      </c>
      <c r="H150" s="16">
        <f>IFERROR(__xludf.DUMMYFUNCTION("""COMPUTED_VALUE"""),0.535117056856187)</f>
        <v>0.5351170569</v>
      </c>
      <c r="I150" s="16">
        <f>IFERROR(__xludf.DUMMYFUNCTION("""COMPUTED_VALUE"""),0.51505016722408)</f>
        <v>0.5150501672</v>
      </c>
      <c r="J150" s="16">
        <f>IFERROR(__xludf.DUMMYFUNCTION("""COMPUTED_VALUE"""),0.487723214285714)</f>
        <v>0.4877232143</v>
      </c>
      <c r="K150" s="16">
        <f>IFERROR(__xludf.DUMMYFUNCTION("""COMPUTED_VALUE"""),0.473214285714285)</f>
        <v>0.4732142857</v>
      </c>
      <c r="L150" s="16">
        <f>IFERROR(__xludf.DUMMYFUNCTION("""COMPUTED_VALUE"""),0.464285714285714)</f>
        <v>0.4642857143</v>
      </c>
      <c r="M150" s="16">
        <f>IFERROR(__xludf.DUMMYFUNCTION("""COMPUTED_VALUE"""),0.446308724832214)</f>
        <v>0.4463087248</v>
      </c>
      <c r="N150" s="16">
        <f>IFERROR(__xludf.DUMMYFUNCTION("""COMPUTED_VALUE"""),0.445190156599552)</f>
        <v>0.4451901566</v>
      </c>
      <c r="O150" s="16">
        <f>IFERROR(__xludf.DUMMYFUNCTION("""COMPUTED_VALUE"""),0.422196796338672)</f>
        <v>0.4221967963</v>
      </c>
      <c r="P150" s="16">
        <f>IFERROR(__xludf.DUMMYFUNCTION("""COMPUTED_VALUE"""),0.374291115311909)</f>
        <v>0.3742911153</v>
      </c>
      <c r="Q150" s="16">
        <f>IFERROR(__xludf.DUMMYFUNCTION("""COMPUTED_VALUE"""),0.231263383297644)</f>
        <v>0.2312633833</v>
      </c>
      <c r="R150" s="16">
        <f>IFERROR(__xludf.DUMMYFUNCTION("""COMPUTED_VALUE"""),0.142857142857142)</f>
        <v>0.1428571429</v>
      </c>
      <c r="S150" s="16">
        <f>IFERROR(__xludf.DUMMYFUNCTION("""COMPUTED_VALUE"""),0.0)</f>
        <v>0</v>
      </c>
      <c r="T150" s="16">
        <f>IFERROR(__xludf.DUMMYFUNCTION("""COMPUTED_VALUE"""),0.0)</f>
        <v>0</v>
      </c>
      <c r="U150" s="16">
        <f>IFERROR(__xludf.DUMMYFUNCTION("""COMPUTED_VALUE"""),0.0)</f>
        <v>0</v>
      </c>
      <c r="V150" s="16">
        <f>IFERROR(__xludf.DUMMYFUNCTION("""COMPUTED_VALUE"""),0.0)</f>
        <v>0</v>
      </c>
      <c r="W150" s="16">
        <f>IFERROR(__xludf.DUMMYFUNCTION("""COMPUTED_VALUE"""),0.0)</f>
        <v>0</v>
      </c>
      <c r="X150" s="16">
        <f>IFERROR(__xludf.DUMMYFUNCTION("""COMPUTED_VALUE"""),0.0)</f>
        <v>0</v>
      </c>
      <c r="Y150" s="16">
        <f>IFERROR(__xludf.DUMMYFUNCTION("""COMPUTED_VALUE"""),0.0)</f>
        <v>0</v>
      </c>
      <c r="Z150" s="16">
        <f>IFERROR(__xludf.DUMMYFUNCTION("""COMPUTED_VALUE"""),0.0)</f>
        <v>0</v>
      </c>
      <c r="AA150" s="16">
        <f>IFERROR(__xludf.DUMMYFUNCTION("""COMPUTED_VALUE"""),0.0)</f>
        <v>0</v>
      </c>
      <c r="AB150" s="16">
        <f>IFERROR(__xludf.DUMMYFUNCTION("""COMPUTED_VALUE"""),0.0)</f>
        <v>0</v>
      </c>
      <c r="AC150" s="16">
        <f>IFERROR(__xludf.DUMMYFUNCTION("""COMPUTED_VALUE"""),0.0)</f>
        <v>0</v>
      </c>
      <c r="AD150" s="16">
        <f>IFERROR(__xludf.DUMMYFUNCTION("""COMPUTED_VALUE"""),0.0)</f>
        <v>0</v>
      </c>
      <c r="AE150" s="16">
        <f>IFERROR(__xludf.DUMMYFUNCTION("""COMPUTED_VALUE"""),0.0)</f>
        <v>0</v>
      </c>
      <c r="AF150" s="16">
        <f>IFERROR(__xludf.DUMMYFUNCTION("""COMPUTED_VALUE"""),0.0)</f>
        <v>0</v>
      </c>
      <c r="AG150" s="16">
        <f>IFERROR(__xludf.DUMMYFUNCTION("""COMPUTED_VALUE"""),0.0)</f>
        <v>0</v>
      </c>
      <c r="AH150" s="16">
        <f>IFERROR(__xludf.DUMMYFUNCTION("""COMPUTED_VALUE"""),0.0)</f>
        <v>0</v>
      </c>
    </row>
    <row r="151">
      <c r="A151" s="16" t="str">
        <f>IFERROR(__xludf.DUMMYFUNCTION("""COMPUTED_VALUE"""),"81f38c054e274dae5e400ec6c2c582118338c065")</f>
        <v>81f38c054e274dae5e400ec6c2c582118338c065</v>
      </c>
      <c r="B151" s="16" t="str">
        <f>IFERROR(__xludf.DUMMYFUNCTION("""COMPUTED_VALUE"""),"Authority System")</f>
        <v>Authority System</v>
      </c>
      <c r="C151" s="16" t="str">
        <f>IFERROR(__xludf.DUMMYFUNCTION("""COMPUTED_VALUE"""),"Fantasy")</f>
        <v>Fantasy</v>
      </c>
      <c r="D151" s="16">
        <f>IFERROR(__xludf.DUMMYFUNCTION("""COMPUTED_VALUE"""),4.0)</f>
        <v>4</v>
      </c>
      <c r="E151" s="16">
        <f>IFERROR(__xludf.DUMMYFUNCTION("""COMPUTED_VALUE"""),1.0)</f>
        <v>1</v>
      </c>
      <c r="F151" s="16">
        <f>IFERROR(__xludf.DUMMYFUNCTION("""COMPUTED_VALUE"""),0.5)</f>
        <v>0.5</v>
      </c>
      <c r="G151" s="16">
        <f>IFERROR(__xludf.DUMMYFUNCTION("""COMPUTED_VALUE"""),0.5)</f>
        <v>0.5</v>
      </c>
      <c r="H151" s="16">
        <f>IFERROR(__xludf.DUMMYFUNCTION("""COMPUTED_VALUE"""),0.5)</f>
        <v>0.5</v>
      </c>
      <c r="I151" s="16">
        <f>IFERROR(__xludf.DUMMYFUNCTION("""COMPUTED_VALUE"""),0.5)</f>
        <v>0.5</v>
      </c>
      <c r="J151" s="16">
        <f>IFERROR(__xludf.DUMMYFUNCTION("""COMPUTED_VALUE"""),0.5)</f>
        <v>0.5</v>
      </c>
      <c r="K151" s="16">
        <f>IFERROR(__xludf.DUMMYFUNCTION("""COMPUTED_VALUE"""),0.5)</f>
        <v>0.5</v>
      </c>
      <c r="L151" s="16">
        <f>IFERROR(__xludf.DUMMYFUNCTION("""COMPUTED_VALUE"""),0.5)</f>
        <v>0.5</v>
      </c>
      <c r="M151" s="16">
        <f>IFERROR(__xludf.DUMMYFUNCTION("""COMPUTED_VALUE"""),0.5)</f>
        <v>0.5</v>
      </c>
      <c r="N151" s="16">
        <f>IFERROR(__xludf.DUMMYFUNCTION("""COMPUTED_VALUE"""),0.5)</f>
        <v>0.5</v>
      </c>
      <c r="O151" s="16">
        <f>IFERROR(__xludf.DUMMYFUNCTION("""COMPUTED_VALUE"""),0.5)</f>
        <v>0.5</v>
      </c>
      <c r="P151" s="16">
        <f>IFERROR(__xludf.DUMMYFUNCTION("""COMPUTED_VALUE"""),0.0)</f>
        <v>0</v>
      </c>
      <c r="Q151" s="16">
        <f>IFERROR(__xludf.DUMMYFUNCTION("""COMPUTED_VALUE"""),0.0)</f>
        <v>0</v>
      </c>
      <c r="R151" s="16">
        <f>IFERROR(__xludf.DUMMYFUNCTION("""COMPUTED_VALUE"""),0.0)</f>
        <v>0</v>
      </c>
      <c r="S151" s="16">
        <f>IFERROR(__xludf.DUMMYFUNCTION("""COMPUTED_VALUE"""),0.0)</f>
        <v>0</v>
      </c>
      <c r="T151" s="16">
        <f>IFERROR(__xludf.DUMMYFUNCTION("""COMPUTED_VALUE"""),0.0)</f>
        <v>0</v>
      </c>
      <c r="U151" s="16">
        <f>IFERROR(__xludf.DUMMYFUNCTION("""COMPUTED_VALUE"""),0.0)</f>
        <v>0</v>
      </c>
      <c r="V151" s="16">
        <f>IFERROR(__xludf.DUMMYFUNCTION("""COMPUTED_VALUE"""),0.0)</f>
        <v>0</v>
      </c>
      <c r="W151" s="16">
        <f>IFERROR(__xludf.DUMMYFUNCTION("""COMPUTED_VALUE"""),0.0)</f>
        <v>0</v>
      </c>
      <c r="X151" s="16">
        <f>IFERROR(__xludf.DUMMYFUNCTION("""COMPUTED_VALUE"""),0.0)</f>
        <v>0</v>
      </c>
      <c r="Y151" s="16">
        <f>IFERROR(__xludf.DUMMYFUNCTION("""COMPUTED_VALUE"""),0.0)</f>
        <v>0</v>
      </c>
      <c r="Z151" s="16">
        <f>IFERROR(__xludf.DUMMYFUNCTION("""COMPUTED_VALUE"""),0.0)</f>
        <v>0</v>
      </c>
      <c r="AA151" s="16">
        <f>IFERROR(__xludf.DUMMYFUNCTION("""COMPUTED_VALUE"""),0.0)</f>
        <v>0</v>
      </c>
      <c r="AB151" s="16">
        <f>IFERROR(__xludf.DUMMYFUNCTION("""COMPUTED_VALUE"""),0.0)</f>
        <v>0</v>
      </c>
      <c r="AC151" s="16">
        <f>IFERROR(__xludf.DUMMYFUNCTION("""COMPUTED_VALUE"""),0.0)</f>
        <v>0</v>
      </c>
      <c r="AD151" s="16">
        <f>IFERROR(__xludf.DUMMYFUNCTION("""COMPUTED_VALUE"""),0.0)</f>
        <v>0</v>
      </c>
      <c r="AE151" s="16">
        <f>IFERROR(__xludf.DUMMYFUNCTION("""COMPUTED_VALUE"""),0.0)</f>
        <v>0</v>
      </c>
      <c r="AF151" s="16">
        <f>IFERROR(__xludf.DUMMYFUNCTION("""COMPUTED_VALUE"""),0.0)</f>
        <v>0</v>
      </c>
      <c r="AG151" s="16">
        <f>IFERROR(__xludf.DUMMYFUNCTION("""COMPUTED_VALUE"""),0.0)</f>
        <v>0</v>
      </c>
      <c r="AH151" s="16">
        <f>IFERROR(__xludf.DUMMYFUNCTION("""COMPUTED_VALUE"""),0.0)</f>
        <v>0</v>
      </c>
    </row>
    <row r="152">
      <c r="A152" s="16" t="str">
        <f>IFERROR(__xludf.DUMMYFUNCTION("""COMPUTED_VALUE"""),"820e3a2951adfcd3997c3ea5696cb62bc975f0a0")</f>
        <v>820e3a2951adfcd3997c3ea5696cb62bc975f0a0</v>
      </c>
      <c r="B152" s="16" t="str">
        <f>IFERROR(__xludf.DUMMYFUNCTION("""COMPUTED_VALUE"""),"The Return of Master ")</f>
        <v>The Return of Master </v>
      </c>
      <c r="C152" s="16" t="str">
        <f>IFERROR(__xludf.DUMMYFUNCTION("""COMPUTED_VALUE"""),"Fantasy")</f>
        <v>Fantasy</v>
      </c>
      <c r="D152" s="16">
        <f>IFERROR(__xludf.DUMMYFUNCTION("""COMPUTED_VALUE"""),4.0)</f>
        <v>4</v>
      </c>
      <c r="E152" s="16">
        <f>IFERROR(__xludf.DUMMYFUNCTION("""COMPUTED_VALUE"""),0.75)</f>
        <v>0.75</v>
      </c>
      <c r="F152" s="16">
        <f>IFERROR(__xludf.DUMMYFUNCTION("""COMPUTED_VALUE"""),0.75)</f>
        <v>0.75</v>
      </c>
      <c r="G152" s="16">
        <f>IFERROR(__xludf.DUMMYFUNCTION("""COMPUTED_VALUE"""),0.75)</f>
        <v>0.75</v>
      </c>
      <c r="H152" s="16">
        <f>IFERROR(__xludf.DUMMYFUNCTION("""COMPUTED_VALUE"""),0.75)</f>
        <v>0.75</v>
      </c>
      <c r="I152" s="16">
        <f>IFERROR(__xludf.DUMMYFUNCTION("""COMPUTED_VALUE"""),0.75)</f>
        <v>0.75</v>
      </c>
      <c r="J152" s="16">
        <f>IFERROR(__xludf.DUMMYFUNCTION("""COMPUTED_VALUE"""),0.75)</f>
        <v>0.75</v>
      </c>
      <c r="K152" s="16">
        <f>IFERROR(__xludf.DUMMYFUNCTION("""COMPUTED_VALUE"""),0.75)</f>
        <v>0.75</v>
      </c>
      <c r="L152" s="16">
        <f>IFERROR(__xludf.DUMMYFUNCTION("""COMPUTED_VALUE"""),0.5)</f>
        <v>0.5</v>
      </c>
      <c r="M152" s="16">
        <f>IFERROR(__xludf.DUMMYFUNCTION("""COMPUTED_VALUE"""),0.5)</f>
        <v>0.5</v>
      </c>
      <c r="N152" s="16">
        <f>IFERROR(__xludf.DUMMYFUNCTION("""COMPUTED_VALUE"""),0.5)</f>
        <v>0.5</v>
      </c>
      <c r="O152" s="16">
        <f>IFERROR(__xludf.DUMMYFUNCTION("""COMPUTED_VALUE"""),0.5)</f>
        <v>0.5</v>
      </c>
      <c r="P152" s="16">
        <f>IFERROR(__xludf.DUMMYFUNCTION("""COMPUTED_VALUE"""),0.0)</f>
        <v>0</v>
      </c>
      <c r="Q152" s="16">
        <f>IFERROR(__xludf.DUMMYFUNCTION("""COMPUTED_VALUE"""),0.0)</f>
        <v>0</v>
      </c>
      <c r="R152" s="16">
        <f>IFERROR(__xludf.DUMMYFUNCTION("""COMPUTED_VALUE"""),0.0)</f>
        <v>0</v>
      </c>
      <c r="S152" s="16">
        <f>IFERROR(__xludf.DUMMYFUNCTION("""COMPUTED_VALUE"""),0.0)</f>
        <v>0</v>
      </c>
      <c r="T152" s="16">
        <f>IFERROR(__xludf.DUMMYFUNCTION("""COMPUTED_VALUE"""),0.0)</f>
        <v>0</v>
      </c>
      <c r="U152" s="16">
        <f>IFERROR(__xludf.DUMMYFUNCTION("""COMPUTED_VALUE"""),0.0)</f>
        <v>0</v>
      </c>
      <c r="V152" s="16">
        <f>IFERROR(__xludf.DUMMYFUNCTION("""COMPUTED_VALUE"""),0.0)</f>
        <v>0</v>
      </c>
      <c r="W152" s="16">
        <f>IFERROR(__xludf.DUMMYFUNCTION("""COMPUTED_VALUE"""),0.0)</f>
        <v>0</v>
      </c>
      <c r="X152" s="16">
        <f>IFERROR(__xludf.DUMMYFUNCTION("""COMPUTED_VALUE"""),0.0)</f>
        <v>0</v>
      </c>
      <c r="Y152" s="16">
        <f>IFERROR(__xludf.DUMMYFUNCTION("""COMPUTED_VALUE"""),0.0)</f>
        <v>0</v>
      </c>
      <c r="Z152" s="16">
        <f>IFERROR(__xludf.DUMMYFUNCTION("""COMPUTED_VALUE"""),0.0)</f>
        <v>0</v>
      </c>
      <c r="AA152" s="16">
        <f>IFERROR(__xludf.DUMMYFUNCTION("""COMPUTED_VALUE"""),0.0)</f>
        <v>0</v>
      </c>
      <c r="AB152" s="16">
        <f>IFERROR(__xludf.DUMMYFUNCTION("""COMPUTED_VALUE"""),0.0)</f>
        <v>0</v>
      </c>
      <c r="AC152" s="16">
        <f>IFERROR(__xludf.DUMMYFUNCTION("""COMPUTED_VALUE"""),0.0)</f>
        <v>0</v>
      </c>
      <c r="AD152" s="16">
        <f>IFERROR(__xludf.DUMMYFUNCTION("""COMPUTED_VALUE"""),0.0)</f>
        <v>0</v>
      </c>
      <c r="AE152" s="16">
        <f>IFERROR(__xludf.DUMMYFUNCTION("""COMPUTED_VALUE"""),0.0)</f>
        <v>0</v>
      </c>
      <c r="AF152" s="16">
        <f>IFERROR(__xludf.DUMMYFUNCTION("""COMPUTED_VALUE"""),0.0)</f>
        <v>0</v>
      </c>
      <c r="AG152" s="16">
        <f>IFERROR(__xludf.DUMMYFUNCTION("""COMPUTED_VALUE"""),0.0)</f>
        <v>0</v>
      </c>
      <c r="AH152" s="16">
        <f>IFERROR(__xludf.DUMMYFUNCTION("""COMPUTED_VALUE"""),0.0)</f>
        <v>0</v>
      </c>
    </row>
    <row r="153">
      <c r="A153" s="16" t="str">
        <f>IFERROR(__xludf.DUMMYFUNCTION("""COMPUTED_VALUE"""),"82ff8ba01d1e1fbcea7c734b687b1a9ff858733d")</f>
        <v>82ff8ba01d1e1fbcea7c734b687b1a9ff858733d</v>
      </c>
      <c r="B153" s="16" t="str">
        <f>IFERROR(__xludf.DUMMYFUNCTION("""COMPUTED_VALUE"""),"Twin Realms Traveler")</f>
        <v>Twin Realms Traveler</v>
      </c>
      <c r="C153" s="16" t="str">
        <f>IFERROR(__xludf.DUMMYFUNCTION("""COMPUTED_VALUE"""),"System and Superpower")</f>
        <v>System and Superpower</v>
      </c>
      <c r="D153" s="16">
        <f>IFERROR(__xludf.DUMMYFUNCTION("""COMPUTED_VALUE"""),7.0)</f>
        <v>7</v>
      </c>
      <c r="E153" s="16">
        <f>IFERROR(__xludf.DUMMYFUNCTION("""COMPUTED_VALUE"""),1.0)</f>
        <v>1</v>
      </c>
      <c r="F153" s="16">
        <f>IFERROR(__xludf.DUMMYFUNCTION("""COMPUTED_VALUE"""),0.285714285714285)</f>
        <v>0.2857142857</v>
      </c>
      <c r="G153" s="16">
        <f>IFERROR(__xludf.DUMMYFUNCTION("""COMPUTED_VALUE"""),0.0)</f>
        <v>0</v>
      </c>
      <c r="H153" s="16">
        <f>IFERROR(__xludf.DUMMYFUNCTION("""COMPUTED_VALUE"""),0.0)</f>
        <v>0</v>
      </c>
      <c r="I153" s="16">
        <f>IFERROR(__xludf.DUMMYFUNCTION("""COMPUTED_VALUE"""),0.0)</f>
        <v>0</v>
      </c>
      <c r="J153" s="16">
        <f>IFERROR(__xludf.DUMMYFUNCTION("""COMPUTED_VALUE"""),0.0)</f>
        <v>0</v>
      </c>
      <c r="K153" s="16">
        <f>IFERROR(__xludf.DUMMYFUNCTION("""COMPUTED_VALUE"""),0.0)</f>
        <v>0</v>
      </c>
      <c r="L153" s="16">
        <f>IFERROR(__xludf.DUMMYFUNCTION("""COMPUTED_VALUE"""),0.0)</f>
        <v>0</v>
      </c>
      <c r="M153" s="16">
        <f>IFERROR(__xludf.DUMMYFUNCTION("""COMPUTED_VALUE"""),0.0)</f>
        <v>0</v>
      </c>
      <c r="N153" s="16">
        <f>IFERROR(__xludf.DUMMYFUNCTION("""COMPUTED_VALUE"""),0.0)</f>
        <v>0</v>
      </c>
      <c r="O153" s="16">
        <f>IFERROR(__xludf.DUMMYFUNCTION("""COMPUTED_VALUE"""),0.0)</f>
        <v>0</v>
      </c>
      <c r="P153" s="16">
        <f>IFERROR(__xludf.DUMMYFUNCTION("""COMPUTED_VALUE"""),0.0)</f>
        <v>0</v>
      </c>
      <c r="Q153" s="16">
        <f>IFERROR(__xludf.DUMMYFUNCTION("""COMPUTED_VALUE"""),0.0)</f>
        <v>0</v>
      </c>
      <c r="R153" s="16">
        <f>IFERROR(__xludf.DUMMYFUNCTION("""COMPUTED_VALUE"""),0.0)</f>
        <v>0</v>
      </c>
      <c r="S153" s="16">
        <f>IFERROR(__xludf.DUMMYFUNCTION("""COMPUTED_VALUE"""),0.0)</f>
        <v>0</v>
      </c>
      <c r="T153" s="16">
        <f>IFERROR(__xludf.DUMMYFUNCTION("""COMPUTED_VALUE"""),0.0)</f>
        <v>0</v>
      </c>
      <c r="U153" s="16">
        <f>IFERROR(__xludf.DUMMYFUNCTION("""COMPUTED_VALUE"""),0.0)</f>
        <v>0</v>
      </c>
      <c r="V153" s="16">
        <f>IFERROR(__xludf.DUMMYFUNCTION("""COMPUTED_VALUE"""),0.0)</f>
        <v>0</v>
      </c>
      <c r="W153" s="16">
        <f>IFERROR(__xludf.DUMMYFUNCTION("""COMPUTED_VALUE"""),0.0)</f>
        <v>0</v>
      </c>
      <c r="X153" s="16">
        <f>IFERROR(__xludf.DUMMYFUNCTION("""COMPUTED_VALUE"""),0.0)</f>
        <v>0</v>
      </c>
      <c r="Y153" s="16">
        <f>IFERROR(__xludf.DUMMYFUNCTION("""COMPUTED_VALUE"""),0.0)</f>
        <v>0</v>
      </c>
      <c r="Z153" s="16">
        <f>IFERROR(__xludf.DUMMYFUNCTION("""COMPUTED_VALUE"""),0.0)</f>
        <v>0</v>
      </c>
      <c r="AA153" s="16">
        <f>IFERROR(__xludf.DUMMYFUNCTION("""COMPUTED_VALUE"""),0.0)</f>
        <v>0</v>
      </c>
      <c r="AB153" s="16">
        <f>IFERROR(__xludf.DUMMYFUNCTION("""COMPUTED_VALUE"""),0.0)</f>
        <v>0</v>
      </c>
      <c r="AC153" s="16">
        <f>IFERROR(__xludf.DUMMYFUNCTION("""COMPUTED_VALUE"""),0.0)</f>
        <v>0</v>
      </c>
      <c r="AD153" s="16">
        <f>IFERROR(__xludf.DUMMYFUNCTION("""COMPUTED_VALUE"""),0.0)</f>
        <v>0</v>
      </c>
      <c r="AE153" s="16">
        <f>IFERROR(__xludf.DUMMYFUNCTION("""COMPUTED_VALUE"""),0.0)</f>
        <v>0</v>
      </c>
      <c r="AF153" s="16">
        <f>IFERROR(__xludf.DUMMYFUNCTION("""COMPUTED_VALUE"""),0.0)</f>
        <v>0</v>
      </c>
      <c r="AG153" s="16">
        <f>IFERROR(__xludf.DUMMYFUNCTION("""COMPUTED_VALUE"""),0.0)</f>
        <v>0</v>
      </c>
      <c r="AH153" s="16">
        <f>IFERROR(__xludf.DUMMYFUNCTION("""COMPUTED_VALUE"""),0.0)</f>
        <v>0</v>
      </c>
    </row>
    <row r="154">
      <c r="A154" s="16" t="str">
        <f>IFERROR(__xludf.DUMMYFUNCTION("""COMPUTED_VALUE"""),"84289ce4a2b527c3aa47651760eaff877da6adad")</f>
        <v>84289ce4a2b527c3aa47651760eaff877da6adad</v>
      </c>
      <c r="B154" s="16" t="str">
        <f>IFERROR(__xludf.DUMMYFUNCTION("""COMPUTED_VALUE"""),"Contracted by Love")</f>
        <v>Contracted by Love</v>
      </c>
      <c r="C154" s="16" t="str">
        <f>IFERROR(__xludf.DUMMYFUNCTION("""COMPUTED_VALUE"""),"Romance")</f>
        <v>Romance</v>
      </c>
      <c r="D154" s="16">
        <f>IFERROR(__xludf.DUMMYFUNCTION("""COMPUTED_VALUE"""),574.0)</f>
        <v>574</v>
      </c>
      <c r="E154" s="16">
        <f>IFERROR(__xludf.DUMMYFUNCTION("""COMPUTED_VALUE"""),0.986062717770034)</f>
        <v>0.9860627178</v>
      </c>
      <c r="F154" s="16">
        <f>IFERROR(__xludf.DUMMYFUNCTION("""COMPUTED_VALUE"""),0.541811846689895)</f>
        <v>0.5418118467</v>
      </c>
      <c r="G154" s="16">
        <f>IFERROR(__xludf.DUMMYFUNCTION("""COMPUTED_VALUE"""),0.498257839721254)</f>
        <v>0.4982578397</v>
      </c>
      <c r="H154" s="16">
        <f>IFERROR(__xludf.DUMMYFUNCTION("""COMPUTED_VALUE"""),0.465156794425087)</f>
        <v>0.4651567944</v>
      </c>
      <c r="I154" s="16">
        <f>IFERROR(__xludf.DUMMYFUNCTION("""COMPUTED_VALUE"""),0.425087108013937)</f>
        <v>0.425087108</v>
      </c>
      <c r="J154" s="16">
        <f>IFERROR(__xludf.DUMMYFUNCTION("""COMPUTED_VALUE"""),0.395470383275261)</f>
        <v>0.3954703833</v>
      </c>
      <c r="K154" s="16">
        <f>IFERROR(__xludf.DUMMYFUNCTION("""COMPUTED_VALUE"""),0.372822299651567)</f>
        <v>0.3728222997</v>
      </c>
      <c r="L154" s="16">
        <f>IFERROR(__xludf.DUMMYFUNCTION("""COMPUTED_VALUE"""),0.353146853146853)</f>
        <v>0.3531468531</v>
      </c>
      <c r="M154" s="16">
        <f>IFERROR(__xludf.DUMMYFUNCTION("""COMPUTED_VALUE"""),0.321678321678321)</f>
        <v>0.3216783217</v>
      </c>
      <c r="N154" s="16">
        <f>IFERROR(__xludf.DUMMYFUNCTION("""COMPUTED_VALUE"""),0.318181818181818)</f>
        <v>0.3181818182</v>
      </c>
      <c r="O154" s="16">
        <f>IFERROR(__xludf.DUMMYFUNCTION("""COMPUTED_VALUE"""),0.265377855887521)</f>
        <v>0.2653778559</v>
      </c>
      <c r="P154" s="16">
        <f>IFERROR(__xludf.DUMMYFUNCTION("""COMPUTED_VALUE"""),0.185074626865671)</f>
        <v>0.1850746269</v>
      </c>
      <c r="Q154" s="16">
        <f>IFERROR(__xludf.DUMMYFUNCTION("""COMPUTED_VALUE"""),0.0)</f>
        <v>0</v>
      </c>
      <c r="R154" s="16">
        <f>IFERROR(__xludf.DUMMYFUNCTION("""COMPUTED_VALUE"""),0.0)</f>
        <v>0</v>
      </c>
      <c r="S154" s="16">
        <f>IFERROR(__xludf.DUMMYFUNCTION("""COMPUTED_VALUE"""),0.0)</f>
        <v>0</v>
      </c>
      <c r="T154" s="16">
        <f>IFERROR(__xludf.DUMMYFUNCTION("""COMPUTED_VALUE"""),0.0)</f>
        <v>0</v>
      </c>
      <c r="U154" s="16">
        <f>IFERROR(__xludf.DUMMYFUNCTION("""COMPUTED_VALUE"""),0.0)</f>
        <v>0</v>
      </c>
      <c r="V154" s="16">
        <f>IFERROR(__xludf.DUMMYFUNCTION("""COMPUTED_VALUE"""),0.0)</f>
        <v>0</v>
      </c>
      <c r="W154" s="16">
        <f>IFERROR(__xludf.DUMMYFUNCTION("""COMPUTED_VALUE"""),0.0)</f>
        <v>0</v>
      </c>
      <c r="X154" s="16">
        <f>IFERROR(__xludf.DUMMYFUNCTION("""COMPUTED_VALUE"""),0.0)</f>
        <v>0</v>
      </c>
      <c r="Y154" s="16">
        <f>IFERROR(__xludf.DUMMYFUNCTION("""COMPUTED_VALUE"""),0.0)</f>
        <v>0</v>
      </c>
      <c r="Z154" s="16">
        <f>IFERROR(__xludf.DUMMYFUNCTION("""COMPUTED_VALUE"""),0.0)</f>
        <v>0</v>
      </c>
      <c r="AA154" s="16">
        <f>IFERROR(__xludf.DUMMYFUNCTION("""COMPUTED_VALUE"""),0.0)</f>
        <v>0</v>
      </c>
      <c r="AB154" s="16">
        <f>IFERROR(__xludf.DUMMYFUNCTION("""COMPUTED_VALUE"""),0.0)</f>
        <v>0</v>
      </c>
      <c r="AC154" s="16">
        <f>IFERROR(__xludf.DUMMYFUNCTION("""COMPUTED_VALUE"""),0.0)</f>
        <v>0</v>
      </c>
      <c r="AD154" s="16">
        <f>IFERROR(__xludf.DUMMYFUNCTION("""COMPUTED_VALUE"""),0.0)</f>
        <v>0</v>
      </c>
      <c r="AE154" s="16">
        <f>IFERROR(__xludf.DUMMYFUNCTION("""COMPUTED_VALUE"""),0.0)</f>
        <v>0</v>
      </c>
      <c r="AF154" s="16">
        <f>IFERROR(__xludf.DUMMYFUNCTION("""COMPUTED_VALUE"""),0.0)</f>
        <v>0</v>
      </c>
      <c r="AG154" s="16">
        <f>IFERROR(__xludf.DUMMYFUNCTION("""COMPUTED_VALUE"""),0.0)</f>
        <v>0</v>
      </c>
      <c r="AH154" s="16">
        <f>IFERROR(__xludf.DUMMYFUNCTION("""COMPUTED_VALUE"""),0.0)</f>
        <v>0</v>
      </c>
    </row>
    <row r="155">
      <c r="A155" s="16" t="str">
        <f>IFERROR(__xludf.DUMMYFUNCTION("""COMPUTED_VALUE"""),"87b65acb9b6fcd4bc45f30d46f017fa847a0ce3c")</f>
        <v>87b65acb9b6fcd4bc45f30d46f017fa847a0ce3c</v>
      </c>
      <c r="B155" s="16" t="str">
        <f>IFERROR(__xludf.DUMMYFUNCTION("""COMPUTED_VALUE"""),"The Wife's Sweet Revenge")</f>
        <v>The Wife's Sweet Revenge</v>
      </c>
      <c r="C155" s="16" t="str">
        <f>IFERROR(__xludf.DUMMYFUNCTION("""COMPUTED_VALUE"""),"Romance")</f>
        <v>Romance</v>
      </c>
      <c r="D155" s="16">
        <f>IFERROR(__xludf.DUMMYFUNCTION("""COMPUTED_VALUE"""),175.0)</f>
        <v>175</v>
      </c>
      <c r="E155" s="16">
        <f>IFERROR(__xludf.DUMMYFUNCTION("""COMPUTED_VALUE"""),0.948571428571428)</f>
        <v>0.9485714286</v>
      </c>
      <c r="F155" s="16">
        <f>IFERROR(__xludf.DUMMYFUNCTION("""COMPUTED_VALUE"""),0.714285714285714)</f>
        <v>0.7142857143</v>
      </c>
      <c r="G155" s="16">
        <f>IFERROR(__xludf.DUMMYFUNCTION("""COMPUTED_VALUE"""),0.662857142857142)</f>
        <v>0.6628571429</v>
      </c>
      <c r="H155" s="16">
        <f>IFERROR(__xludf.DUMMYFUNCTION("""COMPUTED_VALUE"""),0.554285714285714)</f>
        <v>0.5542857143</v>
      </c>
      <c r="I155" s="16">
        <f>IFERROR(__xludf.DUMMYFUNCTION("""COMPUTED_VALUE"""),0.52)</f>
        <v>0.52</v>
      </c>
      <c r="J155" s="16">
        <f>IFERROR(__xludf.DUMMYFUNCTION("""COMPUTED_VALUE"""),0.524390243902439)</f>
        <v>0.5243902439</v>
      </c>
      <c r="K155" s="16">
        <f>IFERROR(__xludf.DUMMYFUNCTION("""COMPUTED_VALUE"""),0.441176470588235)</f>
        <v>0.4411764706</v>
      </c>
      <c r="L155" s="16">
        <f>IFERROR(__xludf.DUMMYFUNCTION("""COMPUTED_VALUE"""),0.5)</f>
        <v>0.5</v>
      </c>
      <c r="M155" s="16">
        <f>IFERROR(__xludf.DUMMYFUNCTION("""COMPUTED_VALUE"""),0.333333333333333)</f>
        <v>0.3333333333</v>
      </c>
      <c r="N155" s="16">
        <f>IFERROR(__xludf.DUMMYFUNCTION("""COMPUTED_VALUE"""),0.333333333333333)</f>
        <v>0.3333333333</v>
      </c>
      <c r="O155" s="16">
        <f>IFERROR(__xludf.DUMMYFUNCTION("""COMPUTED_VALUE"""),0.75)</f>
        <v>0.75</v>
      </c>
      <c r="P155" s="16">
        <f>IFERROR(__xludf.DUMMYFUNCTION("""COMPUTED_VALUE"""),0.0)</f>
        <v>0</v>
      </c>
      <c r="Q155" s="16">
        <f>IFERROR(__xludf.DUMMYFUNCTION("""COMPUTED_VALUE"""),0.0)</f>
        <v>0</v>
      </c>
      <c r="R155" s="16">
        <f>IFERROR(__xludf.DUMMYFUNCTION("""COMPUTED_VALUE"""),0.0)</f>
        <v>0</v>
      </c>
      <c r="S155" s="16">
        <f>IFERROR(__xludf.DUMMYFUNCTION("""COMPUTED_VALUE"""),0.0)</f>
        <v>0</v>
      </c>
      <c r="T155" s="16">
        <f>IFERROR(__xludf.DUMMYFUNCTION("""COMPUTED_VALUE"""),0.0)</f>
        <v>0</v>
      </c>
      <c r="U155" s="16">
        <f>IFERROR(__xludf.DUMMYFUNCTION("""COMPUTED_VALUE"""),0.0)</f>
        <v>0</v>
      </c>
      <c r="V155" s="16">
        <f>IFERROR(__xludf.DUMMYFUNCTION("""COMPUTED_VALUE"""),0.0)</f>
        <v>0</v>
      </c>
      <c r="W155" s="16">
        <f>IFERROR(__xludf.DUMMYFUNCTION("""COMPUTED_VALUE"""),0.0)</f>
        <v>0</v>
      </c>
      <c r="X155" s="16">
        <f>IFERROR(__xludf.DUMMYFUNCTION("""COMPUTED_VALUE"""),0.0)</f>
        <v>0</v>
      </c>
      <c r="Y155" s="16">
        <f>IFERROR(__xludf.DUMMYFUNCTION("""COMPUTED_VALUE"""),0.0)</f>
        <v>0</v>
      </c>
      <c r="Z155" s="16">
        <f>IFERROR(__xludf.DUMMYFUNCTION("""COMPUTED_VALUE"""),0.0)</f>
        <v>0</v>
      </c>
      <c r="AA155" s="16">
        <f>IFERROR(__xludf.DUMMYFUNCTION("""COMPUTED_VALUE"""),0.0)</f>
        <v>0</v>
      </c>
      <c r="AB155" s="16">
        <f>IFERROR(__xludf.DUMMYFUNCTION("""COMPUTED_VALUE"""),0.0)</f>
        <v>0</v>
      </c>
      <c r="AC155" s="16">
        <f>IFERROR(__xludf.DUMMYFUNCTION("""COMPUTED_VALUE"""),0.0)</f>
        <v>0</v>
      </c>
      <c r="AD155" s="16">
        <f>IFERROR(__xludf.DUMMYFUNCTION("""COMPUTED_VALUE"""),0.0)</f>
        <v>0</v>
      </c>
      <c r="AE155" s="16">
        <f>IFERROR(__xludf.DUMMYFUNCTION("""COMPUTED_VALUE"""),0.0)</f>
        <v>0</v>
      </c>
      <c r="AF155" s="16">
        <f>IFERROR(__xludf.DUMMYFUNCTION("""COMPUTED_VALUE"""),0.0)</f>
        <v>0</v>
      </c>
      <c r="AG155" s="16">
        <f>IFERROR(__xludf.DUMMYFUNCTION("""COMPUTED_VALUE"""),0.0)</f>
        <v>0</v>
      </c>
      <c r="AH155" s="16">
        <f>IFERROR(__xludf.DUMMYFUNCTION("""COMPUTED_VALUE"""),0.0)</f>
        <v>0</v>
      </c>
    </row>
    <row r="156">
      <c r="A156" s="16" t="str">
        <f>IFERROR(__xludf.DUMMYFUNCTION("""COMPUTED_VALUE"""),"8824fc43e4267c5a0e2b7acff644eae4b8b2222d")</f>
        <v>8824fc43e4267c5a0e2b7acff644eae4b8b2222d</v>
      </c>
      <c r="B156" s="16" t="str">
        <f>IFERROR(__xludf.DUMMYFUNCTION("""COMPUTED_VALUE"""),"Was It Only Lust?")</f>
        <v>Was It Only Lust?</v>
      </c>
      <c r="C156" s="16" t="str">
        <f>IFERROR(__xludf.DUMMYFUNCTION("""COMPUTED_VALUE"""),"Romance")</f>
        <v>Romance</v>
      </c>
      <c r="D156" s="16">
        <f>IFERROR(__xludf.DUMMYFUNCTION("""COMPUTED_VALUE"""),538.0)</f>
        <v>538</v>
      </c>
      <c r="E156" s="16">
        <f>IFERROR(__xludf.DUMMYFUNCTION("""COMPUTED_VALUE"""),0.972118959107806)</f>
        <v>0.9721189591</v>
      </c>
      <c r="F156" s="16">
        <f>IFERROR(__xludf.DUMMYFUNCTION("""COMPUTED_VALUE"""),0.566914498141263)</f>
        <v>0.5669144981</v>
      </c>
      <c r="G156" s="16">
        <f>IFERROR(__xludf.DUMMYFUNCTION("""COMPUTED_VALUE"""),0.494423791821561)</f>
        <v>0.4944237918</v>
      </c>
      <c r="H156" s="16">
        <f>IFERROR(__xludf.DUMMYFUNCTION("""COMPUTED_VALUE"""),0.468401486988847)</f>
        <v>0.468401487</v>
      </c>
      <c r="I156" s="16">
        <f>IFERROR(__xludf.DUMMYFUNCTION("""COMPUTED_VALUE"""),0.438661710037174)</f>
        <v>0.43866171</v>
      </c>
      <c r="J156" s="16">
        <f>IFERROR(__xludf.DUMMYFUNCTION("""COMPUTED_VALUE"""),0.438661710037174)</f>
        <v>0.43866171</v>
      </c>
      <c r="K156" s="16">
        <f>IFERROR(__xludf.DUMMYFUNCTION("""COMPUTED_VALUE"""),0.41263940520446)</f>
        <v>0.4126394052</v>
      </c>
      <c r="L156" s="16">
        <f>IFERROR(__xludf.DUMMYFUNCTION("""COMPUTED_VALUE"""),0.361266294227188)</f>
        <v>0.3612662942</v>
      </c>
      <c r="M156" s="16">
        <f>IFERROR(__xludf.DUMMYFUNCTION("""COMPUTED_VALUE"""),0.338317757009345)</f>
        <v>0.338317757</v>
      </c>
      <c r="N156" s="16">
        <f>IFERROR(__xludf.DUMMYFUNCTION("""COMPUTED_VALUE"""),0.310280373831775)</f>
        <v>0.3102803738</v>
      </c>
      <c r="O156" s="16">
        <f>IFERROR(__xludf.DUMMYFUNCTION("""COMPUTED_VALUE"""),0.203389830508474)</f>
        <v>0.2033898305</v>
      </c>
      <c r="P156" s="16">
        <f>IFERROR(__xludf.DUMMYFUNCTION("""COMPUTED_VALUE"""),0.108986615678776)</f>
        <v>0.1089866157</v>
      </c>
      <c r="Q156" s="16">
        <f>IFERROR(__xludf.DUMMYFUNCTION("""COMPUTED_VALUE"""),0.0577319587628866)</f>
        <v>0.05773195876</v>
      </c>
      <c r="R156" s="16">
        <f>IFERROR(__xludf.DUMMYFUNCTION("""COMPUTED_VALUE"""),0.0)</f>
        <v>0</v>
      </c>
      <c r="S156" s="16">
        <f>IFERROR(__xludf.DUMMYFUNCTION("""COMPUTED_VALUE"""),0.0)</f>
        <v>0</v>
      </c>
      <c r="T156" s="16">
        <f>IFERROR(__xludf.DUMMYFUNCTION("""COMPUTED_VALUE"""),0.0)</f>
        <v>0</v>
      </c>
      <c r="U156" s="16">
        <f>IFERROR(__xludf.DUMMYFUNCTION("""COMPUTED_VALUE"""),0.0)</f>
        <v>0</v>
      </c>
      <c r="V156" s="16">
        <f>IFERROR(__xludf.DUMMYFUNCTION("""COMPUTED_VALUE"""),0.0)</f>
        <v>0</v>
      </c>
      <c r="W156" s="16">
        <f>IFERROR(__xludf.DUMMYFUNCTION("""COMPUTED_VALUE"""),0.0)</f>
        <v>0</v>
      </c>
      <c r="X156" s="16">
        <f>IFERROR(__xludf.DUMMYFUNCTION("""COMPUTED_VALUE"""),0.0)</f>
        <v>0</v>
      </c>
      <c r="Y156" s="16">
        <f>IFERROR(__xludf.DUMMYFUNCTION("""COMPUTED_VALUE"""),0.0)</f>
        <v>0</v>
      </c>
      <c r="Z156" s="16">
        <f>IFERROR(__xludf.DUMMYFUNCTION("""COMPUTED_VALUE"""),0.0)</f>
        <v>0</v>
      </c>
      <c r="AA156" s="16">
        <f>IFERROR(__xludf.DUMMYFUNCTION("""COMPUTED_VALUE"""),0.0)</f>
        <v>0</v>
      </c>
      <c r="AB156" s="16">
        <f>IFERROR(__xludf.DUMMYFUNCTION("""COMPUTED_VALUE"""),0.0)</f>
        <v>0</v>
      </c>
      <c r="AC156" s="16">
        <f>IFERROR(__xludf.DUMMYFUNCTION("""COMPUTED_VALUE"""),0.0)</f>
        <v>0</v>
      </c>
      <c r="AD156" s="16">
        <f>IFERROR(__xludf.DUMMYFUNCTION("""COMPUTED_VALUE"""),0.0)</f>
        <v>0</v>
      </c>
      <c r="AE156" s="16">
        <f>IFERROR(__xludf.DUMMYFUNCTION("""COMPUTED_VALUE"""),0.0)</f>
        <v>0</v>
      </c>
      <c r="AF156" s="16">
        <f>IFERROR(__xludf.DUMMYFUNCTION("""COMPUTED_VALUE"""),0.0)</f>
        <v>0</v>
      </c>
      <c r="AG156" s="16">
        <f>IFERROR(__xludf.DUMMYFUNCTION("""COMPUTED_VALUE"""),0.0)</f>
        <v>0</v>
      </c>
      <c r="AH156" s="16">
        <f>IFERROR(__xludf.DUMMYFUNCTION("""COMPUTED_VALUE"""),0.0)</f>
        <v>0</v>
      </c>
    </row>
    <row r="157">
      <c r="A157" s="16" t="str">
        <f>IFERROR(__xludf.DUMMYFUNCTION("""COMPUTED_VALUE"""),"8aab13cef66595bf85428c05007cefe16b733ba5")</f>
        <v>8aab13cef66595bf85428c05007cefe16b733ba5</v>
      </c>
      <c r="B157" s="16" t="str">
        <f>IFERROR(__xludf.DUMMYFUNCTION("""COMPUTED_VALUE"""),"Reborn Heartbeat")</f>
        <v>Reborn Heartbeat</v>
      </c>
      <c r="C157" s="16" t="str">
        <f>IFERROR(__xludf.DUMMYFUNCTION("""COMPUTED_VALUE"""),"Romance")</f>
        <v>Romance</v>
      </c>
      <c r="D157" s="16">
        <f>IFERROR(__xludf.DUMMYFUNCTION("""COMPUTED_VALUE"""),930.0)</f>
        <v>930</v>
      </c>
      <c r="E157" s="16">
        <f>IFERROR(__xludf.DUMMYFUNCTION("""COMPUTED_VALUE"""),0.943010752688172)</f>
        <v>0.9430107527</v>
      </c>
      <c r="F157" s="16">
        <f>IFERROR(__xludf.DUMMYFUNCTION("""COMPUTED_VALUE"""),0.63010752688172)</f>
        <v>0.6301075269</v>
      </c>
      <c r="G157" s="16">
        <f>IFERROR(__xludf.DUMMYFUNCTION("""COMPUTED_VALUE"""),0.578494623655914)</f>
        <v>0.5784946237</v>
      </c>
      <c r="H157" s="16">
        <f>IFERROR(__xludf.DUMMYFUNCTION("""COMPUTED_VALUE"""),0.550537634408602)</f>
        <v>0.5505376344</v>
      </c>
      <c r="I157" s="16">
        <f>IFERROR(__xludf.DUMMYFUNCTION("""COMPUTED_VALUE"""),0.540860215053763)</f>
        <v>0.5408602151</v>
      </c>
      <c r="J157" s="16">
        <f>IFERROR(__xludf.DUMMYFUNCTION("""COMPUTED_VALUE"""),0.510248112189859)</f>
        <v>0.5102481122</v>
      </c>
      <c r="K157" s="16">
        <f>IFERROR(__xludf.DUMMYFUNCTION("""COMPUTED_VALUE"""),0.5)</f>
        <v>0.5</v>
      </c>
      <c r="L157" s="16">
        <f>IFERROR(__xludf.DUMMYFUNCTION("""COMPUTED_VALUE"""),0.492407809110629)</f>
        <v>0.4924078091</v>
      </c>
      <c r="M157" s="16">
        <f>IFERROR(__xludf.DUMMYFUNCTION("""COMPUTED_VALUE"""),0.478260869565217)</f>
        <v>0.4782608696</v>
      </c>
      <c r="N157" s="16">
        <f>IFERROR(__xludf.DUMMYFUNCTION("""COMPUTED_VALUE"""),0.47986942328618)</f>
        <v>0.4798694233</v>
      </c>
      <c r="O157" s="16">
        <f>IFERROR(__xludf.DUMMYFUNCTION("""COMPUTED_VALUE"""),0.472868217054263)</f>
        <v>0.4728682171</v>
      </c>
      <c r="P157" s="16">
        <f>IFERROR(__xludf.DUMMYFUNCTION("""COMPUTED_VALUE"""),0.341714285714285)</f>
        <v>0.3417142857</v>
      </c>
      <c r="Q157" s="16">
        <f>IFERROR(__xludf.DUMMYFUNCTION("""COMPUTED_VALUE"""),0.26406429391504)</f>
        <v>0.2640642939</v>
      </c>
      <c r="R157" s="16">
        <f>IFERROR(__xludf.DUMMYFUNCTION("""COMPUTED_VALUE"""),0.0)</f>
        <v>0</v>
      </c>
      <c r="S157" s="16">
        <f>IFERROR(__xludf.DUMMYFUNCTION("""COMPUTED_VALUE"""),0.0)</f>
        <v>0</v>
      </c>
      <c r="T157" s="16">
        <f>IFERROR(__xludf.DUMMYFUNCTION("""COMPUTED_VALUE"""),0.0)</f>
        <v>0</v>
      </c>
      <c r="U157" s="16">
        <f>IFERROR(__xludf.DUMMYFUNCTION("""COMPUTED_VALUE"""),0.0)</f>
        <v>0</v>
      </c>
      <c r="V157" s="16">
        <f>IFERROR(__xludf.DUMMYFUNCTION("""COMPUTED_VALUE"""),0.0)</f>
        <v>0</v>
      </c>
      <c r="W157" s="16">
        <f>IFERROR(__xludf.DUMMYFUNCTION("""COMPUTED_VALUE"""),0.0)</f>
        <v>0</v>
      </c>
      <c r="X157" s="16">
        <f>IFERROR(__xludf.DUMMYFUNCTION("""COMPUTED_VALUE"""),0.0)</f>
        <v>0</v>
      </c>
      <c r="Y157" s="16">
        <f>IFERROR(__xludf.DUMMYFUNCTION("""COMPUTED_VALUE"""),0.0)</f>
        <v>0</v>
      </c>
      <c r="Z157" s="16">
        <f>IFERROR(__xludf.DUMMYFUNCTION("""COMPUTED_VALUE"""),0.0)</f>
        <v>0</v>
      </c>
      <c r="AA157" s="16">
        <f>IFERROR(__xludf.DUMMYFUNCTION("""COMPUTED_VALUE"""),0.0)</f>
        <v>0</v>
      </c>
      <c r="AB157" s="16">
        <f>IFERROR(__xludf.DUMMYFUNCTION("""COMPUTED_VALUE"""),0.0)</f>
        <v>0</v>
      </c>
      <c r="AC157" s="16">
        <f>IFERROR(__xludf.DUMMYFUNCTION("""COMPUTED_VALUE"""),0.0)</f>
        <v>0</v>
      </c>
      <c r="AD157" s="16">
        <f>IFERROR(__xludf.DUMMYFUNCTION("""COMPUTED_VALUE"""),0.0)</f>
        <v>0</v>
      </c>
      <c r="AE157" s="16">
        <f>IFERROR(__xludf.DUMMYFUNCTION("""COMPUTED_VALUE"""),0.0)</f>
        <v>0</v>
      </c>
      <c r="AF157" s="16">
        <f>IFERROR(__xludf.DUMMYFUNCTION("""COMPUTED_VALUE"""),0.0)</f>
        <v>0</v>
      </c>
      <c r="AG157" s="16">
        <f>IFERROR(__xludf.DUMMYFUNCTION("""COMPUTED_VALUE"""),0.0)</f>
        <v>0</v>
      </c>
      <c r="AH157" s="16">
        <f>IFERROR(__xludf.DUMMYFUNCTION("""COMPUTED_VALUE"""),0.0)</f>
        <v>0</v>
      </c>
    </row>
    <row r="158">
      <c r="A158" s="16" t="str">
        <f>IFERROR(__xludf.DUMMYFUNCTION("""COMPUTED_VALUE"""),"8b0fd7aa03d26e2de1586a0fe7c91505431575cc")</f>
        <v>8b0fd7aa03d26e2de1586a0fe7c91505431575cc</v>
      </c>
      <c r="B158" s="16" t="str">
        <f>IFERROR(__xludf.DUMMYFUNCTION("""COMPUTED_VALUE"""),"The Midnight Luna")</f>
        <v>The Midnight Luna</v>
      </c>
      <c r="C158" s="16" t="str">
        <f>IFERROR(__xludf.DUMMYFUNCTION("""COMPUTED_VALUE"""),"Romantasy")</f>
        <v>Romantasy</v>
      </c>
      <c r="D158" s="16">
        <f>IFERROR(__xludf.DUMMYFUNCTION("""COMPUTED_VALUE"""),893.0)</f>
        <v>893</v>
      </c>
      <c r="E158" s="16">
        <f>IFERROR(__xludf.DUMMYFUNCTION("""COMPUTED_VALUE"""),0.974244120940649)</f>
        <v>0.9742441209</v>
      </c>
      <c r="F158" s="16">
        <f>IFERROR(__xludf.DUMMYFUNCTION("""COMPUTED_VALUE"""),0.64053751399776)</f>
        <v>0.640537514</v>
      </c>
      <c r="G158" s="16">
        <f>IFERROR(__xludf.DUMMYFUNCTION("""COMPUTED_VALUE"""),0.577827547592385)</f>
        <v>0.5778275476</v>
      </c>
      <c r="H158" s="16">
        <f>IFERROR(__xludf.DUMMYFUNCTION("""COMPUTED_VALUE"""),0.535274356103023)</f>
        <v>0.5352743561</v>
      </c>
      <c r="I158" s="16">
        <f>IFERROR(__xludf.DUMMYFUNCTION("""COMPUTED_VALUE"""),0.51511758118701)</f>
        <v>0.5151175812</v>
      </c>
      <c r="J158" s="16">
        <f>IFERROR(__xludf.DUMMYFUNCTION("""COMPUTED_VALUE"""),0.499440089585666)</f>
        <v>0.4994400896</v>
      </c>
      <c r="K158" s="16">
        <f>IFERROR(__xludf.DUMMYFUNCTION("""COMPUTED_VALUE"""),0.488188976377952)</f>
        <v>0.4881889764</v>
      </c>
      <c r="L158" s="16">
        <f>IFERROR(__xludf.DUMMYFUNCTION("""COMPUTED_VALUE"""),0.464530892448512)</f>
        <v>0.4645308924</v>
      </c>
      <c r="M158" s="16">
        <f>IFERROR(__xludf.DUMMYFUNCTION("""COMPUTED_VALUE"""),0.450574712643678)</f>
        <v>0.4505747126</v>
      </c>
      <c r="N158" s="16">
        <f>IFERROR(__xludf.DUMMYFUNCTION("""COMPUTED_VALUE"""),0.442774566473988)</f>
        <v>0.4427745665</v>
      </c>
      <c r="O158" s="16">
        <f>IFERROR(__xludf.DUMMYFUNCTION("""COMPUTED_VALUE"""),0.408284023668639)</f>
        <v>0.4082840237</v>
      </c>
      <c r="P158" s="16">
        <f>IFERROR(__xludf.DUMMYFUNCTION("""COMPUTED_VALUE"""),0.294117647058823)</f>
        <v>0.2941176471</v>
      </c>
      <c r="Q158" s="16">
        <f>IFERROR(__xludf.DUMMYFUNCTION("""COMPUTED_VALUE"""),0.0)</f>
        <v>0</v>
      </c>
      <c r="R158" s="16">
        <f>IFERROR(__xludf.DUMMYFUNCTION("""COMPUTED_VALUE"""),0.0)</f>
        <v>0</v>
      </c>
      <c r="S158" s="16">
        <f>IFERROR(__xludf.DUMMYFUNCTION("""COMPUTED_VALUE"""),0.0)</f>
        <v>0</v>
      </c>
      <c r="T158" s="16">
        <f>IFERROR(__xludf.DUMMYFUNCTION("""COMPUTED_VALUE"""),0.0)</f>
        <v>0</v>
      </c>
      <c r="U158" s="16">
        <f>IFERROR(__xludf.DUMMYFUNCTION("""COMPUTED_VALUE"""),0.0)</f>
        <v>0</v>
      </c>
      <c r="V158" s="16">
        <f>IFERROR(__xludf.DUMMYFUNCTION("""COMPUTED_VALUE"""),0.0)</f>
        <v>0</v>
      </c>
      <c r="W158" s="16">
        <f>IFERROR(__xludf.DUMMYFUNCTION("""COMPUTED_VALUE"""),0.0)</f>
        <v>0</v>
      </c>
      <c r="X158" s="16">
        <f>IFERROR(__xludf.DUMMYFUNCTION("""COMPUTED_VALUE"""),0.0)</f>
        <v>0</v>
      </c>
      <c r="Y158" s="16">
        <f>IFERROR(__xludf.DUMMYFUNCTION("""COMPUTED_VALUE"""),0.0)</f>
        <v>0</v>
      </c>
      <c r="Z158" s="16">
        <f>IFERROR(__xludf.DUMMYFUNCTION("""COMPUTED_VALUE"""),0.0)</f>
        <v>0</v>
      </c>
      <c r="AA158" s="16">
        <f>IFERROR(__xludf.DUMMYFUNCTION("""COMPUTED_VALUE"""),0.0)</f>
        <v>0</v>
      </c>
      <c r="AB158" s="16">
        <f>IFERROR(__xludf.DUMMYFUNCTION("""COMPUTED_VALUE"""),0.0)</f>
        <v>0</v>
      </c>
      <c r="AC158" s="16">
        <f>IFERROR(__xludf.DUMMYFUNCTION("""COMPUTED_VALUE"""),0.0)</f>
        <v>0</v>
      </c>
      <c r="AD158" s="16">
        <f>IFERROR(__xludf.DUMMYFUNCTION("""COMPUTED_VALUE"""),0.0)</f>
        <v>0</v>
      </c>
      <c r="AE158" s="16">
        <f>IFERROR(__xludf.DUMMYFUNCTION("""COMPUTED_VALUE"""),0.0)</f>
        <v>0</v>
      </c>
      <c r="AF158" s="16">
        <f>IFERROR(__xludf.DUMMYFUNCTION("""COMPUTED_VALUE"""),0.0)</f>
        <v>0</v>
      </c>
      <c r="AG158" s="16">
        <f>IFERROR(__xludf.DUMMYFUNCTION("""COMPUTED_VALUE"""),0.0)</f>
        <v>0</v>
      </c>
      <c r="AH158" s="16">
        <f>IFERROR(__xludf.DUMMYFUNCTION("""COMPUTED_VALUE"""),0.0)</f>
        <v>0</v>
      </c>
    </row>
    <row r="159">
      <c r="A159" s="16" t="str">
        <f>IFERROR(__xludf.DUMMYFUNCTION("""COMPUTED_VALUE"""),"8bba1c491698de2d4d33abe2f115e5d666e141b2")</f>
        <v>8bba1c491698de2d4d33abe2f115e5d666e141b2</v>
      </c>
      <c r="B159" s="16" t="str">
        <f>IFERROR(__xludf.DUMMYFUNCTION("""COMPUTED_VALUE"""),"Until He Remembers Me")</f>
        <v>Until He Remembers Me</v>
      </c>
      <c r="C159" s="16" t="str">
        <f>IFERROR(__xludf.DUMMYFUNCTION("""COMPUTED_VALUE"""),"Romance")</f>
        <v>Romance</v>
      </c>
      <c r="D159" s="16">
        <f>IFERROR(__xludf.DUMMYFUNCTION("""COMPUTED_VALUE"""),112.0)</f>
        <v>112</v>
      </c>
      <c r="E159" s="16">
        <f>IFERROR(__xludf.DUMMYFUNCTION("""COMPUTED_VALUE"""),0.955357142857142)</f>
        <v>0.9553571429</v>
      </c>
      <c r="F159" s="16">
        <f>IFERROR(__xludf.DUMMYFUNCTION("""COMPUTED_VALUE"""),0.571428571428571)</f>
        <v>0.5714285714</v>
      </c>
      <c r="G159" s="16">
        <f>IFERROR(__xludf.DUMMYFUNCTION("""COMPUTED_VALUE"""),0.508928571428571)</f>
        <v>0.5089285714</v>
      </c>
      <c r="H159" s="16">
        <f>IFERROR(__xludf.DUMMYFUNCTION("""COMPUTED_VALUE"""),0.455357142857142)</f>
        <v>0.4553571429</v>
      </c>
      <c r="I159" s="16">
        <f>IFERROR(__xludf.DUMMYFUNCTION("""COMPUTED_VALUE"""),0.428571428571428)</f>
        <v>0.4285714286</v>
      </c>
      <c r="J159" s="16">
        <f>IFERROR(__xludf.DUMMYFUNCTION("""COMPUTED_VALUE"""),0.369369369369369)</f>
        <v>0.3693693694</v>
      </c>
      <c r="K159" s="16">
        <f>IFERROR(__xludf.DUMMYFUNCTION("""COMPUTED_VALUE"""),0.336448598130841)</f>
        <v>0.3364485981</v>
      </c>
      <c r="L159" s="16">
        <f>IFERROR(__xludf.DUMMYFUNCTION("""COMPUTED_VALUE"""),0.33009708737864)</f>
        <v>0.3300970874</v>
      </c>
      <c r="M159" s="16">
        <f>IFERROR(__xludf.DUMMYFUNCTION("""COMPUTED_VALUE"""),0.287128712871287)</f>
        <v>0.2871287129</v>
      </c>
      <c r="N159" s="16">
        <f>IFERROR(__xludf.DUMMYFUNCTION("""COMPUTED_VALUE"""),0.28125)</f>
        <v>0.28125</v>
      </c>
      <c r="O159" s="16">
        <f>IFERROR(__xludf.DUMMYFUNCTION("""COMPUTED_VALUE"""),0.207317073170731)</f>
        <v>0.2073170732</v>
      </c>
      <c r="P159" s="16">
        <f>IFERROR(__xludf.DUMMYFUNCTION("""COMPUTED_VALUE"""),0.144927536231884)</f>
        <v>0.1449275362</v>
      </c>
      <c r="Q159" s="16">
        <f>IFERROR(__xludf.DUMMYFUNCTION("""COMPUTED_VALUE"""),0.0)</f>
        <v>0</v>
      </c>
      <c r="R159" s="16">
        <f>IFERROR(__xludf.DUMMYFUNCTION("""COMPUTED_VALUE"""),0.0)</f>
        <v>0</v>
      </c>
      <c r="S159" s="16">
        <f>IFERROR(__xludf.DUMMYFUNCTION("""COMPUTED_VALUE"""),0.0)</f>
        <v>0</v>
      </c>
      <c r="T159" s="16">
        <f>IFERROR(__xludf.DUMMYFUNCTION("""COMPUTED_VALUE"""),0.0)</f>
        <v>0</v>
      </c>
      <c r="U159" s="16">
        <f>IFERROR(__xludf.DUMMYFUNCTION("""COMPUTED_VALUE"""),0.0)</f>
        <v>0</v>
      </c>
      <c r="V159" s="16">
        <f>IFERROR(__xludf.DUMMYFUNCTION("""COMPUTED_VALUE"""),0.0)</f>
        <v>0</v>
      </c>
      <c r="W159" s="16">
        <f>IFERROR(__xludf.DUMMYFUNCTION("""COMPUTED_VALUE"""),0.0)</f>
        <v>0</v>
      </c>
      <c r="X159" s="16">
        <f>IFERROR(__xludf.DUMMYFUNCTION("""COMPUTED_VALUE"""),0.0)</f>
        <v>0</v>
      </c>
      <c r="Y159" s="16">
        <f>IFERROR(__xludf.DUMMYFUNCTION("""COMPUTED_VALUE"""),0.0)</f>
        <v>0</v>
      </c>
      <c r="Z159" s="16">
        <f>IFERROR(__xludf.DUMMYFUNCTION("""COMPUTED_VALUE"""),0.0)</f>
        <v>0</v>
      </c>
      <c r="AA159" s="16">
        <f>IFERROR(__xludf.DUMMYFUNCTION("""COMPUTED_VALUE"""),0.0)</f>
        <v>0</v>
      </c>
      <c r="AB159" s="16">
        <f>IFERROR(__xludf.DUMMYFUNCTION("""COMPUTED_VALUE"""),0.0)</f>
        <v>0</v>
      </c>
      <c r="AC159" s="16">
        <f>IFERROR(__xludf.DUMMYFUNCTION("""COMPUTED_VALUE"""),0.0)</f>
        <v>0</v>
      </c>
      <c r="AD159" s="16">
        <f>IFERROR(__xludf.DUMMYFUNCTION("""COMPUTED_VALUE"""),0.0)</f>
        <v>0</v>
      </c>
      <c r="AE159" s="16">
        <f>IFERROR(__xludf.DUMMYFUNCTION("""COMPUTED_VALUE"""),0.0)</f>
        <v>0</v>
      </c>
      <c r="AF159" s="16">
        <f>IFERROR(__xludf.DUMMYFUNCTION("""COMPUTED_VALUE"""),0.0)</f>
        <v>0</v>
      </c>
      <c r="AG159" s="16">
        <f>IFERROR(__xludf.DUMMYFUNCTION("""COMPUTED_VALUE"""),0.0)</f>
        <v>0</v>
      </c>
      <c r="AH159" s="16">
        <f>IFERROR(__xludf.DUMMYFUNCTION("""COMPUTED_VALUE"""),0.0)</f>
        <v>0</v>
      </c>
    </row>
    <row r="160">
      <c r="A160" s="16" t="str">
        <f>IFERROR(__xludf.DUMMYFUNCTION("""COMPUTED_VALUE"""),"8bcd1b852cfa9d73ac3583317066946ad2b0abf7")</f>
        <v>8bcd1b852cfa9d73ac3583317066946ad2b0abf7</v>
      </c>
      <c r="B160" s="16" t="str">
        <f>IFERROR(__xludf.DUMMYFUNCTION("""COMPUTED_VALUE"""),"Heir to Draconic Dominion")</f>
        <v>Heir to Draconic Dominion</v>
      </c>
      <c r="C160" s="16" t="str">
        <f>IFERROR(__xludf.DUMMYFUNCTION("""COMPUTED_VALUE"""),"Fantasy")</f>
        <v>Fantasy</v>
      </c>
      <c r="D160" s="16">
        <f>IFERROR(__xludf.DUMMYFUNCTION("""COMPUTED_VALUE"""),97.0)</f>
        <v>97</v>
      </c>
      <c r="E160" s="16">
        <f>IFERROR(__xludf.DUMMYFUNCTION("""COMPUTED_VALUE"""),0.969072164948453)</f>
        <v>0.9690721649</v>
      </c>
      <c r="F160" s="16">
        <f>IFERROR(__xludf.DUMMYFUNCTION("""COMPUTED_VALUE"""),0.587628865979381)</f>
        <v>0.587628866</v>
      </c>
      <c r="G160" s="16">
        <f>IFERROR(__xludf.DUMMYFUNCTION("""COMPUTED_VALUE"""),0.56701030927835)</f>
        <v>0.5670103093</v>
      </c>
      <c r="H160" s="16">
        <f>IFERROR(__xludf.DUMMYFUNCTION("""COMPUTED_VALUE"""),0.546391752577319)</f>
        <v>0.5463917526</v>
      </c>
      <c r="I160" s="16">
        <f>IFERROR(__xludf.DUMMYFUNCTION("""COMPUTED_VALUE"""),0.525773195876288)</f>
        <v>0.5257731959</v>
      </c>
      <c r="J160" s="16">
        <f>IFERROR(__xludf.DUMMYFUNCTION("""COMPUTED_VALUE"""),0.536082474226804)</f>
        <v>0.5360824742</v>
      </c>
      <c r="K160" s="16">
        <f>IFERROR(__xludf.DUMMYFUNCTION("""COMPUTED_VALUE"""),0.494845360824742)</f>
        <v>0.4948453608</v>
      </c>
      <c r="L160" s="16">
        <f>IFERROR(__xludf.DUMMYFUNCTION("""COMPUTED_VALUE"""),0.484536082474226)</f>
        <v>0.4845360825</v>
      </c>
      <c r="M160" s="16">
        <f>IFERROR(__xludf.DUMMYFUNCTION("""COMPUTED_VALUE"""),0.463917525773195)</f>
        <v>0.4639175258</v>
      </c>
      <c r="N160" s="16">
        <f>IFERROR(__xludf.DUMMYFUNCTION("""COMPUTED_VALUE"""),0.443298969072164)</f>
        <v>0.4432989691</v>
      </c>
      <c r="O160" s="16">
        <f>IFERROR(__xludf.DUMMYFUNCTION("""COMPUTED_VALUE"""),0.395604395604395)</f>
        <v>0.3956043956</v>
      </c>
      <c r="P160" s="16">
        <f>IFERROR(__xludf.DUMMYFUNCTION("""COMPUTED_VALUE"""),0.329411764705882)</f>
        <v>0.3294117647</v>
      </c>
      <c r="Q160" s="16">
        <f>IFERROR(__xludf.DUMMYFUNCTION("""COMPUTED_VALUE"""),0.191176470588235)</f>
        <v>0.1911764706</v>
      </c>
      <c r="R160" s="16">
        <f>IFERROR(__xludf.DUMMYFUNCTION("""COMPUTED_VALUE"""),0.5)</f>
        <v>0.5</v>
      </c>
      <c r="S160" s="16">
        <f>IFERROR(__xludf.DUMMYFUNCTION("""COMPUTED_VALUE"""),0.0)</f>
        <v>0</v>
      </c>
      <c r="T160" s="16">
        <f>IFERROR(__xludf.DUMMYFUNCTION("""COMPUTED_VALUE"""),0.0)</f>
        <v>0</v>
      </c>
      <c r="U160" s="16">
        <f>IFERROR(__xludf.DUMMYFUNCTION("""COMPUTED_VALUE"""),0.0)</f>
        <v>0</v>
      </c>
      <c r="V160" s="16">
        <f>IFERROR(__xludf.DUMMYFUNCTION("""COMPUTED_VALUE"""),0.0)</f>
        <v>0</v>
      </c>
      <c r="W160" s="16">
        <f>IFERROR(__xludf.DUMMYFUNCTION("""COMPUTED_VALUE"""),0.0)</f>
        <v>0</v>
      </c>
      <c r="X160" s="16">
        <f>IFERROR(__xludf.DUMMYFUNCTION("""COMPUTED_VALUE"""),0.0)</f>
        <v>0</v>
      </c>
      <c r="Y160" s="16">
        <f>IFERROR(__xludf.DUMMYFUNCTION("""COMPUTED_VALUE"""),0.0)</f>
        <v>0</v>
      </c>
      <c r="Z160" s="16">
        <f>IFERROR(__xludf.DUMMYFUNCTION("""COMPUTED_VALUE"""),0.0)</f>
        <v>0</v>
      </c>
      <c r="AA160" s="16">
        <f>IFERROR(__xludf.DUMMYFUNCTION("""COMPUTED_VALUE"""),0.0)</f>
        <v>0</v>
      </c>
      <c r="AB160" s="16">
        <f>IFERROR(__xludf.DUMMYFUNCTION("""COMPUTED_VALUE"""),0.0)</f>
        <v>0</v>
      </c>
      <c r="AC160" s="16">
        <f>IFERROR(__xludf.DUMMYFUNCTION("""COMPUTED_VALUE"""),0.0)</f>
        <v>0</v>
      </c>
      <c r="AD160" s="16">
        <f>IFERROR(__xludf.DUMMYFUNCTION("""COMPUTED_VALUE"""),0.0)</f>
        <v>0</v>
      </c>
      <c r="AE160" s="16">
        <f>IFERROR(__xludf.DUMMYFUNCTION("""COMPUTED_VALUE"""),0.0)</f>
        <v>0</v>
      </c>
      <c r="AF160" s="16">
        <f>IFERROR(__xludf.DUMMYFUNCTION("""COMPUTED_VALUE"""),0.0)</f>
        <v>0</v>
      </c>
      <c r="AG160" s="16">
        <f>IFERROR(__xludf.DUMMYFUNCTION("""COMPUTED_VALUE"""),0.0)</f>
        <v>0</v>
      </c>
      <c r="AH160" s="16">
        <f>IFERROR(__xludf.DUMMYFUNCTION("""COMPUTED_VALUE"""),0.0)</f>
        <v>0</v>
      </c>
    </row>
    <row r="161">
      <c r="A161" s="16" t="str">
        <f>IFERROR(__xludf.DUMMYFUNCTION("""COMPUTED_VALUE"""),"8e36a60de34dcee5a96156507eb902741b36cc77")</f>
        <v>8e36a60de34dcee5a96156507eb902741b36cc77</v>
      </c>
      <c r="B161" s="16" t="str">
        <f>IFERROR(__xludf.DUMMYFUNCTION("""COMPUTED_VALUE"""),"It's Crystal")</f>
        <v>It's Crystal</v>
      </c>
      <c r="C161" s="16" t="str">
        <f>IFERROR(__xludf.DUMMYFUNCTION("""COMPUTED_VALUE"""),"Romance")</f>
        <v>Romance</v>
      </c>
      <c r="D161" s="16">
        <f>IFERROR(__xludf.DUMMYFUNCTION("""COMPUTED_VALUE"""),448.0)</f>
        <v>448</v>
      </c>
      <c r="E161" s="16">
        <f>IFERROR(__xludf.DUMMYFUNCTION("""COMPUTED_VALUE"""),0.966517857142857)</f>
        <v>0.9665178571</v>
      </c>
      <c r="F161" s="16">
        <f>IFERROR(__xludf.DUMMYFUNCTION("""COMPUTED_VALUE"""),0.685267857142857)</f>
        <v>0.6852678571</v>
      </c>
      <c r="G161" s="16">
        <f>IFERROR(__xludf.DUMMYFUNCTION("""COMPUTED_VALUE"""),0.638392857142857)</f>
        <v>0.6383928571</v>
      </c>
      <c r="H161" s="16">
        <f>IFERROR(__xludf.DUMMYFUNCTION("""COMPUTED_VALUE"""),0.616071428571428)</f>
        <v>0.6160714286</v>
      </c>
      <c r="I161" s="16">
        <f>IFERROR(__xludf.DUMMYFUNCTION("""COMPUTED_VALUE"""),0.620535714285714)</f>
        <v>0.6205357143</v>
      </c>
      <c r="J161" s="16">
        <f>IFERROR(__xludf.DUMMYFUNCTION("""COMPUTED_VALUE"""),0.591517857142857)</f>
        <v>0.5915178571</v>
      </c>
      <c r="K161" s="16">
        <f>IFERROR(__xludf.DUMMYFUNCTION("""COMPUTED_VALUE"""),0.566964285714285)</f>
        <v>0.5669642857</v>
      </c>
      <c r="L161" s="16">
        <f>IFERROR(__xludf.DUMMYFUNCTION("""COMPUTED_VALUE"""),0.533482142857142)</f>
        <v>0.5334821429</v>
      </c>
      <c r="M161" s="16">
        <f>IFERROR(__xludf.DUMMYFUNCTION("""COMPUTED_VALUE"""),0.502232142857142)</f>
        <v>0.5022321429</v>
      </c>
      <c r="N161" s="16">
        <f>IFERROR(__xludf.DUMMYFUNCTION("""COMPUTED_VALUE"""),0.5)</f>
        <v>0.5</v>
      </c>
      <c r="O161" s="16">
        <f>IFERROR(__xludf.DUMMYFUNCTION("""COMPUTED_VALUE"""),0.416666666666666)</f>
        <v>0.4166666667</v>
      </c>
      <c r="P161" s="16">
        <f>IFERROR(__xludf.DUMMYFUNCTION("""COMPUTED_VALUE"""),0.27765237020316)</f>
        <v>0.2776523702</v>
      </c>
      <c r="Q161" s="16">
        <f>IFERROR(__xludf.DUMMYFUNCTION("""COMPUTED_VALUE"""),0.163120567375886)</f>
        <v>0.1631205674</v>
      </c>
      <c r="R161" s="16">
        <f>IFERROR(__xludf.DUMMYFUNCTION("""COMPUTED_VALUE"""),0.130841121495327)</f>
        <v>0.1308411215</v>
      </c>
      <c r="S161" s="16">
        <f>IFERROR(__xludf.DUMMYFUNCTION("""COMPUTED_VALUE"""),0.0)</f>
        <v>0</v>
      </c>
      <c r="T161" s="16">
        <f>IFERROR(__xludf.DUMMYFUNCTION("""COMPUTED_VALUE"""),0.0)</f>
        <v>0</v>
      </c>
      <c r="U161" s="16">
        <f>IFERROR(__xludf.DUMMYFUNCTION("""COMPUTED_VALUE"""),0.0)</f>
        <v>0</v>
      </c>
      <c r="V161" s="16">
        <f>IFERROR(__xludf.DUMMYFUNCTION("""COMPUTED_VALUE"""),0.0)</f>
        <v>0</v>
      </c>
      <c r="W161" s="16">
        <f>IFERROR(__xludf.DUMMYFUNCTION("""COMPUTED_VALUE"""),0.0)</f>
        <v>0</v>
      </c>
      <c r="X161" s="16">
        <f>IFERROR(__xludf.DUMMYFUNCTION("""COMPUTED_VALUE"""),0.0)</f>
        <v>0</v>
      </c>
      <c r="Y161" s="16">
        <f>IFERROR(__xludf.DUMMYFUNCTION("""COMPUTED_VALUE"""),0.0)</f>
        <v>0</v>
      </c>
      <c r="Z161" s="16">
        <f>IFERROR(__xludf.DUMMYFUNCTION("""COMPUTED_VALUE"""),0.0)</f>
        <v>0</v>
      </c>
      <c r="AA161" s="16">
        <f>IFERROR(__xludf.DUMMYFUNCTION("""COMPUTED_VALUE"""),0.0)</f>
        <v>0</v>
      </c>
      <c r="AB161" s="16">
        <f>IFERROR(__xludf.DUMMYFUNCTION("""COMPUTED_VALUE"""),0.0)</f>
        <v>0</v>
      </c>
      <c r="AC161" s="16">
        <f>IFERROR(__xludf.DUMMYFUNCTION("""COMPUTED_VALUE"""),0.0)</f>
        <v>0</v>
      </c>
      <c r="AD161" s="16">
        <f>IFERROR(__xludf.DUMMYFUNCTION("""COMPUTED_VALUE"""),0.0)</f>
        <v>0</v>
      </c>
      <c r="AE161" s="16">
        <f>IFERROR(__xludf.DUMMYFUNCTION("""COMPUTED_VALUE"""),0.0)</f>
        <v>0</v>
      </c>
      <c r="AF161" s="16">
        <f>IFERROR(__xludf.DUMMYFUNCTION("""COMPUTED_VALUE"""),0.0)</f>
        <v>0</v>
      </c>
      <c r="AG161" s="16">
        <f>IFERROR(__xludf.DUMMYFUNCTION("""COMPUTED_VALUE"""),0.0)</f>
        <v>0</v>
      </c>
      <c r="AH161" s="16">
        <f>IFERROR(__xludf.DUMMYFUNCTION("""COMPUTED_VALUE"""),0.0)</f>
        <v>0</v>
      </c>
    </row>
    <row r="162">
      <c r="A162" s="16" t="str">
        <f>IFERROR(__xludf.DUMMYFUNCTION("""COMPUTED_VALUE"""),"8e3c4698dede52f8548d10d283645c3e3f83c04a")</f>
        <v>8e3c4698dede52f8548d10d283645c3e3f83c04a</v>
      </c>
      <c r="B162" s="16" t="str">
        <f>IFERROR(__xludf.DUMMYFUNCTION("""COMPUTED_VALUE"""),"The Celestial God’s Heir")</f>
        <v>The Celestial God’s Heir</v>
      </c>
      <c r="C162" s="16" t="str">
        <f>IFERROR(__xludf.DUMMYFUNCTION("""COMPUTED_VALUE"""),"Fantasy")</f>
        <v>Fantasy</v>
      </c>
      <c r="D162" s="16">
        <f>IFERROR(__xludf.DUMMYFUNCTION("""COMPUTED_VALUE"""),18.0)</f>
        <v>18</v>
      </c>
      <c r="E162" s="16">
        <f>IFERROR(__xludf.DUMMYFUNCTION("""COMPUTED_VALUE"""),1.0)</f>
        <v>1</v>
      </c>
      <c r="F162" s="16">
        <f>IFERROR(__xludf.DUMMYFUNCTION("""COMPUTED_VALUE"""),0.5)</f>
        <v>0.5</v>
      </c>
      <c r="G162" s="16">
        <f>IFERROR(__xludf.DUMMYFUNCTION("""COMPUTED_VALUE"""),0.5)</f>
        <v>0.5</v>
      </c>
      <c r="H162" s="16">
        <f>IFERROR(__xludf.DUMMYFUNCTION("""COMPUTED_VALUE"""),0.5)</f>
        <v>0.5</v>
      </c>
      <c r="I162" s="16">
        <f>IFERROR(__xludf.DUMMYFUNCTION("""COMPUTED_VALUE"""),0.5)</f>
        <v>0.5</v>
      </c>
      <c r="J162" s="16">
        <f>IFERROR(__xludf.DUMMYFUNCTION("""COMPUTED_VALUE"""),0.411764705882352)</f>
        <v>0.4117647059</v>
      </c>
      <c r="K162" s="16">
        <f>IFERROR(__xludf.DUMMYFUNCTION("""COMPUTED_VALUE"""),0.411764705882352)</f>
        <v>0.4117647059</v>
      </c>
      <c r="L162" s="16">
        <f>IFERROR(__xludf.DUMMYFUNCTION("""COMPUTED_VALUE"""),0.411764705882352)</f>
        <v>0.4117647059</v>
      </c>
      <c r="M162" s="16">
        <f>IFERROR(__xludf.DUMMYFUNCTION("""COMPUTED_VALUE"""),0.411764705882352)</f>
        <v>0.4117647059</v>
      </c>
      <c r="N162" s="16">
        <f>IFERROR(__xludf.DUMMYFUNCTION("""COMPUTED_VALUE"""),0.411764705882352)</f>
        <v>0.4117647059</v>
      </c>
      <c r="O162" s="16">
        <f>IFERROR(__xludf.DUMMYFUNCTION("""COMPUTED_VALUE"""),0.2)</f>
        <v>0.2</v>
      </c>
      <c r="P162" s="16">
        <f>IFERROR(__xludf.DUMMYFUNCTION("""COMPUTED_VALUE"""),0.0)</f>
        <v>0</v>
      </c>
      <c r="Q162" s="16">
        <f>IFERROR(__xludf.DUMMYFUNCTION("""COMPUTED_VALUE"""),0.0)</f>
        <v>0</v>
      </c>
      <c r="R162" s="16">
        <f>IFERROR(__xludf.DUMMYFUNCTION("""COMPUTED_VALUE"""),0.0)</f>
        <v>0</v>
      </c>
      <c r="S162" s="16">
        <f>IFERROR(__xludf.DUMMYFUNCTION("""COMPUTED_VALUE"""),0.0)</f>
        <v>0</v>
      </c>
      <c r="T162" s="16">
        <f>IFERROR(__xludf.DUMMYFUNCTION("""COMPUTED_VALUE"""),0.0)</f>
        <v>0</v>
      </c>
      <c r="U162" s="16">
        <f>IFERROR(__xludf.DUMMYFUNCTION("""COMPUTED_VALUE"""),0.0)</f>
        <v>0</v>
      </c>
      <c r="V162" s="16">
        <f>IFERROR(__xludf.DUMMYFUNCTION("""COMPUTED_VALUE"""),0.0)</f>
        <v>0</v>
      </c>
      <c r="W162" s="16">
        <f>IFERROR(__xludf.DUMMYFUNCTION("""COMPUTED_VALUE"""),0.0)</f>
        <v>0</v>
      </c>
      <c r="X162" s="16">
        <f>IFERROR(__xludf.DUMMYFUNCTION("""COMPUTED_VALUE"""),0.0)</f>
        <v>0</v>
      </c>
      <c r="Y162" s="16">
        <f>IFERROR(__xludf.DUMMYFUNCTION("""COMPUTED_VALUE"""),0.0)</f>
        <v>0</v>
      </c>
      <c r="Z162" s="16">
        <f>IFERROR(__xludf.DUMMYFUNCTION("""COMPUTED_VALUE"""),0.0)</f>
        <v>0</v>
      </c>
      <c r="AA162" s="16">
        <f>IFERROR(__xludf.DUMMYFUNCTION("""COMPUTED_VALUE"""),0.0)</f>
        <v>0</v>
      </c>
      <c r="AB162" s="16">
        <f>IFERROR(__xludf.DUMMYFUNCTION("""COMPUTED_VALUE"""),0.0)</f>
        <v>0</v>
      </c>
      <c r="AC162" s="16">
        <f>IFERROR(__xludf.DUMMYFUNCTION("""COMPUTED_VALUE"""),0.0)</f>
        <v>0</v>
      </c>
      <c r="AD162" s="16">
        <f>IFERROR(__xludf.DUMMYFUNCTION("""COMPUTED_VALUE"""),0.0)</f>
        <v>0</v>
      </c>
      <c r="AE162" s="16">
        <f>IFERROR(__xludf.DUMMYFUNCTION("""COMPUTED_VALUE"""),0.0)</f>
        <v>0</v>
      </c>
      <c r="AF162" s="16">
        <f>IFERROR(__xludf.DUMMYFUNCTION("""COMPUTED_VALUE"""),0.0)</f>
        <v>0</v>
      </c>
      <c r="AG162" s="16">
        <f>IFERROR(__xludf.DUMMYFUNCTION("""COMPUTED_VALUE"""),0.0)</f>
        <v>0</v>
      </c>
      <c r="AH162" s="16">
        <f>IFERROR(__xludf.DUMMYFUNCTION("""COMPUTED_VALUE"""),0.0)</f>
        <v>0</v>
      </c>
    </row>
    <row r="163">
      <c r="A163" s="16" t="str">
        <f>IFERROR(__xludf.DUMMYFUNCTION("""COMPUTED_VALUE"""),"8f0fa62650413483426bef0ac7d66ca7627ab11f")</f>
        <v>8f0fa62650413483426bef0ac7d66ca7627ab11f</v>
      </c>
      <c r="B163" s="16" t="str">
        <f>IFERROR(__xludf.DUMMYFUNCTION("""COMPUTED_VALUE"""),"The Mind Reader: A Son-in-Law’s Revenge")</f>
        <v>The Mind Reader: A Son-in-Law’s Revenge</v>
      </c>
      <c r="C163" s="16" t="str">
        <f>IFERROR(__xludf.DUMMYFUNCTION("""COMPUTED_VALUE"""),"Drama")</f>
        <v>Drama</v>
      </c>
      <c r="D163" s="16">
        <f>IFERROR(__xludf.DUMMYFUNCTION("""COMPUTED_VALUE"""),210.0)</f>
        <v>210</v>
      </c>
      <c r="E163" s="16">
        <f>IFERROR(__xludf.DUMMYFUNCTION("""COMPUTED_VALUE"""),0.966666666666666)</f>
        <v>0.9666666667</v>
      </c>
      <c r="F163" s="16">
        <f>IFERROR(__xludf.DUMMYFUNCTION("""COMPUTED_VALUE"""),0.633333333333333)</f>
        <v>0.6333333333</v>
      </c>
      <c r="G163" s="16">
        <f>IFERROR(__xludf.DUMMYFUNCTION("""COMPUTED_VALUE"""),0.457142857142857)</f>
        <v>0.4571428571</v>
      </c>
      <c r="H163" s="16">
        <f>IFERROR(__xludf.DUMMYFUNCTION("""COMPUTED_VALUE"""),0.38095238095238)</f>
        <v>0.380952381</v>
      </c>
      <c r="I163" s="16">
        <f>IFERROR(__xludf.DUMMYFUNCTION("""COMPUTED_VALUE"""),0.333333333333333)</f>
        <v>0.3333333333</v>
      </c>
      <c r="J163" s="16">
        <f>IFERROR(__xludf.DUMMYFUNCTION("""COMPUTED_VALUE"""),0.32258064516129)</f>
        <v>0.3225806452</v>
      </c>
      <c r="K163" s="16">
        <f>IFERROR(__xludf.DUMMYFUNCTION("""COMPUTED_VALUE"""),0.277456647398843)</f>
        <v>0.2774566474</v>
      </c>
      <c r="L163" s="16">
        <f>IFERROR(__xludf.DUMMYFUNCTION("""COMPUTED_VALUE"""),0.259740259740259)</f>
        <v>0.2597402597</v>
      </c>
      <c r="M163" s="16">
        <f>IFERROR(__xludf.DUMMYFUNCTION("""COMPUTED_VALUE"""),0.246575342465753)</f>
        <v>0.2465753425</v>
      </c>
      <c r="N163" s="16">
        <f>IFERROR(__xludf.DUMMYFUNCTION("""COMPUTED_VALUE"""),0.233082706766917)</f>
        <v>0.2330827068</v>
      </c>
      <c r="O163" s="16">
        <f>IFERROR(__xludf.DUMMYFUNCTION("""COMPUTED_VALUE"""),0.233082706766917)</f>
        <v>0.2330827068</v>
      </c>
      <c r="P163" s="16">
        <f>IFERROR(__xludf.DUMMYFUNCTION("""COMPUTED_VALUE"""),0.180451127819548)</f>
        <v>0.1804511278</v>
      </c>
      <c r="Q163" s="16">
        <f>IFERROR(__xludf.DUMMYFUNCTION("""COMPUTED_VALUE"""),0.037593984962406)</f>
        <v>0.03759398496</v>
      </c>
      <c r="R163" s="16">
        <f>IFERROR(__xludf.DUMMYFUNCTION("""COMPUTED_VALUE"""),0.0227272727272727)</f>
        <v>0.02272727273</v>
      </c>
      <c r="S163" s="16">
        <f>IFERROR(__xludf.DUMMYFUNCTION("""COMPUTED_VALUE"""),0.0)</f>
        <v>0</v>
      </c>
      <c r="T163" s="16">
        <f>IFERROR(__xludf.DUMMYFUNCTION("""COMPUTED_VALUE"""),0.0)</f>
        <v>0</v>
      </c>
      <c r="U163" s="16">
        <f>IFERROR(__xludf.DUMMYFUNCTION("""COMPUTED_VALUE"""),0.0)</f>
        <v>0</v>
      </c>
      <c r="V163" s="16">
        <f>IFERROR(__xludf.DUMMYFUNCTION("""COMPUTED_VALUE"""),0.0)</f>
        <v>0</v>
      </c>
      <c r="W163" s="16">
        <f>IFERROR(__xludf.DUMMYFUNCTION("""COMPUTED_VALUE"""),0.0)</f>
        <v>0</v>
      </c>
      <c r="X163" s="16">
        <f>IFERROR(__xludf.DUMMYFUNCTION("""COMPUTED_VALUE"""),0.0)</f>
        <v>0</v>
      </c>
      <c r="Y163" s="16">
        <f>IFERROR(__xludf.DUMMYFUNCTION("""COMPUTED_VALUE"""),0.0)</f>
        <v>0</v>
      </c>
      <c r="Z163" s="16">
        <f>IFERROR(__xludf.DUMMYFUNCTION("""COMPUTED_VALUE"""),0.0)</f>
        <v>0</v>
      </c>
      <c r="AA163" s="16">
        <f>IFERROR(__xludf.DUMMYFUNCTION("""COMPUTED_VALUE"""),0.0)</f>
        <v>0</v>
      </c>
      <c r="AB163" s="16">
        <f>IFERROR(__xludf.DUMMYFUNCTION("""COMPUTED_VALUE"""),0.0)</f>
        <v>0</v>
      </c>
      <c r="AC163" s="16">
        <f>IFERROR(__xludf.DUMMYFUNCTION("""COMPUTED_VALUE"""),0.0)</f>
        <v>0</v>
      </c>
      <c r="AD163" s="16">
        <f>IFERROR(__xludf.DUMMYFUNCTION("""COMPUTED_VALUE"""),0.0)</f>
        <v>0</v>
      </c>
      <c r="AE163" s="16">
        <f>IFERROR(__xludf.DUMMYFUNCTION("""COMPUTED_VALUE"""),0.0)</f>
        <v>0</v>
      </c>
      <c r="AF163" s="16">
        <f>IFERROR(__xludf.DUMMYFUNCTION("""COMPUTED_VALUE"""),0.0)</f>
        <v>0</v>
      </c>
      <c r="AG163" s="16">
        <f>IFERROR(__xludf.DUMMYFUNCTION("""COMPUTED_VALUE"""),0.0)</f>
        <v>0</v>
      </c>
      <c r="AH163" s="16">
        <f>IFERROR(__xludf.DUMMYFUNCTION("""COMPUTED_VALUE"""),0.0)</f>
        <v>0</v>
      </c>
    </row>
    <row r="164">
      <c r="A164" s="16" t="str">
        <f>IFERROR(__xludf.DUMMYFUNCTION("""COMPUTED_VALUE"""),"8f9097f70a41e0a3a637a3eb2b6551e036eb16b7")</f>
        <v>8f9097f70a41e0a3a637a3eb2b6551e036eb16b7</v>
      </c>
      <c r="B164" s="16" t="str">
        <f>IFERROR(__xludf.DUMMYFUNCTION("""COMPUTED_VALUE"""),"The Devine Root")</f>
        <v>The Devine Root</v>
      </c>
      <c r="C164" s="16" t="str">
        <f>IFERROR(__xludf.DUMMYFUNCTION("""COMPUTED_VALUE"""),"Fantasy")</f>
        <v>Fantasy</v>
      </c>
      <c r="D164" s="16">
        <f>IFERROR(__xludf.DUMMYFUNCTION("""COMPUTED_VALUE"""),40.0)</f>
        <v>40</v>
      </c>
      <c r="E164" s="16">
        <f>IFERROR(__xludf.DUMMYFUNCTION("""COMPUTED_VALUE"""),1.0)</f>
        <v>1</v>
      </c>
      <c r="F164" s="16">
        <f>IFERROR(__xludf.DUMMYFUNCTION("""COMPUTED_VALUE"""),0.425)</f>
        <v>0.425</v>
      </c>
      <c r="G164" s="16">
        <f>IFERROR(__xludf.DUMMYFUNCTION("""COMPUTED_VALUE"""),0.325)</f>
        <v>0.325</v>
      </c>
      <c r="H164" s="16">
        <f>IFERROR(__xludf.DUMMYFUNCTION("""COMPUTED_VALUE"""),0.325)</f>
        <v>0.325</v>
      </c>
      <c r="I164" s="16">
        <f>IFERROR(__xludf.DUMMYFUNCTION("""COMPUTED_VALUE"""),0.25)</f>
        <v>0.25</v>
      </c>
      <c r="J164" s="16">
        <f>IFERROR(__xludf.DUMMYFUNCTION("""COMPUTED_VALUE"""),0.260869565217391)</f>
        <v>0.2608695652</v>
      </c>
      <c r="K164" s="16">
        <f>IFERROR(__xludf.DUMMYFUNCTION("""COMPUTED_VALUE"""),0.125)</f>
        <v>0.125</v>
      </c>
      <c r="L164" s="16">
        <f>IFERROR(__xludf.DUMMYFUNCTION("""COMPUTED_VALUE"""),0.0)</f>
        <v>0</v>
      </c>
      <c r="M164" s="16">
        <f>IFERROR(__xludf.DUMMYFUNCTION("""COMPUTED_VALUE"""),0.0)</f>
        <v>0</v>
      </c>
      <c r="N164" s="16">
        <f>IFERROR(__xludf.DUMMYFUNCTION("""COMPUTED_VALUE"""),0.0)</f>
        <v>0</v>
      </c>
      <c r="O164" s="16">
        <f>IFERROR(__xludf.DUMMYFUNCTION("""COMPUTED_VALUE"""),0.0)</f>
        <v>0</v>
      </c>
      <c r="P164" s="16">
        <f>IFERROR(__xludf.DUMMYFUNCTION("""COMPUTED_VALUE"""),0.0)</f>
        <v>0</v>
      </c>
      <c r="Q164" s="16">
        <f>IFERROR(__xludf.DUMMYFUNCTION("""COMPUTED_VALUE"""),0.0)</f>
        <v>0</v>
      </c>
      <c r="R164" s="16">
        <f>IFERROR(__xludf.DUMMYFUNCTION("""COMPUTED_VALUE"""),0.0)</f>
        <v>0</v>
      </c>
      <c r="S164" s="16">
        <f>IFERROR(__xludf.DUMMYFUNCTION("""COMPUTED_VALUE"""),0.0)</f>
        <v>0</v>
      </c>
      <c r="T164" s="16">
        <f>IFERROR(__xludf.DUMMYFUNCTION("""COMPUTED_VALUE"""),0.0)</f>
        <v>0</v>
      </c>
      <c r="U164" s="16">
        <f>IFERROR(__xludf.DUMMYFUNCTION("""COMPUTED_VALUE"""),0.0)</f>
        <v>0</v>
      </c>
      <c r="V164" s="16">
        <f>IFERROR(__xludf.DUMMYFUNCTION("""COMPUTED_VALUE"""),0.0)</f>
        <v>0</v>
      </c>
      <c r="W164" s="16">
        <f>IFERROR(__xludf.DUMMYFUNCTION("""COMPUTED_VALUE"""),0.0)</f>
        <v>0</v>
      </c>
      <c r="X164" s="16">
        <f>IFERROR(__xludf.DUMMYFUNCTION("""COMPUTED_VALUE"""),0.0)</f>
        <v>0</v>
      </c>
      <c r="Y164" s="16">
        <f>IFERROR(__xludf.DUMMYFUNCTION("""COMPUTED_VALUE"""),0.0)</f>
        <v>0</v>
      </c>
      <c r="Z164" s="16">
        <f>IFERROR(__xludf.DUMMYFUNCTION("""COMPUTED_VALUE"""),0.0)</f>
        <v>0</v>
      </c>
      <c r="AA164" s="16">
        <f>IFERROR(__xludf.DUMMYFUNCTION("""COMPUTED_VALUE"""),0.0)</f>
        <v>0</v>
      </c>
      <c r="AB164" s="16">
        <f>IFERROR(__xludf.DUMMYFUNCTION("""COMPUTED_VALUE"""),0.0)</f>
        <v>0</v>
      </c>
      <c r="AC164" s="16">
        <f>IFERROR(__xludf.DUMMYFUNCTION("""COMPUTED_VALUE"""),0.0)</f>
        <v>0</v>
      </c>
      <c r="AD164" s="16">
        <f>IFERROR(__xludf.DUMMYFUNCTION("""COMPUTED_VALUE"""),0.0)</f>
        <v>0</v>
      </c>
      <c r="AE164" s="16">
        <f>IFERROR(__xludf.DUMMYFUNCTION("""COMPUTED_VALUE"""),0.0)</f>
        <v>0</v>
      </c>
      <c r="AF164" s="16">
        <f>IFERROR(__xludf.DUMMYFUNCTION("""COMPUTED_VALUE"""),0.0)</f>
        <v>0</v>
      </c>
      <c r="AG164" s="16">
        <f>IFERROR(__xludf.DUMMYFUNCTION("""COMPUTED_VALUE"""),0.0)</f>
        <v>0</v>
      </c>
      <c r="AH164" s="16">
        <f>IFERROR(__xludf.DUMMYFUNCTION("""COMPUTED_VALUE"""),0.0)</f>
        <v>0</v>
      </c>
    </row>
    <row r="165">
      <c r="A165" s="16" t="str">
        <f>IFERROR(__xludf.DUMMYFUNCTION("""COMPUTED_VALUE"""),"8fc0fc1659f3b419e6fa13d9cb59b0e57bfec096")</f>
        <v>8fc0fc1659f3b419e6fa13d9cb59b0e57bfec096</v>
      </c>
      <c r="B165" s="16" t="str">
        <f>IFERROR(__xludf.DUMMYFUNCTION("""COMPUTED_VALUE"""),"The Exiled Heir")</f>
        <v>The Exiled Heir</v>
      </c>
      <c r="C165" s="16" t="str">
        <f>IFERROR(__xludf.DUMMYFUNCTION("""COMPUTED_VALUE"""),"Drama")</f>
        <v>Drama</v>
      </c>
      <c r="D165" s="16">
        <f>IFERROR(__xludf.DUMMYFUNCTION("""COMPUTED_VALUE"""),976.0)</f>
        <v>976</v>
      </c>
      <c r="E165" s="16">
        <f>IFERROR(__xludf.DUMMYFUNCTION("""COMPUTED_VALUE"""),0.949795081967213)</f>
        <v>0.949795082</v>
      </c>
      <c r="F165" s="16">
        <f>IFERROR(__xludf.DUMMYFUNCTION("""COMPUTED_VALUE"""),0.65061475409836)</f>
        <v>0.6506147541</v>
      </c>
      <c r="G165" s="16">
        <f>IFERROR(__xludf.DUMMYFUNCTION("""COMPUTED_VALUE"""),0.571721311475409)</f>
        <v>0.5717213115</v>
      </c>
      <c r="H165" s="16">
        <f>IFERROR(__xludf.DUMMYFUNCTION("""COMPUTED_VALUE"""),0.529713114754098)</f>
        <v>0.5297131148</v>
      </c>
      <c r="I165" s="16">
        <f>IFERROR(__xludf.DUMMYFUNCTION("""COMPUTED_VALUE"""),0.479508196721311)</f>
        <v>0.4795081967</v>
      </c>
      <c r="J165" s="16">
        <f>IFERROR(__xludf.DUMMYFUNCTION("""COMPUTED_VALUE"""),0.45482546201232)</f>
        <v>0.454825462</v>
      </c>
      <c r="K165" s="16">
        <f>IFERROR(__xludf.DUMMYFUNCTION("""COMPUTED_VALUE"""),0.424460431654676)</f>
        <v>0.4244604317</v>
      </c>
      <c r="L165" s="16">
        <f>IFERROR(__xludf.DUMMYFUNCTION("""COMPUTED_VALUE"""),0.405767250257466)</f>
        <v>0.4057672503</v>
      </c>
      <c r="M165" s="16">
        <f>IFERROR(__xludf.DUMMYFUNCTION("""COMPUTED_VALUE"""),0.392156862745098)</f>
        <v>0.3921568627</v>
      </c>
      <c r="N165" s="16">
        <f>IFERROR(__xludf.DUMMYFUNCTION("""COMPUTED_VALUE"""),0.380705394190871)</f>
        <v>0.3807053942</v>
      </c>
      <c r="O165" s="16">
        <f>IFERROR(__xludf.DUMMYFUNCTION("""COMPUTED_VALUE"""),0.34240837696335)</f>
        <v>0.342408377</v>
      </c>
      <c r="P165" s="16">
        <f>IFERROR(__xludf.DUMMYFUNCTION("""COMPUTED_VALUE"""),0.259533898305084)</f>
        <v>0.2595338983</v>
      </c>
      <c r="Q165" s="16">
        <f>IFERROR(__xludf.DUMMYFUNCTION("""COMPUTED_VALUE"""),0.166482910694597)</f>
        <v>0.1664829107</v>
      </c>
      <c r="R165" s="16">
        <f>IFERROR(__xludf.DUMMYFUNCTION("""COMPUTED_VALUE"""),0.114583333333333)</f>
        <v>0.1145833333</v>
      </c>
      <c r="S165" s="16">
        <f>IFERROR(__xludf.DUMMYFUNCTION("""COMPUTED_VALUE"""),0.0788863109048723)</f>
        <v>0.0788863109</v>
      </c>
      <c r="T165" s="16">
        <f>IFERROR(__xludf.DUMMYFUNCTION("""COMPUTED_VALUE"""),0.068259385665529)</f>
        <v>0.06825938567</v>
      </c>
      <c r="U165" s="16">
        <f>IFERROR(__xludf.DUMMYFUNCTION("""COMPUTED_VALUE"""),0.0)</f>
        <v>0</v>
      </c>
      <c r="V165" s="16">
        <f>IFERROR(__xludf.DUMMYFUNCTION("""COMPUTED_VALUE"""),0.0)</f>
        <v>0</v>
      </c>
      <c r="W165" s="16">
        <f>IFERROR(__xludf.DUMMYFUNCTION("""COMPUTED_VALUE"""),0.0)</f>
        <v>0</v>
      </c>
      <c r="X165" s="16">
        <f>IFERROR(__xludf.DUMMYFUNCTION("""COMPUTED_VALUE"""),0.0)</f>
        <v>0</v>
      </c>
      <c r="Y165" s="16">
        <f>IFERROR(__xludf.DUMMYFUNCTION("""COMPUTED_VALUE"""),0.0)</f>
        <v>0</v>
      </c>
      <c r="Z165" s="16">
        <f>IFERROR(__xludf.DUMMYFUNCTION("""COMPUTED_VALUE"""),0.0)</f>
        <v>0</v>
      </c>
      <c r="AA165" s="16">
        <f>IFERROR(__xludf.DUMMYFUNCTION("""COMPUTED_VALUE"""),0.0)</f>
        <v>0</v>
      </c>
      <c r="AB165" s="16">
        <f>IFERROR(__xludf.DUMMYFUNCTION("""COMPUTED_VALUE"""),0.0)</f>
        <v>0</v>
      </c>
      <c r="AC165" s="16">
        <f>IFERROR(__xludf.DUMMYFUNCTION("""COMPUTED_VALUE"""),0.0)</f>
        <v>0</v>
      </c>
      <c r="AD165" s="16">
        <f>IFERROR(__xludf.DUMMYFUNCTION("""COMPUTED_VALUE"""),0.0)</f>
        <v>0</v>
      </c>
      <c r="AE165" s="16">
        <f>IFERROR(__xludf.DUMMYFUNCTION("""COMPUTED_VALUE"""),0.0)</f>
        <v>0</v>
      </c>
      <c r="AF165" s="16">
        <f>IFERROR(__xludf.DUMMYFUNCTION("""COMPUTED_VALUE"""),0.0)</f>
        <v>0</v>
      </c>
      <c r="AG165" s="16">
        <f>IFERROR(__xludf.DUMMYFUNCTION("""COMPUTED_VALUE"""),0.0)</f>
        <v>0</v>
      </c>
      <c r="AH165" s="16">
        <f>IFERROR(__xludf.DUMMYFUNCTION("""COMPUTED_VALUE"""),0.0)</f>
        <v>0</v>
      </c>
    </row>
    <row r="166">
      <c r="A166" s="16" t="str">
        <f>IFERROR(__xludf.DUMMYFUNCTION("""COMPUTED_VALUE"""),"9187815245dbab381e06e99b89e34db3f811e066")</f>
        <v>9187815245dbab381e06e99b89e34db3f811e066</v>
      </c>
      <c r="B166" s="16" t="str">
        <f>IFERROR(__xludf.DUMMYFUNCTION("""COMPUTED_VALUE"""),"Billionaire's Pursuit")</f>
        <v>Billionaire's Pursuit</v>
      </c>
      <c r="C166" s="16" t="str">
        <f>IFERROR(__xludf.DUMMYFUNCTION("""COMPUTED_VALUE"""),"Romance")</f>
        <v>Romance</v>
      </c>
      <c r="D166" s="16">
        <f>IFERROR(__xludf.DUMMYFUNCTION("""COMPUTED_VALUE"""),116.0)</f>
        <v>116</v>
      </c>
      <c r="E166" s="16">
        <f>IFERROR(__xludf.DUMMYFUNCTION("""COMPUTED_VALUE"""),0.982758620689655)</f>
        <v>0.9827586207</v>
      </c>
      <c r="F166" s="16">
        <f>IFERROR(__xludf.DUMMYFUNCTION("""COMPUTED_VALUE"""),0.482758620689655)</f>
        <v>0.4827586207</v>
      </c>
      <c r="G166" s="16">
        <f>IFERROR(__xludf.DUMMYFUNCTION("""COMPUTED_VALUE"""),0.405172413793103)</f>
        <v>0.4051724138</v>
      </c>
      <c r="H166" s="16">
        <f>IFERROR(__xludf.DUMMYFUNCTION("""COMPUTED_VALUE"""),0.370689655172413)</f>
        <v>0.3706896552</v>
      </c>
      <c r="I166" s="16">
        <f>IFERROR(__xludf.DUMMYFUNCTION("""COMPUTED_VALUE"""),0.327586206896551)</f>
        <v>0.3275862069</v>
      </c>
      <c r="J166" s="16">
        <f>IFERROR(__xludf.DUMMYFUNCTION("""COMPUTED_VALUE"""),0.296296296296296)</f>
        <v>0.2962962963</v>
      </c>
      <c r="K166" s="16">
        <f>IFERROR(__xludf.DUMMYFUNCTION("""COMPUTED_VALUE"""),0.283018867924528)</f>
        <v>0.2830188679</v>
      </c>
      <c r="L166" s="16">
        <f>IFERROR(__xludf.DUMMYFUNCTION("""COMPUTED_VALUE"""),0.295918367346938)</f>
        <v>0.2959183673</v>
      </c>
      <c r="M166" s="16">
        <f>IFERROR(__xludf.DUMMYFUNCTION("""COMPUTED_VALUE"""),0.25)</f>
        <v>0.25</v>
      </c>
      <c r="N166" s="16">
        <f>IFERROR(__xludf.DUMMYFUNCTION("""COMPUTED_VALUE"""),0.283783783783783)</f>
        <v>0.2837837838</v>
      </c>
      <c r="O166" s="16">
        <f>IFERROR(__xludf.DUMMYFUNCTION("""COMPUTED_VALUE"""),0.274193548387096)</f>
        <v>0.2741935484</v>
      </c>
      <c r="P166" s="16">
        <f>IFERROR(__xludf.DUMMYFUNCTION("""COMPUTED_VALUE"""),0.114754098360655)</f>
        <v>0.1147540984</v>
      </c>
      <c r="Q166" s="16">
        <f>IFERROR(__xludf.DUMMYFUNCTION("""COMPUTED_VALUE"""),0.0)</f>
        <v>0</v>
      </c>
      <c r="R166" s="16">
        <f>IFERROR(__xludf.DUMMYFUNCTION("""COMPUTED_VALUE"""),0.0)</f>
        <v>0</v>
      </c>
      <c r="S166" s="16">
        <f>IFERROR(__xludf.DUMMYFUNCTION("""COMPUTED_VALUE"""),0.0)</f>
        <v>0</v>
      </c>
      <c r="T166" s="16">
        <f>IFERROR(__xludf.DUMMYFUNCTION("""COMPUTED_VALUE"""),0.0)</f>
        <v>0</v>
      </c>
      <c r="U166" s="16">
        <f>IFERROR(__xludf.DUMMYFUNCTION("""COMPUTED_VALUE"""),0.0)</f>
        <v>0</v>
      </c>
      <c r="V166" s="16">
        <f>IFERROR(__xludf.DUMMYFUNCTION("""COMPUTED_VALUE"""),0.0)</f>
        <v>0</v>
      </c>
      <c r="W166" s="16">
        <f>IFERROR(__xludf.DUMMYFUNCTION("""COMPUTED_VALUE"""),0.0)</f>
        <v>0</v>
      </c>
      <c r="X166" s="16">
        <f>IFERROR(__xludf.DUMMYFUNCTION("""COMPUTED_VALUE"""),0.0)</f>
        <v>0</v>
      </c>
      <c r="Y166" s="16">
        <f>IFERROR(__xludf.DUMMYFUNCTION("""COMPUTED_VALUE"""),0.0)</f>
        <v>0</v>
      </c>
      <c r="Z166" s="16">
        <f>IFERROR(__xludf.DUMMYFUNCTION("""COMPUTED_VALUE"""),0.0)</f>
        <v>0</v>
      </c>
      <c r="AA166" s="16">
        <f>IFERROR(__xludf.DUMMYFUNCTION("""COMPUTED_VALUE"""),0.0)</f>
        <v>0</v>
      </c>
      <c r="AB166" s="16">
        <f>IFERROR(__xludf.DUMMYFUNCTION("""COMPUTED_VALUE"""),0.0)</f>
        <v>0</v>
      </c>
      <c r="AC166" s="16">
        <f>IFERROR(__xludf.DUMMYFUNCTION("""COMPUTED_VALUE"""),0.0)</f>
        <v>0</v>
      </c>
      <c r="AD166" s="16">
        <f>IFERROR(__xludf.DUMMYFUNCTION("""COMPUTED_VALUE"""),0.0)</f>
        <v>0</v>
      </c>
      <c r="AE166" s="16">
        <f>IFERROR(__xludf.DUMMYFUNCTION("""COMPUTED_VALUE"""),0.0)</f>
        <v>0</v>
      </c>
      <c r="AF166" s="16">
        <f>IFERROR(__xludf.DUMMYFUNCTION("""COMPUTED_VALUE"""),0.0)</f>
        <v>0</v>
      </c>
      <c r="AG166" s="16">
        <f>IFERROR(__xludf.DUMMYFUNCTION("""COMPUTED_VALUE"""),0.0)</f>
        <v>0</v>
      </c>
      <c r="AH166" s="16">
        <f>IFERROR(__xludf.DUMMYFUNCTION("""COMPUTED_VALUE"""),0.0)</f>
        <v>0</v>
      </c>
    </row>
    <row r="167">
      <c r="A167" s="16" t="str">
        <f>IFERROR(__xludf.DUMMYFUNCTION("""COMPUTED_VALUE"""),"9236a79ea4f06488372a41ebcc7a4f0fbfc7b1c3")</f>
        <v>9236a79ea4f06488372a41ebcc7a4f0fbfc7b1c3</v>
      </c>
      <c r="B167" s="16" t="str">
        <f>IFERROR(__xludf.DUMMYFUNCTION("""COMPUTED_VALUE"""),"King of Mercenaries")</f>
        <v>King of Mercenaries</v>
      </c>
      <c r="C167" s="16" t="str">
        <f>IFERROR(__xludf.DUMMYFUNCTION("""COMPUTED_VALUE"""),"Suspense or Thriller")</f>
        <v>Suspense or Thriller</v>
      </c>
      <c r="D167" s="16">
        <f>IFERROR(__xludf.DUMMYFUNCTION("""COMPUTED_VALUE"""),13.0)</f>
        <v>13</v>
      </c>
      <c r="E167" s="16">
        <f>IFERROR(__xludf.DUMMYFUNCTION("""COMPUTED_VALUE"""),1.0)</f>
        <v>1</v>
      </c>
      <c r="F167" s="16">
        <f>IFERROR(__xludf.DUMMYFUNCTION("""COMPUTED_VALUE"""),0.153846153846153)</f>
        <v>0.1538461538</v>
      </c>
      <c r="G167" s="16">
        <f>IFERROR(__xludf.DUMMYFUNCTION("""COMPUTED_VALUE"""),0.153846153846153)</f>
        <v>0.1538461538</v>
      </c>
      <c r="H167" s="16">
        <f>IFERROR(__xludf.DUMMYFUNCTION("""COMPUTED_VALUE"""),0.0769230769230769)</f>
        <v>0.07692307692</v>
      </c>
      <c r="I167" s="16">
        <f>IFERROR(__xludf.DUMMYFUNCTION("""COMPUTED_VALUE"""),0.0)</f>
        <v>0</v>
      </c>
      <c r="J167" s="16">
        <f>IFERROR(__xludf.DUMMYFUNCTION("""COMPUTED_VALUE"""),0.0)</f>
        <v>0</v>
      </c>
      <c r="K167" s="16">
        <f>IFERROR(__xludf.DUMMYFUNCTION("""COMPUTED_VALUE"""),0.0)</f>
        <v>0</v>
      </c>
      <c r="L167" s="16">
        <f>IFERROR(__xludf.DUMMYFUNCTION("""COMPUTED_VALUE"""),0.0)</f>
        <v>0</v>
      </c>
      <c r="M167" s="16">
        <f>IFERROR(__xludf.DUMMYFUNCTION("""COMPUTED_VALUE"""),0.0)</f>
        <v>0</v>
      </c>
      <c r="N167" s="16">
        <f>IFERROR(__xludf.DUMMYFUNCTION("""COMPUTED_VALUE"""),0.0)</f>
        <v>0</v>
      </c>
      <c r="O167" s="16">
        <f>IFERROR(__xludf.DUMMYFUNCTION("""COMPUTED_VALUE"""),0.0)</f>
        <v>0</v>
      </c>
      <c r="P167" s="16">
        <f>IFERROR(__xludf.DUMMYFUNCTION("""COMPUTED_VALUE"""),0.0)</f>
        <v>0</v>
      </c>
      <c r="Q167" s="16">
        <f>IFERROR(__xludf.DUMMYFUNCTION("""COMPUTED_VALUE"""),0.0)</f>
        <v>0</v>
      </c>
      <c r="R167" s="16">
        <f>IFERROR(__xludf.DUMMYFUNCTION("""COMPUTED_VALUE"""),0.0)</f>
        <v>0</v>
      </c>
      <c r="S167" s="16">
        <f>IFERROR(__xludf.DUMMYFUNCTION("""COMPUTED_VALUE"""),0.0)</f>
        <v>0</v>
      </c>
      <c r="T167" s="16">
        <f>IFERROR(__xludf.DUMMYFUNCTION("""COMPUTED_VALUE"""),0.0)</f>
        <v>0</v>
      </c>
      <c r="U167" s="16">
        <f>IFERROR(__xludf.DUMMYFUNCTION("""COMPUTED_VALUE"""),0.0)</f>
        <v>0</v>
      </c>
      <c r="V167" s="16">
        <f>IFERROR(__xludf.DUMMYFUNCTION("""COMPUTED_VALUE"""),0.0)</f>
        <v>0</v>
      </c>
      <c r="W167" s="16">
        <f>IFERROR(__xludf.DUMMYFUNCTION("""COMPUTED_VALUE"""),0.0)</f>
        <v>0</v>
      </c>
      <c r="X167" s="16">
        <f>IFERROR(__xludf.DUMMYFUNCTION("""COMPUTED_VALUE"""),0.0)</f>
        <v>0</v>
      </c>
      <c r="Y167" s="16">
        <f>IFERROR(__xludf.DUMMYFUNCTION("""COMPUTED_VALUE"""),0.0)</f>
        <v>0</v>
      </c>
      <c r="Z167" s="16">
        <f>IFERROR(__xludf.DUMMYFUNCTION("""COMPUTED_VALUE"""),0.0)</f>
        <v>0</v>
      </c>
      <c r="AA167" s="16">
        <f>IFERROR(__xludf.DUMMYFUNCTION("""COMPUTED_VALUE"""),0.0)</f>
        <v>0</v>
      </c>
      <c r="AB167" s="16">
        <f>IFERROR(__xludf.DUMMYFUNCTION("""COMPUTED_VALUE"""),0.0)</f>
        <v>0</v>
      </c>
      <c r="AC167" s="16">
        <f>IFERROR(__xludf.DUMMYFUNCTION("""COMPUTED_VALUE"""),0.0)</f>
        <v>0</v>
      </c>
      <c r="AD167" s="16">
        <f>IFERROR(__xludf.DUMMYFUNCTION("""COMPUTED_VALUE"""),0.0)</f>
        <v>0</v>
      </c>
      <c r="AE167" s="16">
        <f>IFERROR(__xludf.DUMMYFUNCTION("""COMPUTED_VALUE"""),0.0)</f>
        <v>0</v>
      </c>
      <c r="AF167" s="16">
        <f>IFERROR(__xludf.DUMMYFUNCTION("""COMPUTED_VALUE"""),0.0)</f>
        <v>0</v>
      </c>
      <c r="AG167" s="16">
        <f>IFERROR(__xludf.DUMMYFUNCTION("""COMPUTED_VALUE"""),0.0)</f>
        <v>0</v>
      </c>
      <c r="AH167" s="16">
        <f>IFERROR(__xludf.DUMMYFUNCTION("""COMPUTED_VALUE"""),0.0)</f>
        <v>0</v>
      </c>
    </row>
    <row r="168">
      <c r="A168" s="16" t="str">
        <f>IFERROR(__xludf.DUMMYFUNCTION("""COMPUTED_VALUE"""),"94d808231f41a64988f80a2739e6a748f1278c28")</f>
        <v>94d808231f41a64988f80a2739e6a748f1278c28</v>
      </c>
      <c r="B168" s="16" t="str">
        <f>IFERROR(__xludf.DUMMYFUNCTION("""COMPUTED_VALUE"""),"My Amazing Husband's Life")</f>
        <v>My Amazing Husband's Life</v>
      </c>
      <c r="C168" s="16" t="str">
        <f>IFERROR(__xludf.DUMMYFUNCTION("""COMPUTED_VALUE"""),"Drama")</f>
        <v>Drama</v>
      </c>
      <c r="D168" s="16">
        <f>IFERROR(__xludf.DUMMYFUNCTION("""COMPUTED_VALUE"""),70.0)</f>
        <v>70</v>
      </c>
      <c r="E168" s="16">
        <f>IFERROR(__xludf.DUMMYFUNCTION("""COMPUTED_VALUE"""),0.942857142857142)</f>
        <v>0.9428571429</v>
      </c>
      <c r="F168" s="16">
        <f>IFERROR(__xludf.DUMMYFUNCTION("""COMPUTED_VALUE"""),0.571428571428571)</f>
        <v>0.5714285714</v>
      </c>
      <c r="G168" s="16">
        <f>IFERROR(__xludf.DUMMYFUNCTION("""COMPUTED_VALUE"""),0.428571428571428)</f>
        <v>0.4285714286</v>
      </c>
      <c r="H168" s="16">
        <f>IFERROR(__xludf.DUMMYFUNCTION("""COMPUTED_VALUE"""),0.328571428571428)</f>
        <v>0.3285714286</v>
      </c>
      <c r="I168" s="16">
        <f>IFERROR(__xludf.DUMMYFUNCTION("""COMPUTED_VALUE"""),0.271428571428571)</f>
        <v>0.2714285714</v>
      </c>
      <c r="J168" s="16">
        <f>IFERROR(__xludf.DUMMYFUNCTION("""COMPUTED_VALUE"""),0.196969696969696)</f>
        <v>0.196969697</v>
      </c>
      <c r="K168" s="16">
        <f>IFERROR(__xludf.DUMMYFUNCTION("""COMPUTED_VALUE"""),0.196721311475409)</f>
        <v>0.1967213115</v>
      </c>
      <c r="L168" s="16">
        <f>IFERROR(__xludf.DUMMYFUNCTION("""COMPUTED_VALUE"""),0.196428571428571)</f>
        <v>0.1964285714</v>
      </c>
      <c r="M168" s="16">
        <f>IFERROR(__xludf.DUMMYFUNCTION("""COMPUTED_VALUE"""),0.2)</f>
        <v>0.2</v>
      </c>
      <c r="N168" s="16">
        <f>IFERROR(__xludf.DUMMYFUNCTION("""COMPUTED_VALUE"""),0.183673469387755)</f>
        <v>0.1836734694</v>
      </c>
      <c r="O168" s="16">
        <f>IFERROR(__xludf.DUMMYFUNCTION("""COMPUTED_VALUE"""),0.166666666666666)</f>
        <v>0.1666666667</v>
      </c>
      <c r="P168" s="16">
        <f>IFERROR(__xludf.DUMMYFUNCTION("""COMPUTED_VALUE"""),0.111111111111111)</f>
        <v>0.1111111111</v>
      </c>
      <c r="Q168" s="16">
        <f>IFERROR(__xludf.DUMMYFUNCTION("""COMPUTED_VALUE"""),0.0)</f>
        <v>0</v>
      </c>
      <c r="R168" s="16">
        <f>IFERROR(__xludf.DUMMYFUNCTION("""COMPUTED_VALUE"""),0.0)</f>
        <v>0</v>
      </c>
      <c r="S168" s="16">
        <f>IFERROR(__xludf.DUMMYFUNCTION("""COMPUTED_VALUE"""),0.0)</f>
        <v>0</v>
      </c>
      <c r="T168" s="16">
        <f>IFERROR(__xludf.DUMMYFUNCTION("""COMPUTED_VALUE"""),0.0)</f>
        <v>0</v>
      </c>
      <c r="U168" s="16">
        <f>IFERROR(__xludf.DUMMYFUNCTION("""COMPUTED_VALUE"""),0.0)</f>
        <v>0</v>
      </c>
      <c r="V168" s="16">
        <f>IFERROR(__xludf.DUMMYFUNCTION("""COMPUTED_VALUE"""),0.0)</f>
        <v>0</v>
      </c>
      <c r="W168" s="16">
        <f>IFERROR(__xludf.DUMMYFUNCTION("""COMPUTED_VALUE"""),0.0)</f>
        <v>0</v>
      </c>
      <c r="X168" s="16">
        <f>IFERROR(__xludf.DUMMYFUNCTION("""COMPUTED_VALUE"""),0.0)</f>
        <v>0</v>
      </c>
      <c r="Y168" s="16">
        <f>IFERROR(__xludf.DUMMYFUNCTION("""COMPUTED_VALUE"""),0.0)</f>
        <v>0</v>
      </c>
      <c r="Z168" s="16">
        <f>IFERROR(__xludf.DUMMYFUNCTION("""COMPUTED_VALUE"""),0.0)</f>
        <v>0</v>
      </c>
      <c r="AA168" s="16">
        <f>IFERROR(__xludf.DUMMYFUNCTION("""COMPUTED_VALUE"""),0.0)</f>
        <v>0</v>
      </c>
      <c r="AB168" s="16">
        <f>IFERROR(__xludf.DUMMYFUNCTION("""COMPUTED_VALUE"""),0.0)</f>
        <v>0</v>
      </c>
      <c r="AC168" s="16">
        <f>IFERROR(__xludf.DUMMYFUNCTION("""COMPUTED_VALUE"""),0.0)</f>
        <v>0</v>
      </c>
      <c r="AD168" s="16">
        <f>IFERROR(__xludf.DUMMYFUNCTION("""COMPUTED_VALUE"""),0.0)</f>
        <v>0</v>
      </c>
      <c r="AE168" s="16">
        <f>IFERROR(__xludf.DUMMYFUNCTION("""COMPUTED_VALUE"""),0.0)</f>
        <v>0</v>
      </c>
      <c r="AF168" s="16">
        <f>IFERROR(__xludf.DUMMYFUNCTION("""COMPUTED_VALUE"""),0.0)</f>
        <v>0</v>
      </c>
      <c r="AG168" s="16">
        <f>IFERROR(__xludf.DUMMYFUNCTION("""COMPUTED_VALUE"""),0.0)</f>
        <v>0</v>
      </c>
      <c r="AH168" s="16">
        <f>IFERROR(__xludf.DUMMYFUNCTION("""COMPUTED_VALUE"""),0.0)</f>
        <v>0</v>
      </c>
    </row>
    <row r="169">
      <c r="A169" s="16" t="str">
        <f>IFERROR(__xludf.DUMMYFUNCTION("""COMPUTED_VALUE"""),"95cfee76565a1eb0481e08f4f0da75fa4a0cdb74")</f>
        <v>95cfee76565a1eb0481e08f4f0da75fa4a0cdb74</v>
      </c>
      <c r="B169" s="16" t="str">
        <f>IFERROR(__xludf.DUMMYFUNCTION("""COMPUTED_VALUE"""),"Revenge Called Athena")</f>
        <v>Revenge Called Athena</v>
      </c>
      <c r="C169" s="16" t="str">
        <f>IFERROR(__xludf.DUMMYFUNCTION("""COMPUTED_VALUE"""),"Drama")</f>
        <v>Drama</v>
      </c>
      <c r="D169" s="16">
        <f>IFERROR(__xludf.DUMMYFUNCTION("""COMPUTED_VALUE"""),834.0)</f>
        <v>834</v>
      </c>
      <c r="E169" s="16">
        <f>IFERROR(__xludf.DUMMYFUNCTION("""COMPUTED_VALUE"""),0.948441247002398)</f>
        <v>0.948441247</v>
      </c>
      <c r="F169" s="16">
        <f>IFERROR(__xludf.DUMMYFUNCTION("""COMPUTED_VALUE"""),0.703836930455635)</f>
        <v>0.7038369305</v>
      </c>
      <c r="G169" s="16">
        <f>IFERROR(__xludf.DUMMYFUNCTION("""COMPUTED_VALUE"""),0.65947242206235)</f>
        <v>0.6594724221</v>
      </c>
      <c r="H169" s="16">
        <f>IFERROR(__xludf.DUMMYFUNCTION("""COMPUTED_VALUE"""),0.628297362110311)</f>
        <v>0.6282973621</v>
      </c>
      <c r="I169" s="16">
        <f>IFERROR(__xludf.DUMMYFUNCTION("""COMPUTED_VALUE"""),0.607913669064748)</f>
        <v>0.6079136691</v>
      </c>
      <c r="J169" s="16">
        <f>IFERROR(__xludf.DUMMYFUNCTION("""COMPUTED_VALUE"""),0.58273381294964)</f>
        <v>0.5827338129</v>
      </c>
      <c r="K169" s="16">
        <f>IFERROR(__xludf.DUMMYFUNCTION("""COMPUTED_VALUE"""),0.559423769507803)</f>
        <v>0.5594237695</v>
      </c>
      <c r="L169" s="16">
        <f>IFERROR(__xludf.DUMMYFUNCTION("""COMPUTED_VALUE"""),0.53125)</f>
        <v>0.53125</v>
      </c>
      <c r="M169" s="16">
        <f>IFERROR(__xludf.DUMMYFUNCTION("""COMPUTED_VALUE"""),0.520432692307692)</f>
        <v>0.5204326923</v>
      </c>
      <c r="N169" s="16">
        <f>IFERROR(__xludf.DUMMYFUNCTION("""COMPUTED_VALUE"""),0.517448856799037)</f>
        <v>0.5174488568</v>
      </c>
      <c r="O169" s="16">
        <f>IFERROR(__xludf.DUMMYFUNCTION("""COMPUTED_VALUE"""),0.456865127582017)</f>
        <v>0.4568651276</v>
      </c>
      <c r="P169" s="16">
        <f>IFERROR(__xludf.DUMMYFUNCTION("""COMPUTED_VALUE"""),0.396341463414634)</f>
        <v>0.3963414634</v>
      </c>
      <c r="Q169" s="16">
        <f>IFERROR(__xludf.DUMMYFUNCTION("""COMPUTED_VALUE"""),0.292783505154639)</f>
        <v>0.2927835052</v>
      </c>
      <c r="R169" s="16">
        <f>IFERROR(__xludf.DUMMYFUNCTION("""COMPUTED_VALUE"""),0.153846153846153)</f>
        <v>0.1538461538</v>
      </c>
      <c r="S169" s="16">
        <f>IFERROR(__xludf.DUMMYFUNCTION("""COMPUTED_VALUE"""),0.5)</f>
        <v>0.5</v>
      </c>
      <c r="T169" s="16">
        <f>IFERROR(__xludf.DUMMYFUNCTION("""COMPUTED_VALUE"""),0.0)</f>
        <v>0</v>
      </c>
      <c r="U169" s="16">
        <f>IFERROR(__xludf.DUMMYFUNCTION("""COMPUTED_VALUE"""),0.0)</f>
        <v>0</v>
      </c>
      <c r="V169" s="16">
        <f>IFERROR(__xludf.DUMMYFUNCTION("""COMPUTED_VALUE"""),0.0)</f>
        <v>0</v>
      </c>
      <c r="W169" s="16">
        <f>IFERROR(__xludf.DUMMYFUNCTION("""COMPUTED_VALUE"""),0.0)</f>
        <v>0</v>
      </c>
      <c r="X169" s="16">
        <f>IFERROR(__xludf.DUMMYFUNCTION("""COMPUTED_VALUE"""),0.0)</f>
        <v>0</v>
      </c>
      <c r="Y169" s="16">
        <f>IFERROR(__xludf.DUMMYFUNCTION("""COMPUTED_VALUE"""),0.0)</f>
        <v>0</v>
      </c>
      <c r="Z169" s="16">
        <f>IFERROR(__xludf.DUMMYFUNCTION("""COMPUTED_VALUE"""),0.0)</f>
        <v>0</v>
      </c>
      <c r="AA169" s="16">
        <f>IFERROR(__xludf.DUMMYFUNCTION("""COMPUTED_VALUE"""),0.0)</f>
        <v>0</v>
      </c>
      <c r="AB169" s="16">
        <f>IFERROR(__xludf.DUMMYFUNCTION("""COMPUTED_VALUE"""),0.0)</f>
        <v>0</v>
      </c>
      <c r="AC169" s="16">
        <f>IFERROR(__xludf.DUMMYFUNCTION("""COMPUTED_VALUE"""),0.0)</f>
        <v>0</v>
      </c>
      <c r="AD169" s="16">
        <f>IFERROR(__xludf.DUMMYFUNCTION("""COMPUTED_VALUE"""),0.0)</f>
        <v>0</v>
      </c>
      <c r="AE169" s="16">
        <f>IFERROR(__xludf.DUMMYFUNCTION("""COMPUTED_VALUE"""),0.0)</f>
        <v>0</v>
      </c>
      <c r="AF169" s="16">
        <f>IFERROR(__xludf.DUMMYFUNCTION("""COMPUTED_VALUE"""),0.0)</f>
        <v>0</v>
      </c>
      <c r="AG169" s="16">
        <f>IFERROR(__xludf.DUMMYFUNCTION("""COMPUTED_VALUE"""),0.0)</f>
        <v>0</v>
      </c>
      <c r="AH169" s="16">
        <f>IFERROR(__xludf.DUMMYFUNCTION("""COMPUTED_VALUE"""),0.0)</f>
        <v>0</v>
      </c>
    </row>
    <row r="170">
      <c r="A170" s="16" t="str">
        <f>IFERROR(__xludf.DUMMYFUNCTION("""COMPUTED_VALUE"""),"964c4dbd3e851f0d215e0fc68b9c364303676665")</f>
        <v>964c4dbd3e851f0d215e0fc68b9c364303676665</v>
      </c>
      <c r="B170" s="16" t="str">
        <f>IFERROR(__xludf.DUMMYFUNCTION("""COMPUTED_VALUE"""),"The Governor's Wife")</f>
        <v>The Governor's Wife</v>
      </c>
      <c r="C170" s="16" t="str">
        <f>IFERROR(__xludf.DUMMYFUNCTION("""COMPUTED_VALUE"""),"Romance")</f>
        <v>Romance</v>
      </c>
      <c r="D170" s="16">
        <f>IFERROR(__xludf.DUMMYFUNCTION("""COMPUTED_VALUE"""),187.0)</f>
        <v>187</v>
      </c>
      <c r="E170" s="16">
        <f>IFERROR(__xludf.DUMMYFUNCTION("""COMPUTED_VALUE"""),0.946524064171123)</f>
        <v>0.9465240642</v>
      </c>
      <c r="F170" s="16">
        <f>IFERROR(__xludf.DUMMYFUNCTION("""COMPUTED_VALUE"""),0.754010695187165)</f>
        <v>0.7540106952</v>
      </c>
      <c r="G170" s="16">
        <f>IFERROR(__xludf.DUMMYFUNCTION("""COMPUTED_VALUE"""),0.74331550802139)</f>
        <v>0.743315508</v>
      </c>
      <c r="H170" s="16">
        <f>IFERROR(__xludf.DUMMYFUNCTION("""COMPUTED_VALUE"""),0.695187165775401)</f>
        <v>0.6951871658</v>
      </c>
      <c r="I170" s="16">
        <f>IFERROR(__xludf.DUMMYFUNCTION("""COMPUTED_VALUE"""),0.639784946236559)</f>
        <v>0.6397849462</v>
      </c>
      <c r="J170" s="16">
        <f>IFERROR(__xludf.DUMMYFUNCTION("""COMPUTED_VALUE"""),0.552486187845303)</f>
        <v>0.5524861878</v>
      </c>
      <c r="K170" s="16">
        <f>IFERROR(__xludf.DUMMYFUNCTION("""COMPUTED_VALUE"""),0.525423728813559)</f>
        <v>0.5254237288</v>
      </c>
      <c r="L170" s="16">
        <f>IFERROR(__xludf.DUMMYFUNCTION("""COMPUTED_VALUE"""),0.502994011976047)</f>
        <v>0.502994012</v>
      </c>
      <c r="M170" s="16">
        <f>IFERROR(__xludf.DUMMYFUNCTION("""COMPUTED_VALUE"""),0.477419354838709)</f>
        <v>0.4774193548</v>
      </c>
      <c r="N170" s="16">
        <f>IFERROR(__xludf.DUMMYFUNCTION("""COMPUTED_VALUE"""),0.380281690140845)</f>
        <v>0.3802816901</v>
      </c>
      <c r="O170" s="16">
        <f>IFERROR(__xludf.DUMMYFUNCTION("""COMPUTED_VALUE"""),0.337837837837837)</f>
        <v>0.3378378378</v>
      </c>
      <c r="P170" s="16">
        <f>IFERROR(__xludf.DUMMYFUNCTION("""COMPUTED_VALUE"""),0.4)</f>
        <v>0.4</v>
      </c>
      <c r="Q170" s="16">
        <f>IFERROR(__xludf.DUMMYFUNCTION("""COMPUTED_VALUE"""),0.0)</f>
        <v>0</v>
      </c>
      <c r="R170" s="16">
        <f>IFERROR(__xludf.DUMMYFUNCTION("""COMPUTED_VALUE"""),0.0)</f>
        <v>0</v>
      </c>
      <c r="S170" s="16">
        <f>IFERROR(__xludf.DUMMYFUNCTION("""COMPUTED_VALUE"""),0.0)</f>
        <v>0</v>
      </c>
      <c r="T170" s="16">
        <f>IFERROR(__xludf.DUMMYFUNCTION("""COMPUTED_VALUE"""),0.0)</f>
        <v>0</v>
      </c>
      <c r="U170" s="16">
        <f>IFERROR(__xludf.DUMMYFUNCTION("""COMPUTED_VALUE"""),0.0)</f>
        <v>0</v>
      </c>
      <c r="V170" s="16">
        <f>IFERROR(__xludf.DUMMYFUNCTION("""COMPUTED_VALUE"""),0.0)</f>
        <v>0</v>
      </c>
      <c r="W170" s="16">
        <f>IFERROR(__xludf.DUMMYFUNCTION("""COMPUTED_VALUE"""),0.0)</f>
        <v>0</v>
      </c>
      <c r="X170" s="16">
        <f>IFERROR(__xludf.DUMMYFUNCTION("""COMPUTED_VALUE"""),0.0)</f>
        <v>0</v>
      </c>
      <c r="Y170" s="16">
        <f>IFERROR(__xludf.DUMMYFUNCTION("""COMPUTED_VALUE"""),0.0)</f>
        <v>0</v>
      </c>
      <c r="Z170" s="16">
        <f>IFERROR(__xludf.DUMMYFUNCTION("""COMPUTED_VALUE"""),0.0)</f>
        <v>0</v>
      </c>
      <c r="AA170" s="16">
        <f>IFERROR(__xludf.DUMMYFUNCTION("""COMPUTED_VALUE"""),0.0)</f>
        <v>0</v>
      </c>
      <c r="AB170" s="16">
        <f>IFERROR(__xludf.DUMMYFUNCTION("""COMPUTED_VALUE"""),0.0)</f>
        <v>0</v>
      </c>
      <c r="AC170" s="16">
        <f>IFERROR(__xludf.DUMMYFUNCTION("""COMPUTED_VALUE"""),0.0)</f>
        <v>0</v>
      </c>
      <c r="AD170" s="16">
        <f>IFERROR(__xludf.DUMMYFUNCTION("""COMPUTED_VALUE"""),0.0)</f>
        <v>0</v>
      </c>
      <c r="AE170" s="16">
        <f>IFERROR(__xludf.DUMMYFUNCTION("""COMPUTED_VALUE"""),0.0)</f>
        <v>0</v>
      </c>
      <c r="AF170" s="16">
        <f>IFERROR(__xludf.DUMMYFUNCTION("""COMPUTED_VALUE"""),0.0)</f>
        <v>0</v>
      </c>
      <c r="AG170" s="16">
        <f>IFERROR(__xludf.DUMMYFUNCTION("""COMPUTED_VALUE"""),0.0)</f>
        <v>0</v>
      </c>
      <c r="AH170" s="16">
        <f>IFERROR(__xludf.DUMMYFUNCTION("""COMPUTED_VALUE"""),0.0)</f>
        <v>0</v>
      </c>
    </row>
    <row r="171">
      <c r="A171" s="16" t="str">
        <f>IFERROR(__xludf.DUMMYFUNCTION("""COMPUTED_VALUE"""),"96f6721dc499b730f42b02d86e640d682f4f665d")</f>
        <v>96f6721dc499b730f42b02d86e640d682f4f665d</v>
      </c>
      <c r="B171" s="16" t="str">
        <f>IFERROR(__xludf.DUMMYFUNCTION("""COMPUTED_VALUE"""),"Last Witch of Swendel")</f>
        <v>Last Witch of Swendel</v>
      </c>
      <c r="C171" s="16" t="str">
        <f>IFERROR(__xludf.DUMMYFUNCTION("""COMPUTED_VALUE"""),"Romantasy")</f>
        <v>Romantasy</v>
      </c>
      <c r="D171" s="16">
        <f>IFERROR(__xludf.DUMMYFUNCTION("""COMPUTED_VALUE"""),1564.0)</f>
        <v>1564</v>
      </c>
      <c r="E171" s="16">
        <f>IFERROR(__xludf.DUMMYFUNCTION("""COMPUTED_VALUE"""),0.968670076726342)</f>
        <v>0.9686700767</v>
      </c>
      <c r="F171" s="16">
        <f>IFERROR(__xludf.DUMMYFUNCTION("""COMPUTED_VALUE"""),0.54156010230179)</f>
        <v>0.5415601023</v>
      </c>
      <c r="G171" s="16">
        <f>IFERROR(__xludf.DUMMYFUNCTION("""COMPUTED_VALUE"""),0.493606138107416)</f>
        <v>0.4936061381</v>
      </c>
      <c r="H171" s="16">
        <f>IFERROR(__xludf.DUMMYFUNCTION("""COMPUTED_VALUE"""),0.449488491048593)</f>
        <v>0.449488491</v>
      </c>
      <c r="I171" s="16">
        <f>IFERROR(__xludf.DUMMYFUNCTION("""COMPUTED_VALUE"""),0.421355498721227)</f>
        <v>0.4213554987</v>
      </c>
      <c r="J171" s="16">
        <f>IFERROR(__xludf.DUMMYFUNCTION("""COMPUTED_VALUE"""),0.406649616368286)</f>
        <v>0.4066496164</v>
      </c>
      <c r="K171" s="16">
        <f>IFERROR(__xludf.DUMMYFUNCTION("""COMPUTED_VALUE"""),0.388107416879795)</f>
        <v>0.3881074169</v>
      </c>
      <c r="L171" s="16">
        <f>IFERROR(__xludf.DUMMYFUNCTION("""COMPUTED_VALUE"""),0.37619961612284)</f>
        <v>0.3761996161</v>
      </c>
      <c r="M171" s="16">
        <f>IFERROR(__xludf.DUMMYFUNCTION("""COMPUTED_VALUE"""),0.367882277671145)</f>
        <v>0.3678822777</v>
      </c>
      <c r="N171" s="16">
        <f>IFERROR(__xludf.DUMMYFUNCTION("""COMPUTED_VALUE"""),0.359154929577464)</f>
        <v>0.3591549296</v>
      </c>
      <c r="O171" s="16">
        <f>IFERROR(__xludf.DUMMYFUNCTION("""COMPUTED_VALUE"""),0.336754329698524)</f>
        <v>0.3367543297</v>
      </c>
      <c r="P171" s="16">
        <f>IFERROR(__xludf.DUMMYFUNCTION("""COMPUTED_VALUE"""),0.269205939315687)</f>
        <v>0.2692059393</v>
      </c>
      <c r="Q171" s="16">
        <f>IFERROR(__xludf.DUMMYFUNCTION("""COMPUTED_VALUE"""),0.225148123765635)</f>
        <v>0.2251481238</v>
      </c>
      <c r="R171" s="16">
        <f>IFERROR(__xludf.DUMMYFUNCTION("""COMPUTED_VALUE"""),0.163194444444444)</f>
        <v>0.1631944444</v>
      </c>
      <c r="S171" s="16">
        <f>IFERROR(__xludf.DUMMYFUNCTION("""COMPUTED_VALUE"""),0.115315315315315)</f>
        <v>0.1153153153</v>
      </c>
      <c r="T171" s="16">
        <f>IFERROR(__xludf.DUMMYFUNCTION("""COMPUTED_VALUE"""),0.0916030534351145)</f>
        <v>0.09160305344</v>
      </c>
      <c r="U171" s="16">
        <f>IFERROR(__xludf.DUMMYFUNCTION("""COMPUTED_VALUE"""),0.0710059171597633)</f>
        <v>0.07100591716</v>
      </c>
      <c r="V171" s="16">
        <f>IFERROR(__xludf.DUMMYFUNCTION("""COMPUTED_VALUE"""),0.0681818181818181)</f>
        <v>0.06818181818</v>
      </c>
      <c r="W171" s="16">
        <f>IFERROR(__xludf.DUMMYFUNCTION("""COMPUTED_VALUE"""),0.0806451612903225)</f>
        <v>0.08064516129</v>
      </c>
      <c r="X171" s="16">
        <f>IFERROR(__xludf.DUMMYFUNCTION("""COMPUTED_VALUE"""),0.0)</f>
        <v>0</v>
      </c>
      <c r="Y171" s="16">
        <f>IFERROR(__xludf.DUMMYFUNCTION("""COMPUTED_VALUE"""),0.0)</f>
        <v>0</v>
      </c>
      <c r="Z171" s="16">
        <f>IFERROR(__xludf.DUMMYFUNCTION("""COMPUTED_VALUE"""),0.0)</f>
        <v>0</v>
      </c>
      <c r="AA171" s="16">
        <f>IFERROR(__xludf.DUMMYFUNCTION("""COMPUTED_VALUE"""),0.0)</f>
        <v>0</v>
      </c>
      <c r="AB171" s="16">
        <f>IFERROR(__xludf.DUMMYFUNCTION("""COMPUTED_VALUE"""),0.0)</f>
        <v>0</v>
      </c>
      <c r="AC171" s="16">
        <f>IFERROR(__xludf.DUMMYFUNCTION("""COMPUTED_VALUE"""),0.0)</f>
        <v>0</v>
      </c>
      <c r="AD171" s="16">
        <f>IFERROR(__xludf.DUMMYFUNCTION("""COMPUTED_VALUE"""),0.0)</f>
        <v>0</v>
      </c>
      <c r="AE171" s="16">
        <f>IFERROR(__xludf.DUMMYFUNCTION("""COMPUTED_VALUE"""),0.0)</f>
        <v>0</v>
      </c>
      <c r="AF171" s="16">
        <f>IFERROR(__xludf.DUMMYFUNCTION("""COMPUTED_VALUE"""),0.0)</f>
        <v>0</v>
      </c>
      <c r="AG171" s="16">
        <f>IFERROR(__xludf.DUMMYFUNCTION("""COMPUTED_VALUE"""),0.0)</f>
        <v>0</v>
      </c>
      <c r="AH171" s="16">
        <f>IFERROR(__xludf.DUMMYFUNCTION("""COMPUTED_VALUE"""),0.0)</f>
        <v>0</v>
      </c>
    </row>
    <row r="172">
      <c r="A172" s="16" t="str">
        <f>IFERROR(__xludf.DUMMYFUNCTION("""COMPUTED_VALUE"""),"97bf3d3427830d8b1bc0c5929b0c0832cbf02a25")</f>
        <v>97bf3d3427830d8b1bc0c5929b0c0832cbf02a25</v>
      </c>
      <c r="B172" s="16" t="str">
        <f>IFERROR(__xludf.DUMMYFUNCTION("""COMPUTED_VALUE"""),"The Miraculous Physician")</f>
        <v>The Miraculous Physician</v>
      </c>
      <c r="C172" s="16" t="str">
        <f>IFERROR(__xludf.DUMMYFUNCTION("""COMPUTED_VALUE"""),"System and Superpower")</f>
        <v>System and Superpower</v>
      </c>
      <c r="D172" s="16">
        <f>IFERROR(__xludf.DUMMYFUNCTION("""COMPUTED_VALUE"""),62.0)</f>
        <v>62</v>
      </c>
      <c r="E172" s="16">
        <f>IFERROR(__xludf.DUMMYFUNCTION("""COMPUTED_VALUE"""),0.919354838709677)</f>
        <v>0.9193548387</v>
      </c>
      <c r="F172" s="16">
        <f>IFERROR(__xludf.DUMMYFUNCTION("""COMPUTED_VALUE"""),0.5)</f>
        <v>0.5</v>
      </c>
      <c r="G172" s="16">
        <f>IFERROR(__xludf.DUMMYFUNCTION("""COMPUTED_VALUE"""),0.354838709677419)</f>
        <v>0.3548387097</v>
      </c>
      <c r="H172" s="16">
        <f>IFERROR(__xludf.DUMMYFUNCTION("""COMPUTED_VALUE"""),0.370967741935483)</f>
        <v>0.3709677419</v>
      </c>
      <c r="I172" s="16">
        <f>IFERROR(__xludf.DUMMYFUNCTION("""COMPUTED_VALUE"""),0.370967741935483)</f>
        <v>0.3709677419</v>
      </c>
      <c r="J172" s="16">
        <f>IFERROR(__xludf.DUMMYFUNCTION("""COMPUTED_VALUE"""),0.338983050847457)</f>
        <v>0.3389830508</v>
      </c>
      <c r="K172" s="16">
        <f>IFERROR(__xludf.DUMMYFUNCTION("""COMPUTED_VALUE"""),0.267857142857142)</f>
        <v>0.2678571429</v>
      </c>
      <c r="L172" s="16">
        <f>IFERROR(__xludf.DUMMYFUNCTION("""COMPUTED_VALUE"""),0.259259259259259)</f>
        <v>0.2592592593</v>
      </c>
      <c r="M172" s="16">
        <f>IFERROR(__xludf.DUMMYFUNCTION("""COMPUTED_VALUE"""),0.196078431372549)</f>
        <v>0.1960784314</v>
      </c>
      <c r="N172" s="16">
        <f>IFERROR(__xludf.DUMMYFUNCTION("""COMPUTED_VALUE"""),0.176470588235294)</f>
        <v>0.1764705882</v>
      </c>
      <c r="O172" s="16">
        <f>IFERROR(__xludf.DUMMYFUNCTION("""COMPUTED_VALUE"""),0.135135135135135)</f>
        <v>0.1351351351</v>
      </c>
      <c r="P172" s="16">
        <f>IFERROR(__xludf.DUMMYFUNCTION("""COMPUTED_VALUE"""),0.0)</f>
        <v>0</v>
      </c>
      <c r="Q172" s="16">
        <f>IFERROR(__xludf.DUMMYFUNCTION("""COMPUTED_VALUE"""),0.0)</f>
        <v>0</v>
      </c>
      <c r="R172" s="16">
        <f>IFERROR(__xludf.DUMMYFUNCTION("""COMPUTED_VALUE"""),0.0)</f>
        <v>0</v>
      </c>
      <c r="S172" s="16">
        <f>IFERROR(__xludf.DUMMYFUNCTION("""COMPUTED_VALUE"""),0.0)</f>
        <v>0</v>
      </c>
      <c r="T172" s="16">
        <f>IFERROR(__xludf.DUMMYFUNCTION("""COMPUTED_VALUE"""),0.0)</f>
        <v>0</v>
      </c>
      <c r="U172" s="16">
        <f>IFERROR(__xludf.DUMMYFUNCTION("""COMPUTED_VALUE"""),0.0)</f>
        <v>0</v>
      </c>
      <c r="V172" s="16">
        <f>IFERROR(__xludf.DUMMYFUNCTION("""COMPUTED_VALUE"""),0.0)</f>
        <v>0</v>
      </c>
      <c r="W172" s="16">
        <f>IFERROR(__xludf.DUMMYFUNCTION("""COMPUTED_VALUE"""),0.0)</f>
        <v>0</v>
      </c>
      <c r="X172" s="16">
        <f>IFERROR(__xludf.DUMMYFUNCTION("""COMPUTED_VALUE"""),0.0)</f>
        <v>0</v>
      </c>
      <c r="Y172" s="16">
        <f>IFERROR(__xludf.DUMMYFUNCTION("""COMPUTED_VALUE"""),0.0)</f>
        <v>0</v>
      </c>
      <c r="Z172" s="16">
        <f>IFERROR(__xludf.DUMMYFUNCTION("""COMPUTED_VALUE"""),0.0)</f>
        <v>0</v>
      </c>
      <c r="AA172" s="16">
        <f>IFERROR(__xludf.DUMMYFUNCTION("""COMPUTED_VALUE"""),0.0)</f>
        <v>0</v>
      </c>
      <c r="AB172" s="16">
        <f>IFERROR(__xludf.DUMMYFUNCTION("""COMPUTED_VALUE"""),0.0)</f>
        <v>0</v>
      </c>
      <c r="AC172" s="16">
        <f>IFERROR(__xludf.DUMMYFUNCTION("""COMPUTED_VALUE"""),0.0)</f>
        <v>0</v>
      </c>
      <c r="AD172" s="16">
        <f>IFERROR(__xludf.DUMMYFUNCTION("""COMPUTED_VALUE"""),0.0)</f>
        <v>0</v>
      </c>
      <c r="AE172" s="16">
        <f>IFERROR(__xludf.DUMMYFUNCTION("""COMPUTED_VALUE"""),0.0)</f>
        <v>0</v>
      </c>
      <c r="AF172" s="16">
        <f>IFERROR(__xludf.DUMMYFUNCTION("""COMPUTED_VALUE"""),0.0)</f>
        <v>0</v>
      </c>
      <c r="AG172" s="16">
        <f>IFERROR(__xludf.DUMMYFUNCTION("""COMPUTED_VALUE"""),0.0)</f>
        <v>0</v>
      </c>
      <c r="AH172" s="16">
        <f>IFERROR(__xludf.DUMMYFUNCTION("""COMPUTED_VALUE"""),0.0)</f>
        <v>0</v>
      </c>
    </row>
    <row r="173">
      <c r="A173" s="16" t="str">
        <f>IFERROR(__xludf.DUMMYFUNCTION("""COMPUTED_VALUE"""),"97d2593a35303e42da5da630e9d8848fa086fc93")</f>
        <v>97d2593a35303e42da5da630e9d8848fa086fc93</v>
      </c>
      <c r="B173" s="16" t="str">
        <f>IFERROR(__xludf.DUMMYFUNCTION("""COMPUTED_VALUE"""),"Spying on My Rebel Alpha")</f>
        <v>Spying on My Rebel Alpha</v>
      </c>
      <c r="C173" s="16" t="str">
        <f>IFERROR(__xludf.DUMMYFUNCTION("""COMPUTED_VALUE"""),"Romantasy")</f>
        <v>Romantasy</v>
      </c>
      <c r="D173" s="16">
        <f>IFERROR(__xludf.DUMMYFUNCTION("""COMPUTED_VALUE"""),1170.0)</f>
        <v>1170</v>
      </c>
      <c r="E173" s="16">
        <f>IFERROR(__xludf.DUMMYFUNCTION("""COMPUTED_VALUE"""),0.975213675213675)</f>
        <v>0.9752136752</v>
      </c>
      <c r="F173" s="16">
        <f>IFERROR(__xludf.DUMMYFUNCTION("""COMPUTED_VALUE"""),0.541025641025641)</f>
        <v>0.541025641</v>
      </c>
      <c r="G173" s="16">
        <f>IFERROR(__xludf.DUMMYFUNCTION("""COMPUTED_VALUE"""),0.468376068376068)</f>
        <v>0.4683760684</v>
      </c>
      <c r="H173" s="16">
        <f>IFERROR(__xludf.DUMMYFUNCTION("""COMPUTED_VALUE"""),0.425641025641025)</f>
        <v>0.4256410256</v>
      </c>
      <c r="I173" s="16">
        <f>IFERROR(__xludf.DUMMYFUNCTION("""COMPUTED_VALUE"""),0.391452991452991)</f>
        <v>0.3914529915</v>
      </c>
      <c r="J173" s="16">
        <f>IFERROR(__xludf.DUMMYFUNCTION("""COMPUTED_VALUE"""),0.365269461077844)</f>
        <v>0.3652694611</v>
      </c>
      <c r="K173" s="16">
        <f>IFERROR(__xludf.DUMMYFUNCTION("""COMPUTED_VALUE"""),0.353293413173652)</f>
        <v>0.3532934132</v>
      </c>
      <c r="L173" s="16">
        <f>IFERROR(__xludf.DUMMYFUNCTION("""COMPUTED_VALUE"""),0.338765008576329)</f>
        <v>0.3387650086</v>
      </c>
      <c r="M173" s="16">
        <f>IFERROR(__xludf.DUMMYFUNCTION("""COMPUTED_VALUE"""),0.326689774696707)</f>
        <v>0.3266897747</v>
      </c>
      <c r="N173" s="16">
        <f>IFERROR(__xludf.DUMMYFUNCTION("""COMPUTED_VALUE"""),0.324276950043821)</f>
        <v>0.32427695</v>
      </c>
      <c r="O173" s="16">
        <f>IFERROR(__xludf.DUMMYFUNCTION("""COMPUTED_VALUE"""),0.282485875706214)</f>
        <v>0.2824858757</v>
      </c>
      <c r="P173" s="16">
        <f>IFERROR(__xludf.DUMMYFUNCTION("""COMPUTED_VALUE"""),0.231863442389758)</f>
        <v>0.2318634424</v>
      </c>
      <c r="Q173" s="16">
        <f>IFERROR(__xludf.DUMMYFUNCTION("""COMPUTED_VALUE"""),0.114155251141552)</f>
        <v>0.1141552511</v>
      </c>
      <c r="R173" s="16">
        <f>IFERROR(__xludf.DUMMYFUNCTION("""COMPUTED_VALUE"""),0.0)</f>
        <v>0</v>
      </c>
      <c r="S173" s="16">
        <f>IFERROR(__xludf.DUMMYFUNCTION("""COMPUTED_VALUE"""),0.0)</f>
        <v>0</v>
      </c>
      <c r="T173" s="16">
        <f>IFERROR(__xludf.DUMMYFUNCTION("""COMPUTED_VALUE"""),0.0)</f>
        <v>0</v>
      </c>
      <c r="U173" s="16">
        <f>IFERROR(__xludf.DUMMYFUNCTION("""COMPUTED_VALUE"""),0.0)</f>
        <v>0</v>
      </c>
      <c r="V173" s="16">
        <f>IFERROR(__xludf.DUMMYFUNCTION("""COMPUTED_VALUE"""),0.0)</f>
        <v>0</v>
      </c>
      <c r="W173" s="16">
        <f>IFERROR(__xludf.DUMMYFUNCTION("""COMPUTED_VALUE"""),0.0)</f>
        <v>0</v>
      </c>
      <c r="X173" s="16">
        <f>IFERROR(__xludf.DUMMYFUNCTION("""COMPUTED_VALUE"""),0.0)</f>
        <v>0</v>
      </c>
      <c r="Y173" s="16">
        <f>IFERROR(__xludf.DUMMYFUNCTION("""COMPUTED_VALUE"""),0.0)</f>
        <v>0</v>
      </c>
      <c r="Z173" s="16">
        <f>IFERROR(__xludf.DUMMYFUNCTION("""COMPUTED_VALUE"""),0.0)</f>
        <v>0</v>
      </c>
      <c r="AA173" s="16">
        <f>IFERROR(__xludf.DUMMYFUNCTION("""COMPUTED_VALUE"""),0.0)</f>
        <v>0</v>
      </c>
      <c r="AB173" s="16">
        <f>IFERROR(__xludf.DUMMYFUNCTION("""COMPUTED_VALUE"""),0.0)</f>
        <v>0</v>
      </c>
      <c r="AC173" s="16">
        <f>IFERROR(__xludf.DUMMYFUNCTION("""COMPUTED_VALUE"""),0.0)</f>
        <v>0</v>
      </c>
      <c r="AD173" s="16">
        <f>IFERROR(__xludf.DUMMYFUNCTION("""COMPUTED_VALUE"""),0.0)</f>
        <v>0</v>
      </c>
      <c r="AE173" s="16">
        <f>IFERROR(__xludf.DUMMYFUNCTION("""COMPUTED_VALUE"""),0.0)</f>
        <v>0</v>
      </c>
      <c r="AF173" s="16">
        <f>IFERROR(__xludf.DUMMYFUNCTION("""COMPUTED_VALUE"""),0.0)</f>
        <v>0</v>
      </c>
      <c r="AG173" s="16">
        <f>IFERROR(__xludf.DUMMYFUNCTION("""COMPUTED_VALUE"""),0.0)</f>
        <v>0</v>
      </c>
      <c r="AH173" s="16">
        <f>IFERROR(__xludf.DUMMYFUNCTION("""COMPUTED_VALUE"""),0.0)</f>
        <v>0</v>
      </c>
    </row>
    <row r="174">
      <c r="A174" s="16" t="str">
        <f>IFERROR(__xludf.DUMMYFUNCTION("""COMPUTED_VALUE"""),"9897c34ca7143cb319fd56943504e8f8be1550c2")</f>
        <v>9897c34ca7143cb319fd56943504e8f8be1550c2</v>
      </c>
      <c r="B174" s="16" t="str">
        <f>IFERROR(__xludf.DUMMYFUNCTION("""COMPUTED_VALUE"""),"Priced Royal Kiss")</f>
        <v>Priced Royal Kiss</v>
      </c>
      <c r="C174" s="16" t="str">
        <f>IFERROR(__xludf.DUMMYFUNCTION("""COMPUTED_VALUE"""),"Drama")</f>
        <v>Drama</v>
      </c>
      <c r="D174" s="16">
        <f>IFERROR(__xludf.DUMMYFUNCTION("""COMPUTED_VALUE"""),120.0)</f>
        <v>120</v>
      </c>
      <c r="E174" s="16">
        <f>IFERROR(__xludf.DUMMYFUNCTION("""COMPUTED_VALUE"""),0.95)</f>
        <v>0.95</v>
      </c>
      <c r="F174" s="16">
        <f>IFERROR(__xludf.DUMMYFUNCTION("""COMPUTED_VALUE"""),0.558333333333333)</f>
        <v>0.5583333333</v>
      </c>
      <c r="G174" s="16">
        <f>IFERROR(__xludf.DUMMYFUNCTION("""COMPUTED_VALUE"""),0.516666666666666)</f>
        <v>0.5166666667</v>
      </c>
      <c r="H174" s="16">
        <f>IFERROR(__xludf.DUMMYFUNCTION("""COMPUTED_VALUE"""),0.483333333333333)</f>
        <v>0.4833333333</v>
      </c>
      <c r="I174" s="16">
        <f>IFERROR(__xludf.DUMMYFUNCTION("""COMPUTED_VALUE"""),0.466666666666666)</f>
        <v>0.4666666667</v>
      </c>
      <c r="J174" s="16">
        <f>IFERROR(__xludf.DUMMYFUNCTION("""COMPUTED_VALUE"""),0.415254237288135)</f>
        <v>0.4152542373</v>
      </c>
      <c r="K174" s="16">
        <f>IFERROR(__xludf.DUMMYFUNCTION("""COMPUTED_VALUE"""),0.412280701754385)</f>
        <v>0.4122807018</v>
      </c>
      <c r="L174" s="16">
        <f>IFERROR(__xludf.DUMMYFUNCTION("""COMPUTED_VALUE"""),0.398230088495575)</f>
        <v>0.3982300885</v>
      </c>
      <c r="M174" s="16">
        <f>IFERROR(__xludf.DUMMYFUNCTION("""COMPUTED_VALUE"""),0.405405405405405)</f>
        <v>0.4054054054</v>
      </c>
      <c r="N174" s="16">
        <f>IFERROR(__xludf.DUMMYFUNCTION("""COMPUTED_VALUE"""),0.394495412844036)</f>
        <v>0.3944954128</v>
      </c>
      <c r="O174" s="16">
        <f>IFERROR(__xludf.DUMMYFUNCTION("""COMPUTED_VALUE"""),0.380434782608695)</f>
        <v>0.3804347826</v>
      </c>
      <c r="P174" s="16">
        <f>IFERROR(__xludf.DUMMYFUNCTION("""COMPUTED_VALUE"""),0.298507462686567)</f>
        <v>0.2985074627</v>
      </c>
      <c r="Q174" s="16">
        <f>IFERROR(__xludf.DUMMYFUNCTION("""COMPUTED_VALUE"""),0.174603174603174)</f>
        <v>0.1746031746</v>
      </c>
      <c r="R174" s="16">
        <f>IFERROR(__xludf.DUMMYFUNCTION("""COMPUTED_VALUE"""),0.2)</f>
        <v>0.2</v>
      </c>
      <c r="S174" s="16">
        <f>IFERROR(__xludf.DUMMYFUNCTION("""COMPUTED_VALUE"""),0.16)</f>
        <v>0.16</v>
      </c>
      <c r="T174" s="16">
        <f>IFERROR(__xludf.DUMMYFUNCTION("""COMPUTED_VALUE"""),0.116279069767441)</f>
        <v>0.1162790698</v>
      </c>
      <c r="U174" s="16">
        <f>IFERROR(__xludf.DUMMYFUNCTION("""COMPUTED_VALUE"""),0.0263157894736842)</f>
        <v>0.02631578947</v>
      </c>
      <c r="V174" s="16">
        <f>IFERROR(__xludf.DUMMYFUNCTION("""COMPUTED_VALUE"""),0.0)</f>
        <v>0</v>
      </c>
      <c r="W174" s="16">
        <f>IFERROR(__xludf.DUMMYFUNCTION("""COMPUTED_VALUE"""),0.0)</f>
        <v>0</v>
      </c>
      <c r="X174" s="16">
        <f>IFERROR(__xludf.DUMMYFUNCTION("""COMPUTED_VALUE"""),0.0)</f>
        <v>0</v>
      </c>
      <c r="Y174" s="16">
        <f>IFERROR(__xludf.DUMMYFUNCTION("""COMPUTED_VALUE"""),0.0)</f>
        <v>0</v>
      </c>
      <c r="Z174" s="16">
        <f>IFERROR(__xludf.DUMMYFUNCTION("""COMPUTED_VALUE"""),0.0)</f>
        <v>0</v>
      </c>
      <c r="AA174" s="16">
        <f>IFERROR(__xludf.DUMMYFUNCTION("""COMPUTED_VALUE"""),0.0)</f>
        <v>0</v>
      </c>
      <c r="AB174" s="16">
        <f>IFERROR(__xludf.DUMMYFUNCTION("""COMPUTED_VALUE"""),0.0)</f>
        <v>0</v>
      </c>
      <c r="AC174" s="16">
        <f>IFERROR(__xludf.DUMMYFUNCTION("""COMPUTED_VALUE"""),0.0)</f>
        <v>0</v>
      </c>
      <c r="AD174" s="16">
        <f>IFERROR(__xludf.DUMMYFUNCTION("""COMPUTED_VALUE"""),0.0)</f>
        <v>0</v>
      </c>
      <c r="AE174" s="16">
        <f>IFERROR(__xludf.DUMMYFUNCTION("""COMPUTED_VALUE"""),0.0)</f>
        <v>0</v>
      </c>
      <c r="AF174" s="16">
        <f>IFERROR(__xludf.DUMMYFUNCTION("""COMPUTED_VALUE"""),0.0)</f>
        <v>0</v>
      </c>
      <c r="AG174" s="16">
        <f>IFERROR(__xludf.DUMMYFUNCTION("""COMPUTED_VALUE"""),0.0)</f>
        <v>0</v>
      </c>
      <c r="AH174" s="16">
        <f>IFERROR(__xludf.DUMMYFUNCTION("""COMPUTED_VALUE"""),0.0)</f>
        <v>0</v>
      </c>
    </row>
    <row r="175">
      <c r="A175" s="16" t="str">
        <f>IFERROR(__xludf.DUMMYFUNCTION("""COMPUTED_VALUE"""),"9b25cb8fec3919f6398cf69f6cec44382a44749e")</f>
        <v>9b25cb8fec3919f6398cf69f6cec44382a44749e</v>
      </c>
      <c r="B175" s="16" t="str">
        <f>IFERROR(__xludf.DUMMYFUNCTION("""COMPUTED_VALUE"""),"The Immortal's Mark")</f>
        <v>The Immortal's Mark</v>
      </c>
      <c r="C175" s="16" t="str">
        <f>IFERROR(__xludf.DUMMYFUNCTION("""COMPUTED_VALUE"""),"Romantasy")</f>
        <v>Romantasy</v>
      </c>
      <c r="D175" s="16">
        <f>IFERROR(__xludf.DUMMYFUNCTION("""COMPUTED_VALUE"""),1140.0)</f>
        <v>1140</v>
      </c>
      <c r="E175" s="16">
        <f>IFERROR(__xludf.DUMMYFUNCTION("""COMPUTED_VALUE"""),0.970175438596491)</f>
        <v>0.9701754386</v>
      </c>
      <c r="F175" s="16">
        <f>IFERROR(__xludf.DUMMYFUNCTION("""COMPUTED_VALUE"""),0.614035087719298)</f>
        <v>0.6140350877</v>
      </c>
      <c r="G175" s="16">
        <f>IFERROR(__xludf.DUMMYFUNCTION("""COMPUTED_VALUE"""),0.521052631578947)</f>
        <v>0.5210526316</v>
      </c>
      <c r="H175" s="16">
        <f>IFERROR(__xludf.DUMMYFUNCTION("""COMPUTED_VALUE"""),0.443859649122807)</f>
        <v>0.4438596491</v>
      </c>
      <c r="I175" s="16">
        <f>IFERROR(__xludf.DUMMYFUNCTION("""COMPUTED_VALUE"""),0.40438596491228)</f>
        <v>0.4043859649</v>
      </c>
      <c r="J175" s="16">
        <f>IFERROR(__xludf.DUMMYFUNCTION("""COMPUTED_VALUE"""),0.375992939099735)</f>
        <v>0.3759929391</v>
      </c>
      <c r="K175" s="16">
        <f>IFERROR(__xludf.DUMMYFUNCTION("""COMPUTED_VALUE"""),0.3475935828877)</f>
        <v>0.3475935829</v>
      </c>
      <c r="L175" s="16">
        <f>IFERROR(__xludf.DUMMYFUNCTION("""COMPUTED_VALUE"""),0.324663677130044)</f>
        <v>0.3246636771</v>
      </c>
      <c r="M175" s="16">
        <f>IFERROR(__xludf.DUMMYFUNCTION("""COMPUTED_VALUE"""),0.317117117117117)</f>
        <v>0.3171171171</v>
      </c>
      <c r="N175" s="16">
        <f>IFERROR(__xludf.DUMMYFUNCTION("""COMPUTED_VALUE"""),0.300090661831369)</f>
        <v>0.3000906618</v>
      </c>
      <c r="O175" s="16">
        <f>IFERROR(__xludf.DUMMYFUNCTION("""COMPUTED_VALUE"""),0.257249766136576)</f>
        <v>0.2572497661</v>
      </c>
      <c r="P175" s="16">
        <f>IFERROR(__xludf.DUMMYFUNCTION("""COMPUTED_VALUE"""),0.20662768031189)</f>
        <v>0.2066276803</v>
      </c>
      <c r="Q175" s="16">
        <f>IFERROR(__xludf.DUMMYFUNCTION("""COMPUTED_VALUE"""),0.138495092693565)</f>
        <v>0.1384950927</v>
      </c>
      <c r="R175" s="16">
        <f>IFERROR(__xludf.DUMMYFUNCTION("""COMPUTED_VALUE"""),0.11547619047619)</f>
        <v>0.1154761905</v>
      </c>
      <c r="S175" s="16">
        <f>IFERROR(__xludf.DUMMYFUNCTION("""COMPUTED_VALUE"""),0.0766129032258064)</f>
        <v>0.07661290323</v>
      </c>
      <c r="T175" s="16">
        <f>IFERROR(__xludf.DUMMYFUNCTION("""COMPUTED_VALUE"""),0.064516129032258)</f>
        <v>0.06451612903</v>
      </c>
      <c r="U175" s="16">
        <f>IFERROR(__xludf.DUMMYFUNCTION("""COMPUTED_VALUE"""),0.0695652173913043)</f>
        <v>0.06956521739</v>
      </c>
      <c r="V175" s="16">
        <f>IFERROR(__xludf.DUMMYFUNCTION("""COMPUTED_VALUE"""),0.0)</f>
        <v>0</v>
      </c>
      <c r="W175" s="16">
        <f>IFERROR(__xludf.DUMMYFUNCTION("""COMPUTED_VALUE"""),0.0)</f>
        <v>0</v>
      </c>
      <c r="X175" s="16">
        <f>IFERROR(__xludf.DUMMYFUNCTION("""COMPUTED_VALUE"""),0.0)</f>
        <v>0</v>
      </c>
      <c r="Y175" s="16">
        <f>IFERROR(__xludf.DUMMYFUNCTION("""COMPUTED_VALUE"""),0.0)</f>
        <v>0</v>
      </c>
      <c r="Z175" s="16">
        <f>IFERROR(__xludf.DUMMYFUNCTION("""COMPUTED_VALUE"""),0.0)</f>
        <v>0</v>
      </c>
      <c r="AA175" s="16">
        <f>IFERROR(__xludf.DUMMYFUNCTION("""COMPUTED_VALUE"""),0.0)</f>
        <v>0</v>
      </c>
      <c r="AB175" s="16">
        <f>IFERROR(__xludf.DUMMYFUNCTION("""COMPUTED_VALUE"""),0.0)</f>
        <v>0</v>
      </c>
      <c r="AC175" s="16">
        <f>IFERROR(__xludf.DUMMYFUNCTION("""COMPUTED_VALUE"""),0.0)</f>
        <v>0</v>
      </c>
      <c r="AD175" s="16">
        <f>IFERROR(__xludf.DUMMYFUNCTION("""COMPUTED_VALUE"""),0.0)</f>
        <v>0</v>
      </c>
      <c r="AE175" s="16">
        <f>IFERROR(__xludf.DUMMYFUNCTION("""COMPUTED_VALUE"""),0.0)</f>
        <v>0</v>
      </c>
      <c r="AF175" s="16">
        <f>IFERROR(__xludf.DUMMYFUNCTION("""COMPUTED_VALUE"""),0.0)</f>
        <v>0</v>
      </c>
      <c r="AG175" s="16">
        <f>IFERROR(__xludf.DUMMYFUNCTION("""COMPUTED_VALUE"""),0.0)</f>
        <v>0</v>
      </c>
      <c r="AH175" s="16">
        <f>IFERROR(__xludf.DUMMYFUNCTION("""COMPUTED_VALUE"""),0.0)</f>
        <v>0</v>
      </c>
    </row>
    <row r="176">
      <c r="A176" s="16" t="str">
        <f>IFERROR(__xludf.DUMMYFUNCTION("""COMPUTED_VALUE"""),"9c5a320e8591b0aad996347bc17f53479097ac00")</f>
        <v>9c5a320e8591b0aad996347bc17f53479097ac00</v>
      </c>
      <c r="B176" s="16" t="str">
        <f>IFERROR(__xludf.DUMMYFUNCTION("""COMPUTED_VALUE"""),"Dad's a Billionaire")</f>
        <v>Dad's a Billionaire</v>
      </c>
      <c r="C176" s="16" t="str">
        <f>IFERROR(__xludf.DUMMYFUNCTION("""COMPUTED_VALUE"""),"Romance")</f>
        <v>Romance</v>
      </c>
      <c r="D176" s="16">
        <f>IFERROR(__xludf.DUMMYFUNCTION("""COMPUTED_VALUE"""),130.0)</f>
        <v>130</v>
      </c>
      <c r="E176" s="16">
        <f>IFERROR(__xludf.DUMMYFUNCTION("""COMPUTED_VALUE"""),0.984615384615384)</f>
        <v>0.9846153846</v>
      </c>
      <c r="F176" s="16">
        <f>IFERROR(__xludf.DUMMYFUNCTION("""COMPUTED_VALUE"""),0.6)</f>
        <v>0.6</v>
      </c>
      <c r="G176" s="16">
        <f>IFERROR(__xludf.DUMMYFUNCTION("""COMPUTED_VALUE"""),0.446153846153846)</f>
        <v>0.4461538462</v>
      </c>
      <c r="H176" s="16">
        <f>IFERROR(__xludf.DUMMYFUNCTION("""COMPUTED_VALUE"""),0.4)</f>
        <v>0.4</v>
      </c>
      <c r="I176" s="16">
        <f>IFERROR(__xludf.DUMMYFUNCTION("""COMPUTED_VALUE"""),0.338461538461538)</f>
        <v>0.3384615385</v>
      </c>
      <c r="J176" s="16">
        <f>IFERROR(__xludf.DUMMYFUNCTION("""COMPUTED_VALUE"""),0.338983050847457)</f>
        <v>0.3389830508</v>
      </c>
      <c r="K176" s="16">
        <f>IFERROR(__xludf.DUMMYFUNCTION("""COMPUTED_VALUE"""),0.275229357798165)</f>
        <v>0.2752293578</v>
      </c>
      <c r="L176" s="16">
        <f>IFERROR(__xludf.DUMMYFUNCTION("""COMPUTED_VALUE"""),0.432432432432432)</f>
        <v>0.4324324324</v>
      </c>
      <c r="M176" s="16">
        <f>IFERROR(__xludf.DUMMYFUNCTION("""COMPUTED_VALUE"""),0.40983606557377)</f>
        <v>0.4098360656</v>
      </c>
      <c r="N176" s="16">
        <f>IFERROR(__xludf.DUMMYFUNCTION("""COMPUTED_VALUE"""),0.38)</f>
        <v>0.38</v>
      </c>
      <c r="O176" s="16">
        <f>IFERROR(__xludf.DUMMYFUNCTION("""COMPUTED_VALUE"""),0.4)</f>
        <v>0.4</v>
      </c>
      <c r="P176" s="16">
        <f>IFERROR(__xludf.DUMMYFUNCTION("""COMPUTED_VALUE"""),0.269230769230769)</f>
        <v>0.2692307692</v>
      </c>
      <c r="Q176" s="16">
        <f>IFERROR(__xludf.DUMMYFUNCTION("""COMPUTED_VALUE"""),0.0)</f>
        <v>0</v>
      </c>
      <c r="R176" s="16">
        <f>IFERROR(__xludf.DUMMYFUNCTION("""COMPUTED_VALUE"""),0.0)</f>
        <v>0</v>
      </c>
      <c r="S176" s="16">
        <f>IFERROR(__xludf.DUMMYFUNCTION("""COMPUTED_VALUE"""),0.0)</f>
        <v>0</v>
      </c>
      <c r="T176" s="16">
        <f>IFERROR(__xludf.DUMMYFUNCTION("""COMPUTED_VALUE"""),0.0)</f>
        <v>0</v>
      </c>
      <c r="U176" s="16">
        <f>IFERROR(__xludf.DUMMYFUNCTION("""COMPUTED_VALUE"""),0.0)</f>
        <v>0</v>
      </c>
      <c r="V176" s="16">
        <f>IFERROR(__xludf.DUMMYFUNCTION("""COMPUTED_VALUE"""),0.0)</f>
        <v>0</v>
      </c>
      <c r="W176" s="16">
        <f>IFERROR(__xludf.DUMMYFUNCTION("""COMPUTED_VALUE"""),0.0)</f>
        <v>0</v>
      </c>
      <c r="X176" s="16">
        <f>IFERROR(__xludf.DUMMYFUNCTION("""COMPUTED_VALUE"""),0.0)</f>
        <v>0</v>
      </c>
      <c r="Y176" s="16">
        <f>IFERROR(__xludf.DUMMYFUNCTION("""COMPUTED_VALUE"""),0.0)</f>
        <v>0</v>
      </c>
      <c r="Z176" s="16">
        <f>IFERROR(__xludf.DUMMYFUNCTION("""COMPUTED_VALUE"""),0.0)</f>
        <v>0</v>
      </c>
      <c r="AA176" s="16">
        <f>IFERROR(__xludf.DUMMYFUNCTION("""COMPUTED_VALUE"""),0.0)</f>
        <v>0</v>
      </c>
      <c r="AB176" s="16">
        <f>IFERROR(__xludf.DUMMYFUNCTION("""COMPUTED_VALUE"""),0.0)</f>
        <v>0</v>
      </c>
      <c r="AC176" s="16">
        <f>IFERROR(__xludf.DUMMYFUNCTION("""COMPUTED_VALUE"""),0.0)</f>
        <v>0</v>
      </c>
      <c r="AD176" s="16">
        <f>IFERROR(__xludf.DUMMYFUNCTION("""COMPUTED_VALUE"""),0.0)</f>
        <v>0</v>
      </c>
      <c r="AE176" s="16">
        <f>IFERROR(__xludf.DUMMYFUNCTION("""COMPUTED_VALUE"""),0.0)</f>
        <v>0</v>
      </c>
      <c r="AF176" s="16">
        <f>IFERROR(__xludf.DUMMYFUNCTION("""COMPUTED_VALUE"""),0.0)</f>
        <v>0</v>
      </c>
      <c r="AG176" s="16">
        <f>IFERROR(__xludf.DUMMYFUNCTION("""COMPUTED_VALUE"""),0.0)</f>
        <v>0</v>
      </c>
      <c r="AH176" s="16">
        <f>IFERROR(__xludf.DUMMYFUNCTION("""COMPUTED_VALUE"""),0.0)</f>
        <v>0</v>
      </c>
    </row>
    <row r="177">
      <c r="A177" s="16" t="str">
        <f>IFERROR(__xludf.DUMMYFUNCTION("""COMPUTED_VALUE"""),"9d3f3024e967ac2c104ada98aa10c481cd0f9e38")</f>
        <v>9d3f3024e967ac2c104ada98aa10c481cd0f9e38</v>
      </c>
      <c r="B177" s="16" t="str">
        <f>IFERROR(__xludf.DUMMYFUNCTION("""COMPUTED_VALUE"""),"The Wrong Mrs. Carter")</f>
        <v>The Wrong Mrs. Carter</v>
      </c>
      <c r="C177" s="16" t="str">
        <f>IFERROR(__xludf.DUMMYFUNCTION("""COMPUTED_VALUE"""),"Romance")</f>
        <v>Romance</v>
      </c>
      <c r="D177" s="16">
        <f>IFERROR(__xludf.DUMMYFUNCTION("""COMPUTED_VALUE"""),219.0)</f>
        <v>219</v>
      </c>
      <c r="E177" s="16">
        <f>IFERROR(__xludf.DUMMYFUNCTION("""COMPUTED_VALUE"""),0.958904109589041)</f>
        <v>0.9589041096</v>
      </c>
      <c r="F177" s="16">
        <f>IFERROR(__xludf.DUMMYFUNCTION("""COMPUTED_VALUE"""),0.643835616438356)</f>
        <v>0.6438356164</v>
      </c>
      <c r="G177" s="16">
        <f>IFERROR(__xludf.DUMMYFUNCTION("""COMPUTED_VALUE"""),0.611872146118721)</f>
        <v>0.6118721461</v>
      </c>
      <c r="H177" s="16">
        <f>IFERROR(__xludf.DUMMYFUNCTION("""COMPUTED_VALUE"""),0.557077625570776)</f>
        <v>0.5570776256</v>
      </c>
      <c r="I177" s="16">
        <f>IFERROR(__xludf.DUMMYFUNCTION("""COMPUTED_VALUE"""),0.525114155251141)</f>
        <v>0.5251141553</v>
      </c>
      <c r="J177" s="16">
        <f>IFERROR(__xludf.DUMMYFUNCTION("""COMPUTED_VALUE"""),0.529801324503311)</f>
        <v>0.5298013245</v>
      </c>
      <c r="K177" s="16">
        <f>IFERROR(__xludf.DUMMYFUNCTION("""COMPUTED_VALUE"""),0.523809523809523)</f>
        <v>0.5238095238</v>
      </c>
      <c r="L177" s="16">
        <f>IFERROR(__xludf.DUMMYFUNCTION("""COMPUTED_VALUE"""),0.410958904109589)</f>
        <v>0.4109589041</v>
      </c>
      <c r="M177" s="16">
        <f>IFERROR(__xludf.DUMMYFUNCTION("""COMPUTED_VALUE"""),0.35)</f>
        <v>0.35</v>
      </c>
      <c r="N177" s="16">
        <f>IFERROR(__xludf.DUMMYFUNCTION("""COMPUTED_VALUE"""),0.435897435897435)</f>
        <v>0.4358974359</v>
      </c>
      <c r="O177" s="16">
        <f>IFERROR(__xludf.DUMMYFUNCTION("""COMPUTED_VALUE"""),0.184210526315789)</f>
        <v>0.1842105263</v>
      </c>
      <c r="P177" s="16">
        <f>IFERROR(__xludf.DUMMYFUNCTION("""COMPUTED_VALUE"""),0.131578947368421)</f>
        <v>0.1315789474</v>
      </c>
      <c r="Q177" s="16">
        <f>IFERROR(__xludf.DUMMYFUNCTION("""COMPUTED_VALUE"""),0.0285714285714285)</f>
        <v>0.02857142857</v>
      </c>
      <c r="R177" s="16">
        <f>IFERROR(__xludf.DUMMYFUNCTION("""COMPUTED_VALUE"""),0.0)</f>
        <v>0</v>
      </c>
      <c r="S177" s="16">
        <f>IFERROR(__xludf.DUMMYFUNCTION("""COMPUTED_VALUE"""),0.0)</f>
        <v>0</v>
      </c>
      <c r="T177" s="16">
        <f>IFERROR(__xludf.DUMMYFUNCTION("""COMPUTED_VALUE"""),0.0)</f>
        <v>0</v>
      </c>
      <c r="U177" s="16">
        <f>IFERROR(__xludf.DUMMYFUNCTION("""COMPUTED_VALUE"""),0.0)</f>
        <v>0</v>
      </c>
      <c r="V177" s="16">
        <f>IFERROR(__xludf.DUMMYFUNCTION("""COMPUTED_VALUE"""),0.0)</f>
        <v>0</v>
      </c>
      <c r="W177" s="16">
        <f>IFERROR(__xludf.DUMMYFUNCTION("""COMPUTED_VALUE"""),0.0)</f>
        <v>0</v>
      </c>
      <c r="X177" s="16">
        <f>IFERROR(__xludf.DUMMYFUNCTION("""COMPUTED_VALUE"""),0.0)</f>
        <v>0</v>
      </c>
      <c r="Y177" s="16">
        <f>IFERROR(__xludf.DUMMYFUNCTION("""COMPUTED_VALUE"""),0.0)</f>
        <v>0</v>
      </c>
      <c r="Z177" s="16">
        <f>IFERROR(__xludf.DUMMYFUNCTION("""COMPUTED_VALUE"""),0.0)</f>
        <v>0</v>
      </c>
      <c r="AA177" s="16">
        <f>IFERROR(__xludf.DUMMYFUNCTION("""COMPUTED_VALUE"""),0.0)</f>
        <v>0</v>
      </c>
      <c r="AB177" s="16">
        <f>IFERROR(__xludf.DUMMYFUNCTION("""COMPUTED_VALUE"""),0.0)</f>
        <v>0</v>
      </c>
      <c r="AC177" s="16">
        <f>IFERROR(__xludf.DUMMYFUNCTION("""COMPUTED_VALUE"""),0.0)</f>
        <v>0</v>
      </c>
      <c r="AD177" s="16">
        <f>IFERROR(__xludf.DUMMYFUNCTION("""COMPUTED_VALUE"""),0.0)</f>
        <v>0</v>
      </c>
      <c r="AE177" s="16">
        <f>IFERROR(__xludf.DUMMYFUNCTION("""COMPUTED_VALUE"""),0.0)</f>
        <v>0</v>
      </c>
      <c r="AF177" s="16">
        <f>IFERROR(__xludf.DUMMYFUNCTION("""COMPUTED_VALUE"""),0.0)</f>
        <v>0</v>
      </c>
      <c r="AG177" s="16">
        <f>IFERROR(__xludf.DUMMYFUNCTION("""COMPUTED_VALUE"""),0.0)</f>
        <v>0</v>
      </c>
      <c r="AH177" s="16">
        <f>IFERROR(__xludf.DUMMYFUNCTION("""COMPUTED_VALUE"""),0.0)</f>
        <v>0</v>
      </c>
    </row>
    <row r="178">
      <c r="A178" s="16" t="str">
        <f>IFERROR(__xludf.DUMMYFUNCTION("""COMPUTED_VALUE"""),"9eb4932b6e7663416bee5ea2d2dd1b2ced5727be")</f>
        <v>9eb4932b6e7663416bee5ea2d2dd1b2ced5727be</v>
      </c>
      <c r="B178" s="16" t="str">
        <f>IFERROR(__xludf.DUMMYFUNCTION("""COMPUTED_VALUE"""),"Rise of the God Mage")</f>
        <v>Rise of the God Mage</v>
      </c>
      <c r="C178" s="16" t="str">
        <f>IFERROR(__xludf.DUMMYFUNCTION("""COMPUTED_VALUE"""),"Fantasy")</f>
        <v>Fantasy</v>
      </c>
      <c r="D178" s="16">
        <f>IFERROR(__xludf.DUMMYFUNCTION("""COMPUTED_VALUE"""),35.0)</f>
        <v>35</v>
      </c>
      <c r="E178" s="16">
        <f>IFERROR(__xludf.DUMMYFUNCTION("""COMPUTED_VALUE"""),0.971428571428571)</f>
        <v>0.9714285714</v>
      </c>
      <c r="F178" s="16">
        <f>IFERROR(__xludf.DUMMYFUNCTION("""COMPUTED_VALUE"""),0.6)</f>
        <v>0.6</v>
      </c>
      <c r="G178" s="16">
        <f>IFERROR(__xludf.DUMMYFUNCTION("""COMPUTED_VALUE"""),0.485714285714285)</f>
        <v>0.4857142857</v>
      </c>
      <c r="H178" s="16">
        <f>IFERROR(__xludf.DUMMYFUNCTION("""COMPUTED_VALUE"""),0.428571428571428)</f>
        <v>0.4285714286</v>
      </c>
      <c r="I178" s="16">
        <f>IFERROR(__xludf.DUMMYFUNCTION("""COMPUTED_VALUE"""),0.371428571428571)</f>
        <v>0.3714285714</v>
      </c>
      <c r="J178" s="16">
        <f>IFERROR(__xludf.DUMMYFUNCTION("""COMPUTED_VALUE"""),0.257142857142857)</f>
        <v>0.2571428571</v>
      </c>
      <c r="K178" s="16">
        <f>IFERROR(__xludf.DUMMYFUNCTION("""COMPUTED_VALUE"""),0.285714285714285)</f>
        <v>0.2857142857</v>
      </c>
      <c r="L178" s="16">
        <f>IFERROR(__xludf.DUMMYFUNCTION("""COMPUTED_VALUE"""),0.285714285714285)</f>
        <v>0.2857142857</v>
      </c>
      <c r="M178" s="16">
        <f>IFERROR(__xludf.DUMMYFUNCTION("""COMPUTED_VALUE"""),0.285714285714285)</f>
        <v>0.2857142857</v>
      </c>
      <c r="N178" s="16">
        <f>IFERROR(__xludf.DUMMYFUNCTION("""COMPUTED_VALUE"""),0.285714285714285)</f>
        <v>0.2857142857</v>
      </c>
      <c r="O178" s="16">
        <f>IFERROR(__xludf.DUMMYFUNCTION("""COMPUTED_VALUE"""),0.217391304347826)</f>
        <v>0.2173913043</v>
      </c>
      <c r="P178" s="16">
        <f>IFERROR(__xludf.DUMMYFUNCTION("""COMPUTED_VALUE"""),0.2)</f>
        <v>0.2</v>
      </c>
      <c r="Q178" s="16">
        <f>IFERROR(__xludf.DUMMYFUNCTION("""COMPUTED_VALUE"""),0.0)</f>
        <v>0</v>
      </c>
      <c r="R178" s="16">
        <f>IFERROR(__xludf.DUMMYFUNCTION("""COMPUTED_VALUE"""),0.0)</f>
        <v>0</v>
      </c>
      <c r="S178" s="16">
        <f>IFERROR(__xludf.DUMMYFUNCTION("""COMPUTED_VALUE"""),0.0)</f>
        <v>0</v>
      </c>
      <c r="T178" s="16">
        <f>IFERROR(__xludf.DUMMYFUNCTION("""COMPUTED_VALUE"""),0.0)</f>
        <v>0</v>
      </c>
      <c r="U178" s="16">
        <f>IFERROR(__xludf.DUMMYFUNCTION("""COMPUTED_VALUE"""),0.0)</f>
        <v>0</v>
      </c>
      <c r="V178" s="16">
        <f>IFERROR(__xludf.DUMMYFUNCTION("""COMPUTED_VALUE"""),0.0)</f>
        <v>0</v>
      </c>
      <c r="W178" s="16">
        <f>IFERROR(__xludf.DUMMYFUNCTION("""COMPUTED_VALUE"""),0.0)</f>
        <v>0</v>
      </c>
      <c r="X178" s="16">
        <f>IFERROR(__xludf.DUMMYFUNCTION("""COMPUTED_VALUE"""),0.0)</f>
        <v>0</v>
      </c>
      <c r="Y178" s="16">
        <f>IFERROR(__xludf.DUMMYFUNCTION("""COMPUTED_VALUE"""),0.0)</f>
        <v>0</v>
      </c>
      <c r="Z178" s="16">
        <f>IFERROR(__xludf.DUMMYFUNCTION("""COMPUTED_VALUE"""),0.0)</f>
        <v>0</v>
      </c>
      <c r="AA178" s="16">
        <f>IFERROR(__xludf.DUMMYFUNCTION("""COMPUTED_VALUE"""),0.0)</f>
        <v>0</v>
      </c>
      <c r="AB178" s="16">
        <f>IFERROR(__xludf.DUMMYFUNCTION("""COMPUTED_VALUE"""),0.0)</f>
        <v>0</v>
      </c>
      <c r="AC178" s="16">
        <f>IFERROR(__xludf.DUMMYFUNCTION("""COMPUTED_VALUE"""),0.0)</f>
        <v>0</v>
      </c>
      <c r="AD178" s="16">
        <f>IFERROR(__xludf.DUMMYFUNCTION("""COMPUTED_VALUE"""),0.0)</f>
        <v>0</v>
      </c>
      <c r="AE178" s="16">
        <f>IFERROR(__xludf.DUMMYFUNCTION("""COMPUTED_VALUE"""),0.0)</f>
        <v>0</v>
      </c>
      <c r="AF178" s="16">
        <f>IFERROR(__xludf.DUMMYFUNCTION("""COMPUTED_VALUE"""),0.0)</f>
        <v>0</v>
      </c>
      <c r="AG178" s="16">
        <f>IFERROR(__xludf.DUMMYFUNCTION("""COMPUTED_VALUE"""),0.0)</f>
        <v>0</v>
      </c>
      <c r="AH178" s="16">
        <f>IFERROR(__xludf.DUMMYFUNCTION("""COMPUTED_VALUE"""),0.0)</f>
        <v>0</v>
      </c>
    </row>
    <row r="179">
      <c r="A179" s="16" t="str">
        <f>IFERROR(__xludf.DUMMYFUNCTION("""COMPUTED_VALUE"""),"9f288c1b7bcd6e6181338579ca44a178a5b21573")</f>
        <v>9f288c1b7bcd6e6181338579ca44a178a5b21573</v>
      </c>
      <c r="B179" s="16" t="str">
        <f>IFERROR(__xludf.DUMMYFUNCTION("""COMPUTED_VALUE"""),"Vows of Blood &amp; Diamonds")</f>
        <v>Vows of Blood &amp; Diamonds</v>
      </c>
      <c r="C179" s="16" t="str">
        <f>IFERROR(__xludf.DUMMYFUNCTION("""COMPUTED_VALUE"""),"Romance")</f>
        <v>Romance</v>
      </c>
      <c r="D179" s="16">
        <f>IFERROR(__xludf.DUMMYFUNCTION("""COMPUTED_VALUE"""),78.0)</f>
        <v>78</v>
      </c>
      <c r="E179" s="16">
        <f>IFERROR(__xludf.DUMMYFUNCTION("""COMPUTED_VALUE"""),0.987179487179487)</f>
        <v>0.9871794872</v>
      </c>
      <c r="F179" s="16">
        <f>IFERROR(__xludf.DUMMYFUNCTION("""COMPUTED_VALUE"""),0.384615384615384)</f>
        <v>0.3846153846</v>
      </c>
      <c r="G179" s="16">
        <f>IFERROR(__xludf.DUMMYFUNCTION("""COMPUTED_VALUE"""),0.333333333333333)</f>
        <v>0.3333333333</v>
      </c>
      <c r="H179" s="16">
        <f>IFERROR(__xludf.DUMMYFUNCTION("""COMPUTED_VALUE"""),0.294871794871794)</f>
        <v>0.2948717949</v>
      </c>
      <c r="I179" s="16">
        <f>IFERROR(__xludf.DUMMYFUNCTION("""COMPUTED_VALUE"""),0.282051282051282)</f>
        <v>0.2820512821</v>
      </c>
      <c r="J179" s="16">
        <f>IFERROR(__xludf.DUMMYFUNCTION("""COMPUTED_VALUE"""),0.232876712328767)</f>
        <v>0.2328767123</v>
      </c>
      <c r="K179" s="16">
        <f>IFERROR(__xludf.DUMMYFUNCTION("""COMPUTED_VALUE"""),0.217391304347826)</f>
        <v>0.2173913043</v>
      </c>
      <c r="L179" s="16">
        <f>IFERROR(__xludf.DUMMYFUNCTION("""COMPUTED_VALUE"""),0.166666666666666)</f>
        <v>0.1666666667</v>
      </c>
      <c r="M179" s="16">
        <f>IFERROR(__xludf.DUMMYFUNCTION("""COMPUTED_VALUE"""),0.171875)</f>
        <v>0.171875</v>
      </c>
      <c r="N179" s="16">
        <f>IFERROR(__xludf.DUMMYFUNCTION("""COMPUTED_VALUE"""),0.157894736842105)</f>
        <v>0.1578947368</v>
      </c>
      <c r="O179" s="16">
        <f>IFERROR(__xludf.DUMMYFUNCTION("""COMPUTED_VALUE"""),0.105263157894736)</f>
        <v>0.1052631579</v>
      </c>
      <c r="P179" s="16">
        <f>IFERROR(__xludf.DUMMYFUNCTION("""COMPUTED_VALUE"""),0.1)</f>
        <v>0.1</v>
      </c>
      <c r="Q179" s="16">
        <f>IFERROR(__xludf.DUMMYFUNCTION("""COMPUTED_VALUE"""),0.2)</f>
        <v>0.2</v>
      </c>
      <c r="R179" s="16">
        <f>IFERROR(__xludf.DUMMYFUNCTION("""COMPUTED_VALUE"""),0.111111111111111)</f>
        <v>0.1111111111</v>
      </c>
      <c r="S179" s="16">
        <f>IFERROR(__xludf.DUMMYFUNCTION("""COMPUTED_VALUE"""),0.166666666666666)</f>
        <v>0.1666666667</v>
      </c>
      <c r="T179" s="16">
        <f>IFERROR(__xludf.DUMMYFUNCTION("""COMPUTED_VALUE"""),0.0)</f>
        <v>0</v>
      </c>
      <c r="U179" s="16">
        <f>IFERROR(__xludf.DUMMYFUNCTION("""COMPUTED_VALUE"""),0.0)</f>
        <v>0</v>
      </c>
      <c r="V179" s="16">
        <f>IFERROR(__xludf.DUMMYFUNCTION("""COMPUTED_VALUE"""),0.0)</f>
        <v>0</v>
      </c>
      <c r="W179" s="16">
        <f>IFERROR(__xludf.DUMMYFUNCTION("""COMPUTED_VALUE"""),0.0)</f>
        <v>0</v>
      </c>
      <c r="X179" s="16">
        <f>IFERROR(__xludf.DUMMYFUNCTION("""COMPUTED_VALUE"""),0.0)</f>
        <v>0</v>
      </c>
      <c r="Y179" s="16">
        <f>IFERROR(__xludf.DUMMYFUNCTION("""COMPUTED_VALUE"""),0.0)</f>
        <v>0</v>
      </c>
      <c r="Z179" s="16">
        <f>IFERROR(__xludf.DUMMYFUNCTION("""COMPUTED_VALUE"""),0.0)</f>
        <v>0</v>
      </c>
      <c r="AA179" s="16">
        <f>IFERROR(__xludf.DUMMYFUNCTION("""COMPUTED_VALUE"""),0.0)</f>
        <v>0</v>
      </c>
      <c r="AB179" s="16">
        <f>IFERROR(__xludf.DUMMYFUNCTION("""COMPUTED_VALUE"""),0.0)</f>
        <v>0</v>
      </c>
      <c r="AC179" s="16">
        <f>IFERROR(__xludf.DUMMYFUNCTION("""COMPUTED_VALUE"""),0.0)</f>
        <v>0</v>
      </c>
      <c r="AD179" s="16">
        <f>IFERROR(__xludf.DUMMYFUNCTION("""COMPUTED_VALUE"""),0.0)</f>
        <v>0</v>
      </c>
      <c r="AE179" s="16">
        <f>IFERROR(__xludf.DUMMYFUNCTION("""COMPUTED_VALUE"""),0.0)</f>
        <v>0</v>
      </c>
      <c r="AF179" s="16">
        <f>IFERROR(__xludf.DUMMYFUNCTION("""COMPUTED_VALUE"""),0.0)</f>
        <v>0</v>
      </c>
      <c r="AG179" s="16">
        <f>IFERROR(__xludf.DUMMYFUNCTION("""COMPUTED_VALUE"""),0.0)</f>
        <v>0</v>
      </c>
      <c r="AH179" s="16">
        <f>IFERROR(__xludf.DUMMYFUNCTION("""COMPUTED_VALUE"""),0.0)</f>
        <v>0</v>
      </c>
    </row>
    <row r="180">
      <c r="A180" s="16" t="str">
        <f>IFERROR(__xludf.DUMMYFUNCTION("""COMPUTED_VALUE"""),"a028c06a528d6bc1425340cbedd71880abd4ad2b")</f>
        <v>a028c06a528d6bc1425340cbedd71880abd4ad2b</v>
      </c>
      <c r="B180" s="16" t="str">
        <f>IFERROR(__xludf.DUMMYFUNCTION("""COMPUTED_VALUE"""),"Rejected Luna's Secret")</f>
        <v>Rejected Luna's Secret</v>
      </c>
      <c r="C180" s="16" t="str">
        <f>IFERROR(__xludf.DUMMYFUNCTION("""COMPUTED_VALUE"""),"Romantasy")</f>
        <v>Romantasy</v>
      </c>
      <c r="D180" s="16">
        <f>IFERROR(__xludf.DUMMYFUNCTION("""COMPUTED_VALUE"""),329.0)</f>
        <v>329</v>
      </c>
      <c r="E180" s="16">
        <f>IFERROR(__xludf.DUMMYFUNCTION("""COMPUTED_VALUE"""),0.978723404255319)</f>
        <v>0.9787234043</v>
      </c>
      <c r="F180" s="16">
        <f>IFERROR(__xludf.DUMMYFUNCTION("""COMPUTED_VALUE"""),0.641337386018237)</f>
        <v>0.641337386</v>
      </c>
      <c r="G180" s="16">
        <f>IFERROR(__xludf.DUMMYFUNCTION("""COMPUTED_VALUE"""),0.547112462006079)</f>
        <v>0.547112462</v>
      </c>
      <c r="H180" s="16">
        <f>IFERROR(__xludf.DUMMYFUNCTION("""COMPUTED_VALUE"""),0.468085106382978)</f>
        <v>0.4680851064</v>
      </c>
      <c r="I180" s="16">
        <f>IFERROR(__xludf.DUMMYFUNCTION("""COMPUTED_VALUE"""),0.455927051671732)</f>
        <v>0.4559270517</v>
      </c>
      <c r="J180" s="16">
        <f>IFERROR(__xludf.DUMMYFUNCTION("""COMPUTED_VALUE"""),0.383435582822085)</f>
        <v>0.3834355828</v>
      </c>
      <c r="K180" s="16">
        <f>IFERROR(__xludf.DUMMYFUNCTION("""COMPUTED_VALUE"""),0.332015810276679)</f>
        <v>0.3320158103</v>
      </c>
      <c r="L180" s="16">
        <f>IFERROR(__xludf.DUMMYFUNCTION("""COMPUTED_VALUE"""),0.323529411764705)</f>
        <v>0.3235294118</v>
      </c>
      <c r="M180" s="16">
        <f>IFERROR(__xludf.DUMMYFUNCTION("""COMPUTED_VALUE"""),0.261904761904761)</f>
        <v>0.2619047619</v>
      </c>
      <c r="N180" s="16">
        <f>IFERROR(__xludf.DUMMYFUNCTION("""COMPUTED_VALUE"""),0.0)</f>
        <v>0</v>
      </c>
      <c r="O180" s="16">
        <f>IFERROR(__xludf.DUMMYFUNCTION("""COMPUTED_VALUE"""),0.0)</f>
        <v>0</v>
      </c>
      <c r="P180" s="16">
        <f>IFERROR(__xludf.DUMMYFUNCTION("""COMPUTED_VALUE"""),0.0)</f>
        <v>0</v>
      </c>
      <c r="Q180" s="16">
        <f>IFERROR(__xludf.DUMMYFUNCTION("""COMPUTED_VALUE"""),0.0)</f>
        <v>0</v>
      </c>
      <c r="R180" s="16">
        <f>IFERROR(__xludf.DUMMYFUNCTION("""COMPUTED_VALUE"""),0.0)</f>
        <v>0</v>
      </c>
      <c r="S180" s="16">
        <f>IFERROR(__xludf.DUMMYFUNCTION("""COMPUTED_VALUE"""),0.0)</f>
        <v>0</v>
      </c>
      <c r="T180" s="16">
        <f>IFERROR(__xludf.DUMMYFUNCTION("""COMPUTED_VALUE"""),0.0)</f>
        <v>0</v>
      </c>
      <c r="U180" s="16">
        <f>IFERROR(__xludf.DUMMYFUNCTION("""COMPUTED_VALUE"""),0.0)</f>
        <v>0</v>
      </c>
      <c r="V180" s="16">
        <f>IFERROR(__xludf.DUMMYFUNCTION("""COMPUTED_VALUE"""),0.0)</f>
        <v>0</v>
      </c>
      <c r="W180" s="16">
        <f>IFERROR(__xludf.DUMMYFUNCTION("""COMPUTED_VALUE"""),0.0)</f>
        <v>0</v>
      </c>
      <c r="X180" s="16">
        <f>IFERROR(__xludf.DUMMYFUNCTION("""COMPUTED_VALUE"""),0.0)</f>
        <v>0</v>
      </c>
      <c r="Y180" s="16">
        <f>IFERROR(__xludf.DUMMYFUNCTION("""COMPUTED_VALUE"""),0.0)</f>
        <v>0</v>
      </c>
      <c r="Z180" s="16">
        <f>IFERROR(__xludf.DUMMYFUNCTION("""COMPUTED_VALUE"""),0.0)</f>
        <v>0</v>
      </c>
      <c r="AA180" s="16">
        <f>IFERROR(__xludf.DUMMYFUNCTION("""COMPUTED_VALUE"""),0.0)</f>
        <v>0</v>
      </c>
      <c r="AB180" s="16">
        <f>IFERROR(__xludf.DUMMYFUNCTION("""COMPUTED_VALUE"""),0.0)</f>
        <v>0</v>
      </c>
      <c r="AC180" s="16">
        <f>IFERROR(__xludf.DUMMYFUNCTION("""COMPUTED_VALUE"""),0.0)</f>
        <v>0</v>
      </c>
      <c r="AD180" s="16">
        <f>IFERROR(__xludf.DUMMYFUNCTION("""COMPUTED_VALUE"""),0.0)</f>
        <v>0</v>
      </c>
      <c r="AE180" s="16">
        <f>IFERROR(__xludf.DUMMYFUNCTION("""COMPUTED_VALUE"""),0.0)</f>
        <v>0</v>
      </c>
      <c r="AF180" s="16">
        <f>IFERROR(__xludf.DUMMYFUNCTION("""COMPUTED_VALUE"""),0.0)</f>
        <v>0</v>
      </c>
      <c r="AG180" s="16">
        <f>IFERROR(__xludf.DUMMYFUNCTION("""COMPUTED_VALUE"""),0.0)</f>
        <v>0</v>
      </c>
      <c r="AH180" s="16">
        <f>IFERROR(__xludf.DUMMYFUNCTION("""COMPUTED_VALUE"""),0.0)</f>
        <v>0</v>
      </c>
    </row>
    <row r="181">
      <c r="A181" s="16" t="str">
        <f>IFERROR(__xludf.DUMMYFUNCTION("""COMPUTED_VALUE"""),"a0f8c5bd5bdb02bdaa499febc39e36611127769b")</f>
        <v>a0f8c5bd5bdb02bdaa499febc39e36611127769b</v>
      </c>
      <c r="B181" s="16" t="str">
        <f>IFERROR(__xludf.DUMMYFUNCTION("""COMPUTED_VALUE"""),"The Wedding He Stole")</f>
        <v>The Wedding He Stole</v>
      </c>
      <c r="C181" s="16" t="str">
        <f>IFERROR(__xludf.DUMMYFUNCTION("""COMPUTED_VALUE"""),"Romance")</f>
        <v>Romance</v>
      </c>
      <c r="D181" s="16">
        <f>IFERROR(__xludf.DUMMYFUNCTION("""COMPUTED_VALUE"""),486.0)</f>
        <v>486</v>
      </c>
      <c r="E181" s="16">
        <f>IFERROR(__xludf.DUMMYFUNCTION("""COMPUTED_VALUE"""),0.960905349794238)</f>
        <v>0.9609053498</v>
      </c>
      <c r="F181" s="16">
        <f>IFERROR(__xludf.DUMMYFUNCTION("""COMPUTED_VALUE"""),0.685185185185185)</f>
        <v>0.6851851852</v>
      </c>
      <c r="G181" s="16">
        <f>IFERROR(__xludf.DUMMYFUNCTION("""COMPUTED_VALUE"""),0.652263374485596)</f>
        <v>0.6522633745</v>
      </c>
      <c r="H181" s="16">
        <f>IFERROR(__xludf.DUMMYFUNCTION("""COMPUTED_VALUE"""),0.623456790123456)</f>
        <v>0.6234567901</v>
      </c>
      <c r="I181" s="16">
        <f>IFERROR(__xludf.DUMMYFUNCTION("""COMPUTED_VALUE"""),0.574074074074074)</f>
        <v>0.5740740741</v>
      </c>
      <c r="J181" s="16">
        <f>IFERROR(__xludf.DUMMYFUNCTION("""COMPUTED_VALUE"""),0.469135802469135)</f>
        <v>0.4691358025</v>
      </c>
      <c r="K181" s="16">
        <f>IFERROR(__xludf.DUMMYFUNCTION("""COMPUTED_VALUE"""),0.42798353909465)</f>
        <v>0.4279835391</v>
      </c>
      <c r="L181" s="16">
        <f>IFERROR(__xludf.DUMMYFUNCTION("""COMPUTED_VALUE"""),0.410309278350515)</f>
        <v>0.4103092784</v>
      </c>
      <c r="M181" s="16">
        <f>IFERROR(__xludf.DUMMYFUNCTION("""COMPUTED_VALUE"""),0.342268041237113)</f>
        <v>0.3422680412</v>
      </c>
      <c r="N181" s="16">
        <f>IFERROR(__xludf.DUMMYFUNCTION("""COMPUTED_VALUE"""),0.316115702479338)</f>
        <v>0.3161157025</v>
      </c>
      <c r="O181" s="16">
        <f>IFERROR(__xludf.DUMMYFUNCTION("""COMPUTED_VALUE"""),0.225)</f>
        <v>0.225</v>
      </c>
      <c r="P181" s="16">
        <f>IFERROR(__xludf.DUMMYFUNCTION("""COMPUTED_VALUE"""),0.111111111111111)</f>
        <v>0.1111111111</v>
      </c>
      <c r="Q181" s="16">
        <f>IFERROR(__xludf.DUMMYFUNCTION("""COMPUTED_VALUE"""),0.0)</f>
        <v>0</v>
      </c>
      <c r="R181" s="16">
        <f>IFERROR(__xludf.DUMMYFUNCTION("""COMPUTED_VALUE"""),0.0)</f>
        <v>0</v>
      </c>
      <c r="S181" s="16">
        <f>IFERROR(__xludf.DUMMYFUNCTION("""COMPUTED_VALUE"""),0.0)</f>
        <v>0</v>
      </c>
      <c r="T181" s="16">
        <f>IFERROR(__xludf.DUMMYFUNCTION("""COMPUTED_VALUE"""),0.0)</f>
        <v>0</v>
      </c>
      <c r="U181" s="16">
        <f>IFERROR(__xludf.DUMMYFUNCTION("""COMPUTED_VALUE"""),0.0)</f>
        <v>0</v>
      </c>
      <c r="V181" s="16">
        <f>IFERROR(__xludf.DUMMYFUNCTION("""COMPUTED_VALUE"""),0.0)</f>
        <v>0</v>
      </c>
      <c r="W181" s="16">
        <f>IFERROR(__xludf.DUMMYFUNCTION("""COMPUTED_VALUE"""),0.0)</f>
        <v>0</v>
      </c>
      <c r="X181" s="16">
        <f>IFERROR(__xludf.DUMMYFUNCTION("""COMPUTED_VALUE"""),0.0)</f>
        <v>0</v>
      </c>
      <c r="Y181" s="16">
        <f>IFERROR(__xludf.DUMMYFUNCTION("""COMPUTED_VALUE"""),0.0)</f>
        <v>0</v>
      </c>
      <c r="Z181" s="16">
        <f>IFERROR(__xludf.DUMMYFUNCTION("""COMPUTED_VALUE"""),0.0)</f>
        <v>0</v>
      </c>
      <c r="AA181" s="16">
        <f>IFERROR(__xludf.DUMMYFUNCTION("""COMPUTED_VALUE"""),0.0)</f>
        <v>0</v>
      </c>
      <c r="AB181" s="16">
        <f>IFERROR(__xludf.DUMMYFUNCTION("""COMPUTED_VALUE"""),0.0)</f>
        <v>0</v>
      </c>
      <c r="AC181" s="16">
        <f>IFERROR(__xludf.DUMMYFUNCTION("""COMPUTED_VALUE"""),0.0)</f>
        <v>0</v>
      </c>
      <c r="AD181" s="16">
        <f>IFERROR(__xludf.DUMMYFUNCTION("""COMPUTED_VALUE"""),0.0)</f>
        <v>0</v>
      </c>
      <c r="AE181" s="16">
        <f>IFERROR(__xludf.DUMMYFUNCTION("""COMPUTED_VALUE"""),0.0)</f>
        <v>0</v>
      </c>
      <c r="AF181" s="16">
        <f>IFERROR(__xludf.DUMMYFUNCTION("""COMPUTED_VALUE"""),0.0)</f>
        <v>0</v>
      </c>
      <c r="AG181" s="16">
        <f>IFERROR(__xludf.DUMMYFUNCTION("""COMPUTED_VALUE"""),0.0)</f>
        <v>0</v>
      </c>
      <c r="AH181" s="16">
        <f>IFERROR(__xludf.DUMMYFUNCTION("""COMPUTED_VALUE"""),0.0)</f>
        <v>0</v>
      </c>
    </row>
    <row r="182">
      <c r="A182" s="16" t="str">
        <f>IFERROR(__xludf.DUMMYFUNCTION("""COMPUTED_VALUE"""),"a177a4f320c3acde252f084dc28be041cb221596")</f>
        <v>a177a4f320c3acde252f084dc28be041cb221596</v>
      </c>
      <c r="B182" s="16" t="str">
        <f>IFERROR(__xludf.DUMMYFUNCTION("""COMPUTED_VALUE"""),"The Boy With No Magic")</f>
        <v>The Boy With No Magic</v>
      </c>
      <c r="C182" s="16" t="str">
        <f>IFERROR(__xludf.DUMMYFUNCTION("""COMPUTED_VALUE"""),"Fantasy")</f>
        <v>Fantasy</v>
      </c>
      <c r="D182" s="16">
        <f>IFERROR(__xludf.DUMMYFUNCTION("""COMPUTED_VALUE"""),5.0)</f>
        <v>5</v>
      </c>
      <c r="E182" s="16">
        <f>IFERROR(__xludf.DUMMYFUNCTION("""COMPUTED_VALUE"""),1.0)</f>
        <v>1</v>
      </c>
      <c r="F182" s="16">
        <f>IFERROR(__xludf.DUMMYFUNCTION("""COMPUTED_VALUE"""),0.0)</f>
        <v>0</v>
      </c>
      <c r="G182" s="16">
        <f>IFERROR(__xludf.DUMMYFUNCTION("""COMPUTED_VALUE"""),0.0)</f>
        <v>0</v>
      </c>
      <c r="H182" s="16">
        <f>IFERROR(__xludf.DUMMYFUNCTION("""COMPUTED_VALUE"""),0.0)</f>
        <v>0</v>
      </c>
      <c r="I182" s="16">
        <f>IFERROR(__xludf.DUMMYFUNCTION("""COMPUTED_VALUE"""),0.0)</f>
        <v>0</v>
      </c>
      <c r="J182" s="16">
        <f>IFERROR(__xludf.DUMMYFUNCTION("""COMPUTED_VALUE"""),0.0)</f>
        <v>0</v>
      </c>
      <c r="K182" s="16">
        <f>IFERROR(__xludf.DUMMYFUNCTION("""COMPUTED_VALUE"""),0.0)</f>
        <v>0</v>
      </c>
      <c r="L182" s="16">
        <f>IFERROR(__xludf.DUMMYFUNCTION("""COMPUTED_VALUE"""),0.0)</f>
        <v>0</v>
      </c>
      <c r="M182" s="16">
        <f>IFERROR(__xludf.DUMMYFUNCTION("""COMPUTED_VALUE"""),0.0)</f>
        <v>0</v>
      </c>
      <c r="N182" s="16">
        <f>IFERROR(__xludf.DUMMYFUNCTION("""COMPUTED_VALUE"""),0.0)</f>
        <v>0</v>
      </c>
      <c r="O182" s="16">
        <f>IFERROR(__xludf.DUMMYFUNCTION("""COMPUTED_VALUE"""),0.0)</f>
        <v>0</v>
      </c>
      <c r="P182" s="16">
        <f>IFERROR(__xludf.DUMMYFUNCTION("""COMPUTED_VALUE"""),0.0)</f>
        <v>0</v>
      </c>
      <c r="Q182" s="16">
        <f>IFERROR(__xludf.DUMMYFUNCTION("""COMPUTED_VALUE"""),0.0)</f>
        <v>0</v>
      </c>
      <c r="R182" s="16">
        <f>IFERROR(__xludf.DUMMYFUNCTION("""COMPUTED_VALUE"""),0.0)</f>
        <v>0</v>
      </c>
      <c r="S182" s="16">
        <f>IFERROR(__xludf.DUMMYFUNCTION("""COMPUTED_VALUE"""),0.0)</f>
        <v>0</v>
      </c>
      <c r="T182" s="16">
        <f>IFERROR(__xludf.DUMMYFUNCTION("""COMPUTED_VALUE"""),0.0)</f>
        <v>0</v>
      </c>
      <c r="U182" s="16">
        <f>IFERROR(__xludf.DUMMYFUNCTION("""COMPUTED_VALUE"""),0.0)</f>
        <v>0</v>
      </c>
      <c r="V182" s="16">
        <f>IFERROR(__xludf.DUMMYFUNCTION("""COMPUTED_VALUE"""),0.0)</f>
        <v>0</v>
      </c>
      <c r="W182" s="16">
        <f>IFERROR(__xludf.DUMMYFUNCTION("""COMPUTED_VALUE"""),0.0)</f>
        <v>0</v>
      </c>
      <c r="X182" s="16">
        <f>IFERROR(__xludf.DUMMYFUNCTION("""COMPUTED_VALUE"""),0.0)</f>
        <v>0</v>
      </c>
      <c r="Y182" s="16">
        <f>IFERROR(__xludf.DUMMYFUNCTION("""COMPUTED_VALUE"""),0.0)</f>
        <v>0</v>
      </c>
      <c r="Z182" s="16">
        <f>IFERROR(__xludf.DUMMYFUNCTION("""COMPUTED_VALUE"""),0.0)</f>
        <v>0</v>
      </c>
      <c r="AA182" s="16">
        <f>IFERROR(__xludf.DUMMYFUNCTION("""COMPUTED_VALUE"""),0.0)</f>
        <v>0</v>
      </c>
      <c r="AB182" s="16">
        <f>IFERROR(__xludf.DUMMYFUNCTION("""COMPUTED_VALUE"""),0.0)</f>
        <v>0</v>
      </c>
      <c r="AC182" s="16">
        <f>IFERROR(__xludf.DUMMYFUNCTION("""COMPUTED_VALUE"""),0.0)</f>
        <v>0</v>
      </c>
      <c r="AD182" s="16">
        <f>IFERROR(__xludf.DUMMYFUNCTION("""COMPUTED_VALUE"""),0.0)</f>
        <v>0</v>
      </c>
      <c r="AE182" s="16">
        <f>IFERROR(__xludf.DUMMYFUNCTION("""COMPUTED_VALUE"""),0.0)</f>
        <v>0</v>
      </c>
      <c r="AF182" s="16">
        <f>IFERROR(__xludf.DUMMYFUNCTION("""COMPUTED_VALUE"""),0.0)</f>
        <v>0</v>
      </c>
      <c r="AG182" s="16">
        <f>IFERROR(__xludf.DUMMYFUNCTION("""COMPUTED_VALUE"""),0.0)</f>
        <v>0</v>
      </c>
      <c r="AH182" s="16">
        <f>IFERROR(__xludf.DUMMYFUNCTION("""COMPUTED_VALUE"""),0.0)</f>
        <v>0</v>
      </c>
    </row>
    <row r="183">
      <c r="A183" s="16" t="str">
        <f>IFERROR(__xludf.DUMMYFUNCTION("""COMPUTED_VALUE"""),"a20d15b2c087672afecf4c46baa7e9368a4cbb9f")</f>
        <v>a20d15b2c087672afecf4c46baa7e9368a4cbb9f</v>
      </c>
      <c r="B183" s="16" t="str">
        <f>IFERROR(__xludf.DUMMYFUNCTION("""COMPUTED_VALUE"""),"Secrets and Bloodline")</f>
        <v>Secrets and Bloodline</v>
      </c>
      <c r="C183" s="16" t="str">
        <f>IFERROR(__xludf.DUMMYFUNCTION("""COMPUTED_VALUE"""),"Romance")</f>
        <v>Romance</v>
      </c>
      <c r="D183" s="16">
        <f>IFERROR(__xludf.DUMMYFUNCTION("""COMPUTED_VALUE"""),101.0)</f>
        <v>101</v>
      </c>
      <c r="E183" s="16">
        <f>IFERROR(__xludf.DUMMYFUNCTION("""COMPUTED_VALUE"""),0.97029702970297)</f>
        <v>0.9702970297</v>
      </c>
      <c r="F183" s="16">
        <f>IFERROR(__xludf.DUMMYFUNCTION("""COMPUTED_VALUE"""),0.534653465346534)</f>
        <v>0.5346534653</v>
      </c>
      <c r="G183" s="16">
        <f>IFERROR(__xludf.DUMMYFUNCTION("""COMPUTED_VALUE"""),0.504950495049505)</f>
        <v>0.504950495</v>
      </c>
      <c r="H183" s="16">
        <f>IFERROR(__xludf.DUMMYFUNCTION("""COMPUTED_VALUE"""),0.396039603960396)</f>
        <v>0.396039604</v>
      </c>
      <c r="I183" s="16">
        <f>IFERROR(__xludf.DUMMYFUNCTION("""COMPUTED_VALUE"""),0.386138613861386)</f>
        <v>0.3861386139</v>
      </c>
      <c r="J183" s="16">
        <f>IFERROR(__xludf.DUMMYFUNCTION("""COMPUTED_VALUE"""),0.319587628865979)</f>
        <v>0.3195876289</v>
      </c>
      <c r="K183" s="16">
        <f>IFERROR(__xludf.DUMMYFUNCTION("""COMPUTED_VALUE"""),0.294736842105263)</f>
        <v>0.2947368421</v>
      </c>
      <c r="L183" s="16">
        <f>IFERROR(__xludf.DUMMYFUNCTION("""COMPUTED_VALUE"""),0.307692307692307)</f>
        <v>0.3076923077</v>
      </c>
      <c r="M183" s="16">
        <f>IFERROR(__xludf.DUMMYFUNCTION("""COMPUTED_VALUE"""),0.298850574712643)</f>
        <v>0.2988505747</v>
      </c>
      <c r="N183" s="16">
        <f>IFERROR(__xludf.DUMMYFUNCTION("""COMPUTED_VALUE"""),0.292682926829268)</f>
        <v>0.2926829268</v>
      </c>
      <c r="O183" s="16">
        <f>IFERROR(__xludf.DUMMYFUNCTION("""COMPUTED_VALUE"""),0.3)</f>
        <v>0.3</v>
      </c>
      <c r="P183" s="16">
        <f>IFERROR(__xludf.DUMMYFUNCTION("""COMPUTED_VALUE"""),0.348837209302325)</f>
        <v>0.3488372093</v>
      </c>
      <c r="Q183" s="16">
        <f>IFERROR(__xludf.DUMMYFUNCTION("""COMPUTED_VALUE"""),0.142857142857142)</f>
        <v>0.1428571429</v>
      </c>
      <c r="R183" s="16">
        <f>IFERROR(__xludf.DUMMYFUNCTION("""COMPUTED_VALUE"""),0.0)</f>
        <v>0</v>
      </c>
      <c r="S183" s="16">
        <f>IFERROR(__xludf.DUMMYFUNCTION("""COMPUTED_VALUE"""),0.0)</f>
        <v>0</v>
      </c>
      <c r="T183" s="16">
        <f>IFERROR(__xludf.DUMMYFUNCTION("""COMPUTED_VALUE"""),0.0)</f>
        <v>0</v>
      </c>
      <c r="U183" s="16">
        <f>IFERROR(__xludf.DUMMYFUNCTION("""COMPUTED_VALUE"""),0.0)</f>
        <v>0</v>
      </c>
      <c r="V183" s="16">
        <f>IFERROR(__xludf.DUMMYFUNCTION("""COMPUTED_VALUE"""),0.0)</f>
        <v>0</v>
      </c>
      <c r="W183" s="16">
        <f>IFERROR(__xludf.DUMMYFUNCTION("""COMPUTED_VALUE"""),0.0)</f>
        <v>0</v>
      </c>
      <c r="X183" s="16">
        <f>IFERROR(__xludf.DUMMYFUNCTION("""COMPUTED_VALUE"""),0.0)</f>
        <v>0</v>
      </c>
      <c r="Y183" s="16">
        <f>IFERROR(__xludf.DUMMYFUNCTION("""COMPUTED_VALUE"""),0.0)</f>
        <v>0</v>
      </c>
      <c r="Z183" s="16">
        <f>IFERROR(__xludf.DUMMYFUNCTION("""COMPUTED_VALUE"""),0.0)</f>
        <v>0</v>
      </c>
      <c r="AA183" s="16">
        <f>IFERROR(__xludf.DUMMYFUNCTION("""COMPUTED_VALUE"""),0.0)</f>
        <v>0</v>
      </c>
      <c r="AB183" s="16">
        <f>IFERROR(__xludf.DUMMYFUNCTION("""COMPUTED_VALUE"""),0.0)</f>
        <v>0</v>
      </c>
      <c r="AC183" s="16">
        <f>IFERROR(__xludf.DUMMYFUNCTION("""COMPUTED_VALUE"""),0.0)</f>
        <v>0</v>
      </c>
      <c r="AD183" s="16">
        <f>IFERROR(__xludf.DUMMYFUNCTION("""COMPUTED_VALUE"""),0.0)</f>
        <v>0</v>
      </c>
      <c r="AE183" s="16">
        <f>IFERROR(__xludf.DUMMYFUNCTION("""COMPUTED_VALUE"""),0.0)</f>
        <v>0</v>
      </c>
      <c r="AF183" s="16">
        <f>IFERROR(__xludf.DUMMYFUNCTION("""COMPUTED_VALUE"""),0.0)</f>
        <v>0</v>
      </c>
      <c r="AG183" s="16">
        <f>IFERROR(__xludf.DUMMYFUNCTION("""COMPUTED_VALUE"""),0.0)</f>
        <v>0</v>
      </c>
      <c r="AH183" s="16">
        <f>IFERROR(__xludf.DUMMYFUNCTION("""COMPUTED_VALUE"""),0.0)</f>
        <v>0</v>
      </c>
    </row>
    <row r="184">
      <c r="A184" s="16" t="str">
        <f>IFERROR(__xludf.DUMMYFUNCTION("""COMPUTED_VALUE"""),"a3d40a3745a853e245e802a317e3934318836a28")</f>
        <v>a3d40a3745a853e245e802a317e3934318836a28</v>
      </c>
      <c r="B184" s="16" t="str">
        <f>IFERROR(__xludf.DUMMYFUNCTION("""COMPUTED_VALUE"""),"The Amazing Idiot Man")</f>
        <v>The Amazing Idiot Man</v>
      </c>
      <c r="C184" s="16" t="str">
        <f>IFERROR(__xludf.DUMMYFUNCTION("""COMPUTED_VALUE"""),"Drama")</f>
        <v>Drama</v>
      </c>
      <c r="D184" s="16">
        <f>IFERROR(__xludf.DUMMYFUNCTION("""COMPUTED_VALUE"""),113.0)</f>
        <v>113</v>
      </c>
      <c r="E184" s="16">
        <f>IFERROR(__xludf.DUMMYFUNCTION("""COMPUTED_VALUE"""),0.964601769911504)</f>
        <v>0.9646017699</v>
      </c>
      <c r="F184" s="16">
        <f>IFERROR(__xludf.DUMMYFUNCTION("""COMPUTED_VALUE"""),0.451327433628318)</f>
        <v>0.4513274336</v>
      </c>
      <c r="G184" s="16">
        <f>IFERROR(__xludf.DUMMYFUNCTION("""COMPUTED_VALUE"""),0.407079646017699)</f>
        <v>0.407079646</v>
      </c>
      <c r="H184" s="16">
        <f>IFERROR(__xludf.DUMMYFUNCTION("""COMPUTED_VALUE"""),0.353982300884955)</f>
        <v>0.3539823009</v>
      </c>
      <c r="I184" s="16">
        <f>IFERROR(__xludf.DUMMYFUNCTION("""COMPUTED_VALUE"""),0.327433628318584)</f>
        <v>0.3274336283</v>
      </c>
      <c r="J184" s="16">
        <f>IFERROR(__xludf.DUMMYFUNCTION("""COMPUTED_VALUE"""),0.309734513274336)</f>
        <v>0.3097345133</v>
      </c>
      <c r="K184" s="16">
        <f>IFERROR(__xludf.DUMMYFUNCTION("""COMPUTED_VALUE"""),0.300884955752212)</f>
        <v>0.3008849558</v>
      </c>
      <c r="L184" s="16">
        <f>IFERROR(__xludf.DUMMYFUNCTION("""COMPUTED_VALUE"""),0.285714285714285)</f>
        <v>0.2857142857</v>
      </c>
      <c r="M184" s="16">
        <f>IFERROR(__xludf.DUMMYFUNCTION("""COMPUTED_VALUE"""),0.267857142857142)</f>
        <v>0.2678571429</v>
      </c>
      <c r="N184" s="16">
        <f>IFERROR(__xludf.DUMMYFUNCTION("""COMPUTED_VALUE"""),0.25)</f>
        <v>0.25</v>
      </c>
      <c r="O184" s="16">
        <f>IFERROR(__xludf.DUMMYFUNCTION("""COMPUTED_VALUE"""),0.160714285714285)</f>
        <v>0.1607142857</v>
      </c>
      <c r="P184" s="16">
        <f>IFERROR(__xludf.DUMMYFUNCTION("""COMPUTED_VALUE"""),0.108108108108108)</f>
        <v>0.1081081081</v>
      </c>
      <c r="Q184" s="16">
        <f>IFERROR(__xludf.DUMMYFUNCTION("""COMPUTED_VALUE"""),0.25)</f>
        <v>0.25</v>
      </c>
      <c r="R184" s="16">
        <f>IFERROR(__xludf.DUMMYFUNCTION("""COMPUTED_VALUE"""),0.0)</f>
        <v>0</v>
      </c>
      <c r="S184" s="16">
        <f>IFERROR(__xludf.DUMMYFUNCTION("""COMPUTED_VALUE"""),0.0)</f>
        <v>0</v>
      </c>
      <c r="T184" s="16">
        <f>IFERROR(__xludf.DUMMYFUNCTION("""COMPUTED_VALUE"""),0.0)</f>
        <v>0</v>
      </c>
      <c r="U184" s="16">
        <f>IFERROR(__xludf.DUMMYFUNCTION("""COMPUTED_VALUE"""),0.0)</f>
        <v>0</v>
      </c>
      <c r="V184" s="16">
        <f>IFERROR(__xludf.DUMMYFUNCTION("""COMPUTED_VALUE"""),0.0)</f>
        <v>0</v>
      </c>
      <c r="W184" s="16">
        <f>IFERROR(__xludf.DUMMYFUNCTION("""COMPUTED_VALUE"""),0.0)</f>
        <v>0</v>
      </c>
      <c r="X184" s="16">
        <f>IFERROR(__xludf.DUMMYFUNCTION("""COMPUTED_VALUE"""),0.0)</f>
        <v>0</v>
      </c>
      <c r="Y184" s="16">
        <f>IFERROR(__xludf.DUMMYFUNCTION("""COMPUTED_VALUE"""),0.0)</f>
        <v>0</v>
      </c>
      <c r="Z184" s="16">
        <f>IFERROR(__xludf.DUMMYFUNCTION("""COMPUTED_VALUE"""),0.0)</f>
        <v>0</v>
      </c>
      <c r="AA184" s="16">
        <f>IFERROR(__xludf.DUMMYFUNCTION("""COMPUTED_VALUE"""),0.0)</f>
        <v>0</v>
      </c>
      <c r="AB184" s="16">
        <f>IFERROR(__xludf.DUMMYFUNCTION("""COMPUTED_VALUE"""),0.0)</f>
        <v>0</v>
      </c>
      <c r="AC184" s="16">
        <f>IFERROR(__xludf.DUMMYFUNCTION("""COMPUTED_VALUE"""),0.0)</f>
        <v>0</v>
      </c>
      <c r="AD184" s="16">
        <f>IFERROR(__xludf.DUMMYFUNCTION("""COMPUTED_VALUE"""),0.0)</f>
        <v>0</v>
      </c>
      <c r="AE184" s="16">
        <f>IFERROR(__xludf.DUMMYFUNCTION("""COMPUTED_VALUE"""),0.0)</f>
        <v>0</v>
      </c>
      <c r="AF184" s="16">
        <f>IFERROR(__xludf.DUMMYFUNCTION("""COMPUTED_VALUE"""),0.0)</f>
        <v>0</v>
      </c>
      <c r="AG184" s="16">
        <f>IFERROR(__xludf.DUMMYFUNCTION("""COMPUTED_VALUE"""),0.0)</f>
        <v>0</v>
      </c>
      <c r="AH184" s="16">
        <f>IFERROR(__xludf.DUMMYFUNCTION("""COMPUTED_VALUE"""),0.0)</f>
        <v>0</v>
      </c>
    </row>
    <row r="185">
      <c r="A185" s="16" t="str">
        <f>IFERROR(__xludf.DUMMYFUNCTION("""COMPUTED_VALUE"""),"a48f5e77f994307c8a39968302f28c62b0c654af")</f>
        <v>a48f5e77f994307c8a39968302f28c62b0c654af</v>
      </c>
      <c r="B185" s="16" t="str">
        <f>IFERROR(__xludf.DUMMYFUNCTION("""COMPUTED_VALUE"""),"Battle Master")</f>
        <v>Battle Master</v>
      </c>
      <c r="C185" s="16" t="str">
        <f>IFERROR(__xludf.DUMMYFUNCTION("""COMPUTED_VALUE"""),"Fantasy")</f>
        <v>Fantasy</v>
      </c>
      <c r="D185" s="16">
        <f>IFERROR(__xludf.DUMMYFUNCTION("""COMPUTED_VALUE"""),45.0)</f>
        <v>45</v>
      </c>
      <c r="E185" s="16">
        <f>IFERROR(__xludf.DUMMYFUNCTION("""COMPUTED_VALUE"""),0.977777777777777)</f>
        <v>0.9777777778</v>
      </c>
      <c r="F185" s="16">
        <f>IFERROR(__xludf.DUMMYFUNCTION("""COMPUTED_VALUE"""),0.511111111111111)</f>
        <v>0.5111111111</v>
      </c>
      <c r="G185" s="16">
        <f>IFERROR(__xludf.DUMMYFUNCTION("""COMPUTED_VALUE"""),0.511111111111111)</f>
        <v>0.5111111111</v>
      </c>
      <c r="H185" s="16">
        <f>IFERROR(__xludf.DUMMYFUNCTION("""COMPUTED_VALUE"""),0.422222222222222)</f>
        <v>0.4222222222</v>
      </c>
      <c r="I185" s="16">
        <f>IFERROR(__xludf.DUMMYFUNCTION("""COMPUTED_VALUE"""),0.4)</f>
        <v>0.4</v>
      </c>
      <c r="J185" s="16">
        <f>IFERROR(__xludf.DUMMYFUNCTION("""COMPUTED_VALUE"""),0.428571428571428)</f>
        <v>0.4285714286</v>
      </c>
      <c r="K185" s="16">
        <f>IFERROR(__xludf.DUMMYFUNCTION("""COMPUTED_VALUE"""),0.38235294117647)</f>
        <v>0.3823529412</v>
      </c>
      <c r="L185" s="16">
        <f>IFERROR(__xludf.DUMMYFUNCTION("""COMPUTED_VALUE"""),0.307692307692307)</f>
        <v>0.3076923077</v>
      </c>
      <c r="M185" s="16">
        <f>IFERROR(__xludf.DUMMYFUNCTION("""COMPUTED_VALUE"""),0.19047619047619)</f>
        <v>0.1904761905</v>
      </c>
      <c r="N185" s="16">
        <f>IFERROR(__xludf.DUMMYFUNCTION("""COMPUTED_VALUE"""),0.25)</f>
        <v>0.25</v>
      </c>
      <c r="O185" s="16">
        <f>IFERROR(__xludf.DUMMYFUNCTION("""COMPUTED_VALUE"""),0.0)</f>
        <v>0</v>
      </c>
      <c r="P185" s="16">
        <f>IFERROR(__xludf.DUMMYFUNCTION("""COMPUTED_VALUE"""),0.0)</f>
        <v>0</v>
      </c>
      <c r="Q185" s="16">
        <f>IFERROR(__xludf.DUMMYFUNCTION("""COMPUTED_VALUE"""),0.0)</f>
        <v>0</v>
      </c>
      <c r="R185" s="16">
        <f>IFERROR(__xludf.DUMMYFUNCTION("""COMPUTED_VALUE"""),0.0)</f>
        <v>0</v>
      </c>
      <c r="S185" s="16">
        <f>IFERROR(__xludf.DUMMYFUNCTION("""COMPUTED_VALUE"""),0.0)</f>
        <v>0</v>
      </c>
      <c r="T185" s="16">
        <f>IFERROR(__xludf.DUMMYFUNCTION("""COMPUTED_VALUE"""),0.0)</f>
        <v>0</v>
      </c>
      <c r="U185" s="16">
        <f>IFERROR(__xludf.DUMMYFUNCTION("""COMPUTED_VALUE"""),0.0)</f>
        <v>0</v>
      </c>
      <c r="V185" s="16">
        <f>IFERROR(__xludf.DUMMYFUNCTION("""COMPUTED_VALUE"""),0.0)</f>
        <v>0</v>
      </c>
      <c r="W185" s="16">
        <f>IFERROR(__xludf.DUMMYFUNCTION("""COMPUTED_VALUE"""),0.0)</f>
        <v>0</v>
      </c>
      <c r="X185" s="16">
        <f>IFERROR(__xludf.DUMMYFUNCTION("""COMPUTED_VALUE"""),0.0)</f>
        <v>0</v>
      </c>
      <c r="Y185" s="16">
        <f>IFERROR(__xludf.DUMMYFUNCTION("""COMPUTED_VALUE"""),0.0)</f>
        <v>0</v>
      </c>
      <c r="Z185" s="16">
        <f>IFERROR(__xludf.DUMMYFUNCTION("""COMPUTED_VALUE"""),0.0)</f>
        <v>0</v>
      </c>
      <c r="AA185" s="16">
        <f>IFERROR(__xludf.DUMMYFUNCTION("""COMPUTED_VALUE"""),0.0)</f>
        <v>0</v>
      </c>
      <c r="AB185" s="16">
        <f>IFERROR(__xludf.DUMMYFUNCTION("""COMPUTED_VALUE"""),0.0)</f>
        <v>0</v>
      </c>
      <c r="AC185" s="16">
        <f>IFERROR(__xludf.DUMMYFUNCTION("""COMPUTED_VALUE"""),0.0)</f>
        <v>0</v>
      </c>
      <c r="AD185" s="16">
        <f>IFERROR(__xludf.DUMMYFUNCTION("""COMPUTED_VALUE"""),0.0)</f>
        <v>0</v>
      </c>
      <c r="AE185" s="16">
        <f>IFERROR(__xludf.DUMMYFUNCTION("""COMPUTED_VALUE"""),0.0)</f>
        <v>0</v>
      </c>
      <c r="AF185" s="16">
        <f>IFERROR(__xludf.DUMMYFUNCTION("""COMPUTED_VALUE"""),0.0)</f>
        <v>0</v>
      </c>
      <c r="AG185" s="16">
        <f>IFERROR(__xludf.DUMMYFUNCTION("""COMPUTED_VALUE"""),0.0)</f>
        <v>0</v>
      </c>
      <c r="AH185" s="16">
        <f>IFERROR(__xludf.DUMMYFUNCTION("""COMPUTED_VALUE"""),0.0)</f>
        <v>0</v>
      </c>
    </row>
    <row r="186">
      <c r="A186" s="16" t="str">
        <f>IFERROR(__xludf.DUMMYFUNCTION("""COMPUTED_VALUE"""),"a4dd4053a025d38e2c0410dbcf348862c41c4c5b")</f>
        <v>a4dd4053a025d38e2c0410dbcf348862c41c4c5b</v>
      </c>
      <c r="B186" s="16" t="str">
        <f>IFERROR(__xludf.DUMMYFUNCTION("""COMPUTED_VALUE"""),"Twin Betrayal, Enemy Love")</f>
        <v>Twin Betrayal, Enemy Love</v>
      </c>
      <c r="C186" s="16" t="str">
        <f>IFERROR(__xludf.DUMMYFUNCTION("""COMPUTED_VALUE"""),"Romance")</f>
        <v>Romance</v>
      </c>
      <c r="D186" s="16">
        <f>IFERROR(__xludf.DUMMYFUNCTION("""COMPUTED_VALUE"""),485.0)</f>
        <v>485</v>
      </c>
      <c r="E186" s="16">
        <f>IFERROR(__xludf.DUMMYFUNCTION("""COMPUTED_VALUE"""),0.946391752577319)</f>
        <v>0.9463917526</v>
      </c>
      <c r="F186" s="16">
        <f>IFERROR(__xludf.DUMMYFUNCTION("""COMPUTED_VALUE"""),0.581443298969072)</f>
        <v>0.581443299</v>
      </c>
      <c r="G186" s="16">
        <f>IFERROR(__xludf.DUMMYFUNCTION("""COMPUTED_VALUE"""),0.509278350515463)</f>
        <v>0.5092783505</v>
      </c>
      <c r="H186" s="16">
        <f>IFERROR(__xludf.DUMMYFUNCTION("""COMPUTED_VALUE"""),0.482474226804123)</f>
        <v>0.4824742268</v>
      </c>
      <c r="I186" s="16">
        <f>IFERROR(__xludf.DUMMYFUNCTION("""COMPUTED_VALUE"""),0.484536082474226)</f>
        <v>0.4845360825</v>
      </c>
      <c r="J186" s="16">
        <f>IFERROR(__xludf.DUMMYFUNCTION("""COMPUTED_VALUE"""),0.424742268041237)</f>
        <v>0.424742268</v>
      </c>
      <c r="K186" s="16">
        <f>IFERROR(__xludf.DUMMYFUNCTION("""COMPUTED_VALUE"""),0.39381443298969)</f>
        <v>0.393814433</v>
      </c>
      <c r="L186" s="16">
        <f>IFERROR(__xludf.DUMMYFUNCTION("""COMPUTED_VALUE"""),0.383505154639175)</f>
        <v>0.3835051546</v>
      </c>
      <c r="M186" s="16">
        <f>IFERROR(__xludf.DUMMYFUNCTION("""COMPUTED_VALUE"""),0.352577319587628)</f>
        <v>0.3525773196</v>
      </c>
      <c r="N186" s="16">
        <f>IFERROR(__xludf.DUMMYFUNCTION("""COMPUTED_VALUE"""),0.325773195876288)</f>
        <v>0.3257731959</v>
      </c>
      <c r="O186" s="16">
        <f>IFERROR(__xludf.DUMMYFUNCTION("""COMPUTED_VALUE"""),0.289256198347107)</f>
        <v>0.2892561983</v>
      </c>
      <c r="P186" s="16">
        <f>IFERROR(__xludf.DUMMYFUNCTION("""COMPUTED_VALUE"""),0.225206611570247)</f>
        <v>0.2252066116</v>
      </c>
      <c r="Q186" s="16">
        <f>IFERROR(__xludf.DUMMYFUNCTION("""COMPUTED_VALUE"""),0.171548117154811)</f>
        <v>0.1715481172</v>
      </c>
      <c r="R186" s="16">
        <f>IFERROR(__xludf.DUMMYFUNCTION("""COMPUTED_VALUE"""),0.112412177985948)</f>
        <v>0.112412178</v>
      </c>
      <c r="S186" s="16">
        <f>IFERROR(__xludf.DUMMYFUNCTION("""COMPUTED_VALUE"""),0.078125)</f>
        <v>0.078125</v>
      </c>
      <c r="T186" s="16">
        <f>IFERROR(__xludf.DUMMYFUNCTION("""COMPUTED_VALUE"""),0.0)</f>
        <v>0</v>
      </c>
      <c r="U186" s="16">
        <f>IFERROR(__xludf.DUMMYFUNCTION("""COMPUTED_VALUE"""),0.0)</f>
        <v>0</v>
      </c>
      <c r="V186" s="16">
        <f>IFERROR(__xludf.DUMMYFUNCTION("""COMPUTED_VALUE"""),0.0)</f>
        <v>0</v>
      </c>
      <c r="W186" s="16">
        <f>IFERROR(__xludf.DUMMYFUNCTION("""COMPUTED_VALUE"""),0.0)</f>
        <v>0</v>
      </c>
      <c r="X186" s="16">
        <f>IFERROR(__xludf.DUMMYFUNCTION("""COMPUTED_VALUE"""),0.0)</f>
        <v>0</v>
      </c>
      <c r="Y186" s="16">
        <f>IFERROR(__xludf.DUMMYFUNCTION("""COMPUTED_VALUE"""),0.0)</f>
        <v>0</v>
      </c>
      <c r="Z186" s="16">
        <f>IFERROR(__xludf.DUMMYFUNCTION("""COMPUTED_VALUE"""),0.0)</f>
        <v>0</v>
      </c>
      <c r="AA186" s="16">
        <f>IFERROR(__xludf.DUMMYFUNCTION("""COMPUTED_VALUE"""),0.0)</f>
        <v>0</v>
      </c>
      <c r="AB186" s="16">
        <f>IFERROR(__xludf.DUMMYFUNCTION("""COMPUTED_VALUE"""),0.0)</f>
        <v>0</v>
      </c>
      <c r="AC186" s="16">
        <f>IFERROR(__xludf.DUMMYFUNCTION("""COMPUTED_VALUE"""),0.0)</f>
        <v>0</v>
      </c>
      <c r="AD186" s="16">
        <f>IFERROR(__xludf.DUMMYFUNCTION("""COMPUTED_VALUE"""),0.0)</f>
        <v>0</v>
      </c>
      <c r="AE186" s="16">
        <f>IFERROR(__xludf.DUMMYFUNCTION("""COMPUTED_VALUE"""),0.0)</f>
        <v>0</v>
      </c>
      <c r="AF186" s="16">
        <f>IFERROR(__xludf.DUMMYFUNCTION("""COMPUTED_VALUE"""),0.0)</f>
        <v>0</v>
      </c>
      <c r="AG186" s="16">
        <f>IFERROR(__xludf.DUMMYFUNCTION("""COMPUTED_VALUE"""),0.0)</f>
        <v>0</v>
      </c>
      <c r="AH186" s="16">
        <f>IFERROR(__xludf.DUMMYFUNCTION("""COMPUTED_VALUE"""),0.0)</f>
        <v>0</v>
      </c>
    </row>
    <row r="187">
      <c r="A187" s="16" t="str">
        <f>IFERROR(__xludf.DUMMYFUNCTION("""COMPUTED_VALUE"""),"a6268ee1800866a09bab6b47c61f885556992b45")</f>
        <v>a6268ee1800866a09bab6b47c61f885556992b45</v>
      </c>
      <c r="B187" s="16" t="str">
        <f>IFERROR(__xludf.DUMMYFUNCTION("""COMPUTED_VALUE"""),"The System Creation: Intergalactic Entry")</f>
        <v>The System Creation: Intergalactic Entry</v>
      </c>
      <c r="C187" s="16" t="str">
        <f>IFERROR(__xludf.DUMMYFUNCTION("""COMPUTED_VALUE"""),"System and Superpower")</f>
        <v>System and Superpower</v>
      </c>
      <c r="D187" s="16">
        <f>IFERROR(__xludf.DUMMYFUNCTION("""COMPUTED_VALUE"""),1075.0)</f>
        <v>1075</v>
      </c>
      <c r="E187" s="16">
        <f>IFERROR(__xludf.DUMMYFUNCTION("""COMPUTED_VALUE"""),0.944186046511627)</f>
        <v>0.9441860465</v>
      </c>
      <c r="F187" s="16">
        <f>IFERROR(__xludf.DUMMYFUNCTION("""COMPUTED_VALUE"""),0.415813953488372)</f>
        <v>0.4158139535</v>
      </c>
      <c r="G187" s="16">
        <f>IFERROR(__xludf.DUMMYFUNCTION("""COMPUTED_VALUE"""),0.340465116279069)</f>
        <v>0.3404651163</v>
      </c>
      <c r="H187" s="16">
        <f>IFERROR(__xludf.DUMMYFUNCTION("""COMPUTED_VALUE"""),0.29953488372093)</f>
        <v>0.2995348837</v>
      </c>
      <c r="I187" s="16">
        <f>IFERROR(__xludf.DUMMYFUNCTION("""COMPUTED_VALUE"""),0.276279069767441)</f>
        <v>0.2762790698</v>
      </c>
      <c r="J187" s="16">
        <f>IFERROR(__xludf.DUMMYFUNCTION("""COMPUTED_VALUE"""),0.256744186046511)</f>
        <v>0.256744186</v>
      </c>
      <c r="K187" s="16">
        <f>IFERROR(__xludf.DUMMYFUNCTION("""COMPUTED_VALUE"""),0.239292364990689)</f>
        <v>0.239292365</v>
      </c>
      <c r="L187" s="16">
        <f>IFERROR(__xludf.DUMMYFUNCTION("""COMPUTED_VALUE"""),0.219421101774042)</f>
        <v>0.2194211018</v>
      </c>
      <c r="M187" s="16">
        <f>IFERROR(__xludf.DUMMYFUNCTION("""COMPUTED_VALUE"""),0.211951447245564)</f>
        <v>0.2119514472</v>
      </c>
      <c r="N187" s="16">
        <f>IFERROR(__xludf.DUMMYFUNCTION("""COMPUTED_VALUE"""),0.201680672268907)</f>
        <v>0.2016806723</v>
      </c>
      <c r="O187" s="16">
        <f>IFERROR(__xludf.DUMMYFUNCTION("""COMPUTED_VALUE"""),0.186504217432052)</f>
        <v>0.1865042174</v>
      </c>
      <c r="P187" s="16">
        <f>IFERROR(__xludf.DUMMYFUNCTION("""COMPUTED_VALUE"""),0.15145813734713)</f>
        <v>0.1514581373</v>
      </c>
      <c r="Q187" s="16">
        <f>IFERROR(__xludf.DUMMYFUNCTION("""COMPUTED_VALUE"""),0.123339658444022)</f>
        <v>0.1233396584</v>
      </c>
      <c r="R187" s="16">
        <f>IFERROR(__xludf.DUMMYFUNCTION("""COMPUTED_VALUE"""),0.0998098859315589)</f>
        <v>0.09980988593</v>
      </c>
      <c r="S187" s="16">
        <f>IFERROR(__xludf.DUMMYFUNCTION("""COMPUTED_VALUE"""),0.0907354345749761)</f>
        <v>0.09073543457</v>
      </c>
      <c r="T187" s="16">
        <f>IFERROR(__xludf.DUMMYFUNCTION("""COMPUTED_VALUE"""),0.0764818355640535)</f>
        <v>0.07648183556</v>
      </c>
      <c r="U187" s="16">
        <f>IFERROR(__xludf.DUMMYFUNCTION("""COMPUTED_VALUE"""),0.0746411483253588)</f>
        <v>0.07464114833</v>
      </c>
      <c r="V187" s="16">
        <f>IFERROR(__xludf.DUMMYFUNCTION("""COMPUTED_VALUE"""),0.066410009624639)</f>
        <v>0.06641000962</v>
      </c>
      <c r="W187" s="16">
        <f>IFERROR(__xludf.DUMMYFUNCTION("""COMPUTED_VALUE"""),0.0647969052224371)</f>
        <v>0.06479690522</v>
      </c>
      <c r="X187" s="16">
        <f>IFERROR(__xludf.DUMMYFUNCTION("""COMPUTED_VALUE"""),0.0613437195715676)</f>
        <v>0.06134371957</v>
      </c>
      <c r="Y187" s="16">
        <f>IFERROR(__xludf.DUMMYFUNCTION("""COMPUTED_VALUE"""),0.0539165818921668)</f>
        <v>0.05391658189</v>
      </c>
      <c r="Z187" s="16">
        <f>IFERROR(__xludf.DUMMYFUNCTION("""COMPUTED_VALUE"""),0.0499468650371944)</f>
        <v>0.04994686504</v>
      </c>
      <c r="AA187" s="16">
        <f>IFERROR(__xludf.DUMMYFUNCTION("""COMPUTED_VALUE"""),0.046875)</f>
        <v>0.046875</v>
      </c>
      <c r="AB187" s="16">
        <f>IFERROR(__xludf.DUMMYFUNCTION("""COMPUTED_VALUE"""),0.0481651376146789)</f>
        <v>0.04816513761</v>
      </c>
      <c r="AC187" s="16">
        <f>IFERROR(__xludf.DUMMYFUNCTION("""COMPUTED_VALUE"""),0.0456182472989195)</f>
        <v>0.0456182473</v>
      </c>
      <c r="AD187" s="16">
        <f>IFERROR(__xludf.DUMMYFUNCTION("""COMPUTED_VALUE"""),0.0388958594730238)</f>
        <v>0.03889585947</v>
      </c>
      <c r="AE187" s="16">
        <f>IFERROR(__xludf.DUMMYFUNCTION("""COMPUTED_VALUE"""),0.0352781546811397)</f>
        <v>0.03527815468</v>
      </c>
      <c r="AF187" s="16">
        <f>IFERROR(__xludf.DUMMYFUNCTION("""COMPUTED_VALUE"""),0.0319767441860465)</f>
        <v>0.03197674419</v>
      </c>
      <c r="AG187" s="16">
        <f>IFERROR(__xludf.DUMMYFUNCTION("""COMPUTED_VALUE"""),0.0290964777947932)</f>
        <v>0.02909647779</v>
      </c>
      <c r="AH187" s="16">
        <f>IFERROR(__xludf.DUMMYFUNCTION("""COMPUTED_VALUE"""),0.0231023102310231)</f>
        <v>0.02310231023</v>
      </c>
    </row>
    <row r="188">
      <c r="A188" s="16" t="str">
        <f>IFERROR(__xludf.DUMMYFUNCTION("""COMPUTED_VALUE"""),"a6f94887cb30090252bc97e34a7a53c7a6555b8d")</f>
        <v>a6f94887cb30090252bc97e34a7a53c7a6555b8d</v>
      </c>
      <c r="B188" s="16" t="str">
        <f>IFERROR(__xludf.DUMMYFUNCTION("""COMPUTED_VALUE"""),"A Surrogate Bride for a Paralyzed Ceo")</f>
        <v>A Surrogate Bride for a Paralyzed Ceo</v>
      </c>
      <c r="C188" s="16" t="str">
        <f>IFERROR(__xludf.DUMMYFUNCTION("""COMPUTED_VALUE"""),"Drama")</f>
        <v>Drama</v>
      </c>
      <c r="D188" s="16">
        <f>IFERROR(__xludf.DUMMYFUNCTION("""COMPUTED_VALUE"""),4012.0)</f>
        <v>4012</v>
      </c>
      <c r="E188" s="16">
        <f>IFERROR(__xludf.DUMMYFUNCTION("""COMPUTED_VALUE"""),0.896311066799601)</f>
        <v>0.8963110668</v>
      </c>
      <c r="F188" s="16">
        <f>IFERROR(__xludf.DUMMYFUNCTION("""COMPUTED_VALUE"""),0.582502492522432)</f>
        <v>0.5825024925</v>
      </c>
      <c r="G188" s="16">
        <f>IFERROR(__xludf.DUMMYFUNCTION("""COMPUTED_VALUE"""),0.528165503489531)</f>
        <v>0.5281655035</v>
      </c>
      <c r="H188" s="16">
        <f>IFERROR(__xludf.DUMMYFUNCTION("""COMPUTED_VALUE"""),0.484795613160518)</f>
        <v>0.4847956132</v>
      </c>
      <c r="I188" s="16">
        <f>IFERROR(__xludf.DUMMYFUNCTION("""COMPUTED_VALUE"""),0.465603190428713)</f>
        <v>0.4656031904</v>
      </c>
      <c r="J188" s="16">
        <f>IFERROR(__xludf.DUMMYFUNCTION("""COMPUTED_VALUE"""),0.450374064837905)</f>
        <v>0.4503740648</v>
      </c>
      <c r="K188" s="16">
        <f>IFERROR(__xludf.DUMMYFUNCTION("""COMPUTED_VALUE"""),0.436236585974544)</f>
        <v>0.436236586</v>
      </c>
      <c r="L188" s="16">
        <f>IFERROR(__xludf.DUMMYFUNCTION("""COMPUTED_VALUE"""),0.419121318022965)</f>
        <v>0.419121318</v>
      </c>
      <c r="M188" s="16">
        <f>IFERROR(__xludf.DUMMYFUNCTION("""COMPUTED_VALUE"""),0.405243445692883)</f>
        <v>0.4052434457</v>
      </c>
      <c r="N188" s="16">
        <f>IFERROR(__xludf.DUMMYFUNCTION("""COMPUTED_VALUE"""),0.393053473263368)</f>
        <v>0.3930534733</v>
      </c>
      <c r="O188" s="16">
        <f>IFERROR(__xludf.DUMMYFUNCTION("""COMPUTED_VALUE"""),0.359609609609609)</f>
        <v>0.3596096096</v>
      </c>
      <c r="P188" s="16">
        <f>IFERROR(__xludf.DUMMYFUNCTION("""COMPUTED_VALUE"""),0.328986960882647)</f>
        <v>0.3289869609</v>
      </c>
      <c r="Q188" s="16">
        <f>IFERROR(__xludf.DUMMYFUNCTION("""COMPUTED_VALUE"""),0.290849673202614)</f>
        <v>0.2908496732</v>
      </c>
      <c r="R188" s="16">
        <f>IFERROR(__xludf.DUMMYFUNCTION("""COMPUTED_VALUE"""),0.251762336354481)</f>
        <v>0.2517623364</v>
      </c>
      <c r="S188" s="16">
        <f>IFERROR(__xludf.DUMMYFUNCTION("""COMPUTED_VALUE"""),0.224325006308352)</f>
        <v>0.2243250063</v>
      </c>
      <c r="T188" s="16">
        <f>IFERROR(__xludf.DUMMYFUNCTION("""COMPUTED_VALUE"""),0.188273944907758)</f>
        <v>0.1882739449</v>
      </c>
      <c r="U188" s="16">
        <f>IFERROR(__xludf.DUMMYFUNCTION("""COMPUTED_VALUE"""),0.167764825139381)</f>
        <v>0.1677648251</v>
      </c>
      <c r="V188" s="16">
        <f>IFERROR(__xludf.DUMMYFUNCTION("""COMPUTED_VALUE"""),0.148997134670487)</f>
        <v>0.1489971347</v>
      </c>
      <c r="W188" s="16">
        <f>IFERROR(__xludf.DUMMYFUNCTION("""COMPUTED_VALUE"""),0.139281507656065)</f>
        <v>0.1392815077</v>
      </c>
      <c r="X188" s="16">
        <f>IFERROR(__xludf.DUMMYFUNCTION("""COMPUTED_VALUE"""),0.129768605378361)</f>
        <v>0.1297686054</v>
      </c>
      <c r="Y188" s="16">
        <f>IFERROR(__xludf.DUMMYFUNCTION("""COMPUTED_VALUE"""),0.108310626702997)</f>
        <v>0.1083106267</v>
      </c>
      <c r="Z188" s="16">
        <f>IFERROR(__xludf.DUMMYFUNCTION("""COMPUTED_VALUE"""),0.0878524945770065)</f>
        <v>0.08785249458</v>
      </c>
      <c r="AA188" s="16">
        <f>IFERROR(__xludf.DUMMYFUNCTION("""COMPUTED_VALUE"""),0.0811306901615271)</f>
        <v>0.08113069016</v>
      </c>
      <c r="AB188" s="16">
        <f>IFERROR(__xludf.DUMMYFUNCTION("""COMPUTED_VALUE"""),0.0660611065235342)</f>
        <v>0.06606110652</v>
      </c>
      <c r="AC188" s="16">
        <f>IFERROR(__xludf.DUMMYFUNCTION("""COMPUTED_VALUE"""),0.0537587412587412)</f>
        <v>0.05375874126</v>
      </c>
      <c r="AD188" s="16">
        <f>IFERROR(__xludf.DUMMYFUNCTION("""COMPUTED_VALUE"""),0.045045045045045)</f>
        <v>0.04504504505</v>
      </c>
      <c r="AE188" s="16">
        <f>IFERROR(__xludf.DUMMYFUNCTION("""COMPUTED_VALUE"""),0.0443925233644859)</f>
        <v>0.04439252336</v>
      </c>
      <c r="AF188" s="16">
        <f>IFERROR(__xludf.DUMMYFUNCTION("""COMPUTED_VALUE"""),0.036445332001997)</f>
        <v>0.036445332</v>
      </c>
      <c r="AG188" s="16">
        <f>IFERROR(__xludf.DUMMYFUNCTION("""COMPUTED_VALUE"""),0.0252552391187533)</f>
        <v>0.02525523912</v>
      </c>
      <c r="AH188" s="16">
        <f>IFERROR(__xludf.DUMMYFUNCTION("""COMPUTED_VALUE"""),0.0208588957055214)</f>
        <v>0.02085889571</v>
      </c>
    </row>
    <row r="189">
      <c r="A189" s="16" t="str">
        <f>IFERROR(__xludf.DUMMYFUNCTION("""COMPUTED_VALUE"""),"a830c3a71510f0594792edb43a5e99b9da02d7e7")</f>
        <v>a830c3a71510f0594792edb43a5e99b9da02d7e7</v>
      </c>
      <c r="B189" s="16" t="str">
        <f>IFERROR(__xludf.DUMMYFUNCTION("""COMPUTED_VALUE"""),"Married to a Dying Prince")</f>
        <v>Married to a Dying Prince</v>
      </c>
      <c r="C189" s="16" t="str">
        <f>IFERROR(__xludf.DUMMYFUNCTION("""COMPUTED_VALUE"""),"Romantasy")</f>
        <v>Romantasy</v>
      </c>
      <c r="D189" s="16">
        <f>IFERROR(__xludf.DUMMYFUNCTION("""COMPUTED_VALUE"""),424.0)</f>
        <v>424</v>
      </c>
      <c r="E189" s="16">
        <f>IFERROR(__xludf.DUMMYFUNCTION("""COMPUTED_VALUE"""),0.969339622641509)</f>
        <v>0.9693396226</v>
      </c>
      <c r="F189" s="16">
        <f>IFERROR(__xludf.DUMMYFUNCTION("""COMPUTED_VALUE"""),0.528301886792452)</f>
        <v>0.5283018868</v>
      </c>
      <c r="G189" s="16">
        <f>IFERROR(__xludf.DUMMYFUNCTION("""COMPUTED_VALUE"""),0.47877358490566)</f>
        <v>0.4787735849</v>
      </c>
      <c r="H189" s="16">
        <f>IFERROR(__xludf.DUMMYFUNCTION("""COMPUTED_VALUE"""),0.415094339622641)</f>
        <v>0.4150943396</v>
      </c>
      <c r="I189" s="16">
        <f>IFERROR(__xludf.DUMMYFUNCTION("""COMPUTED_VALUE"""),0.415094339622641)</f>
        <v>0.4150943396</v>
      </c>
      <c r="J189" s="16">
        <f>IFERROR(__xludf.DUMMYFUNCTION("""COMPUTED_VALUE"""),0.396226415094339)</f>
        <v>0.3962264151</v>
      </c>
      <c r="K189" s="16">
        <f>IFERROR(__xludf.DUMMYFUNCTION("""COMPUTED_VALUE"""),0.377358490566037)</f>
        <v>0.3773584906</v>
      </c>
      <c r="L189" s="16">
        <f>IFERROR(__xludf.DUMMYFUNCTION("""COMPUTED_VALUE"""),0.377358490566037)</f>
        <v>0.3773584906</v>
      </c>
      <c r="M189" s="16">
        <f>IFERROR(__xludf.DUMMYFUNCTION("""COMPUTED_VALUE"""),0.371158392434988)</f>
        <v>0.3711583924</v>
      </c>
      <c r="N189" s="16">
        <f>IFERROR(__xludf.DUMMYFUNCTION("""COMPUTED_VALUE"""),0.361702127659574)</f>
        <v>0.3617021277</v>
      </c>
      <c r="O189" s="16">
        <f>IFERROR(__xludf.DUMMYFUNCTION("""COMPUTED_VALUE"""),0.338129496402877)</f>
        <v>0.3381294964</v>
      </c>
      <c r="P189" s="16">
        <f>IFERROR(__xludf.DUMMYFUNCTION("""COMPUTED_VALUE"""),0.276029055690072)</f>
        <v>0.2760290557</v>
      </c>
      <c r="Q189" s="16">
        <f>IFERROR(__xludf.DUMMYFUNCTION("""COMPUTED_VALUE"""),0.233668341708542)</f>
        <v>0.2336683417</v>
      </c>
      <c r="R189" s="16">
        <f>IFERROR(__xludf.DUMMYFUNCTION("""COMPUTED_VALUE"""),0.153846153846153)</f>
        <v>0.1538461538</v>
      </c>
      <c r="S189" s="16">
        <f>IFERROR(__xludf.DUMMYFUNCTION("""COMPUTED_VALUE"""),0.073170731707317)</f>
        <v>0.07317073171</v>
      </c>
      <c r="T189" s="16">
        <f>IFERROR(__xludf.DUMMYFUNCTION("""COMPUTED_VALUE"""),0.0)</f>
        <v>0</v>
      </c>
      <c r="U189" s="16">
        <f>IFERROR(__xludf.DUMMYFUNCTION("""COMPUTED_VALUE"""),0.0)</f>
        <v>0</v>
      </c>
      <c r="V189" s="16">
        <f>IFERROR(__xludf.DUMMYFUNCTION("""COMPUTED_VALUE"""),0.0)</f>
        <v>0</v>
      </c>
      <c r="W189" s="16">
        <f>IFERROR(__xludf.DUMMYFUNCTION("""COMPUTED_VALUE"""),0.0)</f>
        <v>0</v>
      </c>
      <c r="X189" s="16">
        <f>IFERROR(__xludf.DUMMYFUNCTION("""COMPUTED_VALUE"""),0.0)</f>
        <v>0</v>
      </c>
      <c r="Y189" s="16">
        <f>IFERROR(__xludf.DUMMYFUNCTION("""COMPUTED_VALUE"""),0.0)</f>
        <v>0</v>
      </c>
      <c r="Z189" s="16">
        <f>IFERROR(__xludf.DUMMYFUNCTION("""COMPUTED_VALUE"""),0.0)</f>
        <v>0</v>
      </c>
      <c r="AA189" s="16">
        <f>IFERROR(__xludf.DUMMYFUNCTION("""COMPUTED_VALUE"""),0.0)</f>
        <v>0</v>
      </c>
      <c r="AB189" s="16">
        <f>IFERROR(__xludf.DUMMYFUNCTION("""COMPUTED_VALUE"""),0.0)</f>
        <v>0</v>
      </c>
      <c r="AC189" s="16">
        <f>IFERROR(__xludf.DUMMYFUNCTION("""COMPUTED_VALUE"""),0.0)</f>
        <v>0</v>
      </c>
      <c r="AD189" s="16">
        <f>IFERROR(__xludf.DUMMYFUNCTION("""COMPUTED_VALUE"""),0.0)</f>
        <v>0</v>
      </c>
      <c r="AE189" s="16">
        <f>IFERROR(__xludf.DUMMYFUNCTION("""COMPUTED_VALUE"""),0.0)</f>
        <v>0</v>
      </c>
      <c r="AF189" s="16">
        <f>IFERROR(__xludf.DUMMYFUNCTION("""COMPUTED_VALUE"""),0.0)</f>
        <v>0</v>
      </c>
      <c r="AG189" s="16">
        <f>IFERROR(__xludf.DUMMYFUNCTION("""COMPUTED_VALUE"""),0.0)</f>
        <v>0</v>
      </c>
      <c r="AH189" s="16">
        <f>IFERROR(__xludf.DUMMYFUNCTION("""COMPUTED_VALUE"""),0.0)</f>
        <v>0</v>
      </c>
    </row>
    <row r="190">
      <c r="A190" s="16" t="str">
        <f>IFERROR(__xludf.DUMMYFUNCTION("""COMPUTED_VALUE"""),"a877c7bd8a3facfb24f79b876674d1437dd52fb5")</f>
        <v>a877c7bd8a3facfb24f79b876674d1437dd52fb5</v>
      </c>
      <c r="B190" s="16" t="str">
        <f>IFERROR(__xludf.DUMMYFUNCTION("""COMPUTED_VALUE"""),"Dragon System Awakening")</f>
        <v>Dragon System Awakening</v>
      </c>
      <c r="C190" s="16" t="str">
        <f>IFERROR(__xludf.DUMMYFUNCTION("""COMPUTED_VALUE"""),"System and Superpower")</f>
        <v>System and Superpower</v>
      </c>
      <c r="D190" s="16">
        <f>IFERROR(__xludf.DUMMYFUNCTION("""COMPUTED_VALUE"""),1772.0)</f>
        <v>1772</v>
      </c>
      <c r="E190" s="16">
        <f>IFERROR(__xludf.DUMMYFUNCTION("""COMPUTED_VALUE"""),0.959932279909706)</f>
        <v>0.9599322799</v>
      </c>
      <c r="F190" s="16">
        <f>IFERROR(__xludf.DUMMYFUNCTION("""COMPUTED_VALUE"""),0.660270880361173)</f>
        <v>0.6602708804</v>
      </c>
      <c r="G190" s="16">
        <f>IFERROR(__xludf.DUMMYFUNCTION("""COMPUTED_VALUE"""),0.598194130925507)</f>
        <v>0.5981941309</v>
      </c>
      <c r="H190" s="16">
        <f>IFERROR(__xludf.DUMMYFUNCTION("""COMPUTED_VALUE"""),0.562641083521444)</f>
        <v>0.5626410835</v>
      </c>
      <c r="I190" s="16">
        <f>IFERROR(__xludf.DUMMYFUNCTION("""COMPUTED_VALUE"""),0.528781038374717)</f>
        <v>0.5287810384</v>
      </c>
      <c r="J190" s="16">
        <f>IFERROR(__xludf.DUMMYFUNCTION("""COMPUTED_VALUE"""),0.503389830508474)</f>
        <v>0.5033898305</v>
      </c>
      <c r="K190" s="16">
        <f>IFERROR(__xludf.DUMMYFUNCTION("""COMPUTED_VALUE"""),0.481920903954802)</f>
        <v>0.481920904</v>
      </c>
      <c r="L190" s="16">
        <f>IFERROR(__xludf.DUMMYFUNCTION("""COMPUTED_VALUE"""),0.469422423556058)</f>
        <v>0.4694224236</v>
      </c>
      <c r="M190" s="16">
        <f>IFERROR(__xludf.DUMMYFUNCTION("""COMPUTED_VALUE"""),0.452434881087202)</f>
        <v>0.4524348811</v>
      </c>
      <c r="N190" s="16">
        <f>IFERROR(__xludf.DUMMYFUNCTION("""COMPUTED_VALUE"""),0.44047619047619)</f>
        <v>0.4404761905</v>
      </c>
      <c r="O190" s="16">
        <f>IFERROR(__xludf.DUMMYFUNCTION("""COMPUTED_VALUE"""),0.387078330474556)</f>
        <v>0.3870783305</v>
      </c>
      <c r="P190" s="16">
        <f>IFERROR(__xludf.DUMMYFUNCTION("""COMPUTED_VALUE"""),0.32471264367816)</f>
        <v>0.3247126437</v>
      </c>
      <c r="Q190" s="16">
        <f>IFERROR(__xludf.DUMMYFUNCTION("""COMPUTED_VALUE"""),0.237955346650998)</f>
        <v>0.2379553467</v>
      </c>
      <c r="R190" s="16">
        <f>IFERROR(__xludf.DUMMYFUNCTION("""COMPUTED_VALUE"""),0.208209399167162)</f>
        <v>0.2082093992</v>
      </c>
      <c r="S190" s="16">
        <f>IFERROR(__xludf.DUMMYFUNCTION("""COMPUTED_VALUE"""),0.180293501048218)</f>
        <v>0.180293501</v>
      </c>
      <c r="T190" s="16">
        <f>IFERROR(__xludf.DUMMYFUNCTION("""COMPUTED_VALUE"""),0.166528583264291)</f>
        <v>0.1665285833</v>
      </c>
      <c r="U190" s="16">
        <f>IFERROR(__xludf.DUMMYFUNCTION("""COMPUTED_VALUE"""),0.141110065851364)</f>
        <v>0.1411100659</v>
      </c>
      <c r="V190" s="16">
        <f>IFERROR(__xludf.DUMMYFUNCTION("""COMPUTED_VALUE"""),0.128509719222462)</f>
        <v>0.1285097192</v>
      </c>
      <c r="W190" s="16">
        <f>IFERROR(__xludf.DUMMYFUNCTION("""COMPUTED_VALUE"""),0.108433734939759)</f>
        <v>0.1084337349</v>
      </c>
      <c r="X190" s="16">
        <f>IFERROR(__xludf.DUMMYFUNCTION("""COMPUTED_VALUE"""),0.098250336473755)</f>
        <v>0.09825033647</v>
      </c>
      <c r="Y190" s="16">
        <f>IFERROR(__xludf.DUMMYFUNCTION("""COMPUTED_VALUE"""),0.0735042735042735)</f>
        <v>0.0735042735</v>
      </c>
      <c r="Z190" s="16">
        <f>IFERROR(__xludf.DUMMYFUNCTION("""COMPUTED_VALUE"""),0.0563798219584569)</f>
        <v>0.05637982196</v>
      </c>
      <c r="AA190" s="16">
        <f>IFERROR(__xludf.DUMMYFUNCTION("""COMPUTED_VALUE"""),0.0379746835443038)</f>
        <v>0.03797468354</v>
      </c>
      <c r="AB190" s="16">
        <f>IFERROR(__xludf.DUMMYFUNCTION("""COMPUTED_VALUE"""),0.0)</f>
        <v>0</v>
      </c>
      <c r="AC190" s="16">
        <f>IFERROR(__xludf.DUMMYFUNCTION("""COMPUTED_VALUE"""),0.0)</f>
        <v>0</v>
      </c>
      <c r="AD190" s="16">
        <f>IFERROR(__xludf.DUMMYFUNCTION("""COMPUTED_VALUE"""),0.0)</f>
        <v>0</v>
      </c>
      <c r="AE190" s="16">
        <f>IFERROR(__xludf.DUMMYFUNCTION("""COMPUTED_VALUE"""),0.0)</f>
        <v>0</v>
      </c>
      <c r="AF190" s="16">
        <f>IFERROR(__xludf.DUMMYFUNCTION("""COMPUTED_VALUE"""),0.0)</f>
        <v>0</v>
      </c>
      <c r="AG190" s="16">
        <f>IFERROR(__xludf.DUMMYFUNCTION("""COMPUTED_VALUE"""),0.0)</f>
        <v>0</v>
      </c>
      <c r="AH190" s="16">
        <f>IFERROR(__xludf.DUMMYFUNCTION("""COMPUTED_VALUE"""),0.0)</f>
        <v>0</v>
      </c>
    </row>
    <row r="191">
      <c r="A191" s="16" t="str">
        <f>IFERROR(__xludf.DUMMYFUNCTION("""COMPUTED_VALUE"""),"a901618b218023453e7ca53e9fa1d9940b094e69")</f>
        <v>a901618b218023453e7ca53e9fa1d9940b094e69</v>
      </c>
      <c r="B191" s="16" t="str">
        <f>IFERROR(__xludf.DUMMYFUNCTION("""COMPUTED_VALUE"""),"The Devil's New Assistant")</f>
        <v>The Devil's New Assistant</v>
      </c>
      <c r="C191" s="16" t="str">
        <f>IFERROR(__xludf.DUMMYFUNCTION("""COMPUTED_VALUE"""),"Romance")</f>
        <v>Romance</v>
      </c>
      <c r="D191" s="16">
        <f>IFERROR(__xludf.DUMMYFUNCTION("""COMPUTED_VALUE"""),183.0)</f>
        <v>183</v>
      </c>
      <c r="E191" s="16">
        <f>IFERROR(__xludf.DUMMYFUNCTION("""COMPUTED_VALUE"""),0.961748633879781)</f>
        <v>0.9617486339</v>
      </c>
      <c r="F191" s="16">
        <f>IFERROR(__xludf.DUMMYFUNCTION("""COMPUTED_VALUE"""),0.543956043956043)</f>
        <v>0.543956044</v>
      </c>
      <c r="G191" s="16">
        <f>IFERROR(__xludf.DUMMYFUNCTION("""COMPUTED_VALUE"""),0.494505494505494)</f>
        <v>0.4945054945</v>
      </c>
      <c r="H191" s="16">
        <f>IFERROR(__xludf.DUMMYFUNCTION("""COMPUTED_VALUE"""),0.467032967032967)</f>
        <v>0.467032967</v>
      </c>
      <c r="I191" s="16">
        <f>IFERROR(__xludf.DUMMYFUNCTION("""COMPUTED_VALUE"""),0.461538461538461)</f>
        <v>0.4615384615</v>
      </c>
      <c r="J191" s="16">
        <f>IFERROR(__xludf.DUMMYFUNCTION("""COMPUTED_VALUE"""),0.45578231292517)</f>
        <v>0.4557823129</v>
      </c>
      <c r="K191" s="16">
        <f>IFERROR(__xludf.DUMMYFUNCTION("""COMPUTED_VALUE"""),0.464)</f>
        <v>0.464</v>
      </c>
      <c r="L191" s="16">
        <f>IFERROR(__xludf.DUMMYFUNCTION("""COMPUTED_VALUE"""),0.46551724137931)</f>
        <v>0.4655172414</v>
      </c>
      <c r="M191" s="16">
        <f>IFERROR(__xludf.DUMMYFUNCTION("""COMPUTED_VALUE"""),0.48780487804878)</f>
        <v>0.487804878</v>
      </c>
      <c r="N191" s="16">
        <f>IFERROR(__xludf.DUMMYFUNCTION("""COMPUTED_VALUE"""),0.391304347826087)</f>
        <v>0.3913043478</v>
      </c>
      <c r="O191" s="16">
        <f>IFERROR(__xludf.DUMMYFUNCTION("""COMPUTED_VALUE"""),0.583333333333333)</f>
        <v>0.5833333333</v>
      </c>
      <c r="P191" s="16">
        <f>IFERROR(__xludf.DUMMYFUNCTION("""COMPUTED_VALUE"""),0.416666666666666)</f>
        <v>0.4166666667</v>
      </c>
      <c r="Q191" s="16">
        <f>IFERROR(__xludf.DUMMYFUNCTION("""COMPUTED_VALUE"""),0.0)</f>
        <v>0</v>
      </c>
      <c r="R191" s="16">
        <f>IFERROR(__xludf.DUMMYFUNCTION("""COMPUTED_VALUE"""),0.0)</f>
        <v>0</v>
      </c>
      <c r="S191" s="16">
        <f>IFERROR(__xludf.DUMMYFUNCTION("""COMPUTED_VALUE"""),0.0)</f>
        <v>0</v>
      </c>
      <c r="T191" s="16">
        <f>IFERROR(__xludf.DUMMYFUNCTION("""COMPUTED_VALUE"""),0.0)</f>
        <v>0</v>
      </c>
      <c r="U191" s="16">
        <f>IFERROR(__xludf.DUMMYFUNCTION("""COMPUTED_VALUE"""),0.0)</f>
        <v>0</v>
      </c>
      <c r="V191" s="16">
        <f>IFERROR(__xludf.DUMMYFUNCTION("""COMPUTED_VALUE"""),0.0)</f>
        <v>0</v>
      </c>
      <c r="W191" s="16">
        <f>IFERROR(__xludf.DUMMYFUNCTION("""COMPUTED_VALUE"""),0.0)</f>
        <v>0</v>
      </c>
      <c r="X191" s="16">
        <f>IFERROR(__xludf.DUMMYFUNCTION("""COMPUTED_VALUE"""),0.0)</f>
        <v>0</v>
      </c>
      <c r="Y191" s="16">
        <f>IFERROR(__xludf.DUMMYFUNCTION("""COMPUTED_VALUE"""),0.0)</f>
        <v>0</v>
      </c>
      <c r="Z191" s="16">
        <f>IFERROR(__xludf.DUMMYFUNCTION("""COMPUTED_VALUE"""),0.0)</f>
        <v>0</v>
      </c>
      <c r="AA191" s="16">
        <f>IFERROR(__xludf.DUMMYFUNCTION("""COMPUTED_VALUE"""),0.0)</f>
        <v>0</v>
      </c>
      <c r="AB191" s="16">
        <f>IFERROR(__xludf.DUMMYFUNCTION("""COMPUTED_VALUE"""),0.0)</f>
        <v>0</v>
      </c>
      <c r="AC191" s="16">
        <f>IFERROR(__xludf.DUMMYFUNCTION("""COMPUTED_VALUE"""),0.0)</f>
        <v>0</v>
      </c>
      <c r="AD191" s="16">
        <f>IFERROR(__xludf.DUMMYFUNCTION("""COMPUTED_VALUE"""),0.0)</f>
        <v>0</v>
      </c>
      <c r="AE191" s="16">
        <f>IFERROR(__xludf.DUMMYFUNCTION("""COMPUTED_VALUE"""),0.0)</f>
        <v>0</v>
      </c>
      <c r="AF191" s="16">
        <f>IFERROR(__xludf.DUMMYFUNCTION("""COMPUTED_VALUE"""),0.0)</f>
        <v>0</v>
      </c>
      <c r="AG191" s="16">
        <f>IFERROR(__xludf.DUMMYFUNCTION("""COMPUTED_VALUE"""),0.0)</f>
        <v>0</v>
      </c>
      <c r="AH191" s="16">
        <f>IFERROR(__xludf.DUMMYFUNCTION("""COMPUTED_VALUE"""),0.0)</f>
        <v>0</v>
      </c>
    </row>
    <row r="192">
      <c r="A192" s="16" t="str">
        <f>IFERROR(__xludf.DUMMYFUNCTION("""COMPUTED_VALUE"""),"a92aaf29dca1833b578f42a2abbcdab8db2ff12e")</f>
        <v>a92aaf29dca1833b578f42a2abbcdab8db2ff12e</v>
      </c>
      <c r="B192" s="16" t="str">
        <f>IFERROR(__xludf.DUMMYFUNCTION("""COMPUTED_VALUE"""),"Bought for the Ice Ceo")</f>
        <v>Bought for the Ice Ceo</v>
      </c>
      <c r="C192" s="16" t="str">
        <f>IFERROR(__xludf.DUMMYFUNCTION("""COMPUTED_VALUE"""),"Romance")</f>
        <v>Romance</v>
      </c>
      <c r="D192" s="16">
        <f>IFERROR(__xludf.DUMMYFUNCTION("""COMPUTED_VALUE"""),534.0)</f>
        <v>534</v>
      </c>
      <c r="E192" s="16">
        <f>IFERROR(__xludf.DUMMYFUNCTION("""COMPUTED_VALUE"""),0.97003745318352)</f>
        <v>0.9700374532</v>
      </c>
      <c r="F192" s="16">
        <f>IFERROR(__xludf.DUMMYFUNCTION("""COMPUTED_VALUE"""),0.698501872659176)</f>
        <v>0.6985018727</v>
      </c>
      <c r="G192" s="16">
        <f>IFERROR(__xludf.DUMMYFUNCTION("""COMPUTED_VALUE"""),0.629213483146067)</f>
        <v>0.6292134831</v>
      </c>
      <c r="H192" s="16">
        <f>IFERROR(__xludf.DUMMYFUNCTION("""COMPUTED_VALUE"""),0.586142322097378)</f>
        <v>0.5861423221</v>
      </c>
      <c r="I192" s="16">
        <f>IFERROR(__xludf.DUMMYFUNCTION("""COMPUTED_VALUE"""),0.544943820224719)</f>
        <v>0.5449438202</v>
      </c>
      <c r="J192" s="16">
        <f>IFERROR(__xludf.DUMMYFUNCTION("""COMPUTED_VALUE"""),0.514981273408239)</f>
        <v>0.5149812734</v>
      </c>
      <c r="K192" s="16">
        <f>IFERROR(__xludf.DUMMYFUNCTION("""COMPUTED_VALUE"""),0.49906191369606)</f>
        <v>0.4990619137</v>
      </c>
      <c r="L192" s="16">
        <f>IFERROR(__xludf.DUMMYFUNCTION("""COMPUTED_VALUE"""),0.470919324577861)</f>
        <v>0.4709193246</v>
      </c>
      <c r="M192" s="16">
        <f>IFERROR(__xludf.DUMMYFUNCTION("""COMPUTED_VALUE"""),0.467166979362101)</f>
        <v>0.4671669794</v>
      </c>
      <c r="N192" s="16">
        <f>IFERROR(__xludf.DUMMYFUNCTION("""COMPUTED_VALUE"""),0.434210526315789)</f>
        <v>0.4342105263</v>
      </c>
      <c r="O192" s="16">
        <f>IFERROR(__xludf.DUMMYFUNCTION("""COMPUTED_VALUE"""),0.378071833648393)</f>
        <v>0.3780718336</v>
      </c>
      <c r="P192" s="16">
        <f>IFERROR(__xludf.DUMMYFUNCTION("""COMPUTED_VALUE"""),0.243809523809523)</f>
        <v>0.2438095238</v>
      </c>
      <c r="Q192" s="16">
        <f>IFERROR(__xludf.DUMMYFUNCTION("""COMPUTED_VALUE"""),0.0965250965250965)</f>
        <v>0.09652509653</v>
      </c>
      <c r="R192" s="16">
        <f>IFERROR(__xludf.DUMMYFUNCTION("""COMPUTED_VALUE"""),0.0)</f>
        <v>0</v>
      </c>
      <c r="S192" s="16">
        <f>IFERROR(__xludf.DUMMYFUNCTION("""COMPUTED_VALUE"""),0.0)</f>
        <v>0</v>
      </c>
      <c r="T192" s="16">
        <f>IFERROR(__xludf.DUMMYFUNCTION("""COMPUTED_VALUE"""),0.0)</f>
        <v>0</v>
      </c>
      <c r="U192" s="16">
        <f>IFERROR(__xludf.DUMMYFUNCTION("""COMPUTED_VALUE"""),0.0)</f>
        <v>0</v>
      </c>
      <c r="V192" s="16">
        <f>IFERROR(__xludf.DUMMYFUNCTION("""COMPUTED_VALUE"""),0.0)</f>
        <v>0</v>
      </c>
      <c r="W192" s="16">
        <f>IFERROR(__xludf.DUMMYFUNCTION("""COMPUTED_VALUE"""),0.0)</f>
        <v>0</v>
      </c>
      <c r="X192" s="16">
        <f>IFERROR(__xludf.DUMMYFUNCTION("""COMPUTED_VALUE"""),0.0)</f>
        <v>0</v>
      </c>
      <c r="Y192" s="16">
        <f>IFERROR(__xludf.DUMMYFUNCTION("""COMPUTED_VALUE"""),0.0)</f>
        <v>0</v>
      </c>
      <c r="Z192" s="16">
        <f>IFERROR(__xludf.DUMMYFUNCTION("""COMPUTED_VALUE"""),0.0)</f>
        <v>0</v>
      </c>
      <c r="AA192" s="16">
        <f>IFERROR(__xludf.DUMMYFUNCTION("""COMPUTED_VALUE"""),0.0)</f>
        <v>0</v>
      </c>
      <c r="AB192" s="16">
        <f>IFERROR(__xludf.DUMMYFUNCTION("""COMPUTED_VALUE"""),0.0)</f>
        <v>0</v>
      </c>
      <c r="AC192" s="16">
        <f>IFERROR(__xludf.DUMMYFUNCTION("""COMPUTED_VALUE"""),0.0)</f>
        <v>0</v>
      </c>
      <c r="AD192" s="16">
        <f>IFERROR(__xludf.DUMMYFUNCTION("""COMPUTED_VALUE"""),0.0)</f>
        <v>0</v>
      </c>
      <c r="AE192" s="16">
        <f>IFERROR(__xludf.DUMMYFUNCTION("""COMPUTED_VALUE"""),0.0)</f>
        <v>0</v>
      </c>
      <c r="AF192" s="16">
        <f>IFERROR(__xludf.DUMMYFUNCTION("""COMPUTED_VALUE"""),0.0)</f>
        <v>0</v>
      </c>
      <c r="AG192" s="16">
        <f>IFERROR(__xludf.DUMMYFUNCTION("""COMPUTED_VALUE"""),0.0)</f>
        <v>0</v>
      </c>
      <c r="AH192" s="16">
        <f>IFERROR(__xludf.DUMMYFUNCTION("""COMPUTED_VALUE"""),0.0)</f>
        <v>0</v>
      </c>
    </row>
    <row r="193">
      <c r="A193" s="16" t="str">
        <f>IFERROR(__xludf.DUMMYFUNCTION("""COMPUTED_VALUE"""),"a978831eb87b7d63024465fa4df9a779feeaaf5a")</f>
        <v>a978831eb87b7d63024465fa4df9a779feeaaf5a</v>
      </c>
      <c r="B193" s="16" t="str">
        <f>IFERROR(__xludf.DUMMYFUNCTION("""COMPUTED_VALUE"""),"Extreme Medical Sage")</f>
        <v>Extreme Medical Sage</v>
      </c>
      <c r="C193" s="16" t="str">
        <f>IFERROR(__xludf.DUMMYFUNCTION("""COMPUTED_VALUE"""),"Fantasy")</f>
        <v>Fantasy</v>
      </c>
      <c r="D193" s="16">
        <f>IFERROR(__xludf.DUMMYFUNCTION("""COMPUTED_VALUE"""),117.0)</f>
        <v>117</v>
      </c>
      <c r="E193" s="16">
        <f>IFERROR(__xludf.DUMMYFUNCTION("""COMPUTED_VALUE"""),0.957264957264957)</f>
        <v>0.9572649573</v>
      </c>
      <c r="F193" s="16">
        <f>IFERROR(__xludf.DUMMYFUNCTION("""COMPUTED_VALUE"""),0.615384615384615)</f>
        <v>0.6153846154</v>
      </c>
      <c r="G193" s="16">
        <f>IFERROR(__xludf.DUMMYFUNCTION("""COMPUTED_VALUE"""),0.538461538461538)</f>
        <v>0.5384615385</v>
      </c>
      <c r="H193" s="16">
        <f>IFERROR(__xludf.DUMMYFUNCTION("""COMPUTED_VALUE"""),0.487179487179487)</f>
        <v>0.4871794872</v>
      </c>
      <c r="I193" s="16">
        <f>IFERROR(__xludf.DUMMYFUNCTION("""COMPUTED_VALUE"""),0.452991452991453)</f>
        <v>0.452991453</v>
      </c>
      <c r="J193" s="16">
        <f>IFERROR(__xludf.DUMMYFUNCTION("""COMPUTED_VALUE"""),0.439655172413793)</f>
        <v>0.4396551724</v>
      </c>
      <c r="K193" s="16">
        <f>IFERROR(__xludf.DUMMYFUNCTION("""COMPUTED_VALUE"""),0.389380530973451)</f>
        <v>0.389380531</v>
      </c>
      <c r="L193" s="16">
        <f>IFERROR(__xludf.DUMMYFUNCTION("""COMPUTED_VALUE"""),0.351351351351351)</f>
        <v>0.3513513514</v>
      </c>
      <c r="M193" s="16">
        <f>IFERROR(__xludf.DUMMYFUNCTION("""COMPUTED_VALUE"""),0.345794392523364)</f>
        <v>0.3457943925</v>
      </c>
      <c r="N193" s="16">
        <f>IFERROR(__xludf.DUMMYFUNCTION("""COMPUTED_VALUE"""),0.333333333333333)</f>
        <v>0.3333333333</v>
      </c>
      <c r="O193" s="16">
        <f>IFERROR(__xludf.DUMMYFUNCTION("""COMPUTED_VALUE"""),0.317073170731707)</f>
        <v>0.3170731707</v>
      </c>
      <c r="P193" s="16">
        <f>IFERROR(__xludf.DUMMYFUNCTION("""COMPUTED_VALUE"""),0.246153846153846)</f>
        <v>0.2461538462</v>
      </c>
      <c r="Q193" s="16">
        <f>IFERROR(__xludf.DUMMYFUNCTION("""COMPUTED_VALUE"""),0.0869565217391304)</f>
        <v>0.08695652174</v>
      </c>
      <c r="R193" s="16">
        <f>IFERROR(__xludf.DUMMYFUNCTION("""COMPUTED_VALUE"""),0.0869565217391304)</f>
        <v>0.08695652174</v>
      </c>
      <c r="S193" s="16">
        <f>IFERROR(__xludf.DUMMYFUNCTION("""COMPUTED_VALUE"""),0.0454545454545454)</f>
        <v>0.04545454545</v>
      </c>
      <c r="T193" s="16">
        <f>IFERROR(__xludf.DUMMYFUNCTION("""COMPUTED_VALUE"""),0.05)</f>
        <v>0.05</v>
      </c>
      <c r="U193" s="16">
        <f>IFERROR(__xludf.DUMMYFUNCTION("""COMPUTED_VALUE"""),0.05)</f>
        <v>0.05</v>
      </c>
      <c r="V193" s="16">
        <f>IFERROR(__xludf.DUMMYFUNCTION("""COMPUTED_VALUE"""),0.0555555555555555)</f>
        <v>0.05555555556</v>
      </c>
      <c r="W193" s="16">
        <f>IFERROR(__xludf.DUMMYFUNCTION("""COMPUTED_VALUE"""),0.0625)</f>
        <v>0.0625</v>
      </c>
      <c r="X193" s="16">
        <f>IFERROR(__xludf.DUMMYFUNCTION("""COMPUTED_VALUE"""),0.0714285714285714)</f>
        <v>0.07142857143</v>
      </c>
      <c r="Y193" s="16">
        <f>IFERROR(__xludf.DUMMYFUNCTION("""COMPUTED_VALUE"""),0.0714285714285714)</f>
        <v>0.07142857143</v>
      </c>
      <c r="Z193" s="16">
        <f>IFERROR(__xludf.DUMMYFUNCTION("""COMPUTED_VALUE"""),0.0714285714285714)</f>
        <v>0.07142857143</v>
      </c>
      <c r="AA193" s="16">
        <f>IFERROR(__xludf.DUMMYFUNCTION("""COMPUTED_VALUE"""),0.0714285714285714)</f>
        <v>0.07142857143</v>
      </c>
      <c r="AB193" s="16">
        <f>IFERROR(__xludf.DUMMYFUNCTION("""COMPUTED_VALUE"""),0.0909090909090909)</f>
        <v>0.09090909091</v>
      </c>
      <c r="AC193" s="16">
        <f>IFERROR(__xludf.DUMMYFUNCTION("""COMPUTED_VALUE"""),0.0909090909090909)</f>
        <v>0.09090909091</v>
      </c>
      <c r="AD193" s="16">
        <f>IFERROR(__xludf.DUMMYFUNCTION("""COMPUTED_VALUE"""),0.1)</f>
        <v>0.1</v>
      </c>
      <c r="AE193" s="16">
        <f>IFERROR(__xludf.DUMMYFUNCTION("""COMPUTED_VALUE"""),0.1)</f>
        <v>0.1</v>
      </c>
      <c r="AF193" s="16">
        <f>IFERROR(__xludf.DUMMYFUNCTION("""COMPUTED_VALUE"""),0.1)</f>
        <v>0.1</v>
      </c>
      <c r="AG193" s="16">
        <f>IFERROR(__xludf.DUMMYFUNCTION("""COMPUTED_VALUE"""),0.1)</f>
        <v>0.1</v>
      </c>
      <c r="AH193" s="16">
        <f>IFERROR(__xludf.DUMMYFUNCTION("""COMPUTED_VALUE"""),0.1)</f>
        <v>0.1</v>
      </c>
    </row>
    <row r="194">
      <c r="A194" s="16" t="str">
        <f>IFERROR(__xludf.DUMMYFUNCTION("""COMPUTED_VALUE"""),"a9dd2d51d9347ce1a50ee64d1a38a6c33539ebc1")</f>
        <v>a9dd2d51d9347ce1a50ee64d1a38a6c33539ebc1</v>
      </c>
      <c r="B194" s="16" t="str">
        <f>IFERROR(__xludf.DUMMYFUNCTION("""COMPUTED_VALUE"""),"Billionaires Love Me")</f>
        <v>Billionaires Love Me</v>
      </c>
      <c r="C194" s="16" t="str">
        <f>IFERROR(__xludf.DUMMYFUNCTION("""COMPUTED_VALUE"""),"Romance")</f>
        <v>Romance</v>
      </c>
      <c r="D194" s="16">
        <f>IFERROR(__xludf.DUMMYFUNCTION("""COMPUTED_VALUE"""),202.0)</f>
        <v>202</v>
      </c>
      <c r="E194" s="16">
        <f>IFERROR(__xludf.DUMMYFUNCTION("""COMPUTED_VALUE"""),0.97029702970297)</f>
        <v>0.9702970297</v>
      </c>
      <c r="F194" s="16">
        <f>IFERROR(__xludf.DUMMYFUNCTION("""COMPUTED_VALUE"""),0.603960396039603)</f>
        <v>0.603960396</v>
      </c>
      <c r="G194" s="16">
        <f>IFERROR(__xludf.DUMMYFUNCTION("""COMPUTED_VALUE"""),0.49009900990099)</f>
        <v>0.4900990099</v>
      </c>
      <c r="H194" s="16">
        <f>IFERROR(__xludf.DUMMYFUNCTION("""COMPUTED_VALUE"""),0.41089108910891)</f>
        <v>0.4108910891</v>
      </c>
      <c r="I194" s="16">
        <f>IFERROR(__xludf.DUMMYFUNCTION("""COMPUTED_VALUE"""),0.336633663366336)</f>
        <v>0.3366336634</v>
      </c>
      <c r="J194" s="16">
        <f>IFERROR(__xludf.DUMMYFUNCTION("""COMPUTED_VALUE"""),0.316582914572864)</f>
        <v>0.3165829146</v>
      </c>
      <c r="K194" s="16">
        <f>IFERROR(__xludf.DUMMYFUNCTION("""COMPUTED_VALUE"""),0.304568527918781)</f>
        <v>0.3045685279</v>
      </c>
      <c r="L194" s="16">
        <f>IFERROR(__xludf.DUMMYFUNCTION("""COMPUTED_VALUE"""),0.265625)</f>
        <v>0.265625</v>
      </c>
      <c r="M194" s="16">
        <f>IFERROR(__xludf.DUMMYFUNCTION("""COMPUTED_VALUE"""),0.26595744680851)</f>
        <v>0.2659574468</v>
      </c>
      <c r="N194" s="16">
        <f>IFERROR(__xludf.DUMMYFUNCTION("""COMPUTED_VALUE"""),0.242990654205607)</f>
        <v>0.2429906542</v>
      </c>
      <c r="O194" s="16">
        <f>IFERROR(__xludf.DUMMYFUNCTION("""COMPUTED_VALUE"""),0.292307692307692)</f>
        <v>0.2923076923</v>
      </c>
      <c r="P194" s="16">
        <f>IFERROR(__xludf.DUMMYFUNCTION("""COMPUTED_VALUE"""),0.225806451612903)</f>
        <v>0.2258064516</v>
      </c>
      <c r="Q194" s="16">
        <f>IFERROR(__xludf.DUMMYFUNCTION("""COMPUTED_VALUE"""),0.196078431372549)</f>
        <v>0.1960784314</v>
      </c>
      <c r="R194" s="16">
        <f>IFERROR(__xludf.DUMMYFUNCTION("""COMPUTED_VALUE"""),0.16)</f>
        <v>0.16</v>
      </c>
      <c r="S194" s="16">
        <f>IFERROR(__xludf.DUMMYFUNCTION("""COMPUTED_VALUE"""),0.0)</f>
        <v>0</v>
      </c>
      <c r="T194" s="16">
        <f>IFERROR(__xludf.DUMMYFUNCTION("""COMPUTED_VALUE"""),0.0)</f>
        <v>0</v>
      </c>
      <c r="U194" s="16">
        <f>IFERROR(__xludf.DUMMYFUNCTION("""COMPUTED_VALUE"""),0.0)</f>
        <v>0</v>
      </c>
      <c r="V194" s="16">
        <f>IFERROR(__xludf.DUMMYFUNCTION("""COMPUTED_VALUE"""),0.0)</f>
        <v>0</v>
      </c>
      <c r="W194" s="16">
        <f>IFERROR(__xludf.DUMMYFUNCTION("""COMPUTED_VALUE"""),0.0)</f>
        <v>0</v>
      </c>
      <c r="X194" s="16">
        <f>IFERROR(__xludf.DUMMYFUNCTION("""COMPUTED_VALUE"""),0.0)</f>
        <v>0</v>
      </c>
      <c r="Y194" s="16">
        <f>IFERROR(__xludf.DUMMYFUNCTION("""COMPUTED_VALUE"""),0.0)</f>
        <v>0</v>
      </c>
      <c r="Z194" s="16">
        <f>IFERROR(__xludf.DUMMYFUNCTION("""COMPUTED_VALUE"""),0.0)</f>
        <v>0</v>
      </c>
      <c r="AA194" s="16">
        <f>IFERROR(__xludf.DUMMYFUNCTION("""COMPUTED_VALUE"""),0.0)</f>
        <v>0</v>
      </c>
      <c r="AB194" s="16">
        <f>IFERROR(__xludf.DUMMYFUNCTION("""COMPUTED_VALUE"""),0.0)</f>
        <v>0</v>
      </c>
      <c r="AC194" s="16">
        <f>IFERROR(__xludf.DUMMYFUNCTION("""COMPUTED_VALUE"""),0.0)</f>
        <v>0</v>
      </c>
      <c r="AD194" s="16">
        <f>IFERROR(__xludf.DUMMYFUNCTION("""COMPUTED_VALUE"""),0.0)</f>
        <v>0</v>
      </c>
      <c r="AE194" s="16">
        <f>IFERROR(__xludf.DUMMYFUNCTION("""COMPUTED_VALUE"""),0.0)</f>
        <v>0</v>
      </c>
      <c r="AF194" s="16">
        <f>IFERROR(__xludf.DUMMYFUNCTION("""COMPUTED_VALUE"""),0.0)</f>
        <v>0</v>
      </c>
      <c r="AG194" s="16">
        <f>IFERROR(__xludf.DUMMYFUNCTION("""COMPUTED_VALUE"""),0.0)</f>
        <v>0</v>
      </c>
      <c r="AH194" s="16">
        <f>IFERROR(__xludf.DUMMYFUNCTION("""COMPUTED_VALUE"""),0.0)</f>
        <v>0</v>
      </c>
    </row>
    <row r="195">
      <c r="A195" s="16" t="str">
        <f>IFERROR(__xludf.DUMMYFUNCTION("""COMPUTED_VALUE"""),"aaa698f296d8b031a8ae9b94897fb07edda92f97")</f>
        <v>aaa698f296d8b031a8ae9b94897fb07edda92f97</v>
      </c>
      <c r="B195" s="16" t="str">
        <f>IFERROR(__xludf.DUMMYFUNCTION("""COMPUTED_VALUE"""),"A Heart Divided")</f>
        <v>A Heart Divided</v>
      </c>
      <c r="C195" s="16" t="str">
        <f>IFERROR(__xludf.DUMMYFUNCTION("""COMPUTED_VALUE"""),"Romance")</f>
        <v>Romance</v>
      </c>
      <c r="D195" s="16">
        <f>IFERROR(__xludf.DUMMYFUNCTION("""COMPUTED_VALUE"""),138.0)</f>
        <v>138</v>
      </c>
      <c r="E195" s="16">
        <f>IFERROR(__xludf.DUMMYFUNCTION("""COMPUTED_VALUE"""),0.913043478260869)</f>
        <v>0.9130434783</v>
      </c>
      <c r="F195" s="16">
        <f>IFERROR(__xludf.DUMMYFUNCTION("""COMPUTED_VALUE"""),0.702898550724637)</f>
        <v>0.7028985507</v>
      </c>
      <c r="G195" s="16">
        <f>IFERROR(__xludf.DUMMYFUNCTION("""COMPUTED_VALUE"""),0.630434782608695)</f>
        <v>0.6304347826</v>
      </c>
      <c r="H195" s="16">
        <f>IFERROR(__xludf.DUMMYFUNCTION("""COMPUTED_VALUE"""),0.594202898550724)</f>
        <v>0.5942028986</v>
      </c>
      <c r="I195" s="16">
        <f>IFERROR(__xludf.DUMMYFUNCTION("""COMPUTED_VALUE"""),0.565217391304347)</f>
        <v>0.5652173913</v>
      </c>
      <c r="J195" s="16">
        <f>IFERROR(__xludf.DUMMYFUNCTION("""COMPUTED_VALUE"""),0.536231884057971)</f>
        <v>0.5362318841</v>
      </c>
      <c r="K195" s="16">
        <f>IFERROR(__xludf.DUMMYFUNCTION("""COMPUTED_VALUE"""),0.5)</f>
        <v>0.5</v>
      </c>
      <c r="L195" s="16">
        <f>IFERROR(__xludf.DUMMYFUNCTION("""COMPUTED_VALUE"""),0.463768115942029)</f>
        <v>0.4637681159</v>
      </c>
      <c r="M195" s="16">
        <f>IFERROR(__xludf.DUMMYFUNCTION("""COMPUTED_VALUE"""),0.420289855072463)</f>
        <v>0.4202898551</v>
      </c>
      <c r="N195" s="16">
        <f>IFERROR(__xludf.DUMMYFUNCTION("""COMPUTED_VALUE"""),0.369565217391304)</f>
        <v>0.3695652174</v>
      </c>
      <c r="O195" s="16">
        <f>IFERROR(__xludf.DUMMYFUNCTION("""COMPUTED_VALUE"""),0.31159420289855)</f>
        <v>0.3115942029</v>
      </c>
      <c r="P195" s="16">
        <f>IFERROR(__xludf.DUMMYFUNCTION("""COMPUTED_VALUE"""),0.202898550724637)</f>
        <v>0.2028985507</v>
      </c>
      <c r="Q195" s="16">
        <f>IFERROR(__xludf.DUMMYFUNCTION("""COMPUTED_VALUE"""),0.0735294117647058)</f>
        <v>0.07352941176</v>
      </c>
      <c r="R195" s="16">
        <f>IFERROR(__xludf.DUMMYFUNCTION("""COMPUTED_VALUE"""),0.0592592592592592)</f>
        <v>0.05925925926</v>
      </c>
      <c r="S195" s="16">
        <f>IFERROR(__xludf.DUMMYFUNCTION("""COMPUTED_VALUE"""),0.0)</f>
        <v>0</v>
      </c>
      <c r="T195" s="16">
        <f>IFERROR(__xludf.DUMMYFUNCTION("""COMPUTED_VALUE"""),0.0)</f>
        <v>0</v>
      </c>
      <c r="U195" s="16">
        <f>IFERROR(__xludf.DUMMYFUNCTION("""COMPUTED_VALUE"""),0.0)</f>
        <v>0</v>
      </c>
      <c r="V195" s="16">
        <f>IFERROR(__xludf.DUMMYFUNCTION("""COMPUTED_VALUE"""),0.0)</f>
        <v>0</v>
      </c>
      <c r="W195" s="16">
        <f>IFERROR(__xludf.DUMMYFUNCTION("""COMPUTED_VALUE"""),0.0)</f>
        <v>0</v>
      </c>
      <c r="X195" s="16">
        <f>IFERROR(__xludf.DUMMYFUNCTION("""COMPUTED_VALUE"""),0.0)</f>
        <v>0</v>
      </c>
      <c r="Y195" s="16">
        <f>IFERROR(__xludf.DUMMYFUNCTION("""COMPUTED_VALUE"""),0.0)</f>
        <v>0</v>
      </c>
      <c r="Z195" s="16">
        <f>IFERROR(__xludf.DUMMYFUNCTION("""COMPUTED_VALUE"""),0.0)</f>
        <v>0</v>
      </c>
      <c r="AA195" s="16">
        <f>IFERROR(__xludf.DUMMYFUNCTION("""COMPUTED_VALUE"""),0.0)</f>
        <v>0</v>
      </c>
      <c r="AB195" s="16">
        <f>IFERROR(__xludf.DUMMYFUNCTION("""COMPUTED_VALUE"""),0.0)</f>
        <v>0</v>
      </c>
      <c r="AC195" s="16">
        <f>IFERROR(__xludf.DUMMYFUNCTION("""COMPUTED_VALUE"""),0.0)</f>
        <v>0</v>
      </c>
      <c r="AD195" s="16">
        <f>IFERROR(__xludf.DUMMYFUNCTION("""COMPUTED_VALUE"""),0.0)</f>
        <v>0</v>
      </c>
      <c r="AE195" s="16">
        <f>IFERROR(__xludf.DUMMYFUNCTION("""COMPUTED_VALUE"""),0.0)</f>
        <v>0</v>
      </c>
      <c r="AF195" s="16">
        <f>IFERROR(__xludf.DUMMYFUNCTION("""COMPUTED_VALUE"""),0.0)</f>
        <v>0</v>
      </c>
      <c r="AG195" s="16">
        <f>IFERROR(__xludf.DUMMYFUNCTION("""COMPUTED_VALUE"""),0.0)</f>
        <v>0</v>
      </c>
      <c r="AH195" s="16">
        <f>IFERROR(__xludf.DUMMYFUNCTION("""COMPUTED_VALUE"""),0.0)</f>
        <v>0</v>
      </c>
    </row>
    <row r="196">
      <c r="A196" s="16" t="str">
        <f>IFERROR(__xludf.DUMMYFUNCTION("""COMPUTED_VALUE"""),"aab4996493c32f1ec5e010a7e9b25c3e280e1445")</f>
        <v>aab4996493c32f1ec5e010a7e9b25c3e280e1445</v>
      </c>
      <c r="B196" s="16" t="str">
        <f>IFERROR(__xludf.DUMMYFUNCTION("""COMPUTED_VALUE"""),"Love Forever")</f>
        <v>Love Forever</v>
      </c>
      <c r="C196" s="16" t="str">
        <f>IFERROR(__xludf.DUMMYFUNCTION("""COMPUTED_VALUE"""),"Romance")</f>
        <v>Romance</v>
      </c>
      <c r="D196" s="16">
        <f>IFERROR(__xludf.DUMMYFUNCTION("""COMPUTED_VALUE"""),74.0)</f>
        <v>74</v>
      </c>
      <c r="E196" s="16">
        <f>IFERROR(__xludf.DUMMYFUNCTION("""COMPUTED_VALUE"""),0.986486486486486)</f>
        <v>0.9864864865</v>
      </c>
      <c r="F196" s="16">
        <f>IFERROR(__xludf.DUMMYFUNCTION("""COMPUTED_VALUE"""),0.635135135135135)</f>
        <v>0.6351351351</v>
      </c>
      <c r="G196" s="16">
        <f>IFERROR(__xludf.DUMMYFUNCTION("""COMPUTED_VALUE"""),0.54054054054054)</f>
        <v>0.5405405405</v>
      </c>
      <c r="H196" s="16">
        <f>IFERROR(__xludf.DUMMYFUNCTION("""COMPUTED_VALUE"""),0.472972972972972)</f>
        <v>0.472972973</v>
      </c>
      <c r="I196" s="16">
        <f>IFERROR(__xludf.DUMMYFUNCTION("""COMPUTED_VALUE"""),0.418918918918918)</f>
        <v>0.4189189189</v>
      </c>
      <c r="J196" s="16">
        <f>IFERROR(__xludf.DUMMYFUNCTION("""COMPUTED_VALUE"""),0.418918918918918)</f>
        <v>0.4189189189</v>
      </c>
      <c r="K196" s="16">
        <f>IFERROR(__xludf.DUMMYFUNCTION("""COMPUTED_VALUE"""),0.391891891891891)</f>
        <v>0.3918918919</v>
      </c>
      <c r="L196" s="16">
        <f>IFERROR(__xludf.DUMMYFUNCTION("""COMPUTED_VALUE"""),0.405405405405405)</f>
        <v>0.4054054054</v>
      </c>
      <c r="M196" s="16">
        <f>IFERROR(__xludf.DUMMYFUNCTION("""COMPUTED_VALUE"""),0.432432432432432)</f>
        <v>0.4324324324</v>
      </c>
      <c r="N196" s="16">
        <f>IFERROR(__xludf.DUMMYFUNCTION("""COMPUTED_VALUE"""),0.337837837837837)</f>
        <v>0.3378378378</v>
      </c>
      <c r="O196" s="16">
        <f>IFERROR(__xludf.DUMMYFUNCTION("""COMPUTED_VALUE"""),0.36986301369863)</f>
        <v>0.3698630137</v>
      </c>
      <c r="P196" s="16">
        <f>IFERROR(__xludf.DUMMYFUNCTION("""COMPUTED_VALUE"""),0.191780821917808)</f>
        <v>0.1917808219</v>
      </c>
      <c r="Q196" s="16">
        <f>IFERROR(__xludf.DUMMYFUNCTION("""COMPUTED_VALUE"""),0.10958904109589)</f>
        <v>0.1095890411</v>
      </c>
      <c r="R196" s="16">
        <f>IFERROR(__xludf.DUMMYFUNCTION("""COMPUTED_VALUE"""),0.0833333333333333)</f>
        <v>0.08333333333</v>
      </c>
      <c r="S196" s="16">
        <f>IFERROR(__xludf.DUMMYFUNCTION("""COMPUTED_VALUE"""),0.0)</f>
        <v>0</v>
      </c>
      <c r="T196" s="16">
        <f>IFERROR(__xludf.DUMMYFUNCTION("""COMPUTED_VALUE"""),0.0)</f>
        <v>0</v>
      </c>
      <c r="U196" s="16">
        <f>IFERROR(__xludf.DUMMYFUNCTION("""COMPUTED_VALUE"""),0.0)</f>
        <v>0</v>
      </c>
      <c r="V196" s="16">
        <f>IFERROR(__xludf.DUMMYFUNCTION("""COMPUTED_VALUE"""),0.0)</f>
        <v>0</v>
      </c>
      <c r="W196" s="16">
        <f>IFERROR(__xludf.DUMMYFUNCTION("""COMPUTED_VALUE"""),0.0)</f>
        <v>0</v>
      </c>
      <c r="X196" s="16">
        <f>IFERROR(__xludf.DUMMYFUNCTION("""COMPUTED_VALUE"""),0.0)</f>
        <v>0</v>
      </c>
      <c r="Y196" s="16">
        <f>IFERROR(__xludf.DUMMYFUNCTION("""COMPUTED_VALUE"""),0.0)</f>
        <v>0</v>
      </c>
      <c r="Z196" s="16">
        <f>IFERROR(__xludf.DUMMYFUNCTION("""COMPUTED_VALUE"""),0.0)</f>
        <v>0</v>
      </c>
      <c r="AA196" s="16">
        <f>IFERROR(__xludf.DUMMYFUNCTION("""COMPUTED_VALUE"""),0.0)</f>
        <v>0</v>
      </c>
      <c r="AB196" s="16">
        <f>IFERROR(__xludf.DUMMYFUNCTION("""COMPUTED_VALUE"""),0.0)</f>
        <v>0</v>
      </c>
      <c r="AC196" s="16">
        <f>IFERROR(__xludf.DUMMYFUNCTION("""COMPUTED_VALUE"""),0.0)</f>
        <v>0</v>
      </c>
      <c r="AD196" s="16">
        <f>IFERROR(__xludf.DUMMYFUNCTION("""COMPUTED_VALUE"""),0.0)</f>
        <v>0</v>
      </c>
      <c r="AE196" s="16">
        <f>IFERROR(__xludf.DUMMYFUNCTION("""COMPUTED_VALUE"""),0.0)</f>
        <v>0</v>
      </c>
      <c r="AF196" s="16">
        <f>IFERROR(__xludf.DUMMYFUNCTION("""COMPUTED_VALUE"""),0.0)</f>
        <v>0</v>
      </c>
      <c r="AG196" s="16">
        <f>IFERROR(__xludf.DUMMYFUNCTION("""COMPUTED_VALUE"""),0.0)</f>
        <v>0</v>
      </c>
      <c r="AH196" s="16">
        <f>IFERROR(__xludf.DUMMYFUNCTION("""COMPUTED_VALUE"""),0.0)</f>
        <v>0</v>
      </c>
    </row>
    <row r="197">
      <c r="A197" s="16" t="str">
        <f>IFERROR(__xludf.DUMMYFUNCTION("""COMPUTED_VALUE"""),"ab0abb1b032efe35c0bd9be9cb6f80f8738dc1c9")</f>
        <v>ab0abb1b032efe35c0bd9be9cb6f80f8738dc1c9</v>
      </c>
      <c r="B197" s="16" t="str">
        <f>IFERROR(__xludf.DUMMYFUNCTION("""COMPUTED_VALUE"""),"Kaizen Aritoku Rise")</f>
        <v>Kaizen Aritoku Rise</v>
      </c>
      <c r="C197" s="16" t="str">
        <f>IFERROR(__xludf.DUMMYFUNCTION("""COMPUTED_VALUE"""),"System and Superpower")</f>
        <v>System and Superpower</v>
      </c>
      <c r="D197" s="16">
        <f>IFERROR(__xludf.DUMMYFUNCTION("""COMPUTED_VALUE"""),7.0)</f>
        <v>7</v>
      </c>
      <c r="E197" s="16">
        <f>IFERROR(__xludf.DUMMYFUNCTION("""COMPUTED_VALUE"""),1.0)</f>
        <v>1</v>
      </c>
      <c r="F197" s="16">
        <f>IFERROR(__xludf.DUMMYFUNCTION("""COMPUTED_VALUE"""),0.428571428571428)</f>
        <v>0.4285714286</v>
      </c>
      <c r="G197" s="16">
        <f>IFERROR(__xludf.DUMMYFUNCTION("""COMPUTED_VALUE"""),0.285714285714285)</f>
        <v>0.2857142857</v>
      </c>
      <c r="H197" s="16">
        <f>IFERROR(__xludf.DUMMYFUNCTION("""COMPUTED_VALUE"""),0.285714285714285)</f>
        <v>0.2857142857</v>
      </c>
      <c r="I197" s="16">
        <f>IFERROR(__xludf.DUMMYFUNCTION("""COMPUTED_VALUE"""),0.285714285714285)</f>
        <v>0.2857142857</v>
      </c>
      <c r="J197" s="16">
        <f>IFERROR(__xludf.DUMMYFUNCTION("""COMPUTED_VALUE"""),0.285714285714285)</f>
        <v>0.2857142857</v>
      </c>
      <c r="K197" s="16">
        <f>IFERROR(__xludf.DUMMYFUNCTION("""COMPUTED_VALUE"""),0.285714285714285)</f>
        <v>0.2857142857</v>
      </c>
      <c r="L197" s="16">
        <f>IFERROR(__xludf.DUMMYFUNCTION("""COMPUTED_VALUE"""),0.285714285714285)</f>
        <v>0.2857142857</v>
      </c>
      <c r="M197" s="16">
        <f>IFERROR(__xludf.DUMMYFUNCTION("""COMPUTED_VALUE"""),0.285714285714285)</f>
        <v>0.2857142857</v>
      </c>
      <c r="N197" s="16">
        <f>IFERROR(__xludf.DUMMYFUNCTION("""COMPUTED_VALUE"""),0.285714285714285)</f>
        <v>0.2857142857</v>
      </c>
      <c r="O197" s="16">
        <f>IFERROR(__xludf.DUMMYFUNCTION("""COMPUTED_VALUE"""),0.0)</f>
        <v>0</v>
      </c>
      <c r="P197" s="16">
        <f>IFERROR(__xludf.DUMMYFUNCTION("""COMPUTED_VALUE"""),0.0)</f>
        <v>0</v>
      </c>
      <c r="Q197" s="16">
        <f>IFERROR(__xludf.DUMMYFUNCTION("""COMPUTED_VALUE"""),0.0)</f>
        <v>0</v>
      </c>
      <c r="R197" s="16">
        <f>IFERROR(__xludf.DUMMYFUNCTION("""COMPUTED_VALUE"""),0.0)</f>
        <v>0</v>
      </c>
      <c r="S197" s="16">
        <f>IFERROR(__xludf.DUMMYFUNCTION("""COMPUTED_VALUE"""),0.0)</f>
        <v>0</v>
      </c>
      <c r="T197" s="16">
        <f>IFERROR(__xludf.DUMMYFUNCTION("""COMPUTED_VALUE"""),0.0)</f>
        <v>0</v>
      </c>
      <c r="U197" s="16">
        <f>IFERROR(__xludf.DUMMYFUNCTION("""COMPUTED_VALUE"""),0.0)</f>
        <v>0</v>
      </c>
      <c r="V197" s="16">
        <f>IFERROR(__xludf.DUMMYFUNCTION("""COMPUTED_VALUE"""),0.0)</f>
        <v>0</v>
      </c>
      <c r="W197" s="16">
        <f>IFERROR(__xludf.DUMMYFUNCTION("""COMPUTED_VALUE"""),0.0)</f>
        <v>0</v>
      </c>
      <c r="X197" s="16">
        <f>IFERROR(__xludf.DUMMYFUNCTION("""COMPUTED_VALUE"""),0.0)</f>
        <v>0</v>
      </c>
      <c r="Y197" s="16">
        <f>IFERROR(__xludf.DUMMYFUNCTION("""COMPUTED_VALUE"""),0.0)</f>
        <v>0</v>
      </c>
      <c r="Z197" s="16">
        <f>IFERROR(__xludf.DUMMYFUNCTION("""COMPUTED_VALUE"""),0.0)</f>
        <v>0</v>
      </c>
      <c r="AA197" s="16">
        <f>IFERROR(__xludf.DUMMYFUNCTION("""COMPUTED_VALUE"""),0.0)</f>
        <v>0</v>
      </c>
      <c r="AB197" s="16">
        <f>IFERROR(__xludf.DUMMYFUNCTION("""COMPUTED_VALUE"""),0.0)</f>
        <v>0</v>
      </c>
      <c r="AC197" s="16">
        <f>IFERROR(__xludf.DUMMYFUNCTION("""COMPUTED_VALUE"""),0.0)</f>
        <v>0</v>
      </c>
      <c r="AD197" s="16">
        <f>IFERROR(__xludf.DUMMYFUNCTION("""COMPUTED_VALUE"""),0.0)</f>
        <v>0</v>
      </c>
      <c r="AE197" s="16">
        <f>IFERROR(__xludf.DUMMYFUNCTION("""COMPUTED_VALUE"""),0.0)</f>
        <v>0</v>
      </c>
      <c r="AF197" s="16">
        <f>IFERROR(__xludf.DUMMYFUNCTION("""COMPUTED_VALUE"""),0.0)</f>
        <v>0</v>
      </c>
      <c r="AG197" s="16">
        <f>IFERROR(__xludf.DUMMYFUNCTION("""COMPUTED_VALUE"""),0.0)</f>
        <v>0</v>
      </c>
      <c r="AH197" s="16">
        <f>IFERROR(__xludf.DUMMYFUNCTION("""COMPUTED_VALUE"""),0.0)</f>
        <v>0</v>
      </c>
    </row>
    <row r="198">
      <c r="A198" s="16" t="str">
        <f>IFERROR(__xludf.DUMMYFUNCTION("""COMPUTED_VALUE"""),"abe99e0d615e9d7ebbf5d941810842cf64a74c6c")</f>
        <v>abe99e0d615e9d7ebbf5d941810842cf64a74c6c</v>
      </c>
      <c r="B198" s="16" t="str">
        <f>IFERROR(__xludf.DUMMYFUNCTION("""COMPUTED_VALUE"""),"Forgetting You, Lily")</f>
        <v>Forgetting You, Lily</v>
      </c>
      <c r="C198" s="16" t="str">
        <f>IFERROR(__xludf.DUMMYFUNCTION("""COMPUTED_VALUE"""),"Romance")</f>
        <v>Romance</v>
      </c>
      <c r="D198" s="16">
        <f>IFERROR(__xludf.DUMMYFUNCTION("""COMPUTED_VALUE"""),87.0)</f>
        <v>87</v>
      </c>
      <c r="E198" s="16">
        <f>IFERROR(__xludf.DUMMYFUNCTION("""COMPUTED_VALUE"""),0.96551724137931)</f>
        <v>0.9655172414</v>
      </c>
      <c r="F198" s="16">
        <f>IFERROR(__xludf.DUMMYFUNCTION("""COMPUTED_VALUE"""),0.459770114942528)</f>
        <v>0.4597701149</v>
      </c>
      <c r="G198" s="16">
        <f>IFERROR(__xludf.DUMMYFUNCTION("""COMPUTED_VALUE"""),0.367816091954023)</f>
        <v>0.367816092</v>
      </c>
      <c r="H198" s="16">
        <f>IFERROR(__xludf.DUMMYFUNCTION("""COMPUTED_VALUE"""),0.28735632183908)</f>
        <v>0.2873563218</v>
      </c>
      <c r="I198" s="16">
        <f>IFERROR(__xludf.DUMMYFUNCTION("""COMPUTED_VALUE"""),0.218390804597701)</f>
        <v>0.2183908046</v>
      </c>
      <c r="J198" s="16">
        <f>IFERROR(__xludf.DUMMYFUNCTION("""COMPUTED_VALUE"""),0.25)</f>
        <v>0.25</v>
      </c>
      <c r="K198" s="16">
        <f>IFERROR(__xludf.DUMMYFUNCTION("""COMPUTED_VALUE"""),0.19047619047619)</f>
        <v>0.1904761905</v>
      </c>
      <c r="L198" s="16">
        <f>IFERROR(__xludf.DUMMYFUNCTION("""COMPUTED_VALUE"""),0.186440677966101)</f>
        <v>0.186440678</v>
      </c>
      <c r="M198" s="16">
        <f>IFERROR(__xludf.DUMMYFUNCTION("""COMPUTED_VALUE"""),0.160714285714285)</f>
        <v>0.1607142857</v>
      </c>
      <c r="N198" s="16">
        <f>IFERROR(__xludf.DUMMYFUNCTION("""COMPUTED_VALUE"""),0.1)</f>
        <v>0.1</v>
      </c>
      <c r="O198" s="16">
        <f>IFERROR(__xludf.DUMMYFUNCTION("""COMPUTED_VALUE"""),0.032258064516129)</f>
        <v>0.03225806452</v>
      </c>
      <c r="P198" s="16">
        <f>IFERROR(__xludf.DUMMYFUNCTION("""COMPUTED_VALUE"""),0.0)</f>
        <v>0</v>
      </c>
      <c r="Q198" s="16">
        <f>IFERROR(__xludf.DUMMYFUNCTION("""COMPUTED_VALUE"""),0.0)</f>
        <v>0</v>
      </c>
      <c r="R198" s="16">
        <f>IFERROR(__xludf.DUMMYFUNCTION("""COMPUTED_VALUE"""),0.0)</f>
        <v>0</v>
      </c>
      <c r="S198" s="16">
        <f>IFERROR(__xludf.DUMMYFUNCTION("""COMPUTED_VALUE"""),0.0)</f>
        <v>0</v>
      </c>
      <c r="T198" s="16">
        <f>IFERROR(__xludf.DUMMYFUNCTION("""COMPUTED_VALUE"""),0.0)</f>
        <v>0</v>
      </c>
      <c r="U198" s="16">
        <f>IFERROR(__xludf.DUMMYFUNCTION("""COMPUTED_VALUE"""),0.0)</f>
        <v>0</v>
      </c>
      <c r="V198" s="16">
        <f>IFERROR(__xludf.DUMMYFUNCTION("""COMPUTED_VALUE"""),0.0)</f>
        <v>0</v>
      </c>
      <c r="W198" s="16">
        <f>IFERROR(__xludf.DUMMYFUNCTION("""COMPUTED_VALUE"""),0.0)</f>
        <v>0</v>
      </c>
      <c r="X198" s="16">
        <f>IFERROR(__xludf.DUMMYFUNCTION("""COMPUTED_VALUE"""),0.0)</f>
        <v>0</v>
      </c>
      <c r="Y198" s="16">
        <f>IFERROR(__xludf.DUMMYFUNCTION("""COMPUTED_VALUE"""),0.0)</f>
        <v>0</v>
      </c>
      <c r="Z198" s="16">
        <f>IFERROR(__xludf.DUMMYFUNCTION("""COMPUTED_VALUE"""),0.0)</f>
        <v>0</v>
      </c>
      <c r="AA198" s="16">
        <f>IFERROR(__xludf.DUMMYFUNCTION("""COMPUTED_VALUE"""),0.0)</f>
        <v>0</v>
      </c>
      <c r="AB198" s="16">
        <f>IFERROR(__xludf.DUMMYFUNCTION("""COMPUTED_VALUE"""),0.0)</f>
        <v>0</v>
      </c>
      <c r="AC198" s="16">
        <f>IFERROR(__xludf.DUMMYFUNCTION("""COMPUTED_VALUE"""),0.0)</f>
        <v>0</v>
      </c>
      <c r="AD198" s="16">
        <f>IFERROR(__xludf.DUMMYFUNCTION("""COMPUTED_VALUE"""),0.0)</f>
        <v>0</v>
      </c>
      <c r="AE198" s="16">
        <f>IFERROR(__xludf.DUMMYFUNCTION("""COMPUTED_VALUE"""),0.0)</f>
        <v>0</v>
      </c>
      <c r="AF198" s="16">
        <f>IFERROR(__xludf.DUMMYFUNCTION("""COMPUTED_VALUE"""),0.0)</f>
        <v>0</v>
      </c>
      <c r="AG198" s="16">
        <f>IFERROR(__xludf.DUMMYFUNCTION("""COMPUTED_VALUE"""),0.0)</f>
        <v>0</v>
      </c>
      <c r="AH198" s="16">
        <f>IFERROR(__xludf.DUMMYFUNCTION("""COMPUTED_VALUE"""),0.0)</f>
        <v>0</v>
      </c>
    </row>
    <row r="199">
      <c r="A199" s="16" t="str">
        <f>IFERROR(__xludf.DUMMYFUNCTION("""COMPUTED_VALUE"""),"ac20da1af1ee60dd2020e8ff294c8c9dcf5be7ba")</f>
        <v>ac20da1af1ee60dd2020e8ff294c8c9dcf5be7ba</v>
      </c>
      <c r="B199" s="16" t="str">
        <f>IFERROR(__xludf.DUMMYFUNCTION("""COMPUTED_VALUE"""),"General Drake")</f>
        <v>General Drake</v>
      </c>
      <c r="C199" s="16" t="str">
        <f>IFERROR(__xludf.DUMMYFUNCTION("""COMPUTED_VALUE"""),"Suspense or Thriller")</f>
        <v>Suspense or Thriller</v>
      </c>
      <c r="D199" s="16">
        <f>IFERROR(__xludf.DUMMYFUNCTION("""COMPUTED_VALUE"""),28.0)</f>
        <v>28</v>
      </c>
      <c r="E199" s="16">
        <f>IFERROR(__xludf.DUMMYFUNCTION("""COMPUTED_VALUE"""),1.0)</f>
        <v>1</v>
      </c>
      <c r="F199" s="16">
        <f>IFERROR(__xludf.DUMMYFUNCTION("""COMPUTED_VALUE"""),0.785714285714285)</f>
        <v>0.7857142857</v>
      </c>
      <c r="G199" s="16">
        <f>IFERROR(__xludf.DUMMYFUNCTION("""COMPUTED_VALUE"""),0.535714285714285)</f>
        <v>0.5357142857</v>
      </c>
      <c r="H199" s="16">
        <f>IFERROR(__xludf.DUMMYFUNCTION("""COMPUTED_VALUE"""),0.464285714285714)</f>
        <v>0.4642857143</v>
      </c>
      <c r="I199" s="16">
        <f>IFERROR(__xludf.DUMMYFUNCTION("""COMPUTED_VALUE"""),0.428571428571428)</f>
        <v>0.4285714286</v>
      </c>
      <c r="J199" s="16">
        <f>IFERROR(__xludf.DUMMYFUNCTION("""COMPUTED_VALUE"""),0.392857142857142)</f>
        <v>0.3928571429</v>
      </c>
      <c r="K199" s="16">
        <f>IFERROR(__xludf.DUMMYFUNCTION("""COMPUTED_VALUE"""),0.428571428571428)</f>
        <v>0.4285714286</v>
      </c>
      <c r="L199" s="16">
        <f>IFERROR(__xludf.DUMMYFUNCTION("""COMPUTED_VALUE"""),0.357142857142857)</f>
        <v>0.3571428571</v>
      </c>
      <c r="M199" s="16">
        <f>IFERROR(__xludf.DUMMYFUNCTION("""COMPUTED_VALUE"""),0.357142857142857)</f>
        <v>0.3571428571</v>
      </c>
      <c r="N199" s="16">
        <f>IFERROR(__xludf.DUMMYFUNCTION("""COMPUTED_VALUE"""),0.357142857142857)</f>
        <v>0.3571428571</v>
      </c>
      <c r="O199" s="16">
        <f>IFERROR(__xludf.DUMMYFUNCTION("""COMPUTED_VALUE"""),0.333333333333333)</f>
        <v>0.3333333333</v>
      </c>
      <c r="P199" s="16">
        <f>IFERROR(__xludf.DUMMYFUNCTION("""COMPUTED_VALUE"""),0.125)</f>
        <v>0.125</v>
      </c>
      <c r="Q199" s="16">
        <f>IFERROR(__xludf.DUMMYFUNCTION("""COMPUTED_VALUE"""),0.142857142857142)</f>
        <v>0.1428571429</v>
      </c>
      <c r="R199" s="16">
        <f>IFERROR(__xludf.DUMMYFUNCTION("""COMPUTED_VALUE"""),0.0)</f>
        <v>0</v>
      </c>
      <c r="S199" s="16">
        <f>IFERROR(__xludf.DUMMYFUNCTION("""COMPUTED_VALUE"""),0.0)</f>
        <v>0</v>
      </c>
      <c r="T199" s="16">
        <f>IFERROR(__xludf.DUMMYFUNCTION("""COMPUTED_VALUE"""),0.0)</f>
        <v>0</v>
      </c>
      <c r="U199" s="16">
        <f>IFERROR(__xludf.DUMMYFUNCTION("""COMPUTED_VALUE"""),0.0)</f>
        <v>0</v>
      </c>
      <c r="V199" s="16">
        <f>IFERROR(__xludf.DUMMYFUNCTION("""COMPUTED_VALUE"""),0.0)</f>
        <v>0</v>
      </c>
      <c r="W199" s="16">
        <f>IFERROR(__xludf.DUMMYFUNCTION("""COMPUTED_VALUE"""),0.0)</f>
        <v>0</v>
      </c>
      <c r="X199" s="16">
        <f>IFERROR(__xludf.DUMMYFUNCTION("""COMPUTED_VALUE"""),0.0)</f>
        <v>0</v>
      </c>
      <c r="Y199" s="16">
        <f>IFERROR(__xludf.DUMMYFUNCTION("""COMPUTED_VALUE"""),0.0)</f>
        <v>0</v>
      </c>
      <c r="Z199" s="16">
        <f>IFERROR(__xludf.DUMMYFUNCTION("""COMPUTED_VALUE"""),0.0)</f>
        <v>0</v>
      </c>
      <c r="AA199" s="16">
        <f>IFERROR(__xludf.DUMMYFUNCTION("""COMPUTED_VALUE"""),0.0)</f>
        <v>0</v>
      </c>
      <c r="AB199" s="16">
        <f>IFERROR(__xludf.DUMMYFUNCTION("""COMPUTED_VALUE"""),0.0)</f>
        <v>0</v>
      </c>
      <c r="AC199" s="16">
        <f>IFERROR(__xludf.DUMMYFUNCTION("""COMPUTED_VALUE"""),0.0)</f>
        <v>0</v>
      </c>
      <c r="AD199" s="16">
        <f>IFERROR(__xludf.DUMMYFUNCTION("""COMPUTED_VALUE"""),0.0)</f>
        <v>0</v>
      </c>
      <c r="AE199" s="16">
        <f>IFERROR(__xludf.DUMMYFUNCTION("""COMPUTED_VALUE"""),0.0)</f>
        <v>0</v>
      </c>
      <c r="AF199" s="16">
        <f>IFERROR(__xludf.DUMMYFUNCTION("""COMPUTED_VALUE"""),0.0)</f>
        <v>0</v>
      </c>
      <c r="AG199" s="16">
        <f>IFERROR(__xludf.DUMMYFUNCTION("""COMPUTED_VALUE"""),0.0)</f>
        <v>0</v>
      </c>
      <c r="AH199" s="16">
        <f>IFERROR(__xludf.DUMMYFUNCTION("""COMPUTED_VALUE"""),0.0)</f>
        <v>0</v>
      </c>
    </row>
    <row r="200">
      <c r="A200" s="16" t="str">
        <f>IFERROR(__xludf.DUMMYFUNCTION("""COMPUTED_VALUE"""),"ad2e8d85f798bb8f66e9add56b1e29d7018e06fb")</f>
        <v>ad2e8d85f798bb8f66e9add56b1e29d7018e06fb</v>
      </c>
      <c r="B200" s="16" t="str">
        <f>IFERROR(__xludf.DUMMYFUNCTION("""COMPUTED_VALUE"""),"Embezzling Simp Funds")</f>
        <v>Embezzling Simp Funds</v>
      </c>
      <c r="C200" s="16" t="str">
        <f>IFERROR(__xludf.DUMMYFUNCTION("""COMPUTED_VALUE"""),"System and Superpower")</f>
        <v>System and Superpower</v>
      </c>
      <c r="D200" s="16">
        <f>IFERROR(__xludf.DUMMYFUNCTION("""COMPUTED_VALUE"""),78.0)</f>
        <v>78</v>
      </c>
      <c r="E200" s="16">
        <f>IFERROR(__xludf.DUMMYFUNCTION("""COMPUTED_VALUE"""),1.0)</f>
        <v>1</v>
      </c>
      <c r="F200" s="16">
        <f>IFERROR(__xludf.DUMMYFUNCTION("""COMPUTED_VALUE"""),0.461538461538461)</f>
        <v>0.4615384615</v>
      </c>
      <c r="G200" s="16">
        <f>IFERROR(__xludf.DUMMYFUNCTION("""COMPUTED_VALUE"""),0.397435897435897)</f>
        <v>0.3974358974</v>
      </c>
      <c r="H200" s="16">
        <f>IFERROR(__xludf.DUMMYFUNCTION("""COMPUTED_VALUE"""),0.333333333333333)</f>
        <v>0.3333333333</v>
      </c>
      <c r="I200" s="16">
        <f>IFERROR(__xludf.DUMMYFUNCTION("""COMPUTED_VALUE"""),0.32051282051282)</f>
        <v>0.3205128205</v>
      </c>
      <c r="J200" s="16">
        <f>IFERROR(__xludf.DUMMYFUNCTION("""COMPUTED_VALUE"""),0.294871794871794)</f>
        <v>0.2948717949</v>
      </c>
      <c r="K200" s="16">
        <f>IFERROR(__xludf.DUMMYFUNCTION("""COMPUTED_VALUE"""),0.269230769230769)</f>
        <v>0.2692307692</v>
      </c>
      <c r="L200" s="16">
        <f>IFERROR(__xludf.DUMMYFUNCTION("""COMPUTED_VALUE"""),0.243589743589743)</f>
        <v>0.2435897436</v>
      </c>
      <c r="M200" s="16">
        <f>IFERROR(__xludf.DUMMYFUNCTION("""COMPUTED_VALUE"""),0.243589743589743)</f>
        <v>0.2435897436</v>
      </c>
      <c r="N200" s="16">
        <f>IFERROR(__xludf.DUMMYFUNCTION("""COMPUTED_VALUE"""),0.23076923076923)</f>
        <v>0.2307692308</v>
      </c>
      <c r="O200" s="16">
        <f>IFERROR(__xludf.DUMMYFUNCTION("""COMPUTED_VALUE"""),0.118421052631578)</f>
        <v>0.1184210526</v>
      </c>
      <c r="P200" s="16">
        <f>IFERROR(__xludf.DUMMYFUNCTION("""COMPUTED_VALUE"""),0.0555555555555555)</f>
        <v>0.05555555556</v>
      </c>
      <c r="Q200" s="16">
        <f>IFERROR(__xludf.DUMMYFUNCTION("""COMPUTED_VALUE"""),0.0588235294117647)</f>
        <v>0.05882352941</v>
      </c>
      <c r="R200" s="16">
        <f>IFERROR(__xludf.DUMMYFUNCTION("""COMPUTED_VALUE"""),0.0)</f>
        <v>0</v>
      </c>
      <c r="S200" s="16">
        <f>IFERROR(__xludf.DUMMYFUNCTION("""COMPUTED_VALUE"""),0.0)</f>
        <v>0</v>
      </c>
      <c r="T200" s="16">
        <f>IFERROR(__xludf.DUMMYFUNCTION("""COMPUTED_VALUE"""),0.0)</f>
        <v>0</v>
      </c>
      <c r="U200" s="16">
        <f>IFERROR(__xludf.DUMMYFUNCTION("""COMPUTED_VALUE"""),0.0)</f>
        <v>0</v>
      </c>
      <c r="V200" s="16">
        <f>IFERROR(__xludf.DUMMYFUNCTION("""COMPUTED_VALUE"""),0.0)</f>
        <v>0</v>
      </c>
      <c r="W200" s="16">
        <f>IFERROR(__xludf.DUMMYFUNCTION("""COMPUTED_VALUE"""),0.0)</f>
        <v>0</v>
      </c>
      <c r="X200" s="16">
        <f>IFERROR(__xludf.DUMMYFUNCTION("""COMPUTED_VALUE"""),0.0)</f>
        <v>0</v>
      </c>
      <c r="Y200" s="16">
        <f>IFERROR(__xludf.DUMMYFUNCTION("""COMPUTED_VALUE"""),0.0)</f>
        <v>0</v>
      </c>
      <c r="Z200" s="16">
        <f>IFERROR(__xludf.DUMMYFUNCTION("""COMPUTED_VALUE"""),0.0)</f>
        <v>0</v>
      </c>
      <c r="AA200" s="16">
        <f>IFERROR(__xludf.DUMMYFUNCTION("""COMPUTED_VALUE"""),0.0)</f>
        <v>0</v>
      </c>
      <c r="AB200" s="16">
        <f>IFERROR(__xludf.DUMMYFUNCTION("""COMPUTED_VALUE"""),0.0)</f>
        <v>0</v>
      </c>
      <c r="AC200" s="16">
        <f>IFERROR(__xludf.DUMMYFUNCTION("""COMPUTED_VALUE"""),0.0)</f>
        <v>0</v>
      </c>
      <c r="AD200" s="16">
        <f>IFERROR(__xludf.DUMMYFUNCTION("""COMPUTED_VALUE"""),0.0)</f>
        <v>0</v>
      </c>
      <c r="AE200" s="16">
        <f>IFERROR(__xludf.DUMMYFUNCTION("""COMPUTED_VALUE"""),0.0)</f>
        <v>0</v>
      </c>
      <c r="AF200" s="16">
        <f>IFERROR(__xludf.DUMMYFUNCTION("""COMPUTED_VALUE"""),0.0)</f>
        <v>0</v>
      </c>
      <c r="AG200" s="16">
        <f>IFERROR(__xludf.DUMMYFUNCTION("""COMPUTED_VALUE"""),0.0)</f>
        <v>0</v>
      </c>
      <c r="AH200" s="16">
        <f>IFERROR(__xludf.DUMMYFUNCTION("""COMPUTED_VALUE"""),0.0)</f>
        <v>0</v>
      </c>
    </row>
    <row r="201">
      <c r="A201" s="16" t="str">
        <f>IFERROR(__xludf.DUMMYFUNCTION("""COMPUTED_VALUE"""),"ad877b024bb7b2c30b52737ab2d9d8d49cc89f77")</f>
        <v>ad877b024bb7b2c30b52737ab2d9d8d49cc89f77</v>
      </c>
      <c r="B201" s="16" t="str">
        <f>IFERROR(__xludf.DUMMYFUNCTION("""COMPUTED_VALUE"""),"The Master at Heart Work ")</f>
        <v>The Master at Heart Work </v>
      </c>
      <c r="C201" s="16" t="str">
        <f>IFERROR(__xludf.DUMMYFUNCTION("""COMPUTED_VALUE"""),"System and Superpower")</f>
        <v>System and Superpower</v>
      </c>
      <c r="D201" s="16">
        <f>IFERROR(__xludf.DUMMYFUNCTION("""COMPUTED_VALUE"""),30.0)</f>
        <v>30</v>
      </c>
      <c r="E201" s="16">
        <f>IFERROR(__xludf.DUMMYFUNCTION("""COMPUTED_VALUE"""),0.966666666666666)</f>
        <v>0.9666666667</v>
      </c>
      <c r="F201" s="16">
        <f>IFERROR(__xludf.DUMMYFUNCTION("""COMPUTED_VALUE"""),0.7)</f>
        <v>0.7</v>
      </c>
      <c r="G201" s="16">
        <f>IFERROR(__xludf.DUMMYFUNCTION("""COMPUTED_VALUE"""),0.633333333333333)</f>
        <v>0.6333333333</v>
      </c>
      <c r="H201" s="16">
        <f>IFERROR(__xludf.DUMMYFUNCTION("""COMPUTED_VALUE"""),0.633333333333333)</f>
        <v>0.6333333333</v>
      </c>
      <c r="I201" s="16">
        <f>IFERROR(__xludf.DUMMYFUNCTION("""COMPUTED_VALUE"""),0.6)</f>
        <v>0.6</v>
      </c>
      <c r="J201" s="16">
        <f>IFERROR(__xludf.DUMMYFUNCTION("""COMPUTED_VALUE"""),0.466666666666666)</f>
        <v>0.4666666667</v>
      </c>
      <c r="K201" s="16">
        <f>IFERROR(__xludf.DUMMYFUNCTION("""COMPUTED_VALUE"""),0.433333333333333)</f>
        <v>0.4333333333</v>
      </c>
      <c r="L201" s="16">
        <f>IFERROR(__xludf.DUMMYFUNCTION("""COMPUTED_VALUE"""),0.5)</f>
        <v>0.5</v>
      </c>
      <c r="M201" s="16">
        <f>IFERROR(__xludf.DUMMYFUNCTION("""COMPUTED_VALUE"""),0.433333333333333)</f>
        <v>0.4333333333</v>
      </c>
      <c r="N201" s="16">
        <f>IFERROR(__xludf.DUMMYFUNCTION("""COMPUTED_VALUE"""),0.366666666666666)</f>
        <v>0.3666666667</v>
      </c>
      <c r="O201" s="16">
        <f>IFERROR(__xludf.DUMMYFUNCTION("""COMPUTED_VALUE"""),0.3)</f>
        <v>0.3</v>
      </c>
      <c r="P201" s="16">
        <f>IFERROR(__xludf.DUMMYFUNCTION("""COMPUTED_VALUE"""),0.206896551724137)</f>
        <v>0.2068965517</v>
      </c>
      <c r="Q201" s="16">
        <f>IFERROR(__xludf.DUMMYFUNCTION("""COMPUTED_VALUE"""),0.185185185185185)</f>
        <v>0.1851851852</v>
      </c>
      <c r="R201" s="16">
        <f>IFERROR(__xludf.DUMMYFUNCTION("""COMPUTED_VALUE"""),0.148148148148148)</f>
        <v>0.1481481481</v>
      </c>
      <c r="S201" s="16">
        <f>IFERROR(__xludf.DUMMYFUNCTION("""COMPUTED_VALUE"""),0.142857142857142)</f>
        <v>0.1428571429</v>
      </c>
      <c r="T201" s="16">
        <f>IFERROR(__xludf.DUMMYFUNCTION("""COMPUTED_VALUE"""),0.0952380952380952)</f>
        <v>0.09523809524</v>
      </c>
      <c r="U201" s="16">
        <f>IFERROR(__xludf.DUMMYFUNCTION("""COMPUTED_VALUE"""),0.111111111111111)</f>
        <v>0.1111111111</v>
      </c>
      <c r="V201" s="16">
        <f>IFERROR(__xludf.DUMMYFUNCTION("""COMPUTED_VALUE"""),0.153846153846153)</f>
        <v>0.1538461538</v>
      </c>
      <c r="W201" s="16">
        <f>IFERROR(__xludf.DUMMYFUNCTION("""COMPUTED_VALUE"""),0.0769230769230769)</f>
        <v>0.07692307692</v>
      </c>
      <c r="X201" s="16">
        <f>IFERROR(__xludf.DUMMYFUNCTION("""COMPUTED_VALUE"""),0.0)</f>
        <v>0</v>
      </c>
      <c r="Y201" s="16">
        <f>IFERROR(__xludf.DUMMYFUNCTION("""COMPUTED_VALUE"""),0.0)</f>
        <v>0</v>
      </c>
      <c r="Z201" s="16">
        <f>IFERROR(__xludf.DUMMYFUNCTION("""COMPUTED_VALUE"""),0.0)</f>
        <v>0</v>
      </c>
      <c r="AA201" s="16">
        <f>IFERROR(__xludf.DUMMYFUNCTION("""COMPUTED_VALUE"""),0.0)</f>
        <v>0</v>
      </c>
      <c r="AB201" s="16">
        <f>IFERROR(__xludf.DUMMYFUNCTION("""COMPUTED_VALUE"""),0.0)</f>
        <v>0</v>
      </c>
      <c r="AC201" s="16">
        <f>IFERROR(__xludf.DUMMYFUNCTION("""COMPUTED_VALUE"""),0.0)</f>
        <v>0</v>
      </c>
      <c r="AD201" s="16">
        <f>IFERROR(__xludf.DUMMYFUNCTION("""COMPUTED_VALUE"""),0.0)</f>
        <v>0</v>
      </c>
      <c r="AE201" s="16">
        <f>IFERROR(__xludf.DUMMYFUNCTION("""COMPUTED_VALUE"""),0.0)</f>
        <v>0</v>
      </c>
      <c r="AF201" s="16">
        <f>IFERROR(__xludf.DUMMYFUNCTION("""COMPUTED_VALUE"""),0.0)</f>
        <v>0</v>
      </c>
      <c r="AG201" s="16">
        <f>IFERROR(__xludf.DUMMYFUNCTION("""COMPUTED_VALUE"""),0.0)</f>
        <v>0</v>
      </c>
      <c r="AH201" s="16">
        <f>IFERROR(__xludf.DUMMYFUNCTION("""COMPUTED_VALUE"""),0.0)</f>
        <v>0</v>
      </c>
    </row>
    <row r="202">
      <c r="A202" s="16" t="str">
        <f>IFERROR(__xludf.DUMMYFUNCTION("""COMPUTED_VALUE"""),"adc7a92708ffd0f9326699e493a4bcd9e951553a")</f>
        <v>adc7a92708ffd0f9326699e493a4bcd9e951553a</v>
      </c>
      <c r="B202" s="16" t="str">
        <f>IFERROR(__xludf.DUMMYFUNCTION("""COMPUTED_VALUE"""),"The Strongest Cultivation")</f>
        <v>The Strongest Cultivation</v>
      </c>
      <c r="C202" s="16" t="str">
        <f>IFERROR(__xludf.DUMMYFUNCTION("""COMPUTED_VALUE"""),"Fantasy")</f>
        <v>Fantasy</v>
      </c>
      <c r="D202" s="16">
        <f>IFERROR(__xludf.DUMMYFUNCTION("""COMPUTED_VALUE"""),5.0)</f>
        <v>5</v>
      </c>
      <c r="E202" s="16">
        <f>IFERROR(__xludf.DUMMYFUNCTION("""COMPUTED_VALUE"""),1.0)</f>
        <v>1</v>
      </c>
      <c r="F202" s="16">
        <f>IFERROR(__xludf.DUMMYFUNCTION("""COMPUTED_VALUE"""),0.2)</f>
        <v>0.2</v>
      </c>
      <c r="G202" s="16">
        <f>IFERROR(__xludf.DUMMYFUNCTION("""COMPUTED_VALUE"""),0.2)</f>
        <v>0.2</v>
      </c>
      <c r="H202" s="16">
        <f>IFERROR(__xludf.DUMMYFUNCTION("""COMPUTED_VALUE"""),0.2)</f>
        <v>0.2</v>
      </c>
      <c r="I202" s="16">
        <f>IFERROR(__xludf.DUMMYFUNCTION("""COMPUTED_VALUE"""),0.2)</f>
        <v>0.2</v>
      </c>
      <c r="J202" s="16">
        <f>IFERROR(__xludf.DUMMYFUNCTION("""COMPUTED_VALUE"""),0.2)</f>
        <v>0.2</v>
      </c>
      <c r="K202" s="16">
        <f>IFERROR(__xludf.DUMMYFUNCTION("""COMPUTED_VALUE"""),0.2)</f>
        <v>0.2</v>
      </c>
      <c r="L202" s="16">
        <f>IFERROR(__xludf.DUMMYFUNCTION("""COMPUTED_VALUE"""),0.2)</f>
        <v>0.2</v>
      </c>
      <c r="M202" s="16">
        <f>IFERROR(__xludf.DUMMYFUNCTION("""COMPUTED_VALUE"""),0.2)</f>
        <v>0.2</v>
      </c>
      <c r="N202" s="16">
        <f>IFERROR(__xludf.DUMMYFUNCTION("""COMPUTED_VALUE"""),0.2)</f>
        <v>0.2</v>
      </c>
      <c r="O202" s="16">
        <f>IFERROR(__xludf.DUMMYFUNCTION("""COMPUTED_VALUE"""),0.0)</f>
        <v>0</v>
      </c>
      <c r="P202" s="16">
        <f>IFERROR(__xludf.DUMMYFUNCTION("""COMPUTED_VALUE"""),0.0)</f>
        <v>0</v>
      </c>
      <c r="Q202" s="16">
        <f>IFERROR(__xludf.DUMMYFUNCTION("""COMPUTED_VALUE"""),0.0)</f>
        <v>0</v>
      </c>
      <c r="R202" s="16">
        <f>IFERROR(__xludf.DUMMYFUNCTION("""COMPUTED_VALUE"""),0.0)</f>
        <v>0</v>
      </c>
      <c r="S202" s="16">
        <f>IFERROR(__xludf.DUMMYFUNCTION("""COMPUTED_VALUE"""),0.0)</f>
        <v>0</v>
      </c>
      <c r="T202" s="16">
        <f>IFERROR(__xludf.DUMMYFUNCTION("""COMPUTED_VALUE"""),0.0)</f>
        <v>0</v>
      </c>
      <c r="U202" s="16">
        <f>IFERROR(__xludf.DUMMYFUNCTION("""COMPUTED_VALUE"""),0.0)</f>
        <v>0</v>
      </c>
      <c r="V202" s="16">
        <f>IFERROR(__xludf.DUMMYFUNCTION("""COMPUTED_VALUE"""),0.0)</f>
        <v>0</v>
      </c>
      <c r="W202" s="16">
        <f>IFERROR(__xludf.DUMMYFUNCTION("""COMPUTED_VALUE"""),0.0)</f>
        <v>0</v>
      </c>
      <c r="X202" s="16">
        <f>IFERROR(__xludf.DUMMYFUNCTION("""COMPUTED_VALUE"""),0.0)</f>
        <v>0</v>
      </c>
      <c r="Y202" s="16">
        <f>IFERROR(__xludf.DUMMYFUNCTION("""COMPUTED_VALUE"""),0.0)</f>
        <v>0</v>
      </c>
      <c r="Z202" s="16">
        <f>IFERROR(__xludf.DUMMYFUNCTION("""COMPUTED_VALUE"""),0.0)</f>
        <v>0</v>
      </c>
      <c r="AA202" s="16">
        <f>IFERROR(__xludf.DUMMYFUNCTION("""COMPUTED_VALUE"""),0.0)</f>
        <v>0</v>
      </c>
      <c r="AB202" s="16">
        <f>IFERROR(__xludf.DUMMYFUNCTION("""COMPUTED_VALUE"""),0.0)</f>
        <v>0</v>
      </c>
      <c r="AC202" s="16">
        <f>IFERROR(__xludf.DUMMYFUNCTION("""COMPUTED_VALUE"""),0.0)</f>
        <v>0</v>
      </c>
      <c r="AD202" s="16">
        <f>IFERROR(__xludf.DUMMYFUNCTION("""COMPUTED_VALUE"""),0.0)</f>
        <v>0</v>
      </c>
      <c r="AE202" s="16">
        <f>IFERROR(__xludf.DUMMYFUNCTION("""COMPUTED_VALUE"""),0.0)</f>
        <v>0</v>
      </c>
      <c r="AF202" s="16">
        <f>IFERROR(__xludf.DUMMYFUNCTION("""COMPUTED_VALUE"""),0.0)</f>
        <v>0</v>
      </c>
      <c r="AG202" s="16">
        <f>IFERROR(__xludf.DUMMYFUNCTION("""COMPUTED_VALUE"""),0.0)</f>
        <v>0</v>
      </c>
      <c r="AH202" s="16">
        <f>IFERROR(__xludf.DUMMYFUNCTION("""COMPUTED_VALUE"""),0.0)</f>
        <v>0</v>
      </c>
    </row>
    <row r="203">
      <c r="A203" s="16" t="str">
        <f>IFERROR(__xludf.DUMMYFUNCTION("""COMPUTED_VALUE"""),"afc4914ba536580c6c21a79231a73b9e6dc67e1a")</f>
        <v>afc4914ba536580c6c21a79231a73b9e6dc67e1a</v>
      </c>
      <c r="B203" s="16" t="str">
        <f>IFERROR(__xludf.DUMMYFUNCTION("""COMPUTED_VALUE"""),"Her Cupid Curse")</f>
        <v>Her Cupid Curse</v>
      </c>
      <c r="C203" s="16" t="str">
        <f>IFERROR(__xludf.DUMMYFUNCTION("""COMPUTED_VALUE"""),"Romance")</f>
        <v>Romance</v>
      </c>
      <c r="D203" s="16">
        <f>IFERROR(__xludf.DUMMYFUNCTION("""COMPUTED_VALUE"""),395.0)</f>
        <v>395</v>
      </c>
      <c r="E203" s="16">
        <f>IFERROR(__xludf.DUMMYFUNCTION("""COMPUTED_VALUE"""),0.977215189873417)</f>
        <v>0.9772151899</v>
      </c>
      <c r="F203" s="16">
        <f>IFERROR(__xludf.DUMMYFUNCTION("""COMPUTED_VALUE"""),0.668354430379746)</f>
        <v>0.6683544304</v>
      </c>
      <c r="G203" s="16">
        <f>IFERROR(__xludf.DUMMYFUNCTION("""COMPUTED_VALUE"""),0.610126582278481)</f>
        <v>0.6101265823</v>
      </c>
      <c r="H203" s="16">
        <f>IFERROR(__xludf.DUMMYFUNCTION("""COMPUTED_VALUE"""),0.554430379746835)</f>
        <v>0.5544303797</v>
      </c>
      <c r="I203" s="16">
        <f>IFERROR(__xludf.DUMMYFUNCTION("""COMPUTED_VALUE"""),0.513924050632911)</f>
        <v>0.5139240506</v>
      </c>
      <c r="J203" s="16">
        <f>IFERROR(__xludf.DUMMYFUNCTION("""COMPUTED_VALUE"""),0.475949367088607)</f>
        <v>0.4759493671</v>
      </c>
      <c r="K203" s="16">
        <f>IFERROR(__xludf.DUMMYFUNCTION("""COMPUTED_VALUE"""),0.467005076142132)</f>
        <v>0.4670050761</v>
      </c>
      <c r="L203" s="16">
        <f>IFERROR(__xludf.DUMMYFUNCTION("""COMPUTED_VALUE"""),0.434895833333333)</f>
        <v>0.4348958333</v>
      </c>
      <c r="M203" s="16">
        <f>IFERROR(__xludf.DUMMYFUNCTION("""COMPUTED_VALUE"""),0.418918918918918)</f>
        <v>0.4189189189</v>
      </c>
      <c r="N203" s="16">
        <f>IFERROR(__xludf.DUMMYFUNCTION("""COMPUTED_VALUE"""),0.396501457725947)</f>
        <v>0.3965014577</v>
      </c>
      <c r="O203" s="16">
        <f>IFERROR(__xludf.DUMMYFUNCTION("""COMPUTED_VALUE"""),0.276315789473684)</f>
        <v>0.2763157895</v>
      </c>
      <c r="P203" s="16">
        <f>IFERROR(__xludf.DUMMYFUNCTION("""COMPUTED_VALUE"""),0.0)</f>
        <v>0</v>
      </c>
      <c r="Q203" s="16">
        <f>IFERROR(__xludf.DUMMYFUNCTION("""COMPUTED_VALUE"""),0.0)</f>
        <v>0</v>
      </c>
      <c r="R203" s="16">
        <f>IFERROR(__xludf.DUMMYFUNCTION("""COMPUTED_VALUE"""),0.0)</f>
        <v>0</v>
      </c>
      <c r="S203" s="16">
        <f>IFERROR(__xludf.DUMMYFUNCTION("""COMPUTED_VALUE"""),0.0)</f>
        <v>0</v>
      </c>
      <c r="T203" s="16">
        <f>IFERROR(__xludf.DUMMYFUNCTION("""COMPUTED_VALUE"""),0.0)</f>
        <v>0</v>
      </c>
      <c r="U203" s="16">
        <f>IFERROR(__xludf.DUMMYFUNCTION("""COMPUTED_VALUE"""),0.0)</f>
        <v>0</v>
      </c>
      <c r="V203" s="16">
        <f>IFERROR(__xludf.DUMMYFUNCTION("""COMPUTED_VALUE"""),0.0)</f>
        <v>0</v>
      </c>
      <c r="W203" s="16">
        <f>IFERROR(__xludf.DUMMYFUNCTION("""COMPUTED_VALUE"""),0.0)</f>
        <v>0</v>
      </c>
      <c r="X203" s="16">
        <f>IFERROR(__xludf.DUMMYFUNCTION("""COMPUTED_VALUE"""),0.0)</f>
        <v>0</v>
      </c>
      <c r="Y203" s="16">
        <f>IFERROR(__xludf.DUMMYFUNCTION("""COMPUTED_VALUE"""),0.0)</f>
        <v>0</v>
      </c>
      <c r="Z203" s="16">
        <f>IFERROR(__xludf.DUMMYFUNCTION("""COMPUTED_VALUE"""),0.0)</f>
        <v>0</v>
      </c>
      <c r="AA203" s="16">
        <f>IFERROR(__xludf.DUMMYFUNCTION("""COMPUTED_VALUE"""),0.0)</f>
        <v>0</v>
      </c>
      <c r="AB203" s="16">
        <f>IFERROR(__xludf.DUMMYFUNCTION("""COMPUTED_VALUE"""),0.0)</f>
        <v>0</v>
      </c>
      <c r="AC203" s="16">
        <f>IFERROR(__xludf.DUMMYFUNCTION("""COMPUTED_VALUE"""),0.0)</f>
        <v>0</v>
      </c>
      <c r="AD203" s="16">
        <f>IFERROR(__xludf.DUMMYFUNCTION("""COMPUTED_VALUE"""),0.0)</f>
        <v>0</v>
      </c>
      <c r="AE203" s="16">
        <f>IFERROR(__xludf.DUMMYFUNCTION("""COMPUTED_VALUE"""),0.0)</f>
        <v>0</v>
      </c>
      <c r="AF203" s="16">
        <f>IFERROR(__xludf.DUMMYFUNCTION("""COMPUTED_VALUE"""),0.0)</f>
        <v>0</v>
      </c>
      <c r="AG203" s="16">
        <f>IFERROR(__xludf.DUMMYFUNCTION("""COMPUTED_VALUE"""),0.0)</f>
        <v>0</v>
      </c>
      <c r="AH203" s="16">
        <f>IFERROR(__xludf.DUMMYFUNCTION("""COMPUTED_VALUE"""),0.0)</f>
        <v>0</v>
      </c>
    </row>
    <row r="204">
      <c r="A204" s="16" t="str">
        <f>IFERROR(__xludf.DUMMYFUNCTION("""COMPUTED_VALUE"""),"b035f182bb6d36439bba21081e89b0cb80ad7d57")</f>
        <v>b035f182bb6d36439bba21081e89b0cb80ad7d57</v>
      </c>
      <c r="B204" s="16" t="str">
        <f>IFERROR(__xludf.DUMMYFUNCTION("""COMPUTED_VALUE"""),"Glory After Loss")</f>
        <v>Glory After Loss</v>
      </c>
      <c r="C204" s="16" t="str">
        <f>IFERROR(__xludf.DUMMYFUNCTION("""COMPUTED_VALUE"""),"System and Superpower")</f>
        <v>System and Superpower</v>
      </c>
      <c r="D204" s="16">
        <f>IFERROR(__xludf.DUMMYFUNCTION("""COMPUTED_VALUE"""),56.0)</f>
        <v>56</v>
      </c>
      <c r="E204" s="16">
        <f>IFERROR(__xludf.DUMMYFUNCTION("""COMPUTED_VALUE"""),0.982142857142857)</f>
        <v>0.9821428571</v>
      </c>
      <c r="F204" s="16">
        <f>IFERROR(__xludf.DUMMYFUNCTION("""COMPUTED_VALUE"""),0.75)</f>
        <v>0.75</v>
      </c>
      <c r="G204" s="16">
        <f>IFERROR(__xludf.DUMMYFUNCTION("""COMPUTED_VALUE"""),0.625)</f>
        <v>0.625</v>
      </c>
      <c r="H204" s="16">
        <f>IFERROR(__xludf.DUMMYFUNCTION("""COMPUTED_VALUE"""),0.553571428571428)</f>
        <v>0.5535714286</v>
      </c>
      <c r="I204" s="16">
        <f>IFERROR(__xludf.DUMMYFUNCTION("""COMPUTED_VALUE"""),0.464285714285714)</f>
        <v>0.4642857143</v>
      </c>
      <c r="J204" s="16">
        <f>IFERROR(__xludf.DUMMYFUNCTION("""COMPUTED_VALUE"""),0.482142857142857)</f>
        <v>0.4821428571</v>
      </c>
      <c r="K204" s="16">
        <f>IFERROR(__xludf.DUMMYFUNCTION("""COMPUTED_VALUE"""),0.428571428571428)</f>
        <v>0.4285714286</v>
      </c>
      <c r="L204" s="16">
        <f>IFERROR(__xludf.DUMMYFUNCTION("""COMPUTED_VALUE"""),0.410714285714285)</f>
        <v>0.4107142857</v>
      </c>
      <c r="M204" s="16">
        <f>IFERROR(__xludf.DUMMYFUNCTION("""COMPUTED_VALUE"""),0.410714285714285)</f>
        <v>0.4107142857</v>
      </c>
      <c r="N204" s="16">
        <f>IFERROR(__xludf.DUMMYFUNCTION("""COMPUTED_VALUE"""),0.357142857142857)</f>
        <v>0.3571428571</v>
      </c>
      <c r="O204" s="16">
        <f>IFERROR(__xludf.DUMMYFUNCTION("""COMPUTED_VALUE"""),0.285714285714285)</f>
        <v>0.2857142857</v>
      </c>
      <c r="P204" s="16">
        <f>IFERROR(__xludf.DUMMYFUNCTION("""COMPUTED_VALUE"""),0.236363636363636)</f>
        <v>0.2363636364</v>
      </c>
      <c r="Q204" s="16">
        <f>IFERROR(__xludf.DUMMYFUNCTION("""COMPUTED_VALUE"""),0.170212765957446)</f>
        <v>0.170212766</v>
      </c>
      <c r="R204" s="16">
        <f>IFERROR(__xludf.DUMMYFUNCTION("""COMPUTED_VALUE"""),0.0)</f>
        <v>0</v>
      </c>
      <c r="S204" s="16">
        <f>IFERROR(__xludf.DUMMYFUNCTION("""COMPUTED_VALUE"""),0.0)</f>
        <v>0</v>
      </c>
      <c r="T204" s="16">
        <f>IFERROR(__xludf.DUMMYFUNCTION("""COMPUTED_VALUE"""),0.0)</f>
        <v>0</v>
      </c>
      <c r="U204" s="16">
        <f>IFERROR(__xludf.DUMMYFUNCTION("""COMPUTED_VALUE"""),0.0)</f>
        <v>0</v>
      </c>
      <c r="V204" s="16">
        <f>IFERROR(__xludf.DUMMYFUNCTION("""COMPUTED_VALUE"""),0.0)</f>
        <v>0</v>
      </c>
      <c r="W204" s="16">
        <f>IFERROR(__xludf.DUMMYFUNCTION("""COMPUTED_VALUE"""),0.0)</f>
        <v>0</v>
      </c>
      <c r="X204" s="16">
        <f>IFERROR(__xludf.DUMMYFUNCTION("""COMPUTED_VALUE"""),0.0)</f>
        <v>0</v>
      </c>
      <c r="Y204" s="16">
        <f>IFERROR(__xludf.DUMMYFUNCTION("""COMPUTED_VALUE"""),0.0)</f>
        <v>0</v>
      </c>
      <c r="Z204" s="16">
        <f>IFERROR(__xludf.DUMMYFUNCTION("""COMPUTED_VALUE"""),0.0)</f>
        <v>0</v>
      </c>
      <c r="AA204" s="16">
        <f>IFERROR(__xludf.DUMMYFUNCTION("""COMPUTED_VALUE"""),0.0)</f>
        <v>0</v>
      </c>
      <c r="AB204" s="16">
        <f>IFERROR(__xludf.DUMMYFUNCTION("""COMPUTED_VALUE"""),0.0)</f>
        <v>0</v>
      </c>
      <c r="AC204" s="16">
        <f>IFERROR(__xludf.DUMMYFUNCTION("""COMPUTED_VALUE"""),0.0)</f>
        <v>0</v>
      </c>
      <c r="AD204" s="16">
        <f>IFERROR(__xludf.DUMMYFUNCTION("""COMPUTED_VALUE"""),0.0)</f>
        <v>0</v>
      </c>
      <c r="AE204" s="16">
        <f>IFERROR(__xludf.DUMMYFUNCTION("""COMPUTED_VALUE"""),0.0)</f>
        <v>0</v>
      </c>
      <c r="AF204" s="16">
        <f>IFERROR(__xludf.DUMMYFUNCTION("""COMPUTED_VALUE"""),0.0)</f>
        <v>0</v>
      </c>
      <c r="AG204" s="16">
        <f>IFERROR(__xludf.DUMMYFUNCTION("""COMPUTED_VALUE"""),0.0)</f>
        <v>0</v>
      </c>
      <c r="AH204" s="16">
        <f>IFERROR(__xludf.DUMMYFUNCTION("""COMPUTED_VALUE"""),0.0)</f>
        <v>0</v>
      </c>
    </row>
    <row r="205">
      <c r="A205" s="16" t="str">
        <f>IFERROR(__xludf.DUMMYFUNCTION("""COMPUTED_VALUE"""),"b0cb1a15751b32389e6dc5643df14e64f65a78e6")</f>
        <v>b0cb1a15751b32389e6dc5643df14e64f65a78e6</v>
      </c>
      <c r="B205" s="16" t="str">
        <f>IFERROR(__xludf.DUMMYFUNCTION("""COMPUTED_VALUE"""),"Desire of the Billionaire")</f>
        <v>Desire of the Billionaire</v>
      </c>
      <c r="C205" s="16" t="str">
        <f>IFERROR(__xludf.DUMMYFUNCTION("""COMPUTED_VALUE"""),"Romance")</f>
        <v>Romance</v>
      </c>
      <c r="D205" s="16">
        <f>IFERROR(__xludf.DUMMYFUNCTION("""COMPUTED_VALUE"""),13.0)</f>
        <v>13</v>
      </c>
      <c r="E205" s="16">
        <f>IFERROR(__xludf.DUMMYFUNCTION("""COMPUTED_VALUE"""),1.0)</f>
        <v>1</v>
      </c>
      <c r="F205" s="16">
        <f>IFERROR(__xludf.DUMMYFUNCTION("""COMPUTED_VALUE"""),0.615384615384615)</f>
        <v>0.6153846154</v>
      </c>
      <c r="G205" s="16">
        <f>IFERROR(__xludf.DUMMYFUNCTION("""COMPUTED_VALUE"""),0.692307692307692)</f>
        <v>0.6923076923</v>
      </c>
      <c r="H205" s="16">
        <f>IFERROR(__xludf.DUMMYFUNCTION("""COMPUTED_VALUE"""),0.307692307692307)</f>
        <v>0.3076923077</v>
      </c>
      <c r="I205" s="16">
        <f>IFERROR(__xludf.DUMMYFUNCTION("""COMPUTED_VALUE"""),0.416666666666666)</f>
        <v>0.4166666667</v>
      </c>
      <c r="J205" s="16">
        <f>IFERROR(__xludf.DUMMYFUNCTION("""COMPUTED_VALUE"""),0.454545454545454)</f>
        <v>0.4545454545</v>
      </c>
      <c r="K205" s="16">
        <f>IFERROR(__xludf.DUMMYFUNCTION("""COMPUTED_VALUE"""),0.272727272727272)</f>
        <v>0.2727272727</v>
      </c>
      <c r="L205" s="16">
        <f>IFERROR(__xludf.DUMMYFUNCTION("""COMPUTED_VALUE"""),0.272727272727272)</f>
        <v>0.2727272727</v>
      </c>
      <c r="M205" s="16">
        <f>IFERROR(__xludf.DUMMYFUNCTION("""COMPUTED_VALUE"""),0.363636363636363)</f>
        <v>0.3636363636</v>
      </c>
      <c r="N205" s="16">
        <f>IFERROR(__xludf.DUMMYFUNCTION("""COMPUTED_VALUE"""),0.363636363636363)</f>
        <v>0.3636363636</v>
      </c>
      <c r="O205" s="16">
        <f>IFERROR(__xludf.DUMMYFUNCTION("""COMPUTED_VALUE"""),0.0909090909090909)</f>
        <v>0.09090909091</v>
      </c>
      <c r="P205" s="16">
        <f>IFERROR(__xludf.DUMMYFUNCTION("""COMPUTED_VALUE"""),0.1)</f>
        <v>0.1</v>
      </c>
      <c r="Q205" s="16">
        <f>IFERROR(__xludf.DUMMYFUNCTION("""COMPUTED_VALUE"""),0.0)</f>
        <v>0</v>
      </c>
      <c r="R205" s="16">
        <f>IFERROR(__xludf.DUMMYFUNCTION("""COMPUTED_VALUE"""),0.0)</f>
        <v>0</v>
      </c>
      <c r="S205" s="16">
        <f>IFERROR(__xludf.DUMMYFUNCTION("""COMPUTED_VALUE"""),0.0)</f>
        <v>0</v>
      </c>
      <c r="T205" s="16">
        <f>IFERROR(__xludf.DUMMYFUNCTION("""COMPUTED_VALUE"""),0.0)</f>
        <v>0</v>
      </c>
      <c r="U205" s="16">
        <f>IFERROR(__xludf.DUMMYFUNCTION("""COMPUTED_VALUE"""),0.0)</f>
        <v>0</v>
      </c>
      <c r="V205" s="16">
        <f>IFERROR(__xludf.DUMMYFUNCTION("""COMPUTED_VALUE"""),0.0)</f>
        <v>0</v>
      </c>
      <c r="W205" s="16">
        <f>IFERROR(__xludf.DUMMYFUNCTION("""COMPUTED_VALUE"""),0.0)</f>
        <v>0</v>
      </c>
      <c r="X205" s="16">
        <f>IFERROR(__xludf.DUMMYFUNCTION("""COMPUTED_VALUE"""),0.0)</f>
        <v>0</v>
      </c>
      <c r="Y205" s="16">
        <f>IFERROR(__xludf.DUMMYFUNCTION("""COMPUTED_VALUE"""),0.0)</f>
        <v>0</v>
      </c>
      <c r="Z205" s="16">
        <f>IFERROR(__xludf.DUMMYFUNCTION("""COMPUTED_VALUE"""),0.0)</f>
        <v>0</v>
      </c>
      <c r="AA205" s="16">
        <f>IFERROR(__xludf.DUMMYFUNCTION("""COMPUTED_VALUE"""),0.0)</f>
        <v>0</v>
      </c>
      <c r="AB205" s="16">
        <f>IFERROR(__xludf.DUMMYFUNCTION("""COMPUTED_VALUE"""),0.0)</f>
        <v>0</v>
      </c>
      <c r="AC205" s="16">
        <f>IFERROR(__xludf.DUMMYFUNCTION("""COMPUTED_VALUE"""),0.0)</f>
        <v>0</v>
      </c>
      <c r="AD205" s="16">
        <f>IFERROR(__xludf.DUMMYFUNCTION("""COMPUTED_VALUE"""),0.0)</f>
        <v>0</v>
      </c>
      <c r="AE205" s="16">
        <f>IFERROR(__xludf.DUMMYFUNCTION("""COMPUTED_VALUE"""),0.0)</f>
        <v>0</v>
      </c>
      <c r="AF205" s="16">
        <f>IFERROR(__xludf.DUMMYFUNCTION("""COMPUTED_VALUE"""),0.0)</f>
        <v>0</v>
      </c>
      <c r="AG205" s="16">
        <f>IFERROR(__xludf.DUMMYFUNCTION("""COMPUTED_VALUE"""),0.0)</f>
        <v>0</v>
      </c>
      <c r="AH205" s="16">
        <f>IFERROR(__xludf.DUMMYFUNCTION("""COMPUTED_VALUE"""),0.0)</f>
        <v>0</v>
      </c>
    </row>
    <row r="206">
      <c r="A206" s="16" t="str">
        <f>IFERROR(__xludf.DUMMYFUNCTION("""COMPUTED_VALUE"""),"b164057dc6b8df1ba1289d383220147f237b7dfa")</f>
        <v>b164057dc6b8df1ba1289d383220147f237b7dfa</v>
      </c>
      <c r="B206" s="16" t="str">
        <f>IFERROR(__xludf.DUMMYFUNCTION("""COMPUTED_VALUE"""),"Rush Marriage")</f>
        <v>Rush Marriage</v>
      </c>
      <c r="C206" s="16" t="str">
        <f>IFERROR(__xludf.DUMMYFUNCTION("""COMPUTED_VALUE"""),"Romance")</f>
        <v>Romance</v>
      </c>
      <c r="D206" s="16">
        <f>IFERROR(__xludf.DUMMYFUNCTION("""COMPUTED_VALUE"""),538.0)</f>
        <v>538</v>
      </c>
      <c r="E206" s="16">
        <f>IFERROR(__xludf.DUMMYFUNCTION("""COMPUTED_VALUE"""),0.977695167286245)</f>
        <v>0.9776951673</v>
      </c>
      <c r="F206" s="16">
        <f>IFERROR(__xludf.DUMMYFUNCTION("""COMPUTED_VALUE"""),0.676579925650557)</f>
        <v>0.6765799257</v>
      </c>
      <c r="G206" s="16">
        <f>IFERROR(__xludf.DUMMYFUNCTION("""COMPUTED_VALUE"""),0.552044609665427)</f>
        <v>0.5520446097</v>
      </c>
      <c r="H206" s="16">
        <f>IFERROR(__xludf.DUMMYFUNCTION("""COMPUTED_VALUE"""),0.5)</f>
        <v>0.5</v>
      </c>
      <c r="I206" s="16">
        <f>IFERROR(__xludf.DUMMYFUNCTION("""COMPUTED_VALUE"""),0.460966542750929)</f>
        <v>0.4609665428</v>
      </c>
      <c r="J206" s="16">
        <f>IFERROR(__xludf.DUMMYFUNCTION("""COMPUTED_VALUE"""),0.457089552238806)</f>
        <v>0.4570895522</v>
      </c>
      <c r="K206" s="16">
        <f>IFERROR(__xludf.DUMMYFUNCTION("""COMPUTED_VALUE"""),0.401119402985074)</f>
        <v>0.401119403</v>
      </c>
      <c r="L206" s="16">
        <f>IFERROR(__xludf.DUMMYFUNCTION("""COMPUTED_VALUE"""),0.357009345794392)</f>
        <v>0.3570093458</v>
      </c>
      <c r="M206" s="16">
        <f>IFERROR(__xludf.DUMMYFUNCTION("""COMPUTED_VALUE"""),0.336448598130841)</f>
        <v>0.3364485981</v>
      </c>
      <c r="N206" s="16">
        <f>IFERROR(__xludf.DUMMYFUNCTION("""COMPUTED_VALUE"""),0.320224719101123)</f>
        <v>0.3202247191</v>
      </c>
      <c r="O206" s="16">
        <f>IFERROR(__xludf.DUMMYFUNCTION("""COMPUTED_VALUE"""),0.324577861163227)</f>
        <v>0.3245778612</v>
      </c>
      <c r="P206" s="16">
        <f>IFERROR(__xludf.DUMMYFUNCTION("""COMPUTED_VALUE"""),0.203422053231939)</f>
        <v>0.2034220532</v>
      </c>
      <c r="Q206" s="16">
        <f>IFERROR(__xludf.DUMMYFUNCTION("""COMPUTED_VALUE"""),0.132796780684104)</f>
        <v>0.1327967807</v>
      </c>
      <c r="R206" s="16">
        <f>IFERROR(__xludf.DUMMYFUNCTION("""COMPUTED_VALUE"""),0.123076923076923)</f>
        <v>0.1230769231</v>
      </c>
      <c r="S206" s="16">
        <f>IFERROR(__xludf.DUMMYFUNCTION("""COMPUTED_VALUE"""),0.078125)</f>
        <v>0.078125</v>
      </c>
      <c r="T206" s="16">
        <f>IFERROR(__xludf.DUMMYFUNCTION("""COMPUTED_VALUE"""),0.0952380952380952)</f>
        <v>0.09523809524</v>
      </c>
      <c r="U206" s="16">
        <f>IFERROR(__xludf.DUMMYFUNCTION("""COMPUTED_VALUE"""),0.0508474576271186)</f>
        <v>0.05084745763</v>
      </c>
      <c r="V206" s="16">
        <f>IFERROR(__xludf.DUMMYFUNCTION("""COMPUTED_VALUE"""),0.0175438596491228)</f>
        <v>0.01754385965</v>
      </c>
      <c r="W206" s="16">
        <f>IFERROR(__xludf.DUMMYFUNCTION("""COMPUTED_VALUE"""),0.0)</f>
        <v>0</v>
      </c>
      <c r="X206" s="16">
        <f>IFERROR(__xludf.DUMMYFUNCTION("""COMPUTED_VALUE"""),0.0)</f>
        <v>0</v>
      </c>
      <c r="Y206" s="16">
        <f>IFERROR(__xludf.DUMMYFUNCTION("""COMPUTED_VALUE"""),0.0)</f>
        <v>0</v>
      </c>
      <c r="Z206" s="16">
        <f>IFERROR(__xludf.DUMMYFUNCTION("""COMPUTED_VALUE"""),0.0)</f>
        <v>0</v>
      </c>
      <c r="AA206" s="16">
        <f>IFERROR(__xludf.DUMMYFUNCTION("""COMPUTED_VALUE"""),0.0)</f>
        <v>0</v>
      </c>
      <c r="AB206" s="16">
        <f>IFERROR(__xludf.DUMMYFUNCTION("""COMPUTED_VALUE"""),0.0)</f>
        <v>0</v>
      </c>
      <c r="AC206" s="16">
        <f>IFERROR(__xludf.DUMMYFUNCTION("""COMPUTED_VALUE"""),0.0)</f>
        <v>0</v>
      </c>
      <c r="AD206" s="16">
        <f>IFERROR(__xludf.DUMMYFUNCTION("""COMPUTED_VALUE"""),0.0)</f>
        <v>0</v>
      </c>
      <c r="AE206" s="16">
        <f>IFERROR(__xludf.DUMMYFUNCTION("""COMPUTED_VALUE"""),0.0)</f>
        <v>0</v>
      </c>
      <c r="AF206" s="16">
        <f>IFERROR(__xludf.DUMMYFUNCTION("""COMPUTED_VALUE"""),0.0)</f>
        <v>0</v>
      </c>
      <c r="AG206" s="16">
        <f>IFERROR(__xludf.DUMMYFUNCTION("""COMPUTED_VALUE"""),0.0)</f>
        <v>0</v>
      </c>
      <c r="AH206" s="16">
        <f>IFERROR(__xludf.DUMMYFUNCTION("""COMPUTED_VALUE"""),0.0)</f>
        <v>0</v>
      </c>
    </row>
    <row r="207">
      <c r="A207" s="16" t="str">
        <f>IFERROR(__xludf.DUMMYFUNCTION("""COMPUTED_VALUE"""),"b2e0e008665e30068057a1556346d5473a8ed579")</f>
        <v>b2e0e008665e30068057a1556346d5473a8ed579</v>
      </c>
      <c r="B207" s="16" t="str">
        <f>IFERROR(__xludf.DUMMYFUNCTION("""COMPUTED_VALUE"""),"Legend of Cursed Blood ")</f>
        <v>Legend of Cursed Blood </v>
      </c>
      <c r="C207" s="16" t="str">
        <f>IFERROR(__xludf.DUMMYFUNCTION("""COMPUTED_VALUE"""),"Fantasy")</f>
        <v>Fantasy</v>
      </c>
      <c r="D207" s="16">
        <f>IFERROR(__xludf.DUMMYFUNCTION("""COMPUTED_VALUE"""),83.0)</f>
        <v>83</v>
      </c>
      <c r="E207" s="16">
        <f>IFERROR(__xludf.DUMMYFUNCTION("""COMPUTED_VALUE"""),0.987951807228915)</f>
        <v>0.9879518072</v>
      </c>
      <c r="F207" s="16">
        <f>IFERROR(__xludf.DUMMYFUNCTION("""COMPUTED_VALUE"""),0.397590361445783)</f>
        <v>0.3975903614</v>
      </c>
      <c r="G207" s="16">
        <f>IFERROR(__xludf.DUMMYFUNCTION("""COMPUTED_VALUE"""),0.325301204819277)</f>
        <v>0.3253012048</v>
      </c>
      <c r="H207" s="16">
        <f>IFERROR(__xludf.DUMMYFUNCTION("""COMPUTED_VALUE"""),0.289156626506024)</f>
        <v>0.2891566265</v>
      </c>
      <c r="I207" s="16">
        <f>IFERROR(__xludf.DUMMYFUNCTION("""COMPUTED_VALUE"""),0.277108433734939)</f>
        <v>0.2771084337</v>
      </c>
      <c r="J207" s="16">
        <f>IFERROR(__xludf.DUMMYFUNCTION("""COMPUTED_VALUE"""),0.222222222222222)</f>
        <v>0.2222222222</v>
      </c>
      <c r="K207" s="16">
        <f>IFERROR(__xludf.DUMMYFUNCTION("""COMPUTED_VALUE"""),0.2)</f>
        <v>0.2</v>
      </c>
      <c r="L207" s="16">
        <f>IFERROR(__xludf.DUMMYFUNCTION("""COMPUTED_VALUE"""),0.2)</f>
        <v>0.2</v>
      </c>
      <c r="M207" s="16">
        <f>IFERROR(__xludf.DUMMYFUNCTION("""COMPUTED_VALUE"""),0.186666666666666)</f>
        <v>0.1866666667</v>
      </c>
      <c r="N207" s="16">
        <f>IFERROR(__xludf.DUMMYFUNCTION("""COMPUTED_VALUE"""),0.189189189189189)</f>
        <v>0.1891891892</v>
      </c>
      <c r="O207" s="16">
        <f>IFERROR(__xludf.DUMMYFUNCTION("""COMPUTED_VALUE"""),0.151515151515151)</f>
        <v>0.1515151515</v>
      </c>
      <c r="P207" s="16">
        <f>IFERROR(__xludf.DUMMYFUNCTION("""COMPUTED_VALUE"""),0.1)</f>
        <v>0.1</v>
      </c>
      <c r="Q207" s="16">
        <f>IFERROR(__xludf.DUMMYFUNCTION("""COMPUTED_VALUE"""),0.0652173913043478)</f>
        <v>0.0652173913</v>
      </c>
      <c r="R207" s="16">
        <f>IFERROR(__xludf.DUMMYFUNCTION("""COMPUTED_VALUE"""),0.05)</f>
        <v>0.05</v>
      </c>
      <c r="S207" s="16">
        <f>IFERROR(__xludf.DUMMYFUNCTION("""COMPUTED_VALUE"""),0.0571428571428571)</f>
        <v>0.05714285714</v>
      </c>
      <c r="T207" s="16">
        <f>IFERROR(__xludf.DUMMYFUNCTION("""COMPUTED_VALUE"""),0.0)</f>
        <v>0</v>
      </c>
      <c r="U207" s="16">
        <f>IFERROR(__xludf.DUMMYFUNCTION("""COMPUTED_VALUE"""),0.0)</f>
        <v>0</v>
      </c>
      <c r="V207" s="16">
        <f>IFERROR(__xludf.DUMMYFUNCTION("""COMPUTED_VALUE"""),0.0)</f>
        <v>0</v>
      </c>
      <c r="W207" s="16">
        <f>IFERROR(__xludf.DUMMYFUNCTION("""COMPUTED_VALUE"""),0.0)</f>
        <v>0</v>
      </c>
      <c r="X207" s="16">
        <f>IFERROR(__xludf.DUMMYFUNCTION("""COMPUTED_VALUE"""),0.0)</f>
        <v>0</v>
      </c>
      <c r="Y207" s="16">
        <f>IFERROR(__xludf.DUMMYFUNCTION("""COMPUTED_VALUE"""),0.0)</f>
        <v>0</v>
      </c>
      <c r="Z207" s="16">
        <f>IFERROR(__xludf.DUMMYFUNCTION("""COMPUTED_VALUE"""),0.0)</f>
        <v>0</v>
      </c>
      <c r="AA207" s="16">
        <f>IFERROR(__xludf.DUMMYFUNCTION("""COMPUTED_VALUE"""),0.0)</f>
        <v>0</v>
      </c>
      <c r="AB207" s="16">
        <f>IFERROR(__xludf.DUMMYFUNCTION("""COMPUTED_VALUE"""),0.0)</f>
        <v>0</v>
      </c>
      <c r="AC207" s="16">
        <f>IFERROR(__xludf.DUMMYFUNCTION("""COMPUTED_VALUE"""),0.0)</f>
        <v>0</v>
      </c>
      <c r="AD207" s="16">
        <f>IFERROR(__xludf.DUMMYFUNCTION("""COMPUTED_VALUE"""),0.0)</f>
        <v>0</v>
      </c>
      <c r="AE207" s="16">
        <f>IFERROR(__xludf.DUMMYFUNCTION("""COMPUTED_VALUE"""),0.0)</f>
        <v>0</v>
      </c>
      <c r="AF207" s="16">
        <f>IFERROR(__xludf.DUMMYFUNCTION("""COMPUTED_VALUE"""),0.0)</f>
        <v>0</v>
      </c>
      <c r="AG207" s="16">
        <f>IFERROR(__xludf.DUMMYFUNCTION("""COMPUTED_VALUE"""),0.0)</f>
        <v>0</v>
      </c>
      <c r="AH207" s="16">
        <f>IFERROR(__xludf.DUMMYFUNCTION("""COMPUTED_VALUE"""),0.0)</f>
        <v>0</v>
      </c>
    </row>
    <row r="208">
      <c r="A208" s="16" t="str">
        <f>IFERROR(__xludf.DUMMYFUNCTION("""COMPUTED_VALUE"""),"b4357a596922bd37b47ec2573cd92ac18997c713")</f>
        <v>b4357a596922bd37b47ec2573cd92ac18997c713</v>
      </c>
      <c r="B208" s="16" t="str">
        <f>IFERROR(__xludf.DUMMYFUNCTION("""COMPUTED_VALUE"""),"Immortal Ascension")</f>
        <v>Immortal Ascension</v>
      </c>
      <c r="C208" s="16" t="str">
        <f>IFERROR(__xludf.DUMMYFUNCTION("""COMPUTED_VALUE"""),"System and Superpower")</f>
        <v>System and Superpower</v>
      </c>
      <c r="D208" s="16">
        <f>IFERROR(__xludf.DUMMYFUNCTION("""COMPUTED_VALUE"""),41.0)</f>
        <v>41</v>
      </c>
      <c r="E208" s="16">
        <f>IFERROR(__xludf.DUMMYFUNCTION("""COMPUTED_VALUE"""),1.0)</f>
        <v>1</v>
      </c>
      <c r="F208" s="16">
        <f>IFERROR(__xludf.DUMMYFUNCTION("""COMPUTED_VALUE"""),0.536585365853658)</f>
        <v>0.5365853659</v>
      </c>
      <c r="G208" s="16">
        <f>IFERROR(__xludf.DUMMYFUNCTION("""COMPUTED_VALUE"""),0.439024390243902)</f>
        <v>0.4390243902</v>
      </c>
      <c r="H208" s="16">
        <f>IFERROR(__xludf.DUMMYFUNCTION("""COMPUTED_VALUE"""),0.390243902439024)</f>
        <v>0.3902439024</v>
      </c>
      <c r="I208" s="16">
        <f>IFERROR(__xludf.DUMMYFUNCTION("""COMPUTED_VALUE"""),0.390243902439024)</f>
        <v>0.3902439024</v>
      </c>
      <c r="J208" s="16">
        <f>IFERROR(__xludf.DUMMYFUNCTION("""COMPUTED_VALUE"""),0.365853658536585)</f>
        <v>0.3658536585</v>
      </c>
      <c r="K208" s="16">
        <f>IFERROR(__xludf.DUMMYFUNCTION("""COMPUTED_VALUE"""),0.341463414634146)</f>
        <v>0.3414634146</v>
      </c>
      <c r="L208" s="16">
        <f>IFERROR(__xludf.DUMMYFUNCTION("""COMPUTED_VALUE"""),0.268292682926829)</f>
        <v>0.2682926829</v>
      </c>
      <c r="M208" s="16">
        <f>IFERROR(__xludf.DUMMYFUNCTION("""COMPUTED_VALUE"""),0.268292682926829)</f>
        <v>0.2682926829</v>
      </c>
      <c r="N208" s="16">
        <f>IFERROR(__xludf.DUMMYFUNCTION("""COMPUTED_VALUE"""),0.24390243902439)</f>
        <v>0.243902439</v>
      </c>
      <c r="O208" s="16">
        <f>IFERROR(__xludf.DUMMYFUNCTION("""COMPUTED_VALUE"""),0.195121951219512)</f>
        <v>0.1951219512</v>
      </c>
      <c r="P208" s="16">
        <f>IFERROR(__xludf.DUMMYFUNCTION("""COMPUTED_VALUE"""),0.048780487804878)</f>
        <v>0.0487804878</v>
      </c>
      <c r="Q208" s="16">
        <f>IFERROR(__xludf.DUMMYFUNCTION("""COMPUTED_VALUE"""),0.0263157894736842)</f>
        <v>0.02631578947</v>
      </c>
      <c r="R208" s="16">
        <f>IFERROR(__xludf.DUMMYFUNCTION("""COMPUTED_VALUE"""),0.0)</f>
        <v>0</v>
      </c>
      <c r="S208" s="16">
        <f>IFERROR(__xludf.DUMMYFUNCTION("""COMPUTED_VALUE"""),0.0)</f>
        <v>0</v>
      </c>
      <c r="T208" s="16">
        <f>IFERROR(__xludf.DUMMYFUNCTION("""COMPUTED_VALUE"""),0.0)</f>
        <v>0</v>
      </c>
      <c r="U208" s="16">
        <f>IFERROR(__xludf.DUMMYFUNCTION("""COMPUTED_VALUE"""),0.0)</f>
        <v>0</v>
      </c>
      <c r="V208" s="16">
        <f>IFERROR(__xludf.DUMMYFUNCTION("""COMPUTED_VALUE"""),0.0)</f>
        <v>0</v>
      </c>
      <c r="W208" s="16">
        <f>IFERROR(__xludf.DUMMYFUNCTION("""COMPUTED_VALUE"""),0.0)</f>
        <v>0</v>
      </c>
      <c r="X208" s="16">
        <f>IFERROR(__xludf.DUMMYFUNCTION("""COMPUTED_VALUE"""),0.0)</f>
        <v>0</v>
      </c>
      <c r="Y208" s="16">
        <f>IFERROR(__xludf.DUMMYFUNCTION("""COMPUTED_VALUE"""),0.0)</f>
        <v>0</v>
      </c>
      <c r="Z208" s="16">
        <f>IFERROR(__xludf.DUMMYFUNCTION("""COMPUTED_VALUE"""),0.0)</f>
        <v>0</v>
      </c>
      <c r="AA208" s="16">
        <f>IFERROR(__xludf.DUMMYFUNCTION("""COMPUTED_VALUE"""),0.0)</f>
        <v>0</v>
      </c>
      <c r="AB208" s="16">
        <f>IFERROR(__xludf.DUMMYFUNCTION("""COMPUTED_VALUE"""),0.0)</f>
        <v>0</v>
      </c>
      <c r="AC208" s="16">
        <f>IFERROR(__xludf.DUMMYFUNCTION("""COMPUTED_VALUE"""),0.0)</f>
        <v>0</v>
      </c>
      <c r="AD208" s="16">
        <f>IFERROR(__xludf.DUMMYFUNCTION("""COMPUTED_VALUE"""),0.0)</f>
        <v>0</v>
      </c>
      <c r="AE208" s="16">
        <f>IFERROR(__xludf.DUMMYFUNCTION("""COMPUTED_VALUE"""),0.0)</f>
        <v>0</v>
      </c>
      <c r="AF208" s="16">
        <f>IFERROR(__xludf.DUMMYFUNCTION("""COMPUTED_VALUE"""),0.0)</f>
        <v>0</v>
      </c>
      <c r="AG208" s="16">
        <f>IFERROR(__xludf.DUMMYFUNCTION("""COMPUTED_VALUE"""),0.0)</f>
        <v>0</v>
      </c>
      <c r="AH208" s="16">
        <f>IFERROR(__xludf.DUMMYFUNCTION("""COMPUTED_VALUE"""),0.0)</f>
        <v>0</v>
      </c>
    </row>
    <row r="209">
      <c r="A209" s="16" t="str">
        <f>IFERROR(__xludf.DUMMYFUNCTION("""COMPUTED_VALUE"""),"b4ba67822e15bf23c0044676b09f1aeb405d154f")</f>
        <v>b4ba67822e15bf23c0044676b09f1aeb405d154f</v>
      </c>
      <c r="B209" s="16" t="str">
        <f>IFERROR(__xludf.DUMMYFUNCTION("""COMPUTED_VALUE"""),"The Twin Affair")</f>
        <v>The Twin Affair</v>
      </c>
      <c r="C209" s="16" t="str">
        <f>IFERROR(__xludf.DUMMYFUNCTION("""COMPUTED_VALUE"""),"Romantasy")</f>
        <v>Romantasy</v>
      </c>
      <c r="D209" s="16">
        <f>IFERROR(__xludf.DUMMYFUNCTION("""COMPUTED_VALUE"""),1218.0)</f>
        <v>1218</v>
      </c>
      <c r="E209" s="16">
        <f>IFERROR(__xludf.DUMMYFUNCTION("""COMPUTED_VALUE"""),0.938423645320197)</f>
        <v>0.9384236453</v>
      </c>
      <c r="F209" s="16">
        <f>IFERROR(__xludf.DUMMYFUNCTION("""COMPUTED_VALUE"""),0.689655172413793)</f>
        <v>0.6896551724</v>
      </c>
      <c r="G209" s="16">
        <f>IFERROR(__xludf.DUMMYFUNCTION("""COMPUTED_VALUE"""),0.651888341543513)</f>
        <v>0.6518883415</v>
      </c>
      <c r="H209" s="16">
        <f>IFERROR(__xludf.DUMMYFUNCTION("""COMPUTED_VALUE"""),0.6247947454844)</f>
        <v>0.6247947455</v>
      </c>
      <c r="I209" s="16">
        <f>IFERROR(__xludf.DUMMYFUNCTION("""COMPUTED_VALUE"""),0.59688013136289)</f>
        <v>0.5968801314</v>
      </c>
      <c r="J209" s="16">
        <f>IFERROR(__xludf.DUMMYFUNCTION("""COMPUTED_VALUE"""),0.575533661740558)</f>
        <v>0.5755336617</v>
      </c>
      <c r="K209" s="16">
        <f>IFERROR(__xludf.DUMMYFUNCTION("""COMPUTED_VALUE"""),0.566502463054187)</f>
        <v>0.5665024631</v>
      </c>
      <c r="L209" s="16">
        <f>IFERROR(__xludf.DUMMYFUNCTION("""COMPUTED_VALUE"""),0.536124794745484)</f>
        <v>0.5361247947</v>
      </c>
      <c r="M209" s="16">
        <f>IFERROR(__xludf.DUMMYFUNCTION("""COMPUTED_VALUE"""),0.520525451559934)</f>
        <v>0.5205254516</v>
      </c>
      <c r="N209" s="16">
        <f>IFERROR(__xludf.DUMMYFUNCTION("""COMPUTED_VALUE"""),0.505747126436781)</f>
        <v>0.5057471264</v>
      </c>
      <c r="O209" s="16">
        <f>IFERROR(__xludf.DUMMYFUNCTION("""COMPUTED_VALUE"""),0.485221674876847)</f>
        <v>0.4852216749</v>
      </c>
      <c r="P209" s="16">
        <f>IFERROR(__xludf.DUMMYFUNCTION("""COMPUTED_VALUE"""),0.444170771756978)</f>
        <v>0.4441707718</v>
      </c>
      <c r="Q209" s="16">
        <f>IFERROR(__xludf.DUMMYFUNCTION("""COMPUTED_VALUE"""),0.277594728171334)</f>
        <v>0.2775947282</v>
      </c>
      <c r="R209" s="16">
        <f>IFERROR(__xludf.DUMMYFUNCTION("""COMPUTED_VALUE"""),0.176470588235294)</f>
        <v>0.1764705882</v>
      </c>
      <c r="S209" s="16">
        <f>IFERROR(__xludf.DUMMYFUNCTION("""COMPUTED_VALUE"""),0.0)</f>
        <v>0</v>
      </c>
      <c r="T209" s="16">
        <f>IFERROR(__xludf.DUMMYFUNCTION("""COMPUTED_VALUE"""),0.0)</f>
        <v>0</v>
      </c>
      <c r="U209" s="16">
        <f>IFERROR(__xludf.DUMMYFUNCTION("""COMPUTED_VALUE"""),0.0)</f>
        <v>0</v>
      </c>
      <c r="V209" s="16">
        <f>IFERROR(__xludf.DUMMYFUNCTION("""COMPUTED_VALUE"""),0.0)</f>
        <v>0</v>
      </c>
      <c r="W209" s="16">
        <f>IFERROR(__xludf.DUMMYFUNCTION("""COMPUTED_VALUE"""),0.0)</f>
        <v>0</v>
      </c>
      <c r="X209" s="16">
        <f>IFERROR(__xludf.DUMMYFUNCTION("""COMPUTED_VALUE"""),0.0)</f>
        <v>0</v>
      </c>
      <c r="Y209" s="16">
        <f>IFERROR(__xludf.DUMMYFUNCTION("""COMPUTED_VALUE"""),0.0)</f>
        <v>0</v>
      </c>
      <c r="Z209" s="16">
        <f>IFERROR(__xludf.DUMMYFUNCTION("""COMPUTED_VALUE"""),0.0)</f>
        <v>0</v>
      </c>
      <c r="AA209" s="16">
        <f>IFERROR(__xludf.DUMMYFUNCTION("""COMPUTED_VALUE"""),0.0)</f>
        <v>0</v>
      </c>
      <c r="AB209" s="16">
        <f>IFERROR(__xludf.DUMMYFUNCTION("""COMPUTED_VALUE"""),0.0)</f>
        <v>0</v>
      </c>
      <c r="AC209" s="16">
        <f>IFERROR(__xludf.DUMMYFUNCTION("""COMPUTED_VALUE"""),0.0)</f>
        <v>0</v>
      </c>
      <c r="AD209" s="16">
        <f>IFERROR(__xludf.DUMMYFUNCTION("""COMPUTED_VALUE"""),0.0)</f>
        <v>0</v>
      </c>
      <c r="AE209" s="16">
        <f>IFERROR(__xludf.DUMMYFUNCTION("""COMPUTED_VALUE"""),0.0)</f>
        <v>0</v>
      </c>
      <c r="AF209" s="16">
        <f>IFERROR(__xludf.DUMMYFUNCTION("""COMPUTED_VALUE"""),0.0)</f>
        <v>0</v>
      </c>
      <c r="AG209" s="16">
        <f>IFERROR(__xludf.DUMMYFUNCTION("""COMPUTED_VALUE"""),0.0)</f>
        <v>0</v>
      </c>
      <c r="AH209" s="16">
        <f>IFERROR(__xludf.DUMMYFUNCTION("""COMPUTED_VALUE"""),0.0)</f>
        <v>0</v>
      </c>
    </row>
    <row r="210">
      <c r="A210" s="16" t="str">
        <f>IFERROR(__xludf.DUMMYFUNCTION("""COMPUTED_VALUE"""),"b6ceacf9ec08a19cb30826c8277260c2339da0b3")</f>
        <v>b6ceacf9ec08a19cb30826c8277260c2339da0b3</v>
      </c>
      <c r="B210" s="16" t="str">
        <f>IFERROR(__xludf.DUMMYFUNCTION("""COMPUTED_VALUE"""),"Ruthless Betrayal ")</f>
        <v>Ruthless Betrayal </v>
      </c>
      <c r="C210" s="16" t="str">
        <f>IFERROR(__xludf.DUMMYFUNCTION("""COMPUTED_VALUE"""),"Romance")</f>
        <v>Romance</v>
      </c>
      <c r="D210" s="16">
        <f>IFERROR(__xludf.DUMMYFUNCTION("""COMPUTED_VALUE"""),231.0)</f>
        <v>231</v>
      </c>
      <c r="E210" s="16">
        <f>IFERROR(__xludf.DUMMYFUNCTION("""COMPUTED_VALUE"""),0.952380952380952)</f>
        <v>0.9523809524</v>
      </c>
      <c r="F210" s="16">
        <f>IFERROR(__xludf.DUMMYFUNCTION("""COMPUTED_VALUE"""),0.51082251082251)</f>
        <v>0.5108225108</v>
      </c>
      <c r="G210" s="16">
        <f>IFERROR(__xludf.DUMMYFUNCTION("""COMPUTED_VALUE"""),0.415584415584415)</f>
        <v>0.4155844156</v>
      </c>
      <c r="H210" s="16">
        <f>IFERROR(__xludf.DUMMYFUNCTION("""COMPUTED_VALUE"""),0.376623376623376)</f>
        <v>0.3766233766</v>
      </c>
      <c r="I210" s="16">
        <f>IFERROR(__xludf.DUMMYFUNCTION("""COMPUTED_VALUE"""),0.359307359307359)</f>
        <v>0.3593073593</v>
      </c>
      <c r="J210" s="16">
        <f>IFERROR(__xludf.DUMMYFUNCTION("""COMPUTED_VALUE"""),0.325991189427312)</f>
        <v>0.3259911894</v>
      </c>
      <c r="K210" s="16">
        <f>IFERROR(__xludf.DUMMYFUNCTION("""COMPUTED_VALUE"""),0.273542600896861)</f>
        <v>0.2735426009</v>
      </c>
      <c r="L210" s="16">
        <f>IFERROR(__xludf.DUMMYFUNCTION("""COMPUTED_VALUE"""),0.221719457013574)</f>
        <v>0.221719457</v>
      </c>
      <c r="M210" s="16">
        <f>IFERROR(__xludf.DUMMYFUNCTION("""COMPUTED_VALUE"""),0.247706422018348)</f>
        <v>0.247706422</v>
      </c>
      <c r="N210" s="16">
        <f>IFERROR(__xludf.DUMMYFUNCTION("""COMPUTED_VALUE"""),0.200934579439252)</f>
        <v>0.2009345794</v>
      </c>
      <c r="O210" s="16">
        <f>IFERROR(__xludf.DUMMYFUNCTION("""COMPUTED_VALUE"""),0.183168316831683)</f>
        <v>0.1831683168</v>
      </c>
      <c r="P210" s="16">
        <f>IFERROR(__xludf.DUMMYFUNCTION("""COMPUTED_VALUE"""),0.0769230769230769)</f>
        <v>0.07692307692</v>
      </c>
      <c r="Q210" s="16">
        <f>IFERROR(__xludf.DUMMYFUNCTION("""COMPUTED_VALUE"""),0.0382165605095541)</f>
        <v>0.03821656051</v>
      </c>
      <c r="R210" s="16">
        <f>IFERROR(__xludf.DUMMYFUNCTION("""COMPUTED_VALUE"""),0.0)</f>
        <v>0</v>
      </c>
      <c r="S210" s="16">
        <f>IFERROR(__xludf.DUMMYFUNCTION("""COMPUTED_VALUE"""),0.0)</f>
        <v>0</v>
      </c>
      <c r="T210" s="16">
        <f>IFERROR(__xludf.DUMMYFUNCTION("""COMPUTED_VALUE"""),0.0)</f>
        <v>0</v>
      </c>
      <c r="U210" s="16">
        <f>IFERROR(__xludf.DUMMYFUNCTION("""COMPUTED_VALUE"""),0.0)</f>
        <v>0</v>
      </c>
      <c r="V210" s="16">
        <f>IFERROR(__xludf.DUMMYFUNCTION("""COMPUTED_VALUE"""),0.0)</f>
        <v>0</v>
      </c>
      <c r="W210" s="16">
        <f>IFERROR(__xludf.DUMMYFUNCTION("""COMPUTED_VALUE"""),0.0)</f>
        <v>0</v>
      </c>
      <c r="X210" s="16">
        <f>IFERROR(__xludf.DUMMYFUNCTION("""COMPUTED_VALUE"""),0.0)</f>
        <v>0</v>
      </c>
      <c r="Y210" s="16">
        <f>IFERROR(__xludf.DUMMYFUNCTION("""COMPUTED_VALUE"""),0.0)</f>
        <v>0</v>
      </c>
      <c r="Z210" s="16">
        <f>IFERROR(__xludf.DUMMYFUNCTION("""COMPUTED_VALUE"""),0.0)</f>
        <v>0</v>
      </c>
      <c r="AA210" s="16">
        <f>IFERROR(__xludf.DUMMYFUNCTION("""COMPUTED_VALUE"""),0.0)</f>
        <v>0</v>
      </c>
      <c r="AB210" s="16">
        <f>IFERROR(__xludf.DUMMYFUNCTION("""COMPUTED_VALUE"""),0.0)</f>
        <v>0</v>
      </c>
      <c r="AC210" s="16">
        <f>IFERROR(__xludf.DUMMYFUNCTION("""COMPUTED_VALUE"""),0.0)</f>
        <v>0</v>
      </c>
      <c r="AD210" s="16">
        <f>IFERROR(__xludf.DUMMYFUNCTION("""COMPUTED_VALUE"""),0.0)</f>
        <v>0</v>
      </c>
      <c r="AE210" s="16">
        <f>IFERROR(__xludf.DUMMYFUNCTION("""COMPUTED_VALUE"""),0.0)</f>
        <v>0</v>
      </c>
      <c r="AF210" s="16">
        <f>IFERROR(__xludf.DUMMYFUNCTION("""COMPUTED_VALUE"""),0.0)</f>
        <v>0</v>
      </c>
      <c r="AG210" s="16">
        <f>IFERROR(__xludf.DUMMYFUNCTION("""COMPUTED_VALUE"""),0.0)</f>
        <v>0</v>
      </c>
      <c r="AH210" s="16">
        <f>IFERROR(__xludf.DUMMYFUNCTION("""COMPUTED_VALUE"""),0.0)</f>
        <v>0</v>
      </c>
    </row>
    <row r="211">
      <c r="A211" s="16" t="str">
        <f>IFERROR(__xludf.DUMMYFUNCTION("""COMPUTED_VALUE"""),"b6dcffd8fcb56899f1036740aa43dcb9b648ffe5")</f>
        <v>b6dcffd8fcb56899f1036740aa43dcb9b648ffe5</v>
      </c>
      <c r="B211" s="16" t="str">
        <f>IFERROR(__xludf.DUMMYFUNCTION("""COMPUTED_VALUE"""),"His Zealous Years Ahead")</f>
        <v>His Zealous Years Ahead</v>
      </c>
      <c r="C211" s="16" t="str">
        <f>IFERROR(__xludf.DUMMYFUNCTION("""COMPUTED_VALUE"""),"Fantasy")</f>
        <v>Fantasy</v>
      </c>
      <c r="D211" s="16">
        <f>IFERROR(__xludf.DUMMYFUNCTION("""COMPUTED_VALUE"""),31.0)</f>
        <v>31</v>
      </c>
      <c r="E211" s="16">
        <f>IFERROR(__xludf.DUMMYFUNCTION("""COMPUTED_VALUE"""),1.0)</f>
        <v>1</v>
      </c>
      <c r="F211" s="16">
        <f>IFERROR(__xludf.DUMMYFUNCTION("""COMPUTED_VALUE"""),0.32258064516129)</f>
        <v>0.3225806452</v>
      </c>
      <c r="G211" s="16">
        <f>IFERROR(__xludf.DUMMYFUNCTION("""COMPUTED_VALUE"""),0.258064516129032)</f>
        <v>0.2580645161</v>
      </c>
      <c r="H211" s="16">
        <f>IFERROR(__xludf.DUMMYFUNCTION("""COMPUTED_VALUE"""),0.193548387096774)</f>
        <v>0.1935483871</v>
      </c>
      <c r="I211" s="16">
        <f>IFERROR(__xludf.DUMMYFUNCTION("""COMPUTED_VALUE"""),0.161290322580645)</f>
        <v>0.1612903226</v>
      </c>
      <c r="J211" s="16">
        <f>IFERROR(__xludf.DUMMYFUNCTION("""COMPUTED_VALUE"""),0.172413793103448)</f>
        <v>0.1724137931</v>
      </c>
      <c r="K211" s="16">
        <f>IFERROR(__xludf.DUMMYFUNCTION("""COMPUTED_VALUE"""),0.192307692307692)</f>
        <v>0.1923076923</v>
      </c>
      <c r="L211" s="16">
        <f>IFERROR(__xludf.DUMMYFUNCTION("""COMPUTED_VALUE"""),0.115384615384615)</f>
        <v>0.1153846154</v>
      </c>
      <c r="M211" s="16">
        <f>IFERROR(__xludf.DUMMYFUNCTION("""COMPUTED_VALUE"""),0.0769230769230769)</f>
        <v>0.07692307692</v>
      </c>
      <c r="N211" s="16">
        <f>IFERROR(__xludf.DUMMYFUNCTION("""COMPUTED_VALUE"""),0.0769230769230769)</f>
        <v>0.07692307692</v>
      </c>
      <c r="O211" s="16">
        <f>IFERROR(__xludf.DUMMYFUNCTION("""COMPUTED_VALUE"""),0.0625)</f>
        <v>0.0625</v>
      </c>
      <c r="P211" s="16">
        <f>IFERROR(__xludf.DUMMYFUNCTION("""COMPUTED_VALUE"""),0.0)</f>
        <v>0</v>
      </c>
      <c r="Q211" s="16">
        <f>IFERROR(__xludf.DUMMYFUNCTION("""COMPUTED_VALUE"""),0.0)</f>
        <v>0</v>
      </c>
      <c r="R211" s="16">
        <f>IFERROR(__xludf.DUMMYFUNCTION("""COMPUTED_VALUE"""),0.0)</f>
        <v>0</v>
      </c>
      <c r="S211" s="16">
        <f>IFERROR(__xludf.DUMMYFUNCTION("""COMPUTED_VALUE"""),0.0)</f>
        <v>0</v>
      </c>
      <c r="T211" s="16">
        <f>IFERROR(__xludf.DUMMYFUNCTION("""COMPUTED_VALUE"""),0.0)</f>
        <v>0</v>
      </c>
      <c r="U211" s="16">
        <f>IFERROR(__xludf.DUMMYFUNCTION("""COMPUTED_VALUE"""),0.0)</f>
        <v>0</v>
      </c>
      <c r="V211" s="16">
        <f>IFERROR(__xludf.DUMMYFUNCTION("""COMPUTED_VALUE"""),0.0)</f>
        <v>0</v>
      </c>
      <c r="W211" s="16">
        <f>IFERROR(__xludf.DUMMYFUNCTION("""COMPUTED_VALUE"""),0.0)</f>
        <v>0</v>
      </c>
      <c r="X211" s="16">
        <f>IFERROR(__xludf.DUMMYFUNCTION("""COMPUTED_VALUE"""),0.0)</f>
        <v>0</v>
      </c>
      <c r="Y211" s="16">
        <f>IFERROR(__xludf.DUMMYFUNCTION("""COMPUTED_VALUE"""),0.0)</f>
        <v>0</v>
      </c>
      <c r="Z211" s="16">
        <f>IFERROR(__xludf.DUMMYFUNCTION("""COMPUTED_VALUE"""),0.0)</f>
        <v>0</v>
      </c>
      <c r="AA211" s="16">
        <f>IFERROR(__xludf.DUMMYFUNCTION("""COMPUTED_VALUE"""),0.0)</f>
        <v>0</v>
      </c>
      <c r="AB211" s="16">
        <f>IFERROR(__xludf.DUMMYFUNCTION("""COMPUTED_VALUE"""),0.0)</f>
        <v>0</v>
      </c>
      <c r="AC211" s="16">
        <f>IFERROR(__xludf.DUMMYFUNCTION("""COMPUTED_VALUE"""),0.0)</f>
        <v>0</v>
      </c>
      <c r="AD211" s="16">
        <f>IFERROR(__xludf.DUMMYFUNCTION("""COMPUTED_VALUE"""),0.0)</f>
        <v>0</v>
      </c>
      <c r="AE211" s="16">
        <f>IFERROR(__xludf.DUMMYFUNCTION("""COMPUTED_VALUE"""),0.0)</f>
        <v>0</v>
      </c>
      <c r="AF211" s="16">
        <f>IFERROR(__xludf.DUMMYFUNCTION("""COMPUTED_VALUE"""),0.0)</f>
        <v>0</v>
      </c>
      <c r="AG211" s="16">
        <f>IFERROR(__xludf.DUMMYFUNCTION("""COMPUTED_VALUE"""),0.0)</f>
        <v>0</v>
      </c>
      <c r="AH211" s="16">
        <f>IFERROR(__xludf.DUMMYFUNCTION("""COMPUTED_VALUE"""),0.0)</f>
        <v>0</v>
      </c>
    </row>
    <row r="212">
      <c r="A212" s="16" t="str">
        <f>IFERROR(__xludf.DUMMYFUNCTION("""COMPUTED_VALUE"""),"b7410aeb19f92f7df4ccab821b5a28bfd7d73027")</f>
        <v>b7410aeb19f92f7df4ccab821b5a28bfd7d73027</v>
      </c>
      <c r="B212" s="16" t="str">
        <f>IFERROR(__xludf.DUMMYFUNCTION("""COMPUTED_VALUE"""),"Alpha Regulus")</f>
        <v>Alpha Regulus</v>
      </c>
      <c r="C212" s="16" t="str">
        <f>IFERROR(__xludf.DUMMYFUNCTION("""COMPUTED_VALUE"""),"Romantasy")</f>
        <v>Romantasy</v>
      </c>
      <c r="D212" s="16">
        <f>IFERROR(__xludf.DUMMYFUNCTION("""COMPUTED_VALUE"""),719.0)</f>
        <v>719</v>
      </c>
      <c r="E212" s="16">
        <f>IFERROR(__xludf.DUMMYFUNCTION("""COMPUTED_VALUE"""),0.977746870653685)</f>
        <v>0.9777468707</v>
      </c>
      <c r="F212" s="16">
        <f>IFERROR(__xludf.DUMMYFUNCTION("""COMPUTED_VALUE"""),0.536856745479833)</f>
        <v>0.5368567455</v>
      </c>
      <c r="G212" s="16">
        <f>IFERROR(__xludf.DUMMYFUNCTION("""COMPUTED_VALUE"""),0.411682892906815)</f>
        <v>0.4116828929</v>
      </c>
      <c r="H212" s="16">
        <f>IFERROR(__xludf.DUMMYFUNCTION("""COMPUTED_VALUE"""),0.346314325452016)</f>
        <v>0.3463143255</v>
      </c>
      <c r="I212" s="16">
        <f>IFERROR(__xludf.DUMMYFUNCTION("""COMPUTED_VALUE"""),0.282336578581363)</f>
        <v>0.2823365786</v>
      </c>
      <c r="J212" s="16">
        <f>IFERROR(__xludf.DUMMYFUNCTION("""COMPUTED_VALUE"""),0.255910987482614)</f>
        <v>0.2559109875</v>
      </c>
      <c r="K212" s="16">
        <f>IFERROR(__xludf.DUMMYFUNCTION("""COMPUTED_VALUE"""),0.232267037552155)</f>
        <v>0.2322670376</v>
      </c>
      <c r="L212" s="16">
        <f>IFERROR(__xludf.DUMMYFUNCTION("""COMPUTED_VALUE"""),0.196652719665271)</f>
        <v>0.1966527197</v>
      </c>
      <c r="M212" s="16">
        <f>IFERROR(__xludf.DUMMYFUNCTION("""COMPUTED_VALUE"""),0.181564245810055)</f>
        <v>0.1815642458</v>
      </c>
      <c r="N212" s="16">
        <f>IFERROR(__xludf.DUMMYFUNCTION("""COMPUTED_VALUE"""),0.172027972027972)</f>
        <v>0.172027972</v>
      </c>
      <c r="O212" s="16">
        <f>IFERROR(__xludf.DUMMYFUNCTION("""COMPUTED_VALUE"""),0.117482517482517)</f>
        <v>0.1174825175</v>
      </c>
      <c r="P212" s="16">
        <f>IFERROR(__xludf.DUMMYFUNCTION("""COMPUTED_VALUE"""),0.0961810466760961)</f>
        <v>0.09618104668</v>
      </c>
      <c r="Q212" s="16">
        <f>IFERROR(__xludf.DUMMYFUNCTION("""COMPUTED_VALUE"""),0.0743589743589743)</f>
        <v>0.07435897436</v>
      </c>
      <c r="R212" s="16">
        <f>IFERROR(__xludf.DUMMYFUNCTION("""COMPUTED_VALUE"""),0.0568475452196382)</f>
        <v>0.05684754522</v>
      </c>
      <c r="S212" s="16">
        <f>IFERROR(__xludf.DUMMYFUNCTION("""COMPUTED_VALUE"""),0.0471204188481675)</f>
        <v>0.04712041885</v>
      </c>
      <c r="T212" s="16">
        <f>IFERROR(__xludf.DUMMYFUNCTION("""COMPUTED_VALUE"""),0.0426666666666666)</f>
        <v>0.04266666667</v>
      </c>
      <c r="U212" s="16">
        <f>IFERROR(__xludf.DUMMYFUNCTION("""COMPUTED_VALUE"""),0.0427807486631016)</f>
        <v>0.04278074866</v>
      </c>
      <c r="V212" s="16">
        <f>IFERROR(__xludf.DUMMYFUNCTION("""COMPUTED_VALUE"""),0.03475935828877)</f>
        <v>0.03475935829</v>
      </c>
      <c r="W212" s="16">
        <f>IFERROR(__xludf.DUMMYFUNCTION("""COMPUTED_VALUE"""),0.0350404312668463)</f>
        <v>0.03504043127</v>
      </c>
      <c r="X212" s="16">
        <f>IFERROR(__xludf.DUMMYFUNCTION("""COMPUTED_VALUE"""),0.02710027100271)</f>
        <v>0.027100271</v>
      </c>
      <c r="Y212" s="16">
        <f>IFERROR(__xludf.DUMMYFUNCTION("""COMPUTED_VALUE"""),0.111111111111111)</f>
        <v>0.1111111111</v>
      </c>
      <c r="Z212" s="16">
        <f>IFERROR(__xludf.DUMMYFUNCTION("""COMPUTED_VALUE"""),0.0)</f>
        <v>0</v>
      </c>
      <c r="AA212" s="16">
        <f>IFERROR(__xludf.DUMMYFUNCTION("""COMPUTED_VALUE"""),0.0)</f>
        <v>0</v>
      </c>
      <c r="AB212" s="16">
        <f>IFERROR(__xludf.DUMMYFUNCTION("""COMPUTED_VALUE"""),0.0)</f>
        <v>0</v>
      </c>
      <c r="AC212" s="16">
        <f>IFERROR(__xludf.DUMMYFUNCTION("""COMPUTED_VALUE"""),0.0)</f>
        <v>0</v>
      </c>
      <c r="AD212" s="16">
        <f>IFERROR(__xludf.DUMMYFUNCTION("""COMPUTED_VALUE"""),0.0)</f>
        <v>0</v>
      </c>
      <c r="AE212" s="16">
        <f>IFERROR(__xludf.DUMMYFUNCTION("""COMPUTED_VALUE"""),0.0)</f>
        <v>0</v>
      </c>
      <c r="AF212" s="16">
        <f>IFERROR(__xludf.DUMMYFUNCTION("""COMPUTED_VALUE"""),0.0)</f>
        <v>0</v>
      </c>
      <c r="AG212" s="16">
        <f>IFERROR(__xludf.DUMMYFUNCTION("""COMPUTED_VALUE"""),0.0)</f>
        <v>0</v>
      </c>
      <c r="AH212" s="16">
        <f>IFERROR(__xludf.DUMMYFUNCTION("""COMPUTED_VALUE"""),0.0)</f>
        <v>0</v>
      </c>
    </row>
    <row r="213">
      <c r="A213" s="16" t="str">
        <f>IFERROR(__xludf.DUMMYFUNCTION("""COMPUTED_VALUE"""),"b7e62e1ec65efcef334c2161afd00edf7b5a2b09")</f>
        <v>b7e62e1ec65efcef334c2161afd00edf7b5a2b09</v>
      </c>
      <c r="B213" s="16" t="str">
        <f>IFERROR(__xludf.DUMMYFUNCTION("""COMPUTED_VALUE"""),"Thrones and Passion")</f>
        <v>Thrones and Passion</v>
      </c>
      <c r="C213" s="16" t="str">
        <f>IFERROR(__xludf.DUMMYFUNCTION("""COMPUTED_VALUE"""),"Romance")</f>
        <v>Romance</v>
      </c>
      <c r="D213" s="16">
        <f>IFERROR(__xludf.DUMMYFUNCTION("""COMPUTED_VALUE"""),415.0)</f>
        <v>415</v>
      </c>
      <c r="E213" s="16">
        <f>IFERROR(__xludf.DUMMYFUNCTION("""COMPUTED_VALUE"""),0.987951807228915)</f>
        <v>0.9879518072</v>
      </c>
      <c r="F213" s="16">
        <f>IFERROR(__xludf.DUMMYFUNCTION("""COMPUTED_VALUE"""),0.465060240963855)</f>
        <v>0.465060241</v>
      </c>
      <c r="G213" s="16">
        <f>IFERROR(__xludf.DUMMYFUNCTION("""COMPUTED_VALUE"""),0.36144578313253)</f>
        <v>0.3614457831</v>
      </c>
      <c r="H213" s="16">
        <f>IFERROR(__xludf.DUMMYFUNCTION("""COMPUTED_VALUE"""),0.325301204819277)</f>
        <v>0.3253012048</v>
      </c>
      <c r="I213" s="16">
        <f>IFERROR(__xludf.DUMMYFUNCTION("""COMPUTED_VALUE"""),0.306024096385542)</f>
        <v>0.3060240964</v>
      </c>
      <c r="J213" s="16">
        <f>IFERROR(__xludf.DUMMYFUNCTION("""COMPUTED_VALUE"""),0.285365853658536)</f>
        <v>0.2853658537</v>
      </c>
      <c r="K213" s="16">
        <f>IFERROR(__xludf.DUMMYFUNCTION("""COMPUTED_VALUE"""),0.272040302267002)</f>
        <v>0.2720403023</v>
      </c>
      <c r="L213" s="16">
        <f>IFERROR(__xludf.DUMMYFUNCTION("""COMPUTED_VALUE"""),0.283625730994152)</f>
        <v>0.283625731</v>
      </c>
      <c r="M213" s="16">
        <f>IFERROR(__xludf.DUMMYFUNCTION("""COMPUTED_VALUE"""),0.269938650306748)</f>
        <v>0.2699386503</v>
      </c>
      <c r="N213" s="16">
        <f>IFERROR(__xludf.DUMMYFUNCTION("""COMPUTED_VALUE"""),0.24025974025974)</f>
        <v>0.2402597403</v>
      </c>
      <c r="O213" s="16">
        <f>IFERROR(__xludf.DUMMYFUNCTION("""COMPUTED_VALUE"""),0.182978723404255)</f>
        <v>0.1829787234</v>
      </c>
      <c r="P213" s="16">
        <f>IFERROR(__xludf.DUMMYFUNCTION("""COMPUTED_VALUE"""),0.1)</f>
        <v>0.1</v>
      </c>
      <c r="Q213" s="16">
        <f>IFERROR(__xludf.DUMMYFUNCTION("""COMPUTED_VALUE"""),0.25)</f>
        <v>0.25</v>
      </c>
      <c r="R213" s="16">
        <f>IFERROR(__xludf.DUMMYFUNCTION("""COMPUTED_VALUE"""),0.0)</f>
        <v>0</v>
      </c>
      <c r="S213" s="16">
        <f>IFERROR(__xludf.DUMMYFUNCTION("""COMPUTED_VALUE"""),0.0)</f>
        <v>0</v>
      </c>
      <c r="T213" s="16">
        <f>IFERROR(__xludf.DUMMYFUNCTION("""COMPUTED_VALUE"""),0.0)</f>
        <v>0</v>
      </c>
      <c r="U213" s="16">
        <f>IFERROR(__xludf.DUMMYFUNCTION("""COMPUTED_VALUE"""),0.0)</f>
        <v>0</v>
      </c>
      <c r="V213" s="16">
        <f>IFERROR(__xludf.DUMMYFUNCTION("""COMPUTED_VALUE"""),0.0)</f>
        <v>0</v>
      </c>
      <c r="W213" s="16">
        <f>IFERROR(__xludf.DUMMYFUNCTION("""COMPUTED_VALUE"""),0.0)</f>
        <v>0</v>
      </c>
      <c r="X213" s="16">
        <f>IFERROR(__xludf.DUMMYFUNCTION("""COMPUTED_VALUE"""),0.0)</f>
        <v>0</v>
      </c>
      <c r="Y213" s="16">
        <f>IFERROR(__xludf.DUMMYFUNCTION("""COMPUTED_VALUE"""),0.0)</f>
        <v>0</v>
      </c>
      <c r="Z213" s="16">
        <f>IFERROR(__xludf.DUMMYFUNCTION("""COMPUTED_VALUE"""),0.0)</f>
        <v>0</v>
      </c>
      <c r="AA213" s="16">
        <f>IFERROR(__xludf.DUMMYFUNCTION("""COMPUTED_VALUE"""),0.0)</f>
        <v>0</v>
      </c>
      <c r="AB213" s="16">
        <f>IFERROR(__xludf.DUMMYFUNCTION("""COMPUTED_VALUE"""),0.0)</f>
        <v>0</v>
      </c>
      <c r="AC213" s="16">
        <f>IFERROR(__xludf.DUMMYFUNCTION("""COMPUTED_VALUE"""),0.0)</f>
        <v>0</v>
      </c>
      <c r="AD213" s="16">
        <f>IFERROR(__xludf.DUMMYFUNCTION("""COMPUTED_VALUE"""),0.0)</f>
        <v>0</v>
      </c>
      <c r="AE213" s="16">
        <f>IFERROR(__xludf.DUMMYFUNCTION("""COMPUTED_VALUE"""),0.0)</f>
        <v>0</v>
      </c>
      <c r="AF213" s="16">
        <f>IFERROR(__xludf.DUMMYFUNCTION("""COMPUTED_VALUE"""),0.0)</f>
        <v>0</v>
      </c>
      <c r="AG213" s="16">
        <f>IFERROR(__xludf.DUMMYFUNCTION("""COMPUTED_VALUE"""),0.0)</f>
        <v>0</v>
      </c>
      <c r="AH213" s="16">
        <f>IFERROR(__xludf.DUMMYFUNCTION("""COMPUTED_VALUE"""),0.0)</f>
        <v>0</v>
      </c>
    </row>
    <row r="214">
      <c r="A214" s="16" t="str">
        <f>IFERROR(__xludf.DUMMYFUNCTION("""COMPUTED_VALUE"""),"b9a354d5a24377ec29b0e331be59b7128bbe93a1")</f>
        <v>b9a354d5a24377ec29b0e331be59b7128bbe93a1</v>
      </c>
      <c r="B214" s="16" t="str">
        <f>IFERROR(__xludf.DUMMYFUNCTION("""COMPUTED_VALUE"""),"The Heir They Feared")</f>
        <v>The Heir They Feared</v>
      </c>
      <c r="C214" s="16" t="str">
        <f>IFERROR(__xludf.DUMMYFUNCTION("""COMPUTED_VALUE"""),"Drama")</f>
        <v>Drama</v>
      </c>
      <c r="D214" s="16">
        <f>IFERROR(__xludf.DUMMYFUNCTION("""COMPUTED_VALUE"""),1.0)</f>
        <v>1</v>
      </c>
      <c r="E214" s="16">
        <f>IFERROR(__xludf.DUMMYFUNCTION("""COMPUTED_VALUE"""),1.0)</f>
        <v>1</v>
      </c>
      <c r="F214" s="16">
        <f>IFERROR(__xludf.DUMMYFUNCTION("""COMPUTED_VALUE"""),0.0)</f>
        <v>0</v>
      </c>
      <c r="G214" s="16">
        <f>IFERROR(__xludf.DUMMYFUNCTION("""COMPUTED_VALUE"""),0.0)</f>
        <v>0</v>
      </c>
      <c r="H214" s="16">
        <f>IFERROR(__xludf.DUMMYFUNCTION("""COMPUTED_VALUE"""),0.0)</f>
        <v>0</v>
      </c>
      <c r="I214" s="16">
        <f>IFERROR(__xludf.DUMMYFUNCTION("""COMPUTED_VALUE"""),0.0)</f>
        <v>0</v>
      </c>
      <c r="J214" s="16">
        <f>IFERROR(__xludf.DUMMYFUNCTION("""COMPUTED_VALUE"""),0.0)</f>
        <v>0</v>
      </c>
      <c r="K214" s="16">
        <f>IFERROR(__xludf.DUMMYFUNCTION("""COMPUTED_VALUE"""),0.0)</f>
        <v>0</v>
      </c>
      <c r="L214" s="16">
        <f>IFERROR(__xludf.DUMMYFUNCTION("""COMPUTED_VALUE"""),0.0)</f>
        <v>0</v>
      </c>
      <c r="M214" s="16">
        <f>IFERROR(__xludf.DUMMYFUNCTION("""COMPUTED_VALUE"""),0.0)</f>
        <v>0</v>
      </c>
      <c r="N214" s="16">
        <f>IFERROR(__xludf.DUMMYFUNCTION("""COMPUTED_VALUE"""),0.0)</f>
        <v>0</v>
      </c>
      <c r="O214" s="16">
        <f>IFERROR(__xludf.DUMMYFUNCTION("""COMPUTED_VALUE"""),0.0)</f>
        <v>0</v>
      </c>
      <c r="P214" s="16">
        <f>IFERROR(__xludf.DUMMYFUNCTION("""COMPUTED_VALUE"""),0.0)</f>
        <v>0</v>
      </c>
      <c r="Q214" s="16">
        <f>IFERROR(__xludf.DUMMYFUNCTION("""COMPUTED_VALUE"""),0.0)</f>
        <v>0</v>
      </c>
      <c r="R214" s="16">
        <f>IFERROR(__xludf.DUMMYFUNCTION("""COMPUTED_VALUE"""),0.0)</f>
        <v>0</v>
      </c>
      <c r="S214" s="16">
        <f>IFERROR(__xludf.DUMMYFUNCTION("""COMPUTED_VALUE"""),0.0)</f>
        <v>0</v>
      </c>
      <c r="T214" s="16">
        <f>IFERROR(__xludf.DUMMYFUNCTION("""COMPUTED_VALUE"""),0.0)</f>
        <v>0</v>
      </c>
      <c r="U214" s="16">
        <f>IFERROR(__xludf.DUMMYFUNCTION("""COMPUTED_VALUE"""),0.0)</f>
        <v>0</v>
      </c>
      <c r="V214" s="16">
        <f>IFERROR(__xludf.DUMMYFUNCTION("""COMPUTED_VALUE"""),0.0)</f>
        <v>0</v>
      </c>
      <c r="W214" s="16">
        <f>IFERROR(__xludf.DUMMYFUNCTION("""COMPUTED_VALUE"""),0.0)</f>
        <v>0</v>
      </c>
      <c r="X214" s="16">
        <f>IFERROR(__xludf.DUMMYFUNCTION("""COMPUTED_VALUE"""),0.0)</f>
        <v>0</v>
      </c>
      <c r="Y214" s="16">
        <f>IFERROR(__xludf.DUMMYFUNCTION("""COMPUTED_VALUE"""),0.0)</f>
        <v>0</v>
      </c>
      <c r="Z214" s="16">
        <f>IFERROR(__xludf.DUMMYFUNCTION("""COMPUTED_VALUE"""),0.0)</f>
        <v>0</v>
      </c>
      <c r="AA214" s="16">
        <f>IFERROR(__xludf.DUMMYFUNCTION("""COMPUTED_VALUE"""),0.0)</f>
        <v>0</v>
      </c>
      <c r="AB214" s="16">
        <f>IFERROR(__xludf.DUMMYFUNCTION("""COMPUTED_VALUE"""),0.0)</f>
        <v>0</v>
      </c>
      <c r="AC214" s="16">
        <f>IFERROR(__xludf.DUMMYFUNCTION("""COMPUTED_VALUE"""),0.0)</f>
        <v>0</v>
      </c>
      <c r="AD214" s="16">
        <f>IFERROR(__xludf.DUMMYFUNCTION("""COMPUTED_VALUE"""),0.0)</f>
        <v>0</v>
      </c>
      <c r="AE214" s="16">
        <f>IFERROR(__xludf.DUMMYFUNCTION("""COMPUTED_VALUE"""),0.0)</f>
        <v>0</v>
      </c>
      <c r="AF214" s="16">
        <f>IFERROR(__xludf.DUMMYFUNCTION("""COMPUTED_VALUE"""),0.0)</f>
        <v>0</v>
      </c>
      <c r="AG214" s="16">
        <f>IFERROR(__xludf.DUMMYFUNCTION("""COMPUTED_VALUE"""),0.0)</f>
        <v>0</v>
      </c>
      <c r="AH214" s="16">
        <f>IFERROR(__xludf.DUMMYFUNCTION("""COMPUTED_VALUE"""),0.0)</f>
        <v>0</v>
      </c>
    </row>
    <row r="215">
      <c r="A215" s="16" t="str">
        <f>IFERROR(__xludf.DUMMYFUNCTION("""COMPUTED_VALUE"""),"ba0633322d2e3b1f5dc385fdef11110ad663eca3")</f>
        <v>ba0633322d2e3b1f5dc385fdef11110ad663eca3</v>
      </c>
      <c r="B215" s="16" t="str">
        <f>IFERROR(__xludf.DUMMYFUNCTION("""COMPUTED_VALUE"""),"Fated Billionaire Love")</f>
        <v>Fated Billionaire Love</v>
      </c>
      <c r="C215" s="16" t="str">
        <f>IFERROR(__xludf.DUMMYFUNCTION("""COMPUTED_VALUE"""),"Romance")</f>
        <v>Romance</v>
      </c>
      <c r="D215" s="16">
        <f>IFERROR(__xludf.DUMMYFUNCTION("""COMPUTED_VALUE"""),251.0)</f>
        <v>251</v>
      </c>
      <c r="E215" s="16">
        <f>IFERROR(__xludf.DUMMYFUNCTION("""COMPUTED_VALUE"""),0.96414342629482)</f>
        <v>0.9641434263</v>
      </c>
      <c r="F215" s="16">
        <f>IFERROR(__xludf.DUMMYFUNCTION("""COMPUTED_VALUE"""),0.701195219123506)</f>
        <v>0.7011952191</v>
      </c>
      <c r="G215" s="16">
        <f>IFERROR(__xludf.DUMMYFUNCTION("""COMPUTED_VALUE"""),0.549800796812749)</f>
        <v>0.5498007968</v>
      </c>
      <c r="H215" s="16">
        <f>IFERROR(__xludf.DUMMYFUNCTION("""COMPUTED_VALUE"""),0.45816733067729)</f>
        <v>0.4581673307</v>
      </c>
      <c r="I215" s="16">
        <f>IFERROR(__xludf.DUMMYFUNCTION("""COMPUTED_VALUE"""),0.390438247011952)</f>
        <v>0.390438247</v>
      </c>
      <c r="J215" s="16">
        <f>IFERROR(__xludf.DUMMYFUNCTION("""COMPUTED_VALUE"""),0.354581673306772)</f>
        <v>0.3545816733</v>
      </c>
      <c r="K215" s="16">
        <f>IFERROR(__xludf.DUMMYFUNCTION("""COMPUTED_VALUE"""),0.326693227091633)</f>
        <v>0.3266932271</v>
      </c>
      <c r="L215" s="16">
        <f>IFERROR(__xludf.DUMMYFUNCTION("""COMPUTED_VALUE"""),0.298804780876494)</f>
        <v>0.2988047809</v>
      </c>
      <c r="M215" s="16">
        <f>IFERROR(__xludf.DUMMYFUNCTION("""COMPUTED_VALUE"""),0.294820717131474)</f>
        <v>0.2948207171</v>
      </c>
      <c r="N215" s="16">
        <f>IFERROR(__xludf.DUMMYFUNCTION("""COMPUTED_VALUE"""),0.286852589641434)</f>
        <v>0.2868525896</v>
      </c>
      <c r="O215" s="16">
        <f>IFERROR(__xludf.DUMMYFUNCTION("""COMPUTED_VALUE"""),0.236947791164658)</f>
        <v>0.2369477912</v>
      </c>
      <c r="P215" s="16">
        <f>IFERROR(__xludf.DUMMYFUNCTION("""COMPUTED_VALUE"""),0.182926829268292)</f>
        <v>0.1829268293</v>
      </c>
      <c r="Q215" s="16">
        <f>IFERROR(__xludf.DUMMYFUNCTION("""COMPUTED_VALUE"""),0.111570247933884)</f>
        <v>0.1115702479</v>
      </c>
      <c r="R215" s="16">
        <f>IFERROR(__xludf.DUMMYFUNCTION("""COMPUTED_VALUE"""),0.0)</f>
        <v>0</v>
      </c>
      <c r="S215" s="16">
        <f>IFERROR(__xludf.DUMMYFUNCTION("""COMPUTED_VALUE"""),0.0)</f>
        <v>0</v>
      </c>
      <c r="T215" s="16">
        <f>IFERROR(__xludf.DUMMYFUNCTION("""COMPUTED_VALUE"""),0.0)</f>
        <v>0</v>
      </c>
      <c r="U215" s="16">
        <f>IFERROR(__xludf.DUMMYFUNCTION("""COMPUTED_VALUE"""),0.0)</f>
        <v>0</v>
      </c>
      <c r="V215" s="16">
        <f>IFERROR(__xludf.DUMMYFUNCTION("""COMPUTED_VALUE"""),0.0)</f>
        <v>0</v>
      </c>
      <c r="W215" s="16">
        <f>IFERROR(__xludf.DUMMYFUNCTION("""COMPUTED_VALUE"""),0.0)</f>
        <v>0</v>
      </c>
      <c r="X215" s="16">
        <f>IFERROR(__xludf.DUMMYFUNCTION("""COMPUTED_VALUE"""),0.0)</f>
        <v>0</v>
      </c>
      <c r="Y215" s="16">
        <f>IFERROR(__xludf.DUMMYFUNCTION("""COMPUTED_VALUE"""),0.0)</f>
        <v>0</v>
      </c>
      <c r="Z215" s="16">
        <f>IFERROR(__xludf.DUMMYFUNCTION("""COMPUTED_VALUE"""),0.0)</f>
        <v>0</v>
      </c>
      <c r="AA215" s="16">
        <f>IFERROR(__xludf.DUMMYFUNCTION("""COMPUTED_VALUE"""),0.0)</f>
        <v>0</v>
      </c>
      <c r="AB215" s="16">
        <f>IFERROR(__xludf.DUMMYFUNCTION("""COMPUTED_VALUE"""),0.0)</f>
        <v>0</v>
      </c>
      <c r="AC215" s="16">
        <f>IFERROR(__xludf.DUMMYFUNCTION("""COMPUTED_VALUE"""),0.0)</f>
        <v>0</v>
      </c>
      <c r="AD215" s="16">
        <f>IFERROR(__xludf.DUMMYFUNCTION("""COMPUTED_VALUE"""),0.0)</f>
        <v>0</v>
      </c>
      <c r="AE215" s="16">
        <f>IFERROR(__xludf.DUMMYFUNCTION("""COMPUTED_VALUE"""),0.0)</f>
        <v>0</v>
      </c>
      <c r="AF215" s="16">
        <f>IFERROR(__xludf.DUMMYFUNCTION("""COMPUTED_VALUE"""),0.0)</f>
        <v>0</v>
      </c>
      <c r="AG215" s="16">
        <f>IFERROR(__xludf.DUMMYFUNCTION("""COMPUTED_VALUE"""),0.0)</f>
        <v>0</v>
      </c>
      <c r="AH215" s="16">
        <f>IFERROR(__xludf.DUMMYFUNCTION("""COMPUTED_VALUE"""),0.0)</f>
        <v>0</v>
      </c>
    </row>
    <row r="216">
      <c r="A216" s="16" t="str">
        <f>IFERROR(__xludf.DUMMYFUNCTION("""COMPUTED_VALUE"""),"ba1065d04424754ef65327a97989402f6a123e5a")</f>
        <v>ba1065d04424754ef65327a97989402f6a123e5a</v>
      </c>
      <c r="B216" s="16" t="str">
        <f>IFERROR(__xludf.DUMMYFUNCTION("""COMPUTED_VALUE"""),"Yours by Accident")</f>
        <v>Yours by Accident</v>
      </c>
      <c r="C216" s="16" t="str">
        <f>IFERROR(__xludf.DUMMYFUNCTION("""COMPUTED_VALUE"""),"Romance")</f>
        <v>Romance</v>
      </c>
      <c r="D216" s="16">
        <f>IFERROR(__xludf.DUMMYFUNCTION("""COMPUTED_VALUE"""),136.0)</f>
        <v>136</v>
      </c>
      <c r="E216" s="16">
        <f>IFERROR(__xludf.DUMMYFUNCTION("""COMPUTED_VALUE"""),0.985294117647058)</f>
        <v>0.9852941176</v>
      </c>
      <c r="F216" s="16">
        <f>IFERROR(__xludf.DUMMYFUNCTION("""COMPUTED_VALUE"""),0.514705882352941)</f>
        <v>0.5147058824</v>
      </c>
      <c r="G216" s="16">
        <f>IFERROR(__xludf.DUMMYFUNCTION("""COMPUTED_VALUE"""),0.433823529411764)</f>
        <v>0.4338235294</v>
      </c>
      <c r="H216" s="16">
        <f>IFERROR(__xludf.DUMMYFUNCTION("""COMPUTED_VALUE"""),0.389705882352941)</f>
        <v>0.3897058824</v>
      </c>
      <c r="I216" s="16">
        <f>IFERROR(__xludf.DUMMYFUNCTION("""COMPUTED_VALUE"""),0.294117647058823)</f>
        <v>0.2941176471</v>
      </c>
      <c r="J216" s="16">
        <f>IFERROR(__xludf.DUMMYFUNCTION("""COMPUTED_VALUE"""),0.287878787878787)</f>
        <v>0.2878787879</v>
      </c>
      <c r="K216" s="16">
        <f>IFERROR(__xludf.DUMMYFUNCTION("""COMPUTED_VALUE"""),0.255813953488372)</f>
        <v>0.2558139535</v>
      </c>
      <c r="L216" s="16">
        <f>IFERROR(__xludf.DUMMYFUNCTION("""COMPUTED_VALUE"""),0.24390243902439)</f>
        <v>0.243902439</v>
      </c>
      <c r="M216" s="16">
        <f>IFERROR(__xludf.DUMMYFUNCTION("""COMPUTED_VALUE"""),0.216666666666666)</f>
        <v>0.2166666667</v>
      </c>
      <c r="N216" s="16">
        <f>IFERROR(__xludf.DUMMYFUNCTION("""COMPUTED_VALUE"""),0.188034188034188)</f>
        <v>0.188034188</v>
      </c>
      <c r="O216" s="16">
        <f>IFERROR(__xludf.DUMMYFUNCTION("""COMPUTED_VALUE"""),0.155963302752293)</f>
        <v>0.1559633028</v>
      </c>
      <c r="P216" s="16">
        <f>IFERROR(__xludf.DUMMYFUNCTION("""COMPUTED_VALUE"""),0.109756097560975)</f>
        <v>0.1097560976</v>
      </c>
      <c r="Q216" s="16">
        <f>IFERROR(__xludf.DUMMYFUNCTION("""COMPUTED_VALUE"""),0.0759493670886076)</f>
        <v>0.07594936709</v>
      </c>
      <c r="R216" s="16">
        <f>IFERROR(__xludf.DUMMYFUNCTION("""COMPUTED_VALUE"""),0.0384615384615384)</f>
        <v>0.03846153846</v>
      </c>
      <c r="S216" s="16">
        <f>IFERROR(__xludf.DUMMYFUNCTION("""COMPUTED_VALUE"""),0.0135135135135135)</f>
        <v>0.01351351351</v>
      </c>
      <c r="T216" s="16">
        <f>IFERROR(__xludf.DUMMYFUNCTION("""COMPUTED_VALUE"""),0.0)</f>
        <v>0</v>
      </c>
      <c r="U216" s="16">
        <f>IFERROR(__xludf.DUMMYFUNCTION("""COMPUTED_VALUE"""),0.0)</f>
        <v>0</v>
      </c>
      <c r="V216" s="16">
        <f>IFERROR(__xludf.DUMMYFUNCTION("""COMPUTED_VALUE"""),0.0)</f>
        <v>0</v>
      </c>
      <c r="W216" s="16">
        <f>IFERROR(__xludf.DUMMYFUNCTION("""COMPUTED_VALUE"""),0.0)</f>
        <v>0</v>
      </c>
      <c r="X216" s="16">
        <f>IFERROR(__xludf.DUMMYFUNCTION("""COMPUTED_VALUE"""),0.0)</f>
        <v>0</v>
      </c>
      <c r="Y216" s="16">
        <f>IFERROR(__xludf.DUMMYFUNCTION("""COMPUTED_VALUE"""),0.0)</f>
        <v>0</v>
      </c>
      <c r="Z216" s="16">
        <f>IFERROR(__xludf.DUMMYFUNCTION("""COMPUTED_VALUE"""),0.0)</f>
        <v>0</v>
      </c>
      <c r="AA216" s="16">
        <f>IFERROR(__xludf.DUMMYFUNCTION("""COMPUTED_VALUE"""),0.0)</f>
        <v>0</v>
      </c>
      <c r="AB216" s="16">
        <f>IFERROR(__xludf.DUMMYFUNCTION("""COMPUTED_VALUE"""),0.0)</f>
        <v>0</v>
      </c>
      <c r="AC216" s="16">
        <f>IFERROR(__xludf.DUMMYFUNCTION("""COMPUTED_VALUE"""),0.0)</f>
        <v>0</v>
      </c>
      <c r="AD216" s="16">
        <f>IFERROR(__xludf.DUMMYFUNCTION("""COMPUTED_VALUE"""),0.0)</f>
        <v>0</v>
      </c>
      <c r="AE216" s="16">
        <f>IFERROR(__xludf.DUMMYFUNCTION("""COMPUTED_VALUE"""),0.0)</f>
        <v>0</v>
      </c>
      <c r="AF216" s="16">
        <f>IFERROR(__xludf.DUMMYFUNCTION("""COMPUTED_VALUE"""),0.0)</f>
        <v>0</v>
      </c>
      <c r="AG216" s="16">
        <f>IFERROR(__xludf.DUMMYFUNCTION("""COMPUTED_VALUE"""),0.0)</f>
        <v>0</v>
      </c>
      <c r="AH216" s="16">
        <f>IFERROR(__xludf.DUMMYFUNCTION("""COMPUTED_VALUE"""),0.0)</f>
        <v>0</v>
      </c>
    </row>
    <row r="217">
      <c r="A217" s="16" t="str">
        <f>IFERROR(__xludf.DUMMYFUNCTION("""COMPUTED_VALUE"""),"bb2f281964ff5fb7528074b3b2b73409bbf91d2a")</f>
        <v>bb2f281964ff5fb7528074b3b2b73409bbf91d2a</v>
      </c>
      <c r="B217" s="16" t="str">
        <f>IFERROR(__xludf.DUMMYFUNCTION("""COMPUTED_VALUE"""),"My Money Minting System")</f>
        <v>My Money Minting System</v>
      </c>
      <c r="C217" s="16" t="str">
        <f>IFERROR(__xludf.DUMMYFUNCTION("""COMPUTED_VALUE"""),"System and Superpower")</f>
        <v>System and Superpower</v>
      </c>
      <c r="D217" s="16">
        <f>IFERROR(__xludf.DUMMYFUNCTION("""COMPUTED_VALUE"""),81.0)</f>
        <v>81</v>
      </c>
      <c r="E217" s="16">
        <f>IFERROR(__xludf.DUMMYFUNCTION("""COMPUTED_VALUE"""),0.962962962962962)</f>
        <v>0.962962963</v>
      </c>
      <c r="F217" s="16">
        <f>IFERROR(__xludf.DUMMYFUNCTION("""COMPUTED_VALUE"""),0.654320987654321)</f>
        <v>0.6543209877</v>
      </c>
      <c r="G217" s="16">
        <f>IFERROR(__xludf.DUMMYFUNCTION("""COMPUTED_VALUE"""),0.506172839506172)</f>
        <v>0.5061728395</v>
      </c>
      <c r="H217" s="16">
        <f>IFERROR(__xludf.DUMMYFUNCTION("""COMPUTED_VALUE"""),0.443037974683544)</f>
        <v>0.4430379747</v>
      </c>
      <c r="I217" s="16">
        <f>IFERROR(__xludf.DUMMYFUNCTION("""COMPUTED_VALUE"""),0.384615384615384)</f>
        <v>0.3846153846</v>
      </c>
      <c r="J217" s="16">
        <f>IFERROR(__xludf.DUMMYFUNCTION("""COMPUTED_VALUE"""),0.35064935064935)</f>
        <v>0.3506493506</v>
      </c>
      <c r="K217" s="16">
        <f>IFERROR(__xludf.DUMMYFUNCTION("""COMPUTED_VALUE"""),0.253333333333333)</f>
        <v>0.2533333333</v>
      </c>
      <c r="L217" s="16">
        <f>IFERROR(__xludf.DUMMYFUNCTION("""COMPUTED_VALUE"""),0.212121212121212)</f>
        <v>0.2121212121</v>
      </c>
      <c r="M217" s="16">
        <f>IFERROR(__xludf.DUMMYFUNCTION("""COMPUTED_VALUE"""),0.227272727272727)</f>
        <v>0.2272727273</v>
      </c>
      <c r="N217" s="16">
        <f>IFERROR(__xludf.DUMMYFUNCTION("""COMPUTED_VALUE"""),0.307692307692307)</f>
        <v>0.3076923077</v>
      </c>
      <c r="O217" s="16">
        <f>IFERROR(__xludf.DUMMYFUNCTION("""COMPUTED_VALUE"""),0.108108108108108)</f>
        <v>0.1081081081</v>
      </c>
      <c r="P217" s="16">
        <f>IFERROR(__xludf.DUMMYFUNCTION("""COMPUTED_VALUE"""),0.0606060606060606)</f>
        <v>0.06060606061</v>
      </c>
      <c r="Q217" s="16">
        <f>IFERROR(__xludf.DUMMYFUNCTION("""COMPUTED_VALUE"""),0.0)</f>
        <v>0</v>
      </c>
      <c r="R217" s="16">
        <f>IFERROR(__xludf.DUMMYFUNCTION("""COMPUTED_VALUE"""),0.0)</f>
        <v>0</v>
      </c>
      <c r="S217" s="16">
        <f>IFERROR(__xludf.DUMMYFUNCTION("""COMPUTED_VALUE"""),0.0)</f>
        <v>0</v>
      </c>
      <c r="T217" s="16">
        <f>IFERROR(__xludf.DUMMYFUNCTION("""COMPUTED_VALUE"""),0.0)</f>
        <v>0</v>
      </c>
      <c r="U217" s="16">
        <f>IFERROR(__xludf.DUMMYFUNCTION("""COMPUTED_VALUE"""),0.0)</f>
        <v>0</v>
      </c>
      <c r="V217" s="16">
        <f>IFERROR(__xludf.DUMMYFUNCTION("""COMPUTED_VALUE"""),0.0)</f>
        <v>0</v>
      </c>
      <c r="W217" s="16">
        <f>IFERROR(__xludf.DUMMYFUNCTION("""COMPUTED_VALUE"""),0.0)</f>
        <v>0</v>
      </c>
      <c r="X217" s="16">
        <f>IFERROR(__xludf.DUMMYFUNCTION("""COMPUTED_VALUE"""),0.0)</f>
        <v>0</v>
      </c>
      <c r="Y217" s="16">
        <f>IFERROR(__xludf.DUMMYFUNCTION("""COMPUTED_VALUE"""),0.0)</f>
        <v>0</v>
      </c>
      <c r="Z217" s="16">
        <f>IFERROR(__xludf.DUMMYFUNCTION("""COMPUTED_VALUE"""),0.0)</f>
        <v>0</v>
      </c>
      <c r="AA217" s="16">
        <f>IFERROR(__xludf.DUMMYFUNCTION("""COMPUTED_VALUE"""),0.0)</f>
        <v>0</v>
      </c>
      <c r="AB217" s="16">
        <f>IFERROR(__xludf.DUMMYFUNCTION("""COMPUTED_VALUE"""),0.0)</f>
        <v>0</v>
      </c>
      <c r="AC217" s="16">
        <f>IFERROR(__xludf.DUMMYFUNCTION("""COMPUTED_VALUE"""),0.0)</f>
        <v>0</v>
      </c>
      <c r="AD217" s="16">
        <f>IFERROR(__xludf.DUMMYFUNCTION("""COMPUTED_VALUE"""),0.0)</f>
        <v>0</v>
      </c>
      <c r="AE217" s="16">
        <f>IFERROR(__xludf.DUMMYFUNCTION("""COMPUTED_VALUE"""),0.0)</f>
        <v>0</v>
      </c>
      <c r="AF217" s="16">
        <f>IFERROR(__xludf.DUMMYFUNCTION("""COMPUTED_VALUE"""),0.0)</f>
        <v>0</v>
      </c>
      <c r="AG217" s="16">
        <f>IFERROR(__xludf.DUMMYFUNCTION("""COMPUTED_VALUE"""),0.0)</f>
        <v>0</v>
      </c>
      <c r="AH217" s="16">
        <f>IFERROR(__xludf.DUMMYFUNCTION("""COMPUTED_VALUE"""),0.0)</f>
        <v>0</v>
      </c>
    </row>
    <row r="218">
      <c r="A218" s="16" t="str">
        <f>IFERROR(__xludf.DUMMYFUNCTION("""COMPUTED_VALUE"""),"bb8bdc13e3c19f2845f457b91284273ad6ddf8f2")</f>
        <v>bb8bdc13e3c19f2845f457b91284273ad6ddf8f2</v>
      </c>
      <c r="B218" s="16" t="str">
        <f>IFERROR(__xludf.DUMMYFUNCTION("""COMPUTED_VALUE"""),"His Four Little Rascals")</f>
        <v>His Four Little Rascals</v>
      </c>
      <c r="C218" s="16" t="str">
        <f>IFERROR(__xludf.DUMMYFUNCTION("""COMPUTED_VALUE"""),"Romance")</f>
        <v>Romance</v>
      </c>
      <c r="D218" s="16">
        <f>IFERROR(__xludf.DUMMYFUNCTION("""COMPUTED_VALUE"""),5625.0)</f>
        <v>5625</v>
      </c>
      <c r="E218" s="16">
        <f>IFERROR(__xludf.DUMMYFUNCTION("""COMPUTED_VALUE"""),0.949155555555555)</f>
        <v>0.9491555556</v>
      </c>
      <c r="F218" s="16">
        <f>IFERROR(__xludf.DUMMYFUNCTION("""COMPUTED_VALUE"""),0.623822222222222)</f>
        <v>0.6238222222</v>
      </c>
      <c r="G218" s="16">
        <f>IFERROR(__xludf.DUMMYFUNCTION("""COMPUTED_VALUE"""),0.532088888888888)</f>
        <v>0.5320888889</v>
      </c>
      <c r="H218" s="16">
        <f>IFERROR(__xludf.DUMMYFUNCTION("""COMPUTED_VALUE"""),0.512355555555555)</f>
        <v>0.5123555556</v>
      </c>
      <c r="I218" s="16">
        <f>IFERROR(__xludf.DUMMYFUNCTION("""COMPUTED_VALUE"""),0.497422222222222)</f>
        <v>0.4974222222</v>
      </c>
      <c r="J218" s="16">
        <f>IFERROR(__xludf.DUMMYFUNCTION("""COMPUTED_VALUE"""),0.481507823613086)</f>
        <v>0.4815078236</v>
      </c>
      <c r="K218" s="16">
        <f>IFERROR(__xludf.DUMMYFUNCTION("""COMPUTED_VALUE"""),0.468077538680419)</f>
        <v>0.4680775387</v>
      </c>
      <c r="L218" s="16">
        <f>IFERROR(__xludf.DUMMYFUNCTION("""COMPUTED_VALUE"""),0.465848452508004)</f>
        <v>0.4658484525</v>
      </c>
      <c r="M218" s="16">
        <f>IFERROR(__xludf.DUMMYFUNCTION("""COMPUTED_VALUE"""),0.452944315958014)</f>
        <v>0.452944316</v>
      </c>
      <c r="N218" s="16">
        <f>IFERROR(__xludf.DUMMYFUNCTION("""COMPUTED_VALUE"""),0.445274959957287)</f>
        <v>0.44527496</v>
      </c>
      <c r="O218" s="16">
        <f>IFERROR(__xludf.DUMMYFUNCTION("""COMPUTED_VALUE"""),0.422960185681128)</f>
        <v>0.4229601857</v>
      </c>
      <c r="P218" s="16">
        <f>IFERROR(__xludf.DUMMYFUNCTION("""COMPUTED_VALUE"""),0.379341210168277)</f>
        <v>0.3793412102</v>
      </c>
      <c r="Q218" s="16">
        <f>IFERROR(__xludf.DUMMYFUNCTION("""COMPUTED_VALUE"""),0.311522559769908)</f>
        <v>0.3115225598</v>
      </c>
      <c r="R218" s="16">
        <f>IFERROR(__xludf.DUMMYFUNCTION("""COMPUTED_VALUE"""),0.231111936142565)</f>
        <v>0.2311119361</v>
      </c>
      <c r="S218" s="16">
        <f>IFERROR(__xludf.DUMMYFUNCTION("""COMPUTED_VALUE"""),0.194291754756871)</f>
        <v>0.1942917548</v>
      </c>
      <c r="T218" s="16">
        <f>IFERROR(__xludf.DUMMYFUNCTION("""COMPUTED_VALUE"""),0.153068770027113)</f>
        <v>0.15306877</v>
      </c>
      <c r="U218" s="16">
        <f>IFERROR(__xludf.DUMMYFUNCTION("""COMPUTED_VALUE"""),0.102453102453102)</f>
        <v>0.1024531025</v>
      </c>
      <c r="V218" s="16">
        <f>IFERROR(__xludf.DUMMYFUNCTION("""COMPUTED_VALUE"""),0.0876330876330876)</f>
        <v>0.08763308763</v>
      </c>
      <c r="W218" s="16">
        <f>IFERROR(__xludf.DUMMYFUNCTION("""COMPUTED_VALUE"""),0.0694006309148265)</f>
        <v>0.06940063091</v>
      </c>
      <c r="X218" s="16">
        <f>IFERROR(__xludf.DUMMYFUNCTION("""COMPUTED_VALUE"""),0.0559440559440559)</f>
        <v>0.05594405594</v>
      </c>
      <c r="Y218" s="16">
        <f>IFERROR(__xludf.DUMMYFUNCTION("""COMPUTED_VALUE"""),0.052064631956912)</f>
        <v>0.05206463196</v>
      </c>
      <c r="Z218" s="16">
        <f>IFERROR(__xludf.DUMMYFUNCTION("""COMPUTED_VALUE"""),0.0391198044009779)</f>
        <v>0.0391198044</v>
      </c>
      <c r="AA218" s="16">
        <f>IFERROR(__xludf.DUMMYFUNCTION("""COMPUTED_VALUE"""),0.0259740259740259)</f>
        <v>0.02597402597</v>
      </c>
      <c r="AB218" s="16">
        <f>IFERROR(__xludf.DUMMYFUNCTION("""COMPUTED_VALUE"""),0.0309278350515463)</f>
        <v>0.03092783505</v>
      </c>
      <c r="AC218" s="16">
        <f>IFERROR(__xludf.DUMMYFUNCTION("""COMPUTED_VALUE"""),0.0)</f>
        <v>0</v>
      </c>
      <c r="AD218" s="16">
        <f>IFERROR(__xludf.DUMMYFUNCTION("""COMPUTED_VALUE"""),0.0)</f>
        <v>0</v>
      </c>
      <c r="AE218" s="16">
        <f>IFERROR(__xludf.DUMMYFUNCTION("""COMPUTED_VALUE"""),0.0)</f>
        <v>0</v>
      </c>
      <c r="AF218" s="16">
        <f>IFERROR(__xludf.DUMMYFUNCTION("""COMPUTED_VALUE"""),0.0)</f>
        <v>0</v>
      </c>
      <c r="AG218" s="16">
        <f>IFERROR(__xludf.DUMMYFUNCTION("""COMPUTED_VALUE"""),0.0)</f>
        <v>0</v>
      </c>
      <c r="AH218" s="16">
        <f>IFERROR(__xludf.DUMMYFUNCTION("""COMPUTED_VALUE"""),0.0)</f>
        <v>0</v>
      </c>
    </row>
    <row r="219">
      <c r="A219" s="16" t="str">
        <f>IFERROR(__xludf.DUMMYFUNCTION("""COMPUTED_VALUE"""),"bbaf98e4e43fc8963698d00c4a338957fb765b85")</f>
        <v>bbaf98e4e43fc8963698d00c4a338957fb765b85</v>
      </c>
      <c r="B219" s="16" t="str">
        <f>IFERROR(__xludf.DUMMYFUNCTION("""COMPUTED_VALUE"""),"Artifact Spirit System")</f>
        <v>Artifact Spirit System</v>
      </c>
      <c r="C219" s="16" t="str">
        <f>IFERROR(__xludf.DUMMYFUNCTION("""COMPUTED_VALUE"""),"System and Superpower")</f>
        <v>System and Superpower</v>
      </c>
      <c r="D219" s="16">
        <f>IFERROR(__xludf.DUMMYFUNCTION("""COMPUTED_VALUE"""),361.0)</f>
        <v>361</v>
      </c>
      <c r="E219" s="16">
        <f>IFERROR(__xludf.DUMMYFUNCTION("""COMPUTED_VALUE"""),0.980609418282548)</f>
        <v>0.9806094183</v>
      </c>
      <c r="F219" s="16">
        <f>IFERROR(__xludf.DUMMYFUNCTION("""COMPUTED_VALUE"""),0.545706371191135)</f>
        <v>0.5457063712</v>
      </c>
      <c r="G219" s="16">
        <f>IFERROR(__xludf.DUMMYFUNCTION("""COMPUTED_VALUE"""),0.468144044321329)</f>
        <v>0.4681440443</v>
      </c>
      <c r="H219" s="16">
        <f>IFERROR(__xludf.DUMMYFUNCTION("""COMPUTED_VALUE"""),0.412742382271468)</f>
        <v>0.4127423823</v>
      </c>
      <c r="I219" s="16">
        <f>IFERROR(__xludf.DUMMYFUNCTION("""COMPUTED_VALUE"""),0.38781163434903)</f>
        <v>0.3878116343</v>
      </c>
      <c r="J219" s="16">
        <f>IFERROR(__xludf.DUMMYFUNCTION("""COMPUTED_VALUE"""),0.348189415041782)</f>
        <v>0.348189415</v>
      </c>
      <c r="K219" s="16">
        <f>IFERROR(__xludf.DUMMYFUNCTION("""COMPUTED_VALUE"""),0.309859154929577)</f>
        <v>0.3098591549</v>
      </c>
      <c r="L219" s="16">
        <f>IFERROR(__xludf.DUMMYFUNCTION("""COMPUTED_VALUE"""),0.289772727272727)</f>
        <v>0.2897727273</v>
      </c>
      <c r="M219" s="16">
        <f>IFERROR(__xludf.DUMMYFUNCTION("""COMPUTED_VALUE"""),0.28125)</f>
        <v>0.28125</v>
      </c>
      <c r="N219" s="16">
        <f>IFERROR(__xludf.DUMMYFUNCTION("""COMPUTED_VALUE"""),0.27065527065527)</f>
        <v>0.2706552707</v>
      </c>
      <c r="O219" s="16">
        <f>IFERROR(__xludf.DUMMYFUNCTION("""COMPUTED_VALUE"""),0.244837758112094)</f>
        <v>0.2448377581</v>
      </c>
      <c r="P219" s="16">
        <f>IFERROR(__xludf.DUMMYFUNCTION("""COMPUTED_VALUE"""),0.253521126760563)</f>
        <v>0.2535211268</v>
      </c>
      <c r="Q219" s="16">
        <f>IFERROR(__xludf.DUMMYFUNCTION("""COMPUTED_VALUE"""),0.186666666666666)</f>
        <v>0.1866666667</v>
      </c>
      <c r="R219" s="16">
        <f>IFERROR(__xludf.DUMMYFUNCTION("""COMPUTED_VALUE"""),0.170212765957446)</f>
        <v>0.170212766</v>
      </c>
      <c r="S219" s="16">
        <f>IFERROR(__xludf.DUMMYFUNCTION("""COMPUTED_VALUE"""),0.0)</f>
        <v>0</v>
      </c>
      <c r="T219" s="16">
        <f>IFERROR(__xludf.DUMMYFUNCTION("""COMPUTED_VALUE"""),0.0)</f>
        <v>0</v>
      </c>
      <c r="U219" s="16">
        <f>IFERROR(__xludf.DUMMYFUNCTION("""COMPUTED_VALUE"""),0.0)</f>
        <v>0</v>
      </c>
      <c r="V219" s="16">
        <f>IFERROR(__xludf.DUMMYFUNCTION("""COMPUTED_VALUE"""),0.0)</f>
        <v>0</v>
      </c>
      <c r="W219" s="16">
        <f>IFERROR(__xludf.DUMMYFUNCTION("""COMPUTED_VALUE"""),0.0)</f>
        <v>0</v>
      </c>
      <c r="X219" s="16">
        <f>IFERROR(__xludf.DUMMYFUNCTION("""COMPUTED_VALUE"""),0.0)</f>
        <v>0</v>
      </c>
      <c r="Y219" s="16">
        <f>IFERROR(__xludf.DUMMYFUNCTION("""COMPUTED_VALUE"""),0.0)</f>
        <v>0</v>
      </c>
      <c r="Z219" s="16">
        <f>IFERROR(__xludf.DUMMYFUNCTION("""COMPUTED_VALUE"""),0.0)</f>
        <v>0</v>
      </c>
      <c r="AA219" s="16">
        <f>IFERROR(__xludf.DUMMYFUNCTION("""COMPUTED_VALUE"""),0.0)</f>
        <v>0</v>
      </c>
      <c r="AB219" s="16">
        <f>IFERROR(__xludf.DUMMYFUNCTION("""COMPUTED_VALUE"""),0.0)</f>
        <v>0</v>
      </c>
      <c r="AC219" s="16">
        <f>IFERROR(__xludf.DUMMYFUNCTION("""COMPUTED_VALUE"""),0.0)</f>
        <v>0</v>
      </c>
      <c r="AD219" s="16">
        <f>IFERROR(__xludf.DUMMYFUNCTION("""COMPUTED_VALUE"""),0.0)</f>
        <v>0</v>
      </c>
      <c r="AE219" s="16">
        <f>IFERROR(__xludf.DUMMYFUNCTION("""COMPUTED_VALUE"""),0.0)</f>
        <v>0</v>
      </c>
      <c r="AF219" s="16">
        <f>IFERROR(__xludf.DUMMYFUNCTION("""COMPUTED_VALUE"""),0.0)</f>
        <v>0</v>
      </c>
      <c r="AG219" s="16">
        <f>IFERROR(__xludf.DUMMYFUNCTION("""COMPUTED_VALUE"""),0.0)</f>
        <v>0</v>
      </c>
      <c r="AH219" s="16">
        <f>IFERROR(__xludf.DUMMYFUNCTION("""COMPUTED_VALUE"""),0.0)</f>
        <v>0</v>
      </c>
    </row>
    <row r="220">
      <c r="A220" s="16" t="str">
        <f>IFERROR(__xludf.DUMMYFUNCTION("""COMPUTED_VALUE"""),"be6caef02859b458c7e726aab639c65f41c8e1be")</f>
        <v>be6caef02859b458c7e726aab639c65f41c8e1be</v>
      </c>
      <c r="B220" s="16" t="str">
        <f>IFERROR(__xludf.DUMMYFUNCTION("""COMPUTED_VALUE"""),"Natural Godly Martial Art")</f>
        <v>Natural Godly Martial Art</v>
      </c>
      <c r="C220" s="16" t="str">
        <f>IFERROR(__xludf.DUMMYFUNCTION("""COMPUTED_VALUE"""),"Fantasy")</f>
        <v>Fantasy</v>
      </c>
      <c r="D220" s="16">
        <f>IFERROR(__xludf.DUMMYFUNCTION("""COMPUTED_VALUE"""),48.0)</f>
        <v>48</v>
      </c>
      <c r="E220" s="16">
        <f>IFERROR(__xludf.DUMMYFUNCTION("""COMPUTED_VALUE"""),0.979166666666666)</f>
        <v>0.9791666667</v>
      </c>
      <c r="F220" s="16">
        <f>IFERROR(__xludf.DUMMYFUNCTION("""COMPUTED_VALUE"""),0.458333333333333)</f>
        <v>0.4583333333</v>
      </c>
      <c r="G220" s="16">
        <f>IFERROR(__xludf.DUMMYFUNCTION("""COMPUTED_VALUE"""),0.333333333333333)</f>
        <v>0.3333333333</v>
      </c>
      <c r="H220" s="16">
        <f>IFERROR(__xludf.DUMMYFUNCTION("""COMPUTED_VALUE"""),0.270833333333333)</f>
        <v>0.2708333333</v>
      </c>
      <c r="I220" s="16">
        <f>IFERROR(__xludf.DUMMYFUNCTION("""COMPUTED_VALUE"""),0.208333333333333)</f>
        <v>0.2083333333</v>
      </c>
      <c r="J220" s="16">
        <f>IFERROR(__xludf.DUMMYFUNCTION("""COMPUTED_VALUE"""),0.166666666666666)</f>
        <v>0.1666666667</v>
      </c>
      <c r="K220" s="16">
        <f>IFERROR(__xludf.DUMMYFUNCTION("""COMPUTED_VALUE"""),0.166666666666666)</f>
        <v>0.1666666667</v>
      </c>
      <c r="L220" s="16">
        <f>IFERROR(__xludf.DUMMYFUNCTION("""COMPUTED_VALUE"""),0.133333333333333)</f>
        <v>0.1333333333</v>
      </c>
      <c r="M220" s="16">
        <f>IFERROR(__xludf.DUMMYFUNCTION("""COMPUTED_VALUE"""),0.119047619047619)</f>
        <v>0.119047619</v>
      </c>
      <c r="N220" s="16">
        <f>IFERROR(__xludf.DUMMYFUNCTION("""COMPUTED_VALUE"""),0.075)</f>
        <v>0.075</v>
      </c>
      <c r="O220" s="16">
        <f>IFERROR(__xludf.DUMMYFUNCTION("""COMPUTED_VALUE"""),0.0)</f>
        <v>0</v>
      </c>
      <c r="P220" s="16">
        <f>IFERROR(__xludf.DUMMYFUNCTION("""COMPUTED_VALUE"""),0.0)</f>
        <v>0</v>
      </c>
      <c r="Q220" s="16">
        <f>IFERROR(__xludf.DUMMYFUNCTION("""COMPUTED_VALUE"""),0.0)</f>
        <v>0</v>
      </c>
      <c r="R220" s="16">
        <f>IFERROR(__xludf.DUMMYFUNCTION("""COMPUTED_VALUE"""),0.0)</f>
        <v>0</v>
      </c>
      <c r="S220" s="16">
        <f>IFERROR(__xludf.DUMMYFUNCTION("""COMPUTED_VALUE"""),0.0)</f>
        <v>0</v>
      </c>
      <c r="T220" s="16">
        <f>IFERROR(__xludf.DUMMYFUNCTION("""COMPUTED_VALUE"""),0.0)</f>
        <v>0</v>
      </c>
      <c r="U220" s="16">
        <f>IFERROR(__xludf.DUMMYFUNCTION("""COMPUTED_VALUE"""),0.0)</f>
        <v>0</v>
      </c>
      <c r="V220" s="16">
        <f>IFERROR(__xludf.DUMMYFUNCTION("""COMPUTED_VALUE"""),0.0)</f>
        <v>0</v>
      </c>
      <c r="W220" s="16">
        <f>IFERROR(__xludf.DUMMYFUNCTION("""COMPUTED_VALUE"""),0.0)</f>
        <v>0</v>
      </c>
      <c r="X220" s="16">
        <f>IFERROR(__xludf.DUMMYFUNCTION("""COMPUTED_VALUE"""),0.0)</f>
        <v>0</v>
      </c>
      <c r="Y220" s="16">
        <f>IFERROR(__xludf.DUMMYFUNCTION("""COMPUTED_VALUE"""),0.0)</f>
        <v>0</v>
      </c>
      <c r="Z220" s="16">
        <f>IFERROR(__xludf.DUMMYFUNCTION("""COMPUTED_VALUE"""),0.0)</f>
        <v>0</v>
      </c>
      <c r="AA220" s="16">
        <f>IFERROR(__xludf.DUMMYFUNCTION("""COMPUTED_VALUE"""),0.0)</f>
        <v>0</v>
      </c>
      <c r="AB220" s="16">
        <f>IFERROR(__xludf.DUMMYFUNCTION("""COMPUTED_VALUE"""),0.0)</f>
        <v>0</v>
      </c>
      <c r="AC220" s="16">
        <f>IFERROR(__xludf.DUMMYFUNCTION("""COMPUTED_VALUE"""),0.0)</f>
        <v>0</v>
      </c>
      <c r="AD220" s="16">
        <f>IFERROR(__xludf.DUMMYFUNCTION("""COMPUTED_VALUE"""),0.0)</f>
        <v>0</v>
      </c>
      <c r="AE220" s="16">
        <f>IFERROR(__xludf.DUMMYFUNCTION("""COMPUTED_VALUE"""),0.0)</f>
        <v>0</v>
      </c>
      <c r="AF220" s="16">
        <f>IFERROR(__xludf.DUMMYFUNCTION("""COMPUTED_VALUE"""),0.0)</f>
        <v>0</v>
      </c>
      <c r="AG220" s="16">
        <f>IFERROR(__xludf.DUMMYFUNCTION("""COMPUTED_VALUE"""),0.0)</f>
        <v>0</v>
      </c>
      <c r="AH220" s="16">
        <f>IFERROR(__xludf.DUMMYFUNCTION("""COMPUTED_VALUE"""),0.0)</f>
        <v>0</v>
      </c>
    </row>
    <row r="221">
      <c r="A221" s="16" t="str">
        <f>IFERROR(__xludf.DUMMYFUNCTION("""COMPUTED_VALUE"""),"bf3632f1f9e1f3a7b864a989bb8f495a629a43cb")</f>
        <v>bf3632f1f9e1f3a7b864a989bb8f495a629a43cb</v>
      </c>
      <c r="B221" s="16" t="str">
        <f>IFERROR(__xludf.DUMMYFUNCTION("""COMPUTED_VALUE"""),"Her Secret Twins")</f>
        <v>Her Secret Twins</v>
      </c>
      <c r="C221" s="16" t="str">
        <f>IFERROR(__xludf.DUMMYFUNCTION("""COMPUTED_VALUE"""),"Romance")</f>
        <v>Romance</v>
      </c>
      <c r="D221" s="16">
        <f>IFERROR(__xludf.DUMMYFUNCTION("""COMPUTED_VALUE"""),2163.0)</f>
        <v>2163</v>
      </c>
      <c r="E221" s="16">
        <f>IFERROR(__xludf.DUMMYFUNCTION("""COMPUTED_VALUE"""),0.93666204345816)</f>
        <v>0.9366620435</v>
      </c>
      <c r="F221" s="16">
        <f>IFERROR(__xludf.DUMMYFUNCTION("""COMPUTED_VALUE"""),0.786407766990291)</f>
        <v>0.786407767</v>
      </c>
      <c r="G221" s="16">
        <f>IFERROR(__xludf.DUMMYFUNCTION("""COMPUTED_VALUE"""),0.737864077669902)</f>
        <v>0.7378640777</v>
      </c>
      <c r="H221" s="16">
        <f>IFERROR(__xludf.DUMMYFUNCTION("""COMPUTED_VALUE"""),0.699491447064262)</f>
        <v>0.6994914471</v>
      </c>
      <c r="I221" s="16">
        <f>IFERROR(__xludf.DUMMYFUNCTION("""COMPUTED_VALUE"""),0.675913083680074)</f>
        <v>0.6759130837</v>
      </c>
      <c r="J221" s="16">
        <f>IFERROR(__xludf.DUMMYFUNCTION("""COMPUTED_VALUE"""),0.658491439148542)</f>
        <v>0.6584914391</v>
      </c>
      <c r="K221" s="16">
        <f>IFERROR(__xludf.DUMMYFUNCTION("""COMPUTED_VALUE"""),0.644608977325312)</f>
        <v>0.6446089773</v>
      </c>
      <c r="L221" s="16">
        <f>IFERROR(__xludf.DUMMYFUNCTION("""COMPUTED_VALUE"""),0.630726515502082)</f>
        <v>0.6307265155</v>
      </c>
      <c r="M221" s="16">
        <f>IFERROR(__xludf.DUMMYFUNCTION("""COMPUTED_VALUE"""),0.621296296296296)</f>
        <v>0.6212962963</v>
      </c>
      <c r="N221" s="16">
        <f>IFERROR(__xludf.DUMMYFUNCTION("""COMPUTED_VALUE"""),0.614742698191933)</f>
        <v>0.6147426982</v>
      </c>
      <c r="O221" s="16">
        <f>IFERROR(__xludf.DUMMYFUNCTION("""COMPUTED_VALUE"""),0.566651184393869)</f>
        <v>0.5666511844</v>
      </c>
      <c r="P221" s="16">
        <f>IFERROR(__xludf.DUMMYFUNCTION("""COMPUTED_VALUE"""),0.54969668688754)</f>
        <v>0.5496966869</v>
      </c>
      <c r="Q221" s="16">
        <f>IFERROR(__xludf.DUMMYFUNCTION("""COMPUTED_VALUE"""),0.437292948414576)</f>
        <v>0.4372929484</v>
      </c>
      <c r="R221" s="16">
        <f>IFERROR(__xludf.DUMMYFUNCTION("""COMPUTED_VALUE"""),0.371960682876358)</f>
        <v>0.3719606829</v>
      </c>
      <c r="S221" s="16">
        <f>IFERROR(__xludf.DUMMYFUNCTION("""COMPUTED_VALUE"""),0.290613718411552)</f>
        <v>0.2906137184</v>
      </c>
      <c r="T221" s="16">
        <f>IFERROR(__xludf.DUMMYFUNCTION("""COMPUTED_VALUE"""),0.202572347266881)</f>
        <v>0.2025723473</v>
      </c>
      <c r="U221" s="16">
        <f>IFERROR(__xludf.DUMMYFUNCTION("""COMPUTED_VALUE"""),0.151639344262295)</f>
        <v>0.1516393443</v>
      </c>
      <c r="V221" s="16">
        <f>IFERROR(__xludf.DUMMYFUNCTION("""COMPUTED_VALUE"""),0.130750605326876)</f>
        <v>0.1307506053</v>
      </c>
      <c r="W221" s="16">
        <f>IFERROR(__xludf.DUMMYFUNCTION("""COMPUTED_VALUE"""),0.0956284153005464)</f>
        <v>0.0956284153</v>
      </c>
      <c r="X221" s="16">
        <f>IFERROR(__xludf.DUMMYFUNCTION("""COMPUTED_VALUE"""),0.0885245901639344)</f>
        <v>0.08852459016</v>
      </c>
      <c r="Y221" s="16">
        <f>IFERROR(__xludf.DUMMYFUNCTION("""COMPUTED_VALUE"""),0.0736842105263157)</f>
        <v>0.07368421053</v>
      </c>
      <c r="Z221" s="16">
        <f>IFERROR(__xludf.DUMMYFUNCTION("""COMPUTED_VALUE"""),0.0482456140350877)</f>
        <v>0.04824561404</v>
      </c>
      <c r="AA221" s="16">
        <f>IFERROR(__xludf.DUMMYFUNCTION("""COMPUTED_VALUE"""),0.0414507772020725)</f>
        <v>0.0414507772</v>
      </c>
      <c r="AB221" s="16">
        <f>IFERROR(__xludf.DUMMYFUNCTION("""COMPUTED_VALUE"""),0.0238095238095238)</f>
        <v>0.02380952381</v>
      </c>
      <c r="AC221" s="16">
        <f>IFERROR(__xludf.DUMMYFUNCTION("""COMPUTED_VALUE"""),0.0222222222222222)</f>
        <v>0.02222222222</v>
      </c>
      <c r="AD221" s="16">
        <f>IFERROR(__xludf.DUMMYFUNCTION("""COMPUTED_VALUE"""),0.0384615384615384)</f>
        <v>0.03846153846</v>
      </c>
      <c r="AE221" s="16">
        <f>IFERROR(__xludf.DUMMYFUNCTION("""COMPUTED_VALUE"""),0.0)</f>
        <v>0</v>
      </c>
      <c r="AF221" s="16">
        <f>IFERROR(__xludf.DUMMYFUNCTION("""COMPUTED_VALUE"""),0.0)</f>
        <v>0</v>
      </c>
      <c r="AG221" s="16">
        <f>IFERROR(__xludf.DUMMYFUNCTION("""COMPUTED_VALUE"""),0.0)</f>
        <v>0</v>
      </c>
      <c r="AH221" s="16">
        <f>IFERROR(__xludf.DUMMYFUNCTION("""COMPUTED_VALUE"""),0.0)</f>
        <v>0</v>
      </c>
    </row>
    <row r="222">
      <c r="A222" s="16" t="str">
        <f>IFERROR(__xludf.DUMMYFUNCTION("""COMPUTED_VALUE"""),"c04c6d5eb020135b9855b7b2290092294bd33d99")</f>
        <v>c04c6d5eb020135b9855b7b2290092294bd33d99</v>
      </c>
      <c r="B222" s="16" t="str">
        <f>IFERROR(__xludf.DUMMYFUNCTION("""COMPUTED_VALUE"""),"My Crimson Bite")</f>
        <v>My Crimson Bite</v>
      </c>
      <c r="C222" s="16" t="str">
        <f>IFERROR(__xludf.DUMMYFUNCTION("""COMPUTED_VALUE"""),"Romantasy")</f>
        <v>Romantasy</v>
      </c>
      <c r="D222" s="16">
        <f>IFERROR(__xludf.DUMMYFUNCTION("""COMPUTED_VALUE"""),88.0)</f>
        <v>88</v>
      </c>
      <c r="E222" s="16">
        <f>IFERROR(__xludf.DUMMYFUNCTION("""COMPUTED_VALUE"""),0.977272727272727)</f>
        <v>0.9772727273</v>
      </c>
      <c r="F222" s="16">
        <f>IFERROR(__xludf.DUMMYFUNCTION("""COMPUTED_VALUE"""),0.454545454545454)</f>
        <v>0.4545454545</v>
      </c>
      <c r="G222" s="16">
        <f>IFERROR(__xludf.DUMMYFUNCTION("""COMPUTED_VALUE"""),0.386363636363636)</f>
        <v>0.3863636364</v>
      </c>
      <c r="H222" s="16">
        <f>IFERROR(__xludf.DUMMYFUNCTION("""COMPUTED_VALUE"""),0.363636363636363)</f>
        <v>0.3636363636</v>
      </c>
      <c r="I222" s="16">
        <f>IFERROR(__xludf.DUMMYFUNCTION("""COMPUTED_VALUE"""),0.329545454545454)</f>
        <v>0.3295454545</v>
      </c>
      <c r="J222" s="16">
        <f>IFERROR(__xludf.DUMMYFUNCTION("""COMPUTED_VALUE"""),0.321428571428571)</f>
        <v>0.3214285714</v>
      </c>
      <c r="K222" s="16">
        <f>IFERROR(__xludf.DUMMYFUNCTION("""COMPUTED_VALUE"""),0.302631578947368)</f>
        <v>0.3026315789</v>
      </c>
      <c r="L222" s="16">
        <f>IFERROR(__xludf.DUMMYFUNCTION("""COMPUTED_VALUE"""),0.267605633802816)</f>
        <v>0.2676056338</v>
      </c>
      <c r="M222" s="16">
        <f>IFERROR(__xludf.DUMMYFUNCTION("""COMPUTED_VALUE"""),0.228571428571428)</f>
        <v>0.2285714286</v>
      </c>
      <c r="N222" s="16">
        <f>IFERROR(__xludf.DUMMYFUNCTION("""COMPUTED_VALUE"""),0.21875)</f>
        <v>0.21875</v>
      </c>
      <c r="O222" s="16">
        <f>IFERROR(__xludf.DUMMYFUNCTION("""COMPUTED_VALUE"""),0.32258064516129)</f>
        <v>0.3225806452</v>
      </c>
      <c r="P222" s="16">
        <f>IFERROR(__xludf.DUMMYFUNCTION("""COMPUTED_VALUE"""),0.275862068965517)</f>
        <v>0.275862069</v>
      </c>
      <c r="Q222" s="16">
        <f>IFERROR(__xludf.DUMMYFUNCTION("""COMPUTED_VALUE"""),0.181818181818181)</f>
        <v>0.1818181818</v>
      </c>
      <c r="R222" s="16">
        <f>IFERROR(__xludf.DUMMYFUNCTION("""COMPUTED_VALUE"""),0.0)</f>
        <v>0</v>
      </c>
      <c r="S222" s="16">
        <f>IFERROR(__xludf.DUMMYFUNCTION("""COMPUTED_VALUE"""),0.0)</f>
        <v>0</v>
      </c>
      <c r="T222" s="16">
        <f>IFERROR(__xludf.DUMMYFUNCTION("""COMPUTED_VALUE"""),0.0)</f>
        <v>0</v>
      </c>
      <c r="U222" s="16">
        <f>IFERROR(__xludf.DUMMYFUNCTION("""COMPUTED_VALUE"""),0.0)</f>
        <v>0</v>
      </c>
      <c r="V222" s="16">
        <f>IFERROR(__xludf.DUMMYFUNCTION("""COMPUTED_VALUE"""),0.0)</f>
        <v>0</v>
      </c>
      <c r="W222" s="16">
        <f>IFERROR(__xludf.DUMMYFUNCTION("""COMPUTED_VALUE"""),0.0)</f>
        <v>0</v>
      </c>
      <c r="X222" s="16">
        <f>IFERROR(__xludf.DUMMYFUNCTION("""COMPUTED_VALUE"""),0.0)</f>
        <v>0</v>
      </c>
      <c r="Y222" s="16">
        <f>IFERROR(__xludf.DUMMYFUNCTION("""COMPUTED_VALUE"""),0.0)</f>
        <v>0</v>
      </c>
      <c r="Z222" s="16">
        <f>IFERROR(__xludf.DUMMYFUNCTION("""COMPUTED_VALUE"""),0.0)</f>
        <v>0</v>
      </c>
      <c r="AA222" s="16">
        <f>IFERROR(__xludf.DUMMYFUNCTION("""COMPUTED_VALUE"""),0.0)</f>
        <v>0</v>
      </c>
      <c r="AB222" s="16">
        <f>IFERROR(__xludf.DUMMYFUNCTION("""COMPUTED_VALUE"""),0.0)</f>
        <v>0</v>
      </c>
      <c r="AC222" s="16">
        <f>IFERROR(__xludf.DUMMYFUNCTION("""COMPUTED_VALUE"""),0.0)</f>
        <v>0</v>
      </c>
      <c r="AD222" s="16">
        <f>IFERROR(__xludf.DUMMYFUNCTION("""COMPUTED_VALUE"""),0.0)</f>
        <v>0</v>
      </c>
      <c r="AE222" s="16">
        <f>IFERROR(__xludf.DUMMYFUNCTION("""COMPUTED_VALUE"""),0.0)</f>
        <v>0</v>
      </c>
      <c r="AF222" s="16">
        <f>IFERROR(__xludf.DUMMYFUNCTION("""COMPUTED_VALUE"""),0.0)</f>
        <v>0</v>
      </c>
      <c r="AG222" s="16">
        <f>IFERROR(__xludf.DUMMYFUNCTION("""COMPUTED_VALUE"""),0.0)</f>
        <v>0</v>
      </c>
      <c r="AH222" s="16">
        <f>IFERROR(__xludf.DUMMYFUNCTION("""COMPUTED_VALUE"""),0.0)</f>
        <v>0</v>
      </c>
    </row>
    <row r="223">
      <c r="A223" s="16" t="str">
        <f>IFERROR(__xludf.DUMMYFUNCTION("""COMPUTED_VALUE"""),"c2045ffb46d0538ca44af5ee011be0b36e81c395")</f>
        <v>c2045ffb46d0538ca44af5ee011be0b36e81c395</v>
      </c>
      <c r="B223" s="16" t="str">
        <f>IFERROR(__xludf.DUMMYFUNCTION("""COMPUTED_VALUE"""),"A Marriage of Ashes")</f>
        <v>A Marriage of Ashes</v>
      </c>
      <c r="C223" s="16" t="str">
        <f>IFERROR(__xludf.DUMMYFUNCTION("""COMPUTED_VALUE"""),"Romance")</f>
        <v>Romance</v>
      </c>
      <c r="D223" s="16">
        <f>IFERROR(__xludf.DUMMYFUNCTION("""COMPUTED_VALUE"""),375.0)</f>
        <v>375</v>
      </c>
      <c r="E223" s="16">
        <f>IFERROR(__xludf.DUMMYFUNCTION("""COMPUTED_VALUE"""),0.981333333333333)</f>
        <v>0.9813333333</v>
      </c>
      <c r="F223" s="16">
        <f>IFERROR(__xludf.DUMMYFUNCTION("""COMPUTED_VALUE"""),0.234666666666666)</f>
        <v>0.2346666667</v>
      </c>
      <c r="G223" s="16">
        <f>IFERROR(__xludf.DUMMYFUNCTION("""COMPUTED_VALUE"""),0.146666666666666)</f>
        <v>0.1466666667</v>
      </c>
      <c r="H223" s="16">
        <f>IFERROR(__xludf.DUMMYFUNCTION("""COMPUTED_VALUE"""),0.112)</f>
        <v>0.112</v>
      </c>
      <c r="I223" s="16">
        <f>IFERROR(__xludf.DUMMYFUNCTION("""COMPUTED_VALUE"""),0.101333333333333)</f>
        <v>0.1013333333</v>
      </c>
      <c r="J223" s="16">
        <f>IFERROR(__xludf.DUMMYFUNCTION("""COMPUTED_VALUE"""),0.0826666666666666)</f>
        <v>0.08266666667</v>
      </c>
      <c r="K223" s="16">
        <f>IFERROR(__xludf.DUMMYFUNCTION("""COMPUTED_VALUE"""),0.0666666666666666)</f>
        <v>0.06666666667</v>
      </c>
      <c r="L223" s="16">
        <f>IFERROR(__xludf.DUMMYFUNCTION("""COMPUTED_VALUE"""),0.0613333333333333)</f>
        <v>0.06133333333</v>
      </c>
      <c r="M223" s="16">
        <f>IFERROR(__xludf.DUMMYFUNCTION("""COMPUTED_VALUE"""),0.056)</f>
        <v>0.056</v>
      </c>
      <c r="N223" s="16">
        <f>IFERROR(__xludf.DUMMYFUNCTION("""COMPUTED_VALUE"""),0.0401069518716577)</f>
        <v>0.04010695187</v>
      </c>
      <c r="O223" s="16">
        <f>IFERROR(__xludf.DUMMYFUNCTION("""COMPUTED_VALUE"""),0.0108695652173913)</f>
        <v>0.01086956522</v>
      </c>
      <c r="P223" s="16">
        <f>IFERROR(__xludf.DUMMYFUNCTION("""COMPUTED_VALUE"""),0.0)</f>
        <v>0</v>
      </c>
      <c r="Q223" s="16">
        <f>IFERROR(__xludf.DUMMYFUNCTION("""COMPUTED_VALUE"""),0.0)</f>
        <v>0</v>
      </c>
      <c r="R223" s="16">
        <f>IFERROR(__xludf.DUMMYFUNCTION("""COMPUTED_VALUE"""),0.0)</f>
        <v>0</v>
      </c>
      <c r="S223" s="16">
        <f>IFERROR(__xludf.DUMMYFUNCTION("""COMPUTED_VALUE"""),0.0)</f>
        <v>0</v>
      </c>
      <c r="T223" s="16">
        <f>IFERROR(__xludf.DUMMYFUNCTION("""COMPUTED_VALUE"""),0.0)</f>
        <v>0</v>
      </c>
      <c r="U223" s="16">
        <f>IFERROR(__xludf.DUMMYFUNCTION("""COMPUTED_VALUE"""),0.0)</f>
        <v>0</v>
      </c>
      <c r="V223" s="16">
        <f>IFERROR(__xludf.DUMMYFUNCTION("""COMPUTED_VALUE"""),0.0)</f>
        <v>0</v>
      </c>
      <c r="W223" s="16">
        <f>IFERROR(__xludf.DUMMYFUNCTION("""COMPUTED_VALUE"""),0.0)</f>
        <v>0</v>
      </c>
      <c r="X223" s="16">
        <f>IFERROR(__xludf.DUMMYFUNCTION("""COMPUTED_VALUE"""),0.0)</f>
        <v>0</v>
      </c>
      <c r="Y223" s="16">
        <f>IFERROR(__xludf.DUMMYFUNCTION("""COMPUTED_VALUE"""),0.0)</f>
        <v>0</v>
      </c>
      <c r="Z223" s="16">
        <f>IFERROR(__xludf.DUMMYFUNCTION("""COMPUTED_VALUE"""),0.0)</f>
        <v>0</v>
      </c>
      <c r="AA223" s="16">
        <f>IFERROR(__xludf.DUMMYFUNCTION("""COMPUTED_VALUE"""),0.0)</f>
        <v>0</v>
      </c>
      <c r="AB223" s="16">
        <f>IFERROR(__xludf.DUMMYFUNCTION("""COMPUTED_VALUE"""),0.0)</f>
        <v>0</v>
      </c>
      <c r="AC223" s="16">
        <f>IFERROR(__xludf.DUMMYFUNCTION("""COMPUTED_VALUE"""),0.0)</f>
        <v>0</v>
      </c>
      <c r="AD223" s="16">
        <f>IFERROR(__xludf.DUMMYFUNCTION("""COMPUTED_VALUE"""),0.0)</f>
        <v>0</v>
      </c>
      <c r="AE223" s="16">
        <f>IFERROR(__xludf.DUMMYFUNCTION("""COMPUTED_VALUE"""),0.0)</f>
        <v>0</v>
      </c>
      <c r="AF223" s="16">
        <f>IFERROR(__xludf.DUMMYFUNCTION("""COMPUTED_VALUE"""),0.0)</f>
        <v>0</v>
      </c>
      <c r="AG223" s="16">
        <f>IFERROR(__xludf.DUMMYFUNCTION("""COMPUTED_VALUE"""),0.0)</f>
        <v>0</v>
      </c>
      <c r="AH223" s="16">
        <f>IFERROR(__xludf.DUMMYFUNCTION("""COMPUTED_VALUE"""),0.0)</f>
        <v>0</v>
      </c>
    </row>
    <row r="224">
      <c r="A224" s="16" t="str">
        <f>IFERROR(__xludf.DUMMYFUNCTION("""COMPUTED_VALUE"""),"c4463ba00f6c126612324139644418680a50dd75")</f>
        <v>c4463ba00f6c126612324139644418680a50dd75</v>
      </c>
      <c r="B224" s="16" t="str">
        <f>IFERROR(__xludf.DUMMYFUNCTION("""COMPUTED_VALUE"""),"Bloodstar")</f>
        <v>Bloodstar</v>
      </c>
      <c r="C224" s="16" t="str">
        <f>IFERROR(__xludf.DUMMYFUNCTION("""COMPUTED_VALUE"""),"System and Superpower")</f>
        <v>System and Superpower</v>
      </c>
      <c r="D224" s="16">
        <f>IFERROR(__xludf.DUMMYFUNCTION("""COMPUTED_VALUE"""),19.0)</f>
        <v>19</v>
      </c>
      <c r="E224" s="16">
        <f>IFERROR(__xludf.DUMMYFUNCTION("""COMPUTED_VALUE"""),1.0)</f>
        <v>1</v>
      </c>
      <c r="F224" s="16">
        <f>IFERROR(__xludf.DUMMYFUNCTION("""COMPUTED_VALUE"""),0.947368421052631)</f>
        <v>0.9473684211</v>
      </c>
      <c r="G224" s="16">
        <f>IFERROR(__xludf.DUMMYFUNCTION("""COMPUTED_VALUE"""),0.736842105263157)</f>
        <v>0.7368421053</v>
      </c>
      <c r="H224" s="16">
        <f>IFERROR(__xludf.DUMMYFUNCTION("""COMPUTED_VALUE"""),0.526315789473684)</f>
        <v>0.5263157895</v>
      </c>
      <c r="I224" s="16">
        <f>IFERROR(__xludf.DUMMYFUNCTION("""COMPUTED_VALUE"""),0.473684210526315)</f>
        <v>0.4736842105</v>
      </c>
      <c r="J224" s="16">
        <f>IFERROR(__xludf.DUMMYFUNCTION("""COMPUTED_VALUE"""),0.473684210526315)</f>
        <v>0.4736842105</v>
      </c>
      <c r="K224" s="16">
        <f>IFERROR(__xludf.DUMMYFUNCTION("""COMPUTED_VALUE"""),0.421052631578947)</f>
        <v>0.4210526316</v>
      </c>
      <c r="L224" s="16">
        <f>IFERROR(__xludf.DUMMYFUNCTION("""COMPUTED_VALUE"""),0.368421052631578)</f>
        <v>0.3684210526</v>
      </c>
      <c r="M224" s="16">
        <f>IFERROR(__xludf.DUMMYFUNCTION("""COMPUTED_VALUE"""),0.31578947368421)</f>
        <v>0.3157894737</v>
      </c>
      <c r="N224" s="16">
        <f>IFERROR(__xludf.DUMMYFUNCTION("""COMPUTED_VALUE"""),0.368421052631578)</f>
        <v>0.3684210526</v>
      </c>
      <c r="O224" s="16">
        <f>IFERROR(__xludf.DUMMYFUNCTION("""COMPUTED_VALUE"""),0.277777777777777)</f>
        <v>0.2777777778</v>
      </c>
      <c r="P224" s="16">
        <f>IFERROR(__xludf.DUMMYFUNCTION("""COMPUTED_VALUE"""),0.1875)</f>
        <v>0.1875</v>
      </c>
      <c r="Q224" s="16">
        <f>IFERROR(__xludf.DUMMYFUNCTION("""COMPUTED_VALUE"""),0.0)</f>
        <v>0</v>
      </c>
      <c r="R224" s="16">
        <f>IFERROR(__xludf.DUMMYFUNCTION("""COMPUTED_VALUE"""),0.0)</f>
        <v>0</v>
      </c>
      <c r="S224" s="16">
        <f>IFERROR(__xludf.DUMMYFUNCTION("""COMPUTED_VALUE"""),0.0)</f>
        <v>0</v>
      </c>
      <c r="T224" s="16">
        <f>IFERROR(__xludf.DUMMYFUNCTION("""COMPUTED_VALUE"""),0.0)</f>
        <v>0</v>
      </c>
      <c r="U224" s="16">
        <f>IFERROR(__xludf.DUMMYFUNCTION("""COMPUTED_VALUE"""),0.0)</f>
        <v>0</v>
      </c>
      <c r="V224" s="16">
        <f>IFERROR(__xludf.DUMMYFUNCTION("""COMPUTED_VALUE"""),0.0)</f>
        <v>0</v>
      </c>
      <c r="W224" s="16">
        <f>IFERROR(__xludf.DUMMYFUNCTION("""COMPUTED_VALUE"""),0.0)</f>
        <v>0</v>
      </c>
      <c r="X224" s="16">
        <f>IFERROR(__xludf.DUMMYFUNCTION("""COMPUTED_VALUE"""),0.0)</f>
        <v>0</v>
      </c>
      <c r="Y224" s="16">
        <f>IFERROR(__xludf.DUMMYFUNCTION("""COMPUTED_VALUE"""),0.0)</f>
        <v>0</v>
      </c>
      <c r="Z224" s="16">
        <f>IFERROR(__xludf.DUMMYFUNCTION("""COMPUTED_VALUE"""),0.0)</f>
        <v>0</v>
      </c>
      <c r="AA224" s="16">
        <f>IFERROR(__xludf.DUMMYFUNCTION("""COMPUTED_VALUE"""),0.0)</f>
        <v>0</v>
      </c>
      <c r="AB224" s="16">
        <f>IFERROR(__xludf.DUMMYFUNCTION("""COMPUTED_VALUE"""),0.0)</f>
        <v>0</v>
      </c>
      <c r="AC224" s="16">
        <f>IFERROR(__xludf.DUMMYFUNCTION("""COMPUTED_VALUE"""),0.0)</f>
        <v>0</v>
      </c>
      <c r="AD224" s="16">
        <f>IFERROR(__xludf.DUMMYFUNCTION("""COMPUTED_VALUE"""),0.0)</f>
        <v>0</v>
      </c>
      <c r="AE224" s="16">
        <f>IFERROR(__xludf.DUMMYFUNCTION("""COMPUTED_VALUE"""),0.0)</f>
        <v>0</v>
      </c>
      <c r="AF224" s="16">
        <f>IFERROR(__xludf.DUMMYFUNCTION("""COMPUTED_VALUE"""),0.0)</f>
        <v>0</v>
      </c>
      <c r="AG224" s="16">
        <f>IFERROR(__xludf.DUMMYFUNCTION("""COMPUTED_VALUE"""),0.0)</f>
        <v>0</v>
      </c>
      <c r="AH224" s="16">
        <f>IFERROR(__xludf.DUMMYFUNCTION("""COMPUTED_VALUE"""),0.0)</f>
        <v>0</v>
      </c>
    </row>
    <row r="225">
      <c r="A225" s="16" t="str">
        <f>IFERROR(__xludf.DUMMYFUNCTION("""COMPUTED_VALUE"""),"c6590012d529ed8d9e5750565fe5d91ddd1144d5")</f>
        <v>c6590012d529ed8d9e5750565fe5d91ddd1144d5</v>
      </c>
      <c r="B225" s="16" t="str">
        <f>IFERROR(__xludf.DUMMYFUNCTION("""COMPUTED_VALUE"""),"Rise of Charles Atticus")</f>
        <v>Rise of Charles Atticus</v>
      </c>
      <c r="C225" s="16" t="str">
        <f>IFERROR(__xludf.DUMMYFUNCTION("""COMPUTED_VALUE"""),"Fantasy")</f>
        <v>Fantasy</v>
      </c>
      <c r="D225" s="16">
        <f>IFERROR(__xludf.DUMMYFUNCTION("""COMPUTED_VALUE"""),92.0)</f>
        <v>92</v>
      </c>
      <c r="E225" s="16">
        <f>IFERROR(__xludf.DUMMYFUNCTION("""COMPUTED_VALUE"""),0.989130434782608)</f>
        <v>0.9891304348</v>
      </c>
      <c r="F225" s="16">
        <f>IFERROR(__xludf.DUMMYFUNCTION("""COMPUTED_VALUE"""),0.663043478260869)</f>
        <v>0.6630434783</v>
      </c>
      <c r="G225" s="16">
        <f>IFERROR(__xludf.DUMMYFUNCTION("""COMPUTED_VALUE"""),0.532608695652174)</f>
        <v>0.5326086957</v>
      </c>
      <c r="H225" s="16">
        <f>IFERROR(__xludf.DUMMYFUNCTION("""COMPUTED_VALUE"""),0.489130434782608)</f>
        <v>0.4891304348</v>
      </c>
      <c r="I225" s="16">
        <f>IFERROR(__xludf.DUMMYFUNCTION("""COMPUTED_VALUE"""),0.456521739130434)</f>
        <v>0.4565217391</v>
      </c>
      <c r="J225" s="16">
        <f>IFERROR(__xludf.DUMMYFUNCTION("""COMPUTED_VALUE"""),0.456521739130434)</f>
        <v>0.4565217391</v>
      </c>
      <c r="K225" s="16">
        <f>IFERROR(__xludf.DUMMYFUNCTION("""COMPUTED_VALUE"""),0.380434782608695)</f>
        <v>0.3804347826</v>
      </c>
      <c r="L225" s="16">
        <f>IFERROR(__xludf.DUMMYFUNCTION("""COMPUTED_VALUE"""),0.324324324324324)</f>
        <v>0.3243243243</v>
      </c>
      <c r="M225" s="16">
        <f>IFERROR(__xludf.DUMMYFUNCTION("""COMPUTED_VALUE"""),0.349206349206349)</f>
        <v>0.3492063492</v>
      </c>
      <c r="N225" s="16">
        <f>IFERROR(__xludf.DUMMYFUNCTION("""COMPUTED_VALUE"""),0.377358490566037)</f>
        <v>0.3773584906</v>
      </c>
      <c r="O225" s="16">
        <f>IFERROR(__xludf.DUMMYFUNCTION("""COMPUTED_VALUE"""),0.0)</f>
        <v>0</v>
      </c>
      <c r="P225" s="16">
        <f>IFERROR(__xludf.DUMMYFUNCTION("""COMPUTED_VALUE"""),0.0)</f>
        <v>0</v>
      </c>
      <c r="Q225" s="16">
        <f>IFERROR(__xludf.DUMMYFUNCTION("""COMPUTED_VALUE"""),0.0)</f>
        <v>0</v>
      </c>
      <c r="R225" s="16">
        <f>IFERROR(__xludf.DUMMYFUNCTION("""COMPUTED_VALUE"""),0.0)</f>
        <v>0</v>
      </c>
      <c r="S225" s="16">
        <f>IFERROR(__xludf.DUMMYFUNCTION("""COMPUTED_VALUE"""),0.0)</f>
        <v>0</v>
      </c>
      <c r="T225" s="16">
        <f>IFERROR(__xludf.DUMMYFUNCTION("""COMPUTED_VALUE"""),0.0)</f>
        <v>0</v>
      </c>
      <c r="U225" s="16">
        <f>IFERROR(__xludf.DUMMYFUNCTION("""COMPUTED_VALUE"""),0.0)</f>
        <v>0</v>
      </c>
      <c r="V225" s="16">
        <f>IFERROR(__xludf.DUMMYFUNCTION("""COMPUTED_VALUE"""),0.0)</f>
        <v>0</v>
      </c>
      <c r="W225" s="16">
        <f>IFERROR(__xludf.DUMMYFUNCTION("""COMPUTED_VALUE"""),0.0)</f>
        <v>0</v>
      </c>
      <c r="X225" s="16">
        <f>IFERROR(__xludf.DUMMYFUNCTION("""COMPUTED_VALUE"""),0.0)</f>
        <v>0</v>
      </c>
      <c r="Y225" s="16">
        <f>IFERROR(__xludf.DUMMYFUNCTION("""COMPUTED_VALUE"""),0.0)</f>
        <v>0</v>
      </c>
      <c r="Z225" s="16">
        <f>IFERROR(__xludf.DUMMYFUNCTION("""COMPUTED_VALUE"""),0.0)</f>
        <v>0</v>
      </c>
      <c r="AA225" s="16">
        <f>IFERROR(__xludf.DUMMYFUNCTION("""COMPUTED_VALUE"""),0.0)</f>
        <v>0</v>
      </c>
      <c r="AB225" s="16">
        <f>IFERROR(__xludf.DUMMYFUNCTION("""COMPUTED_VALUE"""),0.0)</f>
        <v>0</v>
      </c>
      <c r="AC225" s="16">
        <f>IFERROR(__xludf.DUMMYFUNCTION("""COMPUTED_VALUE"""),0.0)</f>
        <v>0</v>
      </c>
      <c r="AD225" s="16">
        <f>IFERROR(__xludf.DUMMYFUNCTION("""COMPUTED_VALUE"""),0.0)</f>
        <v>0</v>
      </c>
      <c r="AE225" s="16">
        <f>IFERROR(__xludf.DUMMYFUNCTION("""COMPUTED_VALUE"""),0.0)</f>
        <v>0</v>
      </c>
      <c r="AF225" s="16">
        <f>IFERROR(__xludf.DUMMYFUNCTION("""COMPUTED_VALUE"""),0.0)</f>
        <v>0</v>
      </c>
      <c r="AG225" s="16">
        <f>IFERROR(__xludf.DUMMYFUNCTION("""COMPUTED_VALUE"""),0.0)</f>
        <v>0</v>
      </c>
      <c r="AH225" s="16">
        <f>IFERROR(__xludf.DUMMYFUNCTION("""COMPUTED_VALUE"""),0.0)</f>
        <v>0</v>
      </c>
    </row>
    <row r="226">
      <c r="A226" s="16" t="str">
        <f>IFERROR(__xludf.DUMMYFUNCTION("""COMPUTED_VALUE"""),"c66d5521f195754d722c7e3daab2da20a027dd0c")</f>
        <v>c66d5521f195754d722c7e3daab2da20a027dd0c</v>
      </c>
      <c r="B226" s="16" t="str">
        <f>IFERROR(__xludf.DUMMYFUNCTION("""COMPUTED_VALUE"""),"Ceo's Heartbreaker")</f>
        <v>Ceo's Heartbreaker</v>
      </c>
      <c r="C226" s="16" t="str">
        <f>IFERROR(__xludf.DUMMYFUNCTION("""COMPUTED_VALUE"""),"Romance")</f>
        <v>Romance</v>
      </c>
      <c r="D226" s="16">
        <f>IFERROR(__xludf.DUMMYFUNCTION("""COMPUTED_VALUE"""),157.0)</f>
        <v>157</v>
      </c>
      <c r="E226" s="16">
        <f>IFERROR(__xludf.DUMMYFUNCTION("""COMPUTED_VALUE"""),0.942675159235668)</f>
        <v>0.9426751592</v>
      </c>
      <c r="F226" s="16">
        <f>IFERROR(__xludf.DUMMYFUNCTION("""COMPUTED_VALUE"""),0.662420382165605)</f>
        <v>0.6624203822</v>
      </c>
      <c r="G226" s="16">
        <f>IFERROR(__xludf.DUMMYFUNCTION("""COMPUTED_VALUE"""),0.535031847133758)</f>
        <v>0.5350318471</v>
      </c>
      <c r="H226" s="16">
        <f>IFERROR(__xludf.DUMMYFUNCTION("""COMPUTED_VALUE"""),0.484076433121019)</f>
        <v>0.4840764331</v>
      </c>
      <c r="I226" s="16">
        <f>IFERROR(__xludf.DUMMYFUNCTION("""COMPUTED_VALUE"""),0.382165605095541)</f>
        <v>0.3821656051</v>
      </c>
      <c r="J226" s="16">
        <f>IFERROR(__xludf.DUMMYFUNCTION("""COMPUTED_VALUE"""),0.396103896103896)</f>
        <v>0.3961038961</v>
      </c>
      <c r="K226" s="16">
        <f>IFERROR(__xludf.DUMMYFUNCTION("""COMPUTED_VALUE"""),0.348684210526315)</f>
        <v>0.3486842105</v>
      </c>
      <c r="L226" s="16">
        <f>IFERROR(__xludf.DUMMYFUNCTION("""COMPUTED_VALUE"""),0.324503311258278)</f>
        <v>0.3245033113</v>
      </c>
      <c r="M226" s="16">
        <f>IFERROR(__xludf.DUMMYFUNCTION("""COMPUTED_VALUE"""),0.315436241610738)</f>
        <v>0.3154362416</v>
      </c>
      <c r="N226" s="16">
        <f>IFERROR(__xludf.DUMMYFUNCTION("""COMPUTED_VALUE"""),0.326388888888888)</f>
        <v>0.3263888889</v>
      </c>
      <c r="O226" s="16">
        <f>IFERROR(__xludf.DUMMYFUNCTION("""COMPUTED_VALUE"""),0.319327731092436)</f>
        <v>0.3193277311</v>
      </c>
      <c r="P226" s="16">
        <f>IFERROR(__xludf.DUMMYFUNCTION("""COMPUTED_VALUE"""),0.303030303030303)</f>
        <v>0.303030303</v>
      </c>
      <c r="Q226" s="16">
        <f>IFERROR(__xludf.DUMMYFUNCTION("""COMPUTED_VALUE"""),0.125)</f>
        <v>0.125</v>
      </c>
      <c r="R226" s="16">
        <f>IFERROR(__xludf.DUMMYFUNCTION("""COMPUTED_VALUE"""),0.0)</f>
        <v>0</v>
      </c>
      <c r="S226" s="16">
        <f>IFERROR(__xludf.DUMMYFUNCTION("""COMPUTED_VALUE"""),0.0)</f>
        <v>0</v>
      </c>
      <c r="T226" s="16">
        <f>IFERROR(__xludf.DUMMYFUNCTION("""COMPUTED_VALUE"""),0.0)</f>
        <v>0</v>
      </c>
      <c r="U226" s="16">
        <f>IFERROR(__xludf.DUMMYFUNCTION("""COMPUTED_VALUE"""),0.0)</f>
        <v>0</v>
      </c>
      <c r="V226" s="16">
        <f>IFERROR(__xludf.DUMMYFUNCTION("""COMPUTED_VALUE"""),0.0)</f>
        <v>0</v>
      </c>
      <c r="W226" s="16">
        <f>IFERROR(__xludf.DUMMYFUNCTION("""COMPUTED_VALUE"""),0.0)</f>
        <v>0</v>
      </c>
      <c r="X226" s="16">
        <f>IFERROR(__xludf.DUMMYFUNCTION("""COMPUTED_VALUE"""),0.0)</f>
        <v>0</v>
      </c>
      <c r="Y226" s="16">
        <f>IFERROR(__xludf.DUMMYFUNCTION("""COMPUTED_VALUE"""),0.0)</f>
        <v>0</v>
      </c>
      <c r="Z226" s="16">
        <f>IFERROR(__xludf.DUMMYFUNCTION("""COMPUTED_VALUE"""),0.0)</f>
        <v>0</v>
      </c>
      <c r="AA226" s="16">
        <f>IFERROR(__xludf.DUMMYFUNCTION("""COMPUTED_VALUE"""),0.0)</f>
        <v>0</v>
      </c>
      <c r="AB226" s="16">
        <f>IFERROR(__xludf.DUMMYFUNCTION("""COMPUTED_VALUE"""),0.0)</f>
        <v>0</v>
      </c>
      <c r="AC226" s="16">
        <f>IFERROR(__xludf.DUMMYFUNCTION("""COMPUTED_VALUE"""),0.0)</f>
        <v>0</v>
      </c>
      <c r="AD226" s="16">
        <f>IFERROR(__xludf.DUMMYFUNCTION("""COMPUTED_VALUE"""),0.0)</f>
        <v>0</v>
      </c>
      <c r="AE226" s="16">
        <f>IFERROR(__xludf.DUMMYFUNCTION("""COMPUTED_VALUE"""),0.0)</f>
        <v>0</v>
      </c>
      <c r="AF226" s="16">
        <f>IFERROR(__xludf.DUMMYFUNCTION("""COMPUTED_VALUE"""),0.0)</f>
        <v>0</v>
      </c>
      <c r="AG226" s="16">
        <f>IFERROR(__xludf.DUMMYFUNCTION("""COMPUTED_VALUE"""),0.0)</f>
        <v>0</v>
      </c>
      <c r="AH226" s="16">
        <f>IFERROR(__xludf.DUMMYFUNCTION("""COMPUTED_VALUE"""),0.0)</f>
        <v>0</v>
      </c>
    </row>
    <row r="227">
      <c r="A227" s="16" t="str">
        <f>IFERROR(__xludf.DUMMYFUNCTION("""COMPUTED_VALUE"""),"c6786de3c05a64c2f4c13acbe0e61d8d4e111aad")</f>
        <v>c6786de3c05a64c2f4c13acbe0e61d8d4e111aad</v>
      </c>
      <c r="B227" s="16" t="str">
        <f>IFERROR(__xludf.DUMMYFUNCTION("""COMPUTED_VALUE"""),"Mr. Kane's Reluctant Wife")</f>
        <v>Mr. Kane's Reluctant Wife</v>
      </c>
      <c r="C227" s="16" t="str">
        <f>IFERROR(__xludf.DUMMYFUNCTION("""COMPUTED_VALUE"""),"Romance")</f>
        <v>Romance</v>
      </c>
      <c r="D227" s="16">
        <f>IFERROR(__xludf.DUMMYFUNCTION("""COMPUTED_VALUE"""),496.0)</f>
        <v>496</v>
      </c>
      <c r="E227" s="16">
        <f>IFERROR(__xludf.DUMMYFUNCTION("""COMPUTED_VALUE"""),0.95766129032258)</f>
        <v>0.9576612903</v>
      </c>
      <c r="F227" s="16">
        <f>IFERROR(__xludf.DUMMYFUNCTION("""COMPUTED_VALUE"""),0.574596774193548)</f>
        <v>0.5745967742</v>
      </c>
      <c r="G227" s="16">
        <f>IFERROR(__xludf.DUMMYFUNCTION("""COMPUTED_VALUE"""),0.528225806451612)</f>
        <v>0.5282258065</v>
      </c>
      <c r="H227" s="16">
        <f>IFERROR(__xludf.DUMMYFUNCTION("""COMPUTED_VALUE"""),0.5)</f>
        <v>0.5</v>
      </c>
      <c r="I227" s="16">
        <f>IFERROR(__xludf.DUMMYFUNCTION("""COMPUTED_VALUE"""),0.461693548387096)</f>
        <v>0.4616935484</v>
      </c>
      <c r="J227" s="16">
        <f>IFERROR(__xludf.DUMMYFUNCTION("""COMPUTED_VALUE"""),0.449596774193548)</f>
        <v>0.4495967742</v>
      </c>
      <c r="K227" s="16">
        <f>IFERROR(__xludf.DUMMYFUNCTION("""COMPUTED_VALUE"""),0.433467741935483)</f>
        <v>0.4334677419</v>
      </c>
      <c r="L227" s="16">
        <f>IFERROR(__xludf.DUMMYFUNCTION("""COMPUTED_VALUE"""),0.442424242424242)</f>
        <v>0.4424242424</v>
      </c>
      <c r="M227" s="16">
        <f>IFERROR(__xludf.DUMMYFUNCTION("""COMPUTED_VALUE"""),0.436363636363636)</f>
        <v>0.4363636364</v>
      </c>
      <c r="N227" s="16">
        <f>IFERROR(__xludf.DUMMYFUNCTION("""COMPUTED_VALUE"""),0.426262626262626)</f>
        <v>0.4262626263</v>
      </c>
      <c r="O227" s="16">
        <f>IFERROR(__xludf.DUMMYFUNCTION("""COMPUTED_VALUE"""),0.408906882591093)</f>
        <v>0.4089068826</v>
      </c>
      <c r="P227" s="16">
        <f>IFERROR(__xludf.DUMMYFUNCTION("""COMPUTED_VALUE"""),0.295744680851063)</f>
        <v>0.2957446809</v>
      </c>
      <c r="Q227" s="16">
        <f>IFERROR(__xludf.DUMMYFUNCTION("""COMPUTED_VALUE"""),0.210280373831775)</f>
        <v>0.2102803738</v>
      </c>
      <c r="R227" s="16">
        <f>IFERROR(__xludf.DUMMYFUNCTION("""COMPUTED_VALUE"""),0.0)</f>
        <v>0</v>
      </c>
      <c r="S227" s="16">
        <f>IFERROR(__xludf.DUMMYFUNCTION("""COMPUTED_VALUE"""),0.0)</f>
        <v>0</v>
      </c>
      <c r="T227" s="16">
        <f>IFERROR(__xludf.DUMMYFUNCTION("""COMPUTED_VALUE"""),0.0)</f>
        <v>0</v>
      </c>
      <c r="U227" s="16">
        <f>IFERROR(__xludf.DUMMYFUNCTION("""COMPUTED_VALUE"""),0.0)</f>
        <v>0</v>
      </c>
      <c r="V227" s="16">
        <f>IFERROR(__xludf.DUMMYFUNCTION("""COMPUTED_VALUE"""),0.0)</f>
        <v>0</v>
      </c>
      <c r="W227" s="16">
        <f>IFERROR(__xludf.DUMMYFUNCTION("""COMPUTED_VALUE"""),0.0)</f>
        <v>0</v>
      </c>
      <c r="X227" s="16">
        <f>IFERROR(__xludf.DUMMYFUNCTION("""COMPUTED_VALUE"""),0.0)</f>
        <v>0</v>
      </c>
      <c r="Y227" s="16">
        <f>IFERROR(__xludf.DUMMYFUNCTION("""COMPUTED_VALUE"""),0.0)</f>
        <v>0</v>
      </c>
      <c r="Z227" s="16">
        <f>IFERROR(__xludf.DUMMYFUNCTION("""COMPUTED_VALUE"""),0.0)</f>
        <v>0</v>
      </c>
      <c r="AA227" s="16">
        <f>IFERROR(__xludf.DUMMYFUNCTION("""COMPUTED_VALUE"""),0.0)</f>
        <v>0</v>
      </c>
      <c r="AB227" s="16">
        <f>IFERROR(__xludf.DUMMYFUNCTION("""COMPUTED_VALUE"""),0.0)</f>
        <v>0</v>
      </c>
      <c r="AC227" s="16">
        <f>IFERROR(__xludf.DUMMYFUNCTION("""COMPUTED_VALUE"""),0.0)</f>
        <v>0</v>
      </c>
      <c r="AD227" s="16">
        <f>IFERROR(__xludf.DUMMYFUNCTION("""COMPUTED_VALUE"""),0.0)</f>
        <v>0</v>
      </c>
      <c r="AE227" s="16">
        <f>IFERROR(__xludf.DUMMYFUNCTION("""COMPUTED_VALUE"""),0.0)</f>
        <v>0</v>
      </c>
      <c r="AF227" s="16">
        <f>IFERROR(__xludf.DUMMYFUNCTION("""COMPUTED_VALUE"""),0.0)</f>
        <v>0</v>
      </c>
      <c r="AG227" s="16">
        <f>IFERROR(__xludf.DUMMYFUNCTION("""COMPUTED_VALUE"""),0.0)</f>
        <v>0</v>
      </c>
      <c r="AH227" s="16">
        <f>IFERROR(__xludf.DUMMYFUNCTION("""COMPUTED_VALUE"""),0.0)</f>
        <v>0</v>
      </c>
    </row>
    <row r="228">
      <c r="A228" s="16" t="str">
        <f>IFERROR(__xludf.DUMMYFUNCTION("""COMPUTED_VALUE"""),"c8219b2f9d80ce631da27b15849041dbb194dc76")</f>
        <v>c8219b2f9d80ce631da27b15849041dbb194dc76</v>
      </c>
      <c r="B228" s="16" t="str">
        <f>IFERROR(__xludf.DUMMYFUNCTION("""COMPUTED_VALUE"""),"The Fire God's Heir")</f>
        <v>The Fire God's Heir</v>
      </c>
      <c r="C228" s="16" t="str">
        <f>IFERROR(__xludf.DUMMYFUNCTION("""COMPUTED_VALUE"""),"Romantasy")</f>
        <v>Romantasy</v>
      </c>
      <c r="D228" s="16">
        <f>IFERROR(__xludf.DUMMYFUNCTION("""COMPUTED_VALUE"""),96.0)</f>
        <v>96</v>
      </c>
      <c r="E228" s="16">
        <f>IFERROR(__xludf.DUMMYFUNCTION("""COMPUTED_VALUE"""),0.989583333333333)</f>
        <v>0.9895833333</v>
      </c>
      <c r="F228" s="16">
        <f>IFERROR(__xludf.DUMMYFUNCTION("""COMPUTED_VALUE"""),0.5625)</f>
        <v>0.5625</v>
      </c>
      <c r="G228" s="16">
        <f>IFERROR(__xludf.DUMMYFUNCTION("""COMPUTED_VALUE"""),0.510416666666666)</f>
        <v>0.5104166667</v>
      </c>
      <c r="H228" s="16">
        <f>IFERROR(__xludf.DUMMYFUNCTION("""COMPUTED_VALUE"""),0.368421052631578)</f>
        <v>0.3684210526</v>
      </c>
      <c r="I228" s="16">
        <f>IFERROR(__xludf.DUMMYFUNCTION("""COMPUTED_VALUE"""),0.263157894736842)</f>
        <v>0.2631578947</v>
      </c>
      <c r="J228" s="16">
        <f>IFERROR(__xludf.DUMMYFUNCTION("""COMPUTED_VALUE"""),0.271739130434782)</f>
        <v>0.2717391304</v>
      </c>
      <c r="K228" s="16">
        <f>IFERROR(__xludf.DUMMYFUNCTION("""COMPUTED_VALUE"""),0.252747252747252)</f>
        <v>0.2527472527</v>
      </c>
      <c r="L228" s="16">
        <f>IFERROR(__xludf.DUMMYFUNCTION("""COMPUTED_VALUE"""),0.238636363636363)</f>
        <v>0.2386363636</v>
      </c>
      <c r="M228" s="16">
        <f>IFERROR(__xludf.DUMMYFUNCTION("""COMPUTED_VALUE"""),0.206896551724137)</f>
        <v>0.2068965517</v>
      </c>
      <c r="N228" s="16">
        <f>IFERROR(__xludf.DUMMYFUNCTION("""COMPUTED_VALUE"""),0.180722891566265)</f>
        <v>0.1807228916</v>
      </c>
      <c r="O228" s="16">
        <f>IFERROR(__xludf.DUMMYFUNCTION("""COMPUTED_VALUE"""),0.157142857142857)</f>
        <v>0.1571428571</v>
      </c>
      <c r="P228" s="16">
        <f>IFERROR(__xludf.DUMMYFUNCTION("""COMPUTED_VALUE"""),0.0566037735849056)</f>
        <v>0.05660377358</v>
      </c>
      <c r="Q228" s="16">
        <f>IFERROR(__xludf.DUMMYFUNCTION("""COMPUTED_VALUE"""),0.025)</f>
        <v>0.025</v>
      </c>
      <c r="R228" s="16">
        <f>IFERROR(__xludf.DUMMYFUNCTION("""COMPUTED_VALUE"""),0.0)</f>
        <v>0</v>
      </c>
      <c r="S228" s="16">
        <f>IFERROR(__xludf.DUMMYFUNCTION("""COMPUTED_VALUE"""),0.0)</f>
        <v>0</v>
      </c>
      <c r="T228" s="16">
        <f>IFERROR(__xludf.DUMMYFUNCTION("""COMPUTED_VALUE"""),0.0)</f>
        <v>0</v>
      </c>
      <c r="U228" s="16">
        <f>IFERROR(__xludf.DUMMYFUNCTION("""COMPUTED_VALUE"""),0.0)</f>
        <v>0</v>
      </c>
      <c r="V228" s="16">
        <f>IFERROR(__xludf.DUMMYFUNCTION("""COMPUTED_VALUE"""),0.0)</f>
        <v>0</v>
      </c>
      <c r="W228" s="16">
        <f>IFERROR(__xludf.DUMMYFUNCTION("""COMPUTED_VALUE"""),0.0)</f>
        <v>0</v>
      </c>
      <c r="X228" s="16">
        <f>IFERROR(__xludf.DUMMYFUNCTION("""COMPUTED_VALUE"""),0.0)</f>
        <v>0</v>
      </c>
      <c r="Y228" s="16">
        <f>IFERROR(__xludf.DUMMYFUNCTION("""COMPUTED_VALUE"""),0.0)</f>
        <v>0</v>
      </c>
      <c r="Z228" s="16">
        <f>IFERROR(__xludf.DUMMYFUNCTION("""COMPUTED_VALUE"""),0.0)</f>
        <v>0</v>
      </c>
      <c r="AA228" s="16">
        <f>IFERROR(__xludf.DUMMYFUNCTION("""COMPUTED_VALUE"""),0.0)</f>
        <v>0</v>
      </c>
      <c r="AB228" s="16">
        <f>IFERROR(__xludf.DUMMYFUNCTION("""COMPUTED_VALUE"""),0.0)</f>
        <v>0</v>
      </c>
      <c r="AC228" s="16">
        <f>IFERROR(__xludf.DUMMYFUNCTION("""COMPUTED_VALUE"""),0.0)</f>
        <v>0</v>
      </c>
      <c r="AD228" s="16">
        <f>IFERROR(__xludf.DUMMYFUNCTION("""COMPUTED_VALUE"""),0.0)</f>
        <v>0</v>
      </c>
      <c r="AE228" s="16">
        <f>IFERROR(__xludf.DUMMYFUNCTION("""COMPUTED_VALUE"""),0.0)</f>
        <v>0</v>
      </c>
      <c r="AF228" s="16">
        <f>IFERROR(__xludf.DUMMYFUNCTION("""COMPUTED_VALUE"""),0.0)</f>
        <v>0</v>
      </c>
      <c r="AG228" s="16">
        <f>IFERROR(__xludf.DUMMYFUNCTION("""COMPUTED_VALUE"""),0.0)</f>
        <v>0</v>
      </c>
      <c r="AH228" s="16">
        <f>IFERROR(__xludf.DUMMYFUNCTION("""COMPUTED_VALUE"""),0.0)</f>
        <v>0</v>
      </c>
    </row>
    <row r="229">
      <c r="A229" s="16" t="str">
        <f>IFERROR(__xludf.DUMMYFUNCTION("""COMPUTED_VALUE"""),"c9fd6d447c06b151ec4563d30a1e1685e71bd29d")</f>
        <v>c9fd6d447c06b151ec4563d30a1e1685e71bd29d</v>
      </c>
      <c r="B229" s="16" t="str">
        <f>IFERROR(__xludf.DUMMYFUNCTION("""COMPUTED_VALUE"""),"Void Evolution System")</f>
        <v>Void Evolution System</v>
      </c>
      <c r="C229" s="16" t="str">
        <f>IFERROR(__xludf.DUMMYFUNCTION("""COMPUTED_VALUE"""),"Fantasy")</f>
        <v>Fantasy</v>
      </c>
      <c r="D229" s="16">
        <f>IFERROR(__xludf.DUMMYFUNCTION("""COMPUTED_VALUE"""),34.0)</f>
        <v>34</v>
      </c>
      <c r="E229" s="16">
        <f>IFERROR(__xludf.DUMMYFUNCTION("""COMPUTED_VALUE"""),1.0)</f>
        <v>1</v>
      </c>
      <c r="F229" s="16">
        <f>IFERROR(__xludf.DUMMYFUNCTION("""COMPUTED_VALUE"""),0.735294117647058)</f>
        <v>0.7352941176</v>
      </c>
      <c r="G229" s="16">
        <f>IFERROR(__xludf.DUMMYFUNCTION("""COMPUTED_VALUE"""),0.676470588235294)</f>
        <v>0.6764705882</v>
      </c>
      <c r="H229" s="16">
        <f>IFERROR(__xludf.DUMMYFUNCTION("""COMPUTED_VALUE"""),0.558823529411764)</f>
        <v>0.5588235294</v>
      </c>
      <c r="I229" s="16">
        <f>IFERROR(__xludf.DUMMYFUNCTION("""COMPUTED_VALUE"""),0.558823529411764)</f>
        <v>0.5588235294</v>
      </c>
      <c r="J229" s="16">
        <f>IFERROR(__xludf.DUMMYFUNCTION("""COMPUTED_VALUE"""),0.5)</f>
        <v>0.5</v>
      </c>
      <c r="K229" s="16">
        <f>IFERROR(__xludf.DUMMYFUNCTION("""COMPUTED_VALUE"""),0.454545454545454)</f>
        <v>0.4545454545</v>
      </c>
      <c r="L229" s="16">
        <f>IFERROR(__xludf.DUMMYFUNCTION("""COMPUTED_VALUE"""),0.454545454545454)</f>
        <v>0.4545454545</v>
      </c>
      <c r="M229" s="16">
        <f>IFERROR(__xludf.DUMMYFUNCTION("""COMPUTED_VALUE"""),0.424242424242424)</f>
        <v>0.4242424242</v>
      </c>
      <c r="N229" s="16">
        <f>IFERROR(__xludf.DUMMYFUNCTION("""COMPUTED_VALUE"""),0.424242424242424)</f>
        <v>0.4242424242</v>
      </c>
      <c r="O229" s="16">
        <f>IFERROR(__xludf.DUMMYFUNCTION("""COMPUTED_VALUE"""),0.354838709677419)</f>
        <v>0.3548387097</v>
      </c>
      <c r="P229" s="16">
        <f>IFERROR(__xludf.DUMMYFUNCTION("""COMPUTED_VALUE"""),0.0)</f>
        <v>0</v>
      </c>
      <c r="Q229" s="16">
        <f>IFERROR(__xludf.DUMMYFUNCTION("""COMPUTED_VALUE"""),0.0)</f>
        <v>0</v>
      </c>
      <c r="R229" s="16">
        <f>IFERROR(__xludf.DUMMYFUNCTION("""COMPUTED_VALUE"""),0.0)</f>
        <v>0</v>
      </c>
      <c r="S229" s="16">
        <f>IFERROR(__xludf.DUMMYFUNCTION("""COMPUTED_VALUE"""),0.0)</f>
        <v>0</v>
      </c>
      <c r="T229" s="16">
        <f>IFERROR(__xludf.DUMMYFUNCTION("""COMPUTED_VALUE"""),0.0)</f>
        <v>0</v>
      </c>
      <c r="U229" s="16">
        <f>IFERROR(__xludf.DUMMYFUNCTION("""COMPUTED_VALUE"""),0.0)</f>
        <v>0</v>
      </c>
      <c r="V229" s="16">
        <f>IFERROR(__xludf.DUMMYFUNCTION("""COMPUTED_VALUE"""),0.0)</f>
        <v>0</v>
      </c>
      <c r="W229" s="16">
        <f>IFERROR(__xludf.DUMMYFUNCTION("""COMPUTED_VALUE"""),0.0)</f>
        <v>0</v>
      </c>
      <c r="X229" s="16">
        <f>IFERROR(__xludf.DUMMYFUNCTION("""COMPUTED_VALUE"""),0.0)</f>
        <v>0</v>
      </c>
      <c r="Y229" s="16">
        <f>IFERROR(__xludf.DUMMYFUNCTION("""COMPUTED_VALUE"""),0.0)</f>
        <v>0</v>
      </c>
      <c r="Z229" s="16">
        <f>IFERROR(__xludf.DUMMYFUNCTION("""COMPUTED_VALUE"""),0.0)</f>
        <v>0</v>
      </c>
      <c r="AA229" s="16">
        <f>IFERROR(__xludf.DUMMYFUNCTION("""COMPUTED_VALUE"""),0.0)</f>
        <v>0</v>
      </c>
      <c r="AB229" s="16">
        <f>IFERROR(__xludf.DUMMYFUNCTION("""COMPUTED_VALUE"""),0.0)</f>
        <v>0</v>
      </c>
      <c r="AC229" s="16">
        <f>IFERROR(__xludf.DUMMYFUNCTION("""COMPUTED_VALUE"""),0.0)</f>
        <v>0</v>
      </c>
      <c r="AD229" s="16">
        <f>IFERROR(__xludf.DUMMYFUNCTION("""COMPUTED_VALUE"""),0.0)</f>
        <v>0</v>
      </c>
      <c r="AE229" s="16">
        <f>IFERROR(__xludf.DUMMYFUNCTION("""COMPUTED_VALUE"""),0.0)</f>
        <v>0</v>
      </c>
      <c r="AF229" s="16">
        <f>IFERROR(__xludf.DUMMYFUNCTION("""COMPUTED_VALUE"""),0.0)</f>
        <v>0</v>
      </c>
      <c r="AG229" s="16">
        <f>IFERROR(__xludf.DUMMYFUNCTION("""COMPUTED_VALUE"""),0.0)</f>
        <v>0</v>
      </c>
      <c r="AH229" s="16">
        <f>IFERROR(__xludf.DUMMYFUNCTION("""COMPUTED_VALUE"""),0.0)</f>
        <v>0</v>
      </c>
    </row>
    <row r="230">
      <c r="A230" s="16" t="str">
        <f>IFERROR(__xludf.DUMMYFUNCTION("""COMPUTED_VALUE"""),"cae77d999ed2205a1ab04a54470de972ddd8bc69")</f>
        <v>cae77d999ed2205a1ab04a54470de972ddd8bc69</v>
      </c>
      <c r="B230" s="16" t="str">
        <f>IFERROR(__xludf.DUMMYFUNCTION("""COMPUTED_VALUE"""),"Atlas of My Heart")</f>
        <v>Atlas of My Heart</v>
      </c>
      <c r="C230" s="16" t="str">
        <f>IFERROR(__xludf.DUMMYFUNCTION("""COMPUTED_VALUE"""),"Romance")</f>
        <v>Romance</v>
      </c>
      <c r="D230" s="16">
        <f>IFERROR(__xludf.DUMMYFUNCTION("""COMPUTED_VALUE"""),649.0)</f>
        <v>649</v>
      </c>
      <c r="E230" s="16">
        <f>IFERROR(__xludf.DUMMYFUNCTION("""COMPUTED_VALUE"""),0.96764252696456)</f>
        <v>0.967642527</v>
      </c>
      <c r="F230" s="16">
        <f>IFERROR(__xludf.DUMMYFUNCTION("""COMPUTED_VALUE"""),0.667180277349768)</f>
        <v>0.6671802773</v>
      </c>
      <c r="G230" s="16">
        <f>IFERROR(__xludf.DUMMYFUNCTION("""COMPUTED_VALUE"""),0.585516178736517)</f>
        <v>0.5855161787</v>
      </c>
      <c r="H230" s="16">
        <f>IFERROR(__xludf.DUMMYFUNCTION("""COMPUTED_VALUE"""),0.510802469135802)</f>
        <v>0.5108024691</v>
      </c>
      <c r="I230" s="16">
        <f>IFERROR(__xludf.DUMMYFUNCTION("""COMPUTED_VALUE"""),0.445987654320987)</f>
        <v>0.4459876543</v>
      </c>
      <c r="J230" s="16">
        <f>IFERROR(__xludf.DUMMYFUNCTION("""COMPUTED_VALUE"""),0.391975308641975)</f>
        <v>0.3919753086</v>
      </c>
      <c r="K230" s="16">
        <f>IFERROR(__xludf.DUMMYFUNCTION("""COMPUTED_VALUE"""),0.378670788253477)</f>
        <v>0.3786707883</v>
      </c>
      <c r="L230" s="16">
        <f>IFERROR(__xludf.DUMMYFUNCTION("""COMPUTED_VALUE"""),0.344186046511627)</f>
        <v>0.3441860465</v>
      </c>
      <c r="M230" s="16">
        <f>IFERROR(__xludf.DUMMYFUNCTION("""COMPUTED_VALUE"""),0.326594090202177)</f>
        <v>0.3265940902</v>
      </c>
      <c r="N230" s="16">
        <f>IFERROR(__xludf.DUMMYFUNCTION("""COMPUTED_VALUE"""),0.313084112149532)</f>
        <v>0.3130841121</v>
      </c>
      <c r="O230" s="16">
        <f>IFERROR(__xludf.DUMMYFUNCTION("""COMPUTED_VALUE"""),0.271565495207667)</f>
        <v>0.2715654952</v>
      </c>
      <c r="P230" s="16">
        <f>IFERROR(__xludf.DUMMYFUNCTION("""COMPUTED_VALUE"""),0.249163879598662)</f>
        <v>0.2491638796</v>
      </c>
      <c r="Q230" s="16">
        <f>IFERROR(__xludf.DUMMYFUNCTION("""COMPUTED_VALUE"""),0.19047619047619)</f>
        <v>0.1904761905</v>
      </c>
      <c r="R230" s="16">
        <f>IFERROR(__xludf.DUMMYFUNCTION("""COMPUTED_VALUE"""),0.0)</f>
        <v>0</v>
      </c>
      <c r="S230" s="16">
        <f>IFERROR(__xludf.DUMMYFUNCTION("""COMPUTED_VALUE"""),0.0)</f>
        <v>0</v>
      </c>
      <c r="T230" s="16">
        <f>IFERROR(__xludf.DUMMYFUNCTION("""COMPUTED_VALUE"""),0.0)</f>
        <v>0</v>
      </c>
      <c r="U230" s="16">
        <f>IFERROR(__xludf.DUMMYFUNCTION("""COMPUTED_VALUE"""),0.0)</f>
        <v>0</v>
      </c>
      <c r="V230" s="16">
        <f>IFERROR(__xludf.DUMMYFUNCTION("""COMPUTED_VALUE"""),0.0)</f>
        <v>0</v>
      </c>
      <c r="W230" s="16">
        <f>IFERROR(__xludf.DUMMYFUNCTION("""COMPUTED_VALUE"""),0.0)</f>
        <v>0</v>
      </c>
      <c r="X230" s="16">
        <f>IFERROR(__xludf.DUMMYFUNCTION("""COMPUTED_VALUE"""),0.0)</f>
        <v>0</v>
      </c>
      <c r="Y230" s="16">
        <f>IFERROR(__xludf.DUMMYFUNCTION("""COMPUTED_VALUE"""),0.0)</f>
        <v>0</v>
      </c>
      <c r="Z230" s="16">
        <f>IFERROR(__xludf.DUMMYFUNCTION("""COMPUTED_VALUE"""),0.0)</f>
        <v>0</v>
      </c>
      <c r="AA230" s="16">
        <f>IFERROR(__xludf.DUMMYFUNCTION("""COMPUTED_VALUE"""),0.0)</f>
        <v>0</v>
      </c>
      <c r="AB230" s="16">
        <f>IFERROR(__xludf.DUMMYFUNCTION("""COMPUTED_VALUE"""),0.0)</f>
        <v>0</v>
      </c>
      <c r="AC230" s="16">
        <f>IFERROR(__xludf.DUMMYFUNCTION("""COMPUTED_VALUE"""),0.0)</f>
        <v>0</v>
      </c>
      <c r="AD230" s="16">
        <f>IFERROR(__xludf.DUMMYFUNCTION("""COMPUTED_VALUE"""),0.0)</f>
        <v>0</v>
      </c>
      <c r="AE230" s="16">
        <f>IFERROR(__xludf.DUMMYFUNCTION("""COMPUTED_VALUE"""),0.0)</f>
        <v>0</v>
      </c>
      <c r="AF230" s="16">
        <f>IFERROR(__xludf.DUMMYFUNCTION("""COMPUTED_VALUE"""),0.0)</f>
        <v>0</v>
      </c>
      <c r="AG230" s="16">
        <f>IFERROR(__xludf.DUMMYFUNCTION("""COMPUTED_VALUE"""),0.0)</f>
        <v>0</v>
      </c>
      <c r="AH230" s="16">
        <f>IFERROR(__xludf.DUMMYFUNCTION("""COMPUTED_VALUE"""),0.0)</f>
        <v>0</v>
      </c>
    </row>
    <row r="231">
      <c r="A231" s="16" t="str">
        <f>IFERROR(__xludf.DUMMYFUNCTION("""COMPUTED_VALUE"""),"cc5ecb3fc21c174557bddcfbc36d821c915d89ed")</f>
        <v>cc5ecb3fc21c174557bddcfbc36d821c915d89ed</v>
      </c>
      <c r="B231" s="16" t="str">
        <f>IFERROR(__xludf.DUMMYFUNCTION("""COMPUTED_VALUE"""),"My Lovely Intruder")</f>
        <v>My Lovely Intruder</v>
      </c>
      <c r="C231" s="16" t="str">
        <f>IFERROR(__xludf.DUMMYFUNCTION("""COMPUTED_VALUE"""),"Romantasy")</f>
        <v>Romantasy</v>
      </c>
      <c r="D231" s="16">
        <f>IFERROR(__xludf.DUMMYFUNCTION("""COMPUTED_VALUE"""),99.0)</f>
        <v>99</v>
      </c>
      <c r="E231" s="16">
        <f>IFERROR(__xludf.DUMMYFUNCTION("""COMPUTED_VALUE"""),0.98989898989899)</f>
        <v>0.9898989899</v>
      </c>
      <c r="F231" s="16">
        <f>IFERROR(__xludf.DUMMYFUNCTION("""COMPUTED_VALUE"""),0.555555555555555)</f>
        <v>0.5555555556</v>
      </c>
      <c r="G231" s="16">
        <f>IFERROR(__xludf.DUMMYFUNCTION("""COMPUTED_VALUE"""),0.434343434343434)</f>
        <v>0.4343434343</v>
      </c>
      <c r="H231" s="16">
        <f>IFERROR(__xludf.DUMMYFUNCTION("""COMPUTED_VALUE"""),0.353535353535353)</f>
        <v>0.3535353535</v>
      </c>
      <c r="I231" s="16">
        <f>IFERROR(__xludf.DUMMYFUNCTION("""COMPUTED_VALUE"""),0.343434343434343)</f>
        <v>0.3434343434</v>
      </c>
      <c r="J231" s="16">
        <f>IFERROR(__xludf.DUMMYFUNCTION("""COMPUTED_VALUE"""),0.336734693877551)</f>
        <v>0.3367346939</v>
      </c>
      <c r="K231" s="16">
        <f>IFERROR(__xludf.DUMMYFUNCTION("""COMPUTED_VALUE"""),0.326315789473684)</f>
        <v>0.3263157895</v>
      </c>
      <c r="L231" s="16">
        <f>IFERROR(__xludf.DUMMYFUNCTION("""COMPUTED_VALUE"""),0.296703296703296)</f>
        <v>0.2967032967</v>
      </c>
      <c r="M231" s="16">
        <f>IFERROR(__xludf.DUMMYFUNCTION("""COMPUTED_VALUE"""),0.288888888888888)</f>
        <v>0.2888888889</v>
      </c>
      <c r="N231" s="16">
        <f>IFERROR(__xludf.DUMMYFUNCTION("""COMPUTED_VALUE"""),0.27906976744186)</f>
        <v>0.2790697674</v>
      </c>
      <c r="O231" s="16">
        <f>IFERROR(__xludf.DUMMYFUNCTION("""COMPUTED_VALUE"""),0.19047619047619)</f>
        <v>0.1904761905</v>
      </c>
      <c r="P231" s="16">
        <f>IFERROR(__xludf.DUMMYFUNCTION("""COMPUTED_VALUE"""),0.25)</f>
        <v>0.25</v>
      </c>
      <c r="Q231" s="16">
        <f>IFERROR(__xludf.DUMMYFUNCTION("""COMPUTED_VALUE"""),0.0)</f>
        <v>0</v>
      </c>
      <c r="R231" s="16">
        <f>IFERROR(__xludf.DUMMYFUNCTION("""COMPUTED_VALUE"""),0.0)</f>
        <v>0</v>
      </c>
      <c r="S231" s="16">
        <f>IFERROR(__xludf.DUMMYFUNCTION("""COMPUTED_VALUE"""),0.0)</f>
        <v>0</v>
      </c>
      <c r="T231" s="16">
        <f>IFERROR(__xludf.DUMMYFUNCTION("""COMPUTED_VALUE"""),0.0)</f>
        <v>0</v>
      </c>
      <c r="U231" s="16">
        <f>IFERROR(__xludf.DUMMYFUNCTION("""COMPUTED_VALUE"""),0.0)</f>
        <v>0</v>
      </c>
      <c r="V231" s="16">
        <f>IFERROR(__xludf.DUMMYFUNCTION("""COMPUTED_VALUE"""),0.0)</f>
        <v>0</v>
      </c>
      <c r="W231" s="16">
        <f>IFERROR(__xludf.DUMMYFUNCTION("""COMPUTED_VALUE"""),0.0)</f>
        <v>0</v>
      </c>
      <c r="X231" s="16">
        <f>IFERROR(__xludf.DUMMYFUNCTION("""COMPUTED_VALUE"""),0.0)</f>
        <v>0</v>
      </c>
      <c r="Y231" s="16">
        <f>IFERROR(__xludf.DUMMYFUNCTION("""COMPUTED_VALUE"""),0.0)</f>
        <v>0</v>
      </c>
      <c r="Z231" s="16">
        <f>IFERROR(__xludf.DUMMYFUNCTION("""COMPUTED_VALUE"""),0.0)</f>
        <v>0</v>
      </c>
      <c r="AA231" s="16">
        <f>IFERROR(__xludf.DUMMYFUNCTION("""COMPUTED_VALUE"""),0.0)</f>
        <v>0</v>
      </c>
      <c r="AB231" s="16">
        <f>IFERROR(__xludf.DUMMYFUNCTION("""COMPUTED_VALUE"""),0.0)</f>
        <v>0</v>
      </c>
      <c r="AC231" s="16">
        <f>IFERROR(__xludf.DUMMYFUNCTION("""COMPUTED_VALUE"""),0.0)</f>
        <v>0</v>
      </c>
      <c r="AD231" s="16">
        <f>IFERROR(__xludf.DUMMYFUNCTION("""COMPUTED_VALUE"""),0.0)</f>
        <v>0</v>
      </c>
      <c r="AE231" s="16">
        <f>IFERROR(__xludf.DUMMYFUNCTION("""COMPUTED_VALUE"""),0.0)</f>
        <v>0</v>
      </c>
      <c r="AF231" s="16">
        <f>IFERROR(__xludf.DUMMYFUNCTION("""COMPUTED_VALUE"""),0.0)</f>
        <v>0</v>
      </c>
      <c r="AG231" s="16">
        <f>IFERROR(__xludf.DUMMYFUNCTION("""COMPUTED_VALUE"""),0.0)</f>
        <v>0</v>
      </c>
      <c r="AH231" s="16">
        <f>IFERROR(__xludf.DUMMYFUNCTION("""COMPUTED_VALUE"""),0.0)</f>
        <v>0</v>
      </c>
    </row>
    <row r="232">
      <c r="A232" s="16" t="str">
        <f>IFERROR(__xludf.DUMMYFUNCTION("""COMPUTED_VALUE"""),"cce017649e6098a735e72b5dbfed27f3c95bad78")</f>
        <v>cce017649e6098a735e72b5dbfed27f3c95bad78</v>
      </c>
      <c r="B232" s="16" t="str">
        <f>IFERROR(__xludf.DUMMYFUNCTION("""COMPUTED_VALUE"""),"Between Love and Betrayal")</f>
        <v>Between Love and Betrayal</v>
      </c>
      <c r="C232" s="16" t="str">
        <f>IFERROR(__xludf.DUMMYFUNCTION("""COMPUTED_VALUE"""),"Romance")</f>
        <v>Romance</v>
      </c>
      <c r="D232" s="16">
        <f>IFERROR(__xludf.DUMMYFUNCTION("""COMPUTED_VALUE"""),485.0)</f>
        <v>485</v>
      </c>
      <c r="E232" s="16">
        <f>IFERROR(__xludf.DUMMYFUNCTION("""COMPUTED_VALUE"""),0.985567010309278)</f>
        <v>0.9855670103</v>
      </c>
      <c r="F232" s="16">
        <f>IFERROR(__xludf.DUMMYFUNCTION("""COMPUTED_VALUE"""),0.542268041237113)</f>
        <v>0.5422680412</v>
      </c>
      <c r="G232" s="16">
        <f>IFERROR(__xludf.DUMMYFUNCTION("""COMPUTED_VALUE"""),0.492783505154639)</f>
        <v>0.4927835052</v>
      </c>
      <c r="H232" s="16">
        <f>IFERROR(__xludf.DUMMYFUNCTION("""COMPUTED_VALUE"""),0.447422680412371)</f>
        <v>0.4474226804</v>
      </c>
      <c r="I232" s="16">
        <f>IFERROR(__xludf.DUMMYFUNCTION("""COMPUTED_VALUE"""),0.402061855670103)</f>
        <v>0.4020618557</v>
      </c>
      <c r="J232" s="16">
        <f>IFERROR(__xludf.DUMMYFUNCTION("""COMPUTED_VALUE"""),0.379381443298969)</f>
        <v>0.3793814433</v>
      </c>
      <c r="K232" s="16">
        <f>IFERROR(__xludf.DUMMYFUNCTION("""COMPUTED_VALUE"""),0.36701030927835)</f>
        <v>0.3670103093</v>
      </c>
      <c r="L232" s="16">
        <f>IFERROR(__xludf.DUMMYFUNCTION("""COMPUTED_VALUE"""),0.347107438016528)</f>
        <v>0.347107438</v>
      </c>
      <c r="M232" s="16">
        <f>IFERROR(__xludf.DUMMYFUNCTION("""COMPUTED_VALUE"""),0.338842975206611)</f>
        <v>0.3388429752</v>
      </c>
      <c r="N232" s="16">
        <f>IFERROR(__xludf.DUMMYFUNCTION("""COMPUTED_VALUE"""),0.34090909090909)</f>
        <v>0.3409090909</v>
      </c>
      <c r="O232" s="16">
        <f>IFERROR(__xludf.DUMMYFUNCTION("""COMPUTED_VALUE"""),0.304166666666666)</f>
        <v>0.3041666667</v>
      </c>
      <c r="P232" s="16">
        <f>IFERROR(__xludf.DUMMYFUNCTION("""COMPUTED_VALUE"""),0.243697478991596)</f>
        <v>0.243697479</v>
      </c>
      <c r="Q232" s="16">
        <f>IFERROR(__xludf.DUMMYFUNCTION("""COMPUTED_VALUE"""),0.288888888888888)</f>
        <v>0.2888888889</v>
      </c>
      <c r="R232" s="16">
        <f>IFERROR(__xludf.DUMMYFUNCTION("""COMPUTED_VALUE"""),0.243243243243243)</f>
        <v>0.2432432432</v>
      </c>
      <c r="S232" s="16">
        <f>IFERROR(__xludf.DUMMYFUNCTION("""COMPUTED_VALUE"""),0.0)</f>
        <v>0</v>
      </c>
      <c r="T232" s="16">
        <f>IFERROR(__xludf.DUMMYFUNCTION("""COMPUTED_VALUE"""),0.0)</f>
        <v>0</v>
      </c>
      <c r="U232" s="16">
        <f>IFERROR(__xludf.DUMMYFUNCTION("""COMPUTED_VALUE"""),0.0)</f>
        <v>0</v>
      </c>
      <c r="V232" s="16">
        <f>IFERROR(__xludf.DUMMYFUNCTION("""COMPUTED_VALUE"""),0.0)</f>
        <v>0</v>
      </c>
      <c r="W232" s="16">
        <f>IFERROR(__xludf.DUMMYFUNCTION("""COMPUTED_VALUE"""),0.0)</f>
        <v>0</v>
      </c>
      <c r="X232" s="16">
        <f>IFERROR(__xludf.DUMMYFUNCTION("""COMPUTED_VALUE"""),0.0)</f>
        <v>0</v>
      </c>
      <c r="Y232" s="16">
        <f>IFERROR(__xludf.DUMMYFUNCTION("""COMPUTED_VALUE"""),0.0)</f>
        <v>0</v>
      </c>
      <c r="Z232" s="16">
        <f>IFERROR(__xludf.DUMMYFUNCTION("""COMPUTED_VALUE"""),0.0)</f>
        <v>0</v>
      </c>
      <c r="AA232" s="16">
        <f>IFERROR(__xludf.DUMMYFUNCTION("""COMPUTED_VALUE"""),0.0)</f>
        <v>0</v>
      </c>
      <c r="AB232" s="16">
        <f>IFERROR(__xludf.DUMMYFUNCTION("""COMPUTED_VALUE"""),0.0)</f>
        <v>0</v>
      </c>
      <c r="AC232" s="16">
        <f>IFERROR(__xludf.DUMMYFUNCTION("""COMPUTED_VALUE"""),0.0)</f>
        <v>0</v>
      </c>
      <c r="AD232" s="16">
        <f>IFERROR(__xludf.DUMMYFUNCTION("""COMPUTED_VALUE"""),0.0)</f>
        <v>0</v>
      </c>
      <c r="AE232" s="16">
        <f>IFERROR(__xludf.DUMMYFUNCTION("""COMPUTED_VALUE"""),0.0)</f>
        <v>0</v>
      </c>
      <c r="AF232" s="16">
        <f>IFERROR(__xludf.DUMMYFUNCTION("""COMPUTED_VALUE"""),0.0)</f>
        <v>0</v>
      </c>
      <c r="AG232" s="16">
        <f>IFERROR(__xludf.DUMMYFUNCTION("""COMPUTED_VALUE"""),0.0)</f>
        <v>0</v>
      </c>
      <c r="AH232" s="16">
        <f>IFERROR(__xludf.DUMMYFUNCTION("""COMPUTED_VALUE"""),0.0)</f>
        <v>0</v>
      </c>
    </row>
    <row r="233">
      <c r="A233" s="16" t="str">
        <f>IFERROR(__xludf.DUMMYFUNCTION("""COMPUTED_VALUE"""),"cdb3a84d505dbefdca86cae60d3db90f949368f1")</f>
        <v>cdb3a84d505dbefdca86cae60d3db90f949368f1</v>
      </c>
      <c r="B233" s="16" t="str">
        <f>IFERROR(__xludf.DUMMYFUNCTION("""COMPUTED_VALUE"""),"Amulet of the Gods")</f>
        <v>Amulet of the Gods</v>
      </c>
      <c r="C233" s="16" t="str">
        <f>IFERROR(__xludf.DUMMYFUNCTION("""COMPUTED_VALUE"""),"System and Superpower")</f>
        <v>System and Superpower</v>
      </c>
      <c r="D233" s="16">
        <f>IFERROR(__xludf.DUMMYFUNCTION("""COMPUTED_VALUE"""),1135.0)</f>
        <v>1135</v>
      </c>
      <c r="E233" s="16">
        <f>IFERROR(__xludf.DUMMYFUNCTION("""COMPUTED_VALUE"""),0.966519823788546)</f>
        <v>0.9665198238</v>
      </c>
      <c r="F233" s="16">
        <f>IFERROR(__xludf.DUMMYFUNCTION("""COMPUTED_VALUE"""),0.550660792951541)</f>
        <v>0.550660793</v>
      </c>
      <c r="G233" s="16">
        <f>IFERROR(__xludf.DUMMYFUNCTION("""COMPUTED_VALUE"""),0.488986784140969)</f>
        <v>0.4889867841</v>
      </c>
      <c r="H233" s="16">
        <f>IFERROR(__xludf.DUMMYFUNCTION("""COMPUTED_VALUE"""),0.432599118942731)</f>
        <v>0.4325991189</v>
      </c>
      <c r="I233" s="16">
        <f>IFERROR(__xludf.DUMMYFUNCTION("""COMPUTED_VALUE"""),0.407929515418502)</f>
        <v>0.4079295154</v>
      </c>
      <c r="J233" s="16">
        <f>IFERROR(__xludf.DUMMYFUNCTION("""COMPUTED_VALUE"""),0.375661375661375)</f>
        <v>0.3756613757</v>
      </c>
      <c r="K233" s="16">
        <f>IFERROR(__xludf.DUMMYFUNCTION("""COMPUTED_VALUE"""),0.355379188712522)</f>
        <v>0.3553791887</v>
      </c>
      <c r="L233" s="16">
        <f>IFERROR(__xludf.DUMMYFUNCTION("""COMPUTED_VALUE"""),0.339238263950398)</f>
        <v>0.339238264</v>
      </c>
      <c r="M233" s="16">
        <f>IFERROR(__xludf.DUMMYFUNCTION("""COMPUTED_VALUE"""),0.33126660761736)</f>
        <v>0.3312666076</v>
      </c>
      <c r="N233" s="16">
        <f>IFERROR(__xludf.DUMMYFUNCTION("""COMPUTED_VALUE"""),0.319148936170212)</f>
        <v>0.3191489362</v>
      </c>
      <c r="O233" s="16">
        <f>IFERROR(__xludf.DUMMYFUNCTION("""COMPUTED_VALUE"""),0.293118856121537)</f>
        <v>0.2931188561</v>
      </c>
      <c r="P233" s="16">
        <f>IFERROR(__xludf.DUMMYFUNCTION("""COMPUTED_VALUE"""),0.246600181323662)</f>
        <v>0.2466001813</v>
      </c>
      <c r="Q233" s="16">
        <f>IFERROR(__xludf.DUMMYFUNCTION("""COMPUTED_VALUE"""),0.157458563535911)</f>
        <v>0.1574585635</v>
      </c>
      <c r="R233" s="16">
        <f>IFERROR(__xludf.DUMMYFUNCTION("""COMPUTED_VALUE"""),0.108910891089108)</f>
        <v>0.1089108911</v>
      </c>
      <c r="S233" s="16">
        <f>IFERROR(__xludf.DUMMYFUNCTION("""COMPUTED_VALUE"""),0.0659203980099502)</f>
        <v>0.06592039801</v>
      </c>
      <c r="T233" s="16">
        <f>IFERROR(__xludf.DUMMYFUNCTION("""COMPUTED_VALUE"""),0.073345259391771)</f>
        <v>0.07334525939</v>
      </c>
      <c r="U233" s="16">
        <f>IFERROR(__xludf.DUMMYFUNCTION("""COMPUTED_VALUE"""),0.067251461988304)</f>
        <v>0.06725146199</v>
      </c>
      <c r="V233" s="16">
        <f>IFERROR(__xludf.DUMMYFUNCTION("""COMPUTED_VALUE"""),0.0425531914893617)</f>
        <v>0.04255319149</v>
      </c>
      <c r="W233" s="16">
        <f>IFERROR(__xludf.DUMMYFUNCTION("""COMPUTED_VALUE"""),0.0485436893203883)</f>
        <v>0.04854368932</v>
      </c>
      <c r="X233" s="16">
        <f>IFERROR(__xludf.DUMMYFUNCTION("""COMPUTED_VALUE"""),0.0384615384615384)</f>
        <v>0.03846153846</v>
      </c>
      <c r="Y233" s="16">
        <f>IFERROR(__xludf.DUMMYFUNCTION("""COMPUTED_VALUE"""),0.03125)</f>
        <v>0.03125</v>
      </c>
      <c r="Z233" s="16">
        <f>IFERROR(__xludf.DUMMYFUNCTION("""COMPUTED_VALUE"""),0.0)</f>
        <v>0</v>
      </c>
      <c r="AA233" s="16">
        <f>IFERROR(__xludf.DUMMYFUNCTION("""COMPUTED_VALUE"""),0.0)</f>
        <v>0</v>
      </c>
      <c r="AB233" s="16">
        <f>IFERROR(__xludf.DUMMYFUNCTION("""COMPUTED_VALUE"""),0.0)</f>
        <v>0</v>
      </c>
      <c r="AC233" s="16">
        <f>IFERROR(__xludf.DUMMYFUNCTION("""COMPUTED_VALUE"""),0.0)</f>
        <v>0</v>
      </c>
      <c r="AD233" s="16">
        <f>IFERROR(__xludf.DUMMYFUNCTION("""COMPUTED_VALUE"""),0.0)</f>
        <v>0</v>
      </c>
      <c r="AE233" s="16">
        <f>IFERROR(__xludf.DUMMYFUNCTION("""COMPUTED_VALUE"""),0.0)</f>
        <v>0</v>
      </c>
      <c r="AF233" s="16">
        <f>IFERROR(__xludf.DUMMYFUNCTION("""COMPUTED_VALUE"""),0.0)</f>
        <v>0</v>
      </c>
      <c r="AG233" s="16">
        <f>IFERROR(__xludf.DUMMYFUNCTION("""COMPUTED_VALUE"""),0.0)</f>
        <v>0</v>
      </c>
      <c r="AH233" s="16">
        <f>IFERROR(__xludf.DUMMYFUNCTION("""COMPUTED_VALUE"""),0.0)</f>
        <v>0</v>
      </c>
    </row>
    <row r="234">
      <c r="A234" s="16" t="str">
        <f>IFERROR(__xludf.DUMMYFUNCTION("""COMPUTED_VALUE"""),"cec33b3e9f3607e7d8ae32858f0e715a91e937c4")</f>
        <v>cec33b3e9f3607e7d8ae32858f0e715a91e937c4</v>
      </c>
      <c r="B234" s="16" t="str">
        <f>IFERROR(__xludf.DUMMYFUNCTION("""COMPUTED_VALUE"""),"From Squalor to Moneybag")</f>
        <v>From Squalor to Moneybag</v>
      </c>
      <c r="C234" s="16" t="str">
        <f>IFERROR(__xludf.DUMMYFUNCTION("""COMPUTED_VALUE"""),"Drama")</f>
        <v>Drama</v>
      </c>
      <c r="D234" s="16">
        <f>IFERROR(__xludf.DUMMYFUNCTION("""COMPUTED_VALUE"""),101.0)</f>
        <v>101</v>
      </c>
      <c r="E234" s="16">
        <f>IFERROR(__xludf.DUMMYFUNCTION("""COMPUTED_VALUE"""),0.92079207920792)</f>
        <v>0.9207920792</v>
      </c>
      <c r="F234" s="16">
        <f>IFERROR(__xludf.DUMMYFUNCTION("""COMPUTED_VALUE"""),0.643564356435643)</f>
        <v>0.6435643564</v>
      </c>
      <c r="G234" s="16">
        <f>IFERROR(__xludf.DUMMYFUNCTION("""COMPUTED_VALUE"""),0.653465346534653)</f>
        <v>0.6534653465</v>
      </c>
      <c r="H234" s="16">
        <f>IFERROR(__xludf.DUMMYFUNCTION("""COMPUTED_VALUE"""),0.633663366336633)</f>
        <v>0.6336633663</v>
      </c>
      <c r="I234" s="16">
        <f>IFERROR(__xludf.DUMMYFUNCTION("""COMPUTED_VALUE"""),0.544554455445544)</f>
        <v>0.5445544554</v>
      </c>
      <c r="J234" s="16">
        <f>IFERROR(__xludf.DUMMYFUNCTION("""COMPUTED_VALUE"""),0.465346534653465)</f>
        <v>0.4653465347</v>
      </c>
      <c r="K234" s="16">
        <f>IFERROR(__xludf.DUMMYFUNCTION("""COMPUTED_VALUE"""),0.38)</f>
        <v>0.38</v>
      </c>
      <c r="L234" s="16">
        <f>IFERROR(__xludf.DUMMYFUNCTION("""COMPUTED_VALUE"""),0.329787234042553)</f>
        <v>0.329787234</v>
      </c>
      <c r="M234" s="16">
        <f>IFERROR(__xludf.DUMMYFUNCTION("""COMPUTED_VALUE"""),0.3)</f>
        <v>0.3</v>
      </c>
      <c r="N234" s="16">
        <f>IFERROR(__xludf.DUMMYFUNCTION("""COMPUTED_VALUE"""),0.285714285714285)</f>
        <v>0.2857142857</v>
      </c>
      <c r="O234" s="16">
        <f>IFERROR(__xludf.DUMMYFUNCTION("""COMPUTED_VALUE"""),0.164179104477611)</f>
        <v>0.1641791045</v>
      </c>
      <c r="P234" s="16">
        <f>IFERROR(__xludf.DUMMYFUNCTION("""COMPUTED_VALUE"""),0.0545454545454545)</f>
        <v>0.05454545455</v>
      </c>
      <c r="Q234" s="16">
        <f>IFERROR(__xludf.DUMMYFUNCTION("""COMPUTED_VALUE"""),0.0181818181818181)</f>
        <v>0.01818181818</v>
      </c>
      <c r="R234" s="16">
        <f>IFERROR(__xludf.DUMMYFUNCTION("""COMPUTED_VALUE"""),0.0185185185185185)</f>
        <v>0.01851851852</v>
      </c>
      <c r="S234" s="16">
        <f>IFERROR(__xludf.DUMMYFUNCTION("""COMPUTED_VALUE"""),0.0)</f>
        <v>0</v>
      </c>
      <c r="T234" s="16">
        <f>IFERROR(__xludf.DUMMYFUNCTION("""COMPUTED_VALUE"""),0.0)</f>
        <v>0</v>
      </c>
      <c r="U234" s="16">
        <f>IFERROR(__xludf.DUMMYFUNCTION("""COMPUTED_VALUE"""),0.0)</f>
        <v>0</v>
      </c>
      <c r="V234" s="16">
        <f>IFERROR(__xludf.DUMMYFUNCTION("""COMPUTED_VALUE"""),0.0)</f>
        <v>0</v>
      </c>
      <c r="W234" s="16">
        <f>IFERROR(__xludf.DUMMYFUNCTION("""COMPUTED_VALUE"""),0.0)</f>
        <v>0</v>
      </c>
      <c r="X234" s="16">
        <f>IFERROR(__xludf.DUMMYFUNCTION("""COMPUTED_VALUE"""),0.0)</f>
        <v>0</v>
      </c>
      <c r="Y234" s="16">
        <f>IFERROR(__xludf.DUMMYFUNCTION("""COMPUTED_VALUE"""),0.0)</f>
        <v>0</v>
      </c>
      <c r="Z234" s="16">
        <f>IFERROR(__xludf.DUMMYFUNCTION("""COMPUTED_VALUE"""),0.0)</f>
        <v>0</v>
      </c>
      <c r="AA234" s="16">
        <f>IFERROR(__xludf.DUMMYFUNCTION("""COMPUTED_VALUE"""),0.0)</f>
        <v>0</v>
      </c>
      <c r="AB234" s="16">
        <f>IFERROR(__xludf.DUMMYFUNCTION("""COMPUTED_VALUE"""),0.0)</f>
        <v>0</v>
      </c>
      <c r="AC234" s="16">
        <f>IFERROR(__xludf.DUMMYFUNCTION("""COMPUTED_VALUE"""),0.0)</f>
        <v>0</v>
      </c>
      <c r="AD234" s="16">
        <f>IFERROR(__xludf.DUMMYFUNCTION("""COMPUTED_VALUE"""),0.0)</f>
        <v>0</v>
      </c>
      <c r="AE234" s="16">
        <f>IFERROR(__xludf.DUMMYFUNCTION("""COMPUTED_VALUE"""),0.0)</f>
        <v>0</v>
      </c>
      <c r="AF234" s="16">
        <f>IFERROR(__xludf.DUMMYFUNCTION("""COMPUTED_VALUE"""),0.0)</f>
        <v>0</v>
      </c>
      <c r="AG234" s="16">
        <f>IFERROR(__xludf.DUMMYFUNCTION("""COMPUTED_VALUE"""),0.0)</f>
        <v>0</v>
      </c>
      <c r="AH234" s="16">
        <f>IFERROR(__xludf.DUMMYFUNCTION("""COMPUTED_VALUE"""),0.0)</f>
        <v>0</v>
      </c>
    </row>
    <row r="235">
      <c r="A235" s="16" t="str">
        <f>IFERROR(__xludf.DUMMYFUNCTION("""COMPUTED_VALUE"""),"d2aaef61d998c9f90c2df15eafe1acd784549269")</f>
        <v>d2aaef61d998c9f90c2df15eafe1acd784549269</v>
      </c>
      <c r="B235" s="16" t="str">
        <f>IFERROR(__xludf.DUMMYFUNCTION("""COMPUTED_VALUE"""),"Alpha Braxton")</f>
        <v>Alpha Braxton</v>
      </c>
      <c r="C235" s="16" t="str">
        <f>IFERROR(__xludf.DUMMYFUNCTION("""COMPUTED_VALUE"""),"Romantasy")</f>
        <v>Romantasy</v>
      </c>
      <c r="D235" s="16">
        <f>IFERROR(__xludf.DUMMYFUNCTION("""COMPUTED_VALUE"""),2429.0)</f>
        <v>2429</v>
      </c>
      <c r="E235" s="16">
        <f>IFERROR(__xludf.DUMMYFUNCTION("""COMPUTED_VALUE"""),0.971181556195965)</f>
        <v>0.9711815562</v>
      </c>
      <c r="F235" s="16">
        <f>IFERROR(__xludf.DUMMYFUNCTION("""COMPUTED_VALUE"""),0.689584191025113)</f>
        <v>0.689584191</v>
      </c>
      <c r="G235" s="16">
        <f>IFERROR(__xludf.DUMMYFUNCTION("""COMPUTED_VALUE"""),0.624948538493207)</f>
        <v>0.6249485385</v>
      </c>
      <c r="H235" s="16">
        <f>IFERROR(__xludf.DUMMYFUNCTION("""COMPUTED_VALUE"""),0.588719637710992)</f>
        <v>0.5887196377</v>
      </c>
      <c r="I235" s="16">
        <f>IFERROR(__xludf.DUMMYFUNCTION("""COMPUTED_VALUE"""),0.55290242898312)</f>
        <v>0.552902429</v>
      </c>
      <c r="J235" s="16">
        <f>IFERROR(__xludf.DUMMYFUNCTION("""COMPUTED_VALUE"""),0.519571487433044)</f>
        <v>0.5195714874</v>
      </c>
      <c r="K235" s="16">
        <f>IFERROR(__xludf.DUMMYFUNCTION("""COMPUTED_VALUE"""),0.5)</f>
        <v>0.5</v>
      </c>
      <c r="L235" s="16">
        <f>IFERROR(__xludf.DUMMYFUNCTION("""COMPUTED_VALUE"""),0.489686468646864)</f>
        <v>0.4896864686</v>
      </c>
      <c r="M235" s="16">
        <f>IFERROR(__xludf.DUMMYFUNCTION("""COMPUTED_VALUE"""),0.472772277227722)</f>
        <v>0.4727722772</v>
      </c>
      <c r="N235" s="16">
        <f>IFERROR(__xludf.DUMMYFUNCTION("""COMPUTED_VALUE"""),0.468646864686468)</f>
        <v>0.4686468647</v>
      </c>
      <c r="O235" s="16">
        <f>IFERROR(__xludf.DUMMYFUNCTION("""COMPUTED_VALUE"""),0.397680198840099)</f>
        <v>0.3976801988</v>
      </c>
      <c r="P235" s="16">
        <f>IFERROR(__xludf.DUMMYFUNCTION("""COMPUTED_VALUE"""),0.368311036789297)</f>
        <v>0.3683110368</v>
      </c>
      <c r="Q235" s="16">
        <f>IFERROR(__xludf.DUMMYFUNCTION("""COMPUTED_VALUE"""),0.264900662251655)</f>
        <v>0.2649006623</v>
      </c>
      <c r="R235" s="16">
        <f>IFERROR(__xludf.DUMMYFUNCTION("""COMPUTED_VALUE"""),0.177419354838709)</f>
        <v>0.1774193548</v>
      </c>
      <c r="S235" s="16">
        <f>IFERROR(__xludf.DUMMYFUNCTION("""COMPUTED_VALUE"""),0.146341463414634)</f>
        <v>0.1463414634</v>
      </c>
      <c r="T235" s="16">
        <f>IFERROR(__xludf.DUMMYFUNCTION("""COMPUTED_VALUE"""),0.0)</f>
        <v>0</v>
      </c>
      <c r="U235" s="16">
        <f>IFERROR(__xludf.DUMMYFUNCTION("""COMPUTED_VALUE"""),0.0)</f>
        <v>0</v>
      </c>
      <c r="V235" s="16">
        <f>IFERROR(__xludf.DUMMYFUNCTION("""COMPUTED_VALUE"""),0.0)</f>
        <v>0</v>
      </c>
      <c r="W235" s="16">
        <f>IFERROR(__xludf.DUMMYFUNCTION("""COMPUTED_VALUE"""),0.0)</f>
        <v>0</v>
      </c>
      <c r="X235" s="16">
        <f>IFERROR(__xludf.DUMMYFUNCTION("""COMPUTED_VALUE"""),0.0)</f>
        <v>0</v>
      </c>
      <c r="Y235" s="16">
        <f>IFERROR(__xludf.DUMMYFUNCTION("""COMPUTED_VALUE"""),0.0)</f>
        <v>0</v>
      </c>
      <c r="Z235" s="16">
        <f>IFERROR(__xludf.DUMMYFUNCTION("""COMPUTED_VALUE"""),0.0)</f>
        <v>0</v>
      </c>
      <c r="AA235" s="16">
        <f>IFERROR(__xludf.DUMMYFUNCTION("""COMPUTED_VALUE"""),0.0)</f>
        <v>0</v>
      </c>
      <c r="AB235" s="16">
        <f>IFERROR(__xludf.DUMMYFUNCTION("""COMPUTED_VALUE"""),0.0)</f>
        <v>0</v>
      </c>
      <c r="AC235" s="16">
        <f>IFERROR(__xludf.DUMMYFUNCTION("""COMPUTED_VALUE"""),0.0)</f>
        <v>0</v>
      </c>
      <c r="AD235" s="16">
        <f>IFERROR(__xludf.DUMMYFUNCTION("""COMPUTED_VALUE"""),0.0)</f>
        <v>0</v>
      </c>
      <c r="AE235" s="16">
        <f>IFERROR(__xludf.DUMMYFUNCTION("""COMPUTED_VALUE"""),0.0)</f>
        <v>0</v>
      </c>
      <c r="AF235" s="16">
        <f>IFERROR(__xludf.DUMMYFUNCTION("""COMPUTED_VALUE"""),0.0)</f>
        <v>0</v>
      </c>
      <c r="AG235" s="16">
        <f>IFERROR(__xludf.DUMMYFUNCTION("""COMPUTED_VALUE"""),0.0)</f>
        <v>0</v>
      </c>
      <c r="AH235" s="16">
        <f>IFERROR(__xludf.DUMMYFUNCTION("""COMPUTED_VALUE"""),0.0)</f>
        <v>0</v>
      </c>
    </row>
    <row r="236">
      <c r="A236" s="16" t="str">
        <f>IFERROR(__xludf.DUMMYFUNCTION("""COMPUTED_VALUE"""),"d3866fc3c89b4f6e7425ea92decf796ef97098db")</f>
        <v>d3866fc3c89b4f6e7425ea92decf796ef97098db</v>
      </c>
      <c r="B236" s="16" t="str">
        <f>IFERROR(__xludf.DUMMYFUNCTION("""COMPUTED_VALUE"""),"The Billionaire's Twins")</f>
        <v>The Billionaire's Twins</v>
      </c>
      <c r="C236" s="16" t="str">
        <f>IFERROR(__xludf.DUMMYFUNCTION("""COMPUTED_VALUE"""),"Romance")</f>
        <v>Romance</v>
      </c>
      <c r="D236" s="16">
        <f>IFERROR(__xludf.DUMMYFUNCTION("""COMPUTED_VALUE"""),453.0)</f>
        <v>453</v>
      </c>
      <c r="E236" s="16">
        <f>IFERROR(__xludf.DUMMYFUNCTION("""COMPUTED_VALUE"""),0.962472406181015)</f>
        <v>0.9624724062</v>
      </c>
      <c r="F236" s="16">
        <f>IFERROR(__xludf.DUMMYFUNCTION("""COMPUTED_VALUE"""),0.690949227373068)</f>
        <v>0.6909492274</v>
      </c>
      <c r="G236" s="16">
        <f>IFERROR(__xludf.DUMMYFUNCTION("""COMPUTED_VALUE"""),0.664459161147902)</f>
        <v>0.6644591611</v>
      </c>
      <c r="H236" s="16">
        <f>IFERROR(__xludf.DUMMYFUNCTION("""COMPUTED_VALUE"""),0.596026490066225)</f>
        <v>0.5960264901</v>
      </c>
      <c r="I236" s="16">
        <f>IFERROR(__xludf.DUMMYFUNCTION("""COMPUTED_VALUE"""),0.571743929359823)</f>
        <v>0.5717439294</v>
      </c>
      <c r="J236" s="16">
        <f>IFERROR(__xludf.DUMMYFUNCTION("""COMPUTED_VALUE"""),0.555803571428571)</f>
        <v>0.5558035714</v>
      </c>
      <c r="K236" s="16">
        <f>IFERROR(__xludf.DUMMYFUNCTION("""COMPUTED_VALUE"""),0.509009009009009)</f>
        <v>0.509009009</v>
      </c>
      <c r="L236" s="16">
        <f>IFERROR(__xludf.DUMMYFUNCTION("""COMPUTED_VALUE"""),0.492027334851936)</f>
        <v>0.4920273349</v>
      </c>
      <c r="M236" s="16">
        <f>IFERROR(__xludf.DUMMYFUNCTION("""COMPUTED_VALUE"""),0.473684210526315)</f>
        <v>0.4736842105</v>
      </c>
      <c r="N236" s="16">
        <f>IFERROR(__xludf.DUMMYFUNCTION("""COMPUTED_VALUE"""),0.450116009280742)</f>
        <v>0.4501160093</v>
      </c>
      <c r="O236" s="16">
        <f>IFERROR(__xludf.DUMMYFUNCTION("""COMPUTED_VALUE"""),0.404255319148936)</f>
        <v>0.4042553191</v>
      </c>
      <c r="P236" s="16">
        <f>IFERROR(__xludf.DUMMYFUNCTION("""COMPUTED_VALUE"""),0.19626168224299)</f>
        <v>0.1962616822</v>
      </c>
      <c r="Q236" s="16">
        <f>IFERROR(__xludf.DUMMYFUNCTION("""COMPUTED_VALUE"""),0.0845070422535211)</f>
        <v>0.08450704225</v>
      </c>
      <c r="R236" s="16">
        <f>IFERROR(__xludf.DUMMYFUNCTION("""COMPUTED_VALUE"""),0.048780487804878)</f>
        <v>0.0487804878</v>
      </c>
      <c r="S236" s="16">
        <f>IFERROR(__xludf.DUMMYFUNCTION("""COMPUTED_VALUE"""),0.0277777777777777)</f>
        <v>0.02777777778</v>
      </c>
      <c r="T236" s="16">
        <f>IFERROR(__xludf.DUMMYFUNCTION("""COMPUTED_VALUE"""),0.0)</f>
        <v>0</v>
      </c>
      <c r="U236" s="16">
        <f>IFERROR(__xludf.DUMMYFUNCTION("""COMPUTED_VALUE"""),0.0)</f>
        <v>0</v>
      </c>
      <c r="V236" s="16">
        <f>IFERROR(__xludf.DUMMYFUNCTION("""COMPUTED_VALUE"""),0.0)</f>
        <v>0</v>
      </c>
      <c r="W236" s="16">
        <f>IFERROR(__xludf.DUMMYFUNCTION("""COMPUTED_VALUE"""),0.0)</f>
        <v>0</v>
      </c>
      <c r="X236" s="16">
        <f>IFERROR(__xludf.DUMMYFUNCTION("""COMPUTED_VALUE"""),0.0)</f>
        <v>0</v>
      </c>
      <c r="Y236" s="16">
        <f>IFERROR(__xludf.DUMMYFUNCTION("""COMPUTED_VALUE"""),0.0)</f>
        <v>0</v>
      </c>
      <c r="Z236" s="16">
        <f>IFERROR(__xludf.DUMMYFUNCTION("""COMPUTED_VALUE"""),0.0)</f>
        <v>0</v>
      </c>
      <c r="AA236" s="16">
        <f>IFERROR(__xludf.DUMMYFUNCTION("""COMPUTED_VALUE"""),0.0)</f>
        <v>0</v>
      </c>
      <c r="AB236" s="16">
        <f>IFERROR(__xludf.DUMMYFUNCTION("""COMPUTED_VALUE"""),0.0)</f>
        <v>0</v>
      </c>
      <c r="AC236" s="16">
        <f>IFERROR(__xludf.DUMMYFUNCTION("""COMPUTED_VALUE"""),0.0)</f>
        <v>0</v>
      </c>
      <c r="AD236" s="16">
        <f>IFERROR(__xludf.DUMMYFUNCTION("""COMPUTED_VALUE"""),0.0)</f>
        <v>0</v>
      </c>
      <c r="AE236" s="16">
        <f>IFERROR(__xludf.DUMMYFUNCTION("""COMPUTED_VALUE"""),0.0)</f>
        <v>0</v>
      </c>
      <c r="AF236" s="16">
        <f>IFERROR(__xludf.DUMMYFUNCTION("""COMPUTED_VALUE"""),0.0)</f>
        <v>0</v>
      </c>
      <c r="AG236" s="16">
        <f>IFERROR(__xludf.DUMMYFUNCTION("""COMPUTED_VALUE"""),0.0)</f>
        <v>0</v>
      </c>
      <c r="AH236" s="16">
        <f>IFERROR(__xludf.DUMMYFUNCTION("""COMPUTED_VALUE"""),0.0)</f>
        <v>0</v>
      </c>
    </row>
    <row r="237">
      <c r="A237" s="16" t="str">
        <f>IFERROR(__xludf.DUMMYFUNCTION("""COMPUTED_VALUE"""),"d419897471d8bc8312abf495d27412e669ccf6d0")</f>
        <v>d419897471d8bc8312abf495d27412e669ccf6d0</v>
      </c>
      <c r="B237" s="16" t="str">
        <f>IFERROR(__xludf.DUMMYFUNCTION("""COMPUTED_VALUE"""),"His Borrowed Wife")</f>
        <v>His Borrowed Wife</v>
      </c>
      <c r="C237" s="16" t="str">
        <f>IFERROR(__xludf.DUMMYFUNCTION("""COMPUTED_VALUE"""),"Romance")</f>
        <v>Romance</v>
      </c>
      <c r="D237" s="16">
        <f>IFERROR(__xludf.DUMMYFUNCTION("""COMPUTED_VALUE"""),2267.0)</f>
        <v>2267</v>
      </c>
      <c r="E237" s="16">
        <f>IFERROR(__xludf.DUMMYFUNCTION("""COMPUTED_VALUE"""),0.967357741508601)</f>
        <v>0.9673577415</v>
      </c>
      <c r="F237" s="16">
        <f>IFERROR(__xludf.DUMMYFUNCTION("""COMPUTED_VALUE"""),0.551830613145125)</f>
        <v>0.5518306131</v>
      </c>
      <c r="G237" s="16">
        <f>IFERROR(__xludf.DUMMYFUNCTION("""COMPUTED_VALUE"""),0.495368328187031)</f>
        <v>0.4953683282</v>
      </c>
      <c r="H237" s="16">
        <f>IFERROR(__xludf.DUMMYFUNCTION("""COMPUTED_VALUE"""),0.454344949272165)</f>
        <v>0.4543449493</v>
      </c>
      <c r="I237" s="16">
        <f>IFERROR(__xludf.DUMMYFUNCTION("""COMPUTED_VALUE"""),0.429201588001764)</f>
        <v>0.429201588</v>
      </c>
      <c r="J237" s="16">
        <f>IFERROR(__xludf.DUMMYFUNCTION("""COMPUTED_VALUE"""),0.409879839786381)</f>
        <v>0.4098798398</v>
      </c>
      <c r="K237" s="16">
        <f>IFERROR(__xludf.DUMMYFUNCTION("""COMPUTED_VALUE"""),0.3997296079315)</f>
        <v>0.3997296079</v>
      </c>
      <c r="L237" s="16">
        <f>IFERROR(__xludf.DUMMYFUNCTION("""COMPUTED_VALUE"""),0.391585760517799)</f>
        <v>0.3915857605</v>
      </c>
      <c r="M237" s="16">
        <f>IFERROR(__xludf.DUMMYFUNCTION("""COMPUTED_VALUE"""),0.378088578088578)</f>
        <v>0.3780885781</v>
      </c>
      <c r="N237" s="16">
        <f>IFERROR(__xludf.DUMMYFUNCTION("""COMPUTED_VALUE"""),0.369411764705882)</f>
        <v>0.3694117647</v>
      </c>
      <c r="O237" s="16">
        <f>IFERROR(__xludf.DUMMYFUNCTION("""COMPUTED_VALUE"""),0.358141858141858)</f>
        <v>0.3581418581</v>
      </c>
      <c r="P237" s="16">
        <f>IFERROR(__xludf.DUMMYFUNCTION("""COMPUTED_VALUE"""),0.34842360549717)</f>
        <v>0.3484236055</v>
      </c>
      <c r="Q237" s="16">
        <f>IFERROR(__xludf.DUMMYFUNCTION("""COMPUTED_VALUE"""),0.327586206896551)</f>
        <v>0.3275862069</v>
      </c>
      <c r="R237" s="16">
        <f>IFERROR(__xludf.DUMMYFUNCTION("""COMPUTED_VALUE"""),0.0)</f>
        <v>0</v>
      </c>
      <c r="S237" s="16">
        <f>IFERROR(__xludf.DUMMYFUNCTION("""COMPUTED_VALUE"""),0.0)</f>
        <v>0</v>
      </c>
      <c r="T237" s="16">
        <f>IFERROR(__xludf.DUMMYFUNCTION("""COMPUTED_VALUE"""),0.0)</f>
        <v>0</v>
      </c>
      <c r="U237" s="16">
        <f>IFERROR(__xludf.DUMMYFUNCTION("""COMPUTED_VALUE"""),0.0)</f>
        <v>0</v>
      </c>
      <c r="V237" s="16">
        <f>IFERROR(__xludf.DUMMYFUNCTION("""COMPUTED_VALUE"""),0.0)</f>
        <v>0</v>
      </c>
      <c r="W237" s="16">
        <f>IFERROR(__xludf.DUMMYFUNCTION("""COMPUTED_VALUE"""),0.0)</f>
        <v>0</v>
      </c>
      <c r="X237" s="16">
        <f>IFERROR(__xludf.DUMMYFUNCTION("""COMPUTED_VALUE"""),0.0)</f>
        <v>0</v>
      </c>
      <c r="Y237" s="16">
        <f>IFERROR(__xludf.DUMMYFUNCTION("""COMPUTED_VALUE"""),0.0)</f>
        <v>0</v>
      </c>
      <c r="Z237" s="16">
        <f>IFERROR(__xludf.DUMMYFUNCTION("""COMPUTED_VALUE"""),0.0)</f>
        <v>0</v>
      </c>
      <c r="AA237" s="16">
        <f>IFERROR(__xludf.DUMMYFUNCTION("""COMPUTED_VALUE"""),0.0)</f>
        <v>0</v>
      </c>
      <c r="AB237" s="16">
        <f>IFERROR(__xludf.DUMMYFUNCTION("""COMPUTED_VALUE"""),0.0)</f>
        <v>0</v>
      </c>
      <c r="AC237" s="16">
        <f>IFERROR(__xludf.DUMMYFUNCTION("""COMPUTED_VALUE"""),0.0)</f>
        <v>0</v>
      </c>
      <c r="AD237" s="16">
        <f>IFERROR(__xludf.DUMMYFUNCTION("""COMPUTED_VALUE"""),0.0)</f>
        <v>0</v>
      </c>
      <c r="AE237" s="16">
        <f>IFERROR(__xludf.DUMMYFUNCTION("""COMPUTED_VALUE"""),0.0)</f>
        <v>0</v>
      </c>
      <c r="AF237" s="16">
        <f>IFERROR(__xludf.DUMMYFUNCTION("""COMPUTED_VALUE"""),0.0)</f>
        <v>0</v>
      </c>
      <c r="AG237" s="16">
        <f>IFERROR(__xludf.DUMMYFUNCTION("""COMPUTED_VALUE"""),0.0)</f>
        <v>0</v>
      </c>
      <c r="AH237" s="16">
        <f>IFERROR(__xludf.DUMMYFUNCTION("""COMPUTED_VALUE"""),0.0)</f>
        <v>0</v>
      </c>
    </row>
    <row r="238">
      <c r="A238" s="16" t="str">
        <f>IFERROR(__xludf.DUMMYFUNCTION("""COMPUTED_VALUE"""),"d4bf13e8bbfcd2fa5b75aa042e47479d3a06188b")</f>
        <v>d4bf13e8bbfcd2fa5b75aa042e47479d3a06188b</v>
      </c>
      <c r="B238" s="16" t="str">
        <f>IFERROR(__xludf.DUMMYFUNCTION("""COMPUTED_VALUE"""),"Undead Tamer's Necro Pets")</f>
        <v>Undead Tamer's Necro Pets</v>
      </c>
      <c r="C238" s="16" t="str">
        <f>IFERROR(__xludf.DUMMYFUNCTION("""COMPUTED_VALUE"""),"Fantasy")</f>
        <v>Fantasy</v>
      </c>
      <c r="D238" s="16">
        <f>IFERROR(__xludf.DUMMYFUNCTION("""COMPUTED_VALUE"""),87.0)</f>
        <v>87</v>
      </c>
      <c r="E238" s="16">
        <f>IFERROR(__xludf.DUMMYFUNCTION("""COMPUTED_VALUE"""),0.977011494252873)</f>
        <v>0.9770114943</v>
      </c>
      <c r="F238" s="16">
        <f>IFERROR(__xludf.DUMMYFUNCTION("""COMPUTED_VALUE"""),0.425287356321839)</f>
        <v>0.4252873563</v>
      </c>
      <c r="G238" s="16">
        <f>IFERROR(__xludf.DUMMYFUNCTION("""COMPUTED_VALUE"""),0.367816091954023)</f>
        <v>0.367816092</v>
      </c>
      <c r="H238" s="16">
        <f>IFERROR(__xludf.DUMMYFUNCTION("""COMPUTED_VALUE"""),0.310344827586206)</f>
        <v>0.3103448276</v>
      </c>
      <c r="I238" s="16">
        <f>IFERROR(__xludf.DUMMYFUNCTION("""COMPUTED_VALUE"""),0.28735632183908)</f>
        <v>0.2873563218</v>
      </c>
      <c r="J238" s="16">
        <f>IFERROR(__xludf.DUMMYFUNCTION("""COMPUTED_VALUE"""),0.275862068965517)</f>
        <v>0.275862069</v>
      </c>
      <c r="K238" s="16">
        <f>IFERROR(__xludf.DUMMYFUNCTION("""COMPUTED_VALUE"""),0.25287356321839)</f>
        <v>0.2528735632</v>
      </c>
      <c r="L238" s="16">
        <f>IFERROR(__xludf.DUMMYFUNCTION("""COMPUTED_VALUE"""),0.253012048192771)</f>
        <v>0.2530120482</v>
      </c>
      <c r="M238" s="16">
        <f>IFERROR(__xludf.DUMMYFUNCTION("""COMPUTED_VALUE"""),0.256097560975609)</f>
        <v>0.256097561</v>
      </c>
      <c r="N238" s="16">
        <f>IFERROR(__xludf.DUMMYFUNCTION("""COMPUTED_VALUE"""),0.2625)</f>
        <v>0.2625</v>
      </c>
      <c r="O238" s="16">
        <f>IFERROR(__xludf.DUMMYFUNCTION("""COMPUTED_VALUE"""),0.214285714285714)</f>
        <v>0.2142857143</v>
      </c>
      <c r="P238" s="16">
        <f>IFERROR(__xludf.DUMMYFUNCTION("""COMPUTED_VALUE"""),0.142857142857142)</f>
        <v>0.1428571429</v>
      </c>
      <c r="Q238" s="16">
        <f>IFERROR(__xludf.DUMMYFUNCTION("""COMPUTED_VALUE"""),0.0)</f>
        <v>0</v>
      </c>
      <c r="R238" s="16">
        <f>IFERROR(__xludf.DUMMYFUNCTION("""COMPUTED_VALUE"""),0.0)</f>
        <v>0</v>
      </c>
      <c r="S238" s="16">
        <f>IFERROR(__xludf.DUMMYFUNCTION("""COMPUTED_VALUE"""),0.0)</f>
        <v>0</v>
      </c>
      <c r="T238" s="16">
        <f>IFERROR(__xludf.DUMMYFUNCTION("""COMPUTED_VALUE"""),0.0)</f>
        <v>0</v>
      </c>
      <c r="U238" s="16">
        <f>IFERROR(__xludf.DUMMYFUNCTION("""COMPUTED_VALUE"""),0.0)</f>
        <v>0</v>
      </c>
      <c r="V238" s="16">
        <f>IFERROR(__xludf.DUMMYFUNCTION("""COMPUTED_VALUE"""),0.0)</f>
        <v>0</v>
      </c>
      <c r="W238" s="16">
        <f>IFERROR(__xludf.DUMMYFUNCTION("""COMPUTED_VALUE"""),0.0)</f>
        <v>0</v>
      </c>
      <c r="X238" s="16">
        <f>IFERROR(__xludf.DUMMYFUNCTION("""COMPUTED_VALUE"""),0.0)</f>
        <v>0</v>
      </c>
      <c r="Y238" s="16">
        <f>IFERROR(__xludf.DUMMYFUNCTION("""COMPUTED_VALUE"""),0.0)</f>
        <v>0</v>
      </c>
      <c r="Z238" s="16">
        <f>IFERROR(__xludf.DUMMYFUNCTION("""COMPUTED_VALUE"""),0.0)</f>
        <v>0</v>
      </c>
      <c r="AA238" s="16">
        <f>IFERROR(__xludf.DUMMYFUNCTION("""COMPUTED_VALUE"""),0.0)</f>
        <v>0</v>
      </c>
      <c r="AB238" s="16">
        <f>IFERROR(__xludf.DUMMYFUNCTION("""COMPUTED_VALUE"""),0.0)</f>
        <v>0</v>
      </c>
      <c r="AC238" s="16">
        <f>IFERROR(__xludf.DUMMYFUNCTION("""COMPUTED_VALUE"""),0.0)</f>
        <v>0</v>
      </c>
      <c r="AD238" s="16">
        <f>IFERROR(__xludf.DUMMYFUNCTION("""COMPUTED_VALUE"""),0.0)</f>
        <v>0</v>
      </c>
      <c r="AE238" s="16">
        <f>IFERROR(__xludf.DUMMYFUNCTION("""COMPUTED_VALUE"""),0.0)</f>
        <v>0</v>
      </c>
      <c r="AF238" s="16">
        <f>IFERROR(__xludf.DUMMYFUNCTION("""COMPUTED_VALUE"""),0.0)</f>
        <v>0</v>
      </c>
      <c r="AG238" s="16">
        <f>IFERROR(__xludf.DUMMYFUNCTION("""COMPUTED_VALUE"""),0.0)</f>
        <v>0</v>
      </c>
      <c r="AH238" s="16">
        <f>IFERROR(__xludf.DUMMYFUNCTION("""COMPUTED_VALUE"""),0.0)</f>
        <v>0</v>
      </c>
    </row>
    <row r="239">
      <c r="A239" s="16" t="str">
        <f>IFERROR(__xludf.DUMMYFUNCTION("""COMPUTED_VALUE"""),"d687598bacfd959af85400d722a39d5e62aad513")</f>
        <v>d687598bacfd959af85400d722a39d5e62aad513</v>
      </c>
      <c r="B239" s="16" t="str">
        <f>IFERROR(__xludf.DUMMYFUNCTION("""COMPUTED_VALUE"""),"Unexpectedly Mine")</f>
        <v>Unexpectedly Mine</v>
      </c>
      <c r="C239" s="16" t="str">
        <f>IFERROR(__xludf.DUMMYFUNCTION("""COMPUTED_VALUE"""),"Romance")</f>
        <v>Romance</v>
      </c>
      <c r="D239" s="16">
        <f>IFERROR(__xludf.DUMMYFUNCTION("""COMPUTED_VALUE"""),7574.0)</f>
        <v>7574</v>
      </c>
      <c r="E239" s="16">
        <f>IFERROR(__xludf.DUMMYFUNCTION("""COMPUTED_VALUE"""),0.952601003432796)</f>
        <v>0.9526010034</v>
      </c>
      <c r="F239" s="16">
        <f>IFERROR(__xludf.DUMMYFUNCTION("""COMPUTED_VALUE"""),0.615790863480327)</f>
        <v>0.6157908635</v>
      </c>
      <c r="G239" s="16">
        <f>IFERROR(__xludf.DUMMYFUNCTION("""COMPUTED_VALUE"""),0.566543438077634)</f>
        <v>0.5665434381</v>
      </c>
      <c r="H239" s="16">
        <f>IFERROR(__xludf.DUMMYFUNCTION("""COMPUTED_VALUE"""),0.538552944283073)</f>
        <v>0.5385529443</v>
      </c>
      <c r="I239" s="16">
        <f>IFERROR(__xludf.DUMMYFUNCTION("""COMPUTED_VALUE"""),0.518088196461579)</f>
        <v>0.5180881965</v>
      </c>
      <c r="J239" s="16">
        <f>IFERROR(__xludf.DUMMYFUNCTION("""COMPUTED_VALUE"""),0.496962493396724)</f>
        <v>0.4969624934</v>
      </c>
      <c r="K239" s="16">
        <f>IFERROR(__xludf.DUMMYFUNCTION("""COMPUTED_VALUE"""),0.477939233817701)</f>
        <v>0.4779392338</v>
      </c>
      <c r="L239" s="16">
        <f>IFERROR(__xludf.DUMMYFUNCTION("""COMPUTED_VALUE"""),0.454869829522928)</f>
        <v>0.4548698295</v>
      </c>
      <c r="M239" s="16">
        <f>IFERROR(__xludf.DUMMYFUNCTION("""COMPUTED_VALUE"""),0.446676357869697)</f>
        <v>0.4466763579</v>
      </c>
      <c r="N239" s="16">
        <f>IFERROR(__xludf.DUMMYFUNCTION("""COMPUTED_VALUE"""),0.437144745538664)</f>
        <v>0.4371447455</v>
      </c>
      <c r="O239" s="16">
        <f>IFERROR(__xludf.DUMMYFUNCTION("""COMPUTED_VALUE"""),0.385684043397724)</f>
        <v>0.3856840434</v>
      </c>
      <c r="P239" s="16">
        <f>IFERROR(__xludf.DUMMYFUNCTION("""COMPUTED_VALUE"""),0.349801324503311)</f>
        <v>0.3498013245</v>
      </c>
      <c r="Q239" s="16">
        <f>IFERROR(__xludf.DUMMYFUNCTION("""COMPUTED_VALUE"""),0.28868850285108)</f>
        <v>0.2886885029</v>
      </c>
      <c r="R239" s="16">
        <f>IFERROR(__xludf.DUMMYFUNCTION("""COMPUTED_VALUE"""),0.252093023255813)</f>
        <v>0.2520930233</v>
      </c>
      <c r="S239" s="16">
        <f>IFERROR(__xludf.DUMMYFUNCTION("""COMPUTED_VALUE"""),0.19875478927203)</f>
        <v>0.1987547893</v>
      </c>
      <c r="T239" s="16">
        <f>IFERROR(__xludf.DUMMYFUNCTION("""COMPUTED_VALUE"""),0.172103487064117)</f>
        <v>0.1721034871</v>
      </c>
      <c r="U239" s="16">
        <f>IFERROR(__xludf.DUMMYFUNCTION("""COMPUTED_VALUE"""),0.154524971836274)</f>
        <v>0.1545249718</v>
      </c>
      <c r="V239" s="16">
        <f>IFERROR(__xludf.DUMMYFUNCTION("""COMPUTED_VALUE"""),0.131150833500702)</f>
        <v>0.1311508335</v>
      </c>
      <c r="W239" s="16">
        <f>IFERROR(__xludf.DUMMYFUNCTION("""COMPUTED_VALUE"""),0.0985306828003457)</f>
        <v>0.0985306828</v>
      </c>
      <c r="X239" s="16">
        <f>IFERROR(__xludf.DUMMYFUNCTION("""COMPUTED_VALUE"""),0.0751024123805188)</f>
        <v>0.07510241238</v>
      </c>
      <c r="Y239" s="16">
        <f>IFERROR(__xludf.DUMMYFUNCTION("""COMPUTED_VALUE"""),0.0621939275220372)</f>
        <v>0.06219392752</v>
      </c>
      <c r="Z239" s="16">
        <f>IFERROR(__xludf.DUMMYFUNCTION("""COMPUTED_VALUE"""),0.045170767535806)</f>
        <v>0.04517076754</v>
      </c>
      <c r="AA239" s="16">
        <f>IFERROR(__xludf.DUMMYFUNCTION("""COMPUTED_VALUE"""),0.029989658738366)</f>
        <v>0.02998965874</v>
      </c>
      <c r="AB239" s="16">
        <f>IFERROR(__xludf.DUMMYFUNCTION("""COMPUTED_VALUE"""),0.0361990950226244)</f>
        <v>0.03619909502</v>
      </c>
      <c r="AC239" s="16">
        <f>IFERROR(__xludf.DUMMYFUNCTION("""COMPUTED_VALUE"""),0.0)</f>
        <v>0</v>
      </c>
      <c r="AD239" s="16">
        <f>IFERROR(__xludf.DUMMYFUNCTION("""COMPUTED_VALUE"""),0.0)</f>
        <v>0</v>
      </c>
      <c r="AE239" s="16">
        <f>IFERROR(__xludf.DUMMYFUNCTION("""COMPUTED_VALUE"""),0.0)</f>
        <v>0</v>
      </c>
      <c r="AF239" s="16">
        <f>IFERROR(__xludf.DUMMYFUNCTION("""COMPUTED_VALUE"""),0.0)</f>
        <v>0</v>
      </c>
      <c r="AG239" s="16">
        <f>IFERROR(__xludf.DUMMYFUNCTION("""COMPUTED_VALUE"""),0.0)</f>
        <v>0</v>
      </c>
      <c r="AH239" s="16">
        <f>IFERROR(__xludf.DUMMYFUNCTION("""COMPUTED_VALUE"""),0.0)</f>
        <v>0</v>
      </c>
    </row>
    <row r="240">
      <c r="A240" s="16" t="str">
        <f>IFERROR(__xludf.DUMMYFUNCTION("""COMPUTED_VALUE"""),"d6ecb3540b1fdba82ccfa1fa9d0dbaa8fe59424c")</f>
        <v>d6ecb3540b1fdba82ccfa1fa9d0dbaa8fe59424c</v>
      </c>
      <c r="B240" s="16" t="str">
        <f>IFERROR(__xludf.DUMMYFUNCTION("""COMPUTED_VALUE"""),"Among the Undead")</f>
        <v>Among the Undead</v>
      </c>
      <c r="C240" s="16" t="str">
        <f>IFERROR(__xludf.DUMMYFUNCTION("""COMPUTED_VALUE"""),"Suspense or Thriller")</f>
        <v>Suspense or Thriller</v>
      </c>
      <c r="D240" s="16">
        <f>IFERROR(__xludf.DUMMYFUNCTION("""COMPUTED_VALUE"""),87.0)</f>
        <v>87</v>
      </c>
      <c r="E240" s="16">
        <f>IFERROR(__xludf.DUMMYFUNCTION("""COMPUTED_VALUE"""),0.942528735632183)</f>
        <v>0.9425287356</v>
      </c>
      <c r="F240" s="16">
        <f>IFERROR(__xludf.DUMMYFUNCTION("""COMPUTED_VALUE"""),0.448275862068965)</f>
        <v>0.4482758621</v>
      </c>
      <c r="G240" s="16">
        <f>IFERROR(__xludf.DUMMYFUNCTION("""COMPUTED_VALUE"""),0.356321839080459)</f>
        <v>0.3563218391</v>
      </c>
      <c r="H240" s="16">
        <f>IFERROR(__xludf.DUMMYFUNCTION("""COMPUTED_VALUE"""),0.25287356321839)</f>
        <v>0.2528735632</v>
      </c>
      <c r="I240" s="16">
        <f>IFERROR(__xludf.DUMMYFUNCTION("""COMPUTED_VALUE"""),0.229885057471264)</f>
        <v>0.2298850575</v>
      </c>
      <c r="J240" s="16">
        <f>IFERROR(__xludf.DUMMYFUNCTION("""COMPUTED_VALUE"""),0.220930232558139)</f>
        <v>0.2209302326</v>
      </c>
      <c r="K240" s="16">
        <f>IFERROR(__xludf.DUMMYFUNCTION("""COMPUTED_VALUE"""),0.154761904761904)</f>
        <v>0.1547619048</v>
      </c>
      <c r="L240" s="16">
        <f>IFERROR(__xludf.DUMMYFUNCTION("""COMPUTED_VALUE"""),0.144578313253012)</f>
        <v>0.1445783133</v>
      </c>
      <c r="M240" s="16">
        <f>IFERROR(__xludf.DUMMYFUNCTION("""COMPUTED_VALUE"""),0.134146341463414)</f>
        <v>0.1341463415</v>
      </c>
      <c r="N240" s="16">
        <f>IFERROR(__xludf.DUMMYFUNCTION("""COMPUTED_VALUE"""),0.151898734177215)</f>
        <v>0.1518987342</v>
      </c>
      <c r="O240" s="16">
        <f>IFERROR(__xludf.DUMMYFUNCTION("""COMPUTED_VALUE"""),0.118421052631578)</f>
        <v>0.1184210526</v>
      </c>
      <c r="P240" s="16">
        <f>IFERROR(__xludf.DUMMYFUNCTION("""COMPUTED_VALUE"""),0.1)</f>
        <v>0.1</v>
      </c>
      <c r="Q240" s="16">
        <f>IFERROR(__xludf.DUMMYFUNCTION("""COMPUTED_VALUE"""),0.130434782608695)</f>
        <v>0.1304347826</v>
      </c>
      <c r="R240" s="16">
        <f>IFERROR(__xludf.DUMMYFUNCTION("""COMPUTED_VALUE"""),0.0434782608695652)</f>
        <v>0.04347826087</v>
      </c>
      <c r="S240" s="16">
        <f>IFERROR(__xludf.DUMMYFUNCTION("""COMPUTED_VALUE"""),0.0)</f>
        <v>0</v>
      </c>
      <c r="T240" s="16">
        <f>IFERROR(__xludf.DUMMYFUNCTION("""COMPUTED_VALUE"""),0.0526315789473684)</f>
        <v>0.05263157895</v>
      </c>
      <c r="U240" s="16">
        <f>IFERROR(__xludf.DUMMYFUNCTION("""COMPUTED_VALUE"""),0.0)</f>
        <v>0</v>
      </c>
      <c r="V240" s="16">
        <f>IFERROR(__xludf.DUMMYFUNCTION("""COMPUTED_VALUE"""),0.0)</f>
        <v>0</v>
      </c>
      <c r="W240" s="16">
        <f>IFERROR(__xludf.DUMMYFUNCTION("""COMPUTED_VALUE"""),0.0)</f>
        <v>0</v>
      </c>
      <c r="X240" s="16">
        <f>IFERROR(__xludf.DUMMYFUNCTION("""COMPUTED_VALUE"""),0.0)</f>
        <v>0</v>
      </c>
      <c r="Y240" s="16">
        <f>IFERROR(__xludf.DUMMYFUNCTION("""COMPUTED_VALUE"""),0.0)</f>
        <v>0</v>
      </c>
      <c r="Z240" s="16">
        <f>IFERROR(__xludf.DUMMYFUNCTION("""COMPUTED_VALUE"""),0.0)</f>
        <v>0</v>
      </c>
      <c r="AA240" s="16">
        <f>IFERROR(__xludf.DUMMYFUNCTION("""COMPUTED_VALUE"""),0.0)</f>
        <v>0</v>
      </c>
      <c r="AB240" s="16">
        <f>IFERROR(__xludf.DUMMYFUNCTION("""COMPUTED_VALUE"""),0.0)</f>
        <v>0</v>
      </c>
      <c r="AC240" s="16">
        <f>IFERROR(__xludf.DUMMYFUNCTION("""COMPUTED_VALUE"""),0.0)</f>
        <v>0</v>
      </c>
      <c r="AD240" s="16">
        <f>IFERROR(__xludf.DUMMYFUNCTION("""COMPUTED_VALUE"""),0.0)</f>
        <v>0</v>
      </c>
      <c r="AE240" s="16">
        <f>IFERROR(__xludf.DUMMYFUNCTION("""COMPUTED_VALUE"""),0.0)</f>
        <v>0</v>
      </c>
      <c r="AF240" s="16">
        <f>IFERROR(__xludf.DUMMYFUNCTION("""COMPUTED_VALUE"""),0.0)</f>
        <v>0</v>
      </c>
      <c r="AG240" s="16">
        <f>IFERROR(__xludf.DUMMYFUNCTION("""COMPUTED_VALUE"""),0.0)</f>
        <v>0</v>
      </c>
      <c r="AH240" s="16">
        <f>IFERROR(__xludf.DUMMYFUNCTION("""COMPUTED_VALUE"""),0.0)</f>
        <v>0</v>
      </c>
    </row>
    <row r="241">
      <c r="A241" s="16" t="str">
        <f>IFERROR(__xludf.DUMMYFUNCTION("""COMPUTED_VALUE"""),"d71fc923d0820825aefcf4bf75b7743891f7feac")</f>
        <v>d71fc923d0820825aefcf4bf75b7743891f7feac</v>
      </c>
      <c r="B241" s="16" t="str">
        <f>IFERROR(__xludf.DUMMYFUNCTION("""COMPUTED_VALUE"""),"Only One Race")</f>
        <v>Only One Race</v>
      </c>
      <c r="C241" s="16" t="str">
        <f>IFERROR(__xludf.DUMMYFUNCTION("""COMPUTED_VALUE"""),"Fantasy")</f>
        <v>Fantasy</v>
      </c>
      <c r="D241" s="16">
        <f>IFERROR(__xludf.DUMMYFUNCTION("""COMPUTED_VALUE"""),105.0)</f>
        <v>105</v>
      </c>
      <c r="E241" s="16">
        <f>IFERROR(__xludf.DUMMYFUNCTION("""COMPUTED_VALUE"""),0.98095238095238)</f>
        <v>0.980952381</v>
      </c>
      <c r="F241" s="16">
        <f>IFERROR(__xludf.DUMMYFUNCTION("""COMPUTED_VALUE"""),0.409523809523809)</f>
        <v>0.4095238095</v>
      </c>
      <c r="G241" s="16">
        <f>IFERROR(__xludf.DUMMYFUNCTION("""COMPUTED_VALUE"""),0.352380952380952)</f>
        <v>0.3523809524</v>
      </c>
      <c r="H241" s="16">
        <f>IFERROR(__xludf.DUMMYFUNCTION("""COMPUTED_VALUE"""),0.323809523809523)</f>
        <v>0.3238095238</v>
      </c>
      <c r="I241" s="16">
        <f>IFERROR(__xludf.DUMMYFUNCTION("""COMPUTED_VALUE"""),0.323809523809523)</f>
        <v>0.3238095238</v>
      </c>
      <c r="J241" s="16">
        <f>IFERROR(__xludf.DUMMYFUNCTION("""COMPUTED_VALUE"""),0.285714285714285)</f>
        <v>0.2857142857</v>
      </c>
      <c r="K241" s="16">
        <f>IFERROR(__xludf.DUMMYFUNCTION("""COMPUTED_VALUE"""),0.278846153846153)</f>
        <v>0.2788461538</v>
      </c>
      <c r="L241" s="16">
        <f>IFERROR(__xludf.DUMMYFUNCTION("""COMPUTED_VALUE"""),0.282828282828282)</f>
        <v>0.2828282828</v>
      </c>
      <c r="M241" s="16">
        <f>IFERROR(__xludf.DUMMYFUNCTION("""COMPUTED_VALUE"""),0.25531914893617)</f>
        <v>0.2553191489</v>
      </c>
      <c r="N241" s="16">
        <f>IFERROR(__xludf.DUMMYFUNCTION("""COMPUTED_VALUE"""),0.268817204301075)</f>
        <v>0.2688172043</v>
      </c>
      <c r="O241" s="16">
        <f>IFERROR(__xludf.DUMMYFUNCTION("""COMPUTED_VALUE"""),0.205128205128205)</f>
        <v>0.2051282051</v>
      </c>
      <c r="P241" s="16">
        <f>IFERROR(__xludf.DUMMYFUNCTION("""COMPUTED_VALUE"""),0.0588235294117647)</f>
        <v>0.05882352941</v>
      </c>
      <c r="Q241" s="16">
        <f>IFERROR(__xludf.DUMMYFUNCTION("""COMPUTED_VALUE"""),0.0689655172413793)</f>
        <v>0.06896551724</v>
      </c>
      <c r="R241" s="16">
        <f>IFERROR(__xludf.DUMMYFUNCTION("""COMPUTED_VALUE"""),0.0666666666666666)</f>
        <v>0.06666666667</v>
      </c>
      <c r="S241" s="16">
        <f>IFERROR(__xludf.DUMMYFUNCTION("""COMPUTED_VALUE"""),0.0)</f>
        <v>0</v>
      </c>
      <c r="T241" s="16">
        <f>IFERROR(__xludf.DUMMYFUNCTION("""COMPUTED_VALUE"""),0.0)</f>
        <v>0</v>
      </c>
      <c r="U241" s="16">
        <f>IFERROR(__xludf.DUMMYFUNCTION("""COMPUTED_VALUE"""),0.0)</f>
        <v>0</v>
      </c>
      <c r="V241" s="16">
        <f>IFERROR(__xludf.DUMMYFUNCTION("""COMPUTED_VALUE"""),0.0)</f>
        <v>0</v>
      </c>
      <c r="W241" s="16">
        <f>IFERROR(__xludf.DUMMYFUNCTION("""COMPUTED_VALUE"""),0.0)</f>
        <v>0</v>
      </c>
      <c r="X241" s="16">
        <f>IFERROR(__xludf.DUMMYFUNCTION("""COMPUTED_VALUE"""),0.0)</f>
        <v>0</v>
      </c>
      <c r="Y241" s="16">
        <f>IFERROR(__xludf.DUMMYFUNCTION("""COMPUTED_VALUE"""),0.0)</f>
        <v>0</v>
      </c>
      <c r="Z241" s="16">
        <f>IFERROR(__xludf.DUMMYFUNCTION("""COMPUTED_VALUE"""),0.0)</f>
        <v>0</v>
      </c>
      <c r="AA241" s="16">
        <f>IFERROR(__xludf.DUMMYFUNCTION("""COMPUTED_VALUE"""),0.0)</f>
        <v>0</v>
      </c>
      <c r="AB241" s="16">
        <f>IFERROR(__xludf.DUMMYFUNCTION("""COMPUTED_VALUE"""),0.0)</f>
        <v>0</v>
      </c>
      <c r="AC241" s="16">
        <f>IFERROR(__xludf.DUMMYFUNCTION("""COMPUTED_VALUE"""),0.0)</f>
        <v>0</v>
      </c>
      <c r="AD241" s="16">
        <f>IFERROR(__xludf.DUMMYFUNCTION("""COMPUTED_VALUE"""),0.0)</f>
        <v>0</v>
      </c>
      <c r="AE241" s="16">
        <f>IFERROR(__xludf.DUMMYFUNCTION("""COMPUTED_VALUE"""),0.0)</f>
        <v>0</v>
      </c>
      <c r="AF241" s="16">
        <f>IFERROR(__xludf.DUMMYFUNCTION("""COMPUTED_VALUE"""),0.0)</f>
        <v>0</v>
      </c>
      <c r="AG241" s="16">
        <f>IFERROR(__xludf.DUMMYFUNCTION("""COMPUTED_VALUE"""),0.0)</f>
        <v>0</v>
      </c>
      <c r="AH241" s="16">
        <f>IFERROR(__xludf.DUMMYFUNCTION("""COMPUTED_VALUE"""),0.0)</f>
        <v>0</v>
      </c>
    </row>
    <row r="242">
      <c r="A242" s="16" t="str">
        <f>IFERROR(__xludf.DUMMYFUNCTION("""COMPUTED_VALUE"""),"da2b63280d328cd78ef9102ea4f7f131a3ff6369")</f>
        <v>da2b63280d328cd78ef9102ea4f7f131a3ff6369</v>
      </c>
      <c r="B242" s="16" t="str">
        <f>IFERROR(__xludf.DUMMYFUNCTION("""COMPUTED_VALUE"""),"I Returned for Revenge")</f>
        <v>I Returned for Revenge</v>
      </c>
      <c r="C242" s="16" t="str">
        <f>IFERROR(__xludf.DUMMYFUNCTION("""COMPUTED_VALUE"""),"Romance")</f>
        <v>Romance</v>
      </c>
      <c r="D242" s="16">
        <f>IFERROR(__xludf.DUMMYFUNCTION("""COMPUTED_VALUE"""),357.0)</f>
        <v>357</v>
      </c>
      <c r="E242" s="16">
        <f>IFERROR(__xludf.DUMMYFUNCTION("""COMPUTED_VALUE"""),0.963585434173669)</f>
        <v>0.9635854342</v>
      </c>
      <c r="F242" s="16">
        <f>IFERROR(__xludf.DUMMYFUNCTION("""COMPUTED_VALUE"""),0.677871148459383)</f>
        <v>0.6778711485</v>
      </c>
      <c r="G242" s="16">
        <f>IFERROR(__xludf.DUMMYFUNCTION("""COMPUTED_VALUE"""),0.610644257703081)</f>
        <v>0.6106442577</v>
      </c>
      <c r="H242" s="16">
        <f>IFERROR(__xludf.DUMMYFUNCTION("""COMPUTED_VALUE"""),0.582633053221288)</f>
        <v>0.5826330532</v>
      </c>
      <c r="I242" s="16">
        <f>IFERROR(__xludf.DUMMYFUNCTION("""COMPUTED_VALUE"""),0.563025210084033)</f>
        <v>0.5630252101</v>
      </c>
      <c r="J242" s="16">
        <f>IFERROR(__xludf.DUMMYFUNCTION("""COMPUTED_VALUE"""),0.544943820224719)</f>
        <v>0.5449438202</v>
      </c>
      <c r="K242" s="16">
        <f>IFERROR(__xludf.DUMMYFUNCTION("""COMPUTED_VALUE"""),0.504225352112676)</f>
        <v>0.5042253521</v>
      </c>
      <c r="L242" s="16">
        <f>IFERROR(__xludf.DUMMYFUNCTION("""COMPUTED_VALUE"""),0.463068181818181)</f>
        <v>0.4630681818</v>
      </c>
      <c r="M242" s="16">
        <f>IFERROR(__xludf.DUMMYFUNCTION("""COMPUTED_VALUE"""),0.467048710601719)</f>
        <v>0.4670487106</v>
      </c>
      <c r="N242" s="16">
        <f>IFERROR(__xludf.DUMMYFUNCTION("""COMPUTED_VALUE"""),0.433908045977011)</f>
        <v>0.433908046</v>
      </c>
      <c r="O242" s="16">
        <f>IFERROR(__xludf.DUMMYFUNCTION("""COMPUTED_VALUE"""),0.227722772277227)</f>
        <v>0.2277227723</v>
      </c>
      <c r="P242" s="16">
        <f>IFERROR(__xludf.DUMMYFUNCTION("""COMPUTED_VALUE"""),0.0697674418604651)</f>
        <v>0.06976744186</v>
      </c>
      <c r="Q242" s="16">
        <f>IFERROR(__xludf.DUMMYFUNCTION("""COMPUTED_VALUE"""),0.027027027027027)</f>
        <v>0.02702702703</v>
      </c>
      <c r="R242" s="16">
        <f>IFERROR(__xludf.DUMMYFUNCTION("""COMPUTED_VALUE"""),0.0294117647058823)</f>
        <v>0.02941176471</v>
      </c>
      <c r="S242" s="16">
        <f>IFERROR(__xludf.DUMMYFUNCTION("""COMPUTED_VALUE"""),0.0)</f>
        <v>0</v>
      </c>
      <c r="T242" s="16">
        <f>IFERROR(__xludf.DUMMYFUNCTION("""COMPUTED_VALUE"""),0.0)</f>
        <v>0</v>
      </c>
      <c r="U242" s="16">
        <f>IFERROR(__xludf.DUMMYFUNCTION("""COMPUTED_VALUE"""),0.0)</f>
        <v>0</v>
      </c>
      <c r="V242" s="16">
        <f>IFERROR(__xludf.DUMMYFUNCTION("""COMPUTED_VALUE"""),0.0)</f>
        <v>0</v>
      </c>
      <c r="W242" s="16">
        <f>IFERROR(__xludf.DUMMYFUNCTION("""COMPUTED_VALUE"""),0.0)</f>
        <v>0</v>
      </c>
      <c r="X242" s="16">
        <f>IFERROR(__xludf.DUMMYFUNCTION("""COMPUTED_VALUE"""),0.0)</f>
        <v>0</v>
      </c>
      <c r="Y242" s="16">
        <f>IFERROR(__xludf.DUMMYFUNCTION("""COMPUTED_VALUE"""),0.0)</f>
        <v>0</v>
      </c>
      <c r="Z242" s="16">
        <f>IFERROR(__xludf.DUMMYFUNCTION("""COMPUTED_VALUE"""),0.0)</f>
        <v>0</v>
      </c>
      <c r="AA242" s="16">
        <f>IFERROR(__xludf.DUMMYFUNCTION("""COMPUTED_VALUE"""),0.0)</f>
        <v>0</v>
      </c>
      <c r="AB242" s="16">
        <f>IFERROR(__xludf.DUMMYFUNCTION("""COMPUTED_VALUE"""),0.0)</f>
        <v>0</v>
      </c>
      <c r="AC242" s="16">
        <f>IFERROR(__xludf.DUMMYFUNCTION("""COMPUTED_VALUE"""),0.0)</f>
        <v>0</v>
      </c>
      <c r="AD242" s="16">
        <f>IFERROR(__xludf.DUMMYFUNCTION("""COMPUTED_VALUE"""),0.0)</f>
        <v>0</v>
      </c>
      <c r="AE242" s="16">
        <f>IFERROR(__xludf.DUMMYFUNCTION("""COMPUTED_VALUE"""),0.0)</f>
        <v>0</v>
      </c>
      <c r="AF242" s="16">
        <f>IFERROR(__xludf.DUMMYFUNCTION("""COMPUTED_VALUE"""),0.0)</f>
        <v>0</v>
      </c>
      <c r="AG242" s="16">
        <f>IFERROR(__xludf.DUMMYFUNCTION("""COMPUTED_VALUE"""),0.0)</f>
        <v>0</v>
      </c>
      <c r="AH242" s="16">
        <f>IFERROR(__xludf.DUMMYFUNCTION("""COMPUTED_VALUE"""),0.0)</f>
        <v>0</v>
      </c>
    </row>
    <row r="243">
      <c r="A243" s="16" t="str">
        <f>IFERROR(__xludf.DUMMYFUNCTION("""COMPUTED_VALUE"""),"da5271db73c1f23560f26da633ebffb91df9abd6")</f>
        <v>da5271db73c1f23560f26da633ebffb91df9abd6</v>
      </c>
      <c r="B243" s="16" t="str">
        <f>IFERROR(__xludf.DUMMYFUNCTION("""COMPUTED_VALUE"""),"Sold to the Alpha King")</f>
        <v>Sold to the Alpha King</v>
      </c>
      <c r="C243" s="16" t="str">
        <f>IFERROR(__xludf.DUMMYFUNCTION("""COMPUTED_VALUE"""),"Romance")</f>
        <v>Romance</v>
      </c>
      <c r="D243" s="16">
        <f>IFERROR(__xludf.DUMMYFUNCTION("""COMPUTED_VALUE"""),194.0)</f>
        <v>194</v>
      </c>
      <c r="E243" s="16">
        <f>IFERROR(__xludf.DUMMYFUNCTION("""COMPUTED_VALUE"""),0.979381443298969)</f>
        <v>0.9793814433</v>
      </c>
      <c r="F243" s="16">
        <f>IFERROR(__xludf.DUMMYFUNCTION("""COMPUTED_VALUE"""),0.639175257731958)</f>
        <v>0.6391752577</v>
      </c>
      <c r="G243" s="16">
        <f>IFERROR(__xludf.DUMMYFUNCTION("""COMPUTED_VALUE"""),0.505154639175257)</f>
        <v>0.5051546392</v>
      </c>
      <c r="H243" s="16">
        <f>IFERROR(__xludf.DUMMYFUNCTION("""COMPUTED_VALUE"""),0.448453608247422)</f>
        <v>0.4484536082</v>
      </c>
      <c r="I243" s="16">
        <f>IFERROR(__xludf.DUMMYFUNCTION("""COMPUTED_VALUE"""),0.381443298969072)</f>
        <v>0.381443299</v>
      </c>
      <c r="J243" s="16">
        <f>IFERROR(__xludf.DUMMYFUNCTION("""COMPUTED_VALUE"""),0.33695652173913)</f>
        <v>0.3369565217</v>
      </c>
      <c r="K243" s="16">
        <f>IFERROR(__xludf.DUMMYFUNCTION("""COMPUTED_VALUE"""),0.32)</f>
        <v>0.32</v>
      </c>
      <c r="L243" s="16">
        <f>IFERROR(__xludf.DUMMYFUNCTION("""COMPUTED_VALUE"""),0.270588235294117)</f>
        <v>0.2705882353</v>
      </c>
      <c r="M243" s="16">
        <f>IFERROR(__xludf.DUMMYFUNCTION("""COMPUTED_VALUE"""),0.257668711656441)</f>
        <v>0.2576687117</v>
      </c>
      <c r="N243" s="16">
        <f>IFERROR(__xludf.DUMMYFUNCTION("""COMPUTED_VALUE"""),0.251700680272108)</f>
        <v>0.2517006803</v>
      </c>
      <c r="O243" s="16">
        <f>IFERROR(__xludf.DUMMYFUNCTION("""COMPUTED_VALUE"""),0.164556962025316)</f>
        <v>0.164556962</v>
      </c>
      <c r="P243" s="16">
        <f>IFERROR(__xludf.DUMMYFUNCTION("""COMPUTED_VALUE"""),0.222222222222222)</f>
        <v>0.2222222222</v>
      </c>
      <c r="Q243" s="16">
        <f>IFERROR(__xludf.DUMMYFUNCTION("""COMPUTED_VALUE"""),0.0)</f>
        <v>0</v>
      </c>
      <c r="R243" s="16">
        <f>IFERROR(__xludf.DUMMYFUNCTION("""COMPUTED_VALUE"""),0.0)</f>
        <v>0</v>
      </c>
      <c r="S243" s="16">
        <f>IFERROR(__xludf.DUMMYFUNCTION("""COMPUTED_VALUE"""),0.0)</f>
        <v>0</v>
      </c>
      <c r="T243" s="16">
        <f>IFERROR(__xludf.DUMMYFUNCTION("""COMPUTED_VALUE"""),0.0)</f>
        <v>0</v>
      </c>
      <c r="U243" s="16">
        <f>IFERROR(__xludf.DUMMYFUNCTION("""COMPUTED_VALUE"""),0.0)</f>
        <v>0</v>
      </c>
      <c r="V243" s="16">
        <f>IFERROR(__xludf.DUMMYFUNCTION("""COMPUTED_VALUE"""),0.0)</f>
        <v>0</v>
      </c>
      <c r="W243" s="16">
        <f>IFERROR(__xludf.DUMMYFUNCTION("""COMPUTED_VALUE"""),0.0)</f>
        <v>0</v>
      </c>
      <c r="X243" s="16">
        <f>IFERROR(__xludf.DUMMYFUNCTION("""COMPUTED_VALUE"""),0.0)</f>
        <v>0</v>
      </c>
      <c r="Y243" s="16">
        <f>IFERROR(__xludf.DUMMYFUNCTION("""COMPUTED_VALUE"""),0.0)</f>
        <v>0</v>
      </c>
      <c r="Z243" s="16">
        <f>IFERROR(__xludf.DUMMYFUNCTION("""COMPUTED_VALUE"""),0.0)</f>
        <v>0</v>
      </c>
      <c r="AA243" s="16">
        <f>IFERROR(__xludf.DUMMYFUNCTION("""COMPUTED_VALUE"""),0.0)</f>
        <v>0</v>
      </c>
      <c r="AB243" s="16">
        <f>IFERROR(__xludf.DUMMYFUNCTION("""COMPUTED_VALUE"""),0.0)</f>
        <v>0</v>
      </c>
      <c r="AC243" s="16">
        <f>IFERROR(__xludf.DUMMYFUNCTION("""COMPUTED_VALUE"""),0.0)</f>
        <v>0</v>
      </c>
      <c r="AD243" s="16">
        <f>IFERROR(__xludf.DUMMYFUNCTION("""COMPUTED_VALUE"""),0.0)</f>
        <v>0</v>
      </c>
      <c r="AE243" s="16">
        <f>IFERROR(__xludf.DUMMYFUNCTION("""COMPUTED_VALUE"""),0.0)</f>
        <v>0</v>
      </c>
      <c r="AF243" s="16">
        <f>IFERROR(__xludf.DUMMYFUNCTION("""COMPUTED_VALUE"""),0.0)</f>
        <v>0</v>
      </c>
      <c r="AG243" s="16">
        <f>IFERROR(__xludf.DUMMYFUNCTION("""COMPUTED_VALUE"""),0.0)</f>
        <v>0</v>
      </c>
      <c r="AH243" s="16">
        <f>IFERROR(__xludf.DUMMYFUNCTION("""COMPUTED_VALUE"""),0.0)</f>
        <v>0</v>
      </c>
    </row>
    <row r="244">
      <c r="A244" s="16" t="str">
        <f>IFERROR(__xludf.DUMMYFUNCTION("""COMPUTED_VALUE"""),"da8d32c5473daa3dc16575cdcd79a118bb445ffb")</f>
        <v>da8d32c5473daa3dc16575cdcd79a118bb445ffb</v>
      </c>
      <c r="B244" s="16" t="str">
        <f>IFERROR(__xludf.DUMMYFUNCTION("""COMPUTED_VALUE"""),"Bold Step Against Hoffman")</f>
        <v>Bold Step Against Hoffman</v>
      </c>
      <c r="C244" s="16" t="str">
        <f>IFERROR(__xludf.DUMMYFUNCTION("""COMPUTED_VALUE"""),"Romance")</f>
        <v>Romance</v>
      </c>
      <c r="D244" s="16">
        <f>IFERROR(__xludf.DUMMYFUNCTION("""COMPUTED_VALUE"""),317.0)</f>
        <v>317</v>
      </c>
      <c r="E244" s="16">
        <f>IFERROR(__xludf.DUMMYFUNCTION("""COMPUTED_VALUE"""),0.977917981072555)</f>
        <v>0.9779179811</v>
      </c>
      <c r="F244" s="16">
        <f>IFERROR(__xludf.DUMMYFUNCTION("""COMPUTED_VALUE"""),0.533123028391167)</f>
        <v>0.5331230284</v>
      </c>
      <c r="G244" s="16">
        <f>IFERROR(__xludf.DUMMYFUNCTION("""COMPUTED_VALUE"""),0.444794952681388)</f>
        <v>0.4447949527</v>
      </c>
      <c r="H244" s="16">
        <f>IFERROR(__xludf.DUMMYFUNCTION("""COMPUTED_VALUE"""),0.3596214511041)</f>
        <v>0.3596214511</v>
      </c>
      <c r="I244" s="16">
        <f>IFERROR(__xludf.DUMMYFUNCTION("""COMPUTED_VALUE"""),0.318611987381703)</f>
        <v>0.3186119874</v>
      </c>
      <c r="J244" s="16">
        <f>IFERROR(__xludf.DUMMYFUNCTION("""COMPUTED_VALUE"""),0.288961038961039)</f>
        <v>0.288961039</v>
      </c>
      <c r="K244" s="16">
        <f>IFERROR(__xludf.DUMMYFUNCTION("""COMPUTED_VALUE"""),0.285714285714285)</f>
        <v>0.2857142857</v>
      </c>
      <c r="L244" s="16">
        <f>IFERROR(__xludf.DUMMYFUNCTION("""COMPUTED_VALUE"""),0.258503401360544)</f>
        <v>0.2585034014</v>
      </c>
      <c r="M244" s="16">
        <f>IFERROR(__xludf.DUMMYFUNCTION("""COMPUTED_VALUE"""),0.263888888888888)</f>
        <v>0.2638888889</v>
      </c>
      <c r="N244" s="16">
        <f>IFERROR(__xludf.DUMMYFUNCTION("""COMPUTED_VALUE"""),0.26241134751773)</f>
        <v>0.2624113475</v>
      </c>
      <c r="O244" s="16">
        <f>IFERROR(__xludf.DUMMYFUNCTION("""COMPUTED_VALUE"""),0.2)</f>
        <v>0.2</v>
      </c>
      <c r="P244" s="16">
        <f>IFERROR(__xludf.DUMMYFUNCTION("""COMPUTED_VALUE"""),0.109090909090909)</f>
        <v>0.1090909091</v>
      </c>
      <c r="Q244" s="16">
        <f>IFERROR(__xludf.DUMMYFUNCTION("""COMPUTED_VALUE"""),0.133333333333333)</f>
        <v>0.1333333333</v>
      </c>
      <c r="R244" s="16">
        <f>IFERROR(__xludf.DUMMYFUNCTION("""COMPUTED_VALUE"""),0.125)</f>
        <v>0.125</v>
      </c>
      <c r="S244" s="16">
        <f>IFERROR(__xludf.DUMMYFUNCTION("""COMPUTED_VALUE"""),0.122807017543859)</f>
        <v>0.1228070175</v>
      </c>
      <c r="T244" s="16">
        <f>IFERROR(__xludf.DUMMYFUNCTION("""COMPUTED_VALUE"""),0.0227272727272727)</f>
        <v>0.02272727273</v>
      </c>
      <c r="U244" s="16">
        <f>IFERROR(__xludf.DUMMYFUNCTION("""COMPUTED_VALUE"""),0.0263157894736842)</f>
        <v>0.02631578947</v>
      </c>
      <c r="V244" s="16">
        <f>IFERROR(__xludf.DUMMYFUNCTION("""COMPUTED_VALUE"""),0.0)</f>
        <v>0</v>
      </c>
      <c r="W244" s="16">
        <f>IFERROR(__xludf.DUMMYFUNCTION("""COMPUTED_VALUE"""),0.0)</f>
        <v>0</v>
      </c>
      <c r="X244" s="16">
        <f>IFERROR(__xludf.DUMMYFUNCTION("""COMPUTED_VALUE"""),0.0)</f>
        <v>0</v>
      </c>
      <c r="Y244" s="16">
        <f>IFERROR(__xludf.DUMMYFUNCTION("""COMPUTED_VALUE"""),0.0)</f>
        <v>0</v>
      </c>
      <c r="Z244" s="16">
        <f>IFERROR(__xludf.DUMMYFUNCTION("""COMPUTED_VALUE"""),0.0)</f>
        <v>0</v>
      </c>
      <c r="AA244" s="16">
        <f>IFERROR(__xludf.DUMMYFUNCTION("""COMPUTED_VALUE"""),0.0)</f>
        <v>0</v>
      </c>
      <c r="AB244" s="16">
        <f>IFERROR(__xludf.DUMMYFUNCTION("""COMPUTED_VALUE"""),0.0)</f>
        <v>0</v>
      </c>
      <c r="AC244" s="16">
        <f>IFERROR(__xludf.DUMMYFUNCTION("""COMPUTED_VALUE"""),0.0)</f>
        <v>0</v>
      </c>
      <c r="AD244" s="16">
        <f>IFERROR(__xludf.DUMMYFUNCTION("""COMPUTED_VALUE"""),0.0)</f>
        <v>0</v>
      </c>
      <c r="AE244" s="16">
        <f>IFERROR(__xludf.DUMMYFUNCTION("""COMPUTED_VALUE"""),0.0)</f>
        <v>0</v>
      </c>
      <c r="AF244" s="16">
        <f>IFERROR(__xludf.DUMMYFUNCTION("""COMPUTED_VALUE"""),0.0)</f>
        <v>0</v>
      </c>
      <c r="AG244" s="16">
        <f>IFERROR(__xludf.DUMMYFUNCTION("""COMPUTED_VALUE"""),0.0)</f>
        <v>0</v>
      </c>
      <c r="AH244" s="16">
        <f>IFERROR(__xludf.DUMMYFUNCTION("""COMPUTED_VALUE"""),0.0)</f>
        <v>0</v>
      </c>
    </row>
    <row r="245">
      <c r="A245" s="16" t="str">
        <f>IFERROR(__xludf.DUMMYFUNCTION("""COMPUTED_VALUE"""),"daa40d9ff542ace7e27440803ddf4307bbd54bdd")</f>
        <v>daa40d9ff542ace7e27440803ddf4307bbd54bdd</v>
      </c>
      <c r="B245" s="16" t="str">
        <f>IFERROR(__xludf.DUMMYFUNCTION("""COMPUTED_VALUE"""),"Villain's Harem")</f>
        <v>Villain's Harem</v>
      </c>
      <c r="C245" s="16" t="str">
        <f>IFERROR(__xludf.DUMMYFUNCTION("""COMPUTED_VALUE"""),"Romantasy")</f>
        <v>Romantasy</v>
      </c>
      <c r="D245" s="16">
        <f>IFERROR(__xludf.DUMMYFUNCTION("""COMPUTED_VALUE"""),68.0)</f>
        <v>68</v>
      </c>
      <c r="E245" s="16">
        <f>IFERROR(__xludf.DUMMYFUNCTION("""COMPUTED_VALUE"""),0.941176470588235)</f>
        <v>0.9411764706</v>
      </c>
      <c r="F245" s="16">
        <f>IFERROR(__xludf.DUMMYFUNCTION("""COMPUTED_VALUE"""),0.602941176470588)</f>
        <v>0.6029411765</v>
      </c>
      <c r="G245" s="16">
        <f>IFERROR(__xludf.DUMMYFUNCTION("""COMPUTED_VALUE"""),0.558823529411764)</f>
        <v>0.5588235294</v>
      </c>
      <c r="H245" s="16">
        <f>IFERROR(__xludf.DUMMYFUNCTION("""COMPUTED_VALUE"""),0.514705882352941)</f>
        <v>0.5147058824</v>
      </c>
      <c r="I245" s="16">
        <f>IFERROR(__xludf.DUMMYFUNCTION("""COMPUTED_VALUE"""),0.367647058823529)</f>
        <v>0.3676470588</v>
      </c>
      <c r="J245" s="16">
        <f>IFERROR(__xludf.DUMMYFUNCTION("""COMPUTED_VALUE"""),0.388059701492537)</f>
        <v>0.3880597015</v>
      </c>
      <c r="K245" s="16">
        <f>IFERROR(__xludf.DUMMYFUNCTION("""COMPUTED_VALUE"""),0.35820895522388)</f>
        <v>0.3582089552</v>
      </c>
      <c r="L245" s="16">
        <f>IFERROR(__xludf.DUMMYFUNCTION("""COMPUTED_VALUE"""),0.272727272727272)</f>
        <v>0.2727272727</v>
      </c>
      <c r="M245" s="16">
        <f>IFERROR(__xludf.DUMMYFUNCTION("""COMPUTED_VALUE"""),0.287878787878787)</f>
        <v>0.2878787879</v>
      </c>
      <c r="N245" s="16">
        <f>IFERROR(__xludf.DUMMYFUNCTION("""COMPUTED_VALUE"""),0.303030303030303)</f>
        <v>0.303030303</v>
      </c>
      <c r="O245" s="16">
        <f>IFERROR(__xludf.DUMMYFUNCTION("""COMPUTED_VALUE"""),0.21311475409836)</f>
        <v>0.2131147541</v>
      </c>
      <c r="P245" s="16">
        <f>IFERROR(__xludf.DUMMYFUNCTION("""COMPUTED_VALUE"""),0.074074074074074)</f>
        <v>0.07407407407</v>
      </c>
      <c r="Q245" s="16">
        <f>IFERROR(__xludf.DUMMYFUNCTION("""COMPUTED_VALUE"""),0.0)</f>
        <v>0</v>
      </c>
      <c r="R245" s="16">
        <f>IFERROR(__xludf.DUMMYFUNCTION("""COMPUTED_VALUE"""),0.0)</f>
        <v>0</v>
      </c>
      <c r="S245" s="16">
        <f>IFERROR(__xludf.DUMMYFUNCTION("""COMPUTED_VALUE"""),0.0)</f>
        <v>0</v>
      </c>
      <c r="T245" s="16">
        <f>IFERROR(__xludf.DUMMYFUNCTION("""COMPUTED_VALUE"""),0.0)</f>
        <v>0</v>
      </c>
      <c r="U245" s="16">
        <f>IFERROR(__xludf.DUMMYFUNCTION("""COMPUTED_VALUE"""),0.0)</f>
        <v>0</v>
      </c>
      <c r="V245" s="16">
        <f>IFERROR(__xludf.DUMMYFUNCTION("""COMPUTED_VALUE"""),0.0)</f>
        <v>0</v>
      </c>
      <c r="W245" s="16">
        <f>IFERROR(__xludf.DUMMYFUNCTION("""COMPUTED_VALUE"""),0.0)</f>
        <v>0</v>
      </c>
      <c r="X245" s="16">
        <f>IFERROR(__xludf.DUMMYFUNCTION("""COMPUTED_VALUE"""),0.0)</f>
        <v>0</v>
      </c>
      <c r="Y245" s="16">
        <f>IFERROR(__xludf.DUMMYFUNCTION("""COMPUTED_VALUE"""),0.0)</f>
        <v>0</v>
      </c>
      <c r="Z245" s="16">
        <f>IFERROR(__xludf.DUMMYFUNCTION("""COMPUTED_VALUE"""),0.0)</f>
        <v>0</v>
      </c>
      <c r="AA245" s="16">
        <f>IFERROR(__xludf.DUMMYFUNCTION("""COMPUTED_VALUE"""),0.0)</f>
        <v>0</v>
      </c>
      <c r="AB245" s="16">
        <f>IFERROR(__xludf.DUMMYFUNCTION("""COMPUTED_VALUE"""),0.0)</f>
        <v>0</v>
      </c>
      <c r="AC245" s="16">
        <f>IFERROR(__xludf.DUMMYFUNCTION("""COMPUTED_VALUE"""),0.0)</f>
        <v>0</v>
      </c>
      <c r="AD245" s="16">
        <f>IFERROR(__xludf.DUMMYFUNCTION("""COMPUTED_VALUE"""),0.0)</f>
        <v>0</v>
      </c>
      <c r="AE245" s="16">
        <f>IFERROR(__xludf.DUMMYFUNCTION("""COMPUTED_VALUE"""),0.0)</f>
        <v>0</v>
      </c>
      <c r="AF245" s="16">
        <f>IFERROR(__xludf.DUMMYFUNCTION("""COMPUTED_VALUE"""),0.0)</f>
        <v>0</v>
      </c>
      <c r="AG245" s="16">
        <f>IFERROR(__xludf.DUMMYFUNCTION("""COMPUTED_VALUE"""),0.0)</f>
        <v>0</v>
      </c>
      <c r="AH245" s="16">
        <f>IFERROR(__xludf.DUMMYFUNCTION("""COMPUTED_VALUE"""),0.0)</f>
        <v>0</v>
      </c>
    </row>
    <row r="246">
      <c r="A246" s="16" t="str">
        <f>IFERROR(__xludf.DUMMYFUNCTION("""COMPUTED_VALUE"""),"db982055d0205f85b154941a9a5fdcae32a88a7c")</f>
        <v>db982055d0205f85b154941a9a5fdcae32a88a7c</v>
      </c>
      <c r="B246" s="16" t="str">
        <f>IFERROR(__xludf.DUMMYFUNCTION("""COMPUTED_VALUE"""),"Re:system - Rebooted")</f>
        <v>Re:system - Rebooted</v>
      </c>
      <c r="C246" s="16" t="str">
        <f>IFERROR(__xludf.DUMMYFUNCTION("""COMPUTED_VALUE"""),"Fantasy")</f>
        <v>Fantasy</v>
      </c>
      <c r="D246" s="16">
        <f>IFERROR(__xludf.DUMMYFUNCTION("""COMPUTED_VALUE"""),31.0)</f>
        <v>31</v>
      </c>
      <c r="E246" s="16">
        <f>IFERROR(__xludf.DUMMYFUNCTION("""COMPUTED_VALUE"""),0.967741935483871)</f>
        <v>0.9677419355</v>
      </c>
      <c r="F246" s="16">
        <f>IFERROR(__xludf.DUMMYFUNCTION("""COMPUTED_VALUE"""),0.612903225806451)</f>
        <v>0.6129032258</v>
      </c>
      <c r="G246" s="16">
        <f>IFERROR(__xludf.DUMMYFUNCTION("""COMPUTED_VALUE"""),0.548387096774193)</f>
        <v>0.5483870968</v>
      </c>
      <c r="H246" s="16">
        <f>IFERROR(__xludf.DUMMYFUNCTION("""COMPUTED_VALUE"""),0.516129032258064)</f>
        <v>0.5161290323</v>
      </c>
      <c r="I246" s="16">
        <f>IFERROR(__xludf.DUMMYFUNCTION("""COMPUTED_VALUE"""),0.516129032258064)</f>
        <v>0.5161290323</v>
      </c>
      <c r="J246" s="16">
        <f>IFERROR(__xludf.DUMMYFUNCTION("""COMPUTED_VALUE"""),0.516129032258064)</f>
        <v>0.5161290323</v>
      </c>
      <c r="K246" s="16">
        <f>IFERROR(__xludf.DUMMYFUNCTION("""COMPUTED_VALUE"""),0.483870967741935)</f>
        <v>0.4838709677</v>
      </c>
      <c r="L246" s="16">
        <f>IFERROR(__xludf.DUMMYFUNCTION("""COMPUTED_VALUE"""),0.483870967741935)</f>
        <v>0.4838709677</v>
      </c>
      <c r="M246" s="16">
        <f>IFERROR(__xludf.DUMMYFUNCTION("""COMPUTED_VALUE"""),0.419354838709677)</f>
        <v>0.4193548387</v>
      </c>
      <c r="N246" s="16">
        <f>IFERROR(__xludf.DUMMYFUNCTION("""COMPUTED_VALUE"""),0.419354838709677)</f>
        <v>0.4193548387</v>
      </c>
      <c r="O246" s="16">
        <f>IFERROR(__xludf.DUMMYFUNCTION("""COMPUTED_VALUE"""),0.25)</f>
        <v>0.25</v>
      </c>
      <c r="P246" s="16">
        <f>IFERROR(__xludf.DUMMYFUNCTION("""COMPUTED_VALUE"""),0.0)</f>
        <v>0</v>
      </c>
      <c r="Q246" s="16">
        <f>IFERROR(__xludf.DUMMYFUNCTION("""COMPUTED_VALUE"""),0.0)</f>
        <v>0</v>
      </c>
      <c r="R246" s="16">
        <f>IFERROR(__xludf.DUMMYFUNCTION("""COMPUTED_VALUE"""),0.0)</f>
        <v>0</v>
      </c>
      <c r="S246" s="16">
        <f>IFERROR(__xludf.DUMMYFUNCTION("""COMPUTED_VALUE"""),0.0)</f>
        <v>0</v>
      </c>
      <c r="T246" s="16">
        <f>IFERROR(__xludf.DUMMYFUNCTION("""COMPUTED_VALUE"""),0.0)</f>
        <v>0</v>
      </c>
      <c r="U246" s="16">
        <f>IFERROR(__xludf.DUMMYFUNCTION("""COMPUTED_VALUE"""),0.0)</f>
        <v>0</v>
      </c>
      <c r="V246" s="16">
        <f>IFERROR(__xludf.DUMMYFUNCTION("""COMPUTED_VALUE"""),0.0)</f>
        <v>0</v>
      </c>
      <c r="W246" s="16">
        <f>IFERROR(__xludf.DUMMYFUNCTION("""COMPUTED_VALUE"""),0.0)</f>
        <v>0</v>
      </c>
      <c r="X246" s="16">
        <f>IFERROR(__xludf.DUMMYFUNCTION("""COMPUTED_VALUE"""),0.0)</f>
        <v>0</v>
      </c>
      <c r="Y246" s="16">
        <f>IFERROR(__xludf.DUMMYFUNCTION("""COMPUTED_VALUE"""),0.0)</f>
        <v>0</v>
      </c>
      <c r="Z246" s="16">
        <f>IFERROR(__xludf.DUMMYFUNCTION("""COMPUTED_VALUE"""),0.0)</f>
        <v>0</v>
      </c>
      <c r="AA246" s="16">
        <f>IFERROR(__xludf.DUMMYFUNCTION("""COMPUTED_VALUE"""),0.0)</f>
        <v>0</v>
      </c>
      <c r="AB246" s="16">
        <f>IFERROR(__xludf.DUMMYFUNCTION("""COMPUTED_VALUE"""),0.0)</f>
        <v>0</v>
      </c>
      <c r="AC246" s="16">
        <f>IFERROR(__xludf.DUMMYFUNCTION("""COMPUTED_VALUE"""),0.0)</f>
        <v>0</v>
      </c>
      <c r="AD246" s="16">
        <f>IFERROR(__xludf.DUMMYFUNCTION("""COMPUTED_VALUE"""),0.0)</f>
        <v>0</v>
      </c>
      <c r="AE246" s="16">
        <f>IFERROR(__xludf.DUMMYFUNCTION("""COMPUTED_VALUE"""),0.0)</f>
        <v>0</v>
      </c>
      <c r="AF246" s="16">
        <f>IFERROR(__xludf.DUMMYFUNCTION("""COMPUTED_VALUE"""),0.0)</f>
        <v>0</v>
      </c>
      <c r="AG246" s="16">
        <f>IFERROR(__xludf.DUMMYFUNCTION("""COMPUTED_VALUE"""),0.0)</f>
        <v>0</v>
      </c>
      <c r="AH246" s="16">
        <f>IFERROR(__xludf.DUMMYFUNCTION("""COMPUTED_VALUE"""),0.0)</f>
        <v>0</v>
      </c>
    </row>
    <row r="247">
      <c r="A247" s="16" t="str">
        <f>IFERROR(__xludf.DUMMYFUNCTION("""COMPUTED_VALUE"""),"ddcfd794c1c386caa644e2b1d2379bfcd4efb154")</f>
        <v>ddcfd794c1c386caa644e2b1d2379bfcd4efb154</v>
      </c>
      <c r="B247" s="16" t="str">
        <f>IFERROR(__xludf.DUMMYFUNCTION("""COMPUTED_VALUE"""),"Tycoons Love Swindled")</f>
        <v>Tycoons Love Swindled</v>
      </c>
      <c r="C247" s="16" t="str">
        <f>IFERROR(__xludf.DUMMYFUNCTION("""COMPUTED_VALUE"""),"Drama")</f>
        <v>Drama</v>
      </c>
      <c r="D247" s="16">
        <f>IFERROR(__xludf.DUMMYFUNCTION("""COMPUTED_VALUE"""),74.0)</f>
        <v>74</v>
      </c>
      <c r="E247" s="16">
        <f>IFERROR(__xludf.DUMMYFUNCTION("""COMPUTED_VALUE"""),0.918918918918919)</f>
        <v>0.9189189189</v>
      </c>
      <c r="F247" s="16">
        <f>IFERROR(__xludf.DUMMYFUNCTION("""COMPUTED_VALUE"""),0.486486486486486)</f>
        <v>0.4864864865</v>
      </c>
      <c r="G247" s="16">
        <f>IFERROR(__xludf.DUMMYFUNCTION("""COMPUTED_VALUE"""),0.391891891891891)</f>
        <v>0.3918918919</v>
      </c>
      <c r="H247" s="16">
        <f>IFERROR(__xludf.DUMMYFUNCTION("""COMPUTED_VALUE"""),0.378378378378378)</f>
        <v>0.3783783784</v>
      </c>
      <c r="I247" s="16">
        <f>IFERROR(__xludf.DUMMYFUNCTION("""COMPUTED_VALUE"""),0.378378378378378)</f>
        <v>0.3783783784</v>
      </c>
      <c r="J247" s="16">
        <f>IFERROR(__xludf.DUMMYFUNCTION("""COMPUTED_VALUE"""),0.333333333333333)</f>
        <v>0.3333333333</v>
      </c>
      <c r="K247" s="16">
        <f>IFERROR(__xludf.DUMMYFUNCTION("""COMPUTED_VALUE"""),0.3)</f>
        <v>0.3</v>
      </c>
      <c r="L247" s="16">
        <f>IFERROR(__xludf.DUMMYFUNCTION("""COMPUTED_VALUE"""),0.289855072463768)</f>
        <v>0.2898550725</v>
      </c>
      <c r="M247" s="16">
        <f>IFERROR(__xludf.DUMMYFUNCTION("""COMPUTED_VALUE"""),0.238805970149253)</f>
        <v>0.2388059701</v>
      </c>
      <c r="N247" s="16">
        <f>IFERROR(__xludf.DUMMYFUNCTION("""COMPUTED_VALUE"""),0.296875)</f>
        <v>0.296875</v>
      </c>
      <c r="O247" s="16">
        <f>IFERROR(__xludf.DUMMYFUNCTION("""COMPUTED_VALUE"""),0.363636363636363)</f>
        <v>0.3636363636</v>
      </c>
      <c r="P247" s="16">
        <f>IFERROR(__xludf.DUMMYFUNCTION("""COMPUTED_VALUE"""),0.1)</f>
        <v>0.1</v>
      </c>
      <c r="Q247" s="16">
        <f>IFERROR(__xludf.DUMMYFUNCTION("""COMPUTED_VALUE"""),0.0303030303030303)</f>
        <v>0.0303030303</v>
      </c>
      <c r="R247" s="16">
        <f>IFERROR(__xludf.DUMMYFUNCTION("""COMPUTED_VALUE"""),0.0384615384615384)</f>
        <v>0.03846153846</v>
      </c>
      <c r="S247" s="16">
        <f>IFERROR(__xludf.DUMMYFUNCTION("""COMPUTED_VALUE"""),0.0)</f>
        <v>0</v>
      </c>
      <c r="T247" s="16">
        <f>IFERROR(__xludf.DUMMYFUNCTION("""COMPUTED_VALUE"""),0.0)</f>
        <v>0</v>
      </c>
      <c r="U247" s="16">
        <f>IFERROR(__xludf.DUMMYFUNCTION("""COMPUTED_VALUE"""),0.0)</f>
        <v>0</v>
      </c>
      <c r="V247" s="16">
        <f>IFERROR(__xludf.DUMMYFUNCTION("""COMPUTED_VALUE"""),0.0)</f>
        <v>0</v>
      </c>
      <c r="W247" s="16">
        <f>IFERROR(__xludf.DUMMYFUNCTION("""COMPUTED_VALUE"""),0.0)</f>
        <v>0</v>
      </c>
      <c r="X247" s="16">
        <f>IFERROR(__xludf.DUMMYFUNCTION("""COMPUTED_VALUE"""),0.0)</f>
        <v>0</v>
      </c>
      <c r="Y247" s="16">
        <f>IFERROR(__xludf.DUMMYFUNCTION("""COMPUTED_VALUE"""),0.0)</f>
        <v>0</v>
      </c>
      <c r="Z247" s="16">
        <f>IFERROR(__xludf.DUMMYFUNCTION("""COMPUTED_VALUE"""),0.0)</f>
        <v>0</v>
      </c>
      <c r="AA247" s="16">
        <f>IFERROR(__xludf.DUMMYFUNCTION("""COMPUTED_VALUE"""),0.0)</f>
        <v>0</v>
      </c>
      <c r="AB247" s="16">
        <f>IFERROR(__xludf.DUMMYFUNCTION("""COMPUTED_VALUE"""),0.0)</f>
        <v>0</v>
      </c>
      <c r="AC247" s="16">
        <f>IFERROR(__xludf.DUMMYFUNCTION("""COMPUTED_VALUE"""),0.0)</f>
        <v>0</v>
      </c>
      <c r="AD247" s="16">
        <f>IFERROR(__xludf.DUMMYFUNCTION("""COMPUTED_VALUE"""),0.0)</f>
        <v>0</v>
      </c>
      <c r="AE247" s="16">
        <f>IFERROR(__xludf.DUMMYFUNCTION("""COMPUTED_VALUE"""),0.0)</f>
        <v>0</v>
      </c>
      <c r="AF247" s="16">
        <f>IFERROR(__xludf.DUMMYFUNCTION("""COMPUTED_VALUE"""),0.0)</f>
        <v>0</v>
      </c>
      <c r="AG247" s="16">
        <f>IFERROR(__xludf.DUMMYFUNCTION("""COMPUTED_VALUE"""),0.0)</f>
        <v>0</v>
      </c>
      <c r="AH247" s="16">
        <f>IFERROR(__xludf.DUMMYFUNCTION("""COMPUTED_VALUE"""),0.0)</f>
        <v>0</v>
      </c>
    </row>
    <row r="248">
      <c r="A248" s="16" t="str">
        <f>IFERROR(__xludf.DUMMYFUNCTION("""COMPUTED_VALUE"""),"de862851ca66c0ec5a982ecfe58d14472093a185")</f>
        <v>de862851ca66c0ec5a982ecfe58d14472093a185</v>
      </c>
      <c r="B248" s="16" t="str">
        <f>IFERROR(__xludf.DUMMYFUNCTION("""COMPUTED_VALUE"""),"From Trash to a Legend")</f>
        <v>From Trash to a Legend</v>
      </c>
      <c r="C248" s="16" t="str">
        <f>IFERROR(__xludf.DUMMYFUNCTION("""COMPUTED_VALUE"""),"System and Superpower")</f>
        <v>System and Superpower</v>
      </c>
      <c r="D248" s="16">
        <f>IFERROR(__xludf.DUMMYFUNCTION("""COMPUTED_VALUE"""),49.0)</f>
        <v>49</v>
      </c>
      <c r="E248" s="16">
        <f>IFERROR(__xludf.DUMMYFUNCTION("""COMPUTED_VALUE"""),0.938775510204081)</f>
        <v>0.9387755102</v>
      </c>
      <c r="F248" s="16">
        <f>IFERROR(__xludf.DUMMYFUNCTION("""COMPUTED_VALUE"""),0.673469387755102)</f>
        <v>0.6734693878</v>
      </c>
      <c r="G248" s="16">
        <f>IFERROR(__xludf.DUMMYFUNCTION("""COMPUTED_VALUE"""),0.612244897959183)</f>
        <v>0.612244898</v>
      </c>
      <c r="H248" s="16">
        <f>IFERROR(__xludf.DUMMYFUNCTION("""COMPUTED_VALUE"""),0.571428571428571)</f>
        <v>0.5714285714</v>
      </c>
      <c r="I248" s="16">
        <f>IFERROR(__xludf.DUMMYFUNCTION("""COMPUTED_VALUE"""),0.510204081632653)</f>
        <v>0.5102040816</v>
      </c>
      <c r="J248" s="16">
        <f>IFERROR(__xludf.DUMMYFUNCTION("""COMPUTED_VALUE"""),0.510204081632653)</f>
        <v>0.5102040816</v>
      </c>
      <c r="K248" s="16">
        <f>IFERROR(__xludf.DUMMYFUNCTION("""COMPUTED_VALUE"""),0.46938775510204)</f>
        <v>0.4693877551</v>
      </c>
      <c r="L248" s="16">
        <f>IFERROR(__xludf.DUMMYFUNCTION("""COMPUTED_VALUE"""),0.46938775510204)</f>
        <v>0.4693877551</v>
      </c>
      <c r="M248" s="16">
        <f>IFERROR(__xludf.DUMMYFUNCTION("""COMPUTED_VALUE"""),0.428571428571428)</f>
        <v>0.4285714286</v>
      </c>
      <c r="N248" s="16">
        <f>IFERROR(__xludf.DUMMYFUNCTION("""COMPUTED_VALUE"""),0.448979591836734)</f>
        <v>0.4489795918</v>
      </c>
      <c r="O248" s="16">
        <f>IFERROR(__xludf.DUMMYFUNCTION("""COMPUTED_VALUE"""),0.214285714285714)</f>
        <v>0.2142857143</v>
      </c>
      <c r="P248" s="16">
        <f>IFERROR(__xludf.DUMMYFUNCTION("""COMPUTED_VALUE"""),0.5)</f>
        <v>0.5</v>
      </c>
      <c r="Q248" s="16">
        <f>IFERROR(__xludf.DUMMYFUNCTION("""COMPUTED_VALUE"""),0.0)</f>
        <v>0</v>
      </c>
      <c r="R248" s="16">
        <f>IFERROR(__xludf.DUMMYFUNCTION("""COMPUTED_VALUE"""),0.0)</f>
        <v>0</v>
      </c>
      <c r="S248" s="16">
        <f>IFERROR(__xludf.DUMMYFUNCTION("""COMPUTED_VALUE"""),0.0)</f>
        <v>0</v>
      </c>
      <c r="T248" s="16">
        <f>IFERROR(__xludf.DUMMYFUNCTION("""COMPUTED_VALUE"""),0.0)</f>
        <v>0</v>
      </c>
      <c r="U248" s="16">
        <f>IFERROR(__xludf.DUMMYFUNCTION("""COMPUTED_VALUE"""),0.0)</f>
        <v>0</v>
      </c>
      <c r="V248" s="16">
        <f>IFERROR(__xludf.DUMMYFUNCTION("""COMPUTED_VALUE"""),0.0)</f>
        <v>0</v>
      </c>
      <c r="W248" s="16">
        <f>IFERROR(__xludf.DUMMYFUNCTION("""COMPUTED_VALUE"""),0.0)</f>
        <v>0</v>
      </c>
      <c r="X248" s="16">
        <f>IFERROR(__xludf.DUMMYFUNCTION("""COMPUTED_VALUE"""),0.0)</f>
        <v>0</v>
      </c>
      <c r="Y248" s="16">
        <f>IFERROR(__xludf.DUMMYFUNCTION("""COMPUTED_VALUE"""),0.0)</f>
        <v>0</v>
      </c>
      <c r="Z248" s="16">
        <f>IFERROR(__xludf.DUMMYFUNCTION("""COMPUTED_VALUE"""),0.0)</f>
        <v>0</v>
      </c>
      <c r="AA248" s="16">
        <f>IFERROR(__xludf.DUMMYFUNCTION("""COMPUTED_VALUE"""),0.0)</f>
        <v>0</v>
      </c>
      <c r="AB248" s="16">
        <f>IFERROR(__xludf.DUMMYFUNCTION("""COMPUTED_VALUE"""),0.0)</f>
        <v>0</v>
      </c>
      <c r="AC248" s="16">
        <f>IFERROR(__xludf.DUMMYFUNCTION("""COMPUTED_VALUE"""),0.0)</f>
        <v>0</v>
      </c>
      <c r="AD248" s="16">
        <f>IFERROR(__xludf.DUMMYFUNCTION("""COMPUTED_VALUE"""),0.0)</f>
        <v>0</v>
      </c>
      <c r="AE248" s="16">
        <f>IFERROR(__xludf.DUMMYFUNCTION("""COMPUTED_VALUE"""),0.0)</f>
        <v>0</v>
      </c>
      <c r="AF248" s="16">
        <f>IFERROR(__xludf.DUMMYFUNCTION("""COMPUTED_VALUE"""),0.0)</f>
        <v>0</v>
      </c>
      <c r="AG248" s="16">
        <f>IFERROR(__xludf.DUMMYFUNCTION("""COMPUTED_VALUE"""),0.0)</f>
        <v>0</v>
      </c>
      <c r="AH248" s="16">
        <f>IFERROR(__xludf.DUMMYFUNCTION("""COMPUTED_VALUE"""),0.0)</f>
        <v>0</v>
      </c>
    </row>
    <row r="249">
      <c r="A249" s="16" t="str">
        <f>IFERROR(__xludf.DUMMYFUNCTION("""COMPUTED_VALUE"""),"df497806d02c2dcc2e8f8e790fcc3fb9e72f8166")</f>
        <v>df497806d02c2dcc2e8f8e790fcc3fb9e72f8166</v>
      </c>
      <c r="B249" s="16" t="str">
        <f>IFERROR(__xludf.DUMMYFUNCTION("""COMPUTED_VALUE"""),"Never Letting You Go")</f>
        <v>Never Letting You Go</v>
      </c>
      <c r="C249" s="16" t="str">
        <f>IFERROR(__xludf.DUMMYFUNCTION("""COMPUTED_VALUE"""),"Romance")</f>
        <v>Romance</v>
      </c>
      <c r="D249" s="16">
        <f>IFERROR(__xludf.DUMMYFUNCTION("""COMPUTED_VALUE"""),205.0)</f>
        <v>205</v>
      </c>
      <c r="E249" s="16">
        <f>IFERROR(__xludf.DUMMYFUNCTION("""COMPUTED_VALUE"""),0.980487804878048)</f>
        <v>0.9804878049</v>
      </c>
      <c r="F249" s="16">
        <f>IFERROR(__xludf.DUMMYFUNCTION("""COMPUTED_VALUE"""),0.497560975609756)</f>
        <v>0.4975609756</v>
      </c>
      <c r="G249" s="16">
        <f>IFERROR(__xludf.DUMMYFUNCTION("""COMPUTED_VALUE"""),0.424390243902439)</f>
        <v>0.4243902439</v>
      </c>
      <c r="H249" s="16">
        <f>IFERROR(__xludf.DUMMYFUNCTION("""COMPUTED_VALUE"""),0.365853658536585)</f>
        <v>0.3658536585</v>
      </c>
      <c r="I249" s="16">
        <f>IFERROR(__xludf.DUMMYFUNCTION("""COMPUTED_VALUE"""),0.312195121951219)</f>
        <v>0.312195122</v>
      </c>
      <c r="J249" s="16">
        <f>IFERROR(__xludf.DUMMYFUNCTION("""COMPUTED_VALUE"""),0.300492610837438)</f>
        <v>0.3004926108</v>
      </c>
      <c r="K249" s="16">
        <f>IFERROR(__xludf.DUMMYFUNCTION("""COMPUTED_VALUE"""),0.275)</f>
        <v>0.275</v>
      </c>
      <c r="L249" s="16">
        <f>IFERROR(__xludf.DUMMYFUNCTION("""COMPUTED_VALUE"""),0.262886597938144)</f>
        <v>0.2628865979</v>
      </c>
      <c r="M249" s="16">
        <f>IFERROR(__xludf.DUMMYFUNCTION("""COMPUTED_VALUE"""),0.239583333333333)</f>
        <v>0.2395833333</v>
      </c>
      <c r="N249" s="16">
        <f>IFERROR(__xludf.DUMMYFUNCTION("""COMPUTED_VALUE"""),0.234042553191489)</f>
        <v>0.2340425532</v>
      </c>
      <c r="O249" s="16">
        <f>IFERROR(__xludf.DUMMYFUNCTION("""COMPUTED_VALUE"""),0.204724409448818)</f>
        <v>0.2047244094</v>
      </c>
      <c r="P249" s="16">
        <f>IFERROR(__xludf.DUMMYFUNCTION("""COMPUTED_VALUE"""),0.142857142857142)</f>
        <v>0.1428571429</v>
      </c>
      <c r="Q249" s="16">
        <f>IFERROR(__xludf.DUMMYFUNCTION("""COMPUTED_VALUE"""),0.111111111111111)</f>
        <v>0.1111111111</v>
      </c>
      <c r="R249" s="16">
        <f>IFERROR(__xludf.DUMMYFUNCTION("""COMPUTED_VALUE"""),0.0)</f>
        <v>0</v>
      </c>
      <c r="S249" s="16">
        <f>IFERROR(__xludf.DUMMYFUNCTION("""COMPUTED_VALUE"""),0.0)</f>
        <v>0</v>
      </c>
      <c r="T249" s="16">
        <f>IFERROR(__xludf.DUMMYFUNCTION("""COMPUTED_VALUE"""),0.0)</f>
        <v>0</v>
      </c>
      <c r="U249" s="16">
        <f>IFERROR(__xludf.DUMMYFUNCTION("""COMPUTED_VALUE"""),0.0)</f>
        <v>0</v>
      </c>
      <c r="V249" s="16">
        <f>IFERROR(__xludf.DUMMYFUNCTION("""COMPUTED_VALUE"""),0.0)</f>
        <v>0</v>
      </c>
      <c r="W249" s="16">
        <f>IFERROR(__xludf.DUMMYFUNCTION("""COMPUTED_VALUE"""),0.0)</f>
        <v>0</v>
      </c>
      <c r="X249" s="16">
        <f>IFERROR(__xludf.DUMMYFUNCTION("""COMPUTED_VALUE"""),0.0)</f>
        <v>0</v>
      </c>
      <c r="Y249" s="16">
        <f>IFERROR(__xludf.DUMMYFUNCTION("""COMPUTED_VALUE"""),0.0)</f>
        <v>0</v>
      </c>
      <c r="Z249" s="16">
        <f>IFERROR(__xludf.DUMMYFUNCTION("""COMPUTED_VALUE"""),0.0)</f>
        <v>0</v>
      </c>
      <c r="AA249" s="16">
        <f>IFERROR(__xludf.DUMMYFUNCTION("""COMPUTED_VALUE"""),0.0)</f>
        <v>0</v>
      </c>
      <c r="AB249" s="16">
        <f>IFERROR(__xludf.DUMMYFUNCTION("""COMPUTED_VALUE"""),0.0)</f>
        <v>0</v>
      </c>
      <c r="AC249" s="16">
        <f>IFERROR(__xludf.DUMMYFUNCTION("""COMPUTED_VALUE"""),0.0)</f>
        <v>0</v>
      </c>
      <c r="AD249" s="16">
        <f>IFERROR(__xludf.DUMMYFUNCTION("""COMPUTED_VALUE"""),0.0)</f>
        <v>0</v>
      </c>
      <c r="AE249" s="16">
        <f>IFERROR(__xludf.DUMMYFUNCTION("""COMPUTED_VALUE"""),0.0)</f>
        <v>0</v>
      </c>
      <c r="AF249" s="16">
        <f>IFERROR(__xludf.DUMMYFUNCTION("""COMPUTED_VALUE"""),0.0)</f>
        <v>0</v>
      </c>
      <c r="AG249" s="16">
        <f>IFERROR(__xludf.DUMMYFUNCTION("""COMPUTED_VALUE"""),0.0)</f>
        <v>0</v>
      </c>
      <c r="AH249" s="16">
        <f>IFERROR(__xludf.DUMMYFUNCTION("""COMPUTED_VALUE"""),0.0)</f>
        <v>0</v>
      </c>
    </row>
    <row r="250">
      <c r="A250" s="16" t="str">
        <f>IFERROR(__xludf.DUMMYFUNCTION("""COMPUTED_VALUE"""),"e0cc4d535444616635b899b0d8d7d34e8dde5fa7")</f>
        <v>e0cc4d535444616635b899b0d8d7d34e8dde5fa7</v>
      </c>
      <c r="B250" s="16" t="str">
        <f>IFERROR(__xludf.DUMMYFUNCTION("""COMPUTED_VALUE"""),"Fated Bond")</f>
        <v>Fated Bond</v>
      </c>
      <c r="C250" s="16" t="str">
        <f>IFERROR(__xludf.DUMMYFUNCTION("""COMPUTED_VALUE"""),"Romantasy")</f>
        <v>Romantasy</v>
      </c>
      <c r="D250" s="16">
        <f>IFERROR(__xludf.DUMMYFUNCTION("""COMPUTED_VALUE"""),2219.0)</f>
        <v>2219</v>
      </c>
      <c r="E250" s="16">
        <f>IFERROR(__xludf.DUMMYFUNCTION("""COMPUTED_VALUE"""),0.964398377647589)</f>
        <v>0.9643983776</v>
      </c>
      <c r="F250" s="16">
        <f>IFERROR(__xludf.DUMMYFUNCTION("""COMPUTED_VALUE"""),0.544840018026137)</f>
        <v>0.544840018</v>
      </c>
      <c r="G250" s="16">
        <f>IFERROR(__xludf.DUMMYFUNCTION("""COMPUTED_VALUE"""),0.484903109508787)</f>
        <v>0.4849031095</v>
      </c>
      <c r="H250" s="16">
        <f>IFERROR(__xludf.DUMMYFUNCTION("""COMPUTED_VALUE"""),0.440739071653898)</f>
        <v>0.4407390717</v>
      </c>
      <c r="I250" s="16">
        <f>IFERROR(__xludf.DUMMYFUNCTION("""COMPUTED_VALUE"""),0.420910319963947)</f>
        <v>0.42091032</v>
      </c>
      <c r="J250" s="16">
        <f>IFERROR(__xludf.DUMMYFUNCTION("""COMPUTED_VALUE"""),0.40532010820559)</f>
        <v>0.4053201082</v>
      </c>
      <c r="K250" s="16">
        <f>IFERROR(__xludf.DUMMYFUNCTION("""COMPUTED_VALUE"""),0.390970654627539)</f>
        <v>0.3909706546</v>
      </c>
      <c r="L250" s="16">
        <f>IFERROR(__xludf.DUMMYFUNCTION("""COMPUTED_VALUE"""),0.383468834688346)</f>
        <v>0.3834688347</v>
      </c>
      <c r="M250" s="16">
        <f>IFERROR(__xludf.DUMMYFUNCTION("""COMPUTED_VALUE"""),0.372628726287262)</f>
        <v>0.3726287263</v>
      </c>
      <c r="N250" s="16">
        <f>IFERROR(__xludf.DUMMYFUNCTION("""COMPUTED_VALUE"""),0.364828209764918)</f>
        <v>0.3648282098</v>
      </c>
      <c r="O250" s="16">
        <f>IFERROR(__xludf.DUMMYFUNCTION("""COMPUTED_VALUE"""),0.350590372388737)</f>
        <v>0.3505903724</v>
      </c>
      <c r="P250" s="16">
        <f>IFERROR(__xludf.DUMMYFUNCTION("""COMPUTED_VALUE"""),0.299205236091631)</f>
        <v>0.2992052361</v>
      </c>
      <c r="Q250" s="16">
        <f>IFERROR(__xludf.DUMMYFUNCTION("""COMPUTED_VALUE"""),0.255653883972468)</f>
        <v>0.255653884</v>
      </c>
      <c r="R250" s="16">
        <f>IFERROR(__xludf.DUMMYFUNCTION("""COMPUTED_VALUE"""),0.200836820083682)</f>
        <v>0.2008368201</v>
      </c>
      <c r="S250" s="16">
        <f>IFERROR(__xludf.DUMMYFUNCTION("""COMPUTED_VALUE"""),0.155920281359906)</f>
        <v>0.1559202814</v>
      </c>
      <c r="T250" s="16">
        <f>IFERROR(__xludf.DUMMYFUNCTION("""COMPUTED_VALUE"""),0.120124804992199)</f>
        <v>0.120124805</v>
      </c>
      <c r="U250" s="16">
        <f>IFERROR(__xludf.DUMMYFUNCTION("""COMPUTED_VALUE"""),0.0732673267326732)</f>
        <v>0.07326732673</v>
      </c>
      <c r="V250" s="16">
        <f>IFERROR(__xludf.DUMMYFUNCTION("""COMPUTED_VALUE"""),0.0519187358916478)</f>
        <v>0.05191873589</v>
      </c>
      <c r="W250" s="16">
        <f>IFERROR(__xludf.DUMMYFUNCTION("""COMPUTED_VALUE"""),0.0434782608695652)</f>
        <v>0.04347826087</v>
      </c>
      <c r="X250" s="16">
        <f>IFERROR(__xludf.DUMMYFUNCTION("""COMPUTED_VALUE"""),0.01)</f>
        <v>0.01</v>
      </c>
      <c r="Y250" s="16">
        <f>IFERROR(__xludf.DUMMYFUNCTION("""COMPUTED_VALUE"""),0.0214285714285714)</f>
        <v>0.02142857143</v>
      </c>
      <c r="Z250" s="16">
        <f>IFERROR(__xludf.DUMMYFUNCTION("""COMPUTED_VALUE"""),0.0)</f>
        <v>0</v>
      </c>
      <c r="AA250" s="16">
        <f>IFERROR(__xludf.DUMMYFUNCTION("""COMPUTED_VALUE"""),0.0)</f>
        <v>0</v>
      </c>
      <c r="AB250" s="16">
        <f>IFERROR(__xludf.DUMMYFUNCTION("""COMPUTED_VALUE"""),0.0)</f>
        <v>0</v>
      </c>
      <c r="AC250" s="16">
        <f>IFERROR(__xludf.DUMMYFUNCTION("""COMPUTED_VALUE"""),0.0)</f>
        <v>0</v>
      </c>
      <c r="AD250" s="16">
        <f>IFERROR(__xludf.DUMMYFUNCTION("""COMPUTED_VALUE"""),0.0)</f>
        <v>0</v>
      </c>
      <c r="AE250" s="16">
        <f>IFERROR(__xludf.DUMMYFUNCTION("""COMPUTED_VALUE"""),0.0)</f>
        <v>0</v>
      </c>
      <c r="AF250" s="16">
        <f>IFERROR(__xludf.DUMMYFUNCTION("""COMPUTED_VALUE"""),0.0)</f>
        <v>0</v>
      </c>
      <c r="AG250" s="16">
        <f>IFERROR(__xludf.DUMMYFUNCTION("""COMPUTED_VALUE"""),0.0)</f>
        <v>0</v>
      </c>
      <c r="AH250" s="16">
        <f>IFERROR(__xludf.DUMMYFUNCTION("""COMPUTED_VALUE"""),0.0)</f>
        <v>0</v>
      </c>
    </row>
    <row r="251">
      <c r="A251" s="16" t="str">
        <f>IFERROR(__xludf.DUMMYFUNCTION("""COMPUTED_VALUE"""),"e0df7c51c42acc2ebb07fef0853244b617b34a0a")</f>
        <v>e0df7c51c42acc2ebb07fef0853244b617b34a0a</v>
      </c>
      <c r="B251" s="16" t="str">
        <f>IFERROR(__xludf.DUMMYFUNCTION("""COMPUTED_VALUE"""),"Hunted by the Alpha")</f>
        <v>Hunted by the Alpha</v>
      </c>
      <c r="C251" s="16" t="str">
        <f>IFERROR(__xludf.DUMMYFUNCTION("""COMPUTED_VALUE"""),"Romantasy")</f>
        <v>Romantasy</v>
      </c>
      <c r="D251" s="16">
        <f>IFERROR(__xludf.DUMMYFUNCTION("""COMPUTED_VALUE"""),2260.0)</f>
        <v>2260</v>
      </c>
      <c r="E251" s="16">
        <f>IFERROR(__xludf.DUMMYFUNCTION("""COMPUTED_VALUE"""),0.980088495575221)</f>
        <v>0.9800884956</v>
      </c>
      <c r="F251" s="16">
        <f>IFERROR(__xludf.DUMMYFUNCTION("""COMPUTED_VALUE"""),0.465486725663716)</f>
        <v>0.4654867257</v>
      </c>
      <c r="G251" s="16">
        <f>IFERROR(__xludf.DUMMYFUNCTION("""COMPUTED_VALUE"""),0.401327433628318)</f>
        <v>0.4013274336</v>
      </c>
      <c r="H251" s="16">
        <f>IFERROR(__xludf.DUMMYFUNCTION("""COMPUTED_VALUE"""),0.37433628318584)</f>
        <v>0.3743362832</v>
      </c>
      <c r="I251" s="16">
        <f>IFERROR(__xludf.DUMMYFUNCTION("""COMPUTED_VALUE"""),0.353539823008849)</f>
        <v>0.353539823</v>
      </c>
      <c r="J251" s="16">
        <f>IFERROR(__xludf.DUMMYFUNCTION("""COMPUTED_VALUE"""),0.334218680832226)</f>
        <v>0.3342186808</v>
      </c>
      <c r="K251" s="16">
        <f>IFERROR(__xludf.DUMMYFUNCTION("""COMPUTED_VALUE"""),0.30987162461266)</f>
        <v>0.3098716246</v>
      </c>
      <c r="L251" s="16">
        <f>IFERROR(__xludf.DUMMYFUNCTION("""COMPUTED_VALUE"""),0.28799291094373)</f>
        <v>0.2879929109</v>
      </c>
      <c r="M251" s="16">
        <f>IFERROR(__xludf.DUMMYFUNCTION("""COMPUTED_VALUE"""),0.288324420677361)</f>
        <v>0.2883244207</v>
      </c>
      <c r="N251" s="16">
        <f>IFERROR(__xludf.DUMMYFUNCTION("""COMPUTED_VALUE"""),0.272279444693237)</f>
        <v>0.2722794447</v>
      </c>
      <c r="O251" s="16">
        <f>IFERROR(__xludf.DUMMYFUNCTION("""COMPUTED_VALUE"""),0.232692307692307)</f>
        <v>0.2326923077</v>
      </c>
      <c r="P251" s="16">
        <f>IFERROR(__xludf.DUMMYFUNCTION("""COMPUTED_VALUE"""),0.187654320987654)</f>
        <v>0.187654321</v>
      </c>
      <c r="Q251" s="16">
        <f>IFERROR(__xludf.DUMMYFUNCTION("""COMPUTED_VALUE"""),0.32258064516129)</f>
        <v>0.3225806452</v>
      </c>
      <c r="R251" s="16">
        <f>IFERROR(__xludf.DUMMYFUNCTION("""COMPUTED_VALUE"""),0.0)</f>
        <v>0</v>
      </c>
      <c r="S251" s="16">
        <f>IFERROR(__xludf.DUMMYFUNCTION("""COMPUTED_VALUE"""),0.0)</f>
        <v>0</v>
      </c>
      <c r="T251" s="16">
        <f>IFERROR(__xludf.DUMMYFUNCTION("""COMPUTED_VALUE"""),0.0)</f>
        <v>0</v>
      </c>
      <c r="U251" s="16">
        <f>IFERROR(__xludf.DUMMYFUNCTION("""COMPUTED_VALUE"""),0.0)</f>
        <v>0</v>
      </c>
      <c r="V251" s="16">
        <f>IFERROR(__xludf.DUMMYFUNCTION("""COMPUTED_VALUE"""),0.0)</f>
        <v>0</v>
      </c>
      <c r="W251" s="16">
        <f>IFERROR(__xludf.DUMMYFUNCTION("""COMPUTED_VALUE"""),0.0)</f>
        <v>0</v>
      </c>
      <c r="X251" s="16">
        <f>IFERROR(__xludf.DUMMYFUNCTION("""COMPUTED_VALUE"""),0.0)</f>
        <v>0</v>
      </c>
      <c r="Y251" s="16">
        <f>IFERROR(__xludf.DUMMYFUNCTION("""COMPUTED_VALUE"""),0.0)</f>
        <v>0</v>
      </c>
      <c r="Z251" s="16">
        <f>IFERROR(__xludf.DUMMYFUNCTION("""COMPUTED_VALUE"""),0.0)</f>
        <v>0</v>
      </c>
      <c r="AA251" s="16">
        <f>IFERROR(__xludf.DUMMYFUNCTION("""COMPUTED_VALUE"""),0.0)</f>
        <v>0</v>
      </c>
      <c r="AB251" s="16">
        <f>IFERROR(__xludf.DUMMYFUNCTION("""COMPUTED_VALUE"""),0.0)</f>
        <v>0</v>
      </c>
      <c r="AC251" s="16">
        <f>IFERROR(__xludf.DUMMYFUNCTION("""COMPUTED_VALUE"""),0.0)</f>
        <v>0</v>
      </c>
      <c r="AD251" s="16">
        <f>IFERROR(__xludf.DUMMYFUNCTION("""COMPUTED_VALUE"""),0.0)</f>
        <v>0</v>
      </c>
      <c r="AE251" s="16">
        <f>IFERROR(__xludf.DUMMYFUNCTION("""COMPUTED_VALUE"""),0.0)</f>
        <v>0</v>
      </c>
      <c r="AF251" s="16">
        <f>IFERROR(__xludf.DUMMYFUNCTION("""COMPUTED_VALUE"""),0.0)</f>
        <v>0</v>
      </c>
      <c r="AG251" s="16">
        <f>IFERROR(__xludf.DUMMYFUNCTION("""COMPUTED_VALUE"""),0.0)</f>
        <v>0</v>
      </c>
      <c r="AH251" s="16">
        <f>IFERROR(__xludf.DUMMYFUNCTION("""COMPUTED_VALUE"""),0.0)</f>
        <v>0</v>
      </c>
    </row>
    <row r="252">
      <c r="A252" s="16" t="str">
        <f>IFERROR(__xludf.DUMMYFUNCTION("""COMPUTED_VALUE"""),"e168f716089521f9d1fe95769f273458c64e2ba9")</f>
        <v>e168f716089521f9d1fe95769f273458c64e2ba9</v>
      </c>
      <c r="B252" s="16" t="str">
        <f>IFERROR(__xludf.DUMMYFUNCTION("""COMPUTED_VALUE"""),"My Young Bodyguard")</f>
        <v>My Young Bodyguard</v>
      </c>
      <c r="C252" s="16" t="str">
        <f>IFERROR(__xludf.DUMMYFUNCTION("""COMPUTED_VALUE"""),"Drama")</f>
        <v>Drama</v>
      </c>
      <c r="D252" s="16">
        <f>IFERROR(__xludf.DUMMYFUNCTION("""COMPUTED_VALUE"""),51.0)</f>
        <v>51</v>
      </c>
      <c r="E252" s="16">
        <f>IFERROR(__xludf.DUMMYFUNCTION("""COMPUTED_VALUE"""),0.980392156862745)</f>
        <v>0.9803921569</v>
      </c>
      <c r="F252" s="16">
        <f>IFERROR(__xludf.DUMMYFUNCTION("""COMPUTED_VALUE"""),0.470588235294117)</f>
        <v>0.4705882353</v>
      </c>
      <c r="G252" s="16">
        <f>IFERROR(__xludf.DUMMYFUNCTION("""COMPUTED_VALUE"""),0.372549019607843)</f>
        <v>0.3725490196</v>
      </c>
      <c r="H252" s="16">
        <f>IFERROR(__xludf.DUMMYFUNCTION("""COMPUTED_VALUE"""),0.333333333333333)</f>
        <v>0.3333333333</v>
      </c>
      <c r="I252" s="16">
        <f>IFERROR(__xludf.DUMMYFUNCTION("""COMPUTED_VALUE"""),0.294117647058823)</f>
        <v>0.2941176471</v>
      </c>
      <c r="J252" s="16">
        <f>IFERROR(__xludf.DUMMYFUNCTION("""COMPUTED_VALUE"""),0.294117647058823)</f>
        <v>0.2941176471</v>
      </c>
      <c r="K252" s="16">
        <f>IFERROR(__xludf.DUMMYFUNCTION("""COMPUTED_VALUE"""),0.274509803921568)</f>
        <v>0.2745098039</v>
      </c>
      <c r="L252" s="16">
        <f>IFERROR(__xludf.DUMMYFUNCTION("""COMPUTED_VALUE"""),0.274509803921568)</f>
        <v>0.2745098039</v>
      </c>
      <c r="M252" s="16">
        <f>IFERROR(__xludf.DUMMYFUNCTION("""COMPUTED_VALUE"""),0.24)</f>
        <v>0.24</v>
      </c>
      <c r="N252" s="16">
        <f>IFERROR(__xludf.DUMMYFUNCTION("""COMPUTED_VALUE"""),0.224489795918367)</f>
        <v>0.2244897959</v>
      </c>
      <c r="O252" s="16">
        <f>IFERROR(__xludf.DUMMYFUNCTION("""COMPUTED_VALUE"""),0.157894736842105)</f>
        <v>0.1578947368</v>
      </c>
      <c r="P252" s="16">
        <f>IFERROR(__xludf.DUMMYFUNCTION("""COMPUTED_VALUE"""),0.117647058823529)</f>
        <v>0.1176470588</v>
      </c>
      <c r="Q252" s="16">
        <f>IFERROR(__xludf.DUMMYFUNCTION("""COMPUTED_VALUE"""),0.153846153846153)</f>
        <v>0.1538461538</v>
      </c>
      <c r="R252" s="16">
        <f>IFERROR(__xludf.DUMMYFUNCTION("""COMPUTED_VALUE"""),0.0)</f>
        <v>0</v>
      </c>
      <c r="S252" s="16">
        <f>IFERROR(__xludf.DUMMYFUNCTION("""COMPUTED_VALUE"""),0.0)</f>
        <v>0</v>
      </c>
      <c r="T252" s="16">
        <f>IFERROR(__xludf.DUMMYFUNCTION("""COMPUTED_VALUE"""),0.0)</f>
        <v>0</v>
      </c>
      <c r="U252" s="16">
        <f>IFERROR(__xludf.DUMMYFUNCTION("""COMPUTED_VALUE"""),0.0)</f>
        <v>0</v>
      </c>
      <c r="V252" s="16">
        <f>IFERROR(__xludf.DUMMYFUNCTION("""COMPUTED_VALUE"""),0.0)</f>
        <v>0</v>
      </c>
      <c r="W252" s="16">
        <f>IFERROR(__xludf.DUMMYFUNCTION("""COMPUTED_VALUE"""),0.0)</f>
        <v>0</v>
      </c>
      <c r="X252" s="16">
        <f>IFERROR(__xludf.DUMMYFUNCTION("""COMPUTED_VALUE"""),0.0)</f>
        <v>0</v>
      </c>
      <c r="Y252" s="16">
        <f>IFERROR(__xludf.DUMMYFUNCTION("""COMPUTED_VALUE"""),0.0)</f>
        <v>0</v>
      </c>
      <c r="Z252" s="16">
        <f>IFERROR(__xludf.DUMMYFUNCTION("""COMPUTED_VALUE"""),0.0)</f>
        <v>0</v>
      </c>
      <c r="AA252" s="16">
        <f>IFERROR(__xludf.DUMMYFUNCTION("""COMPUTED_VALUE"""),0.0)</f>
        <v>0</v>
      </c>
      <c r="AB252" s="16">
        <f>IFERROR(__xludf.DUMMYFUNCTION("""COMPUTED_VALUE"""),0.0)</f>
        <v>0</v>
      </c>
      <c r="AC252" s="16">
        <f>IFERROR(__xludf.DUMMYFUNCTION("""COMPUTED_VALUE"""),0.0)</f>
        <v>0</v>
      </c>
      <c r="AD252" s="16">
        <f>IFERROR(__xludf.DUMMYFUNCTION("""COMPUTED_VALUE"""),0.0)</f>
        <v>0</v>
      </c>
      <c r="AE252" s="16">
        <f>IFERROR(__xludf.DUMMYFUNCTION("""COMPUTED_VALUE"""),0.0)</f>
        <v>0</v>
      </c>
      <c r="AF252" s="16">
        <f>IFERROR(__xludf.DUMMYFUNCTION("""COMPUTED_VALUE"""),0.0)</f>
        <v>0</v>
      </c>
      <c r="AG252" s="16">
        <f>IFERROR(__xludf.DUMMYFUNCTION("""COMPUTED_VALUE"""),0.0)</f>
        <v>0</v>
      </c>
      <c r="AH252" s="16">
        <f>IFERROR(__xludf.DUMMYFUNCTION("""COMPUTED_VALUE"""),0.0)</f>
        <v>0</v>
      </c>
    </row>
    <row r="253">
      <c r="A253" s="16" t="str">
        <f>IFERROR(__xludf.DUMMYFUNCTION("""COMPUTED_VALUE"""),"e1e025613df0bb24a28711b19cbefdbc254e0c21")</f>
        <v>e1e025613df0bb24a28711b19cbefdbc254e0c21</v>
      </c>
      <c r="B253" s="16" t="str">
        <f>IFERROR(__xludf.DUMMYFUNCTION("""COMPUTED_VALUE"""),"The Ceo Hidden Bride")</f>
        <v>The Ceo Hidden Bride</v>
      </c>
      <c r="C253" s="16" t="str">
        <f>IFERROR(__xludf.DUMMYFUNCTION("""COMPUTED_VALUE"""),"Romance")</f>
        <v>Romance</v>
      </c>
      <c r="D253" s="16">
        <f>IFERROR(__xludf.DUMMYFUNCTION("""COMPUTED_VALUE"""),467.0)</f>
        <v>467</v>
      </c>
      <c r="E253" s="16">
        <f>IFERROR(__xludf.DUMMYFUNCTION("""COMPUTED_VALUE"""),0.97644539614561)</f>
        <v>0.9764453961</v>
      </c>
      <c r="F253" s="16">
        <f>IFERROR(__xludf.DUMMYFUNCTION("""COMPUTED_VALUE"""),0.591006423982869)</f>
        <v>0.591006424</v>
      </c>
      <c r="G253" s="16">
        <f>IFERROR(__xludf.DUMMYFUNCTION("""COMPUTED_VALUE"""),0.475374732334047)</f>
        <v>0.4753747323</v>
      </c>
      <c r="H253" s="16">
        <f>IFERROR(__xludf.DUMMYFUNCTION("""COMPUTED_VALUE"""),0.447537473233404)</f>
        <v>0.4475374732</v>
      </c>
      <c r="I253" s="16">
        <f>IFERROR(__xludf.DUMMYFUNCTION("""COMPUTED_VALUE"""),0.415417558886509)</f>
        <v>0.4154175589</v>
      </c>
      <c r="J253" s="16">
        <f>IFERROR(__xludf.DUMMYFUNCTION("""COMPUTED_VALUE"""),0.354166666666666)</f>
        <v>0.3541666667</v>
      </c>
      <c r="K253" s="16">
        <f>IFERROR(__xludf.DUMMYFUNCTION("""COMPUTED_VALUE"""),0.377604166666666)</f>
        <v>0.3776041667</v>
      </c>
      <c r="L253" s="16">
        <f>IFERROR(__xludf.DUMMYFUNCTION("""COMPUTED_VALUE"""),0.35593220338983)</f>
        <v>0.3559322034</v>
      </c>
      <c r="M253" s="16">
        <f>IFERROR(__xludf.DUMMYFUNCTION("""COMPUTED_VALUE"""),0.349710982658959)</f>
        <v>0.3497109827</v>
      </c>
      <c r="N253" s="16">
        <f>IFERROR(__xludf.DUMMYFUNCTION("""COMPUTED_VALUE"""),0.347953216374269)</f>
        <v>0.3479532164</v>
      </c>
      <c r="O253" s="16">
        <f>IFERROR(__xludf.DUMMYFUNCTION("""COMPUTED_VALUE"""),0.294326241134751)</f>
        <v>0.2943262411</v>
      </c>
      <c r="P253" s="16">
        <f>IFERROR(__xludf.DUMMYFUNCTION("""COMPUTED_VALUE"""),0.283333333333333)</f>
        <v>0.2833333333</v>
      </c>
      <c r="Q253" s="16">
        <f>IFERROR(__xludf.DUMMYFUNCTION("""COMPUTED_VALUE"""),0.0)</f>
        <v>0</v>
      </c>
      <c r="R253" s="16">
        <f>IFERROR(__xludf.DUMMYFUNCTION("""COMPUTED_VALUE"""),0.0)</f>
        <v>0</v>
      </c>
      <c r="S253" s="16">
        <f>IFERROR(__xludf.DUMMYFUNCTION("""COMPUTED_VALUE"""),0.0)</f>
        <v>0</v>
      </c>
      <c r="T253" s="16">
        <f>IFERROR(__xludf.DUMMYFUNCTION("""COMPUTED_VALUE"""),0.0)</f>
        <v>0</v>
      </c>
      <c r="U253" s="16">
        <f>IFERROR(__xludf.DUMMYFUNCTION("""COMPUTED_VALUE"""),0.0)</f>
        <v>0</v>
      </c>
      <c r="V253" s="16">
        <f>IFERROR(__xludf.DUMMYFUNCTION("""COMPUTED_VALUE"""),0.0)</f>
        <v>0</v>
      </c>
      <c r="W253" s="16">
        <f>IFERROR(__xludf.DUMMYFUNCTION("""COMPUTED_VALUE"""),0.0)</f>
        <v>0</v>
      </c>
      <c r="X253" s="16">
        <f>IFERROR(__xludf.DUMMYFUNCTION("""COMPUTED_VALUE"""),0.0)</f>
        <v>0</v>
      </c>
      <c r="Y253" s="16">
        <f>IFERROR(__xludf.DUMMYFUNCTION("""COMPUTED_VALUE"""),0.0)</f>
        <v>0</v>
      </c>
      <c r="Z253" s="16">
        <f>IFERROR(__xludf.DUMMYFUNCTION("""COMPUTED_VALUE"""),0.0)</f>
        <v>0</v>
      </c>
      <c r="AA253" s="16">
        <f>IFERROR(__xludf.DUMMYFUNCTION("""COMPUTED_VALUE"""),0.0)</f>
        <v>0</v>
      </c>
      <c r="AB253" s="16">
        <f>IFERROR(__xludf.DUMMYFUNCTION("""COMPUTED_VALUE"""),0.0)</f>
        <v>0</v>
      </c>
      <c r="AC253" s="16">
        <f>IFERROR(__xludf.DUMMYFUNCTION("""COMPUTED_VALUE"""),0.0)</f>
        <v>0</v>
      </c>
      <c r="AD253" s="16">
        <f>IFERROR(__xludf.DUMMYFUNCTION("""COMPUTED_VALUE"""),0.0)</f>
        <v>0</v>
      </c>
      <c r="AE253" s="16">
        <f>IFERROR(__xludf.DUMMYFUNCTION("""COMPUTED_VALUE"""),0.0)</f>
        <v>0</v>
      </c>
      <c r="AF253" s="16">
        <f>IFERROR(__xludf.DUMMYFUNCTION("""COMPUTED_VALUE"""),0.0)</f>
        <v>0</v>
      </c>
      <c r="AG253" s="16">
        <f>IFERROR(__xludf.DUMMYFUNCTION("""COMPUTED_VALUE"""),0.0)</f>
        <v>0</v>
      </c>
      <c r="AH253" s="16">
        <f>IFERROR(__xludf.DUMMYFUNCTION("""COMPUTED_VALUE"""),0.0)</f>
        <v>0</v>
      </c>
    </row>
    <row r="254">
      <c r="A254" s="16" t="str">
        <f>IFERROR(__xludf.DUMMYFUNCTION("""COMPUTED_VALUE"""),"e2f077e58449b7e3e415bd16eb5bb755606936b6")</f>
        <v>e2f077e58449b7e3e415bd16eb5bb755606936b6</v>
      </c>
      <c r="B254" s="16" t="str">
        <f>IFERROR(__xludf.DUMMYFUNCTION("""COMPUTED_VALUE"""),"Powerless Heir to Throne")</f>
        <v>Powerless Heir to Throne</v>
      </c>
      <c r="C254" s="16" t="str">
        <f>IFERROR(__xludf.DUMMYFUNCTION("""COMPUTED_VALUE"""),"System and Superpower")</f>
        <v>System and Superpower</v>
      </c>
      <c r="D254" s="16">
        <f>IFERROR(__xludf.DUMMYFUNCTION("""COMPUTED_VALUE"""),102.0)</f>
        <v>102</v>
      </c>
      <c r="E254" s="16">
        <f>IFERROR(__xludf.DUMMYFUNCTION("""COMPUTED_VALUE"""),0.990196078431372)</f>
        <v>0.9901960784</v>
      </c>
      <c r="F254" s="16">
        <f>IFERROR(__xludf.DUMMYFUNCTION("""COMPUTED_VALUE"""),0.607843137254901)</f>
        <v>0.6078431373</v>
      </c>
      <c r="G254" s="16">
        <f>IFERROR(__xludf.DUMMYFUNCTION("""COMPUTED_VALUE"""),0.549019607843137)</f>
        <v>0.5490196078</v>
      </c>
      <c r="H254" s="16">
        <f>IFERROR(__xludf.DUMMYFUNCTION("""COMPUTED_VALUE"""),0.519607843137254)</f>
        <v>0.5196078431</v>
      </c>
      <c r="I254" s="16">
        <f>IFERROR(__xludf.DUMMYFUNCTION("""COMPUTED_VALUE"""),0.470588235294117)</f>
        <v>0.4705882353</v>
      </c>
      <c r="J254" s="16">
        <f>IFERROR(__xludf.DUMMYFUNCTION("""COMPUTED_VALUE"""),0.401960784313725)</f>
        <v>0.4019607843</v>
      </c>
      <c r="K254" s="16">
        <f>IFERROR(__xludf.DUMMYFUNCTION("""COMPUTED_VALUE"""),0.372549019607843)</f>
        <v>0.3725490196</v>
      </c>
      <c r="L254" s="16">
        <f>IFERROR(__xludf.DUMMYFUNCTION("""COMPUTED_VALUE"""),0.333333333333333)</f>
        <v>0.3333333333</v>
      </c>
      <c r="M254" s="16">
        <f>IFERROR(__xludf.DUMMYFUNCTION("""COMPUTED_VALUE"""),0.333333333333333)</f>
        <v>0.3333333333</v>
      </c>
      <c r="N254" s="16">
        <f>IFERROR(__xludf.DUMMYFUNCTION("""COMPUTED_VALUE"""),0.333333333333333)</f>
        <v>0.3333333333</v>
      </c>
      <c r="O254" s="16">
        <f>IFERROR(__xludf.DUMMYFUNCTION("""COMPUTED_VALUE"""),0.292929292929292)</f>
        <v>0.2929292929</v>
      </c>
      <c r="P254" s="16">
        <f>IFERROR(__xludf.DUMMYFUNCTION("""COMPUTED_VALUE"""),0.232323232323232)</f>
        <v>0.2323232323</v>
      </c>
      <c r="Q254" s="16">
        <f>IFERROR(__xludf.DUMMYFUNCTION("""COMPUTED_VALUE"""),0.106382978723404)</f>
        <v>0.1063829787</v>
      </c>
      <c r="R254" s="16">
        <f>IFERROR(__xludf.DUMMYFUNCTION("""COMPUTED_VALUE"""),0.0978260869565217)</f>
        <v>0.09782608696</v>
      </c>
      <c r="S254" s="16">
        <f>IFERROR(__xludf.DUMMYFUNCTION("""COMPUTED_VALUE"""),0.0609756097560975)</f>
        <v>0.06097560976</v>
      </c>
      <c r="T254" s="16">
        <f>IFERROR(__xludf.DUMMYFUNCTION("""COMPUTED_VALUE"""),0.05)</f>
        <v>0.05</v>
      </c>
      <c r="U254" s="16">
        <f>IFERROR(__xludf.DUMMYFUNCTION("""COMPUTED_VALUE"""),0.0)</f>
        <v>0</v>
      </c>
      <c r="V254" s="16">
        <f>IFERROR(__xludf.DUMMYFUNCTION("""COMPUTED_VALUE"""),0.0)</f>
        <v>0</v>
      </c>
      <c r="W254" s="16">
        <f>IFERROR(__xludf.DUMMYFUNCTION("""COMPUTED_VALUE"""),0.0)</f>
        <v>0</v>
      </c>
      <c r="X254" s="16">
        <f>IFERROR(__xludf.DUMMYFUNCTION("""COMPUTED_VALUE"""),0.0)</f>
        <v>0</v>
      </c>
      <c r="Y254" s="16">
        <f>IFERROR(__xludf.DUMMYFUNCTION("""COMPUTED_VALUE"""),0.0)</f>
        <v>0</v>
      </c>
      <c r="Z254" s="16">
        <f>IFERROR(__xludf.DUMMYFUNCTION("""COMPUTED_VALUE"""),0.0)</f>
        <v>0</v>
      </c>
      <c r="AA254" s="16">
        <f>IFERROR(__xludf.DUMMYFUNCTION("""COMPUTED_VALUE"""),0.0)</f>
        <v>0</v>
      </c>
      <c r="AB254" s="16">
        <f>IFERROR(__xludf.DUMMYFUNCTION("""COMPUTED_VALUE"""),0.0)</f>
        <v>0</v>
      </c>
      <c r="AC254" s="16">
        <f>IFERROR(__xludf.DUMMYFUNCTION("""COMPUTED_VALUE"""),0.0)</f>
        <v>0</v>
      </c>
      <c r="AD254" s="16">
        <f>IFERROR(__xludf.DUMMYFUNCTION("""COMPUTED_VALUE"""),0.0)</f>
        <v>0</v>
      </c>
      <c r="AE254" s="16">
        <f>IFERROR(__xludf.DUMMYFUNCTION("""COMPUTED_VALUE"""),0.0)</f>
        <v>0</v>
      </c>
      <c r="AF254" s="16">
        <f>IFERROR(__xludf.DUMMYFUNCTION("""COMPUTED_VALUE"""),0.0)</f>
        <v>0</v>
      </c>
      <c r="AG254" s="16">
        <f>IFERROR(__xludf.DUMMYFUNCTION("""COMPUTED_VALUE"""),0.0)</f>
        <v>0</v>
      </c>
      <c r="AH254" s="16">
        <f>IFERROR(__xludf.DUMMYFUNCTION("""COMPUTED_VALUE"""),0.0)</f>
        <v>0</v>
      </c>
    </row>
    <row r="255">
      <c r="A255" s="16" t="str">
        <f>IFERROR(__xludf.DUMMYFUNCTION("""COMPUTED_VALUE"""),"e3ea22ad9a736918a7619bfed3abf1f862c9bdb2")</f>
        <v>e3ea22ad9a736918a7619bfed3abf1f862c9bdb2</v>
      </c>
      <c r="B255" s="16" t="str">
        <f>IFERROR(__xludf.DUMMYFUNCTION("""COMPUTED_VALUE"""),"The Empress's Cold Return")</f>
        <v>The Empress's Cold Return</v>
      </c>
      <c r="C255" s="16" t="str">
        <f>IFERROR(__xludf.DUMMYFUNCTION("""COMPUTED_VALUE"""),"Drama")</f>
        <v>Drama</v>
      </c>
      <c r="D255" s="16">
        <f>IFERROR(__xludf.DUMMYFUNCTION("""COMPUTED_VALUE"""),452.0)</f>
        <v>452</v>
      </c>
      <c r="E255" s="16">
        <f>IFERROR(__xludf.DUMMYFUNCTION("""COMPUTED_VALUE"""),0.975663716814159)</f>
        <v>0.9756637168</v>
      </c>
      <c r="F255" s="16">
        <f>IFERROR(__xludf.DUMMYFUNCTION("""COMPUTED_VALUE"""),0.564159292035398)</f>
        <v>0.564159292</v>
      </c>
      <c r="G255" s="16">
        <f>IFERROR(__xludf.DUMMYFUNCTION("""COMPUTED_VALUE"""),0.469026548672566)</f>
        <v>0.4690265487</v>
      </c>
      <c r="H255" s="16">
        <f>IFERROR(__xludf.DUMMYFUNCTION("""COMPUTED_VALUE"""),0.422566371681415)</f>
        <v>0.4225663717</v>
      </c>
      <c r="I255" s="16">
        <f>IFERROR(__xludf.DUMMYFUNCTION("""COMPUTED_VALUE"""),0.400442477876106)</f>
        <v>0.4004424779</v>
      </c>
      <c r="J255" s="16">
        <f>IFERROR(__xludf.DUMMYFUNCTION("""COMPUTED_VALUE"""),0.389380530973451)</f>
        <v>0.389380531</v>
      </c>
      <c r="K255" s="16">
        <f>IFERROR(__xludf.DUMMYFUNCTION("""COMPUTED_VALUE"""),0.356194690265486)</f>
        <v>0.3561946903</v>
      </c>
      <c r="L255" s="16">
        <f>IFERROR(__xludf.DUMMYFUNCTION("""COMPUTED_VALUE"""),0.367256637168141)</f>
        <v>0.3672566372</v>
      </c>
      <c r="M255" s="16">
        <f>IFERROR(__xludf.DUMMYFUNCTION("""COMPUTED_VALUE"""),0.323008849557522)</f>
        <v>0.3230088496</v>
      </c>
      <c r="N255" s="16">
        <f>IFERROR(__xludf.DUMMYFUNCTION("""COMPUTED_VALUE"""),0.316371681415929)</f>
        <v>0.3163716814</v>
      </c>
      <c r="O255" s="16">
        <f>IFERROR(__xludf.DUMMYFUNCTION("""COMPUTED_VALUE"""),0.262222222222222)</f>
        <v>0.2622222222</v>
      </c>
      <c r="P255" s="16">
        <f>IFERROR(__xludf.DUMMYFUNCTION("""COMPUTED_VALUE"""),0.187358916478555)</f>
        <v>0.1873589165</v>
      </c>
      <c r="Q255" s="16">
        <f>IFERROR(__xludf.DUMMYFUNCTION("""COMPUTED_VALUE"""),0.0847058823529411)</f>
        <v>0.08470588235</v>
      </c>
      <c r="R255" s="16">
        <f>IFERROR(__xludf.DUMMYFUNCTION("""COMPUTED_VALUE"""),0.0419847328244274)</f>
        <v>0.04198473282</v>
      </c>
      <c r="S255" s="16">
        <f>IFERROR(__xludf.DUMMYFUNCTION("""COMPUTED_VALUE"""),0.0)</f>
        <v>0</v>
      </c>
      <c r="T255" s="16">
        <f>IFERROR(__xludf.DUMMYFUNCTION("""COMPUTED_VALUE"""),0.0)</f>
        <v>0</v>
      </c>
      <c r="U255" s="16">
        <f>IFERROR(__xludf.DUMMYFUNCTION("""COMPUTED_VALUE"""),0.0)</f>
        <v>0</v>
      </c>
      <c r="V255" s="16">
        <f>IFERROR(__xludf.DUMMYFUNCTION("""COMPUTED_VALUE"""),0.0)</f>
        <v>0</v>
      </c>
      <c r="W255" s="16">
        <f>IFERROR(__xludf.DUMMYFUNCTION("""COMPUTED_VALUE"""),0.0)</f>
        <v>0</v>
      </c>
      <c r="X255" s="16">
        <f>IFERROR(__xludf.DUMMYFUNCTION("""COMPUTED_VALUE"""),0.0)</f>
        <v>0</v>
      </c>
      <c r="Y255" s="16">
        <f>IFERROR(__xludf.DUMMYFUNCTION("""COMPUTED_VALUE"""),0.0)</f>
        <v>0</v>
      </c>
      <c r="Z255" s="16">
        <f>IFERROR(__xludf.DUMMYFUNCTION("""COMPUTED_VALUE"""),0.0)</f>
        <v>0</v>
      </c>
      <c r="AA255" s="16">
        <f>IFERROR(__xludf.DUMMYFUNCTION("""COMPUTED_VALUE"""),0.0)</f>
        <v>0</v>
      </c>
      <c r="AB255" s="16">
        <f>IFERROR(__xludf.DUMMYFUNCTION("""COMPUTED_VALUE"""),0.0)</f>
        <v>0</v>
      </c>
      <c r="AC255" s="16">
        <f>IFERROR(__xludf.DUMMYFUNCTION("""COMPUTED_VALUE"""),0.0)</f>
        <v>0</v>
      </c>
      <c r="AD255" s="16">
        <f>IFERROR(__xludf.DUMMYFUNCTION("""COMPUTED_VALUE"""),0.0)</f>
        <v>0</v>
      </c>
      <c r="AE255" s="16">
        <f>IFERROR(__xludf.DUMMYFUNCTION("""COMPUTED_VALUE"""),0.0)</f>
        <v>0</v>
      </c>
      <c r="AF255" s="16">
        <f>IFERROR(__xludf.DUMMYFUNCTION("""COMPUTED_VALUE"""),0.0)</f>
        <v>0</v>
      </c>
      <c r="AG255" s="16">
        <f>IFERROR(__xludf.DUMMYFUNCTION("""COMPUTED_VALUE"""),0.0)</f>
        <v>0</v>
      </c>
      <c r="AH255" s="16">
        <f>IFERROR(__xludf.DUMMYFUNCTION("""COMPUTED_VALUE"""),0.0)</f>
        <v>0</v>
      </c>
    </row>
    <row r="256">
      <c r="A256" s="16" t="str">
        <f>IFERROR(__xludf.DUMMYFUNCTION("""COMPUTED_VALUE"""),"e40505b31ca87f2f6b736e3f18b3e9f46e21cd04")</f>
        <v>e40505b31ca87f2f6b736e3f18b3e9f46e21cd04</v>
      </c>
      <c r="B256" s="16" t="str">
        <f>IFERROR(__xludf.DUMMYFUNCTION("""COMPUTED_VALUE"""),"My Dragonic System")</f>
        <v>My Dragonic System</v>
      </c>
      <c r="C256" s="16" t="str">
        <f>IFERROR(__xludf.DUMMYFUNCTION("""COMPUTED_VALUE"""),"System and Superpower")</f>
        <v>System and Superpower</v>
      </c>
      <c r="D256" s="16">
        <f>IFERROR(__xludf.DUMMYFUNCTION("""COMPUTED_VALUE"""),1820.0)</f>
        <v>1820</v>
      </c>
      <c r="E256" s="16">
        <f>IFERROR(__xludf.DUMMYFUNCTION("""COMPUTED_VALUE"""),0.965384615384615)</f>
        <v>0.9653846154</v>
      </c>
      <c r="F256" s="16">
        <f>IFERROR(__xludf.DUMMYFUNCTION("""COMPUTED_VALUE"""),0.607142857142857)</f>
        <v>0.6071428571</v>
      </c>
      <c r="G256" s="16">
        <f>IFERROR(__xludf.DUMMYFUNCTION("""COMPUTED_VALUE"""),0.564835164835164)</f>
        <v>0.5648351648</v>
      </c>
      <c r="H256" s="16">
        <f>IFERROR(__xludf.DUMMYFUNCTION("""COMPUTED_VALUE"""),0.52087912087912)</f>
        <v>0.5208791209</v>
      </c>
      <c r="I256" s="16">
        <f>IFERROR(__xludf.DUMMYFUNCTION("""COMPUTED_VALUE"""),0.495604395604395)</f>
        <v>0.4956043956</v>
      </c>
      <c r="J256" s="16">
        <f>IFERROR(__xludf.DUMMYFUNCTION("""COMPUTED_VALUE"""),0.472237493128092)</f>
        <v>0.4722374931</v>
      </c>
      <c r="K256" s="16">
        <f>IFERROR(__xludf.DUMMYFUNCTION("""COMPUTED_VALUE"""),0.445849367784496)</f>
        <v>0.4458493678</v>
      </c>
      <c r="L256" s="16">
        <f>IFERROR(__xludf.DUMMYFUNCTION("""COMPUTED_VALUE"""),0.433131535498073)</f>
        <v>0.4331315355</v>
      </c>
      <c r="M256" s="16">
        <f>IFERROR(__xludf.DUMMYFUNCTION("""COMPUTED_VALUE"""),0.41878453038674)</f>
        <v>0.4187845304</v>
      </c>
      <c r="N256" s="16">
        <f>IFERROR(__xludf.DUMMYFUNCTION("""COMPUTED_VALUE"""),0.401666666666666)</f>
        <v>0.4016666667</v>
      </c>
      <c r="O256" s="16">
        <f>IFERROR(__xludf.DUMMYFUNCTION("""COMPUTED_VALUE"""),0.375350140056022)</f>
        <v>0.3753501401</v>
      </c>
      <c r="P256" s="16">
        <f>IFERROR(__xludf.DUMMYFUNCTION("""COMPUTED_VALUE"""),0.310304449648711)</f>
        <v>0.3103044496</v>
      </c>
      <c r="Q256" s="16">
        <f>IFERROR(__xludf.DUMMYFUNCTION("""COMPUTED_VALUE"""),0.238622386223862)</f>
        <v>0.2386223862</v>
      </c>
      <c r="R256" s="16">
        <f>IFERROR(__xludf.DUMMYFUNCTION("""COMPUTED_VALUE"""),0.199558173784977)</f>
        <v>0.1995581738</v>
      </c>
      <c r="S256" s="16">
        <f>IFERROR(__xludf.DUMMYFUNCTION("""COMPUTED_VALUE"""),0.156692056583242)</f>
        <v>0.1566920566</v>
      </c>
      <c r="T256" s="16">
        <f>IFERROR(__xludf.DUMMYFUNCTION("""COMPUTED_VALUE"""),0.119610570236439)</f>
        <v>0.1196105702</v>
      </c>
      <c r="U256" s="16">
        <f>IFERROR(__xludf.DUMMYFUNCTION("""COMPUTED_VALUE"""),0.0890688259109311)</f>
        <v>0.08906882591</v>
      </c>
      <c r="V256" s="16">
        <f>IFERROR(__xludf.DUMMYFUNCTION("""COMPUTED_VALUE"""),0.0)</f>
        <v>0</v>
      </c>
      <c r="W256" s="16">
        <f>IFERROR(__xludf.DUMMYFUNCTION("""COMPUTED_VALUE"""),0.0)</f>
        <v>0</v>
      </c>
      <c r="X256" s="16">
        <f>IFERROR(__xludf.DUMMYFUNCTION("""COMPUTED_VALUE"""),0.0)</f>
        <v>0</v>
      </c>
      <c r="Y256" s="16">
        <f>IFERROR(__xludf.DUMMYFUNCTION("""COMPUTED_VALUE"""),0.0)</f>
        <v>0</v>
      </c>
      <c r="Z256" s="16">
        <f>IFERROR(__xludf.DUMMYFUNCTION("""COMPUTED_VALUE"""),0.0)</f>
        <v>0</v>
      </c>
      <c r="AA256" s="16">
        <f>IFERROR(__xludf.DUMMYFUNCTION("""COMPUTED_VALUE"""),0.0)</f>
        <v>0</v>
      </c>
      <c r="AB256" s="16">
        <f>IFERROR(__xludf.DUMMYFUNCTION("""COMPUTED_VALUE"""),0.0)</f>
        <v>0</v>
      </c>
      <c r="AC256" s="16">
        <f>IFERROR(__xludf.DUMMYFUNCTION("""COMPUTED_VALUE"""),0.0)</f>
        <v>0</v>
      </c>
      <c r="AD256" s="16">
        <f>IFERROR(__xludf.DUMMYFUNCTION("""COMPUTED_VALUE"""),0.0)</f>
        <v>0</v>
      </c>
      <c r="AE256" s="16">
        <f>IFERROR(__xludf.DUMMYFUNCTION("""COMPUTED_VALUE"""),0.0)</f>
        <v>0</v>
      </c>
      <c r="AF256" s="16">
        <f>IFERROR(__xludf.DUMMYFUNCTION("""COMPUTED_VALUE"""),0.0)</f>
        <v>0</v>
      </c>
      <c r="AG256" s="16">
        <f>IFERROR(__xludf.DUMMYFUNCTION("""COMPUTED_VALUE"""),0.0)</f>
        <v>0</v>
      </c>
      <c r="AH256" s="16">
        <f>IFERROR(__xludf.DUMMYFUNCTION("""COMPUTED_VALUE"""),0.0)</f>
        <v>0</v>
      </c>
    </row>
    <row r="257">
      <c r="A257" s="16" t="str">
        <f>IFERROR(__xludf.DUMMYFUNCTION("""COMPUTED_VALUE"""),"e5b71f4b40481cb15ce33532df56be566352534e")</f>
        <v>e5b71f4b40481cb15ce33532df56be566352534e</v>
      </c>
      <c r="B257" s="16" t="str">
        <f>IFERROR(__xludf.DUMMYFUNCTION("""COMPUTED_VALUE"""),"Rewind and Rise")</f>
        <v>Rewind and Rise</v>
      </c>
      <c r="C257" s="16" t="str">
        <f>IFERROR(__xludf.DUMMYFUNCTION("""COMPUTED_VALUE"""),"Romantasy")</f>
        <v>Romantasy</v>
      </c>
      <c r="D257" s="16">
        <f>IFERROR(__xludf.DUMMYFUNCTION("""COMPUTED_VALUE"""),43.0)</f>
        <v>43</v>
      </c>
      <c r="E257" s="16">
        <f>IFERROR(__xludf.DUMMYFUNCTION("""COMPUTED_VALUE"""),1.0)</f>
        <v>1</v>
      </c>
      <c r="F257" s="16">
        <f>IFERROR(__xludf.DUMMYFUNCTION("""COMPUTED_VALUE"""),0.697674418604651)</f>
        <v>0.6976744186</v>
      </c>
      <c r="G257" s="16">
        <f>IFERROR(__xludf.DUMMYFUNCTION("""COMPUTED_VALUE"""),0.604651162790697)</f>
        <v>0.6046511628</v>
      </c>
      <c r="H257" s="16">
        <f>IFERROR(__xludf.DUMMYFUNCTION("""COMPUTED_VALUE"""),0.534883720930232)</f>
        <v>0.5348837209</v>
      </c>
      <c r="I257" s="16">
        <f>IFERROR(__xludf.DUMMYFUNCTION("""COMPUTED_VALUE"""),0.511627906976744)</f>
        <v>0.511627907</v>
      </c>
      <c r="J257" s="16">
        <f>IFERROR(__xludf.DUMMYFUNCTION("""COMPUTED_VALUE"""),0.435897435897435)</f>
        <v>0.4358974359</v>
      </c>
      <c r="K257" s="16">
        <f>IFERROR(__xludf.DUMMYFUNCTION("""COMPUTED_VALUE"""),0.472222222222222)</f>
        <v>0.4722222222</v>
      </c>
      <c r="L257" s="16">
        <f>IFERROR(__xludf.DUMMYFUNCTION("""COMPUTED_VALUE"""),0.428571428571428)</f>
        <v>0.4285714286</v>
      </c>
      <c r="M257" s="16">
        <f>IFERROR(__xludf.DUMMYFUNCTION("""COMPUTED_VALUE"""),0.428571428571428)</f>
        <v>0.4285714286</v>
      </c>
      <c r="N257" s="16">
        <f>IFERROR(__xludf.DUMMYFUNCTION("""COMPUTED_VALUE"""),0.444444444444444)</f>
        <v>0.4444444444</v>
      </c>
      <c r="O257" s="16">
        <f>IFERROR(__xludf.DUMMYFUNCTION("""COMPUTED_VALUE"""),0.35)</f>
        <v>0.35</v>
      </c>
      <c r="P257" s="16">
        <f>IFERROR(__xludf.DUMMYFUNCTION("""COMPUTED_VALUE"""),0.0)</f>
        <v>0</v>
      </c>
      <c r="Q257" s="16">
        <f>IFERROR(__xludf.DUMMYFUNCTION("""COMPUTED_VALUE"""),0.0)</f>
        <v>0</v>
      </c>
      <c r="R257" s="16">
        <f>IFERROR(__xludf.DUMMYFUNCTION("""COMPUTED_VALUE"""),0.0)</f>
        <v>0</v>
      </c>
      <c r="S257" s="16">
        <f>IFERROR(__xludf.DUMMYFUNCTION("""COMPUTED_VALUE"""),0.0)</f>
        <v>0</v>
      </c>
      <c r="T257" s="16">
        <f>IFERROR(__xludf.DUMMYFUNCTION("""COMPUTED_VALUE"""),0.0)</f>
        <v>0</v>
      </c>
      <c r="U257" s="16">
        <f>IFERROR(__xludf.DUMMYFUNCTION("""COMPUTED_VALUE"""),0.0)</f>
        <v>0</v>
      </c>
      <c r="V257" s="16">
        <f>IFERROR(__xludf.DUMMYFUNCTION("""COMPUTED_VALUE"""),0.0)</f>
        <v>0</v>
      </c>
      <c r="W257" s="16">
        <f>IFERROR(__xludf.DUMMYFUNCTION("""COMPUTED_VALUE"""),0.0)</f>
        <v>0</v>
      </c>
      <c r="X257" s="16">
        <f>IFERROR(__xludf.DUMMYFUNCTION("""COMPUTED_VALUE"""),0.0)</f>
        <v>0</v>
      </c>
      <c r="Y257" s="16">
        <f>IFERROR(__xludf.DUMMYFUNCTION("""COMPUTED_VALUE"""),0.0)</f>
        <v>0</v>
      </c>
      <c r="Z257" s="16">
        <f>IFERROR(__xludf.DUMMYFUNCTION("""COMPUTED_VALUE"""),0.0)</f>
        <v>0</v>
      </c>
      <c r="AA257" s="16">
        <f>IFERROR(__xludf.DUMMYFUNCTION("""COMPUTED_VALUE"""),0.0)</f>
        <v>0</v>
      </c>
      <c r="AB257" s="16">
        <f>IFERROR(__xludf.DUMMYFUNCTION("""COMPUTED_VALUE"""),0.0)</f>
        <v>0</v>
      </c>
      <c r="AC257" s="16">
        <f>IFERROR(__xludf.DUMMYFUNCTION("""COMPUTED_VALUE"""),0.0)</f>
        <v>0</v>
      </c>
      <c r="AD257" s="16">
        <f>IFERROR(__xludf.DUMMYFUNCTION("""COMPUTED_VALUE"""),0.0)</f>
        <v>0</v>
      </c>
      <c r="AE257" s="16">
        <f>IFERROR(__xludf.DUMMYFUNCTION("""COMPUTED_VALUE"""),0.0)</f>
        <v>0</v>
      </c>
      <c r="AF257" s="16">
        <f>IFERROR(__xludf.DUMMYFUNCTION("""COMPUTED_VALUE"""),0.0)</f>
        <v>0</v>
      </c>
      <c r="AG257" s="16">
        <f>IFERROR(__xludf.DUMMYFUNCTION("""COMPUTED_VALUE"""),0.0)</f>
        <v>0</v>
      </c>
      <c r="AH257" s="16">
        <f>IFERROR(__xludf.DUMMYFUNCTION("""COMPUTED_VALUE"""),0.0)</f>
        <v>0</v>
      </c>
    </row>
    <row r="258">
      <c r="A258" s="16" t="str">
        <f>IFERROR(__xludf.DUMMYFUNCTION("""COMPUTED_VALUE"""),"e79ceb682265a42fb44c988f861c20672776f19d")</f>
        <v>e79ceb682265a42fb44c988f861c20672776f19d</v>
      </c>
      <c r="B258" s="16" t="str">
        <f>IFERROR(__xludf.DUMMYFUNCTION("""COMPUTED_VALUE"""),"Faction of Unity: Wyrmara")</f>
        <v>Faction of Unity: Wyrmara</v>
      </c>
      <c r="C258" s="16" t="str">
        <f>IFERROR(__xludf.DUMMYFUNCTION("""COMPUTED_VALUE"""),"Fantasy")</f>
        <v>Fantasy</v>
      </c>
      <c r="D258" s="16">
        <f>IFERROR(__xludf.DUMMYFUNCTION("""COMPUTED_VALUE"""),8.0)</f>
        <v>8</v>
      </c>
      <c r="E258" s="16">
        <f>IFERROR(__xludf.DUMMYFUNCTION("""COMPUTED_VALUE"""),1.0)</f>
        <v>1</v>
      </c>
      <c r="F258" s="16">
        <f>IFERROR(__xludf.DUMMYFUNCTION("""COMPUTED_VALUE"""),0.5)</f>
        <v>0.5</v>
      </c>
      <c r="G258" s="16">
        <f>IFERROR(__xludf.DUMMYFUNCTION("""COMPUTED_VALUE"""),0.375)</f>
        <v>0.375</v>
      </c>
      <c r="H258" s="16">
        <f>IFERROR(__xludf.DUMMYFUNCTION("""COMPUTED_VALUE"""),0.375)</f>
        <v>0.375</v>
      </c>
      <c r="I258" s="16">
        <f>IFERROR(__xludf.DUMMYFUNCTION("""COMPUTED_VALUE"""),0.375)</f>
        <v>0.375</v>
      </c>
      <c r="J258" s="16">
        <f>IFERROR(__xludf.DUMMYFUNCTION("""COMPUTED_VALUE"""),0.375)</f>
        <v>0.375</v>
      </c>
      <c r="K258" s="16">
        <f>IFERROR(__xludf.DUMMYFUNCTION("""COMPUTED_VALUE"""),0.25)</f>
        <v>0.25</v>
      </c>
      <c r="L258" s="16">
        <f>IFERROR(__xludf.DUMMYFUNCTION("""COMPUTED_VALUE"""),0.25)</f>
        <v>0.25</v>
      </c>
      <c r="M258" s="16">
        <f>IFERROR(__xludf.DUMMYFUNCTION("""COMPUTED_VALUE"""),0.125)</f>
        <v>0.125</v>
      </c>
      <c r="N258" s="16">
        <f>IFERROR(__xludf.DUMMYFUNCTION("""COMPUTED_VALUE"""),0.125)</f>
        <v>0.125</v>
      </c>
      <c r="O258" s="16">
        <f>IFERROR(__xludf.DUMMYFUNCTION("""COMPUTED_VALUE"""),0.142857142857142)</f>
        <v>0.1428571429</v>
      </c>
      <c r="P258" s="16">
        <f>IFERROR(__xludf.DUMMYFUNCTION("""COMPUTED_VALUE"""),0.166666666666666)</f>
        <v>0.1666666667</v>
      </c>
      <c r="Q258" s="16">
        <f>IFERROR(__xludf.DUMMYFUNCTION("""COMPUTED_VALUE"""),0.0)</f>
        <v>0</v>
      </c>
      <c r="R258" s="16">
        <f>IFERROR(__xludf.DUMMYFUNCTION("""COMPUTED_VALUE"""),0.0)</f>
        <v>0</v>
      </c>
      <c r="S258" s="16">
        <f>IFERROR(__xludf.DUMMYFUNCTION("""COMPUTED_VALUE"""),0.0)</f>
        <v>0</v>
      </c>
      <c r="T258" s="16">
        <f>IFERROR(__xludf.DUMMYFUNCTION("""COMPUTED_VALUE"""),0.0)</f>
        <v>0</v>
      </c>
      <c r="U258" s="16">
        <f>IFERROR(__xludf.DUMMYFUNCTION("""COMPUTED_VALUE"""),0.0)</f>
        <v>0</v>
      </c>
      <c r="V258" s="16">
        <f>IFERROR(__xludf.DUMMYFUNCTION("""COMPUTED_VALUE"""),0.0)</f>
        <v>0</v>
      </c>
      <c r="W258" s="16">
        <f>IFERROR(__xludf.DUMMYFUNCTION("""COMPUTED_VALUE"""),0.0)</f>
        <v>0</v>
      </c>
      <c r="X258" s="16">
        <f>IFERROR(__xludf.DUMMYFUNCTION("""COMPUTED_VALUE"""),0.0)</f>
        <v>0</v>
      </c>
      <c r="Y258" s="16">
        <f>IFERROR(__xludf.DUMMYFUNCTION("""COMPUTED_VALUE"""),0.0)</f>
        <v>0</v>
      </c>
      <c r="Z258" s="16">
        <f>IFERROR(__xludf.DUMMYFUNCTION("""COMPUTED_VALUE"""),0.0)</f>
        <v>0</v>
      </c>
      <c r="AA258" s="16">
        <f>IFERROR(__xludf.DUMMYFUNCTION("""COMPUTED_VALUE"""),0.0)</f>
        <v>0</v>
      </c>
      <c r="AB258" s="16">
        <f>IFERROR(__xludf.DUMMYFUNCTION("""COMPUTED_VALUE"""),0.0)</f>
        <v>0</v>
      </c>
      <c r="AC258" s="16">
        <f>IFERROR(__xludf.DUMMYFUNCTION("""COMPUTED_VALUE"""),0.0)</f>
        <v>0</v>
      </c>
      <c r="AD258" s="16">
        <f>IFERROR(__xludf.DUMMYFUNCTION("""COMPUTED_VALUE"""),0.0)</f>
        <v>0</v>
      </c>
      <c r="AE258" s="16">
        <f>IFERROR(__xludf.DUMMYFUNCTION("""COMPUTED_VALUE"""),0.0)</f>
        <v>0</v>
      </c>
      <c r="AF258" s="16">
        <f>IFERROR(__xludf.DUMMYFUNCTION("""COMPUTED_VALUE"""),0.0)</f>
        <v>0</v>
      </c>
      <c r="AG258" s="16">
        <f>IFERROR(__xludf.DUMMYFUNCTION("""COMPUTED_VALUE"""),0.0)</f>
        <v>0</v>
      </c>
      <c r="AH258" s="16">
        <f>IFERROR(__xludf.DUMMYFUNCTION("""COMPUTED_VALUE"""),0.0)</f>
        <v>0</v>
      </c>
    </row>
    <row r="259">
      <c r="A259" s="16" t="str">
        <f>IFERROR(__xludf.DUMMYFUNCTION("""COMPUTED_VALUE"""),"e7a3ee79841762542e0eb645666b039c707001f5")</f>
        <v>e7a3ee79841762542e0eb645666b039c707001f5</v>
      </c>
      <c r="B259" s="16" t="str">
        <f>IFERROR(__xludf.DUMMYFUNCTION("""COMPUTED_VALUE"""),"Masked Prince's Princess")</f>
        <v>Masked Prince's Princess</v>
      </c>
      <c r="C259" s="16" t="str">
        <f>IFERROR(__xludf.DUMMYFUNCTION("""COMPUTED_VALUE"""),"Romance")</f>
        <v>Romance</v>
      </c>
      <c r="D259" s="16">
        <f>IFERROR(__xludf.DUMMYFUNCTION("""COMPUTED_VALUE"""),601.0)</f>
        <v>601</v>
      </c>
      <c r="E259" s="16">
        <f>IFERROR(__xludf.DUMMYFUNCTION("""COMPUTED_VALUE"""),0.968386023294509)</f>
        <v>0.9683860233</v>
      </c>
      <c r="F259" s="16">
        <f>IFERROR(__xludf.DUMMYFUNCTION("""COMPUTED_VALUE"""),0.600665557404326)</f>
        <v>0.6006655574</v>
      </c>
      <c r="G259" s="16">
        <f>IFERROR(__xludf.DUMMYFUNCTION("""COMPUTED_VALUE"""),0.54242928452579)</f>
        <v>0.5424292845</v>
      </c>
      <c r="H259" s="16">
        <f>IFERROR(__xludf.DUMMYFUNCTION("""COMPUTED_VALUE"""),0.504159733777038)</f>
        <v>0.5041597338</v>
      </c>
      <c r="I259" s="16">
        <f>IFERROR(__xludf.DUMMYFUNCTION("""COMPUTED_VALUE"""),0.473333333333333)</f>
        <v>0.4733333333</v>
      </c>
      <c r="J259" s="16">
        <f>IFERROR(__xludf.DUMMYFUNCTION("""COMPUTED_VALUE"""),0.462184873949579)</f>
        <v>0.4621848739</v>
      </c>
      <c r="K259" s="16">
        <f>IFERROR(__xludf.DUMMYFUNCTION("""COMPUTED_VALUE"""),0.45144804088586)</f>
        <v>0.4514480409</v>
      </c>
      <c r="L259" s="16">
        <f>IFERROR(__xludf.DUMMYFUNCTION("""COMPUTED_VALUE"""),0.43127147766323)</f>
        <v>0.4312714777</v>
      </c>
      <c r="M259" s="16">
        <f>IFERROR(__xludf.DUMMYFUNCTION("""COMPUTED_VALUE"""),0.41551724137931)</f>
        <v>0.4155172414</v>
      </c>
      <c r="N259" s="16">
        <f>IFERROR(__xludf.DUMMYFUNCTION("""COMPUTED_VALUE"""),0.396521739130434)</f>
        <v>0.3965217391</v>
      </c>
      <c r="O259" s="16">
        <f>IFERROR(__xludf.DUMMYFUNCTION("""COMPUTED_VALUE"""),0.378571428571428)</f>
        <v>0.3785714286</v>
      </c>
      <c r="P259" s="16">
        <f>IFERROR(__xludf.DUMMYFUNCTION("""COMPUTED_VALUE"""),0.324528301886792)</f>
        <v>0.3245283019</v>
      </c>
      <c r="Q259" s="16">
        <f>IFERROR(__xludf.DUMMYFUNCTION("""COMPUTED_VALUE"""),0.255813953488372)</f>
        <v>0.2558139535</v>
      </c>
      <c r="R259" s="16">
        <f>IFERROR(__xludf.DUMMYFUNCTION("""COMPUTED_VALUE"""),0.221518987341772)</f>
        <v>0.2215189873</v>
      </c>
      <c r="S259" s="16">
        <f>IFERROR(__xludf.DUMMYFUNCTION("""COMPUTED_VALUE"""),0.0980392156862745)</f>
        <v>0.09803921569</v>
      </c>
      <c r="T259" s="16">
        <f>IFERROR(__xludf.DUMMYFUNCTION("""COMPUTED_VALUE"""),0.0)</f>
        <v>0</v>
      </c>
      <c r="U259" s="16">
        <f>IFERROR(__xludf.DUMMYFUNCTION("""COMPUTED_VALUE"""),0.0)</f>
        <v>0</v>
      </c>
      <c r="V259" s="16">
        <f>IFERROR(__xludf.DUMMYFUNCTION("""COMPUTED_VALUE"""),0.0)</f>
        <v>0</v>
      </c>
      <c r="W259" s="16">
        <f>IFERROR(__xludf.DUMMYFUNCTION("""COMPUTED_VALUE"""),0.0)</f>
        <v>0</v>
      </c>
      <c r="X259" s="16">
        <f>IFERROR(__xludf.DUMMYFUNCTION("""COMPUTED_VALUE"""),0.0)</f>
        <v>0</v>
      </c>
      <c r="Y259" s="16">
        <f>IFERROR(__xludf.DUMMYFUNCTION("""COMPUTED_VALUE"""),0.0)</f>
        <v>0</v>
      </c>
      <c r="Z259" s="16">
        <f>IFERROR(__xludf.DUMMYFUNCTION("""COMPUTED_VALUE"""),0.0)</f>
        <v>0</v>
      </c>
      <c r="AA259" s="16">
        <f>IFERROR(__xludf.DUMMYFUNCTION("""COMPUTED_VALUE"""),0.0)</f>
        <v>0</v>
      </c>
      <c r="AB259" s="16">
        <f>IFERROR(__xludf.DUMMYFUNCTION("""COMPUTED_VALUE"""),0.0)</f>
        <v>0</v>
      </c>
      <c r="AC259" s="16">
        <f>IFERROR(__xludf.DUMMYFUNCTION("""COMPUTED_VALUE"""),0.0)</f>
        <v>0</v>
      </c>
      <c r="AD259" s="16">
        <f>IFERROR(__xludf.DUMMYFUNCTION("""COMPUTED_VALUE"""),0.0)</f>
        <v>0</v>
      </c>
      <c r="AE259" s="16">
        <f>IFERROR(__xludf.DUMMYFUNCTION("""COMPUTED_VALUE"""),0.0)</f>
        <v>0</v>
      </c>
      <c r="AF259" s="16">
        <f>IFERROR(__xludf.DUMMYFUNCTION("""COMPUTED_VALUE"""),0.0)</f>
        <v>0</v>
      </c>
      <c r="AG259" s="16">
        <f>IFERROR(__xludf.DUMMYFUNCTION("""COMPUTED_VALUE"""),0.0)</f>
        <v>0</v>
      </c>
      <c r="AH259" s="16">
        <f>IFERROR(__xludf.DUMMYFUNCTION("""COMPUTED_VALUE"""),0.0)</f>
        <v>0</v>
      </c>
    </row>
    <row r="260">
      <c r="A260" s="16" t="str">
        <f>IFERROR(__xludf.DUMMYFUNCTION("""COMPUTED_VALUE"""),"e835267a1c9909e759d530cea3d17b5999d86761")</f>
        <v>e835267a1c9909e759d530cea3d17b5999d86761</v>
      </c>
      <c r="B260" s="16" t="str">
        <f>IFERROR(__xludf.DUMMYFUNCTION("""COMPUTED_VALUE"""),"Her Lightness System")</f>
        <v>Her Lightness System</v>
      </c>
      <c r="C260" s="16" t="str">
        <f>IFERROR(__xludf.DUMMYFUNCTION("""COMPUTED_VALUE"""),"System and Superpower")</f>
        <v>System and Superpower</v>
      </c>
      <c r="D260" s="16">
        <f>IFERROR(__xludf.DUMMYFUNCTION("""COMPUTED_VALUE"""),116.0)</f>
        <v>116</v>
      </c>
      <c r="E260" s="16">
        <f>IFERROR(__xludf.DUMMYFUNCTION("""COMPUTED_VALUE"""),0.956896551724137)</f>
        <v>0.9568965517</v>
      </c>
      <c r="F260" s="16">
        <f>IFERROR(__xludf.DUMMYFUNCTION("""COMPUTED_VALUE"""),0.620689655172413)</f>
        <v>0.6206896552</v>
      </c>
      <c r="G260" s="16">
        <f>IFERROR(__xludf.DUMMYFUNCTION("""COMPUTED_VALUE"""),0.603448275862069)</f>
        <v>0.6034482759</v>
      </c>
      <c r="H260" s="16">
        <f>IFERROR(__xludf.DUMMYFUNCTION("""COMPUTED_VALUE"""),0.577586206896551)</f>
        <v>0.5775862069</v>
      </c>
      <c r="I260" s="16">
        <f>IFERROR(__xludf.DUMMYFUNCTION("""COMPUTED_VALUE"""),0.517241379310344)</f>
        <v>0.5172413793</v>
      </c>
      <c r="J260" s="16">
        <f>IFERROR(__xludf.DUMMYFUNCTION("""COMPUTED_VALUE"""),0.464285714285714)</f>
        <v>0.4642857143</v>
      </c>
      <c r="K260" s="16">
        <f>IFERROR(__xludf.DUMMYFUNCTION("""COMPUTED_VALUE"""),0.441441441441441)</f>
        <v>0.4414414414</v>
      </c>
      <c r="L260" s="16">
        <f>IFERROR(__xludf.DUMMYFUNCTION("""COMPUTED_VALUE"""),0.37037037037037)</f>
        <v>0.3703703704</v>
      </c>
      <c r="M260" s="16">
        <f>IFERROR(__xludf.DUMMYFUNCTION("""COMPUTED_VALUE"""),0.313725490196078)</f>
        <v>0.3137254902</v>
      </c>
      <c r="N260" s="16">
        <f>IFERROR(__xludf.DUMMYFUNCTION("""COMPUTED_VALUE"""),0.357894736842105)</f>
        <v>0.3578947368</v>
      </c>
      <c r="O260" s="16">
        <f>IFERROR(__xludf.DUMMYFUNCTION("""COMPUTED_VALUE"""),0.345679012345679)</f>
        <v>0.3456790123</v>
      </c>
      <c r="P260" s="16">
        <f>IFERROR(__xludf.DUMMYFUNCTION("""COMPUTED_VALUE"""),0.202898550724637)</f>
        <v>0.2028985507</v>
      </c>
      <c r="Q260" s="16">
        <f>IFERROR(__xludf.DUMMYFUNCTION("""COMPUTED_VALUE"""),0.125)</f>
        <v>0.125</v>
      </c>
      <c r="R260" s="16">
        <f>IFERROR(__xludf.DUMMYFUNCTION("""COMPUTED_VALUE"""),0.0666666666666666)</f>
        <v>0.06666666667</v>
      </c>
      <c r="S260" s="16">
        <f>IFERROR(__xludf.DUMMYFUNCTION("""COMPUTED_VALUE"""),0.0)</f>
        <v>0</v>
      </c>
      <c r="T260" s="16">
        <f>IFERROR(__xludf.DUMMYFUNCTION("""COMPUTED_VALUE"""),0.0)</f>
        <v>0</v>
      </c>
      <c r="U260" s="16">
        <f>IFERROR(__xludf.DUMMYFUNCTION("""COMPUTED_VALUE"""),0.0)</f>
        <v>0</v>
      </c>
      <c r="V260" s="16">
        <f>IFERROR(__xludf.DUMMYFUNCTION("""COMPUTED_VALUE"""),0.0)</f>
        <v>0</v>
      </c>
      <c r="W260" s="16">
        <f>IFERROR(__xludf.DUMMYFUNCTION("""COMPUTED_VALUE"""),0.0)</f>
        <v>0</v>
      </c>
      <c r="X260" s="16">
        <f>IFERROR(__xludf.DUMMYFUNCTION("""COMPUTED_VALUE"""),0.0)</f>
        <v>0</v>
      </c>
      <c r="Y260" s="16">
        <f>IFERROR(__xludf.DUMMYFUNCTION("""COMPUTED_VALUE"""),0.0)</f>
        <v>0</v>
      </c>
      <c r="Z260" s="16">
        <f>IFERROR(__xludf.DUMMYFUNCTION("""COMPUTED_VALUE"""),0.0)</f>
        <v>0</v>
      </c>
      <c r="AA260" s="16">
        <f>IFERROR(__xludf.DUMMYFUNCTION("""COMPUTED_VALUE"""),0.0)</f>
        <v>0</v>
      </c>
      <c r="AB260" s="16">
        <f>IFERROR(__xludf.DUMMYFUNCTION("""COMPUTED_VALUE"""),0.0)</f>
        <v>0</v>
      </c>
      <c r="AC260" s="16">
        <f>IFERROR(__xludf.DUMMYFUNCTION("""COMPUTED_VALUE"""),0.0)</f>
        <v>0</v>
      </c>
      <c r="AD260" s="16">
        <f>IFERROR(__xludf.DUMMYFUNCTION("""COMPUTED_VALUE"""),0.0)</f>
        <v>0</v>
      </c>
      <c r="AE260" s="16">
        <f>IFERROR(__xludf.DUMMYFUNCTION("""COMPUTED_VALUE"""),0.0)</f>
        <v>0</v>
      </c>
      <c r="AF260" s="16">
        <f>IFERROR(__xludf.DUMMYFUNCTION("""COMPUTED_VALUE"""),0.0)</f>
        <v>0</v>
      </c>
      <c r="AG260" s="16">
        <f>IFERROR(__xludf.DUMMYFUNCTION("""COMPUTED_VALUE"""),0.0)</f>
        <v>0</v>
      </c>
      <c r="AH260" s="16">
        <f>IFERROR(__xludf.DUMMYFUNCTION("""COMPUTED_VALUE"""),0.0)</f>
        <v>0</v>
      </c>
    </row>
    <row r="261">
      <c r="A261" s="16" t="str">
        <f>IFERROR(__xludf.DUMMYFUNCTION("""COMPUTED_VALUE"""),"e83bb9290a73242b13db9a4453b23f1b0ca9fed0")</f>
        <v>e83bb9290a73242b13db9a4453b23f1b0ca9fed0</v>
      </c>
      <c r="B261" s="16" t="str">
        <f>IFERROR(__xludf.DUMMYFUNCTION("""COMPUTED_VALUE"""),"The Baby He Denied")</f>
        <v>The Baby He Denied</v>
      </c>
      <c r="C261" s="16" t="str">
        <f>IFERROR(__xludf.DUMMYFUNCTION("""COMPUTED_VALUE"""),"Romance")</f>
        <v>Romance</v>
      </c>
      <c r="D261" s="16">
        <f>IFERROR(__xludf.DUMMYFUNCTION("""COMPUTED_VALUE"""),1174.0)</f>
        <v>1174</v>
      </c>
      <c r="E261" s="16">
        <f>IFERROR(__xludf.DUMMYFUNCTION("""COMPUTED_VALUE"""),0.966780238500851)</f>
        <v>0.9667802385</v>
      </c>
      <c r="F261" s="16">
        <f>IFERROR(__xludf.DUMMYFUNCTION("""COMPUTED_VALUE"""),0.758943781942078)</f>
        <v>0.7589437819</v>
      </c>
      <c r="G261" s="16">
        <f>IFERROR(__xludf.DUMMYFUNCTION("""COMPUTED_VALUE"""),0.69335604770017)</f>
        <v>0.6933560477</v>
      </c>
      <c r="H261" s="16">
        <f>IFERROR(__xludf.DUMMYFUNCTION("""COMPUTED_VALUE"""),0.625212947189097)</f>
        <v>0.6252129472</v>
      </c>
      <c r="I261" s="16">
        <f>IFERROR(__xludf.DUMMYFUNCTION("""COMPUTED_VALUE"""),0.616695059625213)</f>
        <v>0.6166950596</v>
      </c>
      <c r="J261" s="16">
        <f>IFERROR(__xludf.DUMMYFUNCTION("""COMPUTED_VALUE"""),0.578857630008525)</f>
        <v>0.57885763</v>
      </c>
      <c r="K261" s="16">
        <f>IFERROR(__xludf.DUMMYFUNCTION("""COMPUTED_VALUE"""),0.531969309462915)</f>
        <v>0.5319693095</v>
      </c>
      <c r="L261" s="16">
        <f>IFERROR(__xludf.DUMMYFUNCTION("""COMPUTED_VALUE"""),0.480785653287788)</f>
        <v>0.4807856533</v>
      </c>
      <c r="M261" s="16">
        <f>IFERROR(__xludf.DUMMYFUNCTION("""COMPUTED_VALUE"""),0.459829059829059)</f>
        <v>0.4598290598</v>
      </c>
      <c r="N261" s="16">
        <f>IFERROR(__xludf.DUMMYFUNCTION("""COMPUTED_VALUE"""),0.423076923076923)</f>
        <v>0.4230769231</v>
      </c>
      <c r="O261" s="16">
        <f>IFERROR(__xludf.DUMMYFUNCTION("""COMPUTED_VALUE"""),0.349656357388316)</f>
        <v>0.3496563574</v>
      </c>
      <c r="P261" s="16">
        <f>IFERROR(__xludf.DUMMYFUNCTION("""COMPUTED_VALUE"""),0.281553398058252)</f>
        <v>0.2815533981</v>
      </c>
      <c r="Q261" s="16">
        <f>IFERROR(__xludf.DUMMYFUNCTION("""COMPUTED_VALUE"""),0.126984126984126)</f>
        <v>0.126984127</v>
      </c>
      <c r="R261" s="16">
        <f>IFERROR(__xludf.DUMMYFUNCTION("""COMPUTED_VALUE"""),0.0727272727272727)</f>
        <v>0.07272727273</v>
      </c>
      <c r="S261" s="16">
        <f>IFERROR(__xludf.DUMMYFUNCTION("""COMPUTED_VALUE"""),0.0909090909090909)</f>
        <v>0.09090909091</v>
      </c>
      <c r="T261" s="16">
        <f>IFERROR(__xludf.DUMMYFUNCTION("""COMPUTED_VALUE"""),0.125)</f>
        <v>0.125</v>
      </c>
      <c r="U261" s="16">
        <f>IFERROR(__xludf.DUMMYFUNCTION("""COMPUTED_VALUE"""),0.166666666666666)</f>
        <v>0.1666666667</v>
      </c>
      <c r="V261" s="16">
        <f>IFERROR(__xludf.DUMMYFUNCTION("""COMPUTED_VALUE"""),0.0)</f>
        <v>0</v>
      </c>
      <c r="W261" s="16">
        <f>IFERROR(__xludf.DUMMYFUNCTION("""COMPUTED_VALUE"""),0.0)</f>
        <v>0</v>
      </c>
      <c r="X261" s="16">
        <f>IFERROR(__xludf.DUMMYFUNCTION("""COMPUTED_VALUE"""),0.0)</f>
        <v>0</v>
      </c>
      <c r="Y261" s="16">
        <f>IFERROR(__xludf.DUMMYFUNCTION("""COMPUTED_VALUE"""),0.0)</f>
        <v>0</v>
      </c>
      <c r="Z261" s="16">
        <f>IFERROR(__xludf.DUMMYFUNCTION("""COMPUTED_VALUE"""),0.0)</f>
        <v>0</v>
      </c>
      <c r="AA261" s="16">
        <f>IFERROR(__xludf.DUMMYFUNCTION("""COMPUTED_VALUE"""),0.0)</f>
        <v>0</v>
      </c>
      <c r="AB261" s="16">
        <f>IFERROR(__xludf.DUMMYFUNCTION("""COMPUTED_VALUE"""),0.0)</f>
        <v>0</v>
      </c>
      <c r="AC261" s="16">
        <f>IFERROR(__xludf.DUMMYFUNCTION("""COMPUTED_VALUE"""),0.0)</f>
        <v>0</v>
      </c>
      <c r="AD261" s="16">
        <f>IFERROR(__xludf.DUMMYFUNCTION("""COMPUTED_VALUE"""),0.0)</f>
        <v>0</v>
      </c>
      <c r="AE261" s="16">
        <f>IFERROR(__xludf.DUMMYFUNCTION("""COMPUTED_VALUE"""),0.0)</f>
        <v>0</v>
      </c>
      <c r="AF261" s="16">
        <f>IFERROR(__xludf.DUMMYFUNCTION("""COMPUTED_VALUE"""),0.0)</f>
        <v>0</v>
      </c>
      <c r="AG261" s="16">
        <f>IFERROR(__xludf.DUMMYFUNCTION("""COMPUTED_VALUE"""),0.0)</f>
        <v>0</v>
      </c>
      <c r="AH261" s="16">
        <f>IFERROR(__xludf.DUMMYFUNCTION("""COMPUTED_VALUE"""),0.0)</f>
        <v>0</v>
      </c>
    </row>
    <row r="262">
      <c r="A262" s="16" t="str">
        <f>IFERROR(__xludf.DUMMYFUNCTION("""COMPUTED_VALUE"""),"e8df3cfef87feac45c4c024f9cbd7254cfc15952")</f>
        <v>e8df3cfef87feac45c4c024f9cbd7254cfc15952</v>
      </c>
      <c r="B262" s="16" t="str">
        <f>IFERROR(__xludf.DUMMYFUNCTION("""COMPUTED_VALUE"""),"Between Wolves and Lies")</f>
        <v>Between Wolves and Lies</v>
      </c>
      <c r="C262" s="16" t="str">
        <f>IFERROR(__xludf.DUMMYFUNCTION("""COMPUTED_VALUE"""),"Romantasy")</f>
        <v>Romantasy</v>
      </c>
      <c r="D262" s="16">
        <f>IFERROR(__xludf.DUMMYFUNCTION("""COMPUTED_VALUE"""),399.0)</f>
        <v>399</v>
      </c>
      <c r="E262" s="16">
        <f>IFERROR(__xludf.DUMMYFUNCTION("""COMPUTED_VALUE"""),0.984962406015037)</f>
        <v>0.984962406</v>
      </c>
      <c r="F262" s="16">
        <f>IFERROR(__xludf.DUMMYFUNCTION("""COMPUTED_VALUE"""),0.546365914786967)</f>
        <v>0.5463659148</v>
      </c>
      <c r="G262" s="16">
        <f>IFERROR(__xludf.DUMMYFUNCTION("""COMPUTED_VALUE"""),0.463659147869674)</f>
        <v>0.4636591479</v>
      </c>
      <c r="H262" s="16">
        <f>IFERROR(__xludf.DUMMYFUNCTION("""COMPUTED_VALUE"""),0.406015037593984)</f>
        <v>0.4060150376</v>
      </c>
      <c r="I262" s="16">
        <f>IFERROR(__xludf.DUMMYFUNCTION("""COMPUTED_VALUE"""),0.353383458646616)</f>
        <v>0.3533834586</v>
      </c>
      <c r="J262" s="16">
        <f>IFERROR(__xludf.DUMMYFUNCTION("""COMPUTED_VALUE"""),0.325814536340852)</f>
        <v>0.3258145363</v>
      </c>
      <c r="K262" s="16">
        <f>IFERROR(__xludf.DUMMYFUNCTION("""COMPUTED_VALUE"""),0.300751879699248)</f>
        <v>0.3007518797</v>
      </c>
      <c r="L262" s="16">
        <f>IFERROR(__xludf.DUMMYFUNCTION("""COMPUTED_VALUE"""),0.270676691729323)</f>
        <v>0.2706766917</v>
      </c>
      <c r="M262" s="16">
        <f>IFERROR(__xludf.DUMMYFUNCTION("""COMPUTED_VALUE"""),0.25062656641604)</f>
        <v>0.2506265664</v>
      </c>
      <c r="N262" s="16">
        <f>IFERROR(__xludf.DUMMYFUNCTION("""COMPUTED_VALUE"""),0.228070175438596)</f>
        <v>0.2280701754</v>
      </c>
      <c r="O262" s="16">
        <f>IFERROR(__xludf.DUMMYFUNCTION("""COMPUTED_VALUE"""),0.160401002506265)</f>
        <v>0.1604010025</v>
      </c>
      <c r="P262" s="16">
        <f>IFERROR(__xludf.DUMMYFUNCTION("""COMPUTED_VALUE"""),0.0628140703517587)</f>
        <v>0.06281407035</v>
      </c>
      <c r="Q262" s="16">
        <f>IFERROR(__xludf.DUMMYFUNCTION("""COMPUTED_VALUE"""),0.0306122448979591)</f>
        <v>0.0306122449</v>
      </c>
      <c r="R262" s="16">
        <f>IFERROR(__xludf.DUMMYFUNCTION("""COMPUTED_VALUE"""),0.00619195046439628)</f>
        <v>0.006191950464</v>
      </c>
      <c r="S262" s="16">
        <f>IFERROR(__xludf.DUMMYFUNCTION("""COMPUTED_VALUE"""),0.0)</f>
        <v>0</v>
      </c>
      <c r="T262" s="16">
        <f>IFERROR(__xludf.DUMMYFUNCTION("""COMPUTED_VALUE"""),0.0)</f>
        <v>0</v>
      </c>
      <c r="U262" s="16">
        <f>IFERROR(__xludf.DUMMYFUNCTION("""COMPUTED_VALUE"""),0.0)</f>
        <v>0</v>
      </c>
      <c r="V262" s="16">
        <f>IFERROR(__xludf.DUMMYFUNCTION("""COMPUTED_VALUE"""),0.0)</f>
        <v>0</v>
      </c>
      <c r="W262" s="16">
        <f>IFERROR(__xludf.DUMMYFUNCTION("""COMPUTED_VALUE"""),0.0)</f>
        <v>0</v>
      </c>
      <c r="X262" s="16">
        <f>IFERROR(__xludf.DUMMYFUNCTION("""COMPUTED_VALUE"""),0.0)</f>
        <v>0</v>
      </c>
      <c r="Y262" s="16">
        <f>IFERROR(__xludf.DUMMYFUNCTION("""COMPUTED_VALUE"""),0.0)</f>
        <v>0</v>
      </c>
      <c r="Z262" s="16">
        <f>IFERROR(__xludf.DUMMYFUNCTION("""COMPUTED_VALUE"""),0.0)</f>
        <v>0</v>
      </c>
      <c r="AA262" s="16">
        <f>IFERROR(__xludf.DUMMYFUNCTION("""COMPUTED_VALUE"""),0.0)</f>
        <v>0</v>
      </c>
      <c r="AB262" s="16">
        <f>IFERROR(__xludf.DUMMYFUNCTION("""COMPUTED_VALUE"""),0.0)</f>
        <v>0</v>
      </c>
      <c r="AC262" s="16">
        <f>IFERROR(__xludf.DUMMYFUNCTION("""COMPUTED_VALUE"""),0.0)</f>
        <v>0</v>
      </c>
      <c r="AD262" s="16">
        <f>IFERROR(__xludf.DUMMYFUNCTION("""COMPUTED_VALUE"""),0.0)</f>
        <v>0</v>
      </c>
      <c r="AE262" s="16">
        <f>IFERROR(__xludf.DUMMYFUNCTION("""COMPUTED_VALUE"""),0.0)</f>
        <v>0</v>
      </c>
      <c r="AF262" s="16">
        <f>IFERROR(__xludf.DUMMYFUNCTION("""COMPUTED_VALUE"""),0.0)</f>
        <v>0</v>
      </c>
      <c r="AG262" s="16">
        <f>IFERROR(__xludf.DUMMYFUNCTION("""COMPUTED_VALUE"""),0.0)</f>
        <v>0</v>
      </c>
      <c r="AH262" s="16">
        <f>IFERROR(__xludf.DUMMYFUNCTION("""COMPUTED_VALUE"""),0.0)</f>
        <v>0</v>
      </c>
    </row>
    <row r="263">
      <c r="A263" s="16" t="str">
        <f>IFERROR(__xludf.DUMMYFUNCTION("""COMPUTED_VALUE"""),"ed37d82285cfdcacdd3008ef7825d877fd575b57")</f>
        <v>ed37d82285cfdcacdd3008ef7825d877fd575b57</v>
      </c>
      <c r="B263" s="16" t="str">
        <f>IFERROR(__xludf.DUMMYFUNCTION("""COMPUTED_VALUE"""),"Charade")</f>
        <v>Charade</v>
      </c>
      <c r="C263" s="16" t="str">
        <f>IFERROR(__xludf.DUMMYFUNCTION("""COMPUTED_VALUE"""),"Fantasy")</f>
        <v>Fantasy</v>
      </c>
      <c r="D263" s="16">
        <f>IFERROR(__xludf.DUMMYFUNCTION("""COMPUTED_VALUE"""),7.0)</f>
        <v>7</v>
      </c>
      <c r="E263" s="16">
        <f>IFERROR(__xludf.DUMMYFUNCTION("""COMPUTED_VALUE"""),1.0)</f>
        <v>1</v>
      </c>
      <c r="F263" s="16">
        <f>IFERROR(__xludf.DUMMYFUNCTION("""COMPUTED_VALUE"""),0.285714285714285)</f>
        <v>0.2857142857</v>
      </c>
      <c r="G263" s="16">
        <f>IFERROR(__xludf.DUMMYFUNCTION("""COMPUTED_VALUE"""),0.285714285714285)</f>
        <v>0.2857142857</v>
      </c>
      <c r="H263" s="16">
        <f>IFERROR(__xludf.DUMMYFUNCTION("""COMPUTED_VALUE"""),0.285714285714285)</f>
        <v>0.2857142857</v>
      </c>
      <c r="I263" s="16">
        <f>IFERROR(__xludf.DUMMYFUNCTION("""COMPUTED_VALUE"""),0.285714285714285)</f>
        <v>0.2857142857</v>
      </c>
      <c r="J263" s="16">
        <f>IFERROR(__xludf.DUMMYFUNCTION("""COMPUTED_VALUE"""),0.285714285714285)</f>
        <v>0.2857142857</v>
      </c>
      <c r="K263" s="16">
        <f>IFERROR(__xludf.DUMMYFUNCTION("""COMPUTED_VALUE"""),0.285714285714285)</f>
        <v>0.2857142857</v>
      </c>
      <c r="L263" s="16">
        <f>IFERROR(__xludf.DUMMYFUNCTION("""COMPUTED_VALUE"""),0.142857142857142)</f>
        <v>0.1428571429</v>
      </c>
      <c r="M263" s="16">
        <f>IFERROR(__xludf.DUMMYFUNCTION("""COMPUTED_VALUE"""),0.142857142857142)</f>
        <v>0.1428571429</v>
      </c>
      <c r="N263" s="16">
        <f>IFERROR(__xludf.DUMMYFUNCTION("""COMPUTED_VALUE"""),0.142857142857142)</f>
        <v>0.1428571429</v>
      </c>
      <c r="O263" s="16">
        <f>IFERROR(__xludf.DUMMYFUNCTION("""COMPUTED_VALUE"""),0.142857142857142)</f>
        <v>0.1428571429</v>
      </c>
      <c r="P263" s="16">
        <f>IFERROR(__xludf.DUMMYFUNCTION("""COMPUTED_VALUE"""),0.0)</f>
        <v>0</v>
      </c>
      <c r="Q263" s="16">
        <f>IFERROR(__xludf.DUMMYFUNCTION("""COMPUTED_VALUE"""),0.0)</f>
        <v>0</v>
      </c>
      <c r="R263" s="16">
        <f>IFERROR(__xludf.DUMMYFUNCTION("""COMPUTED_VALUE"""),0.0)</f>
        <v>0</v>
      </c>
      <c r="S263" s="16">
        <f>IFERROR(__xludf.DUMMYFUNCTION("""COMPUTED_VALUE"""),0.0)</f>
        <v>0</v>
      </c>
      <c r="T263" s="16">
        <f>IFERROR(__xludf.DUMMYFUNCTION("""COMPUTED_VALUE"""),0.0)</f>
        <v>0</v>
      </c>
      <c r="U263" s="16">
        <f>IFERROR(__xludf.DUMMYFUNCTION("""COMPUTED_VALUE"""),0.0)</f>
        <v>0</v>
      </c>
      <c r="V263" s="16">
        <f>IFERROR(__xludf.DUMMYFUNCTION("""COMPUTED_VALUE"""),0.0)</f>
        <v>0</v>
      </c>
      <c r="W263" s="16">
        <f>IFERROR(__xludf.DUMMYFUNCTION("""COMPUTED_VALUE"""),0.0)</f>
        <v>0</v>
      </c>
      <c r="X263" s="16">
        <f>IFERROR(__xludf.DUMMYFUNCTION("""COMPUTED_VALUE"""),0.0)</f>
        <v>0</v>
      </c>
      <c r="Y263" s="16">
        <f>IFERROR(__xludf.DUMMYFUNCTION("""COMPUTED_VALUE"""),0.0)</f>
        <v>0</v>
      </c>
      <c r="Z263" s="16">
        <f>IFERROR(__xludf.DUMMYFUNCTION("""COMPUTED_VALUE"""),0.0)</f>
        <v>0</v>
      </c>
      <c r="AA263" s="16">
        <f>IFERROR(__xludf.DUMMYFUNCTION("""COMPUTED_VALUE"""),0.0)</f>
        <v>0</v>
      </c>
      <c r="AB263" s="16">
        <f>IFERROR(__xludf.DUMMYFUNCTION("""COMPUTED_VALUE"""),0.0)</f>
        <v>0</v>
      </c>
      <c r="AC263" s="16">
        <f>IFERROR(__xludf.DUMMYFUNCTION("""COMPUTED_VALUE"""),0.0)</f>
        <v>0</v>
      </c>
      <c r="AD263" s="16">
        <f>IFERROR(__xludf.DUMMYFUNCTION("""COMPUTED_VALUE"""),0.0)</f>
        <v>0</v>
      </c>
      <c r="AE263" s="16">
        <f>IFERROR(__xludf.DUMMYFUNCTION("""COMPUTED_VALUE"""),0.0)</f>
        <v>0</v>
      </c>
      <c r="AF263" s="16">
        <f>IFERROR(__xludf.DUMMYFUNCTION("""COMPUTED_VALUE"""),0.0)</f>
        <v>0</v>
      </c>
      <c r="AG263" s="16">
        <f>IFERROR(__xludf.DUMMYFUNCTION("""COMPUTED_VALUE"""),0.0)</f>
        <v>0</v>
      </c>
      <c r="AH263" s="16">
        <f>IFERROR(__xludf.DUMMYFUNCTION("""COMPUTED_VALUE"""),0.0)</f>
        <v>0</v>
      </c>
    </row>
    <row r="264">
      <c r="A264" s="16" t="str">
        <f>IFERROR(__xludf.DUMMYFUNCTION("""COMPUTED_VALUE"""),"ee2e216e3dceba69118e501b055c3b7b9a0335a3")</f>
        <v>ee2e216e3dceba69118e501b055c3b7b9a0335a3</v>
      </c>
      <c r="B264" s="16" t="str">
        <f>IFERROR(__xludf.DUMMYFUNCTION("""COMPUTED_VALUE"""),"Kyan's System Awakening")</f>
        <v>Kyan's System Awakening</v>
      </c>
      <c r="C264" s="16" t="str">
        <f>IFERROR(__xludf.DUMMYFUNCTION("""COMPUTED_VALUE"""),"Fantasy")</f>
        <v>Fantasy</v>
      </c>
      <c r="D264" s="16">
        <f>IFERROR(__xludf.DUMMYFUNCTION("""COMPUTED_VALUE"""),270.0)</f>
        <v>270</v>
      </c>
      <c r="E264" s="16">
        <f>IFERROR(__xludf.DUMMYFUNCTION("""COMPUTED_VALUE"""),0.955555555555555)</f>
        <v>0.9555555556</v>
      </c>
      <c r="F264" s="16">
        <f>IFERROR(__xludf.DUMMYFUNCTION("""COMPUTED_VALUE"""),0.611111111111111)</f>
        <v>0.6111111111</v>
      </c>
      <c r="G264" s="16">
        <f>IFERROR(__xludf.DUMMYFUNCTION("""COMPUTED_VALUE"""),0.551851851851851)</f>
        <v>0.5518518519</v>
      </c>
      <c r="H264" s="16">
        <f>IFERROR(__xludf.DUMMYFUNCTION("""COMPUTED_VALUE"""),0.537037037037037)</f>
        <v>0.537037037</v>
      </c>
      <c r="I264" s="16">
        <f>IFERROR(__xludf.DUMMYFUNCTION("""COMPUTED_VALUE"""),0.513011152416356)</f>
        <v>0.5130111524</v>
      </c>
      <c r="J264" s="16">
        <f>IFERROR(__xludf.DUMMYFUNCTION("""COMPUTED_VALUE"""),0.49814126394052)</f>
        <v>0.4981412639</v>
      </c>
      <c r="K264" s="16">
        <f>IFERROR(__xludf.DUMMYFUNCTION("""COMPUTED_VALUE"""),0.46816479400749)</f>
        <v>0.468164794</v>
      </c>
      <c r="L264" s="16">
        <f>IFERROR(__xludf.DUMMYFUNCTION("""COMPUTED_VALUE"""),0.451127819548872)</f>
        <v>0.4511278195</v>
      </c>
      <c r="M264" s="16">
        <f>IFERROR(__xludf.DUMMYFUNCTION("""COMPUTED_VALUE"""),0.433460076045627)</f>
        <v>0.433460076</v>
      </c>
      <c r="N264" s="16">
        <f>IFERROR(__xludf.DUMMYFUNCTION("""COMPUTED_VALUE"""),0.422480620155038)</f>
        <v>0.4224806202</v>
      </c>
      <c r="O264" s="16">
        <f>IFERROR(__xludf.DUMMYFUNCTION("""COMPUTED_VALUE"""),0.388888888888888)</f>
        <v>0.3888888889</v>
      </c>
      <c r="P264" s="16">
        <f>IFERROR(__xludf.DUMMYFUNCTION("""COMPUTED_VALUE"""),0.284360189573459)</f>
        <v>0.2843601896</v>
      </c>
      <c r="Q264" s="16">
        <f>IFERROR(__xludf.DUMMYFUNCTION("""COMPUTED_VALUE"""),0.180232558139534)</f>
        <v>0.1802325581</v>
      </c>
      <c r="R264" s="16">
        <f>IFERROR(__xludf.DUMMYFUNCTION("""COMPUTED_VALUE"""),0.123595505617977)</f>
        <v>0.1235955056</v>
      </c>
      <c r="S264" s="16">
        <f>IFERROR(__xludf.DUMMYFUNCTION("""COMPUTED_VALUE"""),0.0833333333333333)</f>
        <v>0.08333333333</v>
      </c>
      <c r="T264" s="16">
        <f>IFERROR(__xludf.DUMMYFUNCTION("""COMPUTED_VALUE"""),0.0208333333333333)</f>
        <v>0.02083333333</v>
      </c>
      <c r="U264" s="16">
        <f>IFERROR(__xludf.DUMMYFUNCTION("""COMPUTED_VALUE"""),0.0)</f>
        <v>0</v>
      </c>
      <c r="V264" s="16">
        <f>IFERROR(__xludf.DUMMYFUNCTION("""COMPUTED_VALUE"""),0.0)</f>
        <v>0</v>
      </c>
      <c r="W264" s="16">
        <f>IFERROR(__xludf.DUMMYFUNCTION("""COMPUTED_VALUE"""),0.0)</f>
        <v>0</v>
      </c>
      <c r="X264" s="16">
        <f>IFERROR(__xludf.DUMMYFUNCTION("""COMPUTED_VALUE"""),0.0)</f>
        <v>0</v>
      </c>
      <c r="Y264" s="16">
        <f>IFERROR(__xludf.DUMMYFUNCTION("""COMPUTED_VALUE"""),0.0)</f>
        <v>0</v>
      </c>
      <c r="Z264" s="16">
        <f>IFERROR(__xludf.DUMMYFUNCTION("""COMPUTED_VALUE"""),0.0)</f>
        <v>0</v>
      </c>
      <c r="AA264" s="16">
        <f>IFERROR(__xludf.DUMMYFUNCTION("""COMPUTED_VALUE"""),0.0)</f>
        <v>0</v>
      </c>
      <c r="AB264" s="16">
        <f>IFERROR(__xludf.DUMMYFUNCTION("""COMPUTED_VALUE"""),0.0)</f>
        <v>0</v>
      </c>
      <c r="AC264" s="16">
        <f>IFERROR(__xludf.DUMMYFUNCTION("""COMPUTED_VALUE"""),0.0)</f>
        <v>0</v>
      </c>
      <c r="AD264" s="16">
        <f>IFERROR(__xludf.DUMMYFUNCTION("""COMPUTED_VALUE"""),0.0)</f>
        <v>0</v>
      </c>
      <c r="AE264" s="16">
        <f>IFERROR(__xludf.DUMMYFUNCTION("""COMPUTED_VALUE"""),0.0)</f>
        <v>0</v>
      </c>
      <c r="AF264" s="16">
        <f>IFERROR(__xludf.DUMMYFUNCTION("""COMPUTED_VALUE"""),0.0)</f>
        <v>0</v>
      </c>
      <c r="AG264" s="16">
        <f>IFERROR(__xludf.DUMMYFUNCTION("""COMPUTED_VALUE"""),0.0)</f>
        <v>0</v>
      </c>
      <c r="AH264" s="16">
        <f>IFERROR(__xludf.DUMMYFUNCTION("""COMPUTED_VALUE"""),0.0)</f>
        <v>0</v>
      </c>
    </row>
    <row r="265">
      <c r="A265" s="16" t="str">
        <f>IFERROR(__xludf.DUMMYFUNCTION("""COMPUTED_VALUE"""),"ef47552b570f8fc4cc243b88fae469ea12c31df0")</f>
        <v>ef47552b570f8fc4cc243b88fae469ea12c31df0</v>
      </c>
      <c r="B265" s="16" t="str">
        <f>IFERROR(__xludf.DUMMYFUNCTION("""COMPUTED_VALUE"""),"Mated to Enemy’s Luna")</f>
        <v>Mated to Enemy’s Luna</v>
      </c>
      <c r="C265" s="16" t="str">
        <f>IFERROR(__xludf.DUMMYFUNCTION("""COMPUTED_VALUE"""),"Romantasy")</f>
        <v>Romantasy</v>
      </c>
      <c r="D265" s="16">
        <f>IFERROR(__xludf.DUMMYFUNCTION("""COMPUTED_VALUE"""),109.0)</f>
        <v>109</v>
      </c>
      <c r="E265" s="16">
        <f>IFERROR(__xludf.DUMMYFUNCTION("""COMPUTED_VALUE"""),0.954128440366972)</f>
        <v>0.9541284404</v>
      </c>
      <c r="F265" s="16">
        <f>IFERROR(__xludf.DUMMYFUNCTION("""COMPUTED_VALUE"""),0.715596330275229)</f>
        <v>0.7155963303</v>
      </c>
      <c r="G265" s="16">
        <f>IFERROR(__xludf.DUMMYFUNCTION("""COMPUTED_VALUE"""),0.65137614678899)</f>
        <v>0.6513761468</v>
      </c>
      <c r="H265" s="16">
        <f>IFERROR(__xludf.DUMMYFUNCTION("""COMPUTED_VALUE"""),0.660550458715596)</f>
        <v>0.6605504587</v>
      </c>
      <c r="I265" s="16">
        <f>IFERROR(__xludf.DUMMYFUNCTION("""COMPUTED_VALUE"""),0.587155963302752)</f>
        <v>0.5871559633</v>
      </c>
      <c r="J265" s="16">
        <f>IFERROR(__xludf.DUMMYFUNCTION("""COMPUTED_VALUE"""),0.504587155963302)</f>
        <v>0.504587156</v>
      </c>
      <c r="K265" s="16">
        <f>IFERROR(__xludf.DUMMYFUNCTION("""COMPUTED_VALUE"""),0.46788990825688)</f>
        <v>0.4678899083</v>
      </c>
      <c r="L265" s="16">
        <f>IFERROR(__xludf.DUMMYFUNCTION("""COMPUTED_VALUE"""),0.46788990825688)</f>
        <v>0.4678899083</v>
      </c>
      <c r="M265" s="16">
        <f>IFERROR(__xludf.DUMMYFUNCTION("""COMPUTED_VALUE"""),0.495412844036697)</f>
        <v>0.495412844</v>
      </c>
      <c r="N265" s="16">
        <f>IFERROR(__xludf.DUMMYFUNCTION("""COMPUTED_VALUE"""),0.486238532110091)</f>
        <v>0.4862385321</v>
      </c>
      <c r="O265" s="16">
        <f>IFERROR(__xludf.DUMMYFUNCTION("""COMPUTED_VALUE"""),0.429906542056074)</f>
        <v>0.4299065421</v>
      </c>
      <c r="P265" s="16">
        <f>IFERROR(__xludf.DUMMYFUNCTION("""COMPUTED_VALUE"""),0.271028037383177)</f>
        <v>0.2710280374</v>
      </c>
      <c r="Q265" s="16">
        <f>IFERROR(__xludf.DUMMYFUNCTION("""COMPUTED_VALUE"""),0.0927835051546391)</f>
        <v>0.09278350515</v>
      </c>
      <c r="R265" s="16">
        <f>IFERROR(__xludf.DUMMYFUNCTION("""COMPUTED_VALUE"""),0.125)</f>
        <v>0.125</v>
      </c>
      <c r="S265" s="16">
        <f>IFERROR(__xludf.DUMMYFUNCTION("""COMPUTED_VALUE"""),0.0256410256410256)</f>
        <v>0.02564102564</v>
      </c>
      <c r="T265" s="16">
        <f>IFERROR(__xludf.DUMMYFUNCTION("""COMPUTED_VALUE"""),0.0285714285714285)</f>
        <v>0.02857142857</v>
      </c>
      <c r="U265" s="16">
        <f>IFERROR(__xludf.DUMMYFUNCTION("""COMPUTED_VALUE"""),0.0)</f>
        <v>0</v>
      </c>
      <c r="V265" s="16">
        <f>IFERROR(__xludf.DUMMYFUNCTION("""COMPUTED_VALUE"""),0.0)</f>
        <v>0</v>
      </c>
      <c r="W265" s="16">
        <f>IFERROR(__xludf.DUMMYFUNCTION("""COMPUTED_VALUE"""),0.0)</f>
        <v>0</v>
      </c>
      <c r="X265" s="16">
        <f>IFERROR(__xludf.DUMMYFUNCTION("""COMPUTED_VALUE"""),0.0)</f>
        <v>0</v>
      </c>
      <c r="Y265" s="16">
        <f>IFERROR(__xludf.DUMMYFUNCTION("""COMPUTED_VALUE"""),0.0)</f>
        <v>0</v>
      </c>
      <c r="Z265" s="16">
        <f>IFERROR(__xludf.DUMMYFUNCTION("""COMPUTED_VALUE"""),0.0)</f>
        <v>0</v>
      </c>
      <c r="AA265" s="16">
        <f>IFERROR(__xludf.DUMMYFUNCTION("""COMPUTED_VALUE"""),0.0)</f>
        <v>0</v>
      </c>
      <c r="AB265" s="16">
        <f>IFERROR(__xludf.DUMMYFUNCTION("""COMPUTED_VALUE"""),0.0)</f>
        <v>0</v>
      </c>
      <c r="AC265" s="16">
        <f>IFERROR(__xludf.DUMMYFUNCTION("""COMPUTED_VALUE"""),0.0)</f>
        <v>0</v>
      </c>
      <c r="AD265" s="16">
        <f>IFERROR(__xludf.DUMMYFUNCTION("""COMPUTED_VALUE"""),0.0)</f>
        <v>0</v>
      </c>
      <c r="AE265" s="16">
        <f>IFERROR(__xludf.DUMMYFUNCTION("""COMPUTED_VALUE"""),0.0)</f>
        <v>0</v>
      </c>
      <c r="AF265" s="16">
        <f>IFERROR(__xludf.DUMMYFUNCTION("""COMPUTED_VALUE"""),0.0)</f>
        <v>0</v>
      </c>
      <c r="AG265" s="16">
        <f>IFERROR(__xludf.DUMMYFUNCTION("""COMPUTED_VALUE"""),0.0)</f>
        <v>0</v>
      </c>
      <c r="AH265" s="16">
        <f>IFERROR(__xludf.DUMMYFUNCTION("""COMPUTED_VALUE"""),0.0)</f>
        <v>0</v>
      </c>
    </row>
    <row r="266">
      <c r="A266" s="16" t="str">
        <f>IFERROR(__xludf.DUMMYFUNCTION("""COMPUTED_VALUE"""),"ef90fb4b8d0ce9719b044885fe4e0b7e925433a8")</f>
        <v>ef90fb4b8d0ce9719b044885fe4e0b7e925433a8</v>
      </c>
      <c r="B266" s="16" t="str">
        <f>IFERROR(__xludf.DUMMYFUNCTION("""COMPUTED_VALUE"""),"The Sovereign Prince")</f>
        <v>The Sovereign Prince</v>
      </c>
      <c r="C266" s="16" t="str">
        <f>IFERROR(__xludf.DUMMYFUNCTION("""COMPUTED_VALUE"""),"Fantasy")</f>
        <v>Fantasy</v>
      </c>
      <c r="D266" s="16">
        <f>IFERROR(__xludf.DUMMYFUNCTION("""COMPUTED_VALUE"""),14.0)</f>
        <v>14</v>
      </c>
      <c r="E266" s="16">
        <f>IFERROR(__xludf.DUMMYFUNCTION("""COMPUTED_VALUE"""),1.0)</f>
        <v>1</v>
      </c>
      <c r="F266" s="16">
        <f>IFERROR(__xludf.DUMMYFUNCTION("""COMPUTED_VALUE"""),0.571428571428571)</f>
        <v>0.5714285714</v>
      </c>
      <c r="G266" s="16">
        <f>IFERROR(__xludf.DUMMYFUNCTION("""COMPUTED_VALUE"""),0.357142857142857)</f>
        <v>0.3571428571</v>
      </c>
      <c r="H266" s="16">
        <f>IFERROR(__xludf.DUMMYFUNCTION("""COMPUTED_VALUE"""),0.285714285714285)</f>
        <v>0.2857142857</v>
      </c>
      <c r="I266" s="16">
        <f>IFERROR(__xludf.DUMMYFUNCTION("""COMPUTED_VALUE"""),0.214285714285714)</f>
        <v>0.2142857143</v>
      </c>
      <c r="J266" s="16">
        <f>IFERROR(__xludf.DUMMYFUNCTION("""COMPUTED_VALUE"""),0.214285714285714)</f>
        <v>0.2142857143</v>
      </c>
      <c r="K266" s="16">
        <f>IFERROR(__xludf.DUMMYFUNCTION("""COMPUTED_VALUE"""),0.214285714285714)</f>
        <v>0.2142857143</v>
      </c>
      <c r="L266" s="16">
        <f>IFERROR(__xludf.DUMMYFUNCTION("""COMPUTED_VALUE"""),0.142857142857142)</f>
        <v>0.1428571429</v>
      </c>
      <c r="M266" s="16">
        <f>IFERROR(__xludf.DUMMYFUNCTION("""COMPUTED_VALUE"""),0.142857142857142)</f>
        <v>0.1428571429</v>
      </c>
      <c r="N266" s="16">
        <f>IFERROR(__xludf.DUMMYFUNCTION("""COMPUTED_VALUE"""),0.0714285714285714)</f>
        <v>0.07142857143</v>
      </c>
      <c r="O266" s="16">
        <f>IFERROR(__xludf.DUMMYFUNCTION("""COMPUTED_VALUE"""),0.0714285714285714)</f>
        <v>0.07142857143</v>
      </c>
      <c r="P266" s="16">
        <f>IFERROR(__xludf.DUMMYFUNCTION("""COMPUTED_VALUE"""),0.0769230769230769)</f>
        <v>0.07692307692</v>
      </c>
      <c r="Q266" s="16">
        <f>IFERROR(__xludf.DUMMYFUNCTION("""COMPUTED_VALUE"""),0.0)</f>
        <v>0</v>
      </c>
      <c r="R266" s="16">
        <f>IFERROR(__xludf.DUMMYFUNCTION("""COMPUTED_VALUE"""),0.0)</f>
        <v>0</v>
      </c>
      <c r="S266" s="16">
        <f>IFERROR(__xludf.DUMMYFUNCTION("""COMPUTED_VALUE"""),0.0)</f>
        <v>0</v>
      </c>
      <c r="T266" s="16">
        <f>IFERROR(__xludf.DUMMYFUNCTION("""COMPUTED_VALUE"""),0.0)</f>
        <v>0</v>
      </c>
      <c r="U266" s="16">
        <f>IFERROR(__xludf.DUMMYFUNCTION("""COMPUTED_VALUE"""),0.0)</f>
        <v>0</v>
      </c>
      <c r="V266" s="16">
        <f>IFERROR(__xludf.DUMMYFUNCTION("""COMPUTED_VALUE"""),0.0)</f>
        <v>0</v>
      </c>
      <c r="W266" s="16">
        <f>IFERROR(__xludf.DUMMYFUNCTION("""COMPUTED_VALUE"""),0.0)</f>
        <v>0</v>
      </c>
      <c r="X266" s="16">
        <f>IFERROR(__xludf.DUMMYFUNCTION("""COMPUTED_VALUE"""),0.0)</f>
        <v>0</v>
      </c>
      <c r="Y266" s="16">
        <f>IFERROR(__xludf.DUMMYFUNCTION("""COMPUTED_VALUE"""),0.0)</f>
        <v>0</v>
      </c>
      <c r="Z266" s="16">
        <f>IFERROR(__xludf.DUMMYFUNCTION("""COMPUTED_VALUE"""),0.0)</f>
        <v>0</v>
      </c>
      <c r="AA266" s="16">
        <f>IFERROR(__xludf.DUMMYFUNCTION("""COMPUTED_VALUE"""),0.0)</f>
        <v>0</v>
      </c>
      <c r="AB266" s="16">
        <f>IFERROR(__xludf.DUMMYFUNCTION("""COMPUTED_VALUE"""),0.0)</f>
        <v>0</v>
      </c>
      <c r="AC266" s="16">
        <f>IFERROR(__xludf.DUMMYFUNCTION("""COMPUTED_VALUE"""),0.0)</f>
        <v>0</v>
      </c>
      <c r="AD266" s="16">
        <f>IFERROR(__xludf.DUMMYFUNCTION("""COMPUTED_VALUE"""),0.0)</f>
        <v>0</v>
      </c>
      <c r="AE266" s="16">
        <f>IFERROR(__xludf.DUMMYFUNCTION("""COMPUTED_VALUE"""),0.0)</f>
        <v>0</v>
      </c>
      <c r="AF266" s="16">
        <f>IFERROR(__xludf.DUMMYFUNCTION("""COMPUTED_VALUE"""),0.0)</f>
        <v>0</v>
      </c>
      <c r="AG266" s="16">
        <f>IFERROR(__xludf.DUMMYFUNCTION("""COMPUTED_VALUE"""),0.0)</f>
        <v>0</v>
      </c>
      <c r="AH266" s="16">
        <f>IFERROR(__xludf.DUMMYFUNCTION("""COMPUTED_VALUE"""),0.0)</f>
        <v>0</v>
      </c>
    </row>
    <row r="267">
      <c r="A267" s="16" t="str">
        <f>IFERROR(__xludf.DUMMYFUNCTION("""COMPUTED_VALUE"""),"efc5ab9117a97ffce6537344dcb0416ed5ff0dc1")</f>
        <v>efc5ab9117a97ffce6537344dcb0416ed5ff0dc1</v>
      </c>
      <c r="B267" s="16" t="str">
        <f>IFERROR(__xludf.DUMMYFUNCTION("""COMPUTED_VALUE"""),"Imperial Clan Descends")</f>
        <v>Imperial Clan Descends</v>
      </c>
      <c r="C267" s="16" t="str">
        <f>IFERROR(__xludf.DUMMYFUNCTION("""COMPUTED_VALUE"""),"Drama")</f>
        <v>Drama</v>
      </c>
      <c r="D267" s="16">
        <f>IFERROR(__xludf.DUMMYFUNCTION("""COMPUTED_VALUE"""),18.0)</f>
        <v>18</v>
      </c>
      <c r="E267" s="16">
        <f>IFERROR(__xludf.DUMMYFUNCTION("""COMPUTED_VALUE"""),1.0)</f>
        <v>1</v>
      </c>
      <c r="F267" s="16">
        <f>IFERROR(__xludf.DUMMYFUNCTION("""COMPUTED_VALUE"""),0.611111111111111)</f>
        <v>0.6111111111</v>
      </c>
      <c r="G267" s="16">
        <f>IFERROR(__xludf.DUMMYFUNCTION("""COMPUTED_VALUE"""),0.388888888888888)</f>
        <v>0.3888888889</v>
      </c>
      <c r="H267" s="16">
        <f>IFERROR(__xludf.DUMMYFUNCTION("""COMPUTED_VALUE"""),0.388888888888888)</f>
        <v>0.3888888889</v>
      </c>
      <c r="I267" s="16">
        <f>IFERROR(__xludf.DUMMYFUNCTION("""COMPUTED_VALUE"""),0.277777777777777)</f>
        <v>0.2777777778</v>
      </c>
      <c r="J267" s="16">
        <f>IFERROR(__xludf.DUMMYFUNCTION("""COMPUTED_VALUE"""),0.235294117647058)</f>
        <v>0.2352941176</v>
      </c>
      <c r="K267" s="16">
        <f>IFERROR(__xludf.DUMMYFUNCTION("""COMPUTED_VALUE"""),0.1875)</f>
        <v>0.1875</v>
      </c>
      <c r="L267" s="16">
        <f>IFERROR(__xludf.DUMMYFUNCTION("""COMPUTED_VALUE"""),0.2)</f>
        <v>0.2</v>
      </c>
      <c r="M267" s="16">
        <f>IFERROR(__xludf.DUMMYFUNCTION("""COMPUTED_VALUE"""),0.166666666666666)</f>
        <v>0.1666666667</v>
      </c>
      <c r="N267" s="16">
        <f>IFERROR(__xludf.DUMMYFUNCTION("""COMPUTED_VALUE"""),0.0909090909090909)</f>
        <v>0.09090909091</v>
      </c>
      <c r="O267" s="16">
        <f>IFERROR(__xludf.DUMMYFUNCTION("""COMPUTED_VALUE"""),0.0)</f>
        <v>0</v>
      </c>
      <c r="P267" s="16">
        <f>IFERROR(__xludf.DUMMYFUNCTION("""COMPUTED_VALUE"""),0.0)</f>
        <v>0</v>
      </c>
      <c r="Q267" s="16">
        <f>IFERROR(__xludf.DUMMYFUNCTION("""COMPUTED_VALUE"""),0.0)</f>
        <v>0</v>
      </c>
      <c r="R267" s="16">
        <f>IFERROR(__xludf.DUMMYFUNCTION("""COMPUTED_VALUE"""),0.0)</f>
        <v>0</v>
      </c>
      <c r="S267" s="16">
        <f>IFERROR(__xludf.DUMMYFUNCTION("""COMPUTED_VALUE"""),0.0)</f>
        <v>0</v>
      </c>
      <c r="T267" s="16">
        <f>IFERROR(__xludf.DUMMYFUNCTION("""COMPUTED_VALUE"""),0.0)</f>
        <v>0</v>
      </c>
      <c r="U267" s="16">
        <f>IFERROR(__xludf.DUMMYFUNCTION("""COMPUTED_VALUE"""),0.0)</f>
        <v>0</v>
      </c>
      <c r="V267" s="16">
        <f>IFERROR(__xludf.DUMMYFUNCTION("""COMPUTED_VALUE"""),0.0)</f>
        <v>0</v>
      </c>
      <c r="W267" s="16">
        <f>IFERROR(__xludf.DUMMYFUNCTION("""COMPUTED_VALUE"""),0.0)</f>
        <v>0</v>
      </c>
      <c r="X267" s="16">
        <f>IFERROR(__xludf.DUMMYFUNCTION("""COMPUTED_VALUE"""),0.0)</f>
        <v>0</v>
      </c>
      <c r="Y267" s="16">
        <f>IFERROR(__xludf.DUMMYFUNCTION("""COMPUTED_VALUE"""),0.0)</f>
        <v>0</v>
      </c>
      <c r="Z267" s="16">
        <f>IFERROR(__xludf.DUMMYFUNCTION("""COMPUTED_VALUE"""),0.0)</f>
        <v>0</v>
      </c>
      <c r="AA267" s="16">
        <f>IFERROR(__xludf.DUMMYFUNCTION("""COMPUTED_VALUE"""),0.0)</f>
        <v>0</v>
      </c>
      <c r="AB267" s="16">
        <f>IFERROR(__xludf.DUMMYFUNCTION("""COMPUTED_VALUE"""),0.0)</f>
        <v>0</v>
      </c>
      <c r="AC267" s="16">
        <f>IFERROR(__xludf.DUMMYFUNCTION("""COMPUTED_VALUE"""),0.0)</f>
        <v>0</v>
      </c>
      <c r="AD267" s="16">
        <f>IFERROR(__xludf.DUMMYFUNCTION("""COMPUTED_VALUE"""),0.0)</f>
        <v>0</v>
      </c>
      <c r="AE267" s="16">
        <f>IFERROR(__xludf.DUMMYFUNCTION("""COMPUTED_VALUE"""),0.0)</f>
        <v>0</v>
      </c>
      <c r="AF267" s="16">
        <f>IFERROR(__xludf.DUMMYFUNCTION("""COMPUTED_VALUE"""),0.0)</f>
        <v>0</v>
      </c>
      <c r="AG267" s="16">
        <f>IFERROR(__xludf.DUMMYFUNCTION("""COMPUTED_VALUE"""),0.0)</f>
        <v>0</v>
      </c>
      <c r="AH267" s="16">
        <f>IFERROR(__xludf.DUMMYFUNCTION("""COMPUTED_VALUE"""),0.0)</f>
        <v>0</v>
      </c>
    </row>
    <row r="268">
      <c r="A268" s="16" t="str">
        <f>IFERROR(__xludf.DUMMYFUNCTION("""COMPUTED_VALUE"""),"f06451dc56081680609a77b52825c3da76e8ae66")</f>
        <v>f06451dc56081680609a77b52825c3da76e8ae66</v>
      </c>
      <c r="B268" s="16" t="str">
        <f>IFERROR(__xludf.DUMMYFUNCTION("""COMPUTED_VALUE"""),"Her Exit, His Regret")</f>
        <v>Her Exit, His Regret</v>
      </c>
      <c r="C268" s="16" t="str">
        <f>IFERROR(__xludf.DUMMYFUNCTION("""COMPUTED_VALUE"""),"Romance")</f>
        <v>Romance</v>
      </c>
      <c r="D268" s="16">
        <f>IFERROR(__xludf.DUMMYFUNCTION("""COMPUTED_VALUE"""),576.0)</f>
        <v>576</v>
      </c>
      <c r="E268" s="16">
        <f>IFERROR(__xludf.DUMMYFUNCTION("""COMPUTED_VALUE"""),0.965277777777777)</f>
        <v>0.9652777778</v>
      </c>
      <c r="F268" s="16">
        <f>IFERROR(__xludf.DUMMYFUNCTION("""COMPUTED_VALUE"""),0.633680555555555)</f>
        <v>0.6336805556</v>
      </c>
      <c r="G268" s="16">
        <f>IFERROR(__xludf.DUMMYFUNCTION("""COMPUTED_VALUE"""),0.545138888888888)</f>
        <v>0.5451388889</v>
      </c>
      <c r="H268" s="16">
        <f>IFERROR(__xludf.DUMMYFUNCTION("""COMPUTED_VALUE"""),0.472222222222222)</f>
        <v>0.4722222222</v>
      </c>
      <c r="I268" s="16">
        <f>IFERROR(__xludf.DUMMYFUNCTION("""COMPUTED_VALUE"""),0.414930555555555)</f>
        <v>0.4149305556</v>
      </c>
      <c r="J268" s="16">
        <f>IFERROR(__xludf.DUMMYFUNCTION("""COMPUTED_VALUE"""),0.385416666666666)</f>
        <v>0.3854166667</v>
      </c>
      <c r="K268" s="16">
        <f>IFERROR(__xludf.DUMMYFUNCTION("""COMPUTED_VALUE"""),0.388888888888888)</f>
        <v>0.3888888889</v>
      </c>
      <c r="L268" s="16">
        <f>IFERROR(__xludf.DUMMYFUNCTION("""COMPUTED_VALUE"""),0.322638146167557)</f>
        <v>0.3226381462</v>
      </c>
      <c r="M268" s="16">
        <f>IFERROR(__xludf.DUMMYFUNCTION("""COMPUTED_VALUE"""),0.295900178253119)</f>
        <v>0.2959001783</v>
      </c>
      <c r="N268" s="16">
        <f>IFERROR(__xludf.DUMMYFUNCTION("""COMPUTED_VALUE"""),0.281639928698752)</f>
        <v>0.2816399287</v>
      </c>
      <c r="O268" s="16">
        <f>IFERROR(__xludf.DUMMYFUNCTION("""COMPUTED_VALUE"""),0.265709156193895)</f>
        <v>0.2657091562</v>
      </c>
      <c r="P268" s="16">
        <f>IFERROR(__xludf.DUMMYFUNCTION("""COMPUTED_VALUE"""),0.153707052441229)</f>
        <v>0.1537070524</v>
      </c>
      <c r="Q268" s="16">
        <f>IFERROR(__xludf.DUMMYFUNCTION("""COMPUTED_VALUE"""),0.0895522388059701)</f>
        <v>0.08955223881</v>
      </c>
      <c r="R268" s="16">
        <f>IFERROR(__xludf.DUMMYFUNCTION("""COMPUTED_VALUE"""),0.153846153846153)</f>
        <v>0.1538461538</v>
      </c>
      <c r="S268" s="16">
        <f>IFERROR(__xludf.DUMMYFUNCTION("""COMPUTED_VALUE"""),0.0)</f>
        <v>0</v>
      </c>
      <c r="T268" s="16">
        <f>IFERROR(__xludf.DUMMYFUNCTION("""COMPUTED_VALUE"""),0.0)</f>
        <v>0</v>
      </c>
      <c r="U268" s="16">
        <f>IFERROR(__xludf.DUMMYFUNCTION("""COMPUTED_VALUE"""),0.0)</f>
        <v>0</v>
      </c>
      <c r="V268" s="16">
        <f>IFERROR(__xludf.DUMMYFUNCTION("""COMPUTED_VALUE"""),0.0)</f>
        <v>0</v>
      </c>
      <c r="W268" s="16">
        <f>IFERROR(__xludf.DUMMYFUNCTION("""COMPUTED_VALUE"""),0.0)</f>
        <v>0</v>
      </c>
      <c r="X268" s="16">
        <f>IFERROR(__xludf.DUMMYFUNCTION("""COMPUTED_VALUE"""),0.0)</f>
        <v>0</v>
      </c>
      <c r="Y268" s="16">
        <f>IFERROR(__xludf.DUMMYFUNCTION("""COMPUTED_VALUE"""),0.0)</f>
        <v>0</v>
      </c>
      <c r="Z268" s="16">
        <f>IFERROR(__xludf.DUMMYFUNCTION("""COMPUTED_VALUE"""),0.0)</f>
        <v>0</v>
      </c>
      <c r="AA268" s="16">
        <f>IFERROR(__xludf.DUMMYFUNCTION("""COMPUTED_VALUE"""),0.0)</f>
        <v>0</v>
      </c>
      <c r="AB268" s="16">
        <f>IFERROR(__xludf.DUMMYFUNCTION("""COMPUTED_VALUE"""),0.0)</f>
        <v>0</v>
      </c>
      <c r="AC268" s="16">
        <f>IFERROR(__xludf.DUMMYFUNCTION("""COMPUTED_VALUE"""),0.0)</f>
        <v>0</v>
      </c>
      <c r="AD268" s="16">
        <f>IFERROR(__xludf.DUMMYFUNCTION("""COMPUTED_VALUE"""),0.0)</f>
        <v>0</v>
      </c>
      <c r="AE268" s="16">
        <f>IFERROR(__xludf.DUMMYFUNCTION("""COMPUTED_VALUE"""),0.0)</f>
        <v>0</v>
      </c>
      <c r="AF268" s="16">
        <f>IFERROR(__xludf.DUMMYFUNCTION("""COMPUTED_VALUE"""),0.0)</f>
        <v>0</v>
      </c>
      <c r="AG268" s="16">
        <f>IFERROR(__xludf.DUMMYFUNCTION("""COMPUTED_VALUE"""),0.0)</f>
        <v>0</v>
      </c>
      <c r="AH268" s="16">
        <f>IFERROR(__xludf.DUMMYFUNCTION("""COMPUTED_VALUE"""),0.0)</f>
        <v>0</v>
      </c>
    </row>
    <row r="269">
      <c r="A269" s="16" t="str">
        <f>IFERROR(__xludf.DUMMYFUNCTION("""COMPUTED_VALUE"""),"f11e794eecc64915145ae97085e04201646abfe3")</f>
        <v>f11e794eecc64915145ae97085e04201646abfe3</v>
      </c>
      <c r="B269" s="16" t="str">
        <f>IFERROR(__xludf.DUMMYFUNCTION("""COMPUTED_VALUE"""),"Almost His Bride ")</f>
        <v>Almost His Bride </v>
      </c>
      <c r="C269" s="16" t="str">
        <f>IFERROR(__xludf.DUMMYFUNCTION("""COMPUTED_VALUE"""),"Romance")</f>
        <v>Romance</v>
      </c>
      <c r="D269" s="16">
        <f>IFERROR(__xludf.DUMMYFUNCTION("""COMPUTED_VALUE"""),22.0)</f>
        <v>22</v>
      </c>
      <c r="E269" s="16">
        <f>IFERROR(__xludf.DUMMYFUNCTION("""COMPUTED_VALUE"""),0.909090909090909)</f>
        <v>0.9090909091</v>
      </c>
      <c r="F269" s="16">
        <f>IFERROR(__xludf.DUMMYFUNCTION("""COMPUTED_VALUE"""),0.636363636363636)</f>
        <v>0.6363636364</v>
      </c>
      <c r="G269" s="16">
        <f>IFERROR(__xludf.DUMMYFUNCTION("""COMPUTED_VALUE"""),0.681818181818181)</f>
        <v>0.6818181818</v>
      </c>
      <c r="H269" s="16">
        <f>IFERROR(__xludf.DUMMYFUNCTION("""COMPUTED_VALUE"""),0.681818181818181)</f>
        <v>0.6818181818</v>
      </c>
      <c r="I269" s="16">
        <f>IFERROR(__xludf.DUMMYFUNCTION("""COMPUTED_VALUE"""),0.59090909090909)</f>
        <v>0.5909090909</v>
      </c>
      <c r="J269" s="16">
        <f>IFERROR(__xludf.DUMMYFUNCTION("""COMPUTED_VALUE"""),0.636363636363636)</f>
        <v>0.6363636364</v>
      </c>
      <c r="K269" s="16">
        <f>IFERROR(__xludf.DUMMYFUNCTION("""COMPUTED_VALUE"""),0.545454545454545)</f>
        <v>0.5454545455</v>
      </c>
      <c r="L269" s="16">
        <f>IFERROR(__xludf.DUMMYFUNCTION("""COMPUTED_VALUE"""),0.5)</f>
        <v>0.5</v>
      </c>
      <c r="M269" s="16">
        <f>IFERROR(__xludf.DUMMYFUNCTION("""COMPUTED_VALUE"""),0.454545454545454)</f>
        <v>0.4545454545</v>
      </c>
      <c r="N269" s="16">
        <f>IFERROR(__xludf.DUMMYFUNCTION("""COMPUTED_VALUE"""),0.59090909090909)</f>
        <v>0.5909090909</v>
      </c>
      <c r="O269" s="16">
        <f>IFERROR(__xludf.DUMMYFUNCTION("""COMPUTED_VALUE"""),0.428571428571428)</f>
        <v>0.4285714286</v>
      </c>
      <c r="P269" s="16">
        <f>IFERROR(__xludf.DUMMYFUNCTION("""COMPUTED_VALUE"""),0.238095238095238)</f>
        <v>0.2380952381</v>
      </c>
      <c r="Q269" s="16">
        <f>IFERROR(__xludf.DUMMYFUNCTION("""COMPUTED_VALUE"""),0.2)</f>
        <v>0.2</v>
      </c>
      <c r="R269" s="16">
        <f>IFERROR(__xludf.DUMMYFUNCTION("""COMPUTED_VALUE"""),0.0714285714285714)</f>
        <v>0.07142857143</v>
      </c>
      <c r="S269" s="16">
        <f>IFERROR(__xludf.DUMMYFUNCTION("""COMPUTED_VALUE"""),0.0)</f>
        <v>0</v>
      </c>
      <c r="T269" s="16">
        <f>IFERROR(__xludf.DUMMYFUNCTION("""COMPUTED_VALUE"""),0.0)</f>
        <v>0</v>
      </c>
      <c r="U269" s="16">
        <f>IFERROR(__xludf.DUMMYFUNCTION("""COMPUTED_VALUE"""),0.0)</f>
        <v>0</v>
      </c>
      <c r="V269" s="16">
        <f>IFERROR(__xludf.DUMMYFUNCTION("""COMPUTED_VALUE"""),0.0)</f>
        <v>0</v>
      </c>
      <c r="W269" s="16">
        <f>IFERROR(__xludf.DUMMYFUNCTION("""COMPUTED_VALUE"""),0.0)</f>
        <v>0</v>
      </c>
      <c r="X269" s="16">
        <f>IFERROR(__xludf.DUMMYFUNCTION("""COMPUTED_VALUE"""),0.0)</f>
        <v>0</v>
      </c>
      <c r="Y269" s="16">
        <f>IFERROR(__xludf.DUMMYFUNCTION("""COMPUTED_VALUE"""),0.0)</f>
        <v>0</v>
      </c>
      <c r="Z269" s="16">
        <f>IFERROR(__xludf.DUMMYFUNCTION("""COMPUTED_VALUE"""),0.0)</f>
        <v>0</v>
      </c>
      <c r="AA269" s="16">
        <f>IFERROR(__xludf.DUMMYFUNCTION("""COMPUTED_VALUE"""),0.0)</f>
        <v>0</v>
      </c>
      <c r="AB269" s="16">
        <f>IFERROR(__xludf.DUMMYFUNCTION("""COMPUTED_VALUE"""),0.0)</f>
        <v>0</v>
      </c>
      <c r="AC269" s="16">
        <f>IFERROR(__xludf.DUMMYFUNCTION("""COMPUTED_VALUE"""),0.0)</f>
        <v>0</v>
      </c>
      <c r="AD269" s="16">
        <f>IFERROR(__xludf.DUMMYFUNCTION("""COMPUTED_VALUE"""),0.0)</f>
        <v>0</v>
      </c>
      <c r="AE269" s="16">
        <f>IFERROR(__xludf.DUMMYFUNCTION("""COMPUTED_VALUE"""),0.0)</f>
        <v>0</v>
      </c>
      <c r="AF269" s="16">
        <f>IFERROR(__xludf.DUMMYFUNCTION("""COMPUTED_VALUE"""),0.0)</f>
        <v>0</v>
      </c>
      <c r="AG269" s="16">
        <f>IFERROR(__xludf.DUMMYFUNCTION("""COMPUTED_VALUE"""),0.0)</f>
        <v>0</v>
      </c>
      <c r="AH269" s="16">
        <f>IFERROR(__xludf.DUMMYFUNCTION("""COMPUTED_VALUE"""),0.0)</f>
        <v>0</v>
      </c>
    </row>
    <row r="270">
      <c r="A270" s="16" t="str">
        <f>IFERROR(__xludf.DUMMYFUNCTION("""COMPUTED_VALUE"""),"f16d45e2702863e71bf480a3e2490ded19c4cbd9")</f>
        <v>f16d45e2702863e71bf480a3e2490ded19c4cbd9</v>
      </c>
      <c r="B270" s="16" t="str">
        <f>IFERROR(__xludf.DUMMYFUNCTION("""COMPUTED_VALUE"""),"Supreme Sword Cultivator")</f>
        <v>Supreme Sword Cultivator</v>
      </c>
      <c r="C270" s="16" t="str">
        <f>IFERROR(__xludf.DUMMYFUNCTION("""COMPUTED_VALUE"""),"Fantasy")</f>
        <v>Fantasy</v>
      </c>
      <c r="D270" s="16">
        <f>IFERROR(__xludf.DUMMYFUNCTION("""COMPUTED_VALUE"""),33.0)</f>
        <v>33</v>
      </c>
      <c r="E270" s="16">
        <f>IFERROR(__xludf.DUMMYFUNCTION("""COMPUTED_VALUE"""),1.0)</f>
        <v>1</v>
      </c>
      <c r="F270" s="16">
        <f>IFERROR(__xludf.DUMMYFUNCTION("""COMPUTED_VALUE"""),0.636363636363636)</f>
        <v>0.6363636364</v>
      </c>
      <c r="G270" s="16">
        <f>IFERROR(__xludf.DUMMYFUNCTION("""COMPUTED_VALUE"""),0.606060606060606)</f>
        <v>0.6060606061</v>
      </c>
      <c r="H270" s="16">
        <f>IFERROR(__xludf.DUMMYFUNCTION("""COMPUTED_VALUE"""),0.575757575757575)</f>
        <v>0.5757575758</v>
      </c>
      <c r="I270" s="16">
        <f>IFERROR(__xludf.DUMMYFUNCTION("""COMPUTED_VALUE"""),0.545454545454545)</f>
        <v>0.5454545455</v>
      </c>
      <c r="J270" s="16">
        <f>IFERROR(__xludf.DUMMYFUNCTION("""COMPUTED_VALUE"""),0.515151515151515)</f>
        <v>0.5151515152</v>
      </c>
      <c r="K270" s="16">
        <f>IFERROR(__xludf.DUMMYFUNCTION("""COMPUTED_VALUE"""),0.484848484848484)</f>
        <v>0.4848484848</v>
      </c>
      <c r="L270" s="16">
        <f>IFERROR(__xludf.DUMMYFUNCTION("""COMPUTED_VALUE"""),0.5)</f>
        <v>0.5</v>
      </c>
      <c r="M270" s="16">
        <f>IFERROR(__xludf.DUMMYFUNCTION("""COMPUTED_VALUE"""),0.5)</f>
        <v>0.5</v>
      </c>
      <c r="N270" s="16">
        <f>IFERROR(__xludf.DUMMYFUNCTION("""COMPUTED_VALUE"""),0.46875)</f>
        <v>0.46875</v>
      </c>
      <c r="O270" s="16">
        <f>IFERROR(__xludf.DUMMYFUNCTION("""COMPUTED_VALUE"""),0.40625)</f>
        <v>0.40625</v>
      </c>
      <c r="P270" s="16">
        <f>IFERROR(__xludf.DUMMYFUNCTION("""COMPUTED_VALUE"""),0.34375)</f>
        <v>0.34375</v>
      </c>
      <c r="Q270" s="16">
        <f>IFERROR(__xludf.DUMMYFUNCTION("""COMPUTED_VALUE"""),0.333333333333333)</f>
        <v>0.3333333333</v>
      </c>
      <c r="R270" s="16">
        <f>IFERROR(__xludf.DUMMYFUNCTION("""COMPUTED_VALUE"""),0.222222222222222)</f>
        <v>0.2222222222</v>
      </c>
      <c r="S270" s="16">
        <f>IFERROR(__xludf.DUMMYFUNCTION("""COMPUTED_VALUE"""),0.222222222222222)</f>
        <v>0.2222222222</v>
      </c>
      <c r="T270" s="16">
        <f>IFERROR(__xludf.DUMMYFUNCTION("""COMPUTED_VALUE"""),0.115384615384615)</f>
        <v>0.1153846154</v>
      </c>
      <c r="U270" s="16">
        <f>IFERROR(__xludf.DUMMYFUNCTION("""COMPUTED_VALUE"""),0.0384615384615384)</f>
        <v>0.03846153846</v>
      </c>
      <c r="V270" s="16">
        <f>IFERROR(__xludf.DUMMYFUNCTION("""COMPUTED_VALUE"""),0.0)</f>
        <v>0</v>
      </c>
      <c r="W270" s="16">
        <f>IFERROR(__xludf.DUMMYFUNCTION("""COMPUTED_VALUE"""),0.0)</f>
        <v>0</v>
      </c>
      <c r="X270" s="16">
        <f>IFERROR(__xludf.DUMMYFUNCTION("""COMPUTED_VALUE"""),0.0)</f>
        <v>0</v>
      </c>
      <c r="Y270" s="16">
        <f>IFERROR(__xludf.DUMMYFUNCTION("""COMPUTED_VALUE"""),0.0)</f>
        <v>0</v>
      </c>
      <c r="Z270" s="16">
        <f>IFERROR(__xludf.DUMMYFUNCTION("""COMPUTED_VALUE"""),0.0)</f>
        <v>0</v>
      </c>
      <c r="AA270" s="16">
        <f>IFERROR(__xludf.DUMMYFUNCTION("""COMPUTED_VALUE"""),0.0)</f>
        <v>0</v>
      </c>
      <c r="AB270" s="16">
        <f>IFERROR(__xludf.DUMMYFUNCTION("""COMPUTED_VALUE"""),0.0)</f>
        <v>0</v>
      </c>
      <c r="AC270" s="16">
        <f>IFERROR(__xludf.DUMMYFUNCTION("""COMPUTED_VALUE"""),0.0)</f>
        <v>0</v>
      </c>
      <c r="AD270" s="16">
        <f>IFERROR(__xludf.DUMMYFUNCTION("""COMPUTED_VALUE"""),0.0)</f>
        <v>0</v>
      </c>
      <c r="AE270" s="16">
        <f>IFERROR(__xludf.DUMMYFUNCTION("""COMPUTED_VALUE"""),0.0)</f>
        <v>0</v>
      </c>
      <c r="AF270" s="16">
        <f>IFERROR(__xludf.DUMMYFUNCTION("""COMPUTED_VALUE"""),0.0)</f>
        <v>0</v>
      </c>
      <c r="AG270" s="16">
        <f>IFERROR(__xludf.DUMMYFUNCTION("""COMPUTED_VALUE"""),0.0)</f>
        <v>0</v>
      </c>
      <c r="AH270" s="16">
        <f>IFERROR(__xludf.DUMMYFUNCTION("""COMPUTED_VALUE"""),0.0)</f>
        <v>0</v>
      </c>
    </row>
    <row r="271">
      <c r="A271" s="16" t="str">
        <f>IFERROR(__xludf.DUMMYFUNCTION("""COMPUTED_VALUE"""),"f23c3d5745910e4c7cf490450f5314358a0cec03")</f>
        <v>f23c3d5745910e4c7cf490450f5314358a0cec03</v>
      </c>
      <c r="B271" s="16" t="str">
        <f>IFERROR(__xludf.DUMMYFUNCTION("""COMPUTED_VALUE"""),"When My Ex Returned")</f>
        <v>When My Ex Returned</v>
      </c>
      <c r="C271" s="16" t="str">
        <f>IFERROR(__xludf.DUMMYFUNCTION("""COMPUTED_VALUE"""),"Romance")</f>
        <v>Romance</v>
      </c>
      <c r="D271" s="16">
        <f>IFERROR(__xludf.DUMMYFUNCTION("""COMPUTED_VALUE"""),432.0)</f>
        <v>432</v>
      </c>
      <c r="E271" s="16">
        <f>IFERROR(__xludf.DUMMYFUNCTION("""COMPUTED_VALUE"""),0.969907407407407)</f>
        <v>0.9699074074</v>
      </c>
      <c r="F271" s="16">
        <f>IFERROR(__xludf.DUMMYFUNCTION("""COMPUTED_VALUE"""),0.525462962962962)</f>
        <v>0.525462963</v>
      </c>
      <c r="G271" s="16">
        <f>IFERROR(__xludf.DUMMYFUNCTION("""COMPUTED_VALUE"""),0.472222222222222)</f>
        <v>0.4722222222</v>
      </c>
      <c r="H271" s="16">
        <f>IFERROR(__xludf.DUMMYFUNCTION("""COMPUTED_VALUE"""),0.4375)</f>
        <v>0.4375</v>
      </c>
      <c r="I271" s="16">
        <f>IFERROR(__xludf.DUMMYFUNCTION("""COMPUTED_VALUE"""),0.414351851851851)</f>
        <v>0.4143518519</v>
      </c>
      <c r="J271" s="16">
        <f>IFERROR(__xludf.DUMMYFUNCTION("""COMPUTED_VALUE"""),0.382830626450116)</f>
        <v>0.3828306265</v>
      </c>
      <c r="K271" s="16">
        <f>IFERROR(__xludf.DUMMYFUNCTION("""COMPUTED_VALUE"""),0.352668213457076)</f>
        <v>0.3526682135</v>
      </c>
      <c r="L271" s="16">
        <f>IFERROR(__xludf.DUMMYFUNCTION("""COMPUTED_VALUE"""),0.323255813953488)</f>
        <v>0.323255814</v>
      </c>
      <c r="M271" s="16">
        <f>IFERROR(__xludf.DUMMYFUNCTION("""COMPUTED_VALUE"""),0.306976744186046)</f>
        <v>0.3069767442</v>
      </c>
      <c r="N271" s="16">
        <f>IFERROR(__xludf.DUMMYFUNCTION("""COMPUTED_VALUE"""),0.3)</f>
        <v>0.3</v>
      </c>
      <c r="O271" s="16">
        <f>IFERROR(__xludf.DUMMYFUNCTION("""COMPUTED_VALUE"""),0.242424242424242)</f>
        <v>0.2424242424</v>
      </c>
      <c r="P271" s="16">
        <f>IFERROR(__xludf.DUMMYFUNCTION("""COMPUTED_VALUE"""),0.146853146853146)</f>
        <v>0.1468531469</v>
      </c>
      <c r="Q271" s="16">
        <f>IFERROR(__xludf.DUMMYFUNCTION("""COMPUTED_VALUE"""),0.0)</f>
        <v>0</v>
      </c>
      <c r="R271" s="16">
        <f>IFERROR(__xludf.DUMMYFUNCTION("""COMPUTED_VALUE"""),0.0)</f>
        <v>0</v>
      </c>
      <c r="S271" s="16">
        <f>IFERROR(__xludf.DUMMYFUNCTION("""COMPUTED_VALUE"""),0.0)</f>
        <v>0</v>
      </c>
      <c r="T271" s="16">
        <f>IFERROR(__xludf.DUMMYFUNCTION("""COMPUTED_VALUE"""),0.0)</f>
        <v>0</v>
      </c>
      <c r="U271" s="16">
        <f>IFERROR(__xludf.DUMMYFUNCTION("""COMPUTED_VALUE"""),0.0)</f>
        <v>0</v>
      </c>
      <c r="V271" s="16">
        <f>IFERROR(__xludf.DUMMYFUNCTION("""COMPUTED_VALUE"""),0.0)</f>
        <v>0</v>
      </c>
      <c r="W271" s="16">
        <f>IFERROR(__xludf.DUMMYFUNCTION("""COMPUTED_VALUE"""),0.0)</f>
        <v>0</v>
      </c>
      <c r="X271" s="16">
        <f>IFERROR(__xludf.DUMMYFUNCTION("""COMPUTED_VALUE"""),0.0)</f>
        <v>0</v>
      </c>
      <c r="Y271" s="16">
        <f>IFERROR(__xludf.DUMMYFUNCTION("""COMPUTED_VALUE"""),0.0)</f>
        <v>0</v>
      </c>
      <c r="Z271" s="16">
        <f>IFERROR(__xludf.DUMMYFUNCTION("""COMPUTED_VALUE"""),0.0)</f>
        <v>0</v>
      </c>
      <c r="AA271" s="16">
        <f>IFERROR(__xludf.DUMMYFUNCTION("""COMPUTED_VALUE"""),0.0)</f>
        <v>0</v>
      </c>
      <c r="AB271" s="16">
        <f>IFERROR(__xludf.DUMMYFUNCTION("""COMPUTED_VALUE"""),0.0)</f>
        <v>0</v>
      </c>
      <c r="AC271" s="16">
        <f>IFERROR(__xludf.DUMMYFUNCTION("""COMPUTED_VALUE"""),0.0)</f>
        <v>0</v>
      </c>
      <c r="AD271" s="16">
        <f>IFERROR(__xludf.DUMMYFUNCTION("""COMPUTED_VALUE"""),0.0)</f>
        <v>0</v>
      </c>
      <c r="AE271" s="16">
        <f>IFERROR(__xludf.DUMMYFUNCTION("""COMPUTED_VALUE"""),0.0)</f>
        <v>0</v>
      </c>
      <c r="AF271" s="16">
        <f>IFERROR(__xludf.DUMMYFUNCTION("""COMPUTED_VALUE"""),0.0)</f>
        <v>0</v>
      </c>
      <c r="AG271" s="16">
        <f>IFERROR(__xludf.DUMMYFUNCTION("""COMPUTED_VALUE"""),0.0)</f>
        <v>0</v>
      </c>
      <c r="AH271" s="16">
        <f>IFERROR(__xludf.DUMMYFUNCTION("""COMPUTED_VALUE"""),0.0)</f>
        <v>0</v>
      </c>
    </row>
    <row r="272">
      <c r="A272" s="16" t="str">
        <f>IFERROR(__xludf.DUMMYFUNCTION("""COMPUTED_VALUE"""),"f2ec53ac7f98813aea65ea59e50f32077fe08707")</f>
        <v>f2ec53ac7f98813aea65ea59e50f32077fe08707</v>
      </c>
      <c r="B272" s="16" t="str">
        <f>IFERROR(__xludf.DUMMYFUNCTION("""COMPUTED_VALUE"""),"The Forbidden Kiss")</f>
        <v>The Forbidden Kiss</v>
      </c>
      <c r="C272" s="16" t="str">
        <f>IFERROR(__xludf.DUMMYFUNCTION("""COMPUTED_VALUE"""),"Romance")</f>
        <v>Romance</v>
      </c>
      <c r="D272" s="16">
        <f>IFERROR(__xludf.DUMMYFUNCTION("""COMPUTED_VALUE"""),351.0)</f>
        <v>351</v>
      </c>
      <c r="E272" s="16">
        <f>IFERROR(__xludf.DUMMYFUNCTION("""COMPUTED_VALUE"""),0.98005698005698)</f>
        <v>0.9800569801</v>
      </c>
      <c r="F272" s="16">
        <f>IFERROR(__xludf.DUMMYFUNCTION("""COMPUTED_VALUE"""),0.524216524216524)</f>
        <v>0.5242165242</v>
      </c>
      <c r="G272" s="16">
        <f>IFERROR(__xludf.DUMMYFUNCTION("""COMPUTED_VALUE"""),0.438746438746438)</f>
        <v>0.4387464387</v>
      </c>
      <c r="H272" s="16">
        <f>IFERROR(__xludf.DUMMYFUNCTION("""COMPUTED_VALUE"""),0.361823361823361)</f>
        <v>0.3618233618</v>
      </c>
      <c r="I272" s="16">
        <f>IFERROR(__xludf.DUMMYFUNCTION("""COMPUTED_VALUE"""),0.339031339031339)</f>
        <v>0.339031339</v>
      </c>
      <c r="J272" s="16">
        <f>IFERROR(__xludf.DUMMYFUNCTION("""COMPUTED_VALUE"""),0.295819935691318)</f>
        <v>0.2958199357</v>
      </c>
      <c r="K272" s="16">
        <f>IFERROR(__xludf.DUMMYFUNCTION("""COMPUTED_VALUE"""),0.268041237113402)</f>
        <v>0.2680412371</v>
      </c>
      <c r="L272" s="16">
        <f>IFERROR(__xludf.DUMMYFUNCTION("""COMPUTED_VALUE"""),0.255813953488372)</f>
        <v>0.2558139535</v>
      </c>
      <c r="M272" s="16">
        <f>IFERROR(__xludf.DUMMYFUNCTION("""COMPUTED_VALUE"""),0.246913580246913)</f>
        <v>0.2469135802</v>
      </c>
      <c r="N272" s="16">
        <f>IFERROR(__xludf.DUMMYFUNCTION("""COMPUTED_VALUE"""),0.238095238095238)</f>
        <v>0.2380952381</v>
      </c>
      <c r="O272" s="16">
        <f>IFERROR(__xludf.DUMMYFUNCTION("""COMPUTED_VALUE"""),0.221428571428571)</f>
        <v>0.2214285714</v>
      </c>
      <c r="P272" s="16">
        <f>IFERROR(__xludf.DUMMYFUNCTION("""COMPUTED_VALUE"""),0.152173913043478)</f>
        <v>0.152173913</v>
      </c>
      <c r="Q272" s="16">
        <f>IFERROR(__xludf.DUMMYFUNCTION("""COMPUTED_VALUE"""),0.142857142857142)</f>
        <v>0.1428571429</v>
      </c>
      <c r="R272" s="16">
        <f>IFERROR(__xludf.DUMMYFUNCTION("""COMPUTED_VALUE"""),0.1)</f>
        <v>0.1</v>
      </c>
      <c r="S272" s="16">
        <f>IFERROR(__xludf.DUMMYFUNCTION("""COMPUTED_VALUE"""),0.0)</f>
        <v>0</v>
      </c>
      <c r="T272" s="16">
        <f>IFERROR(__xludf.DUMMYFUNCTION("""COMPUTED_VALUE"""),0.0)</f>
        <v>0</v>
      </c>
      <c r="U272" s="16">
        <f>IFERROR(__xludf.DUMMYFUNCTION("""COMPUTED_VALUE"""),0.0)</f>
        <v>0</v>
      </c>
      <c r="V272" s="16">
        <f>IFERROR(__xludf.DUMMYFUNCTION("""COMPUTED_VALUE"""),0.0)</f>
        <v>0</v>
      </c>
      <c r="W272" s="16">
        <f>IFERROR(__xludf.DUMMYFUNCTION("""COMPUTED_VALUE"""),0.0)</f>
        <v>0</v>
      </c>
      <c r="X272" s="16">
        <f>IFERROR(__xludf.DUMMYFUNCTION("""COMPUTED_VALUE"""),0.0)</f>
        <v>0</v>
      </c>
      <c r="Y272" s="16">
        <f>IFERROR(__xludf.DUMMYFUNCTION("""COMPUTED_VALUE"""),0.0)</f>
        <v>0</v>
      </c>
      <c r="Z272" s="16">
        <f>IFERROR(__xludf.DUMMYFUNCTION("""COMPUTED_VALUE"""),0.0)</f>
        <v>0</v>
      </c>
      <c r="AA272" s="16">
        <f>IFERROR(__xludf.DUMMYFUNCTION("""COMPUTED_VALUE"""),0.0)</f>
        <v>0</v>
      </c>
      <c r="AB272" s="16">
        <f>IFERROR(__xludf.DUMMYFUNCTION("""COMPUTED_VALUE"""),0.0)</f>
        <v>0</v>
      </c>
      <c r="AC272" s="16">
        <f>IFERROR(__xludf.DUMMYFUNCTION("""COMPUTED_VALUE"""),0.0)</f>
        <v>0</v>
      </c>
      <c r="AD272" s="16">
        <f>IFERROR(__xludf.DUMMYFUNCTION("""COMPUTED_VALUE"""),0.0)</f>
        <v>0</v>
      </c>
      <c r="AE272" s="16">
        <f>IFERROR(__xludf.DUMMYFUNCTION("""COMPUTED_VALUE"""),0.0)</f>
        <v>0</v>
      </c>
      <c r="AF272" s="16">
        <f>IFERROR(__xludf.DUMMYFUNCTION("""COMPUTED_VALUE"""),0.0)</f>
        <v>0</v>
      </c>
      <c r="AG272" s="16">
        <f>IFERROR(__xludf.DUMMYFUNCTION("""COMPUTED_VALUE"""),0.0)</f>
        <v>0</v>
      </c>
      <c r="AH272" s="16">
        <f>IFERROR(__xludf.DUMMYFUNCTION("""COMPUTED_VALUE"""),0.0)</f>
        <v>0</v>
      </c>
    </row>
    <row r="273">
      <c r="A273" s="16" t="str">
        <f>IFERROR(__xludf.DUMMYFUNCTION("""COMPUTED_VALUE"""),"f32ed59a93a11812f5a5a57e2c663028b1c65f89")</f>
        <v>f32ed59a93a11812f5a5a57e2c663028b1c65f89</v>
      </c>
      <c r="B273" s="16" t="str">
        <f>IFERROR(__xludf.DUMMYFUNCTION("""COMPUTED_VALUE"""),"Trillionaire Sterling")</f>
        <v>Trillionaire Sterling</v>
      </c>
      <c r="C273" s="16" t="str">
        <f>IFERROR(__xludf.DUMMYFUNCTION("""COMPUTED_VALUE"""),"Fantasy")</f>
        <v>Fantasy</v>
      </c>
      <c r="D273" s="16">
        <f>IFERROR(__xludf.DUMMYFUNCTION("""COMPUTED_VALUE"""),1903.0)</f>
        <v>1903</v>
      </c>
      <c r="E273" s="16">
        <f>IFERROR(__xludf.DUMMYFUNCTION("""COMPUTED_VALUE"""),0.954282711508145)</f>
        <v>0.9542827115</v>
      </c>
      <c r="F273" s="16">
        <f>IFERROR(__xludf.DUMMYFUNCTION("""COMPUTED_VALUE"""),0.655281135049921)</f>
        <v>0.655281135</v>
      </c>
      <c r="G273" s="16">
        <f>IFERROR(__xludf.DUMMYFUNCTION("""COMPUTED_VALUE"""),0.601156069364161)</f>
        <v>0.6011560694</v>
      </c>
      <c r="H273" s="16">
        <f>IFERROR(__xludf.DUMMYFUNCTION("""COMPUTED_VALUE"""),0.570152390961639)</f>
        <v>0.570152391</v>
      </c>
      <c r="I273" s="16">
        <f>IFERROR(__xludf.DUMMYFUNCTION("""COMPUTED_VALUE"""),0.540725170782974)</f>
        <v>0.5407251708</v>
      </c>
      <c r="J273" s="16">
        <f>IFERROR(__xludf.DUMMYFUNCTION("""COMPUTED_VALUE"""),0.520504731861198)</f>
        <v>0.5205047319</v>
      </c>
      <c r="K273" s="16">
        <f>IFERROR(__xludf.DUMMYFUNCTION("""COMPUTED_VALUE"""),0.503154574132492)</f>
        <v>0.5031545741</v>
      </c>
      <c r="L273" s="16">
        <f>IFERROR(__xludf.DUMMYFUNCTION("""COMPUTED_VALUE"""),0.485007890583903)</f>
        <v>0.4850078906</v>
      </c>
      <c r="M273" s="16">
        <f>IFERROR(__xludf.DUMMYFUNCTION("""COMPUTED_VALUE"""),0.478695423461336)</f>
        <v>0.4786954235</v>
      </c>
      <c r="N273" s="16">
        <f>IFERROR(__xludf.DUMMYFUNCTION("""COMPUTED_VALUE"""),0.468914646996838)</f>
        <v>0.468914647</v>
      </c>
      <c r="O273" s="16">
        <f>IFERROR(__xludf.DUMMYFUNCTION("""COMPUTED_VALUE"""),0.417285259809119)</f>
        <v>0.4172852598</v>
      </c>
      <c r="P273" s="16">
        <f>IFERROR(__xludf.DUMMYFUNCTION("""COMPUTED_VALUE"""),0.341907824222936)</f>
        <v>0.3419078242</v>
      </c>
      <c r="Q273" s="16">
        <f>IFERROR(__xludf.DUMMYFUNCTION("""COMPUTED_VALUE"""),0.26571897211591)</f>
        <v>0.2657189721</v>
      </c>
      <c r="R273" s="16">
        <f>IFERROR(__xludf.DUMMYFUNCTION("""COMPUTED_VALUE"""),0.231523378582202)</f>
        <v>0.2315233786</v>
      </c>
      <c r="S273" s="16">
        <f>IFERROR(__xludf.DUMMYFUNCTION("""COMPUTED_VALUE"""),0.193548387096774)</f>
        <v>0.1935483871</v>
      </c>
      <c r="T273" s="16">
        <f>IFERROR(__xludf.DUMMYFUNCTION("""COMPUTED_VALUE"""),0.131111111111111)</f>
        <v>0.1311111111</v>
      </c>
      <c r="U273" s="16">
        <f>IFERROR(__xludf.DUMMYFUNCTION("""COMPUTED_VALUE"""),0.0725689404934687)</f>
        <v>0.07256894049</v>
      </c>
      <c r="V273" s="16">
        <f>IFERROR(__xludf.DUMMYFUNCTION("""COMPUTED_VALUE"""),0.08008658008658)</f>
        <v>0.08008658009</v>
      </c>
      <c r="W273" s="16">
        <f>IFERROR(__xludf.DUMMYFUNCTION("""COMPUTED_VALUE"""),0.0502793296089385)</f>
        <v>0.05027932961</v>
      </c>
      <c r="X273" s="16">
        <f>IFERROR(__xludf.DUMMYFUNCTION("""COMPUTED_VALUE"""),0.0)</f>
        <v>0</v>
      </c>
      <c r="Y273" s="16">
        <f>IFERROR(__xludf.DUMMYFUNCTION("""COMPUTED_VALUE"""),0.0)</f>
        <v>0</v>
      </c>
      <c r="Z273" s="16">
        <f>IFERROR(__xludf.DUMMYFUNCTION("""COMPUTED_VALUE"""),0.0)</f>
        <v>0</v>
      </c>
      <c r="AA273" s="16">
        <f>IFERROR(__xludf.DUMMYFUNCTION("""COMPUTED_VALUE"""),0.0)</f>
        <v>0</v>
      </c>
      <c r="AB273" s="16">
        <f>IFERROR(__xludf.DUMMYFUNCTION("""COMPUTED_VALUE"""),0.0)</f>
        <v>0</v>
      </c>
      <c r="AC273" s="16">
        <f>IFERROR(__xludf.DUMMYFUNCTION("""COMPUTED_VALUE"""),0.0)</f>
        <v>0</v>
      </c>
      <c r="AD273" s="16">
        <f>IFERROR(__xludf.DUMMYFUNCTION("""COMPUTED_VALUE"""),0.0)</f>
        <v>0</v>
      </c>
      <c r="AE273" s="16">
        <f>IFERROR(__xludf.DUMMYFUNCTION("""COMPUTED_VALUE"""),0.0)</f>
        <v>0</v>
      </c>
      <c r="AF273" s="16">
        <f>IFERROR(__xludf.DUMMYFUNCTION("""COMPUTED_VALUE"""),0.0)</f>
        <v>0</v>
      </c>
      <c r="AG273" s="16">
        <f>IFERROR(__xludf.DUMMYFUNCTION("""COMPUTED_VALUE"""),0.0)</f>
        <v>0</v>
      </c>
      <c r="AH273" s="16">
        <f>IFERROR(__xludf.DUMMYFUNCTION("""COMPUTED_VALUE"""),0.0)</f>
        <v>0</v>
      </c>
    </row>
    <row r="274">
      <c r="A274" s="16" t="str">
        <f>IFERROR(__xludf.DUMMYFUNCTION("""COMPUTED_VALUE"""),"f3b45a9b931b38c0315d82ad645b9e45b513664b")</f>
        <v>f3b45a9b931b38c0315d82ad645b9e45b513664b</v>
      </c>
      <c r="B274" s="16" t="str">
        <f>IFERROR(__xludf.DUMMYFUNCTION("""COMPUTED_VALUE"""),"Reborn as a Golblin?!")</f>
        <v>Reborn as a Golblin?!</v>
      </c>
      <c r="C274" s="16" t="str">
        <f>IFERROR(__xludf.DUMMYFUNCTION("""COMPUTED_VALUE"""),"System and Superpower")</f>
        <v>System and Superpower</v>
      </c>
      <c r="D274" s="16">
        <f>IFERROR(__xludf.DUMMYFUNCTION("""COMPUTED_VALUE"""),14.0)</f>
        <v>14</v>
      </c>
      <c r="E274" s="16">
        <f>IFERROR(__xludf.DUMMYFUNCTION("""COMPUTED_VALUE"""),1.0)</f>
        <v>1</v>
      </c>
      <c r="F274" s="16">
        <f>IFERROR(__xludf.DUMMYFUNCTION("""COMPUTED_VALUE"""),0.214285714285714)</f>
        <v>0.2142857143</v>
      </c>
      <c r="G274" s="16">
        <f>IFERROR(__xludf.DUMMYFUNCTION("""COMPUTED_VALUE"""),0.214285714285714)</f>
        <v>0.2142857143</v>
      </c>
      <c r="H274" s="16">
        <f>IFERROR(__xludf.DUMMYFUNCTION("""COMPUTED_VALUE"""),0.0714285714285714)</f>
        <v>0.07142857143</v>
      </c>
      <c r="I274" s="16">
        <f>IFERROR(__xludf.DUMMYFUNCTION("""COMPUTED_VALUE"""),0.0)</f>
        <v>0</v>
      </c>
      <c r="J274" s="16">
        <f>IFERROR(__xludf.DUMMYFUNCTION("""COMPUTED_VALUE"""),0.0)</f>
        <v>0</v>
      </c>
      <c r="K274" s="16">
        <f>IFERROR(__xludf.DUMMYFUNCTION("""COMPUTED_VALUE"""),0.0)</f>
        <v>0</v>
      </c>
      <c r="L274" s="16">
        <f>IFERROR(__xludf.DUMMYFUNCTION("""COMPUTED_VALUE"""),0.0)</f>
        <v>0</v>
      </c>
      <c r="M274" s="16">
        <f>IFERROR(__xludf.DUMMYFUNCTION("""COMPUTED_VALUE"""),0.0)</f>
        <v>0</v>
      </c>
      <c r="N274" s="16">
        <f>IFERROR(__xludf.DUMMYFUNCTION("""COMPUTED_VALUE"""),0.0)</f>
        <v>0</v>
      </c>
      <c r="O274" s="16">
        <f>IFERROR(__xludf.DUMMYFUNCTION("""COMPUTED_VALUE"""),0.0)</f>
        <v>0</v>
      </c>
      <c r="P274" s="16">
        <f>IFERROR(__xludf.DUMMYFUNCTION("""COMPUTED_VALUE"""),0.0)</f>
        <v>0</v>
      </c>
      <c r="Q274" s="16">
        <f>IFERROR(__xludf.DUMMYFUNCTION("""COMPUTED_VALUE"""),0.0)</f>
        <v>0</v>
      </c>
      <c r="R274" s="16">
        <f>IFERROR(__xludf.DUMMYFUNCTION("""COMPUTED_VALUE"""),0.0)</f>
        <v>0</v>
      </c>
      <c r="S274" s="16">
        <f>IFERROR(__xludf.DUMMYFUNCTION("""COMPUTED_VALUE"""),0.0)</f>
        <v>0</v>
      </c>
      <c r="T274" s="16">
        <f>IFERROR(__xludf.DUMMYFUNCTION("""COMPUTED_VALUE"""),0.0)</f>
        <v>0</v>
      </c>
      <c r="U274" s="16">
        <f>IFERROR(__xludf.DUMMYFUNCTION("""COMPUTED_VALUE"""),0.0)</f>
        <v>0</v>
      </c>
      <c r="V274" s="16">
        <f>IFERROR(__xludf.DUMMYFUNCTION("""COMPUTED_VALUE"""),0.0)</f>
        <v>0</v>
      </c>
      <c r="W274" s="16">
        <f>IFERROR(__xludf.DUMMYFUNCTION("""COMPUTED_VALUE"""),0.0)</f>
        <v>0</v>
      </c>
      <c r="X274" s="16">
        <f>IFERROR(__xludf.DUMMYFUNCTION("""COMPUTED_VALUE"""),0.0)</f>
        <v>0</v>
      </c>
      <c r="Y274" s="16">
        <f>IFERROR(__xludf.DUMMYFUNCTION("""COMPUTED_VALUE"""),0.0)</f>
        <v>0</v>
      </c>
      <c r="Z274" s="16">
        <f>IFERROR(__xludf.DUMMYFUNCTION("""COMPUTED_VALUE"""),0.0)</f>
        <v>0</v>
      </c>
      <c r="AA274" s="16">
        <f>IFERROR(__xludf.DUMMYFUNCTION("""COMPUTED_VALUE"""),0.0)</f>
        <v>0</v>
      </c>
      <c r="AB274" s="16">
        <f>IFERROR(__xludf.DUMMYFUNCTION("""COMPUTED_VALUE"""),0.0)</f>
        <v>0</v>
      </c>
      <c r="AC274" s="16">
        <f>IFERROR(__xludf.DUMMYFUNCTION("""COMPUTED_VALUE"""),0.0)</f>
        <v>0</v>
      </c>
      <c r="AD274" s="16">
        <f>IFERROR(__xludf.DUMMYFUNCTION("""COMPUTED_VALUE"""),0.0)</f>
        <v>0</v>
      </c>
      <c r="AE274" s="16">
        <f>IFERROR(__xludf.DUMMYFUNCTION("""COMPUTED_VALUE"""),0.0)</f>
        <v>0</v>
      </c>
      <c r="AF274" s="16">
        <f>IFERROR(__xludf.DUMMYFUNCTION("""COMPUTED_VALUE"""),0.0)</f>
        <v>0</v>
      </c>
      <c r="AG274" s="16">
        <f>IFERROR(__xludf.DUMMYFUNCTION("""COMPUTED_VALUE"""),0.0)</f>
        <v>0</v>
      </c>
      <c r="AH274" s="16">
        <f>IFERROR(__xludf.DUMMYFUNCTION("""COMPUTED_VALUE"""),0.0)</f>
        <v>0</v>
      </c>
    </row>
    <row r="275">
      <c r="A275" s="16" t="str">
        <f>IFERROR(__xludf.DUMMYFUNCTION("""COMPUTED_VALUE"""),"f47e2c3c03d765bd054b92de405403a6c90b8d7f")</f>
        <v>f47e2c3c03d765bd054b92de405403a6c90b8d7f</v>
      </c>
      <c r="B275" s="16" t="str">
        <f>IFERROR(__xludf.DUMMYFUNCTION("""COMPUTED_VALUE"""),"It Was You Mister Cross")</f>
        <v>It Was You Mister Cross</v>
      </c>
      <c r="C275" s="16" t="str">
        <f>IFERROR(__xludf.DUMMYFUNCTION("""COMPUTED_VALUE"""),"Romance")</f>
        <v>Romance</v>
      </c>
      <c r="D275" s="16">
        <f>IFERROR(__xludf.DUMMYFUNCTION("""COMPUTED_VALUE"""),77.0)</f>
        <v>77</v>
      </c>
      <c r="E275" s="16">
        <f>IFERROR(__xludf.DUMMYFUNCTION("""COMPUTED_VALUE"""),0.935064935064935)</f>
        <v>0.9350649351</v>
      </c>
      <c r="F275" s="16">
        <f>IFERROR(__xludf.DUMMYFUNCTION("""COMPUTED_VALUE"""),0.649350649350649)</f>
        <v>0.6493506494</v>
      </c>
      <c r="G275" s="16">
        <f>IFERROR(__xludf.DUMMYFUNCTION("""COMPUTED_VALUE"""),0.623376623376623)</f>
        <v>0.6233766234</v>
      </c>
      <c r="H275" s="16">
        <f>IFERROR(__xludf.DUMMYFUNCTION("""COMPUTED_VALUE"""),0.545454545454545)</f>
        <v>0.5454545455</v>
      </c>
      <c r="I275" s="16">
        <f>IFERROR(__xludf.DUMMYFUNCTION("""COMPUTED_VALUE"""),0.545454545454545)</f>
        <v>0.5454545455</v>
      </c>
      <c r="J275" s="16">
        <f>IFERROR(__xludf.DUMMYFUNCTION("""COMPUTED_VALUE"""),0.558441558441558)</f>
        <v>0.5584415584</v>
      </c>
      <c r="K275" s="16">
        <f>IFERROR(__xludf.DUMMYFUNCTION("""COMPUTED_VALUE"""),0.460526315789473)</f>
        <v>0.4605263158</v>
      </c>
      <c r="L275" s="16">
        <f>IFERROR(__xludf.DUMMYFUNCTION("""COMPUTED_VALUE"""),0.434210526315789)</f>
        <v>0.4342105263</v>
      </c>
      <c r="M275" s="16">
        <f>IFERROR(__xludf.DUMMYFUNCTION("""COMPUTED_VALUE"""),0.38235294117647)</f>
        <v>0.3823529412</v>
      </c>
      <c r="N275" s="16">
        <f>IFERROR(__xludf.DUMMYFUNCTION("""COMPUTED_VALUE"""),0.426470588235294)</f>
        <v>0.4264705882</v>
      </c>
      <c r="O275" s="16">
        <f>IFERROR(__xludf.DUMMYFUNCTION("""COMPUTED_VALUE"""),0.308823529411764)</f>
        <v>0.3088235294</v>
      </c>
      <c r="P275" s="16">
        <f>IFERROR(__xludf.DUMMYFUNCTION("""COMPUTED_VALUE"""),0.212121212121212)</f>
        <v>0.2121212121</v>
      </c>
      <c r="Q275" s="16">
        <f>IFERROR(__xludf.DUMMYFUNCTION("""COMPUTED_VALUE"""),0.078125)</f>
        <v>0.078125</v>
      </c>
      <c r="R275" s="16">
        <f>IFERROR(__xludf.DUMMYFUNCTION("""COMPUTED_VALUE"""),0.0697674418604651)</f>
        <v>0.06976744186</v>
      </c>
      <c r="S275" s="16">
        <f>IFERROR(__xludf.DUMMYFUNCTION("""COMPUTED_VALUE"""),0.0)</f>
        <v>0</v>
      </c>
      <c r="T275" s="16">
        <f>IFERROR(__xludf.DUMMYFUNCTION("""COMPUTED_VALUE"""),0.0)</f>
        <v>0</v>
      </c>
      <c r="U275" s="16">
        <f>IFERROR(__xludf.DUMMYFUNCTION("""COMPUTED_VALUE"""),0.0)</f>
        <v>0</v>
      </c>
      <c r="V275" s="16">
        <f>IFERROR(__xludf.DUMMYFUNCTION("""COMPUTED_VALUE"""),0.0)</f>
        <v>0</v>
      </c>
      <c r="W275" s="16">
        <f>IFERROR(__xludf.DUMMYFUNCTION("""COMPUTED_VALUE"""),0.0)</f>
        <v>0</v>
      </c>
      <c r="X275" s="16">
        <f>IFERROR(__xludf.DUMMYFUNCTION("""COMPUTED_VALUE"""),0.0)</f>
        <v>0</v>
      </c>
      <c r="Y275" s="16">
        <f>IFERROR(__xludf.DUMMYFUNCTION("""COMPUTED_VALUE"""),0.0)</f>
        <v>0</v>
      </c>
      <c r="Z275" s="16">
        <f>IFERROR(__xludf.DUMMYFUNCTION("""COMPUTED_VALUE"""),0.0)</f>
        <v>0</v>
      </c>
      <c r="AA275" s="16">
        <f>IFERROR(__xludf.DUMMYFUNCTION("""COMPUTED_VALUE"""),0.0)</f>
        <v>0</v>
      </c>
      <c r="AB275" s="16">
        <f>IFERROR(__xludf.DUMMYFUNCTION("""COMPUTED_VALUE"""),0.0)</f>
        <v>0</v>
      </c>
      <c r="AC275" s="16">
        <f>IFERROR(__xludf.DUMMYFUNCTION("""COMPUTED_VALUE"""),0.0)</f>
        <v>0</v>
      </c>
      <c r="AD275" s="16">
        <f>IFERROR(__xludf.DUMMYFUNCTION("""COMPUTED_VALUE"""),0.0)</f>
        <v>0</v>
      </c>
      <c r="AE275" s="16">
        <f>IFERROR(__xludf.DUMMYFUNCTION("""COMPUTED_VALUE"""),0.0)</f>
        <v>0</v>
      </c>
      <c r="AF275" s="16">
        <f>IFERROR(__xludf.DUMMYFUNCTION("""COMPUTED_VALUE"""),0.0)</f>
        <v>0</v>
      </c>
      <c r="AG275" s="16">
        <f>IFERROR(__xludf.DUMMYFUNCTION("""COMPUTED_VALUE"""),0.0)</f>
        <v>0</v>
      </c>
      <c r="AH275" s="16">
        <f>IFERROR(__xludf.DUMMYFUNCTION("""COMPUTED_VALUE"""),0.0)</f>
        <v>0</v>
      </c>
    </row>
    <row r="276">
      <c r="A276" s="16" t="str">
        <f>IFERROR(__xludf.DUMMYFUNCTION("""COMPUTED_VALUE"""),"f55e0806430f9f979b0bfc889bab608a05d8bb5b")</f>
        <v>f55e0806430f9f979b0bfc889bab608a05d8bb5b</v>
      </c>
      <c r="B276" s="16" t="str">
        <f>IFERROR(__xludf.DUMMYFUNCTION("""COMPUTED_VALUE"""),"Light of a New World")</f>
        <v>Light of a New World</v>
      </c>
      <c r="C276" s="16" t="str">
        <f>IFERROR(__xludf.DUMMYFUNCTION("""COMPUTED_VALUE"""),"Sci-Fi")</f>
        <v>Sci-Fi</v>
      </c>
      <c r="D276" s="16">
        <f>IFERROR(__xludf.DUMMYFUNCTION("""COMPUTED_VALUE"""),61.0)</f>
        <v>61</v>
      </c>
      <c r="E276" s="16">
        <f>IFERROR(__xludf.DUMMYFUNCTION("""COMPUTED_VALUE"""),1.0)</f>
        <v>1</v>
      </c>
      <c r="F276" s="16">
        <f>IFERROR(__xludf.DUMMYFUNCTION("""COMPUTED_VALUE"""),0.344262295081967)</f>
        <v>0.3442622951</v>
      </c>
      <c r="G276" s="16">
        <f>IFERROR(__xludf.DUMMYFUNCTION("""COMPUTED_VALUE"""),0.262295081967213)</f>
        <v>0.262295082</v>
      </c>
      <c r="H276" s="16">
        <f>IFERROR(__xludf.DUMMYFUNCTION("""COMPUTED_VALUE"""),0.21311475409836)</f>
        <v>0.2131147541</v>
      </c>
      <c r="I276" s="16">
        <f>IFERROR(__xludf.DUMMYFUNCTION("""COMPUTED_VALUE"""),0.163934426229508)</f>
        <v>0.1639344262</v>
      </c>
      <c r="J276" s="16">
        <f>IFERROR(__xludf.DUMMYFUNCTION("""COMPUTED_VALUE"""),0.114754098360655)</f>
        <v>0.1147540984</v>
      </c>
      <c r="K276" s="16">
        <f>IFERROR(__xludf.DUMMYFUNCTION("""COMPUTED_VALUE"""),0.1)</f>
        <v>0.1</v>
      </c>
      <c r="L276" s="16">
        <f>IFERROR(__xludf.DUMMYFUNCTION("""COMPUTED_VALUE"""),0.0862068965517241)</f>
        <v>0.08620689655</v>
      </c>
      <c r="M276" s="16">
        <f>IFERROR(__xludf.DUMMYFUNCTION("""COMPUTED_VALUE"""),0.0862068965517241)</f>
        <v>0.08620689655</v>
      </c>
      <c r="N276" s="16">
        <f>IFERROR(__xludf.DUMMYFUNCTION("""COMPUTED_VALUE"""),0.0689655172413793)</f>
        <v>0.06896551724</v>
      </c>
      <c r="O276" s="16">
        <f>IFERROR(__xludf.DUMMYFUNCTION("""COMPUTED_VALUE"""),0.0689655172413793)</f>
        <v>0.06896551724</v>
      </c>
      <c r="P276" s="16">
        <f>IFERROR(__xludf.DUMMYFUNCTION("""COMPUTED_VALUE"""),0.0517241379310344)</f>
        <v>0.05172413793</v>
      </c>
      <c r="Q276" s="16">
        <f>IFERROR(__xludf.DUMMYFUNCTION("""COMPUTED_VALUE"""),0.0172413793103448)</f>
        <v>0.01724137931</v>
      </c>
      <c r="R276" s="16">
        <f>IFERROR(__xludf.DUMMYFUNCTION("""COMPUTED_VALUE"""),0.0172413793103448)</f>
        <v>0.01724137931</v>
      </c>
      <c r="S276" s="16">
        <f>IFERROR(__xludf.DUMMYFUNCTION("""COMPUTED_VALUE"""),0.0)</f>
        <v>0</v>
      </c>
      <c r="T276" s="16">
        <f>IFERROR(__xludf.DUMMYFUNCTION("""COMPUTED_VALUE"""),0.0)</f>
        <v>0</v>
      </c>
      <c r="U276" s="16">
        <f>IFERROR(__xludf.DUMMYFUNCTION("""COMPUTED_VALUE"""),0.0)</f>
        <v>0</v>
      </c>
      <c r="V276" s="16">
        <f>IFERROR(__xludf.DUMMYFUNCTION("""COMPUTED_VALUE"""),0.0)</f>
        <v>0</v>
      </c>
      <c r="W276" s="16">
        <f>IFERROR(__xludf.DUMMYFUNCTION("""COMPUTED_VALUE"""),0.0)</f>
        <v>0</v>
      </c>
      <c r="X276" s="16">
        <f>IFERROR(__xludf.DUMMYFUNCTION("""COMPUTED_VALUE"""),0.0)</f>
        <v>0</v>
      </c>
      <c r="Y276" s="16">
        <f>IFERROR(__xludf.DUMMYFUNCTION("""COMPUTED_VALUE"""),0.0)</f>
        <v>0</v>
      </c>
      <c r="Z276" s="16">
        <f>IFERROR(__xludf.DUMMYFUNCTION("""COMPUTED_VALUE"""),0.0)</f>
        <v>0</v>
      </c>
      <c r="AA276" s="16">
        <f>IFERROR(__xludf.DUMMYFUNCTION("""COMPUTED_VALUE"""),0.0)</f>
        <v>0</v>
      </c>
      <c r="AB276" s="16">
        <f>IFERROR(__xludf.DUMMYFUNCTION("""COMPUTED_VALUE"""),0.0)</f>
        <v>0</v>
      </c>
      <c r="AC276" s="16">
        <f>IFERROR(__xludf.DUMMYFUNCTION("""COMPUTED_VALUE"""),0.0)</f>
        <v>0</v>
      </c>
      <c r="AD276" s="16">
        <f>IFERROR(__xludf.DUMMYFUNCTION("""COMPUTED_VALUE"""),0.0)</f>
        <v>0</v>
      </c>
      <c r="AE276" s="16">
        <f>IFERROR(__xludf.DUMMYFUNCTION("""COMPUTED_VALUE"""),0.0)</f>
        <v>0</v>
      </c>
      <c r="AF276" s="16">
        <f>IFERROR(__xludf.DUMMYFUNCTION("""COMPUTED_VALUE"""),0.0)</f>
        <v>0</v>
      </c>
      <c r="AG276" s="16">
        <f>IFERROR(__xludf.DUMMYFUNCTION("""COMPUTED_VALUE"""),0.0)</f>
        <v>0</v>
      </c>
      <c r="AH276" s="16">
        <f>IFERROR(__xludf.DUMMYFUNCTION("""COMPUTED_VALUE"""),0.0)</f>
        <v>0</v>
      </c>
    </row>
    <row r="277">
      <c r="A277" s="16" t="str">
        <f>IFERROR(__xludf.DUMMYFUNCTION("""COMPUTED_VALUE"""),"f55f204dc3de9a654227cb01dab85c260fd98fde")</f>
        <v>f55f204dc3de9a654227cb01dab85c260fd98fde</v>
      </c>
      <c r="B277" s="16" t="str">
        <f>IFERROR(__xludf.DUMMYFUNCTION("""COMPUTED_VALUE"""),"Married to His Uncle")</f>
        <v>Married to His Uncle</v>
      </c>
      <c r="C277" s="16" t="str">
        <f>IFERROR(__xludf.DUMMYFUNCTION("""COMPUTED_VALUE"""),"Romance")</f>
        <v>Romance</v>
      </c>
      <c r="D277" s="16">
        <f>IFERROR(__xludf.DUMMYFUNCTION("""COMPUTED_VALUE"""),5.0)</f>
        <v>5</v>
      </c>
      <c r="E277" s="16">
        <f>IFERROR(__xludf.DUMMYFUNCTION("""COMPUTED_VALUE"""),1.0)</f>
        <v>1</v>
      </c>
      <c r="F277" s="16">
        <f>IFERROR(__xludf.DUMMYFUNCTION("""COMPUTED_VALUE"""),0.6)</f>
        <v>0.6</v>
      </c>
      <c r="G277" s="16">
        <f>IFERROR(__xludf.DUMMYFUNCTION("""COMPUTED_VALUE"""),0.6)</f>
        <v>0.6</v>
      </c>
      <c r="H277" s="16">
        <f>IFERROR(__xludf.DUMMYFUNCTION("""COMPUTED_VALUE"""),0.6)</f>
        <v>0.6</v>
      </c>
      <c r="I277" s="16">
        <f>IFERROR(__xludf.DUMMYFUNCTION("""COMPUTED_VALUE"""),0.6)</f>
        <v>0.6</v>
      </c>
      <c r="J277" s="16">
        <f>IFERROR(__xludf.DUMMYFUNCTION("""COMPUTED_VALUE"""),0.2)</f>
        <v>0.2</v>
      </c>
      <c r="K277" s="16">
        <f>IFERROR(__xludf.DUMMYFUNCTION("""COMPUTED_VALUE"""),0.6)</f>
        <v>0.6</v>
      </c>
      <c r="L277" s="16">
        <f>IFERROR(__xludf.DUMMYFUNCTION("""COMPUTED_VALUE"""),0.4)</f>
        <v>0.4</v>
      </c>
      <c r="M277" s="16">
        <f>IFERROR(__xludf.DUMMYFUNCTION("""COMPUTED_VALUE"""),0.25)</f>
        <v>0.25</v>
      </c>
      <c r="N277" s="16">
        <f>IFERROR(__xludf.DUMMYFUNCTION("""COMPUTED_VALUE"""),0.5)</f>
        <v>0.5</v>
      </c>
      <c r="O277" s="16">
        <f>IFERROR(__xludf.DUMMYFUNCTION("""COMPUTED_VALUE"""),0.5)</f>
        <v>0.5</v>
      </c>
      <c r="P277" s="16">
        <f>IFERROR(__xludf.DUMMYFUNCTION("""COMPUTED_VALUE"""),0.0)</f>
        <v>0</v>
      </c>
      <c r="Q277" s="16">
        <f>IFERROR(__xludf.DUMMYFUNCTION("""COMPUTED_VALUE"""),0.0)</f>
        <v>0</v>
      </c>
      <c r="R277" s="16">
        <f>IFERROR(__xludf.DUMMYFUNCTION("""COMPUTED_VALUE"""),0.0)</f>
        <v>0</v>
      </c>
      <c r="S277" s="16">
        <f>IFERROR(__xludf.DUMMYFUNCTION("""COMPUTED_VALUE"""),0.0)</f>
        <v>0</v>
      </c>
      <c r="T277" s="16">
        <f>IFERROR(__xludf.DUMMYFUNCTION("""COMPUTED_VALUE"""),0.0)</f>
        <v>0</v>
      </c>
      <c r="U277" s="16">
        <f>IFERROR(__xludf.DUMMYFUNCTION("""COMPUTED_VALUE"""),0.0)</f>
        <v>0</v>
      </c>
      <c r="V277" s="16">
        <f>IFERROR(__xludf.DUMMYFUNCTION("""COMPUTED_VALUE"""),0.0)</f>
        <v>0</v>
      </c>
      <c r="W277" s="16">
        <f>IFERROR(__xludf.DUMMYFUNCTION("""COMPUTED_VALUE"""),0.0)</f>
        <v>0</v>
      </c>
      <c r="X277" s="16">
        <f>IFERROR(__xludf.DUMMYFUNCTION("""COMPUTED_VALUE"""),0.0)</f>
        <v>0</v>
      </c>
      <c r="Y277" s="16">
        <f>IFERROR(__xludf.DUMMYFUNCTION("""COMPUTED_VALUE"""),0.0)</f>
        <v>0</v>
      </c>
      <c r="Z277" s="16">
        <f>IFERROR(__xludf.DUMMYFUNCTION("""COMPUTED_VALUE"""),0.0)</f>
        <v>0</v>
      </c>
      <c r="AA277" s="16">
        <f>IFERROR(__xludf.DUMMYFUNCTION("""COMPUTED_VALUE"""),0.0)</f>
        <v>0</v>
      </c>
      <c r="AB277" s="16">
        <f>IFERROR(__xludf.DUMMYFUNCTION("""COMPUTED_VALUE"""),0.0)</f>
        <v>0</v>
      </c>
      <c r="AC277" s="16">
        <f>IFERROR(__xludf.DUMMYFUNCTION("""COMPUTED_VALUE"""),0.0)</f>
        <v>0</v>
      </c>
      <c r="AD277" s="16">
        <f>IFERROR(__xludf.DUMMYFUNCTION("""COMPUTED_VALUE"""),0.0)</f>
        <v>0</v>
      </c>
      <c r="AE277" s="16">
        <f>IFERROR(__xludf.DUMMYFUNCTION("""COMPUTED_VALUE"""),0.0)</f>
        <v>0</v>
      </c>
      <c r="AF277" s="16">
        <f>IFERROR(__xludf.DUMMYFUNCTION("""COMPUTED_VALUE"""),0.0)</f>
        <v>0</v>
      </c>
      <c r="AG277" s="16">
        <f>IFERROR(__xludf.DUMMYFUNCTION("""COMPUTED_VALUE"""),0.0)</f>
        <v>0</v>
      </c>
      <c r="AH277" s="16">
        <f>IFERROR(__xludf.DUMMYFUNCTION("""COMPUTED_VALUE"""),0.0)</f>
        <v>0</v>
      </c>
    </row>
    <row r="278">
      <c r="A278" s="16" t="str">
        <f>IFERROR(__xludf.DUMMYFUNCTION("""COMPUTED_VALUE"""),"f692474d2ac3ef329a93f72cfedf44bceaced5f1")</f>
        <v>f692474d2ac3ef329a93f72cfedf44bceaced5f1</v>
      </c>
      <c r="B278" s="16" t="str">
        <f>IFERROR(__xludf.DUMMYFUNCTION("""COMPUTED_VALUE"""),"Kingsley Reigns")</f>
        <v>Kingsley Reigns</v>
      </c>
      <c r="C278" s="16" t="str">
        <f>IFERROR(__xludf.DUMMYFUNCTION("""COMPUTED_VALUE"""),"Drama")</f>
        <v>Drama</v>
      </c>
      <c r="D278" s="16">
        <f>IFERROR(__xludf.DUMMYFUNCTION("""COMPUTED_VALUE"""),1327.0)</f>
        <v>1327</v>
      </c>
      <c r="E278" s="16">
        <f>IFERROR(__xludf.DUMMYFUNCTION("""COMPUTED_VALUE"""),0.940467219291635)</f>
        <v>0.9404672193</v>
      </c>
      <c r="F278" s="16">
        <f>IFERROR(__xludf.DUMMYFUNCTION("""COMPUTED_VALUE"""),0.524491333835719)</f>
        <v>0.5244913338</v>
      </c>
      <c r="G278" s="16">
        <f>IFERROR(__xludf.DUMMYFUNCTION("""COMPUTED_VALUE"""),0.477769404672192)</f>
        <v>0.4777694047</v>
      </c>
      <c r="H278" s="16">
        <f>IFERROR(__xludf.DUMMYFUNCTION("""COMPUTED_VALUE"""),0.449133383571966)</f>
        <v>0.4491333836</v>
      </c>
      <c r="I278" s="16">
        <f>IFERROR(__xludf.DUMMYFUNCTION("""COMPUTED_VALUE"""),0.429540316503391)</f>
        <v>0.4295403165</v>
      </c>
      <c r="J278" s="16">
        <f>IFERROR(__xludf.DUMMYFUNCTION("""COMPUTED_VALUE"""),0.406179351921627)</f>
        <v>0.4061793519</v>
      </c>
      <c r="K278" s="16">
        <f>IFERROR(__xludf.DUMMYFUNCTION("""COMPUTED_VALUE"""),0.383571966842501)</f>
        <v>0.3835719668</v>
      </c>
      <c r="L278" s="16">
        <f>IFERROR(__xludf.DUMMYFUNCTION("""COMPUTED_VALUE"""),0.364528301886792)</f>
        <v>0.3645283019</v>
      </c>
      <c r="M278" s="16">
        <f>IFERROR(__xludf.DUMMYFUNCTION("""COMPUTED_VALUE"""),0.356981132075471)</f>
        <v>0.3569811321</v>
      </c>
      <c r="N278" s="16">
        <f>IFERROR(__xludf.DUMMYFUNCTION("""COMPUTED_VALUE"""),0.352452830188679)</f>
        <v>0.3524528302</v>
      </c>
      <c r="O278" s="16">
        <f>IFERROR(__xludf.DUMMYFUNCTION("""COMPUTED_VALUE"""),0.321752265861027)</f>
        <v>0.3217522659</v>
      </c>
      <c r="P278" s="16">
        <f>IFERROR(__xludf.DUMMYFUNCTION("""COMPUTED_VALUE"""),0.256623769871309)</f>
        <v>0.2566237699</v>
      </c>
      <c r="Q278" s="16">
        <f>IFERROR(__xludf.DUMMYFUNCTION("""COMPUTED_VALUE"""),0.183269961977186)</f>
        <v>0.183269962</v>
      </c>
      <c r="R278" s="16">
        <f>IFERROR(__xludf.DUMMYFUNCTION("""COMPUTED_VALUE"""),0.156892612338156)</f>
        <v>0.1568926123</v>
      </c>
      <c r="S278" s="16">
        <f>IFERROR(__xludf.DUMMYFUNCTION("""COMPUTED_VALUE"""),0.143336127409891)</f>
        <v>0.1433361274</v>
      </c>
      <c r="T278" s="16">
        <f>IFERROR(__xludf.DUMMYFUNCTION("""COMPUTED_VALUE"""),0.127201565557729)</f>
        <v>0.1272015656</v>
      </c>
      <c r="U278" s="16">
        <f>IFERROR(__xludf.DUMMYFUNCTION("""COMPUTED_VALUE"""),0.116417910447761)</f>
        <v>0.1164179104</v>
      </c>
      <c r="V278" s="16">
        <f>IFERROR(__xludf.DUMMYFUNCTION("""COMPUTED_VALUE"""),0.103610675039246)</f>
        <v>0.103610675</v>
      </c>
      <c r="W278" s="16">
        <f>IFERROR(__xludf.DUMMYFUNCTION("""COMPUTED_VALUE"""),0.0851449275362318)</f>
        <v>0.08514492754</v>
      </c>
      <c r="X278" s="16">
        <f>IFERROR(__xludf.DUMMYFUNCTION("""COMPUTED_VALUE"""),0.0623556581986143)</f>
        <v>0.0623556582</v>
      </c>
      <c r="Y278" s="16">
        <f>IFERROR(__xludf.DUMMYFUNCTION("""COMPUTED_VALUE"""),0.048469387755102)</f>
        <v>0.04846938776</v>
      </c>
      <c r="Z278" s="16">
        <f>IFERROR(__xludf.DUMMYFUNCTION("""COMPUTED_VALUE"""),0.0443213296398892)</f>
        <v>0.04432132964</v>
      </c>
      <c r="AA278" s="16">
        <f>IFERROR(__xludf.DUMMYFUNCTION("""COMPUTED_VALUE"""),0.0333333333333333)</f>
        <v>0.03333333333</v>
      </c>
      <c r="AB278" s="16">
        <f>IFERROR(__xludf.DUMMYFUNCTION("""COMPUTED_VALUE"""),0.0172413793103448)</f>
        <v>0.01724137931</v>
      </c>
      <c r="AC278" s="16">
        <f>IFERROR(__xludf.DUMMYFUNCTION("""COMPUTED_VALUE"""),0.00833333333333333)</f>
        <v>0.008333333333</v>
      </c>
      <c r="AD278" s="16">
        <f>IFERROR(__xludf.DUMMYFUNCTION("""COMPUTED_VALUE"""),0.00943396226415094)</f>
        <v>0.009433962264</v>
      </c>
      <c r="AE278" s="16">
        <f>IFERROR(__xludf.DUMMYFUNCTION("""COMPUTED_VALUE"""),0.01)</f>
        <v>0.01</v>
      </c>
      <c r="AF278" s="16">
        <f>IFERROR(__xludf.DUMMYFUNCTION("""COMPUTED_VALUE"""),0.0104166666666666)</f>
        <v>0.01041666667</v>
      </c>
      <c r="AG278" s="16">
        <f>IFERROR(__xludf.DUMMYFUNCTION("""COMPUTED_VALUE"""),0.0)</f>
        <v>0</v>
      </c>
      <c r="AH278" s="16">
        <f>IFERROR(__xludf.DUMMYFUNCTION("""COMPUTED_VALUE"""),0.0)</f>
        <v>0</v>
      </c>
    </row>
    <row r="279">
      <c r="A279" s="16" t="str">
        <f>IFERROR(__xludf.DUMMYFUNCTION("""COMPUTED_VALUE"""),"f6ea1ee253b53b8124a4f7f92ae0a9ef960a044a")</f>
        <v>f6ea1ee253b53b8124a4f7f92ae0a9ef960a044a</v>
      </c>
      <c r="B279" s="16" t="str">
        <f>IFERROR(__xludf.DUMMYFUNCTION("""COMPUTED_VALUE"""),"Regret of the Ceo")</f>
        <v>Regret of the Ceo</v>
      </c>
      <c r="C279" s="16" t="str">
        <f>IFERROR(__xludf.DUMMYFUNCTION("""COMPUTED_VALUE"""),"Romance")</f>
        <v>Romance</v>
      </c>
      <c r="D279" s="16">
        <f>IFERROR(__xludf.DUMMYFUNCTION("""COMPUTED_VALUE"""),368.0)</f>
        <v>368</v>
      </c>
      <c r="E279" s="16">
        <f>IFERROR(__xludf.DUMMYFUNCTION("""COMPUTED_VALUE"""),0.964673913043478)</f>
        <v>0.964673913</v>
      </c>
      <c r="F279" s="16">
        <f>IFERROR(__xludf.DUMMYFUNCTION("""COMPUTED_VALUE"""),0.741847826086956)</f>
        <v>0.7418478261</v>
      </c>
      <c r="G279" s="16">
        <f>IFERROR(__xludf.DUMMYFUNCTION("""COMPUTED_VALUE"""),0.682065217391304)</f>
        <v>0.6820652174</v>
      </c>
      <c r="H279" s="16">
        <f>IFERROR(__xludf.DUMMYFUNCTION("""COMPUTED_VALUE"""),0.616847826086956)</f>
        <v>0.6168478261</v>
      </c>
      <c r="I279" s="16">
        <f>IFERROR(__xludf.DUMMYFUNCTION("""COMPUTED_VALUE"""),0.52445652173913)</f>
        <v>0.5244565217</v>
      </c>
      <c r="J279" s="16">
        <f>IFERROR(__xludf.DUMMYFUNCTION("""COMPUTED_VALUE"""),0.504885993485342)</f>
        <v>0.5048859935</v>
      </c>
      <c r="K279" s="16">
        <f>IFERROR(__xludf.DUMMYFUNCTION("""COMPUTED_VALUE"""),0.482638888888888)</f>
        <v>0.4826388889</v>
      </c>
      <c r="L279" s="16">
        <f>IFERROR(__xludf.DUMMYFUNCTION("""COMPUTED_VALUE"""),0.453488372093023)</f>
        <v>0.4534883721</v>
      </c>
      <c r="M279" s="16">
        <f>IFERROR(__xludf.DUMMYFUNCTION("""COMPUTED_VALUE"""),0.387596899224806)</f>
        <v>0.3875968992</v>
      </c>
      <c r="N279" s="16">
        <f>IFERROR(__xludf.DUMMYFUNCTION("""COMPUTED_VALUE"""),0.365758754863813)</f>
        <v>0.3657587549</v>
      </c>
      <c r="O279" s="16">
        <f>IFERROR(__xludf.DUMMYFUNCTION("""COMPUTED_VALUE"""),0.292)</f>
        <v>0.292</v>
      </c>
      <c r="P279" s="16">
        <f>IFERROR(__xludf.DUMMYFUNCTION("""COMPUTED_VALUE"""),0.213709677419354)</f>
        <v>0.2137096774</v>
      </c>
      <c r="Q279" s="16">
        <f>IFERROR(__xludf.DUMMYFUNCTION("""COMPUTED_VALUE"""),0.124401913875598)</f>
        <v>0.1244019139</v>
      </c>
      <c r="R279" s="16">
        <f>IFERROR(__xludf.DUMMYFUNCTION("""COMPUTED_VALUE"""),0.056)</f>
        <v>0.056</v>
      </c>
      <c r="S279" s="16">
        <f>IFERROR(__xludf.DUMMYFUNCTION("""COMPUTED_VALUE"""),0.0175438596491228)</f>
        <v>0.01754385965</v>
      </c>
      <c r="T279" s="16">
        <f>IFERROR(__xludf.DUMMYFUNCTION("""COMPUTED_VALUE"""),0.0)</f>
        <v>0</v>
      </c>
      <c r="U279" s="16">
        <f>IFERROR(__xludf.DUMMYFUNCTION("""COMPUTED_VALUE"""),0.0)</f>
        <v>0</v>
      </c>
      <c r="V279" s="16">
        <f>IFERROR(__xludf.DUMMYFUNCTION("""COMPUTED_VALUE"""),0.0)</f>
        <v>0</v>
      </c>
      <c r="W279" s="16">
        <f>IFERROR(__xludf.DUMMYFUNCTION("""COMPUTED_VALUE"""),0.0)</f>
        <v>0</v>
      </c>
      <c r="X279" s="16">
        <f>IFERROR(__xludf.DUMMYFUNCTION("""COMPUTED_VALUE"""),0.0)</f>
        <v>0</v>
      </c>
      <c r="Y279" s="16">
        <f>IFERROR(__xludf.DUMMYFUNCTION("""COMPUTED_VALUE"""),0.0)</f>
        <v>0</v>
      </c>
      <c r="Z279" s="16">
        <f>IFERROR(__xludf.DUMMYFUNCTION("""COMPUTED_VALUE"""),0.0)</f>
        <v>0</v>
      </c>
      <c r="AA279" s="16">
        <f>IFERROR(__xludf.DUMMYFUNCTION("""COMPUTED_VALUE"""),0.0)</f>
        <v>0</v>
      </c>
      <c r="AB279" s="16">
        <f>IFERROR(__xludf.DUMMYFUNCTION("""COMPUTED_VALUE"""),0.0)</f>
        <v>0</v>
      </c>
      <c r="AC279" s="16">
        <f>IFERROR(__xludf.DUMMYFUNCTION("""COMPUTED_VALUE"""),0.0)</f>
        <v>0</v>
      </c>
      <c r="AD279" s="16">
        <f>IFERROR(__xludf.DUMMYFUNCTION("""COMPUTED_VALUE"""),0.0)</f>
        <v>0</v>
      </c>
      <c r="AE279" s="16">
        <f>IFERROR(__xludf.DUMMYFUNCTION("""COMPUTED_VALUE"""),0.0)</f>
        <v>0</v>
      </c>
      <c r="AF279" s="16">
        <f>IFERROR(__xludf.DUMMYFUNCTION("""COMPUTED_VALUE"""),0.0)</f>
        <v>0</v>
      </c>
      <c r="AG279" s="16">
        <f>IFERROR(__xludf.DUMMYFUNCTION("""COMPUTED_VALUE"""),0.0)</f>
        <v>0</v>
      </c>
      <c r="AH279" s="16">
        <f>IFERROR(__xludf.DUMMYFUNCTION("""COMPUTED_VALUE"""),0.0)</f>
        <v>0</v>
      </c>
    </row>
    <row r="280">
      <c r="A280" s="16" t="str">
        <f>IFERROR(__xludf.DUMMYFUNCTION("""COMPUTED_VALUE"""),"fb311a6dd8cd59a51bf680323116bcc5d2798a8e")</f>
        <v>fb311a6dd8cd59a51bf680323116bcc5d2798a8e</v>
      </c>
      <c r="B280" s="16" t="str">
        <f>IFERROR(__xludf.DUMMYFUNCTION("""COMPUTED_VALUE"""),"The Beast Tamer's Legacy")</f>
        <v>The Beast Tamer's Legacy</v>
      </c>
      <c r="C280" s="16" t="str">
        <f>IFERROR(__xludf.DUMMYFUNCTION("""COMPUTED_VALUE"""),"System and Superpower")</f>
        <v>System and Superpower</v>
      </c>
      <c r="D280" s="16">
        <f>IFERROR(__xludf.DUMMYFUNCTION("""COMPUTED_VALUE"""),89.0)</f>
        <v>89</v>
      </c>
      <c r="E280" s="16">
        <f>IFERROR(__xludf.DUMMYFUNCTION("""COMPUTED_VALUE"""),0.98876404494382)</f>
        <v>0.9887640449</v>
      </c>
      <c r="F280" s="16">
        <f>IFERROR(__xludf.DUMMYFUNCTION("""COMPUTED_VALUE"""),0.426966292134831)</f>
        <v>0.4269662921</v>
      </c>
      <c r="G280" s="16">
        <f>IFERROR(__xludf.DUMMYFUNCTION("""COMPUTED_VALUE"""),0.325842696629213)</f>
        <v>0.3258426966</v>
      </c>
      <c r="H280" s="16">
        <f>IFERROR(__xludf.DUMMYFUNCTION("""COMPUTED_VALUE"""),0.247191011235955)</f>
        <v>0.2471910112</v>
      </c>
      <c r="I280" s="16">
        <f>IFERROR(__xludf.DUMMYFUNCTION("""COMPUTED_VALUE"""),0.202247191011235)</f>
        <v>0.202247191</v>
      </c>
      <c r="J280" s="16">
        <f>IFERROR(__xludf.DUMMYFUNCTION("""COMPUTED_VALUE"""),0.191011235955056)</f>
        <v>0.191011236</v>
      </c>
      <c r="K280" s="16">
        <f>IFERROR(__xludf.DUMMYFUNCTION("""COMPUTED_VALUE"""),0.191011235955056)</f>
        <v>0.191011236</v>
      </c>
      <c r="L280" s="16">
        <f>IFERROR(__xludf.DUMMYFUNCTION("""COMPUTED_VALUE"""),0.168539325842696)</f>
        <v>0.1685393258</v>
      </c>
      <c r="M280" s="16">
        <f>IFERROR(__xludf.DUMMYFUNCTION("""COMPUTED_VALUE"""),0.157303370786516)</f>
        <v>0.1573033708</v>
      </c>
      <c r="N280" s="16">
        <f>IFERROR(__xludf.DUMMYFUNCTION("""COMPUTED_VALUE"""),0.146067415730337)</f>
        <v>0.1460674157</v>
      </c>
      <c r="O280" s="16">
        <f>IFERROR(__xludf.DUMMYFUNCTION("""COMPUTED_VALUE"""),0.112359550561797)</f>
        <v>0.1123595506</v>
      </c>
      <c r="P280" s="16">
        <f>IFERROR(__xludf.DUMMYFUNCTION("""COMPUTED_VALUE"""),0.102564102564102)</f>
        <v>0.1025641026</v>
      </c>
      <c r="Q280" s="16">
        <f>IFERROR(__xludf.DUMMYFUNCTION("""COMPUTED_VALUE"""),0.102941176470588)</f>
        <v>0.1029411765</v>
      </c>
      <c r="R280" s="16">
        <f>IFERROR(__xludf.DUMMYFUNCTION("""COMPUTED_VALUE"""),0.0)</f>
        <v>0</v>
      </c>
      <c r="S280" s="16">
        <f>IFERROR(__xludf.DUMMYFUNCTION("""COMPUTED_VALUE"""),0.0)</f>
        <v>0</v>
      </c>
      <c r="T280" s="16">
        <f>IFERROR(__xludf.DUMMYFUNCTION("""COMPUTED_VALUE"""),0.0)</f>
        <v>0</v>
      </c>
      <c r="U280" s="16">
        <f>IFERROR(__xludf.DUMMYFUNCTION("""COMPUTED_VALUE"""),0.0)</f>
        <v>0</v>
      </c>
      <c r="V280" s="16">
        <f>IFERROR(__xludf.DUMMYFUNCTION("""COMPUTED_VALUE"""),0.0)</f>
        <v>0</v>
      </c>
      <c r="W280" s="16">
        <f>IFERROR(__xludf.DUMMYFUNCTION("""COMPUTED_VALUE"""),0.0)</f>
        <v>0</v>
      </c>
      <c r="X280" s="16">
        <f>IFERROR(__xludf.DUMMYFUNCTION("""COMPUTED_VALUE"""),0.0)</f>
        <v>0</v>
      </c>
      <c r="Y280" s="16">
        <f>IFERROR(__xludf.DUMMYFUNCTION("""COMPUTED_VALUE"""),0.0)</f>
        <v>0</v>
      </c>
      <c r="Z280" s="16">
        <f>IFERROR(__xludf.DUMMYFUNCTION("""COMPUTED_VALUE"""),0.0)</f>
        <v>0</v>
      </c>
      <c r="AA280" s="16">
        <f>IFERROR(__xludf.DUMMYFUNCTION("""COMPUTED_VALUE"""),0.0)</f>
        <v>0</v>
      </c>
      <c r="AB280" s="16">
        <f>IFERROR(__xludf.DUMMYFUNCTION("""COMPUTED_VALUE"""),0.0)</f>
        <v>0</v>
      </c>
      <c r="AC280" s="16">
        <f>IFERROR(__xludf.DUMMYFUNCTION("""COMPUTED_VALUE"""),0.0)</f>
        <v>0</v>
      </c>
      <c r="AD280" s="16">
        <f>IFERROR(__xludf.DUMMYFUNCTION("""COMPUTED_VALUE"""),0.0)</f>
        <v>0</v>
      </c>
      <c r="AE280" s="16">
        <f>IFERROR(__xludf.DUMMYFUNCTION("""COMPUTED_VALUE"""),0.0)</f>
        <v>0</v>
      </c>
      <c r="AF280" s="16">
        <f>IFERROR(__xludf.DUMMYFUNCTION("""COMPUTED_VALUE"""),0.0)</f>
        <v>0</v>
      </c>
      <c r="AG280" s="16">
        <f>IFERROR(__xludf.DUMMYFUNCTION("""COMPUTED_VALUE"""),0.0)</f>
        <v>0</v>
      </c>
      <c r="AH280" s="16">
        <f>IFERROR(__xludf.DUMMYFUNCTION("""COMPUTED_VALUE"""),0.0)</f>
        <v>0</v>
      </c>
    </row>
    <row r="281">
      <c r="A281" s="16" t="str">
        <f>IFERROR(__xludf.DUMMYFUNCTION("""COMPUTED_VALUE"""),"fc599fbc708fd150dfe8d867a18a17fa8b439c84")</f>
        <v>fc599fbc708fd150dfe8d867a18a17fa8b439c84</v>
      </c>
      <c r="B281" s="16" t="str">
        <f>IFERROR(__xludf.DUMMYFUNCTION("""COMPUTED_VALUE"""),"Anything for Sunny")</f>
        <v>Anything for Sunny</v>
      </c>
      <c r="C281" s="16" t="str">
        <f>IFERROR(__xludf.DUMMYFUNCTION("""COMPUTED_VALUE"""),"Drama")</f>
        <v>Drama</v>
      </c>
      <c r="D281" s="16">
        <f>IFERROR(__xludf.DUMMYFUNCTION("""COMPUTED_VALUE"""),237.0)</f>
        <v>237</v>
      </c>
      <c r="E281" s="16">
        <f>IFERROR(__xludf.DUMMYFUNCTION("""COMPUTED_VALUE"""),0.987341772151898)</f>
        <v>0.9873417722</v>
      </c>
      <c r="F281" s="16">
        <f>IFERROR(__xludf.DUMMYFUNCTION("""COMPUTED_VALUE"""),0.518987341772151)</f>
        <v>0.5189873418</v>
      </c>
      <c r="G281" s="16">
        <f>IFERROR(__xludf.DUMMYFUNCTION("""COMPUTED_VALUE"""),0.40928270042194)</f>
        <v>0.4092827004</v>
      </c>
      <c r="H281" s="16">
        <f>IFERROR(__xludf.DUMMYFUNCTION("""COMPUTED_VALUE"""),0.333333333333333)</f>
        <v>0.3333333333</v>
      </c>
      <c r="I281" s="16">
        <f>IFERROR(__xludf.DUMMYFUNCTION("""COMPUTED_VALUE"""),0.270042194092827)</f>
        <v>0.2700421941</v>
      </c>
      <c r="J281" s="16">
        <f>IFERROR(__xludf.DUMMYFUNCTION("""COMPUTED_VALUE"""),0.245762711864406)</f>
        <v>0.2457627119</v>
      </c>
      <c r="K281" s="16">
        <f>IFERROR(__xludf.DUMMYFUNCTION("""COMPUTED_VALUE"""),0.208510638297872)</f>
        <v>0.2085106383</v>
      </c>
      <c r="L281" s="16">
        <f>IFERROR(__xludf.DUMMYFUNCTION("""COMPUTED_VALUE"""),0.188034188034188)</f>
        <v>0.188034188</v>
      </c>
      <c r="M281" s="16">
        <f>IFERROR(__xludf.DUMMYFUNCTION("""COMPUTED_VALUE"""),0.167381974248927)</f>
        <v>0.1673819742</v>
      </c>
      <c r="N281" s="16">
        <f>IFERROR(__xludf.DUMMYFUNCTION("""COMPUTED_VALUE"""),0.147186147186147)</f>
        <v>0.1471861472</v>
      </c>
      <c r="O281" s="16">
        <f>IFERROR(__xludf.DUMMYFUNCTION("""COMPUTED_VALUE"""),0.117117117117117)</f>
        <v>0.1171171171</v>
      </c>
      <c r="P281" s="16">
        <f>IFERROR(__xludf.DUMMYFUNCTION("""COMPUTED_VALUE"""),0.0606060606060606)</f>
        <v>0.06060606061</v>
      </c>
      <c r="Q281" s="16">
        <f>IFERROR(__xludf.DUMMYFUNCTION("""COMPUTED_VALUE"""),0.115384615384615)</f>
        <v>0.1153846154</v>
      </c>
      <c r="R281" s="16">
        <f>IFERROR(__xludf.DUMMYFUNCTION("""COMPUTED_VALUE"""),0.15)</f>
        <v>0.15</v>
      </c>
      <c r="S281" s="16">
        <f>IFERROR(__xludf.DUMMYFUNCTION("""COMPUTED_VALUE"""),0.0)</f>
        <v>0</v>
      </c>
      <c r="T281" s="16">
        <f>IFERROR(__xludf.DUMMYFUNCTION("""COMPUTED_VALUE"""),0.0)</f>
        <v>0</v>
      </c>
      <c r="U281" s="16">
        <f>IFERROR(__xludf.DUMMYFUNCTION("""COMPUTED_VALUE"""),0.0)</f>
        <v>0</v>
      </c>
      <c r="V281" s="16">
        <f>IFERROR(__xludf.DUMMYFUNCTION("""COMPUTED_VALUE"""),0.0)</f>
        <v>0</v>
      </c>
      <c r="W281" s="16">
        <f>IFERROR(__xludf.DUMMYFUNCTION("""COMPUTED_VALUE"""),0.0)</f>
        <v>0</v>
      </c>
      <c r="X281" s="16">
        <f>IFERROR(__xludf.DUMMYFUNCTION("""COMPUTED_VALUE"""),0.0)</f>
        <v>0</v>
      </c>
      <c r="Y281" s="16">
        <f>IFERROR(__xludf.DUMMYFUNCTION("""COMPUTED_VALUE"""),0.0)</f>
        <v>0</v>
      </c>
      <c r="Z281" s="16">
        <f>IFERROR(__xludf.DUMMYFUNCTION("""COMPUTED_VALUE"""),0.0)</f>
        <v>0</v>
      </c>
      <c r="AA281" s="16">
        <f>IFERROR(__xludf.DUMMYFUNCTION("""COMPUTED_VALUE"""),0.0)</f>
        <v>0</v>
      </c>
      <c r="AB281" s="16">
        <f>IFERROR(__xludf.DUMMYFUNCTION("""COMPUTED_VALUE"""),0.0)</f>
        <v>0</v>
      </c>
      <c r="AC281" s="16">
        <f>IFERROR(__xludf.DUMMYFUNCTION("""COMPUTED_VALUE"""),0.0)</f>
        <v>0</v>
      </c>
      <c r="AD281" s="16">
        <f>IFERROR(__xludf.DUMMYFUNCTION("""COMPUTED_VALUE"""),0.0)</f>
        <v>0</v>
      </c>
      <c r="AE281" s="16">
        <f>IFERROR(__xludf.DUMMYFUNCTION("""COMPUTED_VALUE"""),0.0)</f>
        <v>0</v>
      </c>
      <c r="AF281" s="16">
        <f>IFERROR(__xludf.DUMMYFUNCTION("""COMPUTED_VALUE"""),0.0)</f>
        <v>0</v>
      </c>
      <c r="AG281" s="16">
        <f>IFERROR(__xludf.DUMMYFUNCTION("""COMPUTED_VALUE"""),0.0)</f>
        <v>0</v>
      </c>
      <c r="AH281" s="16">
        <f>IFERROR(__xludf.DUMMYFUNCTION("""COMPUTED_VALUE"""),0.0)</f>
        <v>0</v>
      </c>
    </row>
    <row r="282">
      <c r="A282" s="16" t="str">
        <f>IFERROR(__xludf.DUMMYFUNCTION("""COMPUTED_VALUE"""),"fcddd3d14a0e1b1dab1bcb5c11d4aec683fdb598")</f>
        <v>fcddd3d14a0e1b1dab1bcb5c11d4aec683fdb598</v>
      </c>
      <c r="B282" s="16" t="str">
        <f>IFERROR(__xludf.DUMMYFUNCTION("""COMPUTED_VALUE"""),"Rise of Drake Callahan")</f>
        <v>Rise of Drake Callahan</v>
      </c>
      <c r="C282" s="16" t="str">
        <f>IFERROR(__xludf.DUMMYFUNCTION("""COMPUTED_VALUE"""),"Drama")</f>
        <v>Drama</v>
      </c>
      <c r="D282" s="16">
        <f>IFERROR(__xludf.DUMMYFUNCTION("""COMPUTED_VALUE"""),59.0)</f>
        <v>59</v>
      </c>
      <c r="E282" s="16">
        <f>IFERROR(__xludf.DUMMYFUNCTION("""COMPUTED_VALUE"""),1.0)</f>
        <v>1</v>
      </c>
      <c r="F282" s="16">
        <f>IFERROR(__xludf.DUMMYFUNCTION("""COMPUTED_VALUE"""),0.440677966101694)</f>
        <v>0.4406779661</v>
      </c>
      <c r="G282" s="16">
        <f>IFERROR(__xludf.DUMMYFUNCTION("""COMPUTED_VALUE"""),0.389830508474576)</f>
        <v>0.3898305085</v>
      </c>
      <c r="H282" s="16">
        <f>IFERROR(__xludf.DUMMYFUNCTION("""COMPUTED_VALUE"""),0.406779661016949)</f>
        <v>0.406779661</v>
      </c>
      <c r="I282" s="16">
        <f>IFERROR(__xludf.DUMMYFUNCTION("""COMPUTED_VALUE"""),0.338983050847457)</f>
        <v>0.3389830508</v>
      </c>
      <c r="J282" s="16">
        <f>IFERROR(__xludf.DUMMYFUNCTION("""COMPUTED_VALUE"""),0.293103448275862)</f>
        <v>0.2931034483</v>
      </c>
      <c r="K282" s="16">
        <f>IFERROR(__xludf.DUMMYFUNCTION("""COMPUTED_VALUE"""),0.293103448275862)</f>
        <v>0.2931034483</v>
      </c>
      <c r="L282" s="16">
        <f>IFERROR(__xludf.DUMMYFUNCTION("""COMPUTED_VALUE"""),0.280701754385964)</f>
        <v>0.2807017544</v>
      </c>
      <c r="M282" s="16">
        <f>IFERROR(__xludf.DUMMYFUNCTION("""COMPUTED_VALUE"""),0.245614035087719)</f>
        <v>0.2456140351</v>
      </c>
      <c r="N282" s="16">
        <f>IFERROR(__xludf.DUMMYFUNCTION("""COMPUTED_VALUE"""),0.222222222222222)</f>
        <v>0.2222222222</v>
      </c>
      <c r="O282" s="16">
        <f>IFERROR(__xludf.DUMMYFUNCTION("""COMPUTED_VALUE"""),0.304347826086956)</f>
        <v>0.3043478261</v>
      </c>
      <c r="P282" s="16">
        <f>IFERROR(__xludf.DUMMYFUNCTION("""COMPUTED_VALUE"""),0.0)</f>
        <v>0</v>
      </c>
      <c r="Q282" s="16">
        <f>IFERROR(__xludf.DUMMYFUNCTION("""COMPUTED_VALUE"""),0.0)</f>
        <v>0</v>
      </c>
      <c r="R282" s="16">
        <f>IFERROR(__xludf.DUMMYFUNCTION("""COMPUTED_VALUE"""),0.0)</f>
        <v>0</v>
      </c>
      <c r="S282" s="16">
        <f>IFERROR(__xludf.DUMMYFUNCTION("""COMPUTED_VALUE"""),0.0)</f>
        <v>0</v>
      </c>
      <c r="T282" s="16">
        <f>IFERROR(__xludf.DUMMYFUNCTION("""COMPUTED_VALUE"""),0.0)</f>
        <v>0</v>
      </c>
      <c r="U282" s="16">
        <f>IFERROR(__xludf.DUMMYFUNCTION("""COMPUTED_VALUE"""),0.0)</f>
        <v>0</v>
      </c>
      <c r="V282" s="16">
        <f>IFERROR(__xludf.DUMMYFUNCTION("""COMPUTED_VALUE"""),0.0)</f>
        <v>0</v>
      </c>
      <c r="W282" s="16">
        <f>IFERROR(__xludf.DUMMYFUNCTION("""COMPUTED_VALUE"""),0.0)</f>
        <v>0</v>
      </c>
      <c r="X282" s="16">
        <f>IFERROR(__xludf.DUMMYFUNCTION("""COMPUTED_VALUE"""),0.0)</f>
        <v>0</v>
      </c>
      <c r="Y282" s="16">
        <f>IFERROR(__xludf.DUMMYFUNCTION("""COMPUTED_VALUE"""),0.0)</f>
        <v>0</v>
      </c>
      <c r="Z282" s="16">
        <f>IFERROR(__xludf.DUMMYFUNCTION("""COMPUTED_VALUE"""),0.0)</f>
        <v>0</v>
      </c>
      <c r="AA282" s="16">
        <f>IFERROR(__xludf.DUMMYFUNCTION("""COMPUTED_VALUE"""),0.0)</f>
        <v>0</v>
      </c>
      <c r="AB282" s="16">
        <f>IFERROR(__xludf.DUMMYFUNCTION("""COMPUTED_VALUE"""),0.0)</f>
        <v>0</v>
      </c>
      <c r="AC282" s="16">
        <f>IFERROR(__xludf.DUMMYFUNCTION("""COMPUTED_VALUE"""),0.0)</f>
        <v>0</v>
      </c>
      <c r="AD282" s="16">
        <f>IFERROR(__xludf.DUMMYFUNCTION("""COMPUTED_VALUE"""),0.0)</f>
        <v>0</v>
      </c>
      <c r="AE282" s="16">
        <f>IFERROR(__xludf.DUMMYFUNCTION("""COMPUTED_VALUE"""),0.0)</f>
        <v>0</v>
      </c>
      <c r="AF282" s="16">
        <f>IFERROR(__xludf.DUMMYFUNCTION("""COMPUTED_VALUE"""),0.0)</f>
        <v>0</v>
      </c>
      <c r="AG282" s="16">
        <f>IFERROR(__xludf.DUMMYFUNCTION("""COMPUTED_VALUE"""),0.0)</f>
        <v>0</v>
      </c>
      <c r="AH282" s="16">
        <f>IFERROR(__xludf.DUMMYFUNCTION("""COMPUTED_VALUE"""),0.0)</f>
        <v>0</v>
      </c>
    </row>
    <row r="283">
      <c r="A283" s="16" t="str">
        <f>IFERROR(__xludf.DUMMYFUNCTION("""COMPUTED_VALUE"""),"fce8fe866ed4c3d213e087a4343996d06bb09af7")</f>
        <v>fce8fe866ed4c3d213e087a4343996d06bb09af7</v>
      </c>
      <c r="B283" s="16" t="str">
        <f>IFERROR(__xludf.DUMMYFUNCTION("""COMPUTED_VALUE"""),"The Anderson Rebirth")</f>
        <v>The Anderson Rebirth</v>
      </c>
      <c r="C283" s="16" t="str">
        <f>IFERROR(__xludf.DUMMYFUNCTION("""COMPUTED_VALUE"""),"System and Superpower")</f>
        <v>System and Superpower</v>
      </c>
      <c r="D283" s="16">
        <f>IFERROR(__xludf.DUMMYFUNCTION("""COMPUTED_VALUE"""),150.0)</f>
        <v>150</v>
      </c>
      <c r="E283" s="16">
        <f>IFERROR(__xludf.DUMMYFUNCTION("""COMPUTED_VALUE"""),0.973333333333333)</f>
        <v>0.9733333333</v>
      </c>
      <c r="F283" s="16">
        <f>IFERROR(__xludf.DUMMYFUNCTION("""COMPUTED_VALUE"""),0.573333333333333)</f>
        <v>0.5733333333</v>
      </c>
      <c r="G283" s="16">
        <f>IFERROR(__xludf.DUMMYFUNCTION("""COMPUTED_VALUE"""),0.52)</f>
        <v>0.52</v>
      </c>
      <c r="H283" s="16">
        <f>IFERROR(__xludf.DUMMYFUNCTION("""COMPUTED_VALUE"""),0.486666666666666)</f>
        <v>0.4866666667</v>
      </c>
      <c r="I283" s="16">
        <f>IFERROR(__xludf.DUMMYFUNCTION("""COMPUTED_VALUE"""),0.46)</f>
        <v>0.46</v>
      </c>
      <c r="J283" s="16">
        <f>IFERROR(__xludf.DUMMYFUNCTION("""COMPUTED_VALUE"""),0.446666666666666)</f>
        <v>0.4466666667</v>
      </c>
      <c r="K283" s="16">
        <f>IFERROR(__xludf.DUMMYFUNCTION("""COMPUTED_VALUE"""),0.4)</f>
        <v>0.4</v>
      </c>
      <c r="L283" s="16">
        <f>IFERROR(__xludf.DUMMYFUNCTION("""COMPUTED_VALUE"""),0.386666666666666)</f>
        <v>0.3866666667</v>
      </c>
      <c r="M283" s="16">
        <f>IFERROR(__xludf.DUMMYFUNCTION("""COMPUTED_VALUE"""),0.38)</f>
        <v>0.38</v>
      </c>
      <c r="N283" s="16">
        <f>IFERROR(__xludf.DUMMYFUNCTION("""COMPUTED_VALUE"""),0.355704697986577)</f>
        <v>0.355704698</v>
      </c>
      <c r="O283" s="16">
        <f>IFERROR(__xludf.DUMMYFUNCTION("""COMPUTED_VALUE"""),0.333333333333333)</f>
        <v>0.3333333333</v>
      </c>
      <c r="P283" s="16">
        <f>IFERROR(__xludf.DUMMYFUNCTION("""COMPUTED_VALUE"""),0.251748251748251)</f>
        <v>0.2517482517</v>
      </c>
      <c r="Q283" s="16">
        <f>IFERROR(__xludf.DUMMYFUNCTION("""COMPUTED_VALUE"""),0.145833333333333)</f>
        <v>0.1458333333</v>
      </c>
      <c r="R283" s="16">
        <f>IFERROR(__xludf.DUMMYFUNCTION("""COMPUTED_VALUE"""),0.112359550561797)</f>
        <v>0.1123595506</v>
      </c>
      <c r="S283" s="16">
        <f>IFERROR(__xludf.DUMMYFUNCTION("""COMPUTED_VALUE"""),0.0)</f>
        <v>0</v>
      </c>
      <c r="T283" s="16">
        <f>IFERROR(__xludf.DUMMYFUNCTION("""COMPUTED_VALUE"""),0.0)</f>
        <v>0</v>
      </c>
      <c r="U283" s="16">
        <f>IFERROR(__xludf.DUMMYFUNCTION("""COMPUTED_VALUE"""),0.0)</f>
        <v>0</v>
      </c>
      <c r="V283" s="16">
        <f>IFERROR(__xludf.DUMMYFUNCTION("""COMPUTED_VALUE"""),0.0)</f>
        <v>0</v>
      </c>
      <c r="W283" s="16">
        <f>IFERROR(__xludf.DUMMYFUNCTION("""COMPUTED_VALUE"""),0.0)</f>
        <v>0</v>
      </c>
      <c r="X283" s="16">
        <f>IFERROR(__xludf.DUMMYFUNCTION("""COMPUTED_VALUE"""),0.0)</f>
        <v>0</v>
      </c>
      <c r="Y283" s="16">
        <f>IFERROR(__xludf.DUMMYFUNCTION("""COMPUTED_VALUE"""),0.0)</f>
        <v>0</v>
      </c>
      <c r="Z283" s="16">
        <f>IFERROR(__xludf.DUMMYFUNCTION("""COMPUTED_VALUE"""),0.0)</f>
        <v>0</v>
      </c>
      <c r="AA283" s="16">
        <f>IFERROR(__xludf.DUMMYFUNCTION("""COMPUTED_VALUE"""),0.0)</f>
        <v>0</v>
      </c>
      <c r="AB283" s="16">
        <f>IFERROR(__xludf.DUMMYFUNCTION("""COMPUTED_VALUE"""),0.0)</f>
        <v>0</v>
      </c>
      <c r="AC283" s="16">
        <f>IFERROR(__xludf.DUMMYFUNCTION("""COMPUTED_VALUE"""),0.0)</f>
        <v>0</v>
      </c>
      <c r="AD283" s="16">
        <f>IFERROR(__xludf.DUMMYFUNCTION("""COMPUTED_VALUE"""),0.0)</f>
        <v>0</v>
      </c>
      <c r="AE283" s="16">
        <f>IFERROR(__xludf.DUMMYFUNCTION("""COMPUTED_VALUE"""),0.0)</f>
        <v>0</v>
      </c>
      <c r="AF283" s="16">
        <f>IFERROR(__xludf.DUMMYFUNCTION("""COMPUTED_VALUE"""),0.0)</f>
        <v>0</v>
      </c>
      <c r="AG283" s="16">
        <f>IFERROR(__xludf.DUMMYFUNCTION("""COMPUTED_VALUE"""),0.0)</f>
        <v>0</v>
      </c>
      <c r="AH283" s="16">
        <f>IFERROR(__xludf.DUMMYFUNCTION("""COMPUTED_VALUE"""),0.0)</f>
        <v>0</v>
      </c>
    </row>
    <row r="284">
      <c r="A284" s="16" t="str">
        <f>IFERROR(__xludf.DUMMYFUNCTION("""COMPUTED_VALUE"""),"fce99720ddedf66c6e45f23c6876581e0b796f34")</f>
        <v>fce99720ddedf66c6e45f23c6876581e0b796f34</v>
      </c>
      <c r="B284" s="16" t="str">
        <f>IFERROR(__xludf.DUMMYFUNCTION("""COMPUTED_VALUE"""),"Reborn as Serena Whitmore")</f>
        <v>Reborn as Serena Whitmore</v>
      </c>
      <c r="C284" s="16" t="str">
        <f>IFERROR(__xludf.DUMMYFUNCTION("""COMPUTED_VALUE"""),"Romance")</f>
        <v>Romance</v>
      </c>
      <c r="D284" s="16">
        <f>IFERROR(__xludf.DUMMYFUNCTION("""COMPUTED_VALUE"""),489.0)</f>
        <v>489</v>
      </c>
      <c r="E284" s="16">
        <f>IFERROR(__xludf.DUMMYFUNCTION("""COMPUTED_VALUE"""),0.96523517382413)</f>
        <v>0.9652351738</v>
      </c>
      <c r="F284" s="16">
        <f>IFERROR(__xludf.DUMMYFUNCTION("""COMPUTED_VALUE"""),0.748466257668711)</f>
        <v>0.7484662577</v>
      </c>
      <c r="G284" s="16">
        <f>IFERROR(__xludf.DUMMYFUNCTION("""COMPUTED_VALUE"""),0.682377049180327)</f>
        <v>0.6823770492</v>
      </c>
      <c r="H284" s="16">
        <f>IFERROR(__xludf.DUMMYFUNCTION("""COMPUTED_VALUE"""),0.637295081967213)</f>
        <v>0.637295082</v>
      </c>
      <c r="I284" s="16">
        <f>IFERROR(__xludf.DUMMYFUNCTION("""COMPUTED_VALUE"""),0.573770491803278)</f>
        <v>0.5737704918</v>
      </c>
      <c r="J284" s="16">
        <f>IFERROR(__xludf.DUMMYFUNCTION("""COMPUTED_VALUE"""),0.545081967213114)</f>
        <v>0.5450819672</v>
      </c>
      <c r="K284" s="16">
        <f>IFERROR(__xludf.DUMMYFUNCTION("""COMPUTED_VALUE"""),0.519507186858316)</f>
        <v>0.5195071869</v>
      </c>
      <c r="L284" s="16">
        <f>IFERROR(__xludf.DUMMYFUNCTION("""COMPUTED_VALUE"""),0.48125)</f>
        <v>0.48125</v>
      </c>
      <c r="M284" s="16">
        <f>IFERROR(__xludf.DUMMYFUNCTION("""COMPUTED_VALUE"""),0.442588726513569)</f>
        <v>0.4425887265</v>
      </c>
      <c r="N284" s="16">
        <f>IFERROR(__xludf.DUMMYFUNCTION("""COMPUTED_VALUE"""),0.422268907563025)</f>
        <v>0.4222689076</v>
      </c>
      <c r="O284" s="16">
        <f>IFERROR(__xludf.DUMMYFUNCTION("""COMPUTED_VALUE"""),0.349710982658959)</f>
        <v>0.3497109827</v>
      </c>
      <c r="P284" s="16">
        <f>IFERROR(__xludf.DUMMYFUNCTION("""COMPUTED_VALUE"""),0.363636363636363)</f>
        <v>0.3636363636</v>
      </c>
      <c r="Q284" s="16">
        <f>IFERROR(__xludf.DUMMYFUNCTION("""COMPUTED_VALUE"""),0.0)</f>
        <v>0</v>
      </c>
      <c r="R284" s="16">
        <f>IFERROR(__xludf.DUMMYFUNCTION("""COMPUTED_VALUE"""),0.0)</f>
        <v>0</v>
      </c>
      <c r="S284" s="16">
        <f>IFERROR(__xludf.DUMMYFUNCTION("""COMPUTED_VALUE"""),0.0)</f>
        <v>0</v>
      </c>
      <c r="T284" s="16">
        <f>IFERROR(__xludf.DUMMYFUNCTION("""COMPUTED_VALUE"""),0.0)</f>
        <v>0</v>
      </c>
      <c r="U284" s="16">
        <f>IFERROR(__xludf.DUMMYFUNCTION("""COMPUTED_VALUE"""),0.0)</f>
        <v>0</v>
      </c>
      <c r="V284" s="16">
        <f>IFERROR(__xludf.DUMMYFUNCTION("""COMPUTED_VALUE"""),0.0)</f>
        <v>0</v>
      </c>
      <c r="W284" s="16">
        <f>IFERROR(__xludf.DUMMYFUNCTION("""COMPUTED_VALUE"""),0.0)</f>
        <v>0</v>
      </c>
      <c r="X284" s="16">
        <f>IFERROR(__xludf.DUMMYFUNCTION("""COMPUTED_VALUE"""),0.0)</f>
        <v>0</v>
      </c>
      <c r="Y284" s="16">
        <f>IFERROR(__xludf.DUMMYFUNCTION("""COMPUTED_VALUE"""),0.0)</f>
        <v>0</v>
      </c>
      <c r="Z284" s="16">
        <f>IFERROR(__xludf.DUMMYFUNCTION("""COMPUTED_VALUE"""),0.0)</f>
        <v>0</v>
      </c>
      <c r="AA284" s="16">
        <f>IFERROR(__xludf.DUMMYFUNCTION("""COMPUTED_VALUE"""),0.0)</f>
        <v>0</v>
      </c>
      <c r="AB284" s="16">
        <f>IFERROR(__xludf.DUMMYFUNCTION("""COMPUTED_VALUE"""),0.0)</f>
        <v>0</v>
      </c>
      <c r="AC284" s="16">
        <f>IFERROR(__xludf.DUMMYFUNCTION("""COMPUTED_VALUE"""),0.0)</f>
        <v>0</v>
      </c>
      <c r="AD284" s="16">
        <f>IFERROR(__xludf.DUMMYFUNCTION("""COMPUTED_VALUE"""),0.0)</f>
        <v>0</v>
      </c>
      <c r="AE284" s="16">
        <f>IFERROR(__xludf.DUMMYFUNCTION("""COMPUTED_VALUE"""),0.0)</f>
        <v>0</v>
      </c>
      <c r="AF284" s="16">
        <f>IFERROR(__xludf.DUMMYFUNCTION("""COMPUTED_VALUE"""),0.0)</f>
        <v>0</v>
      </c>
      <c r="AG284" s="16">
        <f>IFERROR(__xludf.DUMMYFUNCTION("""COMPUTED_VALUE"""),0.0)</f>
        <v>0</v>
      </c>
      <c r="AH284" s="16">
        <f>IFERROR(__xludf.DUMMYFUNCTION("""COMPUTED_VALUE"""),0.0)</f>
        <v>0</v>
      </c>
    </row>
    <row r="285">
      <c r="A285" s="16" t="str">
        <f>IFERROR(__xludf.DUMMYFUNCTION("""COMPUTED_VALUE"""),"fe01aa725eab93a44f707bbab393a9640b0e69db")</f>
        <v>fe01aa725eab93a44f707bbab393a9640b0e69db</v>
      </c>
      <c r="B285" s="16" t="str">
        <f>IFERROR(__xludf.DUMMYFUNCTION("""COMPUTED_VALUE"""),"3 Years Later He Found Me")</f>
        <v>3 Years Later He Found Me</v>
      </c>
      <c r="C285" s="16" t="str">
        <f>IFERROR(__xludf.DUMMYFUNCTION("""COMPUTED_VALUE"""),"Romance")</f>
        <v>Romance</v>
      </c>
      <c r="D285" s="16">
        <f>IFERROR(__xludf.DUMMYFUNCTION("""COMPUTED_VALUE"""),466.0)</f>
        <v>466</v>
      </c>
      <c r="E285" s="16">
        <f>IFERROR(__xludf.DUMMYFUNCTION("""COMPUTED_VALUE"""),0.961373390557939)</f>
        <v>0.9613733906</v>
      </c>
      <c r="F285" s="16">
        <f>IFERROR(__xludf.DUMMYFUNCTION("""COMPUTED_VALUE"""),0.551502145922746)</f>
        <v>0.5515021459</v>
      </c>
      <c r="G285" s="16">
        <f>IFERROR(__xludf.DUMMYFUNCTION("""COMPUTED_VALUE"""),0.467811158798283)</f>
        <v>0.4678111588</v>
      </c>
      <c r="H285" s="16">
        <f>IFERROR(__xludf.DUMMYFUNCTION("""COMPUTED_VALUE"""),0.414163090128755)</f>
        <v>0.4141630901</v>
      </c>
      <c r="I285" s="16">
        <f>IFERROR(__xludf.DUMMYFUNCTION("""COMPUTED_VALUE"""),0.384120171673819)</f>
        <v>0.3841201717</v>
      </c>
      <c r="J285" s="16">
        <f>IFERROR(__xludf.DUMMYFUNCTION("""COMPUTED_VALUE"""),0.364806866952789)</f>
        <v>0.364806867</v>
      </c>
      <c r="K285" s="16">
        <f>IFERROR(__xludf.DUMMYFUNCTION("""COMPUTED_VALUE"""),0.345493562231759)</f>
        <v>0.3454935622</v>
      </c>
      <c r="L285" s="16">
        <f>IFERROR(__xludf.DUMMYFUNCTION("""COMPUTED_VALUE"""),0.32832618025751)</f>
        <v>0.3283261803</v>
      </c>
      <c r="M285" s="16">
        <f>IFERROR(__xludf.DUMMYFUNCTION("""COMPUTED_VALUE"""),0.315450643776824)</f>
        <v>0.3154506438</v>
      </c>
      <c r="N285" s="16">
        <f>IFERROR(__xludf.DUMMYFUNCTION("""COMPUTED_VALUE"""),0.283870967741935)</f>
        <v>0.2838709677</v>
      </c>
      <c r="O285" s="16">
        <f>IFERROR(__xludf.DUMMYFUNCTION("""COMPUTED_VALUE"""),0.249462365591397)</f>
        <v>0.2494623656</v>
      </c>
      <c r="P285" s="16">
        <f>IFERROR(__xludf.DUMMYFUNCTION("""COMPUTED_VALUE"""),0.174291938997821)</f>
        <v>0.174291939</v>
      </c>
      <c r="Q285" s="16">
        <f>IFERROR(__xludf.DUMMYFUNCTION("""COMPUTED_VALUE"""),0.0985915492957746)</f>
        <v>0.0985915493</v>
      </c>
      <c r="R285" s="16">
        <f>IFERROR(__xludf.DUMMYFUNCTION("""COMPUTED_VALUE"""),0.0)</f>
        <v>0</v>
      </c>
      <c r="S285" s="16">
        <f>IFERROR(__xludf.DUMMYFUNCTION("""COMPUTED_VALUE"""),0.0)</f>
        <v>0</v>
      </c>
      <c r="T285" s="16">
        <f>IFERROR(__xludf.DUMMYFUNCTION("""COMPUTED_VALUE"""),0.0)</f>
        <v>0</v>
      </c>
      <c r="U285" s="16">
        <f>IFERROR(__xludf.DUMMYFUNCTION("""COMPUTED_VALUE"""),0.0)</f>
        <v>0</v>
      </c>
      <c r="V285" s="16">
        <f>IFERROR(__xludf.DUMMYFUNCTION("""COMPUTED_VALUE"""),0.0)</f>
        <v>0</v>
      </c>
      <c r="W285" s="16">
        <f>IFERROR(__xludf.DUMMYFUNCTION("""COMPUTED_VALUE"""),0.0)</f>
        <v>0</v>
      </c>
      <c r="X285" s="16">
        <f>IFERROR(__xludf.DUMMYFUNCTION("""COMPUTED_VALUE"""),0.0)</f>
        <v>0</v>
      </c>
      <c r="Y285" s="16">
        <f>IFERROR(__xludf.DUMMYFUNCTION("""COMPUTED_VALUE"""),0.0)</f>
        <v>0</v>
      </c>
      <c r="Z285" s="16">
        <f>IFERROR(__xludf.DUMMYFUNCTION("""COMPUTED_VALUE"""),0.0)</f>
        <v>0</v>
      </c>
      <c r="AA285" s="16">
        <f>IFERROR(__xludf.DUMMYFUNCTION("""COMPUTED_VALUE"""),0.0)</f>
        <v>0</v>
      </c>
      <c r="AB285" s="16">
        <f>IFERROR(__xludf.DUMMYFUNCTION("""COMPUTED_VALUE"""),0.0)</f>
        <v>0</v>
      </c>
      <c r="AC285" s="16">
        <f>IFERROR(__xludf.DUMMYFUNCTION("""COMPUTED_VALUE"""),0.0)</f>
        <v>0</v>
      </c>
      <c r="AD285" s="16">
        <f>IFERROR(__xludf.DUMMYFUNCTION("""COMPUTED_VALUE"""),0.0)</f>
        <v>0</v>
      </c>
      <c r="AE285" s="16">
        <f>IFERROR(__xludf.DUMMYFUNCTION("""COMPUTED_VALUE"""),0.0)</f>
        <v>0</v>
      </c>
      <c r="AF285" s="16">
        <f>IFERROR(__xludf.DUMMYFUNCTION("""COMPUTED_VALUE"""),0.0)</f>
        <v>0</v>
      </c>
      <c r="AG285" s="16">
        <f>IFERROR(__xludf.DUMMYFUNCTION("""COMPUTED_VALUE"""),0.0)</f>
        <v>0</v>
      </c>
      <c r="AH285" s="16">
        <f>IFERROR(__xludf.DUMMYFUNCTION("""COMPUTED_VALUE"""),0.0)</f>
        <v>0</v>
      </c>
    </row>
    <row r="286">
      <c r="A286" s="16" t="str">
        <f>IFERROR(__xludf.DUMMYFUNCTION("""COMPUTED_VALUE"""),"fe218223c3cbc0377d2bb07ad68251723f1b3792")</f>
        <v>fe218223c3cbc0377d2bb07ad68251723f1b3792</v>
      </c>
      <c r="B286" s="16" t="str">
        <f>IFERROR(__xludf.DUMMYFUNCTION("""COMPUTED_VALUE"""),"Return of the Gamer God")</f>
        <v>Return of the Gamer God</v>
      </c>
      <c r="C286" s="16" t="str">
        <f>IFERROR(__xludf.DUMMYFUNCTION("""COMPUTED_VALUE"""),"System and Superpower")</f>
        <v>System and Superpower</v>
      </c>
      <c r="D286" s="16">
        <f>IFERROR(__xludf.DUMMYFUNCTION("""COMPUTED_VALUE"""),199.0)</f>
        <v>199</v>
      </c>
      <c r="E286" s="16">
        <f>IFERROR(__xludf.DUMMYFUNCTION("""COMPUTED_VALUE"""),0.974874371859296)</f>
        <v>0.9748743719</v>
      </c>
      <c r="F286" s="16">
        <f>IFERROR(__xludf.DUMMYFUNCTION("""COMPUTED_VALUE"""),0.402010050251256)</f>
        <v>0.4020100503</v>
      </c>
      <c r="G286" s="16">
        <f>IFERROR(__xludf.DUMMYFUNCTION("""COMPUTED_VALUE"""),0.351758793969849)</f>
        <v>0.351758794</v>
      </c>
      <c r="H286" s="16">
        <f>IFERROR(__xludf.DUMMYFUNCTION("""COMPUTED_VALUE"""),0.301507537688442)</f>
        <v>0.3015075377</v>
      </c>
      <c r="I286" s="16">
        <f>IFERROR(__xludf.DUMMYFUNCTION("""COMPUTED_VALUE"""),0.296482412060301)</f>
        <v>0.2964824121</v>
      </c>
      <c r="J286" s="16">
        <f>IFERROR(__xludf.DUMMYFUNCTION("""COMPUTED_VALUE"""),0.28643216080402)</f>
        <v>0.2864321608</v>
      </c>
      <c r="K286" s="16">
        <f>IFERROR(__xludf.DUMMYFUNCTION("""COMPUTED_VALUE"""),0.271356783919598)</f>
        <v>0.2713567839</v>
      </c>
      <c r="L286" s="16">
        <f>IFERROR(__xludf.DUMMYFUNCTION("""COMPUTED_VALUE"""),0.246231155778894)</f>
        <v>0.2462311558</v>
      </c>
      <c r="M286" s="16">
        <f>IFERROR(__xludf.DUMMYFUNCTION("""COMPUTED_VALUE"""),0.226130653266331)</f>
        <v>0.2261306533</v>
      </c>
      <c r="N286" s="16">
        <f>IFERROR(__xludf.DUMMYFUNCTION("""COMPUTED_VALUE"""),0.22110552763819)</f>
        <v>0.2211055276</v>
      </c>
      <c r="O286" s="16">
        <f>IFERROR(__xludf.DUMMYFUNCTION("""COMPUTED_VALUE"""),0.184049079754601)</f>
        <v>0.1840490798</v>
      </c>
      <c r="P286" s="16">
        <f>IFERROR(__xludf.DUMMYFUNCTION("""COMPUTED_VALUE"""),0.137254901960784)</f>
        <v>0.137254902</v>
      </c>
      <c r="Q286" s="16">
        <f>IFERROR(__xludf.DUMMYFUNCTION("""COMPUTED_VALUE"""),0.0434782608695652)</f>
        <v>0.04347826087</v>
      </c>
      <c r="R286" s="16">
        <f>IFERROR(__xludf.DUMMYFUNCTION("""COMPUTED_VALUE"""),0.0)</f>
        <v>0</v>
      </c>
      <c r="S286" s="16">
        <f>IFERROR(__xludf.DUMMYFUNCTION("""COMPUTED_VALUE"""),0.0)</f>
        <v>0</v>
      </c>
      <c r="T286" s="16">
        <f>IFERROR(__xludf.DUMMYFUNCTION("""COMPUTED_VALUE"""),0.0)</f>
        <v>0</v>
      </c>
      <c r="U286" s="16">
        <f>IFERROR(__xludf.DUMMYFUNCTION("""COMPUTED_VALUE"""),0.0)</f>
        <v>0</v>
      </c>
      <c r="V286" s="16">
        <f>IFERROR(__xludf.DUMMYFUNCTION("""COMPUTED_VALUE"""),0.0)</f>
        <v>0</v>
      </c>
      <c r="W286" s="16">
        <f>IFERROR(__xludf.DUMMYFUNCTION("""COMPUTED_VALUE"""),0.0)</f>
        <v>0</v>
      </c>
      <c r="X286" s="16">
        <f>IFERROR(__xludf.DUMMYFUNCTION("""COMPUTED_VALUE"""),0.0)</f>
        <v>0</v>
      </c>
      <c r="Y286" s="16">
        <f>IFERROR(__xludf.DUMMYFUNCTION("""COMPUTED_VALUE"""),0.0)</f>
        <v>0</v>
      </c>
      <c r="Z286" s="16">
        <f>IFERROR(__xludf.DUMMYFUNCTION("""COMPUTED_VALUE"""),0.0)</f>
        <v>0</v>
      </c>
      <c r="AA286" s="16">
        <f>IFERROR(__xludf.DUMMYFUNCTION("""COMPUTED_VALUE"""),0.0)</f>
        <v>0</v>
      </c>
      <c r="AB286" s="16">
        <f>IFERROR(__xludf.DUMMYFUNCTION("""COMPUTED_VALUE"""),0.0)</f>
        <v>0</v>
      </c>
      <c r="AC286" s="16">
        <f>IFERROR(__xludf.DUMMYFUNCTION("""COMPUTED_VALUE"""),0.0)</f>
        <v>0</v>
      </c>
      <c r="AD286" s="16">
        <f>IFERROR(__xludf.DUMMYFUNCTION("""COMPUTED_VALUE"""),0.0)</f>
        <v>0</v>
      </c>
      <c r="AE286" s="16">
        <f>IFERROR(__xludf.DUMMYFUNCTION("""COMPUTED_VALUE"""),0.0)</f>
        <v>0</v>
      </c>
      <c r="AF286" s="16">
        <f>IFERROR(__xludf.DUMMYFUNCTION("""COMPUTED_VALUE"""),0.0)</f>
        <v>0</v>
      </c>
      <c r="AG286" s="16">
        <f>IFERROR(__xludf.DUMMYFUNCTION("""COMPUTED_VALUE"""),0.0)</f>
        <v>0</v>
      </c>
      <c r="AH286" s="16">
        <f>IFERROR(__xludf.DUMMYFUNCTION("""COMPUTED_VALUE"""),0.0)</f>
        <v>0</v>
      </c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/>
      <c r="B1" s="1" t="s">
        <v>0</v>
      </c>
      <c r="C1" s="13" t="s">
        <v>1</v>
      </c>
      <c r="D1" s="14">
        <v>89494.0</v>
      </c>
      <c r="E1" s="14">
        <v>0.9325876595079</v>
      </c>
      <c r="F1" s="14">
        <v>0.338391400540818</v>
      </c>
      <c r="G1" s="14">
        <v>0.273236194605224</v>
      </c>
      <c r="H1" s="14">
        <v>0.23497176089023</v>
      </c>
      <c r="I1" s="14">
        <v>0.208868079181684</v>
      </c>
      <c r="J1" s="14">
        <v>0.194611284524627</v>
      </c>
      <c r="K1" s="14">
        <v>0.178078478324711</v>
      </c>
      <c r="L1" s="14">
        <v>0.164886984515631</v>
      </c>
      <c r="M1" s="14">
        <v>0.159122677424853</v>
      </c>
      <c r="N1" s="14">
        <v>0.15346038114343</v>
      </c>
      <c r="O1" s="14">
        <v>0.130258507173054</v>
      </c>
      <c r="P1" s="14">
        <v>0.104374340330714</v>
      </c>
      <c r="Q1" s="14">
        <v>0.0796052059119668</v>
      </c>
      <c r="R1" s="14">
        <v>0.0661949965642735</v>
      </c>
      <c r="S1" s="14">
        <v>0.0583791208791208</v>
      </c>
      <c r="T1" s="14">
        <v>0.0553020527078982</v>
      </c>
      <c r="U1" s="14">
        <v>0.0519607311384715</v>
      </c>
      <c r="V1" s="14">
        <v>0.0482482205790892</v>
      </c>
      <c r="W1" s="14">
        <v>0.0448050752651627</v>
      </c>
      <c r="X1" s="14">
        <v>0.0420158387329013</v>
      </c>
      <c r="Y1" s="14">
        <v>0.0400257475569079</v>
      </c>
      <c r="Z1" s="14">
        <v>0.0381533256165969</v>
      </c>
      <c r="AA1" s="14">
        <v>0.0362440947251226</v>
      </c>
      <c r="AB1" s="14">
        <v>0.0341172170098696</v>
      </c>
      <c r="AC1" s="14">
        <v>0.0319216230810769</v>
      </c>
      <c r="AD1" s="14">
        <v>0.0298850574712643</v>
      </c>
      <c r="AE1" s="14">
        <v>0.0280336341896166</v>
      </c>
      <c r="AF1" s="14">
        <v>0.0265524955642983</v>
      </c>
      <c r="AG1" s="14">
        <v>0.0245930725912211</v>
      </c>
      <c r="AH1" s="14">
        <v>0.0226182210907968</v>
      </c>
    </row>
    <row r="2">
      <c r="A2" s="1"/>
      <c r="B2" s="1" t="s">
        <v>0</v>
      </c>
      <c r="C2" s="13" t="s">
        <v>2</v>
      </c>
      <c r="D2" s="14">
        <v>576.0</v>
      </c>
      <c r="E2" s="14">
        <v>0.550347222222222</v>
      </c>
      <c r="F2" s="14">
        <v>0.310763888888888</v>
      </c>
      <c r="G2" s="14">
        <v>0.267361111111111</v>
      </c>
      <c r="H2" s="14">
        <v>0.274782608695652</v>
      </c>
      <c r="I2" s="14">
        <v>0.318181818181818</v>
      </c>
      <c r="J2" s="14">
        <v>0.286971830985915</v>
      </c>
      <c r="K2" s="14">
        <v>0.274822695035461</v>
      </c>
      <c r="L2" s="14">
        <v>0.263345195729537</v>
      </c>
      <c r="M2" s="14">
        <v>0.255813953488372</v>
      </c>
      <c r="N2" s="14">
        <v>0.251346499102333</v>
      </c>
      <c r="O2" s="14">
        <v>0.262295081967213</v>
      </c>
      <c r="P2" s="14">
        <v>0.260299625468164</v>
      </c>
      <c r="Q2" s="14">
        <v>0.226923076923076</v>
      </c>
      <c r="R2" s="14">
        <v>0.2109375</v>
      </c>
      <c r="S2" s="14">
        <v>0.178926441351888</v>
      </c>
      <c r="T2" s="14">
        <v>0.158008658008658</v>
      </c>
      <c r="U2" s="14">
        <v>0.138823529411764</v>
      </c>
      <c r="V2" s="14">
        <v>0.146529562982005</v>
      </c>
      <c r="W2" s="14">
        <v>0.13803680981595</v>
      </c>
      <c r="X2" s="14">
        <v>0.135531135531135</v>
      </c>
      <c r="Y2" s="14">
        <v>0.10958904109589</v>
      </c>
      <c r="Z2" s="14">
        <v>0.129870129870129</v>
      </c>
      <c r="AA2" s="14">
        <v>0.16867469879518</v>
      </c>
      <c r="AB2" s="14">
        <v>0.17391304347826</v>
      </c>
      <c r="AC2" s="14">
        <v>0.0</v>
      </c>
      <c r="AD2" s="14">
        <v>0.0</v>
      </c>
      <c r="AE2" s="14">
        <v>0.0</v>
      </c>
      <c r="AF2" s="14">
        <v>0.0</v>
      </c>
      <c r="AG2" s="14">
        <v>0.0</v>
      </c>
      <c r="AH2" s="14">
        <v>0.0</v>
      </c>
    </row>
    <row r="3">
      <c r="A3" s="1"/>
      <c r="B3" s="1" t="s">
        <v>0</v>
      </c>
      <c r="C3" s="13" t="s">
        <v>3</v>
      </c>
      <c r="D3" s="14">
        <v>36751.0</v>
      </c>
      <c r="E3" s="14">
        <v>0.83001823079644</v>
      </c>
      <c r="F3" s="14">
        <v>0.563113928872683</v>
      </c>
      <c r="G3" s="14">
        <v>0.517074365323392</v>
      </c>
      <c r="H3" s="14">
        <v>0.481791954711229</v>
      </c>
      <c r="I3" s="14">
        <v>0.461469338851976</v>
      </c>
      <c r="J3" s="14">
        <v>0.434455704478587</v>
      </c>
      <c r="K3" s="14">
        <v>0.417464082222403</v>
      </c>
      <c r="L3" s="14">
        <v>0.405478405587537</v>
      </c>
      <c r="M3" s="14">
        <v>0.396915517947318</v>
      </c>
      <c r="N3" s="14">
        <v>0.389450393356643</v>
      </c>
      <c r="O3" s="14">
        <v>0.364097085250931</v>
      </c>
      <c r="P3" s="14">
        <v>0.317704900021973</v>
      </c>
      <c r="Q3" s="14">
        <v>0.274610540271793</v>
      </c>
      <c r="R3" s="14">
        <v>0.245302366831106</v>
      </c>
      <c r="S3" s="14">
        <v>0.227383999109825</v>
      </c>
      <c r="T3" s="14">
        <v>0.210213339872486</v>
      </c>
      <c r="U3" s="14">
        <v>0.182972558377364</v>
      </c>
      <c r="V3" s="14">
        <v>0.171604938271604</v>
      </c>
      <c r="W3" s="14">
        <v>0.155935791144822</v>
      </c>
      <c r="X3" s="14">
        <v>0.142822025565388</v>
      </c>
      <c r="Y3" s="14">
        <v>0.144005143040822</v>
      </c>
      <c r="Z3" s="14">
        <v>0.139659803043867</v>
      </c>
      <c r="AA3" s="14">
        <v>0.132498352010547</v>
      </c>
      <c r="AB3" s="14">
        <v>0.126126126126126</v>
      </c>
      <c r="AC3" s="14">
        <v>0.109324758842443</v>
      </c>
      <c r="AD3" s="14">
        <v>0.104477611940298</v>
      </c>
      <c r="AE3" s="14">
        <v>0.0</v>
      </c>
      <c r="AF3" s="14">
        <v>0.0</v>
      </c>
      <c r="AG3" s="14">
        <v>0.0</v>
      </c>
      <c r="AH3" s="14">
        <v>0.0</v>
      </c>
    </row>
    <row r="4" ht="15.75" customHeight="1">
      <c r="A4" s="7" t="s">
        <v>4</v>
      </c>
      <c r="B4" s="7" t="s">
        <v>5</v>
      </c>
      <c r="C4" s="15" t="s">
        <v>6</v>
      </c>
      <c r="D4" s="9" t="s">
        <v>7</v>
      </c>
      <c r="E4" s="13" t="s">
        <v>8</v>
      </c>
      <c r="F4" s="13" t="s">
        <v>9</v>
      </c>
      <c r="G4" s="13" t="s">
        <v>10</v>
      </c>
      <c r="H4" s="13" t="s">
        <v>11</v>
      </c>
      <c r="I4" s="13" t="s">
        <v>12</v>
      </c>
      <c r="J4" s="13" t="s">
        <v>13</v>
      </c>
      <c r="K4" s="13" t="s">
        <v>14</v>
      </c>
      <c r="L4" s="13" t="s">
        <v>15</v>
      </c>
      <c r="M4" s="13" t="s">
        <v>16</v>
      </c>
      <c r="N4" s="13" t="s">
        <v>17</v>
      </c>
      <c r="O4" s="13" t="s">
        <v>18</v>
      </c>
      <c r="P4" s="13" t="s">
        <v>19</v>
      </c>
      <c r="Q4" s="13" t="s">
        <v>20</v>
      </c>
      <c r="R4" s="13" t="s">
        <v>21</v>
      </c>
      <c r="S4" s="13" t="s">
        <v>22</v>
      </c>
      <c r="T4" s="13" t="s">
        <v>23</v>
      </c>
      <c r="U4" s="13" t="s">
        <v>24</v>
      </c>
      <c r="V4" s="13" t="s">
        <v>25</v>
      </c>
      <c r="W4" s="13" t="s">
        <v>26</v>
      </c>
      <c r="X4" s="13" t="s">
        <v>27</v>
      </c>
      <c r="Y4" s="13" t="s">
        <v>33</v>
      </c>
      <c r="Z4" s="13" t="s">
        <v>28</v>
      </c>
      <c r="AA4" s="13" t="s">
        <v>34</v>
      </c>
      <c r="AB4" s="13" t="s">
        <v>29</v>
      </c>
      <c r="AC4" s="13" t="s">
        <v>35</v>
      </c>
      <c r="AD4" s="13" t="s">
        <v>30</v>
      </c>
      <c r="AE4" s="13" t="s">
        <v>36</v>
      </c>
      <c r="AF4" s="13" t="s">
        <v>31</v>
      </c>
      <c r="AG4" s="13" t="s">
        <v>37</v>
      </c>
      <c r="AH4" s="13" t="s">
        <v>32</v>
      </c>
    </row>
    <row r="5">
      <c r="A5" s="16" t="str">
        <f>IFERROR(__xludf.DUMMYFUNCTION("HSTACK(
  IMPORTRANGE(""https://docs.google.com/spreadsheets/d/1OLoRCn0B2mP-LizDOaFp_LsrXGtZR4ZKvHn3aia4TMo/edit?usp=sharing"",""'Nml US Female'!B5:B""),
  IMPORTRANGE(""https://docs.google.com/spreadsheets/d/1OLoRCn0B2mP-LizDOaFp_LsrXGtZR4ZKvHn3aia4TMo/e"&amp;"dit?usp=sharing"",""'Nml US Female'!C5:C""),
  IMPORTRANGE(""https://docs.google.com/spreadsheets/d/1OLoRCn0B2mP-LizDOaFp_LsrXGtZR4ZKvHn3aia4TMo/edit?usp=sharing"",""'Nml US Female'!E5:E""),
  IMPORTRANGE(""https://docs.google.com/spreadsheets/d/1OLoRCn0B"&amp;"2mP-LizDOaFp_LsrXGtZR4ZKvHn3aia4TMo/edit?usp=sharing"",""'Nml US Female'!AC5:AC""),
  IMPORTRANGE(""https://docs.google.com/spreadsheets/d/1OLoRCn0B2mP-LizDOaFp_LsrXGtZR4ZKvHn3aia4TMo/edit?usp=sharing"",""'Nml US Female'!AK5:BN"")
)"),"003c0c0b3759df17ce3f0b5feeeed123024f274d")</f>
        <v>003c0c0b3759df17ce3f0b5feeeed123024f274d</v>
      </c>
      <c r="B5" s="16" t="str">
        <f>IFERROR(__xludf.DUMMYFUNCTION("""COMPUTED_VALUE"""),"The Invictus Mage Returns")</f>
        <v>The Invictus Mage Returns</v>
      </c>
      <c r="C5" s="16" t="str">
        <f>IFERROR(__xludf.DUMMYFUNCTION("""COMPUTED_VALUE"""),"Fantasy")</f>
        <v>Fantasy</v>
      </c>
      <c r="D5" s="16">
        <f>IFERROR(__xludf.DUMMYFUNCTION("""COMPUTED_VALUE"""),161.0)</f>
        <v>161</v>
      </c>
      <c r="E5" s="16">
        <f>IFERROR(__xludf.DUMMYFUNCTION("""COMPUTED_VALUE"""),0.993788819875776)</f>
        <v>0.9937888199</v>
      </c>
      <c r="F5" s="16">
        <f>IFERROR(__xludf.DUMMYFUNCTION("""COMPUTED_VALUE"""),0.745341614906832)</f>
        <v>0.7453416149</v>
      </c>
      <c r="G5" s="16">
        <f>IFERROR(__xludf.DUMMYFUNCTION("""COMPUTED_VALUE"""),0.683229813664596)</f>
        <v>0.6832298137</v>
      </c>
      <c r="H5" s="16">
        <f>IFERROR(__xludf.DUMMYFUNCTION("""COMPUTED_VALUE"""),0.633540372670807)</f>
        <v>0.6335403727</v>
      </c>
      <c r="I5" s="16">
        <f>IFERROR(__xludf.DUMMYFUNCTION("""COMPUTED_VALUE"""),0.577639751552795)</f>
        <v>0.5776397516</v>
      </c>
      <c r="J5" s="16">
        <f>IFERROR(__xludf.DUMMYFUNCTION("""COMPUTED_VALUE"""),0.521739130434782)</f>
        <v>0.5217391304</v>
      </c>
      <c r="K5" s="16">
        <f>IFERROR(__xludf.DUMMYFUNCTION("""COMPUTED_VALUE"""),0.496894409937888)</f>
        <v>0.4968944099</v>
      </c>
      <c r="L5" s="16">
        <f>IFERROR(__xludf.DUMMYFUNCTION("""COMPUTED_VALUE"""),0.484472049689441)</f>
        <v>0.4844720497</v>
      </c>
      <c r="M5" s="16">
        <f>IFERROR(__xludf.DUMMYFUNCTION("""COMPUTED_VALUE"""),0.46875)</f>
        <v>0.46875</v>
      </c>
      <c r="N5" s="16">
        <f>IFERROR(__xludf.DUMMYFUNCTION("""COMPUTED_VALUE"""),0.433962264150943)</f>
        <v>0.4339622642</v>
      </c>
      <c r="O5" s="16">
        <f>IFERROR(__xludf.DUMMYFUNCTION("""COMPUTED_VALUE"""),0.368421052631578)</f>
        <v>0.3684210526</v>
      </c>
      <c r="P5" s="16">
        <f>IFERROR(__xludf.DUMMYFUNCTION("""COMPUTED_VALUE"""),0.195804195804195)</f>
        <v>0.1958041958</v>
      </c>
      <c r="Q5" s="16">
        <f>IFERROR(__xludf.DUMMYFUNCTION("""COMPUTED_VALUE"""),0.0820895522388059)</f>
        <v>0.08208955224</v>
      </c>
      <c r="R5" s="16">
        <f>IFERROR(__xludf.DUMMYFUNCTION("""COMPUTED_VALUE"""),0.0)</f>
        <v>0</v>
      </c>
      <c r="S5" s="16">
        <f>IFERROR(__xludf.DUMMYFUNCTION("""COMPUTED_VALUE"""),0.0)</f>
        <v>0</v>
      </c>
      <c r="T5" s="16">
        <f>IFERROR(__xludf.DUMMYFUNCTION("""COMPUTED_VALUE"""),0.0)</f>
        <v>0</v>
      </c>
      <c r="U5" s="16">
        <f>IFERROR(__xludf.DUMMYFUNCTION("""COMPUTED_VALUE"""),0.0)</f>
        <v>0</v>
      </c>
      <c r="V5" s="16">
        <f>IFERROR(__xludf.DUMMYFUNCTION("""COMPUTED_VALUE"""),0.0)</f>
        <v>0</v>
      </c>
      <c r="W5" s="16">
        <f>IFERROR(__xludf.DUMMYFUNCTION("""COMPUTED_VALUE"""),0.0)</f>
        <v>0</v>
      </c>
      <c r="X5" s="16">
        <f>IFERROR(__xludf.DUMMYFUNCTION("""COMPUTED_VALUE"""),0.0)</f>
        <v>0</v>
      </c>
      <c r="Y5" s="16">
        <f>IFERROR(__xludf.DUMMYFUNCTION("""COMPUTED_VALUE"""),0.0)</f>
        <v>0</v>
      </c>
      <c r="Z5" s="16">
        <f>IFERROR(__xludf.DUMMYFUNCTION("""COMPUTED_VALUE"""),0.0)</f>
        <v>0</v>
      </c>
      <c r="AA5" s="16">
        <f>IFERROR(__xludf.DUMMYFUNCTION("""COMPUTED_VALUE"""),0.0)</f>
        <v>0</v>
      </c>
      <c r="AB5" s="16">
        <f>IFERROR(__xludf.DUMMYFUNCTION("""COMPUTED_VALUE"""),0.0)</f>
        <v>0</v>
      </c>
      <c r="AC5" s="16">
        <f>IFERROR(__xludf.DUMMYFUNCTION("""COMPUTED_VALUE"""),0.0)</f>
        <v>0</v>
      </c>
      <c r="AD5" s="16">
        <f>IFERROR(__xludf.DUMMYFUNCTION("""COMPUTED_VALUE"""),0.0)</f>
        <v>0</v>
      </c>
      <c r="AE5" s="16">
        <f>IFERROR(__xludf.DUMMYFUNCTION("""COMPUTED_VALUE"""),0.0)</f>
        <v>0</v>
      </c>
      <c r="AF5" s="16">
        <f>IFERROR(__xludf.DUMMYFUNCTION("""COMPUTED_VALUE"""),0.0)</f>
        <v>0</v>
      </c>
      <c r="AG5" s="16">
        <f>IFERROR(__xludf.DUMMYFUNCTION("""COMPUTED_VALUE"""),0.0)</f>
        <v>0</v>
      </c>
      <c r="AH5" s="16">
        <f>IFERROR(__xludf.DUMMYFUNCTION("""COMPUTED_VALUE"""),0.0)</f>
        <v>0</v>
      </c>
    </row>
    <row r="6">
      <c r="A6" s="16" t="str">
        <f>IFERROR(__xludf.DUMMYFUNCTION("""COMPUTED_VALUE"""),"01f367b494a414fb7c994e946bddd99820cc7e28")</f>
        <v>01f367b494a414fb7c994e946bddd99820cc7e28</v>
      </c>
      <c r="B6" s="16" t="str">
        <f>IFERROR(__xludf.DUMMYFUNCTION("""COMPUTED_VALUE"""),"The Dragon Prince’s Favor")</f>
        <v>The Dragon Prince’s Favor</v>
      </c>
      <c r="C6" s="16" t="str">
        <f>IFERROR(__xludf.DUMMYFUNCTION("""COMPUTED_VALUE"""),"Romantasy")</f>
        <v>Romantasy</v>
      </c>
      <c r="D6" s="16">
        <f>IFERROR(__xludf.DUMMYFUNCTION("""COMPUTED_VALUE"""),742.0)</f>
        <v>742</v>
      </c>
      <c r="E6" s="16">
        <f>IFERROR(__xludf.DUMMYFUNCTION("""COMPUTED_VALUE"""),0.967654986522911)</f>
        <v>0.9676549865</v>
      </c>
      <c r="F6" s="16">
        <f>IFERROR(__xludf.DUMMYFUNCTION("""COMPUTED_VALUE"""),0.566037735849056)</f>
        <v>0.5660377358</v>
      </c>
      <c r="G6" s="16">
        <f>IFERROR(__xludf.DUMMYFUNCTION("""COMPUTED_VALUE"""),0.455525606469002)</f>
        <v>0.4555256065</v>
      </c>
      <c r="H6" s="16">
        <f>IFERROR(__xludf.DUMMYFUNCTION("""COMPUTED_VALUE"""),0.417567567567567)</f>
        <v>0.4175675676</v>
      </c>
      <c r="I6" s="16">
        <f>IFERROR(__xludf.DUMMYFUNCTION("""COMPUTED_VALUE"""),0.37584803256445)</f>
        <v>0.3758480326</v>
      </c>
      <c r="J6" s="16">
        <f>IFERROR(__xludf.DUMMYFUNCTION("""COMPUTED_VALUE"""),0.35558583106267)</f>
        <v>0.3555858311</v>
      </c>
      <c r="K6" s="16">
        <f>IFERROR(__xludf.DUMMYFUNCTION("""COMPUTED_VALUE"""),0.327372764786795)</f>
        <v>0.3273727648</v>
      </c>
      <c r="L6" s="16">
        <f>IFERROR(__xludf.DUMMYFUNCTION("""COMPUTED_VALUE"""),0.316970546984572)</f>
        <v>0.316970547</v>
      </c>
      <c r="M6" s="16">
        <f>IFERROR(__xludf.DUMMYFUNCTION("""COMPUTED_VALUE"""),0.30246020260492)</f>
        <v>0.3024602026</v>
      </c>
      <c r="N6" s="16">
        <f>IFERROR(__xludf.DUMMYFUNCTION("""COMPUTED_VALUE"""),0.276627218934911)</f>
        <v>0.2766272189</v>
      </c>
      <c r="O6" s="16">
        <f>IFERROR(__xludf.DUMMYFUNCTION("""COMPUTED_VALUE"""),0.237704918032786)</f>
        <v>0.237704918</v>
      </c>
      <c r="P6" s="16">
        <f>IFERROR(__xludf.DUMMYFUNCTION("""COMPUTED_VALUE"""),0.263888888888888)</f>
        <v>0.2638888889</v>
      </c>
      <c r="Q6" s="16">
        <f>IFERROR(__xludf.DUMMYFUNCTION("""COMPUTED_VALUE"""),0.105263157894736)</f>
        <v>0.1052631579</v>
      </c>
      <c r="R6" s="16">
        <f>IFERROR(__xludf.DUMMYFUNCTION("""COMPUTED_VALUE"""),0.0)</f>
        <v>0</v>
      </c>
      <c r="S6" s="16">
        <f>IFERROR(__xludf.DUMMYFUNCTION("""COMPUTED_VALUE"""),0.0)</f>
        <v>0</v>
      </c>
      <c r="T6" s="16">
        <f>IFERROR(__xludf.DUMMYFUNCTION("""COMPUTED_VALUE"""),0.0)</f>
        <v>0</v>
      </c>
      <c r="U6" s="16">
        <f>IFERROR(__xludf.DUMMYFUNCTION("""COMPUTED_VALUE"""),0.0)</f>
        <v>0</v>
      </c>
      <c r="V6" s="16">
        <f>IFERROR(__xludf.DUMMYFUNCTION("""COMPUTED_VALUE"""),0.0)</f>
        <v>0</v>
      </c>
      <c r="W6" s="16">
        <f>IFERROR(__xludf.DUMMYFUNCTION("""COMPUTED_VALUE"""),0.0)</f>
        <v>0</v>
      </c>
      <c r="X6" s="16">
        <f>IFERROR(__xludf.DUMMYFUNCTION("""COMPUTED_VALUE"""),0.0)</f>
        <v>0</v>
      </c>
      <c r="Y6" s="16">
        <f>IFERROR(__xludf.DUMMYFUNCTION("""COMPUTED_VALUE"""),0.0)</f>
        <v>0</v>
      </c>
      <c r="Z6" s="16">
        <f>IFERROR(__xludf.DUMMYFUNCTION("""COMPUTED_VALUE"""),0.0)</f>
        <v>0</v>
      </c>
      <c r="AA6" s="16">
        <f>IFERROR(__xludf.DUMMYFUNCTION("""COMPUTED_VALUE"""),0.0)</f>
        <v>0</v>
      </c>
      <c r="AB6" s="16">
        <f>IFERROR(__xludf.DUMMYFUNCTION("""COMPUTED_VALUE"""),0.0)</f>
        <v>0</v>
      </c>
      <c r="AC6" s="16">
        <f>IFERROR(__xludf.DUMMYFUNCTION("""COMPUTED_VALUE"""),0.0)</f>
        <v>0</v>
      </c>
      <c r="AD6" s="16">
        <f>IFERROR(__xludf.DUMMYFUNCTION("""COMPUTED_VALUE"""),0.0)</f>
        <v>0</v>
      </c>
      <c r="AE6" s="16">
        <f>IFERROR(__xludf.DUMMYFUNCTION("""COMPUTED_VALUE"""),0.0)</f>
        <v>0</v>
      </c>
      <c r="AF6" s="16">
        <f>IFERROR(__xludf.DUMMYFUNCTION("""COMPUTED_VALUE"""),0.0)</f>
        <v>0</v>
      </c>
      <c r="AG6" s="16">
        <f>IFERROR(__xludf.DUMMYFUNCTION("""COMPUTED_VALUE"""),0.0)</f>
        <v>0</v>
      </c>
      <c r="AH6" s="16">
        <f>IFERROR(__xludf.DUMMYFUNCTION("""COMPUTED_VALUE"""),0.0)</f>
        <v>0</v>
      </c>
    </row>
    <row r="7">
      <c r="A7" s="16" t="str">
        <f>IFERROR(__xludf.DUMMYFUNCTION("""COMPUTED_VALUE"""),"03488a9bdecaf176a7a11138160e470f361ce803")</f>
        <v>03488a9bdecaf176a7a11138160e470f361ce803</v>
      </c>
      <c r="B7" s="16" t="str">
        <f>IFERROR(__xludf.DUMMYFUNCTION("""COMPUTED_VALUE"""),"Reborn to Be His Wife")</f>
        <v>Reborn to Be His Wife</v>
      </c>
      <c r="C7" s="16" t="str">
        <f>IFERROR(__xludf.DUMMYFUNCTION("""COMPUTED_VALUE"""),"Romantasy")</f>
        <v>Romantasy</v>
      </c>
      <c r="D7" s="16">
        <f>IFERROR(__xludf.DUMMYFUNCTION("""COMPUTED_VALUE"""),931.0)</f>
        <v>931</v>
      </c>
      <c r="E7" s="16">
        <f>IFERROR(__xludf.DUMMYFUNCTION("""COMPUTED_VALUE"""),0.960257787325456)</f>
        <v>0.9602577873</v>
      </c>
      <c r="F7" s="16">
        <f>IFERROR(__xludf.DUMMYFUNCTION("""COMPUTED_VALUE"""),0.476906552094522)</f>
        <v>0.4769065521</v>
      </c>
      <c r="G7" s="16">
        <f>IFERROR(__xludf.DUMMYFUNCTION("""COMPUTED_VALUE"""),0.417830290010741)</f>
        <v>0.41783029</v>
      </c>
      <c r="H7" s="16">
        <f>IFERROR(__xludf.DUMMYFUNCTION("""COMPUTED_VALUE"""),0.348012889366272)</f>
        <v>0.3480128894</v>
      </c>
      <c r="I7" s="16">
        <f>IFERROR(__xludf.DUMMYFUNCTION("""COMPUTED_VALUE"""),0.30719656283566)</f>
        <v>0.3071965628</v>
      </c>
      <c r="J7" s="16">
        <f>IFERROR(__xludf.DUMMYFUNCTION("""COMPUTED_VALUE"""),0.279269602577873)</f>
        <v>0.2792696026</v>
      </c>
      <c r="K7" s="16">
        <f>IFERROR(__xludf.DUMMYFUNCTION("""COMPUTED_VALUE"""),0.250537634408602)</f>
        <v>0.2505376344</v>
      </c>
      <c r="L7" s="16">
        <f>IFERROR(__xludf.DUMMYFUNCTION("""COMPUTED_VALUE"""),0.233333333333333)</f>
        <v>0.2333333333</v>
      </c>
      <c r="M7" s="16">
        <f>IFERROR(__xludf.DUMMYFUNCTION("""COMPUTED_VALUE"""),0.221505376344086)</f>
        <v>0.2215053763</v>
      </c>
      <c r="N7" s="16">
        <f>IFERROR(__xludf.DUMMYFUNCTION("""COMPUTED_VALUE"""),0.203663793103448)</f>
        <v>0.2036637931</v>
      </c>
      <c r="O7" s="16">
        <f>IFERROR(__xludf.DUMMYFUNCTION("""COMPUTED_VALUE"""),0.165651644336175)</f>
        <v>0.1656516443</v>
      </c>
      <c r="P7" s="16">
        <f>IFERROR(__xludf.DUMMYFUNCTION("""COMPUTED_VALUE"""),0.15032679738562)</f>
        <v>0.1503267974</v>
      </c>
      <c r="Q7" s="16">
        <f>IFERROR(__xludf.DUMMYFUNCTION("""COMPUTED_VALUE"""),0.105939004815409)</f>
        <v>0.1059390048</v>
      </c>
      <c r="R7" s="16">
        <f>IFERROR(__xludf.DUMMYFUNCTION("""COMPUTED_VALUE"""),0.0987261146496815)</f>
        <v>0.09872611465</v>
      </c>
      <c r="S7" s="16">
        <f>IFERROR(__xludf.DUMMYFUNCTION("""COMPUTED_VALUE"""),0.090566037735849)</f>
        <v>0.09056603774</v>
      </c>
      <c r="T7" s="16">
        <f>IFERROR(__xludf.DUMMYFUNCTION("""COMPUTED_VALUE"""),0.080168776371308)</f>
        <v>0.08016877637</v>
      </c>
      <c r="U7" s="16">
        <f>IFERROR(__xludf.DUMMYFUNCTION("""COMPUTED_VALUE"""),0.0)</f>
        <v>0</v>
      </c>
      <c r="V7" s="16">
        <f>IFERROR(__xludf.DUMMYFUNCTION("""COMPUTED_VALUE"""),0.0)</f>
        <v>0</v>
      </c>
      <c r="W7" s="16">
        <f>IFERROR(__xludf.DUMMYFUNCTION("""COMPUTED_VALUE"""),0.0)</f>
        <v>0</v>
      </c>
      <c r="X7" s="16">
        <f>IFERROR(__xludf.DUMMYFUNCTION("""COMPUTED_VALUE"""),0.0)</f>
        <v>0</v>
      </c>
      <c r="Y7" s="16">
        <f>IFERROR(__xludf.DUMMYFUNCTION("""COMPUTED_VALUE"""),0.0)</f>
        <v>0</v>
      </c>
      <c r="Z7" s="16">
        <f>IFERROR(__xludf.DUMMYFUNCTION("""COMPUTED_VALUE"""),0.0)</f>
        <v>0</v>
      </c>
      <c r="AA7" s="16">
        <f>IFERROR(__xludf.DUMMYFUNCTION("""COMPUTED_VALUE"""),0.0)</f>
        <v>0</v>
      </c>
      <c r="AB7" s="16">
        <f>IFERROR(__xludf.DUMMYFUNCTION("""COMPUTED_VALUE"""),0.0)</f>
        <v>0</v>
      </c>
      <c r="AC7" s="16">
        <f>IFERROR(__xludf.DUMMYFUNCTION("""COMPUTED_VALUE"""),0.0)</f>
        <v>0</v>
      </c>
      <c r="AD7" s="16">
        <f>IFERROR(__xludf.DUMMYFUNCTION("""COMPUTED_VALUE"""),0.0)</f>
        <v>0</v>
      </c>
      <c r="AE7" s="16">
        <f>IFERROR(__xludf.DUMMYFUNCTION("""COMPUTED_VALUE"""),0.0)</f>
        <v>0</v>
      </c>
      <c r="AF7" s="16">
        <f>IFERROR(__xludf.DUMMYFUNCTION("""COMPUTED_VALUE"""),0.0)</f>
        <v>0</v>
      </c>
      <c r="AG7" s="16">
        <f>IFERROR(__xludf.DUMMYFUNCTION("""COMPUTED_VALUE"""),0.0)</f>
        <v>0</v>
      </c>
      <c r="AH7" s="16">
        <f>IFERROR(__xludf.DUMMYFUNCTION("""COMPUTED_VALUE"""),0.0)</f>
        <v>0</v>
      </c>
    </row>
    <row r="8">
      <c r="A8" s="16" t="str">
        <f>IFERROR(__xludf.DUMMYFUNCTION("""COMPUTED_VALUE"""),"0433315d89000a02178e5d4fb75f31de3d906cff")</f>
        <v>0433315d89000a02178e5d4fb75f31de3d906cff</v>
      </c>
      <c r="B8" s="16" t="str">
        <f>IFERROR(__xludf.DUMMYFUNCTION("""COMPUTED_VALUE"""),"Billionaire Secret Babies")</f>
        <v>Billionaire Secret Babies</v>
      </c>
      <c r="C8" s="16" t="str">
        <f>IFERROR(__xludf.DUMMYFUNCTION("""COMPUTED_VALUE"""),"Romance")</f>
        <v>Romance</v>
      </c>
      <c r="D8" s="16">
        <f>IFERROR(__xludf.DUMMYFUNCTION("""COMPUTED_VALUE"""),553.0)</f>
        <v>553</v>
      </c>
      <c r="E8" s="16">
        <f>IFERROR(__xludf.DUMMYFUNCTION("""COMPUTED_VALUE"""),0.855334538878842)</f>
        <v>0.8553345389</v>
      </c>
      <c r="F8" s="16">
        <f>IFERROR(__xludf.DUMMYFUNCTION("""COMPUTED_VALUE"""),0.531645569620253)</f>
        <v>0.5316455696</v>
      </c>
      <c r="G8" s="16">
        <f>IFERROR(__xludf.DUMMYFUNCTION("""COMPUTED_VALUE"""),0.428571428571428)</f>
        <v>0.4285714286</v>
      </c>
      <c r="H8" s="16">
        <f>IFERROR(__xludf.DUMMYFUNCTION("""COMPUTED_VALUE"""),0.392405063291139)</f>
        <v>0.3924050633</v>
      </c>
      <c r="I8" s="16">
        <f>IFERROR(__xludf.DUMMYFUNCTION("""COMPUTED_VALUE"""),0.385171790235081)</f>
        <v>0.3851717902</v>
      </c>
      <c r="J8" s="16">
        <f>IFERROR(__xludf.DUMMYFUNCTION("""COMPUTED_VALUE"""),0.345388788426763)</f>
        <v>0.3453887884</v>
      </c>
      <c r="K8" s="16">
        <f>IFERROR(__xludf.DUMMYFUNCTION("""COMPUTED_VALUE"""),0.334538878842676)</f>
        <v>0.3345388788</v>
      </c>
      <c r="L8" s="16">
        <f>IFERROR(__xludf.DUMMYFUNCTION("""COMPUTED_VALUE"""),0.332730560578661)</f>
        <v>0.3327305606</v>
      </c>
      <c r="M8" s="16">
        <f>IFERROR(__xludf.DUMMYFUNCTION("""COMPUTED_VALUE"""),0.325497287522604)</f>
        <v>0.3254972875</v>
      </c>
      <c r="N8" s="16">
        <f>IFERROR(__xludf.DUMMYFUNCTION("""COMPUTED_VALUE"""),0.316455696202531)</f>
        <v>0.3164556962</v>
      </c>
      <c r="O8" s="16">
        <f>IFERROR(__xludf.DUMMYFUNCTION("""COMPUTED_VALUE"""),0.292947558770343)</f>
        <v>0.2929475588</v>
      </c>
      <c r="P8" s="16">
        <f>IFERROR(__xludf.DUMMYFUNCTION("""COMPUTED_VALUE"""),0.251811594202898)</f>
        <v>0.2518115942</v>
      </c>
      <c r="Q8" s="16">
        <f>IFERROR(__xludf.DUMMYFUNCTION("""COMPUTED_VALUE"""),0.199637023593466)</f>
        <v>0.1996370236</v>
      </c>
      <c r="R8" s="16">
        <f>IFERROR(__xludf.DUMMYFUNCTION("""COMPUTED_VALUE"""),0.0)</f>
        <v>0</v>
      </c>
      <c r="S8" s="16">
        <f>IFERROR(__xludf.DUMMYFUNCTION("""COMPUTED_VALUE"""),0.0)</f>
        <v>0</v>
      </c>
      <c r="T8" s="16">
        <f>IFERROR(__xludf.DUMMYFUNCTION("""COMPUTED_VALUE"""),0.0)</f>
        <v>0</v>
      </c>
      <c r="U8" s="16">
        <f>IFERROR(__xludf.DUMMYFUNCTION("""COMPUTED_VALUE"""),0.0)</f>
        <v>0</v>
      </c>
      <c r="V8" s="16">
        <f>IFERROR(__xludf.DUMMYFUNCTION("""COMPUTED_VALUE"""),0.0)</f>
        <v>0</v>
      </c>
      <c r="W8" s="16">
        <f>IFERROR(__xludf.DUMMYFUNCTION("""COMPUTED_VALUE"""),0.0)</f>
        <v>0</v>
      </c>
      <c r="X8" s="16">
        <f>IFERROR(__xludf.DUMMYFUNCTION("""COMPUTED_VALUE"""),0.0)</f>
        <v>0</v>
      </c>
      <c r="Y8" s="16">
        <f>IFERROR(__xludf.DUMMYFUNCTION("""COMPUTED_VALUE"""),0.0)</f>
        <v>0</v>
      </c>
      <c r="Z8" s="16">
        <f>IFERROR(__xludf.DUMMYFUNCTION("""COMPUTED_VALUE"""),0.0)</f>
        <v>0</v>
      </c>
      <c r="AA8" s="16">
        <f>IFERROR(__xludf.DUMMYFUNCTION("""COMPUTED_VALUE"""),0.0)</f>
        <v>0</v>
      </c>
      <c r="AB8" s="16">
        <f>IFERROR(__xludf.DUMMYFUNCTION("""COMPUTED_VALUE"""),0.0)</f>
        <v>0</v>
      </c>
      <c r="AC8" s="16">
        <f>IFERROR(__xludf.DUMMYFUNCTION("""COMPUTED_VALUE"""),0.0)</f>
        <v>0</v>
      </c>
      <c r="AD8" s="16">
        <f>IFERROR(__xludf.DUMMYFUNCTION("""COMPUTED_VALUE"""),0.0)</f>
        <v>0</v>
      </c>
      <c r="AE8" s="16">
        <f>IFERROR(__xludf.DUMMYFUNCTION("""COMPUTED_VALUE"""),0.0)</f>
        <v>0</v>
      </c>
      <c r="AF8" s="16">
        <f>IFERROR(__xludf.DUMMYFUNCTION("""COMPUTED_VALUE"""),0.0)</f>
        <v>0</v>
      </c>
      <c r="AG8" s="16">
        <f>IFERROR(__xludf.DUMMYFUNCTION("""COMPUTED_VALUE"""),0.0)</f>
        <v>0</v>
      </c>
      <c r="AH8" s="16">
        <f>IFERROR(__xludf.DUMMYFUNCTION("""COMPUTED_VALUE"""),0.0)</f>
        <v>0</v>
      </c>
    </row>
    <row r="9">
      <c r="A9" s="16" t="str">
        <f>IFERROR(__xludf.DUMMYFUNCTION("""COMPUTED_VALUE"""),"048b7efb083246fe7c75b60c3bccf0e015f15e03")</f>
        <v>048b7efb083246fe7c75b60c3bccf0e015f15e03</v>
      </c>
      <c r="B9" s="16" t="str">
        <f>IFERROR(__xludf.DUMMYFUNCTION("""COMPUTED_VALUE"""),"Veterinarian Beast Master")</f>
        <v>Veterinarian Beast Master</v>
      </c>
      <c r="C9" s="16" t="str">
        <f>IFERROR(__xludf.DUMMYFUNCTION("""COMPUTED_VALUE"""),"Fantasy")</f>
        <v>Fantasy</v>
      </c>
      <c r="D9" s="16">
        <f>IFERROR(__xludf.DUMMYFUNCTION("""COMPUTED_VALUE"""),58.0)</f>
        <v>58</v>
      </c>
      <c r="E9" s="16">
        <f>IFERROR(__xludf.DUMMYFUNCTION("""COMPUTED_VALUE"""),0.982758620689655)</f>
        <v>0.9827586207</v>
      </c>
      <c r="F9" s="16">
        <f>IFERROR(__xludf.DUMMYFUNCTION("""COMPUTED_VALUE"""),0.586206896551724)</f>
        <v>0.5862068966</v>
      </c>
      <c r="G9" s="16">
        <f>IFERROR(__xludf.DUMMYFUNCTION("""COMPUTED_VALUE"""),0.46551724137931)</f>
        <v>0.4655172414</v>
      </c>
      <c r="H9" s="16">
        <f>IFERROR(__xludf.DUMMYFUNCTION("""COMPUTED_VALUE"""),0.43103448275862)</f>
        <v>0.4310344828</v>
      </c>
      <c r="I9" s="16">
        <f>IFERROR(__xludf.DUMMYFUNCTION("""COMPUTED_VALUE"""),0.413793103448275)</f>
        <v>0.4137931034</v>
      </c>
      <c r="J9" s="16">
        <f>IFERROR(__xludf.DUMMYFUNCTION("""COMPUTED_VALUE"""),0.396551724137931)</f>
        <v>0.3965517241</v>
      </c>
      <c r="K9" s="16">
        <f>IFERROR(__xludf.DUMMYFUNCTION("""COMPUTED_VALUE"""),0.368421052631578)</f>
        <v>0.3684210526</v>
      </c>
      <c r="L9" s="16">
        <f>IFERROR(__xludf.DUMMYFUNCTION("""COMPUTED_VALUE"""),0.333333333333333)</f>
        <v>0.3333333333</v>
      </c>
      <c r="M9" s="16">
        <f>IFERROR(__xludf.DUMMYFUNCTION("""COMPUTED_VALUE"""),0.333333333333333)</f>
        <v>0.3333333333</v>
      </c>
      <c r="N9" s="16">
        <f>IFERROR(__xludf.DUMMYFUNCTION("""COMPUTED_VALUE"""),0.309090909090909)</f>
        <v>0.3090909091</v>
      </c>
      <c r="O9" s="16">
        <f>IFERROR(__xludf.DUMMYFUNCTION("""COMPUTED_VALUE"""),0.232558139534883)</f>
        <v>0.2325581395</v>
      </c>
      <c r="P9" s="16">
        <f>IFERROR(__xludf.DUMMYFUNCTION("""COMPUTED_VALUE"""),0.166666666666666)</f>
        <v>0.1666666667</v>
      </c>
      <c r="Q9" s="16">
        <f>IFERROR(__xludf.DUMMYFUNCTION("""COMPUTED_VALUE"""),0.1)</f>
        <v>0.1</v>
      </c>
      <c r="R9" s="16">
        <f>IFERROR(__xludf.DUMMYFUNCTION("""COMPUTED_VALUE"""),0.142857142857142)</f>
        <v>0.1428571429</v>
      </c>
      <c r="S9" s="16">
        <f>IFERROR(__xludf.DUMMYFUNCTION("""COMPUTED_VALUE"""),0.5)</f>
        <v>0.5</v>
      </c>
      <c r="T9" s="16">
        <f>IFERROR(__xludf.DUMMYFUNCTION("""COMPUTED_VALUE"""),0.0)</f>
        <v>0</v>
      </c>
      <c r="U9" s="16">
        <f>IFERROR(__xludf.DUMMYFUNCTION("""COMPUTED_VALUE"""),0.0)</f>
        <v>0</v>
      </c>
      <c r="V9" s="16">
        <f>IFERROR(__xludf.DUMMYFUNCTION("""COMPUTED_VALUE"""),0.0)</f>
        <v>0</v>
      </c>
      <c r="W9" s="16">
        <f>IFERROR(__xludf.DUMMYFUNCTION("""COMPUTED_VALUE"""),0.0)</f>
        <v>0</v>
      </c>
      <c r="X9" s="16">
        <f>IFERROR(__xludf.DUMMYFUNCTION("""COMPUTED_VALUE"""),0.0)</f>
        <v>0</v>
      </c>
      <c r="Y9" s="16">
        <f>IFERROR(__xludf.DUMMYFUNCTION("""COMPUTED_VALUE"""),0.0)</f>
        <v>0</v>
      </c>
      <c r="Z9" s="16">
        <f>IFERROR(__xludf.DUMMYFUNCTION("""COMPUTED_VALUE"""),0.0)</f>
        <v>0</v>
      </c>
      <c r="AA9" s="16">
        <f>IFERROR(__xludf.DUMMYFUNCTION("""COMPUTED_VALUE"""),0.0)</f>
        <v>0</v>
      </c>
      <c r="AB9" s="16">
        <f>IFERROR(__xludf.DUMMYFUNCTION("""COMPUTED_VALUE"""),0.0)</f>
        <v>0</v>
      </c>
      <c r="AC9" s="16">
        <f>IFERROR(__xludf.DUMMYFUNCTION("""COMPUTED_VALUE"""),0.0)</f>
        <v>0</v>
      </c>
      <c r="AD9" s="16">
        <f>IFERROR(__xludf.DUMMYFUNCTION("""COMPUTED_VALUE"""),0.0)</f>
        <v>0</v>
      </c>
      <c r="AE9" s="16">
        <f>IFERROR(__xludf.DUMMYFUNCTION("""COMPUTED_VALUE"""),0.0)</f>
        <v>0</v>
      </c>
      <c r="AF9" s="16">
        <f>IFERROR(__xludf.DUMMYFUNCTION("""COMPUTED_VALUE"""),0.0)</f>
        <v>0</v>
      </c>
      <c r="AG9" s="16">
        <f>IFERROR(__xludf.DUMMYFUNCTION("""COMPUTED_VALUE"""),0.0)</f>
        <v>0</v>
      </c>
      <c r="AH9" s="16">
        <f>IFERROR(__xludf.DUMMYFUNCTION("""COMPUTED_VALUE"""),0.0)</f>
        <v>0</v>
      </c>
    </row>
    <row r="10">
      <c r="A10" s="16" t="str">
        <f>IFERROR(__xludf.DUMMYFUNCTION("""COMPUTED_VALUE"""),"05081ee1026b5a4754958dd34670379788a6d672")</f>
        <v>05081ee1026b5a4754958dd34670379788a6d672</v>
      </c>
      <c r="B10" s="16" t="str">
        <f>IFERROR(__xludf.DUMMYFUNCTION("""COMPUTED_VALUE"""),"Billionaire Prison Bride")</f>
        <v>Billionaire Prison Bride</v>
      </c>
      <c r="C10" s="16" t="str">
        <f>IFERROR(__xludf.DUMMYFUNCTION("""COMPUTED_VALUE"""),"Romance")</f>
        <v>Romance</v>
      </c>
      <c r="D10" s="16">
        <f>IFERROR(__xludf.DUMMYFUNCTION("""COMPUTED_VALUE"""),641.0)</f>
        <v>641</v>
      </c>
      <c r="E10" s="16">
        <f>IFERROR(__xludf.DUMMYFUNCTION("""COMPUTED_VALUE"""),0.957878315132605)</f>
        <v>0.9578783151</v>
      </c>
      <c r="F10" s="16">
        <f>IFERROR(__xludf.DUMMYFUNCTION("""COMPUTED_VALUE"""),0.684867394695787)</f>
        <v>0.6848673947</v>
      </c>
      <c r="G10" s="16">
        <f>IFERROR(__xludf.DUMMYFUNCTION("""COMPUTED_VALUE"""),0.6396255850234)</f>
        <v>0.639625585</v>
      </c>
      <c r="H10" s="16">
        <f>IFERROR(__xludf.DUMMYFUNCTION("""COMPUTED_VALUE"""),0.614664586583463)</f>
        <v>0.6146645866</v>
      </c>
      <c r="I10" s="16">
        <f>IFERROR(__xludf.DUMMYFUNCTION("""COMPUTED_VALUE"""),0.596875)</f>
        <v>0.596875</v>
      </c>
      <c r="J10" s="16">
        <f>IFERROR(__xludf.DUMMYFUNCTION("""COMPUTED_VALUE"""),0.582417582417582)</f>
        <v>0.5824175824</v>
      </c>
      <c r="K10" s="16">
        <f>IFERROR(__xludf.DUMMYFUNCTION("""COMPUTED_VALUE"""),0.548183254344391)</f>
        <v>0.5481832543</v>
      </c>
      <c r="L10" s="16">
        <f>IFERROR(__xludf.DUMMYFUNCTION("""COMPUTED_VALUE"""),0.510333863275039)</f>
        <v>0.5103338633</v>
      </c>
      <c r="M10" s="16">
        <f>IFERROR(__xludf.DUMMYFUNCTION("""COMPUTED_VALUE"""),0.488745980707395)</f>
        <v>0.4887459807</v>
      </c>
      <c r="N10" s="16">
        <f>IFERROR(__xludf.DUMMYFUNCTION("""COMPUTED_VALUE"""),0.473083197389885)</f>
        <v>0.4730831974</v>
      </c>
      <c r="O10" s="16">
        <f>IFERROR(__xludf.DUMMYFUNCTION("""COMPUTED_VALUE"""),0.377431906614786)</f>
        <v>0.3774319066</v>
      </c>
      <c r="P10" s="16">
        <f>IFERROR(__xludf.DUMMYFUNCTION("""COMPUTED_VALUE"""),0.328571428571428)</f>
        <v>0.3285714286</v>
      </c>
      <c r="Q10" s="16">
        <f>IFERROR(__xludf.DUMMYFUNCTION("""COMPUTED_VALUE"""),0.0)</f>
        <v>0</v>
      </c>
      <c r="R10" s="16">
        <f>IFERROR(__xludf.DUMMYFUNCTION("""COMPUTED_VALUE"""),0.0)</f>
        <v>0</v>
      </c>
      <c r="S10" s="16">
        <f>IFERROR(__xludf.DUMMYFUNCTION("""COMPUTED_VALUE"""),0.0)</f>
        <v>0</v>
      </c>
      <c r="T10" s="16">
        <f>IFERROR(__xludf.DUMMYFUNCTION("""COMPUTED_VALUE"""),0.0)</f>
        <v>0</v>
      </c>
      <c r="U10" s="16">
        <f>IFERROR(__xludf.DUMMYFUNCTION("""COMPUTED_VALUE"""),0.0)</f>
        <v>0</v>
      </c>
      <c r="V10" s="16">
        <f>IFERROR(__xludf.DUMMYFUNCTION("""COMPUTED_VALUE"""),0.0)</f>
        <v>0</v>
      </c>
      <c r="W10" s="16">
        <f>IFERROR(__xludf.DUMMYFUNCTION("""COMPUTED_VALUE"""),0.0)</f>
        <v>0</v>
      </c>
      <c r="X10" s="16">
        <f>IFERROR(__xludf.DUMMYFUNCTION("""COMPUTED_VALUE"""),0.0)</f>
        <v>0</v>
      </c>
      <c r="Y10" s="16">
        <f>IFERROR(__xludf.DUMMYFUNCTION("""COMPUTED_VALUE"""),0.0)</f>
        <v>0</v>
      </c>
      <c r="Z10" s="16">
        <f>IFERROR(__xludf.DUMMYFUNCTION("""COMPUTED_VALUE"""),0.0)</f>
        <v>0</v>
      </c>
      <c r="AA10" s="16">
        <f>IFERROR(__xludf.DUMMYFUNCTION("""COMPUTED_VALUE"""),0.0)</f>
        <v>0</v>
      </c>
      <c r="AB10" s="16">
        <f>IFERROR(__xludf.DUMMYFUNCTION("""COMPUTED_VALUE"""),0.0)</f>
        <v>0</v>
      </c>
      <c r="AC10" s="16">
        <f>IFERROR(__xludf.DUMMYFUNCTION("""COMPUTED_VALUE"""),0.0)</f>
        <v>0</v>
      </c>
      <c r="AD10" s="16">
        <f>IFERROR(__xludf.DUMMYFUNCTION("""COMPUTED_VALUE"""),0.0)</f>
        <v>0</v>
      </c>
      <c r="AE10" s="16">
        <f>IFERROR(__xludf.DUMMYFUNCTION("""COMPUTED_VALUE"""),0.0)</f>
        <v>0</v>
      </c>
      <c r="AF10" s="16">
        <f>IFERROR(__xludf.DUMMYFUNCTION("""COMPUTED_VALUE"""),0.0)</f>
        <v>0</v>
      </c>
      <c r="AG10" s="16">
        <f>IFERROR(__xludf.DUMMYFUNCTION("""COMPUTED_VALUE"""),0.0)</f>
        <v>0</v>
      </c>
      <c r="AH10" s="16">
        <f>IFERROR(__xludf.DUMMYFUNCTION("""COMPUTED_VALUE"""),0.0)</f>
        <v>0</v>
      </c>
    </row>
    <row r="11">
      <c r="A11" s="16" t="str">
        <f>IFERROR(__xludf.DUMMYFUNCTION("""COMPUTED_VALUE"""),"05808ad9143ee75794133fd50497137fea47e57b")</f>
        <v>05808ad9143ee75794133fd50497137fea47e57b</v>
      </c>
      <c r="B11" s="16" t="str">
        <f>IFERROR(__xludf.DUMMYFUNCTION("""COMPUTED_VALUE"""),"Infinity Stars")</f>
        <v>Infinity Stars</v>
      </c>
      <c r="C11" s="16" t="str">
        <f>IFERROR(__xludf.DUMMYFUNCTION("""COMPUTED_VALUE"""),"Fantasy")</f>
        <v>Fantasy</v>
      </c>
      <c r="D11" s="16">
        <f>IFERROR(__xludf.DUMMYFUNCTION("""COMPUTED_VALUE"""),279.0)</f>
        <v>279</v>
      </c>
      <c r="E11" s="16">
        <f>IFERROR(__xludf.DUMMYFUNCTION("""COMPUTED_VALUE"""),0.939068100358422)</f>
        <v>0.9390681004</v>
      </c>
      <c r="F11" s="16">
        <f>IFERROR(__xludf.DUMMYFUNCTION("""COMPUTED_VALUE"""),0.544802867383512)</f>
        <v>0.5448028674</v>
      </c>
      <c r="G11" s="16">
        <f>IFERROR(__xludf.DUMMYFUNCTION("""COMPUTED_VALUE"""),0.491039426523297)</f>
        <v>0.4910394265</v>
      </c>
      <c r="H11" s="16">
        <f>IFERROR(__xludf.DUMMYFUNCTION("""COMPUTED_VALUE"""),0.467153284671532)</f>
        <v>0.4671532847</v>
      </c>
      <c r="I11" s="16">
        <f>IFERROR(__xludf.DUMMYFUNCTION("""COMPUTED_VALUE"""),0.446969696969696)</f>
        <v>0.446969697</v>
      </c>
      <c r="J11" s="16">
        <f>IFERROR(__xludf.DUMMYFUNCTION("""COMPUTED_VALUE"""),0.437007874015748)</f>
        <v>0.437007874</v>
      </c>
      <c r="K11" s="16">
        <f>IFERROR(__xludf.DUMMYFUNCTION("""COMPUTED_VALUE"""),0.423868312757201)</f>
        <v>0.4238683128</v>
      </c>
      <c r="L11" s="16">
        <f>IFERROR(__xludf.DUMMYFUNCTION("""COMPUTED_VALUE"""),0.418103448275862)</f>
        <v>0.4181034483</v>
      </c>
      <c r="M11" s="16">
        <f>IFERROR(__xludf.DUMMYFUNCTION("""COMPUTED_VALUE"""),0.435555555555555)</f>
        <v>0.4355555556</v>
      </c>
      <c r="N11" s="16">
        <f>IFERROR(__xludf.DUMMYFUNCTION("""COMPUTED_VALUE"""),0.419047619047619)</f>
        <v>0.419047619</v>
      </c>
      <c r="O11" s="16">
        <f>IFERROR(__xludf.DUMMYFUNCTION("""COMPUTED_VALUE"""),0.415204678362573)</f>
        <v>0.4152046784</v>
      </c>
      <c r="P11" s="16">
        <f>IFERROR(__xludf.DUMMYFUNCTION("""COMPUTED_VALUE"""),0.380645161290322)</f>
        <v>0.3806451613</v>
      </c>
      <c r="Q11" s="16">
        <f>IFERROR(__xludf.DUMMYFUNCTION("""COMPUTED_VALUE"""),0.298245614035087)</f>
        <v>0.298245614</v>
      </c>
      <c r="R11" s="16">
        <f>IFERROR(__xludf.DUMMYFUNCTION("""COMPUTED_VALUE"""),0.266666666666666)</f>
        <v>0.2666666667</v>
      </c>
      <c r="S11" s="16">
        <f>IFERROR(__xludf.DUMMYFUNCTION("""COMPUTED_VALUE"""),0.169230769230769)</f>
        <v>0.1692307692</v>
      </c>
      <c r="T11" s="16">
        <f>IFERROR(__xludf.DUMMYFUNCTION("""COMPUTED_VALUE"""),0.0)</f>
        <v>0</v>
      </c>
      <c r="U11" s="16">
        <f>IFERROR(__xludf.DUMMYFUNCTION("""COMPUTED_VALUE"""),0.0)</f>
        <v>0</v>
      </c>
      <c r="V11" s="16">
        <f>IFERROR(__xludf.DUMMYFUNCTION("""COMPUTED_VALUE"""),0.0)</f>
        <v>0</v>
      </c>
      <c r="W11" s="16">
        <f>IFERROR(__xludf.DUMMYFUNCTION("""COMPUTED_VALUE"""),0.0)</f>
        <v>0</v>
      </c>
      <c r="X11" s="16">
        <f>IFERROR(__xludf.DUMMYFUNCTION("""COMPUTED_VALUE"""),0.0)</f>
        <v>0</v>
      </c>
      <c r="Y11" s="16">
        <f>IFERROR(__xludf.DUMMYFUNCTION("""COMPUTED_VALUE"""),0.0)</f>
        <v>0</v>
      </c>
      <c r="Z11" s="16">
        <f>IFERROR(__xludf.DUMMYFUNCTION("""COMPUTED_VALUE"""),0.0)</f>
        <v>0</v>
      </c>
      <c r="AA11" s="16">
        <f>IFERROR(__xludf.DUMMYFUNCTION("""COMPUTED_VALUE"""),0.0)</f>
        <v>0</v>
      </c>
      <c r="AB11" s="16">
        <f>IFERROR(__xludf.DUMMYFUNCTION("""COMPUTED_VALUE"""),0.0)</f>
        <v>0</v>
      </c>
      <c r="AC11" s="16">
        <f>IFERROR(__xludf.DUMMYFUNCTION("""COMPUTED_VALUE"""),0.0)</f>
        <v>0</v>
      </c>
      <c r="AD11" s="16">
        <f>IFERROR(__xludf.DUMMYFUNCTION("""COMPUTED_VALUE"""),0.0)</f>
        <v>0</v>
      </c>
      <c r="AE11" s="16">
        <f>IFERROR(__xludf.DUMMYFUNCTION("""COMPUTED_VALUE"""),0.0)</f>
        <v>0</v>
      </c>
      <c r="AF11" s="16">
        <f>IFERROR(__xludf.DUMMYFUNCTION("""COMPUTED_VALUE"""),0.0)</f>
        <v>0</v>
      </c>
      <c r="AG11" s="16">
        <f>IFERROR(__xludf.DUMMYFUNCTION("""COMPUTED_VALUE"""),0.0)</f>
        <v>0</v>
      </c>
      <c r="AH11" s="16">
        <f>IFERROR(__xludf.DUMMYFUNCTION("""COMPUTED_VALUE"""),0.0)</f>
        <v>0</v>
      </c>
    </row>
    <row r="12">
      <c r="A12" s="16" t="str">
        <f>IFERROR(__xludf.DUMMYFUNCTION("""COMPUTED_VALUE"""),"06f83c7bf7296efe61da1c2da6e5c12e8e7d4aa8")</f>
        <v>06f83c7bf7296efe61da1c2da6e5c12e8e7d4aa8</v>
      </c>
      <c r="B12" s="16" t="str">
        <f>IFERROR(__xludf.DUMMYFUNCTION("""COMPUTED_VALUE"""),"Sigil of the Seven")</f>
        <v>Sigil of the Seven</v>
      </c>
      <c r="C12" s="16" t="str">
        <f>IFERROR(__xludf.DUMMYFUNCTION("""COMPUTED_VALUE"""),"Fantasy")</f>
        <v>Fantasy</v>
      </c>
      <c r="D12" s="16">
        <f>IFERROR(__xludf.DUMMYFUNCTION("""COMPUTED_VALUE"""),1234.0)</f>
        <v>1234</v>
      </c>
      <c r="E12" s="16">
        <f>IFERROR(__xludf.DUMMYFUNCTION("""COMPUTED_VALUE"""),0.946515397082658)</f>
        <v>0.9465153971</v>
      </c>
      <c r="F12" s="16">
        <f>IFERROR(__xludf.DUMMYFUNCTION("""COMPUTED_VALUE"""),0.530794165316045)</f>
        <v>0.5307941653</v>
      </c>
      <c r="G12" s="16">
        <f>IFERROR(__xludf.DUMMYFUNCTION("""COMPUTED_VALUE"""),0.440842787682333)</f>
        <v>0.4408427877</v>
      </c>
      <c r="H12" s="16">
        <f>IFERROR(__xludf.DUMMYFUNCTION("""COMPUTED_VALUE"""),0.401299756295694)</f>
        <v>0.4012997563</v>
      </c>
      <c r="I12" s="16">
        <f>IFERROR(__xludf.DUMMYFUNCTION("""COMPUTED_VALUE"""),0.372645372645372)</f>
        <v>0.3726453726</v>
      </c>
      <c r="J12" s="16">
        <f>IFERROR(__xludf.DUMMYFUNCTION("""COMPUTED_VALUE"""),0.350617283950617)</f>
        <v>0.350617284</v>
      </c>
      <c r="K12" s="16">
        <f>IFERROR(__xludf.DUMMYFUNCTION("""COMPUTED_VALUE"""),0.333610648918469)</f>
        <v>0.3336106489</v>
      </c>
      <c r="L12" s="16">
        <f>IFERROR(__xludf.DUMMYFUNCTION("""COMPUTED_VALUE"""),0.321848739495798)</f>
        <v>0.3218487395</v>
      </c>
      <c r="M12" s="16">
        <f>IFERROR(__xludf.DUMMYFUNCTION("""COMPUTED_VALUE"""),0.311073541842772)</f>
        <v>0.3110735418</v>
      </c>
      <c r="N12" s="16">
        <f>IFERROR(__xludf.DUMMYFUNCTION("""COMPUTED_VALUE"""),0.310051107325383)</f>
        <v>0.3100511073</v>
      </c>
      <c r="O12" s="16">
        <f>IFERROR(__xludf.DUMMYFUNCTION("""COMPUTED_VALUE"""),0.288478452066842)</f>
        <v>0.2884784521</v>
      </c>
      <c r="P12" s="16">
        <f>IFERROR(__xludf.DUMMYFUNCTION("""COMPUTED_VALUE"""),0.269267364414843)</f>
        <v>0.2692673644</v>
      </c>
      <c r="Q12" s="16">
        <f>IFERROR(__xludf.DUMMYFUNCTION("""COMPUTED_VALUE"""),0.204522096608427)</f>
        <v>0.2045220966</v>
      </c>
      <c r="R12" s="16">
        <f>IFERROR(__xludf.DUMMYFUNCTION("""COMPUTED_VALUE"""),0.157662624035281)</f>
        <v>0.157662624</v>
      </c>
      <c r="S12" s="16">
        <f>IFERROR(__xludf.DUMMYFUNCTION("""COMPUTED_VALUE"""),0.126030624263839)</f>
        <v>0.1260306243</v>
      </c>
      <c r="T12" s="16">
        <f>IFERROR(__xludf.DUMMYFUNCTION("""COMPUTED_VALUE"""),0.0717628705148206)</f>
        <v>0.07176287051</v>
      </c>
      <c r="U12" s="16">
        <f>IFERROR(__xludf.DUMMYFUNCTION("""COMPUTED_VALUE"""),0.0504201680672268)</f>
        <v>0.05042016807</v>
      </c>
      <c r="V12" s="16">
        <f>IFERROR(__xludf.DUMMYFUNCTION("""COMPUTED_VALUE"""),0.0440835266821345)</f>
        <v>0.04408352668</v>
      </c>
      <c r="W12" s="16">
        <f>IFERROR(__xludf.DUMMYFUNCTION("""COMPUTED_VALUE"""),0.0417827298050139)</f>
        <v>0.04178272981</v>
      </c>
      <c r="X12" s="16">
        <f>IFERROR(__xludf.DUMMYFUNCTION("""COMPUTED_VALUE"""),0.0625)</f>
        <v>0.0625</v>
      </c>
      <c r="Y12" s="16">
        <f>IFERROR(__xludf.DUMMYFUNCTION("""COMPUTED_VALUE"""),0.032258064516129)</f>
        <v>0.03225806452</v>
      </c>
      <c r="Z12" s="16">
        <f>IFERROR(__xludf.DUMMYFUNCTION("""COMPUTED_VALUE"""),0.0)</f>
        <v>0</v>
      </c>
      <c r="AA12" s="16">
        <f>IFERROR(__xludf.DUMMYFUNCTION("""COMPUTED_VALUE"""),0.0)</f>
        <v>0</v>
      </c>
      <c r="AB12" s="16">
        <f>IFERROR(__xludf.DUMMYFUNCTION("""COMPUTED_VALUE"""),0.0)</f>
        <v>0</v>
      </c>
      <c r="AC12" s="16">
        <f>IFERROR(__xludf.DUMMYFUNCTION("""COMPUTED_VALUE"""),0.0)</f>
        <v>0</v>
      </c>
      <c r="AD12" s="16">
        <f>IFERROR(__xludf.DUMMYFUNCTION("""COMPUTED_VALUE"""),0.0)</f>
        <v>0</v>
      </c>
      <c r="AE12" s="16">
        <f>IFERROR(__xludf.DUMMYFUNCTION("""COMPUTED_VALUE"""),0.0)</f>
        <v>0</v>
      </c>
      <c r="AF12" s="16">
        <f>IFERROR(__xludf.DUMMYFUNCTION("""COMPUTED_VALUE"""),0.0)</f>
        <v>0</v>
      </c>
      <c r="AG12" s="16">
        <f>IFERROR(__xludf.DUMMYFUNCTION("""COMPUTED_VALUE"""),0.0)</f>
        <v>0</v>
      </c>
      <c r="AH12" s="16">
        <f>IFERROR(__xludf.DUMMYFUNCTION("""COMPUTED_VALUE"""),0.0)</f>
        <v>0</v>
      </c>
    </row>
    <row r="13">
      <c r="A13" s="16" t="str">
        <f>IFERROR(__xludf.DUMMYFUNCTION("""COMPUTED_VALUE"""),"0b07b41ff930aa13e98588f626eef70da51bb47e")</f>
        <v>0b07b41ff930aa13e98588f626eef70da51bb47e</v>
      </c>
      <c r="B13" s="16" t="str">
        <f>IFERROR(__xludf.DUMMYFUNCTION("""COMPUTED_VALUE"""),"Debtbound Between Worlds")</f>
        <v>Debtbound Between Worlds</v>
      </c>
      <c r="C13" s="16" t="str">
        <f>IFERROR(__xludf.DUMMYFUNCTION("""COMPUTED_VALUE"""),"Fantasy")</f>
        <v>Fantasy</v>
      </c>
      <c r="D13" s="16">
        <f>IFERROR(__xludf.DUMMYFUNCTION("""COMPUTED_VALUE"""),78.0)</f>
        <v>78</v>
      </c>
      <c r="E13" s="16">
        <f>IFERROR(__xludf.DUMMYFUNCTION("""COMPUTED_VALUE"""),0.974358974358974)</f>
        <v>0.9743589744</v>
      </c>
      <c r="F13" s="16">
        <f>IFERROR(__xludf.DUMMYFUNCTION("""COMPUTED_VALUE"""),0.41025641025641)</f>
        <v>0.4102564103</v>
      </c>
      <c r="G13" s="16">
        <f>IFERROR(__xludf.DUMMYFUNCTION("""COMPUTED_VALUE"""),0.333333333333333)</f>
        <v>0.3333333333</v>
      </c>
      <c r="H13" s="16">
        <f>IFERROR(__xludf.DUMMYFUNCTION("""COMPUTED_VALUE"""),0.294871794871794)</f>
        <v>0.2948717949</v>
      </c>
      <c r="I13" s="16">
        <f>IFERROR(__xludf.DUMMYFUNCTION("""COMPUTED_VALUE"""),0.243589743589743)</f>
        <v>0.2435897436</v>
      </c>
      <c r="J13" s="16">
        <f>IFERROR(__xludf.DUMMYFUNCTION("""COMPUTED_VALUE"""),0.23076923076923)</f>
        <v>0.2307692308</v>
      </c>
      <c r="K13" s="16">
        <f>IFERROR(__xludf.DUMMYFUNCTION("""COMPUTED_VALUE"""),0.23076923076923)</f>
        <v>0.2307692308</v>
      </c>
      <c r="L13" s="16">
        <f>IFERROR(__xludf.DUMMYFUNCTION("""COMPUTED_VALUE"""),0.23076923076923)</f>
        <v>0.2307692308</v>
      </c>
      <c r="M13" s="16">
        <f>IFERROR(__xludf.DUMMYFUNCTION("""COMPUTED_VALUE"""),0.217948717948717)</f>
        <v>0.2179487179</v>
      </c>
      <c r="N13" s="16">
        <f>IFERROR(__xludf.DUMMYFUNCTION("""COMPUTED_VALUE"""),0.217948717948717)</f>
        <v>0.2179487179</v>
      </c>
      <c r="O13" s="16">
        <f>IFERROR(__xludf.DUMMYFUNCTION("""COMPUTED_VALUE"""),0.154929577464788)</f>
        <v>0.1549295775</v>
      </c>
      <c r="P13" s="16">
        <f>IFERROR(__xludf.DUMMYFUNCTION("""COMPUTED_VALUE"""),0.155172413793103)</f>
        <v>0.1551724138</v>
      </c>
      <c r="Q13" s="16">
        <f>IFERROR(__xludf.DUMMYFUNCTION("""COMPUTED_VALUE"""),0.0)</f>
        <v>0</v>
      </c>
      <c r="R13" s="16">
        <f>IFERROR(__xludf.DUMMYFUNCTION("""COMPUTED_VALUE"""),0.0)</f>
        <v>0</v>
      </c>
      <c r="S13" s="16">
        <f>IFERROR(__xludf.DUMMYFUNCTION("""COMPUTED_VALUE"""),0.0)</f>
        <v>0</v>
      </c>
      <c r="T13" s="16">
        <f>IFERROR(__xludf.DUMMYFUNCTION("""COMPUTED_VALUE"""),0.0)</f>
        <v>0</v>
      </c>
      <c r="U13" s="16">
        <f>IFERROR(__xludf.DUMMYFUNCTION("""COMPUTED_VALUE"""),0.0)</f>
        <v>0</v>
      </c>
      <c r="V13" s="16">
        <f>IFERROR(__xludf.DUMMYFUNCTION("""COMPUTED_VALUE"""),0.0)</f>
        <v>0</v>
      </c>
      <c r="W13" s="16">
        <f>IFERROR(__xludf.DUMMYFUNCTION("""COMPUTED_VALUE"""),0.0)</f>
        <v>0</v>
      </c>
      <c r="X13" s="16">
        <f>IFERROR(__xludf.DUMMYFUNCTION("""COMPUTED_VALUE"""),0.0)</f>
        <v>0</v>
      </c>
      <c r="Y13" s="16">
        <f>IFERROR(__xludf.DUMMYFUNCTION("""COMPUTED_VALUE"""),0.0)</f>
        <v>0</v>
      </c>
      <c r="Z13" s="16">
        <f>IFERROR(__xludf.DUMMYFUNCTION("""COMPUTED_VALUE"""),0.0)</f>
        <v>0</v>
      </c>
      <c r="AA13" s="16">
        <f>IFERROR(__xludf.DUMMYFUNCTION("""COMPUTED_VALUE"""),0.0)</f>
        <v>0</v>
      </c>
      <c r="AB13" s="16">
        <f>IFERROR(__xludf.DUMMYFUNCTION("""COMPUTED_VALUE"""),0.0)</f>
        <v>0</v>
      </c>
      <c r="AC13" s="16">
        <f>IFERROR(__xludf.DUMMYFUNCTION("""COMPUTED_VALUE"""),0.0)</f>
        <v>0</v>
      </c>
      <c r="AD13" s="16">
        <f>IFERROR(__xludf.DUMMYFUNCTION("""COMPUTED_VALUE"""),0.0)</f>
        <v>0</v>
      </c>
      <c r="AE13" s="16">
        <f>IFERROR(__xludf.DUMMYFUNCTION("""COMPUTED_VALUE"""),0.0)</f>
        <v>0</v>
      </c>
      <c r="AF13" s="16">
        <f>IFERROR(__xludf.DUMMYFUNCTION("""COMPUTED_VALUE"""),0.0)</f>
        <v>0</v>
      </c>
      <c r="AG13" s="16">
        <f>IFERROR(__xludf.DUMMYFUNCTION("""COMPUTED_VALUE"""),0.0)</f>
        <v>0</v>
      </c>
      <c r="AH13" s="16">
        <f>IFERROR(__xludf.DUMMYFUNCTION("""COMPUTED_VALUE"""),0.0)</f>
        <v>0</v>
      </c>
    </row>
    <row r="14">
      <c r="A14" s="16" t="str">
        <f>IFERROR(__xludf.DUMMYFUNCTION("""COMPUTED_VALUE"""),"0b24baea319eafeca1995fb9b34e29d6ebfb9a50")</f>
        <v>0b24baea319eafeca1995fb9b34e29d6ebfb9a50</v>
      </c>
      <c r="B14" s="16" t="str">
        <f>IFERROR(__xludf.DUMMYFUNCTION("""COMPUTED_VALUE"""),"Rejected Bride Returns")</f>
        <v>Rejected Bride Returns</v>
      </c>
      <c r="C14" s="16" t="str">
        <f>IFERROR(__xludf.DUMMYFUNCTION("""COMPUTED_VALUE"""),"Romance")</f>
        <v>Romance</v>
      </c>
      <c r="D14" s="16">
        <f>IFERROR(__xludf.DUMMYFUNCTION("""COMPUTED_VALUE"""),552.0)</f>
        <v>552</v>
      </c>
      <c r="E14" s="16">
        <f>IFERROR(__xludf.DUMMYFUNCTION("""COMPUTED_VALUE"""),0.965579710144927)</f>
        <v>0.9655797101</v>
      </c>
      <c r="F14" s="16">
        <f>IFERROR(__xludf.DUMMYFUNCTION("""COMPUTED_VALUE"""),0.61231884057971)</f>
        <v>0.6123188406</v>
      </c>
      <c r="G14" s="16">
        <f>IFERROR(__xludf.DUMMYFUNCTION("""COMPUTED_VALUE"""),0.516304347826086)</f>
        <v>0.5163043478</v>
      </c>
      <c r="H14" s="16">
        <f>IFERROR(__xludf.DUMMYFUNCTION("""COMPUTED_VALUE"""),0.421052631578947)</f>
        <v>0.4210526316</v>
      </c>
      <c r="I14" s="16">
        <f>IFERROR(__xludf.DUMMYFUNCTION("""COMPUTED_VALUE"""),0.3502722323049)</f>
        <v>0.3502722323</v>
      </c>
      <c r="J14" s="16">
        <f>IFERROR(__xludf.DUMMYFUNCTION("""COMPUTED_VALUE"""),0.3)</f>
        <v>0.3</v>
      </c>
      <c r="K14" s="16">
        <f>IFERROR(__xludf.DUMMYFUNCTION("""COMPUTED_VALUE"""),0.259668508287292)</f>
        <v>0.2596685083</v>
      </c>
      <c r="L14" s="16">
        <f>IFERROR(__xludf.DUMMYFUNCTION("""COMPUTED_VALUE"""),0.210922787193973)</f>
        <v>0.2109227872</v>
      </c>
      <c r="M14" s="16">
        <f>IFERROR(__xludf.DUMMYFUNCTION("""COMPUTED_VALUE"""),0.163187855787476)</f>
        <v>0.1631878558</v>
      </c>
      <c r="N14" s="16">
        <f>IFERROR(__xludf.DUMMYFUNCTION("""COMPUTED_VALUE"""),0.136186770428015)</f>
        <v>0.1361867704</v>
      </c>
      <c r="O14" s="16">
        <f>IFERROR(__xludf.DUMMYFUNCTION("""COMPUTED_VALUE"""),0.0890804597701149)</f>
        <v>0.08908045977</v>
      </c>
      <c r="P14" s="16">
        <f>IFERROR(__xludf.DUMMYFUNCTION("""COMPUTED_VALUE"""),0.166666666666666)</f>
        <v>0.1666666667</v>
      </c>
      <c r="Q14" s="16">
        <f>IFERROR(__xludf.DUMMYFUNCTION("""COMPUTED_VALUE"""),0.0)</f>
        <v>0</v>
      </c>
      <c r="R14" s="16">
        <f>IFERROR(__xludf.DUMMYFUNCTION("""COMPUTED_VALUE"""),0.0)</f>
        <v>0</v>
      </c>
      <c r="S14" s="16">
        <f>IFERROR(__xludf.DUMMYFUNCTION("""COMPUTED_VALUE"""),0.0)</f>
        <v>0</v>
      </c>
      <c r="T14" s="16">
        <f>IFERROR(__xludf.DUMMYFUNCTION("""COMPUTED_VALUE"""),0.0)</f>
        <v>0</v>
      </c>
      <c r="U14" s="16">
        <f>IFERROR(__xludf.DUMMYFUNCTION("""COMPUTED_VALUE"""),0.0)</f>
        <v>0</v>
      </c>
      <c r="V14" s="16">
        <f>IFERROR(__xludf.DUMMYFUNCTION("""COMPUTED_VALUE"""),0.0)</f>
        <v>0</v>
      </c>
      <c r="W14" s="16">
        <f>IFERROR(__xludf.DUMMYFUNCTION("""COMPUTED_VALUE"""),0.0)</f>
        <v>0</v>
      </c>
      <c r="X14" s="16">
        <f>IFERROR(__xludf.DUMMYFUNCTION("""COMPUTED_VALUE"""),0.0)</f>
        <v>0</v>
      </c>
      <c r="Y14" s="16">
        <f>IFERROR(__xludf.DUMMYFUNCTION("""COMPUTED_VALUE"""),0.0)</f>
        <v>0</v>
      </c>
      <c r="Z14" s="16">
        <f>IFERROR(__xludf.DUMMYFUNCTION("""COMPUTED_VALUE"""),0.0)</f>
        <v>0</v>
      </c>
      <c r="AA14" s="16">
        <f>IFERROR(__xludf.DUMMYFUNCTION("""COMPUTED_VALUE"""),0.0)</f>
        <v>0</v>
      </c>
      <c r="AB14" s="16">
        <f>IFERROR(__xludf.DUMMYFUNCTION("""COMPUTED_VALUE"""),0.0)</f>
        <v>0</v>
      </c>
      <c r="AC14" s="16">
        <f>IFERROR(__xludf.DUMMYFUNCTION("""COMPUTED_VALUE"""),0.0)</f>
        <v>0</v>
      </c>
      <c r="AD14" s="16">
        <f>IFERROR(__xludf.DUMMYFUNCTION("""COMPUTED_VALUE"""),0.0)</f>
        <v>0</v>
      </c>
      <c r="AE14" s="16">
        <f>IFERROR(__xludf.DUMMYFUNCTION("""COMPUTED_VALUE"""),0.0)</f>
        <v>0</v>
      </c>
      <c r="AF14" s="16">
        <f>IFERROR(__xludf.DUMMYFUNCTION("""COMPUTED_VALUE"""),0.0)</f>
        <v>0</v>
      </c>
      <c r="AG14" s="16">
        <f>IFERROR(__xludf.DUMMYFUNCTION("""COMPUTED_VALUE"""),0.0)</f>
        <v>0</v>
      </c>
      <c r="AH14" s="16">
        <f>IFERROR(__xludf.DUMMYFUNCTION("""COMPUTED_VALUE"""),0.0)</f>
        <v>0</v>
      </c>
    </row>
    <row r="15">
      <c r="A15" s="16" t="str">
        <f>IFERROR(__xludf.DUMMYFUNCTION("""COMPUTED_VALUE"""),"0c7fa1a2b4bca0746ad0384d77796b98dd7d801c")</f>
        <v>0c7fa1a2b4bca0746ad0384d77796b98dd7d801c</v>
      </c>
      <c r="B15" s="16" t="str">
        <f>IFERROR(__xludf.DUMMYFUNCTION("""COMPUTED_VALUE"""),"Flash Marriage to My Ex’s Boss")</f>
        <v>Flash Marriage to My Ex’s Boss</v>
      </c>
      <c r="C15" s="16" t="str">
        <f>IFERROR(__xludf.DUMMYFUNCTION("""COMPUTED_VALUE"""),"Romance")</f>
        <v>Romance</v>
      </c>
      <c r="D15" s="16">
        <f>IFERROR(__xludf.DUMMYFUNCTION("""COMPUTED_VALUE"""),470.0)</f>
        <v>470</v>
      </c>
      <c r="E15" s="16">
        <f>IFERROR(__xludf.DUMMYFUNCTION("""COMPUTED_VALUE"""),0.9)</f>
        <v>0.9</v>
      </c>
      <c r="F15" s="16">
        <f>IFERROR(__xludf.DUMMYFUNCTION("""COMPUTED_VALUE"""),0.497872340425531)</f>
        <v>0.4978723404</v>
      </c>
      <c r="G15" s="16">
        <f>IFERROR(__xludf.DUMMYFUNCTION("""COMPUTED_VALUE"""),0.440425531914893)</f>
        <v>0.4404255319</v>
      </c>
      <c r="H15" s="16">
        <f>IFERROR(__xludf.DUMMYFUNCTION("""COMPUTED_VALUE"""),0.402127659574468)</f>
        <v>0.4021276596</v>
      </c>
      <c r="I15" s="16">
        <f>IFERROR(__xludf.DUMMYFUNCTION("""COMPUTED_VALUE"""),0.368869936034115)</f>
        <v>0.368869936</v>
      </c>
      <c r="J15" s="16">
        <f>IFERROR(__xludf.DUMMYFUNCTION("""COMPUTED_VALUE"""),0.343283582089552)</f>
        <v>0.3432835821</v>
      </c>
      <c r="K15" s="16">
        <f>IFERROR(__xludf.DUMMYFUNCTION("""COMPUTED_VALUE"""),0.309168443496801)</f>
        <v>0.3091684435</v>
      </c>
      <c r="L15" s="16">
        <f>IFERROR(__xludf.DUMMYFUNCTION("""COMPUTED_VALUE"""),0.299145299145299)</f>
        <v>0.2991452991</v>
      </c>
      <c r="M15" s="16">
        <f>IFERROR(__xludf.DUMMYFUNCTION("""COMPUTED_VALUE"""),0.289079229122055)</f>
        <v>0.2890792291</v>
      </c>
      <c r="N15" s="16">
        <f>IFERROR(__xludf.DUMMYFUNCTION("""COMPUTED_VALUE"""),0.265524625267665)</f>
        <v>0.2655246253</v>
      </c>
      <c r="O15" s="16">
        <f>IFERROR(__xludf.DUMMYFUNCTION("""COMPUTED_VALUE"""),0.226293103448275)</f>
        <v>0.2262931034</v>
      </c>
      <c r="P15" s="16">
        <f>IFERROR(__xludf.DUMMYFUNCTION("""COMPUTED_VALUE"""),0.140388768898488)</f>
        <v>0.1403887689</v>
      </c>
      <c r="Q15" s="16">
        <f>IFERROR(__xludf.DUMMYFUNCTION("""COMPUTED_VALUE"""),0.115720524017467)</f>
        <v>0.115720524</v>
      </c>
      <c r="R15" s="16">
        <f>IFERROR(__xludf.DUMMYFUNCTION("""COMPUTED_VALUE"""),0.100656455142231)</f>
        <v>0.1006564551</v>
      </c>
      <c r="S15" s="16">
        <f>IFERROR(__xludf.DUMMYFUNCTION("""COMPUTED_VALUE"""),0.0)</f>
        <v>0</v>
      </c>
      <c r="T15" s="16">
        <f>IFERROR(__xludf.DUMMYFUNCTION("""COMPUTED_VALUE"""),0.0)</f>
        <v>0</v>
      </c>
      <c r="U15" s="16">
        <f>IFERROR(__xludf.DUMMYFUNCTION("""COMPUTED_VALUE"""),0.0)</f>
        <v>0</v>
      </c>
      <c r="V15" s="16">
        <f>IFERROR(__xludf.DUMMYFUNCTION("""COMPUTED_VALUE"""),0.0)</f>
        <v>0</v>
      </c>
      <c r="W15" s="16">
        <f>IFERROR(__xludf.DUMMYFUNCTION("""COMPUTED_VALUE"""),0.0)</f>
        <v>0</v>
      </c>
      <c r="X15" s="16">
        <f>IFERROR(__xludf.DUMMYFUNCTION("""COMPUTED_VALUE"""),0.0)</f>
        <v>0</v>
      </c>
      <c r="Y15" s="16">
        <f>IFERROR(__xludf.DUMMYFUNCTION("""COMPUTED_VALUE"""),0.0)</f>
        <v>0</v>
      </c>
      <c r="Z15" s="16">
        <f>IFERROR(__xludf.DUMMYFUNCTION("""COMPUTED_VALUE"""),0.0)</f>
        <v>0</v>
      </c>
      <c r="AA15" s="16">
        <f>IFERROR(__xludf.DUMMYFUNCTION("""COMPUTED_VALUE"""),0.0)</f>
        <v>0</v>
      </c>
      <c r="AB15" s="16">
        <f>IFERROR(__xludf.DUMMYFUNCTION("""COMPUTED_VALUE"""),0.0)</f>
        <v>0</v>
      </c>
      <c r="AC15" s="16">
        <f>IFERROR(__xludf.DUMMYFUNCTION("""COMPUTED_VALUE"""),0.0)</f>
        <v>0</v>
      </c>
      <c r="AD15" s="16">
        <f>IFERROR(__xludf.DUMMYFUNCTION("""COMPUTED_VALUE"""),0.0)</f>
        <v>0</v>
      </c>
      <c r="AE15" s="16">
        <f>IFERROR(__xludf.DUMMYFUNCTION("""COMPUTED_VALUE"""),0.0)</f>
        <v>0</v>
      </c>
      <c r="AF15" s="16">
        <f>IFERROR(__xludf.DUMMYFUNCTION("""COMPUTED_VALUE"""),0.0)</f>
        <v>0</v>
      </c>
      <c r="AG15" s="16">
        <f>IFERROR(__xludf.DUMMYFUNCTION("""COMPUTED_VALUE"""),0.0)</f>
        <v>0</v>
      </c>
      <c r="AH15" s="16">
        <f>IFERROR(__xludf.DUMMYFUNCTION("""COMPUTED_VALUE"""),0.0)</f>
        <v>0</v>
      </c>
    </row>
    <row r="16">
      <c r="A16" s="16" t="str">
        <f>IFERROR(__xludf.DUMMYFUNCTION("""COMPUTED_VALUE"""),"0d62d7798adbffba76234feba6e58e4a73a6baf8")</f>
        <v>0d62d7798adbffba76234feba6e58e4a73a6baf8</v>
      </c>
      <c r="B16" s="16" t="str">
        <f>IFERROR(__xludf.DUMMYFUNCTION("""COMPUTED_VALUE"""),"Devil's Redemption")</f>
        <v>Devil's Redemption</v>
      </c>
      <c r="C16" s="16" t="str">
        <f>IFERROR(__xludf.DUMMYFUNCTION("""COMPUTED_VALUE"""),"Fantasy")</f>
        <v>Fantasy</v>
      </c>
      <c r="D16" s="16">
        <f>IFERROR(__xludf.DUMMYFUNCTION("""COMPUTED_VALUE"""),47.0)</f>
        <v>47</v>
      </c>
      <c r="E16" s="16">
        <f>IFERROR(__xludf.DUMMYFUNCTION("""COMPUTED_VALUE"""),0.957446808510638)</f>
        <v>0.9574468085</v>
      </c>
      <c r="F16" s="16">
        <f>IFERROR(__xludf.DUMMYFUNCTION("""COMPUTED_VALUE"""),0.680851063829787)</f>
        <v>0.6808510638</v>
      </c>
      <c r="G16" s="16">
        <f>IFERROR(__xludf.DUMMYFUNCTION("""COMPUTED_VALUE"""),0.638297872340425)</f>
        <v>0.6382978723</v>
      </c>
      <c r="H16" s="16">
        <f>IFERROR(__xludf.DUMMYFUNCTION("""COMPUTED_VALUE"""),0.595744680851063)</f>
        <v>0.5957446809</v>
      </c>
      <c r="I16" s="16">
        <f>IFERROR(__xludf.DUMMYFUNCTION("""COMPUTED_VALUE"""),0.533333333333333)</f>
        <v>0.5333333333</v>
      </c>
      <c r="J16" s="16">
        <f>IFERROR(__xludf.DUMMYFUNCTION("""COMPUTED_VALUE"""),0.452380952380952)</f>
        <v>0.4523809524</v>
      </c>
      <c r="K16" s="16">
        <f>IFERROR(__xludf.DUMMYFUNCTION("""COMPUTED_VALUE"""),0.363636363636363)</f>
        <v>0.3636363636</v>
      </c>
      <c r="L16" s="16">
        <f>IFERROR(__xludf.DUMMYFUNCTION("""COMPUTED_VALUE"""),0.347826086956521)</f>
        <v>0.347826087</v>
      </c>
      <c r="M16" s="16">
        <f>IFERROR(__xludf.DUMMYFUNCTION("""COMPUTED_VALUE"""),0.347826086956521)</f>
        <v>0.347826087</v>
      </c>
      <c r="N16" s="16">
        <f>IFERROR(__xludf.DUMMYFUNCTION("""COMPUTED_VALUE"""),0.260869565217391)</f>
        <v>0.2608695652</v>
      </c>
      <c r="O16" s="16">
        <f>IFERROR(__xludf.DUMMYFUNCTION("""COMPUTED_VALUE"""),0.263157894736842)</f>
        <v>0.2631578947</v>
      </c>
      <c r="P16" s="16">
        <f>IFERROR(__xludf.DUMMYFUNCTION("""COMPUTED_VALUE"""),0.181818181818181)</f>
        <v>0.1818181818</v>
      </c>
      <c r="Q16" s="16">
        <f>IFERROR(__xludf.DUMMYFUNCTION("""COMPUTED_VALUE"""),0.0)</f>
        <v>0</v>
      </c>
      <c r="R16" s="16">
        <f>IFERROR(__xludf.DUMMYFUNCTION("""COMPUTED_VALUE"""),0.0)</f>
        <v>0</v>
      </c>
      <c r="S16" s="16">
        <f>IFERROR(__xludf.DUMMYFUNCTION("""COMPUTED_VALUE"""),0.0)</f>
        <v>0</v>
      </c>
      <c r="T16" s="16">
        <f>IFERROR(__xludf.DUMMYFUNCTION("""COMPUTED_VALUE"""),0.0)</f>
        <v>0</v>
      </c>
      <c r="U16" s="16">
        <f>IFERROR(__xludf.DUMMYFUNCTION("""COMPUTED_VALUE"""),0.0)</f>
        <v>0</v>
      </c>
      <c r="V16" s="16">
        <f>IFERROR(__xludf.DUMMYFUNCTION("""COMPUTED_VALUE"""),0.0)</f>
        <v>0</v>
      </c>
      <c r="W16" s="16">
        <f>IFERROR(__xludf.DUMMYFUNCTION("""COMPUTED_VALUE"""),0.0)</f>
        <v>0</v>
      </c>
      <c r="X16" s="16">
        <f>IFERROR(__xludf.DUMMYFUNCTION("""COMPUTED_VALUE"""),0.0)</f>
        <v>0</v>
      </c>
      <c r="Y16" s="16">
        <f>IFERROR(__xludf.DUMMYFUNCTION("""COMPUTED_VALUE"""),0.0)</f>
        <v>0</v>
      </c>
      <c r="Z16" s="16">
        <f>IFERROR(__xludf.DUMMYFUNCTION("""COMPUTED_VALUE"""),0.0)</f>
        <v>0</v>
      </c>
      <c r="AA16" s="16">
        <f>IFERROR(__xludf.DUMMYFUNCTION("""COMPUTED_VALUE"""),0.0)</f>
        <v>0</v>
      </c>
      <c r="AB16" s="16">
        <f>IFERROR(__xludf.DUMMYFUNCTION("""COMPUTED_VALUE"""),0.0)</f>
        <v>0</v>
      </c>
      <c r="AC16" s="16">
        <f>IFERROR(__xludf.DUMMYFUNCTION("""COMPUTED_VALUE"""),0.0)</f>
        <v>0</v>
      </c>
      <c r="AD16" s="16">
        <f>IFERROR(__xludf.DUMMYFUNCTION("""COMPUTED_VALUE"""),0.0)</f>
        <v>0</v>
      </c>
      <c r="AE16" s="16">
        <f>IFERROR(__xludf.DUMMYFUNCTION("""COMPUTED_VALUE"""),0.0)</f>
        <v>0</v>
      </c>
      <c r="AF16" s="16">
        <f>IFERROR(__xludf.DUMMYFUNCTION("""COMPUTED_VALUE"""),0.0)</f>
        <v>0</v>
      </c>
      <c r="AG16" s="16">
        <f>IFERROR(__xludf.DUMMYFUNCTION("""COMPUTED_VALUE"""),0.0)</f>
        <v>0</v>
      </c>
      <c r="AH16" s="16">
        <f>IFERROR(__xludf.DUMMYFUNCTION("""COMPUTED_VALUE"""),0.0)</f>
        <v>0</v>
      </c>
    </row>
    <row r="17">
      <c r="A17" s="16" t="str">
        <f>IFERROR(__xludf.DUMMYFUNCTION("""COMPUTED_VALUE"""),"0db57923d2182ad47e7480030a03e05da109b1bf")</f>
        <v>0db57923d2182ad47e7480030a03e05da109b1bf</v>
      </c>
      <c r="B17" s="16" t="str">
        <f>IFERROR(__xludf.DUMMYFUNCTION("""COMPUTED_VALUE"""),"The Ceo's Borrowed Beauty")</f>
        <v>The Ceo's Borrowed Beauty</v>
      </c>
      <c r="C17" s="16" t="str">
        <f>IFERROR(__xludf.DUMMYFUNCTION("""COMPUTED_VALUE"""),"Romance")</f>
        <v>Romance</v>
      </c>
      <c r="D17" s="16">
        <f>IFERROR(__xludf.DUMMYFUNCTION("""COMPUTED_VALUE"""),1790.0)</f>
        <v>1790</v>
      </c>
      <c r="E17" s="16">
        <f>IFERROR(__xludf.DUMMYFUNCTION("""COMPUTED_VALUE"""),0.972625698324022)</f>
        <v>0.9726256983</v>
      </c>
      <c r="F17" s="16">
        <f>IFERROR(__xludf.DUMMYFUNCTION("""COMPUTED_VALUE"""),0.469832402234636)</f>
        <v>0.4698324022</v>
      </c>
      <c r="G17" s="16">
        <f>IFERROR(__xludf.DUMMYFUNCTION("""COMPUTED_VALUE"""),0.413966480446927)</f>
        <v>0.4139664804</v>
      </c>
      <c r="H17" s="16">
        <f>IFERROR(__xludf.DUMMYFUNCTION("""COMPUTED_VALUE"""),0.366386554621848)</f>
        <v>0.3663865546</v>
      </c>
      <c r="I17" s="16">
        <f>IFERROR(__xludf.DUMMYFUNCTION("""COMPUTED_VALUE"""),0.346153846153846)</f>
        <v>0.3461538462</v>
      </c>
      <c r="J17" s="16">
        <f>IFERROR(__xludf.DUMMYFUNCTION("""COMPUTED_VALUE"""),0.31590909090909)</f>
        <v>0.3159090909</v>
      </c>
      <c r="K17" s="16">
        <f>IFERROR(__xludf.DUMMYFUNCTION("""COMPUTED_VALUE"""),0.289473684210526)</f>
        <v>0.2894736842</v>
      </c>
      <c r="L17" s="16">
        <f>IFERROR(__xludf.DUMMYFUNCTION("""COMPUTED_VALUE"""),0.272199651770168)</f>
        <v>0.2721996518</v>
      </c>
      <c r="M17" s="16">
        <f>IFERROR(__xludf.DUMMYFUNCTION("""COMPUTED_VALUE"""),0.25508425334108)</f>
        <v>0.2550842533</v>
      </c>
      <c r="N17" s="16">
        <f>IFERROR(__xludf.DUMMYFUNCTION("""COMPUTED_VALUE"""),0.252051582649472)</f>
        <v>0.2520515826</v>
      </c>
      <c r="O17" s="16">
        <f>IFERROR(__xludf.DUMMYFUNCTION("""COMPUTED_VALUE"""),0.227272727272727)</f>
        <v>0.2272727273</v>
      </c>
      <c r="P17" s="16">
        <f>IFERROR(__xludf.DUMMYFUNCTION("""COMPUTED_VALUE"""),0.157196969696969)</f>
        <v>0.1571969697</v>
      </c>
      <c r="Q17" s="16">
        <f>IFERROR(__xludf.DUMMYFUNCTION("""COMPUTED_VALUE"""),0.292682926829268)</f>
        <v>0.2926829268</v>
      </c>
      <c r="R17" s="16">
        <f>IFERROR(__xludf.DUMMYFUNCTION("""COMPUTED_VALUE"""),0.461538461538461)</f>
        <v>0.4615384615</v>
      </c>
      <c r="S17" s="16">
        <f>IFERROR(__xludf.DUMMYFUNCTION("""COMPUTED_VALUE"""),0.0)</f>
        <v>0</v>
      </c>
      <c r="T17" s="16">
        <f>IFERROR(__xludf.DUMMYFUNCTION("""COMPUTED_VALUE"""),0.0)</f>
        <v>0</v>
      </c>
      <c r="U17" s="16">
        <f>IFERROR(__xludf.DUMMYFUNCTION("""COMPUTED_VALUE"""),0.0)</f>
        <v>0</v>
      </c>
      <c r="V17" s="16">
        <f>IFERROR(__xludf.DUMMYFUNCTION("""COMPUTED_VALUE"""),0.0)</f>
        <v>0</v>
      </c>
      <c r="W17" s="16">
        <f>IFERROR(__xludf.DUMMYFUNCTION("""COMPUTED_VALUE"""),0.0)</f>
        <v>0</v>
      </c>
      <c r="X17" s="16">
        <f>IFERROR(__xludf.DUMMYFUNCTION("""COMPUTED_VALUE"""),0.0)</f>
        <v>0</v>
      </c>
      <c r="Y17" s="16">
        <f>IFERROR(__xludf.DUMMYFUNCTION("""COMPUTED_VALUE"""),0.0)</f>
        <v>0</v>
      </c>
      <c r="Z17" s="16">
        <f>IFERROR(__xludf.DUMMYFUNCTION("""COMPUTED_VALUE"""),0.0)</f>
        <v>0</v>
      </c>
      <c r="AA17" s="16">
        <f>IFERROR(__xludf.DUMMYFUNCTION("""COMPUTED_VALUE"""),0.0)</f>
        <v>0</v>
      </c>
      <c r="AB17" s="16">
        <f>IFERROR(__xludf.DUMMYFUNCTION("""COMPUTED_VALUE"""),0.0)</f>
        <v>0</v>
      </c>
      <c r="AC17" s="16">
        <f>IFERROR(__xludf.DUMMYFUNCTION("""COMPUTED_VALUE"""),0.0)</f>
        <v>0</v>
      </c>
      <c r="AD17" s="16">
        <f>IFERROR(__xludf.DUMMYFUNCTION("""COMPUTED_VALUE"""),0.0)</f>
        <v>0</v>
      </c>
      <c r="AE17" s="16">
        <f>IFERROR(__xludf.DUMMYFUNCTION("""COMPUTED_VALUE"""),0.0)</f>
        <v>0</v>
      </c>
      <c r="AF17" s="16">
        <f>IFERROR(__xludf.DUMMYFUNCTION("""COMPUTED_VALUE"""),0.0)</f>
        <v>0</v>
      </c>
      <c r="AG17" s="16">
        <f>IFERROR(__xludf.DUMMYFUNCTION("""COMPUTED_VALUE"""),0.0)</f>
        <v>0</v>
      </c>
      <c r="AH17" s="16">
        <f>IFERROR(__xludf.DUMMYFUNCTION("""COMPUTED_VALUE"""),0.0)</f>
        <v>0</v>
      </c>
    </row>
    <row r="18">
      <c r="A18" s="16" t="str">
        <f>IFERROR(__xludf.DUMMYFUNCTION("""COMPUTED_VALUE"""),"0f3d56fd651e66eb62e990fd31d006aa80eaab5f")</f>
        <v>0f3d56fd651e66eb62e990fd31d006aa80eaab5f</v>
      </c>
      <c r="B18" s="16" t="str">
        <f>IFERROR(__xludf.DUMMYFUNCTION("""COMPUTED_VALUE"""),"The Forsaken Tamer")</f>
        <v>The Forsaken Tamer</v>
      </c>
      <c r="C18" s="16" t="str">
        <f>IFERROR(__xludf.DUMMYFUNCTION("""COMPUTED_VALUE"""),"System and Superpower")</f>
        <v>System and Superpower</v>
      </c>
      <c r="D18" s="16">
        <f>IFERROR(__xludf.DUMMYFUNCTION("""COMPUTED_VALUE"""),81.0)</f>
        <v>81</v>
      </c>
      <c r="E18" s="16">
        <f>IFERROR(__xludf.DUMMYFUNCTION("""COMPUTED_VALUE"""),1.0)</f>
        <v>1</v>
      </c>
      <c r="F18" s="16">
        <f>IFERROR(__xludf.DUMMYFUNCTION("""COMPUTED_VALUE"""),0.592592592592592)</f>
        <v>0.5925925926</v>
      </c>
      <c r="G18" s="16">
        <f>IFERROR(__xludf.DUMMYFUNCTION("""COMPUTED_VALUE"""),0.543209876543209)</f>
        <v>0.5432098765</v>
      </c>
      <c r="H18" s="16">
        <f>IFERROR(__xludf.DUMMYFUNCTION("""COMPUTED_VALUE"""),0.407407407407407)</f>
        <v>0.4074074074</v>
      </c>
      <c r="I18" s="16">
        <f>IFERROR(__xludf.DUMMYFUNCTION("""COMPUTED_VALUE"""),0.358024691358024)</f>
        <v>0.3580246914</v>
      </c>
      <c r="J18" s="16">
        <f>IFERROR(__xludf.DUMMYFUNCTION("""COMPUTED_VALUE"""),0.291139240506329)</f>
        <v>0.2911392405</v>
      </c>
      <c r="K18" s="16">
        <f>IFERROR(__xludf.DUMMYFUNCTION("""COMPUTED_VALUE"""),0.285714285714285)</f>
        <v>0.2857142857</v>
      </c>
      <c r="L18" s="16">
        <f>IFERROR(__xludf.DUMMYFUNCTION("""COMPUTED_VALUE"""),0.24)</f>
        <v>0.24</v>
      </c>
      <c r="M18" s="16">
        <f>IFERROR(__xludf.DUMMYFUNCTION("""COMPUTED_VALUE"""),0.226666666666666)</f>
        <v>0.2266666667</v>
      </c>
      <c r="N18" s="16">
        <f>IFERROR(__xludf.DUMMYFUNCTION("""COMPUTED_VALUE"""),0.238805970149253)</f>
        <v>0.2388059701</v>
      </c>
      <c r="O18" s="16">
        <f>IFERROR(__xludf.DUMMYFUNCTION("""COMPUTED_VALUE"""),0.120689655172413)</f>
        <v>0.1206896552</v>
      </c>
      <c r="P18" s="16">
        <f>IFERROR(__xludf.DUMMYFUNCTION("""COMPUTED_VALUE"""),0.0526315789473684)</f>
        <v>0.05263157895</v>
      </c>
      <c r="Q18" s="16">
        <f>IFERROR(__xludf.DUMMYFUNCTION("""COMPUTED_VALUE"""),0.04)</f>
        <v>0.04</v>
      </c>
      <c r="R18" s="16">
        <f>IFERROR(__xludf.DUMMYFUNCTION("""COMPUTED_VALUE"""),0.024390243902439)</f>
        <v>0.0243902439</v>
      </c>
      <c r="S18" s="16">
        <f>IFERROR(__xludf.DUMMYFUNCTION("""COMPUTED_VALUE"""),0.0)</f>
        <v>0</v>
      </c>
      <c r="T18" s="16">
        <f>IFERROR(__xludf.DUMMYFUNCTION("""COMPUTED_VALUE"""),0.0)</f>
        <v>0</v>
      </c>
      <c r="U18" s="16">
        <f>IFERROR(__xludf.DUMMYFUNCTION("""COMPUTED_VALUE"""),0.0)</f>
        <v>0</v>
      </c>
      <c r="V18" s="16">
        <f>IFERROR(__xludf.DUMMYFUNCTION("""COMPUTED_VALUE"""),0.0)</f>
        <v>0</v>
      </c>
      <c r="W18" s="16">
        <f>IFERROR(__xludf.DUMMYFUNCTION("""COMPUTED_VALUE"""),0.0)</f>
        <v>0</v>
      </c>
      <c r="X18" s="16">
        <f>IFERROR(__xludf.DUMMYFUNCTION("""COMPUTED_VALUE"""),0.0)</f>
        <v>0</v>
      </c>
      <c r="Y18" s="16">
        <f>IFERROR(__xludf.DUMMYFUNCTION("""COMPUTED_VALUE"""),0.0)</f>
        <v>0</v>
      </c>
      <c r="Z18" s="16">
        <f>IFERROR(__xludf.DUMMYFUNCTION("""COMPUTED_VALUE"""),0.0)</f>
        <v>0</v>
      </c>
      <c r="AA18" s="16">
        <f>IFERROR(__xludf.DUMMYFUNCTION("""COMPUTED_VALUE"""),0.0)</f>
        <v>0</v>
      </c>
      <c r="AB18" s="16">
        <f>IFERROR(__xludf.DUMMYFUNCTION("""COMPUTED_VALUE"""),0.0)</f>
        <v>0</v>
      </c>
      <c r="AC18" s="16">
        <f>IFERROR(__xludf.DUMMYFUNCTION("""COMPUTED_VALUE"""),0.0)</f>
        <v>0</v>
      </c>
      <c r="AD18" s="16">
        <f>IFERROR(__xludf.DUMMYFUNCTION("""COMPUTED_VALUE"""),0.0)</f>
        <v>0</v>
      </c>
      <c r="AE18" s="16">
        <f>IFERROR(__xludf.DUMMYFUNCTION("""COMPUTED_VALUE"""),0.0)</f>
        <v>0</v>
      </c>
      <c r="AF18" s="16">
        <f>IFERROR(__xludf.DUMMYFUNCTION("""COMPUTED_VALUE"""),0.0)</f>
        <v>0</v>
      </c>
      <c r="AG18" s="16">
        <f>IFERROR(__xludf.DUMMYFUNCTION("""COMPUTED_VALUE"""),0.0)</f>
        <v>0</v>
      </c>
      <c r="AH18" s="16">
        <f>IFERROR(__xludf.DUMMYFUNCTION("""COMPUTED_VALUE"""),0.0)</f>
        <v>0</v>
      </c>
    </row>
    <row r="19">
      <c r="A19" s="16" t="str">
        <f>IFERROR(__xludf.DUMMYFUNCTION("""COMPUTED_VALUE"""),"0fadc6da7c4d814463023dc7ffd8be44c68fa457")</f>
        <v>0fadc6da7c4d814463023dc7ffd8be44c68fa457</v>
      </c>
      <c r="B19" s="16" t="str">
        <f>IFERROR(__xludf.DUMMYFUNCTION("""COMPUTED_VALUE"""),"From Ceo to Young Lord")</f>
        <v>From Ceo to Young Lord</v>
      </c>
      <c r="C19" s="16" t="str">
        <f>IFERROR(__xludf.DUMMYFUNCTION("""COMPUTED_VALUE"""),"Fantasy")</f>
        <v>Fantasy</v>
      </c>
      <c r="D19" s="16">
        <f>IFERROR(__xludf.DUMMYFUNCTION("""COMPUTED_VALUE"""),235.0)</f>
        <v>235</v>
      </c>
      <c r="E19" s="16">
        <f>IFERROR(__xludf.DUMMYFUNCTION("""COMPUTED_VALUE"""),0.940425531914893)</f>
        <v>0.9404255319</v>
      </c>
      <c r="F19" s="16">
        <f>IFERROR(__xludf.DUMMYFUNCTION("""COMPUTED_VALUE"""),0.676595744680851)</f>
        <v>0.6765957447</v>
      </c>
      <c r="G19" s="16">
        <f>IFERROR(__xludf.DUMMYFUNCTION("""COMPUTED_VALUE"""),0.651063829787234)</f>
        <v>0.6510638298</v>
      </c>
      <c r="H19" s="16">
        <f>IFERROR(__xludf.DUMMYFUNCTION("""COMPUTED_VALUE"""),0.65531914893617)</f>
        <v>0.6553191489</v>
      </c>
      <c r="I19" s="16">
        <f>IFERROR(__xludf.DUMMYFUNCTION("""COMPUTED_VALUE"""),0.585470085470085)</f>
        <v>0.5854700855</v>
      </c>
      <c r="J19" s="16">
        <f>IFERROR(__xludf.DUMMYFUNCTION("""COMPUTED_VALUE"""),0.564655172413793)</f>
        <v>0.5646551724</v>
      </c>
      <c r="K19" s="16">
        <f>IFERROR(__xludf.DUMMYFUNCTION("""COMPUTED_VALUE"""),0.560344827586206)</f>
        <v>0.5603448276</v>
      </c>
      <c r="L19" s="16">
        <f>IFERROR(__xludf.DUMMYFUNCTION("""COMPUTED_VALUE"""),0.523809523809523)</f>
        <v>0.5238095238</v>
      </c>
      <c r="M19" s="16">
        <f>IFERROR(__xludf.DUMMYFUNCTION("""COMPUTED_VALUE"""),0.484848484848484)</f>
        <v>0.4848484848</v>
      </c>
      <c r="N19" s="16">
        <f>IFERROR(__xludf.DUMMYFUNCTION("""COMPUTED_VALUE"""),0.471861471861471)</f>
        <v>0.4718614719</v>
      </c>
      <c r="O19" s="16">
        <f>IFERROR(__xludf.DUMMYFUNCTION("""COMPUTED_VALUE"""),0.400881057268722)</f>
        <v>0.4008810573</v>
      </c>
      <c r="P19" s="16">
        <f>IFERROR(__xludf.DUMMYFUNCTION("""COMPUTED_VALUE"""),0.275700934579439)</f>
        <v>0.2757009346</v>
      </c>
      <c r="Q19" s="16">
        <f>IFERROR(__xludf.DUMMYFUNCTION("""COMPUTED_VALUE"""),0.189393939393939)</f>
        <v>0.1893939394</v>
      </c>
      <c r="R19" s="16">
        <f>IFERROR(__xludf.DUMMYFUNCTION("""COMPUTED_VALUE"""),0.142857142857142)</f>
        <v>0.1428571429</v>
      </c>
      <c r="S19" s="16">
        <f>IFERROR(__xludf.DUMMYFUNCTION("""COMPUTED_VALUE"""),0.0)</f>
        <v>0</v>
      </c>
      <c r="T19" s="16">
        <f>IFERROR(__xludf.DUMMYFUNCTION("""COMPUTED_VALUE"""),0.0)</f>
        <v>0</v>
      </c>
      <c r="U19" s="16">
        <f>IFERROR(__xludf.DUMMYFUNCTION("""COMPUTED_VALUE"""),0.0)</f>
        <v>0</v>
      </c>
      <c r="V19" s="16">
        <f>IFERROR(__xludf.DUMMYFUNCTION("""COMPUTED_VALUE"""),0.0)</f>
        <v>0</v>
      </c>
      <c r="W19" s="16">
        <f>IFERROR(__xludf.DUMMYFUNCTION("""COMPUTED_VALUE"""),0.0)</f>
        <v>0</v>
      </c>
      <c r="X19" s="16">
        <f>IFERROR(__xludf.DUMMYFUNCTION("""COMPUTED_VALUE"""),0.0)</f>
        <v>0</v>
      </c>
      <c r="Y19" s="16">
        <f>IFERROR(__xludf.DUMMYFUNCTION("""COMPUTED_VALUE"""),0.0)</f>
        <v>0</v>
      </c>
      <c r="Z19" s="16">
        <f>IFERROR(__xludf.DUMMYFUNCTION("""COMPUTED_VALUE"""),0.0)</f>
        <v>0</v>
      </c>
      <c r="AA19" s="16">
        <f>IFERROR(__xludf.DUMMYFUNCTION("""COMPUTED_VALUE"""),0.0)</f>
        <v>0</v>
      </c>
      <c r="AB19" s="16">
        <f>IFERROR(__xludf.DUMMYFUNCTION("""COMPUTED_VALUE"""),0.0)</f>
        <v>0</v>
      </c>
      <c r="AC19" s="16">
        <f>IFERROR(__xludf.DUMMYFUNCTION("""COMPUTED_VALUE"""),0.0)</f>
        <v>0</v>
      </c>
      <c r="AD19" s="16">
        <f>IFERROR(__xludf.DUMMYFUNCTION("""COMPUTED_VALUE"""),0.0)</f>
        <v>0</v>
      </c>
      <c r="AE19" s="16">
        <f>IFERROR(__xludf.DUMMYFUNCTION("""COMPUTED_VALUE"""),0.0)</f>
        <v>0</v>
      </c>
      <c r="AF19" s="16">
        <f>IFERROR(__xludf.DUMMYFUNCTION("""COMPUTED_VALUE"""),0.0)</f>
        <v>0</v>
      </c>
      <c r="AG19" s="16">
        <f>IFERROR(__xludf.DUMMYFUNCTION("""COMPUTED_VALUE"""),0.0)</f>
        <v>0</v>
      </c>
      <c r="AH19" s="16">
        <f>IFERROR(__xludf.DUMMYFUNCTION("""COMPUTED_VALUE"""),0.0)</f>
        <v>0</v>
      </c>
    </row>
    <row r="20">
      <c r="A20" s="16" t="str">
        <f>IFERROR(__xludf.DUMMYFUNCTION("""COMPUTED_VALUE"""),"114fed9f0540f90ccc58d03a383c7c69260baeae")</f>
        <v>114fed9f0540f90ccc58d03a383c7c69260baeae</v>
      </c>
      <c r="B20" s="16" t="str">
        <f>IFERROR(__xludf.DUMMYFUNCTION("""COMPUTED_VALUE"""),"Mother's Murder &amp; Secrets")</f>
        <v>Mother's Murder &amp; Secrets</v>
      </c>
      <c r="C20" s="16" t="str">
        <f>IFERROR(__xludf.DUMMYFUNCTION("""COMPUTED_VALUE"""),"Suspense or Thriller")</f>
        <v>Suspense or Thriller</v>
      </c>
      <c r="D20" s="16">
        <f>IFERROR(__xludf.DUMMYFUNCTION("""COMPUTED_VALUE"""),666.0)</f>
        <v>666</v>
      </c>
      <c r="E20" s="16">
        <f>IFERROR(__xludf.DUMMYFUNCTION("""COMPUTED_VALUE"""),0.975975975975976)</f>
        <v>0.975975976</v>
      </c>
      <c r="F20" s="16">
        <f>IFERROR(__xludf.DUMMYFUNCTION("""COMPUTED_VALUE"""),0.42042042042042)</f>
        <v>0.4204204204</v>
      </c>
      <c r="G20" s="16">
        <f>IFERROR(__xludf.DUMMYFUNCTION("""COMPUTED_VALUE"""),0.345345345345345)</f>
        <v>0.3453453453</v>
      </c>
      <c r="H20" s="16">
        <f>IFERROR(__xludf.DUMMYFUNCTION("""COMPUTED_VALUE"""),0.287218045112781)</f>
        <v>0.2872180451</v>
      </c>
      <c r="I20" s="16">
        <f>IFERROR(__xludf.DUMMYFUNCTION("""COMPUTED_VALUE"""),0.260150375939849)</f>
        <v>0.2601503759</v>
      </c>
      <c r="J20" s="16">
        <f>IFERROR(__xludf.DUMMYFUNCTION("""COMPUTED_VALUE"""),0.240601503759398)</f>
        <v>0.2406015038</v>
      </c>
      <c r="K20" s="16">
        <f>IFERROR(__xludf.DUMMYFUNCTION("""COMPUTED_VALUE"""),0.210526315789473)</f>
        <v>0.2105263158</v>
      </c>
      <c r="L20" s="16">
        <f>IFERROR(__xludf.DUMMYFUNCTION("""COMPUTED_VALUE"""),0.198496240601503)</f>
        <v>0.1984962406</v>
      </c>
      <c r="M20" s="16">
        <f>IFERROR(__xludf.DUMMYFUNCTION("""COMPUTED_VALUE"""),0.177443609022556)</f>
        <v>0.177443609</v>
      </c>
      <c r="N20" s="16">
        <f>IFERROR(__xludf.DUMMYFUNCTION("""COMPUTED_VALUE"""),0.168421052631578)</f>
        <v>0.1684210526</v>
      </c>
      <c r="O20" s="16">
        <f>IFERROR(__xludf.DUMMYFUNCTION("""COMPUTED_VALUE"""),0.1375)</f>
        <v>0.1375</v>
      </c>
      <c r="P20" s="16">
        <f>IFERROR(__xludf.DUMMYFUNCTION("""COMPUTED_VALUE"""),0.103392568659127)</f>
        <v>0.1033925687</v>
      </c>
      <c r="Q20" s="16">
        <f>IFERROR(__xludf.DUMMYFUNCTION("""COMPUTED_VALUE"""),0.0689655172413793)</f>
        <v>0.06896551724</v>
      </c>
      <c r="R20" s="16">
        <f>IFERROR(__xludf.DUMMYFUNCTION("""COMPUTED_VALUE"""),0.0470383275261324)</f>
        <v>0.04703832753</v>
      </c>
      <c r="S20" s="16">
        <f>IFERROR(__xludf.DUMMYFUNCTION("""COMPUTED_VALUE"""),0.0278293135435992)</f>
        <v>0.02782931354</v>
      </c>
      <c r="T20" s="16">
        <f>IFERROR(__xludf.DUMMYFUNCTION("""COMPUTED_VALUE"""),0.0119402985074626)</f>
        <v>0.01194029851</v>
      </c>
      <c r="U20" s="16">
        <f>IFERROR(__xludf.DUMMYFUNCTION("""COMPUTED_VALUE"""),0.0155038759689922)</f>
        <v>0.01550387597</v>
      </c>
      <c r="V20" s="16">
        <f>IFERROR(__xludf.DUMMYFUNCTION("""COMPUTED_VALUE"""),0.0)</f>
        <v>0</v>
      </c>
      <c r="W20" s="16">
        <f>IFERROR(__xludf.DUMMYFUNCTION("""COMPUTED_VALUE"""),0.0)</f>
        <v>0</v>
      </c>
      <c r="X20" s="16">
        <f>IFERROR(__xludf.DUMMYFUNCTION("""COMPUTED_VALUE"""),0.0)</f>
        <v>0</v>
      </c>
      <c r="Y20" s="16">
        <f>IFERROR(__xludf.DUMMYFUNCTION("""COMPUTED_VALUE"""),0.0)</f>
        <v>0</v>
      </c>
      <c r="Z20" s="16">
        <f>IFERROR(__xludf.DUMMYFUNCTION("""COMPUTED_VALUE"""),0.0)</f>
        <v>0</v>
      </c>
      <c r="AA20" s="16">
        <f>IFERROR(__xludf.DUMMYFUNCTION("""COMPUTED_VALUE"""),0.0)</f>
        <v>0</v>
      </c>
      <c r="AB20" s="16">
        <f>IFERROR(__xludf.DUMMYFUNCTION("""COMPUTED_VALUE"""),0.0)</f>
        <v>0</v>
      </c>
      <c r="AC20" s="16">
        <f>IFERROR(__xludf.DUMMYFUNCTION("""COMPUTED_VALUE"""),0.0)</f>
        <v>0</v>
      </c>
      <c r="AD20" s="16">
        <f>IFERROR(__xludf.DUMMYFUNCTION("""COMPUTED_VALUE"""),0.0)</f>
        <v>0</v>
      </c>
      <c r="AE20" s="16">
        <f>IFERROR(__xludf.DUMMYFUNCTION("""COMPUTED_VALUE"""),0.0)</f>
        <v>0</v>
      </c>
      <c r="AF20" s="16">
        <f>IFERROR(__xludf.DUMMYFUNCTION("""COMPUTED_VALUE"""),0.0)</f>
        <v>0</v>
      </c>
      <c r="AG20" s="16">
        <f>IFERROR(__xludf.DUMMYFUNCTION("""COMPUTED_VALUE"""),0.0)</f>
        <v>0</v>
      </c>
      <c r="AH20" s="16">
        <f>IFERROR(__xludf.DUMMYFUNCTION("""COMPUTED_VALUE"""),0.0)</f>
        <v>0</v>
      </c>
    </row>
    <row r="21">
      <c r="A21" s="16" t="str">
        <f>IFERROR(__xludf.DUMMYFUNCTION("""COMPUTED_VALUE"""),"123964565c4c79c7f1a3737171a0125020300913")</f>
        <v>123964565c4c79c7f1a3737171a0125020300913</v>
      </c>
      <c r="B21" s="16" t="str">
        <f>IFERROR(__xludf.DUMMYFUNCTION("""COMPUTED_VALUE"""),"My Alien Boxing System")</f>
        <v>My Alien Boxing System</v>
      </c>
      <c r="C21" s="16" t="str">
        <f>IFERROR(__xludf.DUMMYFUNCTION("""COMPUTED_VALUE"""),"Fantasy")</f>
        <v>Fantasy</v>
      </c>
      <c r="D21" s="16">
        <f>IFERROR(__xludf.DUMMYFUNCTION("""COMPUTED_VALUE"""),51.0)</f>
        <v>51</v>
      </c>
      <c r="E21" s="16">
        <f>IFERROR(__xludf.DUMMYFUNCTION("""COMPUTED_VALUE"""),0.980392156862745)</f>
        <v>0.9803921569</v>
      </c>
      <c r="F21" s="16">
        <f>IFERROR(__xludf.DUMMYFUNCTION("""COMPUTED_VALUE"""),0.470588235294117)</f>
        <v>0.4705882353</v>
      </c>
      <c r="G21" s="16">
        <f>IFERROR(__xludf.DUMMYFUNCTION("""COMPUTED_VALUE"""),0.411764705882352)</f>
        <v>0.4117647059</v>
      </c>
      <c r="H21" s="16">
        <f>IFERROR(__xludf.DUMMYFUNCTION("""COMPUTED_VALUE"""),0.392156862745098)</f>
        <v>0.3921568627</v>
      </c>
      <c r="I21" s="16">
        <f>IFERROR(__xludf.DUMMYFUNCTION("""COMPUTED_VALUE"""),0.333333333333333)</f>
        <v>0.3333333333</v>
      </c>
      <c r="J21" s="16">
        <f>IFERROR(__xludf.DUMMYFUNCTION("""COMPUTED_VALUE"""),0.313725490196078)</f>
        <v>0.3137254902</v>
      </c>
      <c r="K21" s="16">
        <f>IFERROR(__xludf.DUMMYFUNCTION("""COMPUTED_VALUE"""),0.274509803921568)</f>
        <v>0.2745098039</v>
      </c>
      <c r="L21" s="16">
        <f>IFERROR(__xludf.DUMMYFUNCTION("""COMPUTED_VALUE"""),0.244897959183673)</f>
        <v>0.2448979592</v>
      </c>
      <c r="M21" s="16">
        <f>IFERROR(__xludf.DUMMYFUNCTION("""COMPUTED_VALUE"""),0.224489795918367)</f>
        <v>0.2244897959</v>
      </c>
      <c r="N21" s="16">
        <f>IFERROR(__xludf.DUMMYFUNCTION("""COMPUTED_VALUE"""),0.163265306122448)</f>
        <v>0.1632653061</v>
      </c>
      <c r="O21" s="16">
        <f>IFERROR(__xludf.DUMMYFUNCTION("""COMPUTED_VALUE"""),0.145833333333333)</f>
        <v>0.1458333333</v>
      </c>
      <c r="P21" s="16">
        <f>IFERROR(__xludf.DUMMYFUNCTION("""COMPUTED_VALUE"""),0.0434782608695652)</f>
        <v>0.04347826087</v>
      </c>
      <c r="Q21" s="16">
        <f>IFERROR(__xludf.DUMMYFUNCTION("""COMPUTED_VALUE"""),0.0)</f>
        <v>0</v>
      </c>
      <c r="R21" s="16">
        <f>IFERROR(__xludf.DUMMYFUNCTION("""COMPUTED_VALUE"""),0.0)</f>
        <v>0</v>
      </c>
      <c r="S21" s="16">
        <f>IFERROR(__xludf.DUMMYFUNCTION("""COMPUTED_VALUE"""),0.0)</f>
        <v>0</v>
      </c>
      <c r="T21" s="16">
        <f>IFERROR(__xludf.DUMMYFUNCTION("""COMPUTED_VALUE"""),0.0)</f>
        <v>0</v>
      </c>
      <c r="U21" s="16">
        <f>IFERROR(__xludf.DUMMYFUNCTION("""COMPUTED_VALUE"""),0.0)</f>
        <v>0</v>
      </c>
      <c r="V21" s="16">
        <f>IFERROR(__xludf.DUMMYFUNCTION("""COMPUTED_VALUE"""),0.0)</f>
        <v>0</v>
      </c>
      <c r="W21" s="16">
        <f>IFERROR(__xludf.DUMMYFUNCTION("""COMPUTED_VALUE"""),0.0)</f>
        <v>0</v>
      </c>
      <c r="X21" s="16">
        <f>IFERROR(__xludf.DUMMYFUNCTION("""COMPUTED_VALUE"""),0.0)</f>
        <v>0</v>
      </c>
      <c r="Y21" s="16">
        <f>IFERROR(__xludf.DUMMYFUNCTION("""COMPUTED_VALUE"""),0.0)</f>
        <v>0</v>
      </c>
      <c r="Z21" s="16">
        <f>IFERROR(__xludf.DUMMYFUNCTION("""COMPUTED_VALUE"""),0.0)</f>
        <v>0</v>
      </c>
      <c r="AA21" s="16">
        <f>IFERROR(__xludf.DUMMYFUNCTION("""COMPUTED_VALUE"""),0.0)</f>
        <v>0</v>
      </c>
      <c r="AB21" s="16">
        <f>IFERROR(__xludf.DUMMYFUNCTION("""COMPUTED_VALUE"""),0.0)</f>
        <v>0</v>
      </c>
      <c r="AC21" s="16">
        <f>IFERROR(__xludf.DUMMYFUNCTION("""COMPUTED_VALUE"""),0.0)</f>
        <v>0</v>
      </c>
      <c r="AD21" s="16">
        <f>IFERROR(__xludf.DUMMYFUNCTION("""COMPUTED_VALUE"""),0.0)</f>
        <v>0</v>
      </c>
      <c r="AE21" s="16">
        <f>IFERROR(__xludf.DUMMYFUNCTION("""COMPUTED_VALUE"""),0.0)</f>
        <v>0</v>
      </c>
      <c r="AF21" s="16">
        <f>IFERROR(__xludf.DUMMYFUNCTION("""COMPUTED_VALUE"""),0.0)</f>
        <v>0</v>
      </c>
      <c r="AG21" s="16">
        <f>IFERROR(__xludf.DUMMYFUNCTION("""COMPUTED_VALUE"""),0.0)</f>
        <v>0</v>
      </c>
      <c r="AH21" s="16">
        <f>IFERROR(__xludf.DUMMYFUNCTION("""COMPUTED_VALUE"""),0.0)</f>
        <v>0</v>
      </c>
    </row>
    <row r="22">
      <c r="A22" s="16" t="str">
        <f>IFERROR(__xludf.DUMMYFUNCTION("""COMPUTED_VALUE"""),"158669d764d53a995f111683b8700642d7c4847c")</f>
        <v>158669d764d53a995f111683b8700642d7c4847c</v>
      </c>
      <c r="B22" s="16" t="str">
        <f>IFERROR(__xludf.DUMMYFUNCTION("""COMPUTED_VALUE"""),"The Silent Wife Strikes")</f>
        <v>The Silent Wife Strikes</v>
      </c>
      <c r="C22" s="16" t="str">
        <f>IFERROR(__xludf.DUMMYFUNCTION("""COMPUTED_VALUE"""),"Romance")</f>
        <v>Romance</v>
      </c>
      <c r="D22" s="16">
        <f>IFERROR(__xludf.DUMMYFUNCTION("""COMPUTED_VALUE"""),958.0)</f>
        <v>958</v>
      </c>
      <c r="E22" s="16">
        <f>IFERROR(__xludf.DUMMYFUNCTION("""COMPUTED_VALUE"""),0.962421711899791)</f>
        <v>0.9624217119</v>
      </c>
      <c r="F22" s="16">
        <f>IFERROR(__xludf.DUMMYFUNCTION("""COMPUTED_VALUE"""),0.593945720250522)</f>
        <v>0.5939457203</v>
      </c>
      <c r="G22" s="16">
        <f>IFERROR(__xludf.DUMMYFUNCTION("""COMPUTED_VALUE"""),0.538622129436325)</f>
        <v>0.5386221294</v>
      </c>
      <c r="H22" s="16">
        <f>IFERROR(__xludf.DUMMYFUNCTION("""COMPUTED_VALUE"""),0.475991649269311)</f>
        <v>0.4759916493</v>
      </c>
      <c r="I22" s="16">
        <f>IFERROR(__xludf.DUMMYFUNCTION("""COMPUTED_VALUE"""),0.443632567849686)</f>
        <v>0.4436325678</v>
      </c>
      <c r="J22" s="16">
        <f>IFERROR(__xludf.DUMMYFUNCTION("""COMPUTED_VALUE"""),0.412317327766179)</f>
        <v>0.4123173278</v>
      </c>
      <c r="K22" s="16">
        <f>IFERROR(__xludf.DUMMYFUNCTION("""COMPUTED_VALUE"""),0.395615866388309)</f>
        <v>0.3956158664</v>
      </c>
      <c r="L22" s="16">
        <f>IFERROR(__xludf.DUMMYFUNCTION("""COMPUTED_VALUE"""),0.3580375782881)</f>
        <v>0.3580375783</v>
      </c>
      <c r="M22" s="16">
        <f>IFERROR(__xludf.DUMMYFUNCTION("""COMPUTED_VALUE"""),0.347599164926931)</f>
        <v>0.3475991649</v>
      </c>
      <c r="N22" s="16">
        <f>IFERROR(__xludf.DUMMYFUNCTION("""COMPUTED_VALUE"""),0.319415448851774)</f>
        <v>0.3194154489</v>
      </c>
      <c r="O22" s="16">
        <f>IFERROR(__xludf.DUMMYFUNCTION("""COMPUTED_VALUE"""),0.275058275058275)</f>
        <v>0.2750582751</v>
      </c>
      <c r="P22" s="16">
        <f>IFERROR(__xludf.DUMMYFUNCTION("""COMPUTED_VALUE"""),0.198589894242068)</f>
        <v>0.1985898942</v>
      </c>
      <c r="Q22" s="16">
        <f>IFERROR(__xludf.DUMMYFUNCTION("""COMPUTED_VALUE"""),0.169344870210135)</f>
        <v>0.1693448702</v>
      </c>
      <c r="R22" s="16">
        <f>IFERROR(__xludf.DUMMYFUNCTION("""COMPUTED_VALUE"""),0.047040971168437)</f>
        <v>0.04704097117</v>
      </c>
      <c r="S22" s="16">
        <f>IFERROR(__xludf.DUMMYFUNCTION("""COMPUTED_VALUE"""),0.0)</f>
        <v>0</v>
      </c>
      <c r="T22" s="16">
        <f>IFERROR(__xludf.DUMMYFUNCTION("""COMPUTED_VALUE"""),0.0)</f>
        <v>0</v>
      </c>
      <c r="U22" s="16">
        <f>IFERROR(__xludf.DUMMYFUNCTION("""COMPUTED_VALUE"""),0.0)</f>
        <v>0</v>
      </c>
      <c r="V22" s="16">
        <f>IFERROR(__xludf.DUMMYFUNCTION("""COMPUTED_VALUE"""),0.0)</f>
        <v>0</v>
      </c>
      <c r="W22" s="16">
        <f>IFERROR(__xludf.DUMMYFUNCTION("""COMPUTED_VALUE"""),0.0)</f>
        <v>0</v>
      </c>
      <c r="X22" s="16">
        <f>IFERROR(__xludf.DUMMYFUNCTION("""COMPUTED_VALUE"""),0.0)</f>
        <v>0</v>
      </c>
      <c r="Y22" s="16">
        <f>IFERROR(__xludf.DUMMYFUNCTION("""COMPUTED_VALUE"""),0.0)</f>
        <v>0</v>
      </c>
      <c r="Z22" s="16">
        <f>IFERROR(__xludf.DUMMYFUNCTION("""COMPUTED_VALUE"""),0.0)</f>
        <v>0</v>
      </c>
      <c r="AA22" s="16">
        <f>IFERROR(__xludf.DUMMYFUNCTION("""COMPUTED_VALUE"""),0.0)</f>
        <v>0</v>
      </c>
      <c r="AB22" s="16">
        <f>IFERROR(__xludf.DUMMYFUNCTION("""COMPUTED_VALUE"""),0.0)</f>
        <v>0</v>
      </c>
      <c r="AC22" s="16">
        <f>IFERROR(__xludf.DUMMYFUNCTION("""COMPUTED_VALUE"""),0.0)</f>
        <v>0</v>
      </c>
      <c r="AD22" s="16">
        <f>IFERROR(__xludf.DUMMYFUNCTION("""COMPUTED_VALUE"""),0.0)</f>
        <v>0</v>
      </c>
      <c r="AE22" s="16">
        <f>IFERROR(__xludf.DUMMYFUNCTION("""COMPUTED_VALUE"""),0.0)</f>
        <v>0</v>
      </c>
      <c r="AF22" s="16">
        <f>IFERROR(__xludf.DUMMYFUNCTION("""COMPUTED_VALUE"""),0.0)</f>
        <v>0</v>
      </c>
      <c r="AG22" s="16">
        <f>IFERROR(__xludf.DUMMYFUNCTION("""COMPUTED_VALUE"""),0.0)</f>
        <v>0</v>
      </c>
      <c r="AH22" s="16">
        <f>IFERROR(__xludf.DUMMYFUNCTION("""COMPUTED_VALUE"""),0.0)</f>
        <v>0</v>
      </c>
    </row>
    <row r="23">
      <c r="A23" s="16" t="str">
        <f>IFERROR(__xludf.DUMMYFUNCTION("""COMPUTED_VALUE"""),"15d562c8522444b34fd8ab70e87d9d92f8b0e523")</f>
        <v>15d562c8522444b34fd8ab70e87d9d92f8b0e523</v>
      </c>
      <c r="B23" s="16" t="str">
        <f>IFERROR(__xludf.DUMMYFUNCTION("""COMPUTED_VALUE"""),"Her Second Awakening")</f>
        <v>Her Second Awakening</v>
      </c>
      <c r="C23" s="16" t="str">
        <f>IFERROR(__xludf.DUMMYFUNCTION("""COMPUTED_VALUE"""),"Fantasy")</f>
        <v>Fantasy</v>
      </c>
      <c r="D23" s="16">
        <f>IFERROR(__xludf.DUMMYFUNCTION("""COMPUTED_VALUE"""),21.0)</f>
        <v>21</v>
      </c>
      <c r="E23" s="16">
        <f>IFERROR(__xludf.DUMMYFUNCTION("""COMPUTED_VALUE"""),1.0)</f>
        <v>1</v>
      </c>
      <c r="F23" s="16">
        <f>IFERROR(__xludf.DUMMYFUNCTION("""COMPUTED_VALUE"""),0.666666666666666)</f>
        <v>0.6666666667</v>
      </c>
      <c r="G23" s="16">
        <f>IFERROR(__xludf.DUMMYFUNCTION("""COMPUTED_VALUE"""),0.571428571428571)</f>
        <v>0.5714285714</v>
      </c>
      <c r="H23" s="16">
        <f>IFERROR(__xludf.DUMMYFUNCTION("""COMPUTED_VALUE"""),0.5)</f>
        <v>0.5</v>
      </c>
      <c r="I23" s="16">
        <f>IFERROR(__xludf.DUMMYFUNCTION("""COMPUTED_VALUE"""),0.421052631578947)</f>
        <v>0.4210526316</v>
      </c>
      <c r="J23" s="16">
        <f>IFERROR(__xludf.DUMMYFUNCTION("""COMPUTED_VALUE"""),0.4)</f>
        <v>0.4</v>
      </c>
      <c r="K23" s="16">
        <f>IFERROR(__xludf.DUMMYFUNCTION("""COMPUTED_VALUE"""),0.0)</f>
        <v>0</v>
      </c>
      <c r="L23" s="16">
        <f>IFERROR(__xludf.DUMMYFUNCTION("""COMPUTED_VALUE"""),0.0)</f>
        <v>0</v>
      </c>
      <c r="M23" s="16">
        <f>IFERROR(__xludf.DUMMYFUNCTION("""COMPUTED_VALUE"""),0.0)</f>
        <v>0</v>
      </c>
      <c r="N23" s="16">
        <f>IFERROR(__xludf.DUMMYFUNCTION("""COMPUTED_VALUE"""),0.0)</f>
        <v>0</v>
      </c>
      <c r="O23" s="16">
        <f>IFERROR(__xludf.DUMMYFUNCTION("""COMPUTED_VALUE"""),0.0)</f>
        <v>0</v>
      </c>
      <c r="P23" s="16">
        <f>IFERROR(__xludf.DUMMYFUNCTION("""COMPUTED_VALUE"""),0.0)</f>
        <v>0</v>
      </c>
      <c r="Q23" s="16">
        <f>IFERROR(__xludf.DUMMYFUNCTION("""COMPUTED_VALUE"""),0.0)</f>
        <v>0</v>
      </c>
      <c r="R23" s="16">
        <f>IFERROR(__xludf.DUMMYFUNCTION("""COMPUTED_VALUE"""),0.0)</f>
        <v>0</v>
      </c>
      <c r="S23" s="16">
        <f>IFERROR(__xludf.DUMMYFUNCTION("""COMPUTED_VALUE"""),0.0)</f>
        <v>0</v>
      </c>
      <c r="T23" s="16">
        <f>IFERROR(__xludf.DUMMYFUNCTION("""COMPUTED_VALUE"""),0.0)</f>
        <v>0</v>
      </c>
      <c r="U23" s="16">
        <f>IFERROR(__xludf.DUMMYFUNCTION("""COMPUTED_VALUE"""),0.0)</f>
        <v>0</v>
      </c>
      <c r="V23" s="16">
        <f>IFERROR(__xludf.DUMMYFUNCTION("""COMPUTED_VALUE"""),0.0)</f>
        <v>0</v>
      </c>
      <c r="W23" s="16">
        <f>IFERROR(__xludf.DUMMYFUNCTION("""COMPUTED_VALUE"""),0.0)</f>
        <v>0</v>
      </c>
      <c r="X23" s="16">
        <f>IFERROR(__xludf.DUMMYFUNCTION("""COMPUTED_VALUE"""),0.0)</f>
        <v>0</v>
      </c>
      <c r="Y23" s="16">
        <f>IFERROR(__xludf.DUMMYFUNCTION("""COMPUTED_VALUE"""),0.0)</f>
        <v>0</v>
      </c>
      <c r="Z23" s="16">
        <f>IFERROR(__xludf.DUMMYFUNCTION("""COMPUTED_VALUE"""),0.0)</f>
        <v>0</v>
      </c>
      <c r="AA23" s="16">
        <f>IFERROR(__xludf.DUMMYFUNCTION("""COMPUTED_VALUE"""),0.0)</f>
        <v>0</v>
      </c>
      <c r="AB23" s="16">
        <f>IFERROR(__xludf.DUMMYFUNCTION("""COMPUTED_VALUE"""),0.0)</f>
        <v>0</v>
      </c>
      <c r="AC23" s="16">
        <f>IFERROR(__xludf.DUMMYFUNCTION("""COMPUTED_VALUE"""),0.0)</f>
        <v>0</v>
      </c>
      <c r="AD23" s="16">
        <f>IFERROR(__xludf.DUMMYFUNCTION("""COMPUTED_VALUE"""),0.0)</f>
        <v>0</v>
      </c>
      <c r="AE23" s="16">
        <f>IFERROR(__xludf.DUMMYFUNCTION("""COMPUTED_VALUE"""),0.0)</f>
        <v>0</v>
      </c>
      <c r="AF23" s="16">
        <f>IFERROR(__xludf.DUMMYFUNCTION("""COMPUTED_VALUE"""),0.0)</f>
        <v>0</v>
      </c>
      <c r="AG23" s="16">
        <f>IFERROR(__xludf.DUMMYFUNCTION("""COMPUTED_VALUE"""),0.0)</f>
        <v>0</v>
      </c>
      <c r="AH23" s="16">
        <f>IFERROR(__xludf.DUMMYFUNCTION("""COMPUTED_VALUE"""),0.0)</f>
        <v>0</v>
      </c>
    </row>
    <row r="24">
      <c r="A24" s="16" t="str">
        <f>IFERROR(__xludf.DUMMYFUNCTION("""COMPUTED_VALUE"""),"170bf0ee514e18fe892383ebee0f53a0f634136f")</f>
        <v>170bf0ee514e18fe892383ebee0f53a0f634136f</v>
      </c>
      <c r="B24" s="16" t="str">
        <f>IFERROR(__xludf.DUMMYFUNCTION("""COMPUTED_VALUE"""),"Started From the Bottom")</f>
        <v>Started From the Bottom</v>
      </c>
      <c r="C24" s="16" t="str">
        <f>IFERROR(__xludf.DUMMYFUNCTION("""COMPUTED_VALUE"""),"Drama")</f>
        <v>Drama</v>
      </c>
      <c r="D24" s="16">
        <f>IFERROR(__xludf.DUMMYFUNCTION("""COMPUTED_VALUE"""),17.0)</f>
        <v>17</v>
      </c>
      <c r="E24" s="16">
        <f>IFERROR(__xludf.DUMMYFUNCTION("""COMPUTED_VALUE"""),0.941176470588235)</f>
        <v>0.9411764706</v>
      </c>
      <c r="F24" s="16">
        <f>IFERROR(__xludf.DUMMYFUNCTION("""COMPUTED_VALUE"""),0.117647058823529)</f>
        <v>0.1176470588</v>
      </c>
      <c r="G24" s="16">
        <f>IFERROR(__xludf.DUMMYFUNCTION("""COMPUTED_VALUE"""),0.117647058823529)</f>
        <v>0.1176470588</v>
      </c>
      <c r="H24" s="16">
        <f>IFERROR(__xludf.DUMMYFUNCTION("""COMPUTED_VALUE"""),0.117647058823529)</f>
        <v>0.1176470588</v>
      </c>
      <c r="I24" s="16">
        <f>IFERROR(__xludf.DUMMYFUNCTION("""COMPUTED_VALUE"""),0.0588235294117647)</f>
        <v>0.05882352941</v>
      </c>
      <c r="J24" s="16">
        <f>IFERROR(__xludf.DUMMYFUNCTION("""COMPUTED_VALUE"""),0.125)</f>
        <v>0.125</v>
      </c>
      <c r="K24" s="16">
        <f>IFERROR(__xludf.DUMMYFUNCTION("""COMPUTED_VALUE"""),0.125)</f>
        <v>0.125</v>
      </c>
      <c r="L24" s="16">
        <f>IFERROR(__xludf.DUMMYFUNCTION("""COMPUTED_VALUE"""),0.125)</f>
        <v>0.125</v>
      </c>
      <c r="M24" s="16">
        <f>IFERROR(__xludf.DUMMYFUNCTION("""COMPUTED_VALUE"""),0.125)</f>
        <v>0.125</v>
      </c>
      <c r="N24" s="16">
        <f>IFERROR(__xludf.DUMMYFUNCTION("""COMPUTED_VALUE"""),0.1875)</f>
        <v>0.1875</v>
      </c>
      <c r="O24" s="16">
        <f>IFERROR(__xludf.DUMMYFUNCTION("""COMPUTED_VALUE"""),0.0769230769230769)</f>
        <v>0.07692307692</v>
      </c>
      <c r="P24" s="16">
        <f>IFERROR(__xludf.DUMMYFUNCTION("""COMPUTED_VALUE"""),0.0833333333333333)</f>
        <v>0.08333333333</v>
      </c>
      <c r="Q24" s="16">
        <f>IFERROR(__xludf.DUMMYFUNCTION("""COMPUTED_VALUE"""),0.111111111111111)</f>
        <v>0.1111111111</v>
      </c>
      <c r="R24" s="16">
        <f>IFERROR(__xludf.DUMMYFUNCTION("""COMPUTED_VALUE"""),0.2)</f>
        <v>0.2</v>
      </c>
      <c r="S24" s="16">
        <f>IFERROR(__xludf.DUMMYFUNCTION("""COMPUTED_VALUE"""),0.25)</f>
        <v>0.25</v>
      </c>
      <c r="T24" s="16">
        <f>IFERROR(__xludf.DUMMYFUNCTION("""COMPUTED_VALUE"""),0.0)</f>
        <v>0</v>
      </c>
      <c r="U24" s="16">
        <f>IFERROR(__xludf.DUMMYFUNCTION("""COMPUTED_VALUE"""),0.0)</f>
        <v>0</v>
      </c>
      <c r="V24" s="16">
        <f>IFERROR(__xludf.DUMMYFUNCTION("""COMPUTED_VALUE"""),0.0)</f>
        <v>0</v>
      </c>
      <c r="W24" s="16">
        <f>IFERROR(__xludf.DUMMYFUNCTION("""COMPUTED_VALUE"""),0.0)</f>
        <v>0</v>
      </c>
      <c r="X24" s="16">
        <f>IFERROR(__xludf.DUMMYFUNCTION("""COMPUTED_VALUE"""),0.0)</f>
        <v>0</v>
      </c>
      <c r="Y24" s="16">
        <f>IFERROR(__xludf.DUMMYFUNCTION("""COMPUTED_VALUE"""),0.0)</f>
        <v>0</v>
      </c>
      <c r="Z24" s="16">
        <f>IFERROR(__xludf.DUMMYFUNCTION("""COMPUTED_VALUE"""),0.0)</f>
        <v>0</v>
      </c>
      <c r="AA24" s="16">
        <f>IFERROR(__xludf.DUMMYFUNCTION("""COMPUTED_VALUE"""),0.0)</f>
        <v>0</v>
      </c>
      <c r="AB24" s="16">
        <f>IFERROR(__xludf.DUMMYFUNCTION("""COMPUTED_VALUE"""),0.0)</f>
        <v>0</v>
      </c>
      <c r="AC24" s="16">
        <f>IFERROR(__xludf.DUMMYFUNCTION("""COMPUTED_VALUE"""),0.0)</f>
        <v>0</v>
      </c>
      <c r="AD24" s="16">
        <f>IFERROR(__xludf.DUMMYFUNCTION("""COMPUTED_VALUE"""),0.0)</f>
        <v>0</v>
      </c>
      <c r="AE24" s="16">
        <f>IFERROR(__xludf.DUMMYFUNCTION("""COMPUTED_VALUE"""),0.0)</f>
        <v>0</v>
      </c>
      <c r="AF24" s="16">
        <f>IFERROR(__xludf.DUMMYFUNCTION("""COMPUTED_VALUE"""),0.0)</f>
        <v>0</v>
      </c>
      <c r="AG24" s="16">
        <f>IFERROR(__xludf.DUMMYFUNCTION("""COMPUTED_VALUE"""),0.0)</f>
        <v>0</v>
      </c>
      <c r="AH24" s="16">
        <f>IFERROR(__xludf.DUMMYFUNCTION("""COMPUTED_VALUE"""),0.0)</f>
        <v>0</v>
      </c>
    </row>
    <row r="25">
      <c r="A25" s="16" t="str">
        <f>IFERROR(__xludf.DUMMYFUNCTION("""COMPUTED_VALUE"""),"184b660f61809850b4478d5bf89e9d10794578ee")</f>
        <v>184b660f61809850b4478d5bf89e9d10794578ee</v>
      </c>
      <c r="B25" s="16" t="str">
        <f>IFERROR(__xludf.DUMMYFUNCTION("""COMPUTED_VALUE"""),"Playing with Fire")</f>
        <v>Playing with Fire</v>
      </c>
      <c r="C25" s="16" t="str">
        <f>IFERROR(__xludf.DUMMYFUNCTION("""COMPUTED_VALUE"""),"Romance")</f>
        <v>Romance</v>
      </c>
      <c r="D25" s="16">
        <f>IFERROR(__xludf.DUMMYFUNCTION("""COMPUTED_VALUE"""),74.0)</f>
        <v>74</v>
      </c>
      <c r="E25" s="16">
        <f>IFERROR(__xludf.DUMMYFUNCTION("""COMPUTED_VALUE"""),0.878378378378378)</f>
        <v>0.8783783784</v>
      </c>
      <c r="F25" s="16">
        <f>IFERROR(__xludf.DUMMYFUNCTION("""COMPUTED_VALUE"""),0.432432432432432)</f>
        <v>0.4324324324</v>
      </c>
      <c r="G25" s="16">
        <f>IFERROR(__xludf.DUMMYFUNCTION("""COMPUTED_VALUE"""),0.405405405405405)</f>
        <v>0.4054054054</v>
      </c>
      <c r="H25" s="16">
        <f>IFERROR(__xludf.DUMMYFUNCTION("""COMPUTED_VALUE"""),0.364864864864864)</f>
        <v>0.3648648649</v>
      </c>
      <c r="I25" s="16">
        <f>IFERROR(__xludf.DUMMYFUNCTION("""COMPUTED_VALUE"""),0.31081081081081)</f>
        <v>0.3108108108</v>
      </c>
      <c r="J25" s="16">
        <f>IFERROR(__xludf.DUMMYFUNCTION("""COMPUTED_VALUE"""),0.283783783783783)</f>
        <v>0.2837837838</v>
      </c>
      <c r="K25" s="16">
        <f>IFERROR(__xludf.DUMMYFUNCTION("""COMPUTED_VALUE"""),0.297297297297297)</f>
        <v>0.2972972973</v>
      </c>
      <c r="L25" s="16">
        <f>IFERROR(__xludf.DUMMYFUNCTION("""COMPUTED_VALUE"""),0.229729729729729)</f>
        <v>0.2297297297</v>
      </c>
      <c r="M25" s="16">
        <f>IFERROR(__xludf.DUMMYFUNCTION("""COMPUTED_VALUE"""),0.27027027027027)</f>
        <v>0.2702702703</v>
      </c>
      <c r="N25" s="16">
        <f>IFERROR(__xludf.DUMMYFUNCTION("""COMPUTED_VALUE"""),0.256756756756756)</f>
        <v>0.2567567568</v>
      </c>
      <c r="O25" s="16">
        <f>IFERROR(__xludf.DUMMYFUNCTION("""COMPUTED_VALUE"""),0.260273972602739)</f>
        <v>0.2602739726</v>
      </c>
      <c r="P25" s="16">
        <f>IFERROR(__xludf.DUMMYFUNCTION("""COMPUTED_VALUE"""),0.178082191780821)</f>
        <v>0.1780821918</v>
      </c>
      <c r="Q25" s="16">
        <f>IFERROR(__xludf.DUMMYFUNCTION("""COMPUTED_VALUE"""),0.0217391304347826)</f>
        <v>0.02173913043</v>
      </c>
      <c r="R25" s="16">
        <f>IFERROR(__xludf.DUMMYFUNCTION("""COMPUTED_VALUE"""),0.0)</f>
        <v>0</v>
      </c>
      <c r="S25" s="16">
        <f>IFERROR(__xludf.DUMMYFUNCTION("""COMPUTED_VALUE"""),0.0)</f>
        <v>0</v>
      </c>
      <c r="T25" s="16">
        <f>IFERROR(__xludf.DUMMYFUNCTION("""COMPUTED_VALUE"""),0.0)</f>
        <v>0</v>
      </c>
      <c r="U25" s="16">
        <f>IFERROR(__xludf.DUMMYFUNCTION("""COMPUTED_VALUE"""),0.0)</f>
        <v>0</v>
      </c>
      <c r="V25" s="16">
        <f>IFERROR(__xludf.DUMMYFUNCTION("""COMPUTED_VALUE"""),0.0)</f>
        <v>0</v>
      </c>
      <c r="W25" s="16">
        <f>IFERROR(__xludf.DUMMYFUNCTION("""COMPUTED_VALUE"""),0.0)</f>
        <v>0</v>
      </c>
      <c r="X25" s="16">
        <f>IFERROR(__xludf.DUMMYFUNCTION("""COMPUTED_VALUE"""),0.0)</f>
        <v>0</v>
      </c>
      <c r="Y25" s="16">
        <f>IFERROR(__xludf.DUMMYFUNCTION("""COMPUTED_VALUE"""),0.0)</f>
        <v>0</v>
      </c>
      <c r="Z25" s="16">
        <f>IFERROR(__xludf.DUMMYFUNCTION("""COMPUTED_VALUE"""),0.0)</f>
        <v>0</v>
      </c>
      <c r="AA25" s="16">
        <f>IFERROR(__xludf.DUMMYFUNCTION("""COMPUTED_VALUE"""),0.0)</f>
        <v>0</v>
      </c>
      <c r="AB25" s="16">
        <f>IFERROR(__xludf.DUMMYFUNCTION("""COMPUTED_VALUE"""),0.0)</f>
        <v>0</v>
      </c>
      <c r="AC25" s="16">
        <f>IFERROR(__xludf.DUMMYFUNCTION("""COMPUTED_VALUE"""),0.0)</f>
        <v>0</v>
      </c>
      <c r="AD25" s="16">
        <f>IFERROR(__xludf.DUMMYFUNCTION("""COMPUTED_VALUE"""),0.0)</f>
        <v>0</v>
      </c>
      <c r="AE25" s="16">
        <f>IFERROR(__xludf.DUMMYFUNCTION("""COMPUTED_VALUE"""),0.0)</f>
        <v>0</v>
      </c>
      <c r="AF25" s="16">
        <f>IFERROR(__xludf.DUMMYFUNCTION("""COMPUTED_VALUE"""),0.0)</f>
        <v>0</v>
      </c>
      <c r="AG25" s="16">
        <f>IFERROR(__xludf.DUMMYFUNCTION("""COMPUTED_VALUE"""),0.0)</f>
        <v>0</v>
      </c>
      <c r="AH25" s="16">
        <f>IFERROR(__xludf.DUMMYFUNCTION("""COMPUTED_VALUE"""),0.0)</f>
        <v>0</v>
      </c>
    </row>
    <row r="26">
      <c r="A26" s="16" t="str">
        <f>IFERROR(__xludf.DUMMYFUNCTION("""COMPUTED_VALUE"""),"19153cd9dd2e137f1311235c9104db0ecba38abb")</f>
        <v>19153cd9dd2e137f1311235c9104db0ecba38abb</v>
      </c>
      <c r="B26" s="16" t="str">
        <f>IFERROR(__xludf.DUMMYFUNCTION("""COMPUTED_VALUE"""),"My Apex Trading System")</f>
        <v>My Apex Trading System</v>
      </c>
      <c r="C26" s="16" t="str">
        <f>IFERROR(__xludf.DUMMYFUNCTION("""COMPUTED_VALUE"""),"Sci-Fi")</f>
        <v>Sci-Fi</v>
      </c>
      <c r="D26" s="16">
        <f>IFERROR(__xludf.DUMMYFUNCTION("""COMPUTED_VALUE"""),31.0)</f>
        <v>31</v>
      </c>
      <c r="E26" s="16">
        <f>IFERROR(__xludf.DUMMYFUNCTION("""COMPUTED_VALUE"""),0.903225806451612)</f>
        <v>0.9032258065</v>
      </c>
      <c r="F26" s="16">
        <f>IFERROR(__xludf.DUMMYFUNCTION("""COMPUTED_VALUE"""),0.516129032258064)</f>
        <v>0.5161290323</v>
      </c>
      <c r="G26" s="16">
        <f>IFERROR(__xludf.DUMMYFUNCTION("""COMPUTED_VALUE"""),0.419354838709677)</f>
        <v>0.4193548387</v>
      </c>
      <c r="H26" s="16">
        <f>IFERROR(__xludf.DUMMYFUNCTION("""COMPUTED_VALUE"""),0.419354838709677)</f>
        <v>0.4193548387</v>
      </c>
      <c r="I26" s="16">
        <f>IFERROR(__xludf.DUMMYFUNCTION("""COMPUTED_VALUE"""),0.419354838709677)</f>
        <v>0.4193548387</v>
      </c>
      <c r="J26" s="16">
        <f>IFERROR(__xludf.DUMMYFUNCTION("""COMPUTED_VALUE"""),0.387096774193548)</f>
        <v>0.3870967742</v>
      </c>
      <c r="K26" s="16">
        <f>IFERROR(__xludf.DUMMYFUNCTION("""COMPUTED_VALUE"""),0.387096774193548)</f>
        <v>0.3870967742</v>
      </c>
      <c r="L26" s="16">
        <f>IFERROR(__xludf.DUMMYFUNCTION("""COMPUTED_VALUE"""),0.379310344827586)</f>
        <v>0.3793103448</v>
      </c>
      <c r="M26" s="16">
        <f>IFERROR(__xludf.DUMMYFUNCTION("""COMPUTED_VALUE"""),0.296296296296296)</f>
        <v>0.2962962963</v>
      </c>
      <c r="N26" s="16">
        <f>IFERROR(__xludf.DUMMYFUNCTION("""COMPUTED_VALUE"""),0.304347826086956)</f>
        <v>0.3043478261</v>
      </c>
      <c r="O26" s="16">
        <f>IFERROR(__xludf.DUMMYFUNCTION("""COMPUTED_VALUE"""),0.2)</f>
        <v>0.2</v>
      </c>
      <c r="P26" s="16">
        <f>IFERROR(__xludf.DUMMYFUNCTION("""COMPUTED_VALUE"""),0.25)</f>
        <v>0.25</v>
      </c>
      <c r="Q26" s="16">
        <f>IFERROR(__xludf.DUMMYFUNCTION("""COMPUTED_VALUE"""),0.0)</f>
        <v>0</v>
      </c>
      <c r="R26" s="16">
        <f>IFERROR(__xludf.DUMMYFUNCTION("""COMPUTED_VALUE"""),0.0)</f>
        <v>0</v>
      </c>
      <c r="S26" s="16">
        <f>IFERROR(__xludf.DUMMYFUNCTION("""COMPUTED_VALUE"""),0.0)</f>
        <v>0</v>
      </c>
      <c r="T26" s="16">
        <f>IFERROR(__xludf.DUMMYFUNCTION("""COMPUTED_VALUE"""),0.0)</f>
        <v>0</v>
      </c>
      <c r="U26" s="16">
        <f>IFERROR(__xludf.DUMMYFUNCTION("""COMPUTED_VALUE"""),0.0)</f>
        <v>0</v>
      </c>
      <c r="V26" s="16">
        <f>IFERROR(__xludf.DUMMYFUNCTION("""COMPUTED_VALUE"""),0.0)</f>
        <v>0</v>
      </c>
      <c r="W26" s="16">
        <f>IFERROR(__xludf.DUMMYFUNCTION("""COMPUTED_VALUE"""),0.0)</f>
        <v>0</v>
      </c>
      <c r="X26" s="16">
        <f>IFERROR(__xludf.DUMMYFUNCTION("""COMPUTED_VALUE"""),0.0)</f>
        <v>0</v>
      </c>
      <c r="Y26" s="16">
        <f>IFERROR(__xludf.DUMMYFUNCTION("""COMPUTED_VALUE"""),0.0)</f>
        <v>0</v>
      </c>
      <c r="Z26" s="16">
        <f>IFERROR(__xludf.DUMMYFUNCTION("""COMPUTED_VALUE"""),0.0)</f>
        <v>0</v>
      </c>
      <c r="AA26" s="16">
        <f>IFERROR(__xludf.DUMMYFUNCTION("""COMPUTED_VALUE"""),0.0)</f>
        <v>0</v>
      </c>
      <c r="AB26" s="16">
        <f>IFERROR(__xludf.DUMMYFUNCTION("""COMPUTED_VALUE"""),0.0)</f>
        <v>0</v>
      </c>
      <c r="AC26" s="16">
        <f>IFERROR(__xludf.DUMMYFUNCTION("""COMPUTED_VALUE"""),0.0)</f>
        <v>0</v>
      </c>
      <c r="AD26" s="16">
        <f>IFERROR(__xludf.DUMMYFUNCTION("""COMPUTED_VALUE"""),0.0)</f>
        <v>0</v>
      </c>
      <c r="AE26" s="16">
        <f>IFERROR(__xludf.DUMMYFUNCTION("""COMPUTED_VALUE"""),0.0)</f>
        <v>0</v>
      </c>
      <c r="AF26" s="16">
        <f>IFERROR(__xludf.DUMMYFUNCTION("""COMPUTED_VALUE"""),0.0)</f>
        <v>0</v>
      </c>
      <c r="AG26" s="16">
        <f>IFERROR(__xludf.DUMMYFUNCTION("""COMPUTED_VALUE"""),0.0)</f>
        <v>0</v>
      </c>
      <c r="AH26" s="16">
        <f>IFERROR(__xludf.DUMMYFUNCTION("""COMPUTED_VALUE"""),0.0)</f>
        <v>0</v>
      </c>
    </row>
    <row r="27">
      <c r="A27" s="16" t="str">
        <f>IFERROR(__xludf.DUMMYFUNCTION("""COMPUTED_VALUE"""),"19636f24104780140ebb745525226a8989f6b562")</f>
        <v>19636f24104780140ebb745525226a8989f6b562</v>
      </c>
      <c r="B27" s="16" t="str">
        <f>IFERROR(__xludf.DUMMYFUNCTION("""COMPUTED_VALUE"""),"Billionare Revenge System")</f>
        <v>Billionare Revenge System</v>
      </c>
      <c r="C27" s="16" t="str">
        <f>IFERROR(__xludf.DUMMYFUNCTION("""COMPUTED_VALUE"""),"Fantasy")</f>
        <v>Fantasy</v>
      </c>
      <c r="D27" s="16">
        <f>IFERROR(__xludf.DUMMYFUNCTION("""COMPUTED_VALUE"""),49.0)</f>
        <v>49</v>
      </c>
      <c r="E27" s="16">
        <f>IFERROR(__xludf.DUMMYFUNCTION("""COMPUTED_VALUE"""),0.979591836734693)</f>
        <v>0.9795918367</v>
      </c>
      <c r="F27" s="16">
        <f>IFERROR(__xludf.DUMMYFUNCTION("""COMPUTED_VALUE"""),0.816326530612244)</f>
        <v>0.8163265306</v>
      </c>
      <c r="G27" s="16">
        <f>IFERROR(__xludf.DUMMYFUNCTION("""COMPUTED_VALUE"""),0.673469387755102)</f>
        <v>0.6734693878</v>
      </c>
      <c r="H27" s="16">
        <f>IFERROR(__xludf.DUMMYFUNCTION("""COMPUTED_VALUE"""),0.653061224489795)</f>
        <v>0.6530612245</v>
      </c>
      <c r="I27" s="16">
        <f>IFERROR(__xludf.DUMMYFUNCTION("""COMPUTED_VALUE"""),0.632653061224489)</f>
        <v>0.6326530612</v>
      </c>
      <c r="J27" s="16">
        <f>IFERROR(__xludf.DUMMYFUNCTION("""COMPUTED_VALUE"""),0.612244897959183)</f>
        <v>0.612244898</v>
      </c>
      <c r="K27" s="16">
        <f>IFERROR(__xludf.DUMMYFUNCTION("""COMPUTED_VALUE"""),0.612244897959183)</f>
        <v>0.612244898</v>
      </c>
      <c r="L27" s="16">
        <f>IFERROR(__xludf.DUMMYFUNCTION("""COMPUTED_VALUE"""),0.571428571428571)</f>
        <v>0.5714285714</v>
      </c>
      <c r="M27" s="16">
        <f>IFERROR(__xludf.DUMMYFUNCTION("""COMPUTED_VALUE"""),0.510204081632653)</f>
        <v>0.5102040816</v>
      </c>
      <c r="N27" s="16">
        <f>IFERROR(__xludf.DUMMYFUNCTION("""COMPUTED_VALUE"""),0.5)</f>
        <v>0.5</v>
      </c>
      <c r="O27" s="16">
        <f>IFERROR(__xludf.DUMMYFUNCTION("""COMPUTED_VALUE"""),0.606060606060606)</f>
        <v>0.6060606061</v>
      </c>
      <c r="P27" s="16">
        <f>IFERROR(__xludf.DUMMYFUNCTION("""COMPUTED_VALUE"""),0.8)</f>
        <v>0.8</v>
      </c>
      <c r="Q27" s="16">
        <f>IFERROR(__xludf.DUMMYFUNCTION("""COMPUTED_VALUE"""),0.0)</f>
        <v>0</v>
      </c>
      <c r="R27" s="16">
        <f>IFERROR(__xludf.DUMMYFUNCTION("""COMPUTED_VALUE"""),0.0)</f>
        <v>0</v>
      </c>
      <c r="S27" s="16">
        <f>IFERROR(__xludf.DUMMYFUNCTION("""COMPUTED_VALUE"""),0.0)</f>
        <v>0</v>
      </c>
      <c r="T27" s="16">
        <f>IFERROR(__xludf.DUMMYFUNCTION("""COMPUTED_VALUE"""),0.0)</f>
        <v>0</v>
      </c>
      <c r="U27" s="16">
        <f>IFERROR(__xludf.DUMMYFUNCTION("""COMPUTED_VALUE"""),0.0)</f>
        <v>0</v>
      </c>
      <c r="V27" s="16">
        <f>IFERROR(__xludf.DUMMYFUNCTION("""COMPUTED_VALUE"""),0.0)</f>
        <v>0</v>
      </c>
      <c r="W27" s="16">
        <f>IFERROR(__xludf.DUMMYFUNCTION("""COMPUTED_VALUE"""),0.0)</f>
        <v>0</v>
      </c>
      <c r="X27" s="16">
        <f>IFERROR(__xludf.DUMMYFUNCTION("""COMPUTED_VALUE"""),0.0)</f>
        <v>0</v>
      </c>
      <c r="Y27" s="16">
        <f>IFERROR(__xludf.DUMMYFUNCTION("""COMPUTED_VALUE"""),0.0)</f>
        <v>0</v>
      </c>
      <c r="Z27" s="16">
        <f>IFERROR(__xludf.DUMMYFUNCTION("""COMPUTED_VALUE"""),0.0)</f>
        <v>0</v>
      </c>
      <c r="AA27" s="16">
        <f>IFERROR(__xludf.DUMMYFUNCTION("""COMPUTED_VALUE"""),0.0)</f>
        <v>0</v>
      </c>
      <c r="AB27" s="16">
        <f>IFERROR(__xludf.DUMMYFUNCTION("""COMPUTED_VALUE"""),0.0)</f>
        <v>0</v>
      </c>
      <c r="AC27" s="16">
        <f>IFERROR(__xludf.DUMMYFUNCTION("""COMPUTED_VALUE"""),0.0)</f>
        <v>0</v>
      </c>
      <c r="AD27" s="16">
        <f>IFERROR(__xludf.DUMMYFUNCTION("""COMPUTED_VALUE"""),0.0)</f>
        <v>0</v>
      </c>
      <c r="AE27" s="16">
        <f>IFERROR(__xludf.DUMMYFUNCTION("""COMPUTED_VALUE"""),0.0)</f>
        <v>0</v>
      </c>
      <c r="AF27" s="16">
        <f>IFERROR(__xludf.DUMMYFUNCTION("""COMPUTED_VALUE"""),0.0)</f>
        <v>0</v>
      </c>
      <c r="AG27" s="16">
        <f>IFERROR(__xludf.DUMMYFUNCTION("""COMPUTED_VALUE"""),0.0)</f>
        <v>0</v>
      </c>
      <c r="AH27" s="16">
        <f>IFERROR(__xludf.DUMMYFUNCTION("""COMPUTED_VALUE"""),0.0)</f>
        <v>0</v>
      </c>
    </row>
    <row r="28">
      <c r="A28" s="16" t="str">
        <f>IFERROR(__xludf.DUMMYFUNCTION("""COMPUTED_VALUE"""),"1a5df306886a7b0e7736ec2c8efad3467507a1c6")</f>
        <v>1a5df306886a7b0e7736ec2c8efad3467507a1c6</v>
      </c>
      <c r="B28" s="16" t="str">
        <f>IFERROR(__xludf.DUMMYFUNCTION("""COMPUTED_VALUE"""),"Billionaire Bentley’s Runaway Princess")</f>
        <v>Billionaire Bentley’s Runaway Princess</v>
      </c>
      <c r="C28" s="16" t="str">
        <f>IFERROR(__xludf.DUMMYFUNCTION("""COMPUTED_VALUE"""),"Romance")</f>
        <v>Romance</v>
      </c>
      <c r="D28" s="16">
        <f>IFERROR(__xludf.DUMMYFUNCTION("""COMPUTED_VALUE"""),3647.0)</f>
        <v>3647</v>
      </c>
      <c r="E28" s="16">
        <f>IFERROR(__xludf.DUMMYFUNCTION("""COMPUTED_VALUE"""),0.938031258568686)</f>
        <v>0.9380312586</v>
      </c>
      <c r="F28" s="16">
        <f>IFERROR(__xludf.DUMMYFUNCTION("""COMPUTED_VALUE"""),0.437345763641349)</f>
        <v>0.4373457636</v>
      </c>
      <c r="G28" s="16">
        <f>IFERROR(__xludf.DUMMYFUNCTION("""COMPUTED_VALUE"""),0.384973951192761)</f>
        <v>0.3849739512</v>
      </c>
      <c r="H28" s="16">
        <f>IFERROR(__xludf.DUMMYFUNCTION("""COMPUTED_VALUE"""),0.360296133808609)</f>
        <v>0.3602961338</v>
      </c>
      <c r="I28" s="16">
        <f>IFERROR(__xludf.DUMMYFUNCTION("""COMPUTED_VALUE"""),0.343115743280307)</f>
        <v>0.3431157433</v>
      </c>
      <c r="J28" s="16">
        <f>IFERROR(__xludf.DUMMYFUNCTION("""COMPUTED_VALUE"""),0.318792866941015)</f>
        <v>0.3187928669</v>
      </c>
      <c r="K28" s="16">
        <f>IFERROR(__xludf.DUMMYFUNCTION("""COMPUTED_VALUE"""),0.308093278463648)</f>
        <v>0.3080932785</v>
      </c>
      <c r="L28" s="16">
        <f>IFERROR(__xludf.DUMMYFUNCTION("""COMPUTED_VALUE"""),0.298269706124691)</f>
        <v>0.2982697061</v>
      </c>
      <c r="M28" s="16">
        <f>IFERROR(__xludf.DUMMYFUNCTION("""COMPUTED_VALUE"""),0.27809837867546)</f>
        <v>0.2780983787</v>
      </c>
      <c r="N28" s="16">
        <f>IFERROR(__xludf.DUMMYFUNCTION("""COMPUTED_VALUE"""),0.282453245324532)</f>
        <v>0.2824532453</v>
      </c>
      <c r="O28" s="16">
        <f>IFERROR(__xludf.DUMMYFUNCTION("""COMPUTED_VALUE"""),0.218620116375727)</f>
        <v>0.2186201164</v>
      </c>
      <c r="P28" s="16">
        <f>IFERROR(__xludf.DUMMYFUNCTION("""COMPUTED_VALUE"""),0.183817310403157)</f>
        <v>0.1838173104</v>
      </c>
      <c r="Q28" s="16">
        <f>IFERROR(__xludf.DUMMYFUNCTION("""COMPUTED_VALUE"""),0.162746344564526)</f>
        <v>0.1627463446</v>
      </c>
      <c r="R28" s="16">
        <f>IFERROR(__xludf.DUMMYFUNCTION("""COMPUTED_VALUE"""),0.0)</f>
        <v>0</v>
      </c>
      <c r="S28" s="16">
        <f>IFERROR(__xludf.DUMMYFUNCTION("""COMPUTED_VALUE"""),0.0)</f>
        <v>0</v>
      </c>
      <c r="T28" s="16">
        <f>IFERROR(__xludf.DUMMYFUNCTION("""COMPUTED_VALUE"""),0.0)</f>
        <v>0</v>
      </c>
      <c r="U28" s="16">
        <f>IFERROR(__xludf.DUMMYFUNCTION("""COMPUTED_VALUE"""),0.0)</f>
        <v>0</v>
      </c>
      <c r="V28" s="16">
        <f>IFERROR(__xludf.DUMMYFUNCTION("""COMPUTED_VALUE"""),0.0)</f>
        <v>0</v>
      </c>
      <c r="W28" s="16">
        <f>IFERROR(__xludf.DUMMYFUNCTION("""COMPUTED_VALUE"""),0.0)</f>
        <v>0</v>
      </c>
      <c r="X28" s="16">
        <f>IFERROR(__xludf.DUMMYFUNCTION("""COMPUTED_VALUE"""),0.0)</f>
        <v>0</v>
      </c>
      <c r="Y28" s="16">
        <f>IFERROR(__xludf.DUMMYFUNCTION("""COMPUTED_VALUE"""),0.0)</f>
        <v>0</v>
      </c>
      <c r="Z28" s="16">
        <f>IFERROR(__xludf.DUMMYFUNCTION("""COMPUTED_VALUE"""),0.0)</f>
        <v>0</v>
      </c>
      <c r="AA28" s="16">
        <f>IFERROR(__xludf.DUMMYFUNCTION("""COMPUTED_VALUE"""),0.0)</f>
        <v>0</v>
      </c>
      <c r="AB28" s="16">
        <f>IFERROR(__xludf.DUMMYFUNCTION("""COMPUTED_VALUE"""),0.0)</f>
        <v>0</v>
      </c>
      <c r="AC28" s="16">
        <f>IFERROR(__xludf.DUMMYFUNCTION("""COMPUTED_VALUE"""),0.0)</f>
        <v>0</v>
      </c>
      <c r="AD28" s="16">
        <f>IFERROR(__xludf.DUMMYFUNCTION("""COMPUTED_VALUE"""),0.0)</f>
        <v>0</v>
      </c>
      <c r="AE28" s="16">
        <f>IFERROR(__xludf.DUMMYFUNCTION("""COMPUTED_VALUE"""),0.0)</f>
        <v>0</v>
      </c>
      <c r="AF28" s="16">
        <f>IFERROR(__xludf.DUMMYFUNCTION("""COMPUTED_VALUE"""),0.0)</f>
        <v>0</v>
      </c>
      <c r="AG28" s="16">
        <f>IFERROR(__xludf.DUMMYFUNCTION("""COMPUTED_VALUE"""),0.0)</f>
        <v>0</v>
      </c>
      <c r="AH28" s="16">
        <f>IFERROR(__xludf.DUMMYFUNCTION("""COMPUTED_VALUE"""),0.0)</f>
        <v>0</v>
      </c>
    </row>
    <row r="29">
      <c r="A29" s="16" t="str">
        <f>IFERROR(__xludf.DUMMYFUNCTION("""COMPUTED_VALUE"""),"1b5acb214bfe00156d933b176eef6987dcf9aa8c")</f>
        <v>1b5acb214bfe00156d933b176eef6987dcf9aa8c</v>
      </c>
      <c r="B29" s="16" t="str">
        <f>IFERROR(__xludf.DUMMYFUNCTION("""COMPUTED_VALUE"""),"The Night Forgotten by Us")</f>
        <v>The Night Forgotten by Us</v>
      </c>
      <c r="C29" s="16" t="str">
        <f>IFERROR(__xludf.DUMMYFUNCTION("""COMPUTED_VALUE"""),"Romance")</f>
        <v>Romance</v>
      </c>
      <c r="D29" s="16">
        <f>IFERROR(__xludf.DUMMYFUNCTION("""COMPUTED_VALUE"""),772.0)</f>
        <v>772</v>
      </c>
      <c r="E29" s="16">
        <f>IFERROR(__xludf.DUMMYFUNCTION("""COMPUTED_VALUE"""),0.94041450777202)</f>
        <v>0.9404145078</v>
      </c>
      <c r="F29" s="16">
        <f>IFERROR(__xludf.DUMMYFUNCTION("""COMPUTED_VALUE"""),0.550518134715025)</f>
        <v>0.5505181347</v>
      </c>
      <c r="G29" s="16">
        <f>IFERROR(__xludf.DUMMYFUNCTION("""COMPUTED_VALUE"""),0.505181347150259)</f>
        <v>0.5051813472</v>
      </c>
      <c r="H29" s="16">
        <f>IFERROR(__xludf.DUMMYFUNCTION("""COMPUTED_VALUE"""),0.455958549222797)</f>
        <v>0.4559585492</v>
      </c>
      <c r="I29" s="16">
        <f>IFERROR(__xludf.DUMMYFUNCTION("""COMPUTED_VALUE"""),0.444300518134715)</f>
        <v>0.4443005181</v>
      </c>
      <c r="J29" s="16">
        <f>IFERROR(__xludf.DUMMYFUNCTION("""COMPUTED_VALUE"""),0.432642487046632)</f>
        <v>0.432642487</v>
      </c>
      <c r="K29" s="16">
        <f>IFERROR(__xludf.DUMMYFUNCTION("""COMPUTED_VALUE"""),0.41015625)</f>
        <v>0.41015625</v>
      </c>
      <c r="L29" s="16">
        <f>IFERROR(__xludf.DUMMYFUNCTION("""COMPUTED_VALUE"""),0.397135416666666)</f>
        <v>0.3971354167</v>
      </c>
      <c r="M29" s="16">
        <f>IFERROR(__xludf.DUMMYFUNCTION("""COMPUTED_VALUE"""),0.379446640316205)</f>
        <v>0.3794466403</v>
      </c>
      <c r="N29" s="16">
        <f>IFERROR(__xludf.DUMMYFUNCTION("""COMPUTED_VALUE"""),0.374176548089591)</f>
        <v>0.3741765481</v>
      </c>
      <c r="O29" s="16">
        <f>IFERROR(__xludf.DUMMYFUNCTION("""COMPUTED_VALUE"""),0.360273972602739)</f>
        <v>0.3602739726</v>
      </c>
      <c r="P29" s="16">
        <f>IFERROR(__xludf.DUMMYFUNCTION("""COMPUTED_VALUE"""),0.277198211624441)</f>
        <v>0.2771982116</v>
      </c>
      <c r="Q29" s="16">
        <f>IFERROR(__xludf.DUMMYFUNCTION("""COMPUTED_VALUE"""),0.220113851992409)</f>
        <v>0.220113852</v>
      </c>
      <c r="R29" s="16">
        <f>IFERROR(__xludf.DUMMYFUNCTION("""COMPUTED_VALUE"""),0.0)</f>
        <v>0</v>
      </c>
      <c r="S29" s="16">
        <f>IFERROR(__xludf.DUMMYFUNCTION("""COMPUTED_VALUE"""),0.0)</f>
        <v>0</v>
      </c>
      <c r="T29" s="16">
        <f>IFERROR(__xludf.DUMMYFUNCTION("""COMPUTED_VALUE"""),0.0)</f>
        <v>0</v>
      </c>
      <c r="U29" s="16">
        <f>IFERROR(__xludf.DUMMYFUNCTION("""COMPUTED_VALUE"""),0.0)</f>
        <v>0</v>
      </c>
      <c r="V29" s="16">
        <f>IFERROR(__xludf.DUMMYFUNCTION("""COMPUTED_VALUE"""),0.0)</f>
        <v>0</v>
      </c>
      <c r="W29" s="16">
        <f>IFERROR(__xludf.DUMMYFUNCTION("""COMPUTED_VALUE"""),0.0)</f>
        <v>0</v>
      </c>
      <c r="X29" s="16">
        <f>IFERROR(__xludf.DUMMYFUNCTION("""COMPUTED_VALUE"""),0.0)</f>
        <v>0</v>
      </c>
      <c r="Y29" s="16">
        <f>IFERROR(__xludf.DUMMYFUNCTION("""COMPUTED_VALUE"""),0.0)</f>
        <v>0</v>
      </c>
      <c r="Z29" s="16">
        <f>IFERROR(__xludf.DUMMYFUNCTION("""COMPUTED_VALUE"""),0.0)</f>
        <v>0</v>
      </c>
      <c r="AA29" s="16">
        <f>IFERROR(__xludf.DUMMYFUNCTION("""COMPUTED_VALUE"""),0.0)</f>
        <v>0</v>
      </c>
      <c r="AB29" s="16">
        <f>IFERROR(__xludf.DUMMYFUNCTION("""COMPUTED_VALUE"""),0.0)</f>
        <v>0</v>
      </c>
      <c r="AC29" s="16">
        <f>IFERROR(__xludf.DUMMYFUNCTION("""COMPUTED_VALUE"""),0.0)</f>
        <v>0</v>
      </c>
      <c r="AD29" s="16">
        <f>IFERROR(__xludf.DUMMYFUNCTION("""COMPUTED_VALUE"""),0.0)</f>
        <v>0</v>
      </c>
      <c r="AE29" s="16">
        <f>IFERROR(__xludf.DUMMYFUNCTION("""COMPUTED_VALUE"""),0.0)</f>
        <v>0</v>
      </c>
      <c r="AF29" s="16">
        <f>IFERROR(__xludf.DUMMYFUNCTION("""COMPUTED_VALUE"""),0.0)</f>
        <v>0</v>
      </c>
      <c r="AG29" s="16">
        <f>IFERROR(__xludf.DUMMYFUNCTION("""COMPUTED_VALUE"""),0.0)</f>
        <v>0</v>
      </c>
      <c r="AH29" s="16">
        <f>IFERROR(__xludf.DUMMYFUNCTION("""COMPUTED_VALUE"""),0.0)</f>
        <v>0</v>
      </c>
    </row>
    <row r="30">
      <c r="A30" s="16" t="str">
        <f>IFERROR(__xludf.DUMMYFUNCTION("""COMPUTED_VALUE"""),"1b7d7de6c90d2460cfe3da014469e3c056fec830")</f>
        <v>1b7d7de6c90d2460cfe3da014469e3c056fec830</v>
      </c>
      <c r="B30" s="16" t="str">
        <f>IFERROR(__xludf.DUMMYFUNCTION("""COMPUTED_VALUE"""),"The Ceo's Secret Babies")</f>
        <v>The Ceo's Secret Babies</v>
      </c>
      <c r="C30" s="16" t="str">
        <f>IFERROR(__xludf.DUMMYFUNCTION("""COMPUTED_VALUE"""),"Romance")</f>
        <v>Romance</v>
      </c>
      <c r="D30" s="16">
        <f>IFERROR(__xludf.DUMMYFUNCTION("""COMPUTED_VALUE"""),346.0)</f>
        <v>346</v>
      </c>
      <c r="E30" s="16">
        <f>IFERROR(__xludf.DUMMYFUNCTION("""COMPUTED_VALUE"""),0.901734104046242)</f>
        <v>0.901734104</v>
      </c>
      <c r="F30" s="16">
        <f>IFERROR(__xludf.DUMMYFUNCTION("""COMPUTED_VALUE"""),0.572254335260115)</f>
        <v>0.5722543353</v>
      </c>
      <c r="G30" s="16">
        <f>IFERROR(__xludf.DUMMYFUNCTION("""COMPUTED_VALUE"""),0.491329479768786)</f>
        <v>0.4913294798</v>
      </c>
      <c r="H30" s="16">
        <f>IFERROR(__xludf.DUMMYFUNCTION("""COMPUTED_VALUE"""),0.495652173913043)</f>
        <v>0.4956521739</v>
      </c>
      <c r="I30" s="16">
        <f>IFERROR(__xludf.DUMMYFUNCTION("""COMPUTED_VALUE"""),0.481159420289855)</f>
        <v>0.4811594203</v>
      </c>
      <c r="J30" s="16">
        <f>IFERROR(__xludf.DUMMYFUNCTION("""COMPUTED_VALUE"""),0.426086956521739)</f>
        <v>0.4260869565</v>
      </c>
      <c r="K30" s="16">
        <f>IFERROR(__xludf.DUMMYFUNCTION("""COMPUTED_VALUE"""),0.38235294117647)</f>
        <v>0.3823529412</v>
      </c>
      <c r="L30" s="16">
        <f>IFERROR(__xludf.DUMMYFUNCTION("""COMPUTED_VALUE"""),0.348214285714285)</f>
        <v>0.3482142857</v>
      </c>
      <c r="M30" s="16">
        <f>IFERROR(__xludf.DUMMYFUNCTION("""COMPUTED_VALUE"""),0.354545454545454)</f>
        <v>0.3545454545</v>
      </c>
      <c r="N30" s="16">
        <f>IFERROR(__xludf.DUMMYFUNCTION("""COMPUTED_VALUE"""),0.363076923076923)</f>
        <v>0.3630769231</v>
      </c>
      <c r="O30" s="16">
        <f>IFERROR(__xludf.DUMMYFUNCTION("""COMPUTED_VALUE"""),0.275080906148867)</f>
        <v>0.2750809061</v>
      </c>
      <c r="P30" s="16">
        <f>IFERROR(__xludf.DUMMYFUNCTION("""COMPUTED_VALUE"""),0.217391304347826)</f>
        <v>0.2173913043</v>
      </c>
      <c r="Q30" s="16">
        <f>IFERROR(__xludf.DUMMYFUNCTION("""COMPUTED_VALUE"""),0.0948905109489051)</f>
        <v>0.09489051095</v>
      </c>
      <c r="R30" s="16">
        <f>IFERROR(__xludf.DUMMYFUNCTION("""COMPUTED_VALUE"""),0.0364963503649635)</f>
        <v>0.03649635036</v>
      </c>
      <c r="S30" s="16">
        <f>IFERROR(__xludf.DUMMYFUNCTION("""COMPUTED_VALUE"""),0.0252525252525252)</f>
        <v>0.02525252525</v>
      </c>
      <c r="T30" s="16">
        <f>IFERROR(__xludf.DUMMYFUNCTION("""COMPUTED_VALUE"""),0.0)</f>
        <v>0</v>
      </c>
      <c r="U30" s="16">
        <f>IFERROR(__xludf.DUMMYFUNCTION("""COMPUTED_VALUE"""),0.0)</f>
        <v>0</v>
      </c>
      <c r="V30" s="16">
        <f>IFERROR(__xludf.DUMMYFUNCTION("""COMPUTED_VALUE"""),0.0)</f>
        <v>0</v>
      </c>
      <c r="W30" s="16">
        <f>IFERROR(__xludf.DUMMYFUNCTION("""COMPUTED_VALUE"""),0.0)</f>
        <v>0</v>
      </c>
      <c r="X30" s="16">
        <f>IFERROR(__xludf.DUMMYFUNCTION("""COMPUTED_VALUE"""),0.0)</f>
        <v>0</v>
      </c>
      <c r="Y30" s="16">
        <f>IFERROR(__xludf.DUMMYFUNCTION("""COMPUTED_VALUE"""),0.0)</f>
        <v>0</v>
      </c>
      <c r="Z30" s="16">
        <f>IFERROR(__xludf.DUMMYFUNCTION("""COMPUTED_VALUE"""),0.0)</f>
        <v>0</v>
      </c>
      <c r="AA30" s="16">
        <f>IFERROR(__xludf.DUMMYFUNCTION("""COMPUTED_VALUE"""),0.0)</f>
        <v>0</v>
      </c>
      <c r="AB30" s="16">
        <f>IFERROR(__xludf.DUMMYFUNCTION("""COMPUTED_VALUE"""),0.0)</f>
        <v>0</v>
      </c>
      <c r="AC30" s="16">
        <f>IFERROR(__xludf.DUMMYFUNCTION("""COMPUTED_VALUE"""),0.0)</f>
        <v>0</v>
      </c>
      <c r="AD30" s="16">
        <f>IFERROR(__xludf.DUMMYFUNCTION("""COMPUTED_VALUE"""),0.0)</f>
        <v>0</v>
      </c>
      <c r="AE30" s="16">
        <f>IFERROR(__xludf.DUMMYFUNCTION("""COMPUTED_VALUE"""),0.0)</f>
        <v>0</v>
      </c>
      <c r="AF30" s="16">
        <f>IFERROR(__xludf.DUMMYFUNCTION("""COMPUTED_VALUE"""),0.0)</f>
        <v>0</v>
      </c>
      <c r="AG30" s="16">
        <f>IFERROR(__xludf.DUMMYFUNCTION("""COMPUTED_VALUE"""),0.0)</f>
        <v>0</v>
      </c>
      <c r="AH30" s="16">
        <f>IFERROR(__xludf.DUMMYFUNCTION("""COMPUTED_VALUE"""),0.0)</f>
        <v>0</v>
      </c>
    </row>
    <row r="31">
      <c r="A31" s="16" t="str">
        <f>IFERROR(__xludf.DUMMYFUNCTION("""COMPUTED_VALUE"""),"1b7d89c237c133e6c5b15db13e684c2e1f3688e1")</f>
        <v>1b7d89c237c133e6c5b15db13e684c2e1f3688e1</v>
      </c>
      <c r="B31" s="16" t="str">
        <f>IFERROR(__xludf.DUMMYFUNCTION("""COMPUTED_VALUE"""),"War God of the Red Sea!")</f>
        <v>War God of the Red Sea!</v>
      </c>
      <c r="C31" s="16" t="str">
        <f>IFERROR(__xludf.DUMMYFUNCTION("""COMPUTED_VALUE"""),"Drama")</f>
        <v>Drama</v>
      </c>
      <c r="D31" s="16">
        <f>IFERROR(__xludf.DUMMYFUNCTION("""COMPUTED_VALUE"""),80.0)</f>
        <v>80</v>
      </c>
      <c r="E31" s="16">
        <f>IFERROR(__xludf.DUMMYFUNCTION("""COMPUTED_VALUE"""),1.0)</f>
        <v>1</v>
      </c>
      <c r="F31" s="16">
        <f>IFERROR(__xludf.DUMMYFUNCTION("""COMPUTED_VALUE"""),0.5375)</f>
        <v>0.5375</v>
      </c>
      <c r="G31" s="16">
        <f>IFERROR(__xludf.DUMMYFUNCTION("""COMPUTED_VALUE"""),0.375)</f>
        <v>0.375</v>
      </c>
      <c r="H31" s="16">
        <f>IFERROR(__xludf.DUMMYFUNCTION("""COMPUTED_VALUE"""),0.282051282051282)</f>
        <v>0.2820512821</v>
      </c>
      <c r="I31" s="16">
        <f>IFERROR(__xludf.DUMMYFUNCTION("""COMPUTED_VALUE"""),0.272727272727272)</f>
        <v>0.2727272727</v>
      </c>
      <c r="J31" s="16">
        <f>IFERROR(__xludf.DUMMYFUNCTION("""COMPUTED_VALUE"""),0.263157894736842)</f>
        <v>0.2631578947</v>
      </c>
      <c r="K31" s="16">
        <f>IFERROR(__xludf.DUMMYFUNCTION("""COMPUTED_VALUE"""),0.253333333333333)</f>
        <v>0.2533333333</v>
      </c>
      <c r="L31" s="16">
        <f>IFERROR(__xludf.DUMMYFUNCTION("""COMPUTED_VALUE"""),0.242857142857142)</f>
        <v>0.2428571429</v>
      </c>
      <c r="M31" s="16">
        <f>IFERROR(__xludf.DUMMYFUNCTION("""COMPUTED_VALUE"""),0.208955223880597)</f>
        <v>0.2089552239</v>
      </c>
      <c r="N31" s="16">
        <f>IFERROR(__xludf.DUMMYFUNCTION("""COMPUTED_VALUE"""),0.2)</f>
        <v>0.2</v>
      </c>
      <c r="O31" s="16">
        <f>IFERROR(__xludf.DUMMYFUNCTION("""COMPUTED_VALUE"""),0.111111111111111)</f>
        <v>0.1111111111</v>
      </c>
      <c r="P31" s="16">
        <f>IFERROR(__xludf.DUMMYFUNCTION("""COMPUTED_VALUE"""),0.111111111111111)</f>
        <v>0.1111111111</v>
      </c>
      <c r="Q31" s="16">
        <f>IFERROR(__xludf.DUMMYFUNCTION("""COMPUTED_VALUE"""),0.0)</f>
        <v>0</v>
      </c>
      <c r="R31" s="16">
        <f>IFERROR(__xludf.DUMMYFUNCTION("""COMPUTED_VALUE"""),0.0)</f>
        <v>0</v>
      </c>
      <c r="S31" s="16">
        <f>IFERROR(__xludf.DUMMYFUNCTION("""COMPUTED_VALUE"""),0.0)</f>
        <v>0</v>
      </c>
      <c r="T31" s="16">
        <f>IFERROR(__xludf.DUMMYFUNCTION("""COMPUTED_VALUE"""),0.0)</f>
        <v>0</v>
      </c>
      <c r="U31" s="16">
        <f>IFERROR(__xludf.DUMMYFUNCTION("""COMPUTED_VALUE"""),0.0)</f>
        <v>0</v>
      </c>
      <c r="V31" s="16">
        <f>IFERROR(__xludf.DUMMYFUNCTION("""COMPUTED_VALUE"""),0.0)</f>
        <v>0</v>
      </c>
      <c r="W31" s="16">
        <f>IFERROR(__xludf.DUMMYFUNCTION("""COMPUTED_VALUE"""),0.0)</f>
        <v>0</v>
      </c>
      <c r="X31" s="16">
        <f>IFERROR(__xludf.DUMMYFUNCTION("""COMPUTED_VALUE"""),0.0)</f>
        <v>0</v>
      </c>
      <c r="Y31" s="16">
        <f>IFERROR(__xludf.DUMMYFUNCTION("""COMPUTED_VALUE"""),0.0)</f>
        <v>0</v>
      </c>
      <c r="Z31" s="16">
        <f>IFERROR(__xludf.DUMMYFUNCTION("""COMPUTED_VALUE"""),0.0)</f>
        <v>0</v>
      </c>
      <c r="AA31" s="16">
        <f>IFERROR(__xludf.DUMMYFUNCTION("""COMPUTED_VALUE"""),0.0)</f>
        <v>0</v>
      </c>
      <c r="AB31" s="16">
        <f>IFERROR(__xludf.DUMMYFUNCTION("""COMPUTED_VALUE"""),0.0)</f>
        <v>0</v>
      </c>
      <c r="AC31" s="16">
        <f>IFERROR(__xludf.DUMMYFUNCTION("""COMPUTED_VALUE"""),0.0)</f>
        <v>0</v>
      </c>
      <c r="AD31" s="16">
        <f>IFERROR(__xludf.DUMMYFUNCTION("""COMPUTED_VALUE"""),0.0)</f>
        <v>0</v>
      </c>
      <c r="AE31" s="16">
        <f>IFERROR(__xludf.DUMMYFUNCTION("""COMPUTED_VALUE"""),0.0)</f>
        <v>0</v>
      </c>
      <c r="AF31" s="16">
        <f>IFERROR(__xludf.DUMMYFUNCTION("""COMPUTED_VALUE"""),0.0)</f>
        <v>0</v>
      </c>
      <c r="AG31" s="16">
        <f>IFERROR(__xludf.DUMMYFUNCTION("""COMPUTED_VALUE"""),0.0)</f>
        <v>0</v>
      </c>
      <c r="AH31" s="16">
        <f>IFERROR(__xludf.DUMMYFUNCTION("""COMPUTED_VALUE"""),0.0)</f>
        <v>0</v>
      </c>
    </row>
    <row r="32">
      <c r="A32" s="16" t="str">
        <f>IFERROR(__xludf.DUMMYFUNCTION("""COMPUTED_VALUE"""),"1c56eb2cce6609cb207d235ae3464f7759d4cb84")</f>
        <v>1c56eb2cce6609cb207d235ae3464f7759d4cb84</v>
      </c>
      <c r="B32" s="16" t="str">
        <f>IFERROR(__xludf.DUMMYFUNCTION("""COMPUTED_VALUE"""),"Rage of the Heiress")</f>
        <v>Rage of the Heiress</v>
      </c>
      <c r="C32" s="16" t="str">
        <f>IFERROR(__xludf.DUMMYFUNCTION("""COMPUTED_VALUE"""),"Drama")</f>
        <v>Drama</v>
      </c>
      <c r="D32" s="16">
        <f>IFERROR(__xludf.DUMMYFUNCTION("""COMPUTED_VALUE"""),2980.0)</f>
        <v>2980</v>
      </c>
      <c r="E32" s="16">
        <f>IFERROR(__xludf.DUMMYFUNCTION("""COMPUTED_VALUE"""),0.935234899328859)</f>
        <v>0.9352348993</v>
      </c>
      <c r="F32" s="16">
        <f>IFERROR(__xludf.DUMMYFUNCTION("""COMPUTED_VALUE"""),0.558389261744966)</f>
        <v>0.5583892617</v>
      </c>
      <c r="G32" s="16">
        <f>IFERROR(__xludf.DUMMYFUNCTION("""COMPUTED_VALUE"""),0.53489932885906)</f>
        <v>0.5348993289</v>
      </c>
      <c r="H32" s="16">
        <f>IFERROR(__xludf.DUMMYFUNCTION("""COMPUTED_VALUE"""),0.495434562056137)</f>
        <v>0.4954345621</v>
      </c>
      <c r="I32" s="16">
        <f>IFERROR(__xludf.DUMMYFUNCTION("""COMPUTED_VALUE"""),0.482161413231728)</f>
        <v>0.4821614132</v>
      </c>
      <c r="J32" s="16">
        <f>IFERROR(__xludf.DUMMYFUNCTION("""COMPUTED_VALUE"""),0.463928571428571)</f>
        <v>0.4639285714</v>
      </c>
      <c r="K32" s="16">
        <f>IFERROR(__xludf.DUMMYFUNCTION("""COMPUTED_VALUE"""),0.449833395038874)</f>
        <v>0.449833395</v>
      </c>
      <c r="L32" s="16">
        <f>IFERROR(__xludf.DUMMYFUNCTION("""COMPUTED_VALUE"""),0.436455499417022)</f>
        <v>0.4364554994</v>
      </c>
      <c r="M32" s="16">
        <f>IFERROR(__xludf.DUMMYFUNCTION("""COMPUTED_VALUE"""),0.43721881390593)</f>
        <v>0.4372188139</v>
      </c>
      <c r="N32" s="16">
        <f>IFERROR(__xludf.DUMMYFUNCTION("""COMPUTED_VALUE"""),0.432325886990801)</f>
        <v>0.432325887</v>
      </c>
      <c r="O32" s="16">
        <f>IFERROR(__xludf.DUMMYFUNCTION("""COMPUTED_VALUE"""),0.460832313341493)</f>
        <v>0.4608323133</v>
      </c>
      <c r="P32" s="16">
        <f>IFERROR(__xludf.DUMMYFUNCTION("""COMPUTED_VALUE"""),0.401172529313232)</f>
        <v>0.4011725293</v>
      </c>
      <c r="Q32" s="16">
        <f>IFERROR(__xludf.DUMMYFUNCTION("""COMPUTED_VALUE"""),0.322384428223844)</f>
        <v>0.3223844282</v>
      </c>
      <c r="R32" s="16">
        <f>IFERROR(__xludf.DUMMYFUNCTION("""COMPUTED_VALUE"""),0.272851296043656)</f>
        <v>0.272851296</v>
      </c>
      <c r="S32" s="16">
        <f>IFERROR(__xludf.DUMMYFUNCTION("""COMPUTED_VALUE"""),0.246715328467153)</f>
        <v>0.2467153285</v>
      </c>
      <c r="T32" s="16">
        <f>IFERROR(__xludf.DUMMYFUNCTION("""COMPUTED_VALUE"""),0.213036565977742)</f>
        <v>0.213036566</v>
      </c>
      <c r="U32" s="16">
        <f>IFERROR(__xludf.DUMMYFUNCTION("""COMPUTED_VALUE"""),0.175)</f>
        <v>0.175</v>
      </c>
      <c r="V32" s="16">
        <f>IFERROR(__xludf.DUMMYFUNCTION("""COMPUTED_VALUE"""),0.154639175257731)</f>
        <v>0.1546391753</v>
      </c>
      <c r="W32" s="16">
        <f>IFERROR(__xludf.DUMMYFUNCTION("""COMPUTED_VALUE"""),0.161290322580645)</f>
        <v>0.1612903226</v>
      </c>
      <c r="X32" s="16">
        <f>IFERROR(__xludf.DUMMYFUNCTION("""COMPUTED_VALUE"""),0.0)</f>
        <v>0</v>
      </c>
      <c r="Y32" s="16">
        <f>IFERROR(__xludf.DUMMYFUNCTION("""COMPUTED_VALUE"""),0.0)</f>
        <v>0</v>
      </c>
      <c r="Z32" s="16">
        <f>IFERROR(__xludf.DUMMYFUNCTION("""COMPUTED_VALUE"""),0.0)</f>
        <v>0</v>
      </c>
      <c r="AA32" s="16">
        <f>IFERROR(__xludf.DUMMYFUNCTION("""COMPUTED_VALUE"""),0.0)</f>
        <v>0</v>
      </c>
      <c r="AB32" s="16">
        <f>IFERROR(__xludf.DUMMYFUNCTION("""COMPUTED_VALUE"""),0.0)</f>
        <v>0</v>
      </c>
      <c r="AC32" s="16">
        <f>IFERROR(__xludf.DUMMYFUNCTION("""COMPUTED_VALUE"""),0.0)</f>
        <v>0</v>
      </c>
      <c r="AD32" s="16">
        <f>IFERROR(__xludf.DUMMYFUNCTION("""COMPUTED_VALUE"""),0.0)</f>
        <v>0</v>
      </c>
      <c r="AE32" s="16">
        <f>IFERROR(__xludf.DUMMYFUNCTION("""COMPUTED_VALUE"""),0.0)</f>
        <v>0</v>
      </c>
      <c r="AF32" s="16">
        <f>IFERROR(__xludf.DUMMYFUNCTION("""COMPUTED_VALUE"""),0.0)</f>
        <v>0</v>
      </c>
      <c r="AG32" s="16">
        <f>IFERROR(__xludf.DUMMYFUNCTION("""COMPUTED_VALUE"""),0.0)</f>
        <v>0</v>
      </c>
      <c r="AH32" s="16">
        <f>IFERROR(__xludf.DUMMYFUNCTION("""COMPUTED_VALUE"""),0.0)</f>
        <v>0</v>
      </c>
    </row>
    <row r="33">
      <c r="A33" s="16" t="str">
        <f>IFERROR(__xludf.DUMMYFUNCTION("""COMPUTED_VALUE"""),"1ca4f3c3b8e200f37ec14ed7a11442df6a65f4e6")</f>
        <v>1ca4f3c3b8e200f37ec14ed7a11442df6a65f4e6</v>
      </c>
      <c r="B33" s="16" t="str">
        <f>IFERROR(__xludf.DUMMYFUNCTION("""COMPUTED_VALUE"""),"Unstoppable Cultivator")</f>
        <v>Unstoppable Cultivator</v>
      </c>
      <c r="C33" s="16" t="str">
        <f>IFERROR(__xludf.DUMMYFUNCTION("""COMPUTED_VALUE"""),"Fantasy")</f>
        <v>Fantasy</v>
      </c>
      <c r="D33" s="16">
        <f>IFERROR(__xludf.DUMMYFUNCTION("""COMPUTED_VALUE"""),95.0)</f>
        <v>95</v>
      </c>
      <c r="E33" s="16">
        <f>IFERROR(__xludf.DUMMYFUNCTION("""COMPUTED_VALUE"""),0.947368421052631)</f>
        <v>0.9473684211</v>
      </c>
      <c r="F33" s="16">
        <f>IFERROR(__xludf.DUMMYFUNCTION("""COMPUTED_VALUE"""),0.284210526315789)</f>
        <v>0.2842105263</v>
      </c>
      <c r="G33" s="16">
        <f>IFERROR(__xludf.DUMMYFUNCTION("""COMPUTED_VALUE"""),0.2)</f>
        <v>0.2</v>
      </c>
      <c r="H33" s="16">
        <f>IFERROR(__xludf.DUMMYFUNCTION("""COMPUTED_VALUE"""),0.189473684210526)</f>
        <v>0.1894736842</v>
      </c>
      <c r="I33" s="16">
        <f>IFERROR(__xludf.DUMMYFUNCTION("""COMPUTED_VALUE"""),0.189473684210526)</f>
        <v>0.1894736842</v>
      </c>
      <c r="J33" s="16">
        <f>IFERROR(__xludf.DUMMYFUNCTION("""COMPUTED_VALUE"""),0.178947368421052)</f>
        <v>0.1789473684</v>
      </c>
      <c r="K33" s="16">
        <f>IFERROR(__xludf.DUMMYFUNCTION("""COMPUTED_VALUE"""),0.157894736842105)</f>
        <v>0.1578947368</v>
      </c>
      <c r="L33" s="16">
        <f>IFERROR(__xludf.DUMMYFUNCTION("""COMPUTED_VALUE"""),0.147368421052631)</f>
        <v>0.1473684211</v>
      </c>
      <c r="M33" s="16">
        <f>IFERROR(__xludf.DUMMYFUNCTION("""COMPUTED_VALUE"""),0.136842105263157)</f>
        <v>0.1368421053</v>
      </c>
      <c r="N33" s="16">
        <f>IFERROR(__xludf.DUMMYFUNCTION("""COMPUTED_VALUE"""),0.127659574468085)</f>
        <v>0.1276595745</v>
      </c>
      <c r="O33" s="16">
        <f>IFERROR(__xludf.DUMMYFUNCTION("""COMPUTED_VALUE"""),0.129032258064516)</f>
        <v>0.1290322581</v>
      </c>
      <c r="P33" s="16">
        <f>IFERROR(__xludf.DUMMYFUNCTION("""COMPUTED_VALUE"""),0.036144578313253)</f>
        <v>0.03614457831</v>
      </c>
      <c r="Q33" s="16">
        <f>IFERROR(__xludf.DUMMYFUNCTION("""COMPUTED_VALUE"""),0.0476190476190476)</f>
        <v>0.04761904762</v>
      </c>
      <c r="R33" s="16">
        <f>IFERROR(__xludf.DUMMYFUNCTION("""COMPUTED_VALUE"""),1.0)</f>
        <v>1</v>
      </c>
      <c r="S33" s="16">
        <f>IFERROR(__xludf.DUMMYFUNCTION("""COMPUTED_VALUE"""),0.0)</f>
        <v>0</v>
      </c>
      <c r="T33" s="16">
        <f>IFERROR(__xludf.DUMMYFUNCTION("""COMPUTED_VALUE"""),0.0)</f>
        <v>0</v>
      </c>
      <c r="U33" s="16">
        <f>IFERROR(__xludf.DUMMYFUNCTION("""COMPUTED_VALUE"""),0.0)</f>
        <v>0</v>
      </c>
      <c r="V33" s="16">
        <f>IFERROR(__xludf.DUMMYFUNCTION("""COMPUTED_VALUE"""),0.0)</f>
        <v>0</v>
      </c>
      <c r="W33" s="16">
        <f>IFERROR(__xludf.DUMMYFUNCTION("""COMPUTED_VALUE"""),0.0)</f>
        <v>0</v>
      </c>
      <c r="X33" s="16">
        <f>IFERROR(__xludf.DUMMYFUNCTION("""COMPUTED_VALUE"""),0.0)</f>
        <v>0</v>
      </c>
      <c r="Y33" s="16">
        <f>IFERROR(__xludf.DUMMYFUNCTION("""COMPUTED_VALUE"""),0.0)</f>
        <v>0</v>
      </c>
      <c r="Z33" s="16">
        <f>IFERROR(__xludf.DUMMYFUNCTION("""COMPUTED_VALUE"""),0.0)</f>
        <v>0</v>
      </c>
      <c r="AA33" s="16">
        <f>IFERROR(__xludf.DUMMYFUNCTION("""COMPUTED_VALUE"""),0.0)</f>
        <v>0</v>
      </c>
      <c r="AB33" s="16">
        <f>IFERROR(__xludf.DUMMYFUNCTION("""COMPUTED_VALUE"""),0.0)</f>
        <v>0</v>
      </c>
      <c r="AC33" s="16">
        <f>IFERROR(__xludf.DUMMYFUNCTION("""COMPUTED_VALUE"""),0.0)</f>
        <v>0</v>
      </c>
      <c r="AD33" s="16">
        <f>IFERROR(__xludf.DUMMYFUNCTION("""COMPUTED_VALUE"""),0.0)</f>
        <v>0</v>
      </c>
      <c r="AE33" s="16">
        <f>IFERROR(__xludf.DUMMYFUNCTION("""COMPUTED_VALUE"""),0.0)</f>
        <v>0</v>
      </c>
      <c r="AF33" s="16">
        <f>IFERROR(__xludf.DUMMYFUNCTION("""COMPUTED_VALUE"""),0.0)</f>
        <v>0</v>
      </c>
      <c r="AG33" s="16">
        <f>IFERROR(__xludf.DUMMYFUNCTION("""COMPUTED_VALUE"""),0.0)</f>
        <v>0</v>
      </c>
      <c r="AH33" s="16">
        <f>IFERROR(__xludf.DUMMYFUNCTION("""COMPUTED_VALUE"""),0.0)</f>
        <v>0</v>
      </c>
    </row>
    <row r="34">
      <c r="A34" s="16" t="str">
        <f>IFERROR(__xludf.DUMMYFUNCTION("""COMPUTED_VALUE"""),"1d8b1f39e146ede1f7528763445a7a47aad10b05")</f>
        <v>1d8b1f39e146ede1f7528763445a7a47aad10b05</v>
      </c>
      <c r="B34" s="16" t="str">
        <f>IFERROR(__xludf.DUMMYFUNCTION("""COMPUTED_VALUE"""),"Love and Heartbroken")</f>
        <v>Love and Heartbroken</v>
      </c>
      <c r="C34" s="16" t="str">
        <f>IFERROR(__xludf.DUMMYFUNCTION("""COMPUTED_VALUE"""),"System and Superpower")</f>
        <v>System and Superpower</v>
      </c>
      <c r="D34" s="16">
        <f>IFERROR(__xludf.DUMMYFUNCTION("""COMPUTED_VALUE"""),466.0)</f>
        <v>466</v>
      </c>
      <c r="E34" s="16">
        <f>IFERROR(__xludf.DUMMYFUNCTION("""COMPUTED_VALUE"""),0.991416309012875)</f>
        <v>0.991416309</v>
      </c>
      <c r="F34" s="16">
        <f>IFERROR(__xludf.DUMMYFUNCTION("""COMPUTED_VALUE"""),0.435622317596566)</f>
        <v>0.4356223176</v>
      </c>
      <c r="G34" s="16">
        <f>IFERROR(__xludf.DUMMYFUNCTION("""COMPUTED_VALUE"""),0.399141630901287)</f>
        <v>0.3991416309</v>
      </c>
      <c r="H34" s="16">
        <f>IFERROR(__xludf.DUMMYFUNCTION("""COMPUTED_VALUE"""),0.349785407725321)</f>
        <v>0.3497854077</v>
      </c>
      <c r="I34" s="16">
        <f>IFERROR(__xludf.DUMMYFUNCTION("""COMPUTED_VALUE"""),0.306866952789699)</f>
        <v>0.3068669528</v>
      </c>
      <c r="J34" s="16">
        <f>IFERROR(__xludf.DUMMYFUNCTION("""COMPUTED_VALUE"""),0.274678111587982)</f>
        <v>0.2746781116</v>
      </c>
      <c r="K34" s="16">
        <f>IFERROR(__xludf.DUMMYFUNCTION("""COMPUTED_VALUE"""),0.244635193133047)</f>
        <v>0.2446351931</v>
      </c>
      <c r="L34" s="16">
        <f>IFERROR(__xludf.DUMMYFUNCTION("""COMPUTED_VALUE"""),0.197424892703862)</f>
        <v>0.1974248927</v>
      </c>
      <c r="M34" s="16">
        <f>IFERROR(__xludf.DUMMYFUNCTION("""COMPUTED_VALUE"""),0.167381974248927)</f>
        <v>0.1673819742</v>
      </c>
      <c r="N34" s="16">
        <f>IFERROR(__xludf.DUMMYFUNCTION("""COMPUTED_VALUE"""),0.145922746781115)</f>
        <v>0.1459227468</v>
      </c>
      <c r="O34" s="16">
        <f>IFERROR(__xludf.DUMMYFUNCTION("""COMPUTED_VALUE"""),0.0824295010845987)</f>
        <v>0.08242950108</v>
      </c>
      <c r="P34" s="16">
        <f>IFERROR(__xludf.DUMMYFUNCTION("""COMPUTED_VALUE"""),0.0344827586206896)</f>
        <v>0.03448275862</v>
      </c>
      <c r="Q34" s="16">
        <f>IFERROR(__xludf.DUMMYFUNCTION("""COMPUTED_VALUE"""),0.0106100795755968)</f>
        <v>0.01061007958</v>
      </c>
      <c r="R34" s="16">
        <f>IFERROR(__xludf.DUMMYFUNCTION("""COMPUTED_VALUE"""),0.00549450549450549)</f>
        <v>0.005494505495</v>
      </c>
      <c r="S34" s="16">
        <f>IFERROR(__xludf.DUMMYFUNCTION("""COMPUTED_VALUE"""),0.008130081300813)</f>
        <v>0.008130081301</v>
      </c>
      <c r="T34" s="16">
        <f>IFERROR(__xludf.DUMMYFUNCTION("""COMPUTED_VALUE"""),0.0)</f>
        <v>0</v>
      </c>
      <c r="U34" s="16">
        <f>IFERROR(__xludf.DUMMYFUNCTION("""COMPUTED_VALUE"""),0.0)</f>
        <v>0</v>
      </c>
      <c r="V34" s="16">
        <f>IFERROR(__xludf.DUMMYFUNCTION("""COMPUTED_VALUE"""),0.0)</f>
        <v>0</v>
      </c>
      <c r="W34" s="16">
        <f>IFERROR(__xludf.DUMMYFUNCTION("""COMPUTED_VALUE"""),0.0)</f>
        <v>0</v>
      </c>
      <c r="X34" s="16">
        <f>IFERROR(__xludf.DUMMYFUNCTION("""COMPUTED_VALUE"""),0.0)</f>
        <v>0</v>
      </c>
      <c r="Y34" s="16">
        <f>IFERROR(__xludf.DUMMYFUNCTION("""COMPUTED_VALUE"""),0.0)</f>
        <v>0</v>
      </c>
      <c r="Z34" s="16">
        <f>IFERROR(__xludf.DUMMYFUNCTION("""COMPUTED_VALUE"""),0.0)</f>
        <v>0</v>
      </c>
      <c r="AA34" s="16">
        <f>IFERROR(__xludf.DUMMYFUNCTION("""COMPUTED_VALUE"""),0.0)</f>
        <v>0</v>
      </c>
      <c r="AB34" s="16">
        <f>IFERROR(__xludf.DUMMYFUNCTION("""COMPUTED_VALUE"""),0.0)</f>
        <v>0</v>
      </c>
      <c r="AC34" s="16">
        <f>IFERROR(__xludf.DUMMYFUNCTION("""COMPUTED_VALUE"""),0.0)</f>
        <v>0</v>
      </c>
      <c r="AD34" s="16">
        <f>IFERROR(__xludf.DUMMYFUNCTION("""COMPUTED_VALUE"""),0.0)</f>
        <v>0</v>
      </c>
      <c r="AE34" s="16">
        <f>IFERROR(__xludf.DUMMYFUNCTION("""COMPUTED_VALUE"""),0.0)</f>
        <v>0</v>
      </c>
      <c r="AF34" s="16">
        <f>IFERROR(__xludf.DUMMYFUNCTION("""COMPUTED_VALUE"""),0.0)</f>
        <v>0</v>
      </c>
      <c r="AG34" s="16">
        <f>IFERROR(__xludf.DUMMYFUNCTION("""COMPUTED_VALUE"""),0.0)</f>
        <v>0</v>
      </c>
      <c r="AH34" s="16">
        <f>IFERROR(__xludf.DUMMYFUNCTION("""COMPUTED_VALUE"""),0.0)</f>
        <v>0</v>
      </c>
    </row>
    <row r="35">
      <c r="A35" s="16" t="str">
        <f>IFERROR(__xludf.DUMMYFUNCTION("""COMPUTED_VALUE"""),"1e1205d9e93348005e7eb4b2e071c8c63b7914ca")</f>
        <v>1e1205d9e93348005e7eb4b2e071c8c63b7914ca</v>
      </c>
      <c r="B35" s="16" t="str">
        <f>IFERROR(__xludf.DUMMYFUNCTION("""COMPUTED_VALUE"""),"The Heart's Captive")</f>
        <v>The Heart's Captive</v>
      </c>
      <c r="C35" s="16" t="str">
        <f>IFERROR(__xludf.DUMMYFUNCTION("""COMPUTED_VALUE"""),"Romantasy")</f>
        <v>Romantasy</v>
      </c>
      <c r="D35" s="16">
        <f>IFERROR(__xludf.DUMMYFUNCTION("""COMPUTED_VALUE"""),153.0)</f>
        <v>153</v>
      </c>
      <c r="E35" s="16">
        <f>IFERROR(__xludf.DUMMYFUNCTION("""COMPUTED_VALUE"""),0.947712418300653)</f>
        <v>0.9477124183</v>
      </c>
      <c r="F35" s="16">
        <f>IFERROR(__xludf.DUMMYFUNCTION("""COMPUTED_VALUE"""),0.366013071895424)</f>
        <v>0.3660130719</v>
      </c>
      <c r="G35" s="16">
        <f>IFERROR(__xludf.DUMMYFUNCTION("""COMPUTED_VALUE"""),0.300653594771241)</f>
        <v>0.3006535948</v>
      </c>
      <c r="H35" s="16">
        <f>IFERROR(__xludf.DUMMYFUNCTION("""COMPUTED_VALUE"""),0.287581699346405)</f>
        <v>0.2875816993</v>
      </c>
      <c r="I35" s="16">
        <f>IFERROR(__xludf.DUMMYFUNCTION("""COMPUTED_VALUE"""),0.26797385620915)</f>
        <v>0.2679738562</v>
      </c>
      <c r="J35" s="16">
        <f>IFERROR(__xludf.DUMMYFUNCTION("""COMPUTED_VALUE"""),0.281045751633986)</f>
        <v>0.2810457516</v>
      </c>
      <c r="K35" s="16">
        <f>IFERROR(__xludf.DUMMYFUNCTION("""COMPUTED_VALUE"""),0.261437908496732)</f>
        <v>0.2614379085</v>
      </c>
      <c r="L35" s="16">
        <f>IFERROR(__xludf.DUMMYFUNCTION("""COMPUTED_VALUE"""),0.274509803921568)</f>
        <v>0.2745098039</v>
      </c>
      <c r="M35" s="16">
        <f>IFERROR(__xludf.DUMMYFUNCTION("""COMPUTED_VALUE"""),0.274509803921568)</f>
        <v>0.2745098039</v>
      </c>
      <c r="N35" s="16">
        <f>IFERROR(__xludf.DUMMYFUNCTION("""COMPUTED_VALUE"""),0.261437908496732)</f>
        <v>0.2614379085</v>
      </c>
      <c r="O35" s="16">
        <f>IFERROR(__xludf.DUMMYFUNCTION("""COMPUTED_VALUE"""),0.256578947368421)</f>
        <v>0.2565789474</v>
      </c>
      <c r="P35" s="16">
        <f>IFERROR(__xludf.DUMMYFUNCTION("""COMPUTED_VALUE"""),0.144736842105263)</f>
        <v>0.1447368421</v>
      </c>
      <c r="Q35" s="16">
        <f>IFERROR(__xludf.DUMMYFUNCTION("""COMPUTED_VALUE"""),0.0463576158940397)</f>
        <v>0.04635761589</v>
      </c>
      <c r="R35" s="16">
        <f>IFERROR(__xludf.DUMMYFUNCTION("""COMPUTED_VALUE"""),0.02)</f>
        <v>0.02</v>
      </c>
      <c r="S35" s="16">
        <f>IFERROR(__xludf.DUMMYFUNCTION("""COMPUTED_VALUE"""),0.0)</f>
        <v>0</v>
      </c>
      <c r="T35" s="16">
        <f>IFERROR(__xludf.DUMMYFUNCTION("""COMPUTED_VALUE"""),0.0)</f>
        <v>0</v>
      </c>
      <c r="U35" s="16">
        <f>IFERROR(__xludf.DUMMYFUNCTION("""COMPUTED_VALUE"""),0.0)</f>
        <v>0</v>
      </c>
      <c r="V35" s="16">
        <f>IFERROR(__xludf.DUMMYFUNCTION("""COMPUTED_VALUE"""),0.0)</f>
        <v>0</v>
      </c>
      <c r="W35" s="16">
        <f>IFERROR(__xludf.DUMMYFUNCTION("""COMPUTED_VALUE"""),0.0)</f>
        <v>0</v>
      </c>
      <c r="X35" s="16">
        <f>IFERROR(__xludf.DUMMYFUNCTION("""COMPUTED_VALUE"""),0.0)</f>
        <v>0</v>
      </c>
      <c r="Y35" s="16">
        <f>IFERROR(__xludf.DUMMYFUNCTION("""COMPUTED_VALUE"""),0.0)</f>
        <v>0</v>
      </c>
      <c r="Z35" s="16">
        <f>IFERROR(__xludf.DUMMYFUNCTION("""COMPUTED_VALUE"""),0.0)</f>
        <v>0</v>
      </c>
      <c r="AA35" s="16">
        <f>IFERROR(__xludf.DUMMYFUNCTION("""COMPUTED_VALUE"""),0.0)</f>
        <v>0</v>
      </c>
      <c r="AB35" s="16">
        <f>IFERROR(__xludf.DUMMYFUNCTION("""COMPUTED_VALUE"""),0.0)</f>
        <v>0</v>
      </c>
      <c r="AC35" s="16">
        <f>IFERROR(__xludf.DUMMYFUNCTION("""COMPUTED_VALUE"""),0.0)</f>
        <v>0</v>
      </c>
      <c r="AD35" s="16">
        <f>IFERROR(__xludf.DUMMYFUNCTION("""COMPUTED_VALUE"""),0.0)</f>
        <v>0</v>
      </c>
      <c r="AE35" s="16">
        <f>IFERROR(__xludf.DUMMYFUNCTION("""COMPUTED_VALUE"""),0.0)</f>
        <v>0</v>
      </c>
      <c r="AF35" s="16">
        <f>IFERROR(__xludf.DUMMYFUNCTION("""COMPUTED_VALUE"""),0.0)</f>
        <v>0</v>
      </c>
      <c r="AG35" s="16">
        <f>IFERROR(__xludf.DUMMYFUNCTION("""COMPUTED_VALUE"""),0.0)</f>
        <v>0</v>
      </c>
      <c r="AH35" s="16">
        <f>IFERROR(__xludf.DUMMYFUNCTION("""COMPUTED_VALUE"""),0.0)</f>
        <v>0</v>
      </c>
    </row>
    <row r="36">
      <c r="A36" s="16" t="str">
        <f>IFERROR(__xludf.DUMMYFUNCTION("""COMPUTED_VALUE"""),"1e2b4197fd4a9f595c560bc8d4530339758b031a")</f>
        <v>1e2b4197fd4a9f595c560bc8d4530339758b031a</v>
      </c>
      <c r="B36" s="16" t="str">
        <f>IFERROR(__xludf.DUMMYFUNCTION("""COMPUTED_VALUE"""),"Becoming Garrison Green")</f>
        <v>Becoming Garrison Green</v>
      </c>
      <c r="C36" s="16" t="str">
        <f>IFERROR(__xludf.DUMMYFUNCTION("""COMPUTED_VALUE"""),"Drama")</f>
        <v>Drama</v>
      </c>
      <c r="D36" s="16">
        <f>IFERROR(__xludf.DUMMYFUNCTION("""COMPUTED_VALUE"""),594.0)</f>
        <v>594</v>
      </c>
      <c r="E36" s="16">
        <f>IFERROR(__xludf.DUMMYFUNCTION("""COMPUTED_VALUE"""),0.957912457912457)</f>
        <v>0.9579124579</v>
      </c>
      <c r="F36" s="16">
        <f>IFERROR(__xludf.DUMMYFUNCTION("""COMPUTED_VALUE"""),0.499156829679595)</f>
        <v>0.4991568297</v>
      </c>
      <c r="G36" s="16">
        <f>IFERROR(__xludf.DUMMYFUNCTION("""COMPUTED_VALUE"""),0.456998313659359)</f>
        <v>0.4569983137</v>
      </c>
      <c r="H36" s="16">
        <f>IFERROR(__xludf.DUMMYFUNCTION("""COMPUTED_VALUE"""),0.42158516020236)</f>
        <v>0.4215851602</v>
      </c>
      <c r="I36" s="16">
        <f>IFERROR(__xludf.DUMMYFUNCTION("""COMPUTED_VALUE"""),0.387858347386172)</f>
        <v>0.3878583474</v>
      </c>
      <c r="J36" s="16">
        <f>IFERROR(__xludf.DUMMYFUNCTION("""COMPUTED_VALUE"""),0.36256323777403)</f>
        <v>0.3625632378</v>
      </c>
      <c r="K36" s="16">
        <f>IFERROR(__xludf.DUMMYFUNCTION("""COMPUTED_VALUE"""),0.33220910623946)</f>
        <v>0.3322091062</v>
      </c>
      <c r="L36" s="16">
        <f>IFERROR(__xludf.DUMMYFUNCTION("""COMPUTED_VALUE"""),0.3125)</f>
        <v>0.3125</v>
      </c>
      <c r="M36" s="16">
        <f>IFERROR(__xludf.DUMMYFUNCTION("""COMPUTED_VALUE"""),0.302364864864864)</f>
        <v>0.3023648649</v>
      </c>
      <c r="N36" s="16">
        <f>IFERROR(__xludf.DUMMYFUNCTION("""COMPUTED_VALUE"""),0.295608108108108)</f>
        <v>0.2956081081</v>
      </c>
      <c r="O36" s="16">
        <f>IFERROR(__xludf.DUMMYFUNCTION("""COMPUTED_VALUE"""),0.261698440207972)</f>
        <v>0.2616984402</v>
      </c>
      <c r="P36" s="16">
        <f>IFERROR(__xludf.DUMMYFUNCTION("""COMPUTED_VALUE"""),0.209393346379647)</f>
        <v>0.2093933464</v>
      </c>
      <c r="Q36" s="16">
        <f>IFERROR(__xludf.DUMMYFUNCTION("""COMPUTED_VALUE"""),0.141342756183745)</f>
        <v>0.1413427562</v>
      </c>
      <c r="R36" s="16">
        <f>IFERROR(__xludf.DUMMYFUNCTION("""COMPUTED_VALUE"""),0.176470588235294)</f>
        <v>0.1764705882</v>
      </c>
      <c r="S36" s="16">
        <f>IFERROR(__xludf.DUMMYFUNCTION("""COMPUTED_VALUE"""),0.0)</f>
        <v>0</v>
      </c>
      <c r="T36" s="16">
        <f>IFERROR(__xludf.DUMMYFUNCTION("""COMPUTED_VALUE"""),0.0)</f>
        <v>0</v>
      </c>
      <c r="U36" s="16">
        <f>IFERROR(__xludf.DUMMYFUNCTION("""COMPUTED_VALUE"""),0.0)</f>
        <v>0</v>
      </c>
      <c r="V36" s="16">
        <f>IFERROR(__xludf.DUMMYFUNCTION("""COMPUTED_VALUE"""),0.0)</f>
        <v>0</v>
      </c>
      <c r="W36" s="16">
        <f>IFERROR(__xludf.DUMMYFUNCTION("""COMPUTED_VALUE"""),0.0)</f>
        <v>0</v>
      </c>
      <c r="X36" s="16">
        <f>IFERROR(__xludf.DUMMYFUNCTION("""COMPUTED_VALUE"""),0.0)</f>
        <v>0</v>
      </c>
      <c r="Y36" s="16">
        <f>IFERROR(__xludf.DUMMYFUNCTION("""COMPUTED_VALUE"""),0.0)</f>
        <v>0</v>
      </c>
      <c r="Z36" s="16">
        <f>IFERROR(__xludf.DUMMYFUNCTION("""COMPUTED_VALUE"""),0.0)</f>
        <v>0</v>
      </c>
      <c r="AA36" s="16">
        <f>IFERROR(__xludf.DUMMYFUNCTION("""COMPUTED_VALUE"""),0.0)</f>
        <v>0</v>
      </c>
      <c r="AB36" s="16">
        <f>IFERROR(__xludf.DUMMYFUNCTION("""COMPUTED_VALUE"""),0.0)</f>
        <v>0</v>
      </c>
      <c r="AC36" s="16">
        <f>IFERROR(__xludf.DUMMYFUNCTION("""COMPUTED_VALUE"""),0.0)</f>
        <v>0</v>
      </c>
      <c r="AD36" s="16">
        <f>IFERROR(__xludf.DUMMYFUNCTION("""COMPUTED_VALUE"""),0.0)</f>
        <v>0</v>
      </c>
      <c r="AE36" s="16">
        <f>IFERROR(__xludf.DUMMYFUNCTION("""COMPUTED_VALUE"""),0.0)</f>
        <v>0</v>
      </c>
      <c r="AF36" s="16">
        <f>IFERROR(__xludf.DUMMYFUNCTION("""COMPUTED_VALUE"""),0.0)</f>
        <v>0</v>
      </c>
      <c r="AG36" s="16">
        <f>IFERROR(__xludf.DUMMYFUNCTION("""COMPUTED_VALUE"""),0.0)</f>
        <v>0</v>
      </c>
      <c r="AH36" s="16">
        <f>IFERROR(__xludf.DUMMYFUNCTION("""COMPUTED_VALUE"""),0.0)</f>
        <v>0</v>
      </c>
    </row>
    <row r="37">
      <c r="A37" s="16" t="str">
        <f>IFERROR(__xludf.DUMMYFUNCTION("""COMPUTED_VALUE"""),"1e8c33b5d824973efcdca4b5194f961aed4ba258")</f>
        <v>1e8c33b5d824973efcdca4b5194f961aed4ba258</v>
      </c>
      <c r="B37" s="16" t="str">
        <f>IFERROR(__xludf.DUMMYFUNCTION("""COMPUTED_VALUE"""),"Mafia's Reluctant Bride")</f>
        <v>Mafia's Reluctant Bride</v>
      </c>
      <c r="C37" s="16" t="str">
        <f>IFERROR(__xludf.DUMMYFUNCTION("""COMPUTED_VALUE"""),"Romance")</f>
        <v>Romance</v>
      </c>
      <c r="D37" s="16">
        <f>IFERROR(__xludf.DUMMYFUNCTION("""COMPUTED_VALUE"""),1540.0)</f>
        <v>1540</v>
      </c>
      <c r="E37" s="16">
        <f>IFERROR(__xludf.DUMMYFUNCTION("""COMPUTED_VALUE"""),0.974025974025974)</f>
        <v>0.974025974</v>
      </c>
      <c r="F37" s="16">
        <f>IFERROR(__xludf.DUMMYFUNCTION("""COMPUTED_VALUE"""),0.481168831168831)</f>
        <v>0.4811688312</v>
      </c>
      <c r="G37" s="16">
        <f>IFERROR(__xludf.DUMMYFUNCTION("""COMPUTED_VALUE"""),0.409090909090909)</f>
        <v>0.4090909091</v>
      </c>
      <c r="H37" s="16">
        <f>IFERROR(__xludf.DUMMYFUNCTION("""COMPUTED_VALUE"""),0.363339856490541)</f>
        <v>0.3633398565</v>
      </c>
      <c r="I37" s="16">
        <f>IFERROR(__xludf.DUMMYFUNCTION("""COMPUTED_VALUE"""),0.340555179417738)</f>
        <v>0.3405551794</v>
      </c>
      <c r="J37" s="16">
        <f>IFERROR(__xludf.DUMMYFUNCTION("""COMPUTED_VALUE"""),0.312672176308539)</f>
        <v>0.3126721763</v>
      </c>
      <c r="K37" s="16">
        <f>IFERROR(__xludf.DUMMYFUNCTION("""COMPUTED_VALUE"""),0.295404814004376)</f>
        <v>0.295404814</v>
      </c>
      <c r="L37" s="16">
        <f>IFERROR(__xludf.DUMMYFUNCTION("""COMPUTED_VALUE"""),0.276143790849673)</f>
        <v>0.2761437908</v>
      </c>
      <c r="M37" s="16">
        <f>IFERROR(__xludf.DUMMYFUNCTION("""COMPUTED_VALUE"""),0.24453781512605)</f>
        <v>0.2445378151</v>
      </c>
      <c r="N37" s="16">
        <f>IFERROR(__xludf.DUMMYFUNCTION("""COMPUTED_VALUE"""),0.239964317573595)</f>
        <v>0.2399643176</v>
      </c>
      <c r="O37" s="16">
        <f>IFERROR(__xludf.DUMMYFUNCTION("""COMPUTED_VALUE"""),0.22982062780269)</f>
        <v>0.2298206278</v>
      </c>
      <c r="P37" s="16">
        <f>IFERROR(__xludf.DUMMYFUNCTION("""COMPUTED_VALUE"""),0.204255319148936)</f>
        <v>0.2042553191</v>
      </c>
      <c r="Q37" s="16">
        <f>IFERROR(__xludf.DUMMYFUNCTION("""COMPUTED_VALUE"""),0.0)</f>
        <v>0</v>
      </c>
      <c r="R37" s="16">
        <f>IFERROR(__xludf.DUMMYFUNCTION("""COMPUTED_VALUE"""),0.0)</f>
        <v>0</v>
      </c>
      <c r="S37" s="16">
        <f>IFERROR(__xludf.DUMMYFUNCTION("""COMPUTED_VALUE"""),0.0)</f>
        <v>0</v>
      </c>
      <c r="T37" s="16">
        <f>IFERROR(__xludf.DUMMYFUNCTION("""COMPUTED_VALUE"""),0.0)</f>
        <v>0</v>
      </c>
      <c r="U37" s="16">
        <f>IFERROR(__xludf.DUMMYFUNCTION("""COMPUTED_VALUE"""),0.0)</f>
        <v>0</v>
      </c>
      <c r="V37" s="16">
        <f>IFERROR(__xludf.DUMMYFUNCTION("""COMPUTED_VALUE"""),0.0)</f>
        <v>0</v>
      </c>
      <c r="W37" s="16">
        <f>IFERROR(__xludf.DUMMYFUNCTION("""COMPUTED_VALUE"""),0.0)</f>
        <v>0</v>
      </c>
      <c r="X37" s="16">
        <f>IFERROR(__xludf.DUMMYFUNCTION("""COMPUTED_VALUE"""),0.0)</f>
        <v>0</v>
      </c>
      <c r="Y37" s="16">
        <f>IFERROR(__xludf.DUMMYFUNCTION("""COMPUTED_VALUE"""),0.0)</f>
        <v>0</v>
      </c>
      <c r="Z37" s="16">
        <f>IFERROR(__xludf.DUMMYFUNCTION("""COMPUTED_VALUE"""),0.0)</f>
        <v>0</v>
      </c>
      <c r="AA37" s="16">
        <f>IFERROR(__xludf.DUMMYFUNCTION("""COMPUTED_VALUE"""),0.0)</f>
        <v>0</v>
      </c>
      <c r="AB37" s="16">
        <f>IFERROR(__xludf.DUMMYFUNCTION("""COMPUTED_VALUE"""),0.0)</f>
        <v>0</v>
      </c>
      <c r="AC37" s="16">
        <f>IFERROR(__xludf.DUMMYFUNCTION("""COMPUTED_VALUE"""),0.0)</f>
        <v>0</v>
      </c>
      <c r="AD37" s="16">
        <f>IFERROR(__xludf.DUMMYFUNCTION("""COMPUTED_VALUE"""),0.0)</f>
        <v>0</v>
      </c>
      <c r="AE37" s="16">
        <f>IFERROR(__xludf.DUMMYFUNCTION("""COMPUTED_VALUE"""),0.0)</f>
        <v>0</v>
      </c>
      <c r="AF37" s="16">
        <f>IFERROR(__xludf.DUMMYFUNCTION("""COMPUTED_VALUE"""),0.0)</f>
        <v>0</v>
      </c>
      <c r="AG37" s="16">
        <f>IFERROR(__xludf.DUMMYFUNCTION("""COMPUTED_VALUE"""),0.0)</f>
        <v>0</v>
      </c>
      <c r="AH37" s="16">
        <f>IFERROR(__xludf.DUMMYFUNCTION("""COMPUTED_VALUE"""),0.0)</f>
        <v>0</v>
      </c>
    </row>
    <row r="38">
      <c r="A38" s="16" t="str">
        <f>IFERROR(__xludf.DUMMYFUNCTION("""COMPUTED_VALUE"""),"1f78098e196cc2154bbadfe054e0bdd13c10fa60")</f>
        <v>1f78098e196cc2154bbadfe054e0bdd13c10fa60</v>
      </c>
      <c r="B38" s="16" t="str">
        <f>IFERROR(__xludf.DUMMYFUNCTION("""COMPUTED_VALUE"""),"The Marriage Timer")</f>
        <v>The Marriage Timer</v>
      </c>
      <c r="C38" s="16" t="str">
        <f>IFERROR(__xludf.DUMMYFUNCTION("""COMPUTED_VALUE"""),"Romance")</f>
        <v>Romance</v>
      </c>
      <c r="D38" s="16">
        <f>IFERROR(__xludf.DUMMYFUNCTION("""COMPUTED_VALUE"""),1581.0)</f>
        <v>1581</v>
      </c>
      <c r="E38" s="16">
        <f>IFERROR(__xludf.DUMMYFUNCTION("""COMPUTED_VALUE"""),0.96078431372549)</f>
        <v>0.9607843137</v>
      </c>
      <c r="F38" s="16">
        <f>IFERROR(__xludf.DUMMYFUNCTION("""COMPUTED_VALUE"""),0.583175205566097)</f>
        <v>0.5831752056</v>
      </c>
      <c r="G38" s="16">
        <f>IFERROR(__xludf.DUMMYFUNCTION("""COMPUTED_VALUE"""),0.490196078431372)</f>
        <v>0.4901960784</v>
      </c>
      <c r="H38" s="16">
        <f>IFERROR(__xludf.DUMMYFUNCTION("""COMPUTED_VALUE"""),0.43010752688172)</f>
        <v>0.4301075269</v>
      </c>
      <c r="I38" s="16">
        <f>IFERROR(__xludf.DUMMYFUNCTION("""COMPUTED_VALUE"""),0.409493670886075)</f>
        <v>0.4094936709</v>
      </c>
      <c r="J38" s="16">
        <f>IFERROR(__xludf.DUMMYFUNCTION("""COMPUTED_VALUE"""),0.379441624365482)</f>
        <v>0.3794416244</v>
      </c>
      <c r="K38" s="16">
        <f>IFERROR(__xludf.DUMMYFUNCTION("""COMPUTED_VALUE"""),0.356643356643356)</f>
        <v>0.3566433566</v>
      </c>
      <c r="L38" s="16">
        <f>IFERROR(__xludf.DUMMYFUNCTION("""COMPUTED_VALUE"""),0.355414012738853)</f>
        <v>0.3554140127</v>
      </c>
      <c r="M38" s="16">
        <f>IFERROR(__xludf.DUMMYFUNCTION("""COMPUTED_VALUE"""),0.347770700636942)</f>
        <v>0.3477707006</v>
      </c>
      <c r="N38" s="16">
        <f>IFERROR(__xludf.DUMMYFUNCTION("""COMPUTED_VALUE"""),0.320742637644046)</f>
        <v>0.3207426376</v>
      </c>
      <c r="O38" s="16">
        <f>IFERROR(__xludf.DUMMYFUNCTION("""COMPUTED_VALUE"""),0.299222797927461)</f>
        <v>0.2992227979</v>
      </c>
      <c r="P38" s="16">
        <f>IFERROR(__xludf.DUMMYFUNCTION("""COMPUTED_VALUE"""),0.185860058309037)</f>
        <v>0.1858600583</v>
      </c>
      <c r="Q38" s="16">
        <f>IFERROR(__xludf.DUMMYFUNCTION("""COMPUTED_VALUE"""),0.102974828375286)</f>
        <v>0.1029748284</v>
      </c>
      <c r="R38" s="16">
        <f>IFERROR(__xludf.DUMMYFUNCTION("""COMPUTED_VALUE"""),0.0)</f>
        <v>0</v>
      </c>
      <c r="S38" s="16">
        <f>IFERROR(__xludf.DUMMYFUNCTION("""COMPUTED_VALUE"""),0.0)</f>
        <v>0</v>
      </c>
      <c r="T38" s="16">
        <f>IFERROR(__xludf.DUMMYFUNCTION("""COMPUTED_VALUE"""),0.0)</f>
        <v>0</v>
      </c>
      <c r="U38" s="16">
        <f>IFERROR(__xludf.DUMMYFUNCTION("""COMPUTED_VALUE"""),0.0)</f>
        <v>0</v>
      </c>
      <c r="V38" s="16">
        <f>IFERROR(__xludf.DUMMYFUNCTION("""COMPUTED_VALUE"""),0.0)</f>
        <v>0</v>
      </c>
      <c r="W38" s="16">
        <f>IFERROR(__xludf.DUMMYFUNCTION("""COMPUTED_VALUE"""),0.0)</f>
        <v>0</v>
      </c>
      <c r="X38" s="16">
        <f>IFERROR(__xludf.DUMMYFUNCTION("""COMPUTED_VALUE"""),0.0)</f>
        <v>0</v>
      </c>
      <c r="Y38" s="16">
        <f>IFERROR(__xludf.DUMMYFUNCTION("""COMPUTED_VALUE"""),0.0)</f>
        <v>0</v>
      </c>
      <c r="Z38" s="16">
        <f>IFERROR(__xludf.DUMMYFUNCTION("""COMPUTED_VALUE"""),0.0)</f>
        <v>0</v>
      </c>
      <c r="AA38" s="16">
        <f>IFERROR(__xludf.DUMMYFUNCTION("""COMPUTED_VALUE"""),0.0)</f>
        <v>0</v>
      </c>
      <c r="AB38" s="16">
        <f>IFERROR(__xludf.DUMMYFUNCTION("""COMPUTED_VALUE"""),0.0)</f>
        <v>0</v>
      </c>
      <c r="AC38" s="16">
        <f>IFERROR(__xludf.DUMMYFUNCTION("""COMPUTED_VALUE"""),0.0)</f>
        <v>0</v>
      </c>
      <c r="AD38" s="16">
        <f>IFERROR(__xludf.DUMMYFUNCTION("""COMPUTED_VALUE"""),0.0)</f>
        <v>0</v>
      </c>
      <c r="AE38" s="16">
        <f>IFERROR(__xludf.DUMMYFUNCTION("""COMPUTED_VALUE"""),0.0)</f>
        <v>0</v>
      </c>
      <c r="AF38" s="16">
        <f>IFERROR(__xludf.DUMMYFUNCTION("""COMPUTED_VALUE"""),0.0)</f>
        <v>0</v>
      </c>
      <c r="AG38" s="16">
        <f>IFERROR(__xludf.DUMMYFUNCTION("""COMPUTED_VALUE"""),0.0)</f>
        <v>0</v>
      </c>
      <c r="AH38" s="16">
        <f>IFERROR(__xludf.DUMMYFUNCTION("""COMPUTED_VALUE"""),0.0)</f>
        <v>0</v>
      </c>
    </row>
    <row r="39">
      <c r="A39" s="16" t="str">
        <f>IFERROR(__xludf.DUMMYFUNCTION("""COMPUTED_VALUE"""),"2039c770620dbd485e50118a476f0b91b4bd035b")</f>
        <v>2039c770620dbd485e50118a476f0b91b4bd035b</v>
      </c>
      <c r="B39" s="16" t="str">
        <f>IFERROR(__xludf.DUMMYFUNCTION("""COMPUTED_VALUE"""),"Princess Ebony &amp; the Silver Dragon - Remastered Edition")</f>
        <v>Princess Ebony &amp; the Silver Dragon - Remastered Edition</v>
      </c>
      <c r="C39" s="16" t="str">
        <f>IFERROR(__xludf.DUMMYFUNCTION("""COMPUTED_VALUE"""),"Fantasy")</f>
        <v>Fantasy</v>
      </c>
      <c r="D39" s="16">
        <f>IFERROR(__xludf.DUMMYFUNCTION("""COMPUTED_VALUE"""),14765.0)</f>
        <v>14765</v>
      </c>
      <c r="E39" s="16">
        <f>IFERROR(__xludf.DUMMYFUNCTION("""COMPUTED_VALUE"""),0.936674568235692)</f>
        <v>0.9366745682</v>
      </c>
      <c r="F39" s="16">
        <f>IFERROR(__xludf.DUMMYFUNCTION("""COMPUTED_VALUE"""),0.457094480189637)</f>
        <v>0.4570944802</v>
      </c>
      <c r="G39" s="16">
        <f>IFERROR(__xludf.DUMMYFUNCTION("""COMPUTED_VALUE"""),0.411513714866237)</f>
        <v>0.4115137149</v>
      </c>
      <c r="H39" s="16">
        <f>IFERROR(__xludf.DUMMYFUNCTION("""COMPUTED_VALUE"""),0.382907955471083)</f>
        <v>0.3829079555</v>
      </c>
      <c r="I39" s="16">
        <f>IFERROR(__xludf.DUMMYFUNCTION("""COMPUTED_VALUE"""),0.366354245057125)</f>
        <v>0.3663542451</v>
      </c>
      <c r="J39" s="16">
        <f>IFERROR(__xludf.DUMMYFUNCTION("""COMPUTED_VALUE"""),0.350120399036807)</f>
        <v>0.350120399</v>
      </c>
      <c r="K39" s="16">
        <f>IFERROR(__xludf.DUMMYFUNCTION("""COMPUTED_VALUE"""),0.339430471835377)</f>
        <v>0.3394304718</v>
      </c>
      <c r="L39" s="16">
        <f>IFERROR(__xludf.DUMMYFUNCTION("""COMPUTED_VALUE"""),0.330748270802766)</f>
        <v>0.3307482708</v>
      </c>
      <c r="M39" s="16">
        <f>IFERROR(__xludf.DUMMYFUNCTION("""COMPUTED_VALUE"""),0.323720208715272)</f>
        <v>0.3237202087</v>
      </c>
      <c r="N39" s="16">
        <f>IFERROR(__xludf.DUMMYFUNCTION("""COMPUTED_VALUE"""),0.317949082634049)</f>
        <v>0.3179490826</v>
      </c>
      <c r="O39" s="16">
        <f>IFERROR(__xludf.DUMMYFUNCTION("""COMPUTED_VALUE"""),0.303544720311097)</f>
        <v>0.3035447203</v>
      </c>
      <c r="P39" s="16">
        <f>IFERROR(__xludf.DUMMYFUNCTION("""COMPUTED_VALUE"""),0.284338691707782)</f>
        <v>0.2843386917</v>
      </c>
      <c r="Q39" s="16">
        <f>IFERROR(__xludf.DUMMYFUNCTION("""COMPUTED_VALUE"""),0.230086064823292)</f>
        <v>0.2300860648</v>
      </c>
      <c r="R39" s="16">
        <f>IFERROR(__xludf.DUMMYFUNCTION("""COMPUTED_VALUE"""),0.182767883792657)</f>
        <v>0.1827678838</v>
      </c>
      <c r="S39" s="16">
        <f>IFERROR(__xludf.DUMMYFUNCTION("""COMPUTED_VALUE"""),0.148128110798528)</f>
        <v>0.1481281108</v>
      </c>
      <c r="T39" s="16">
        <f>IFERROR(__xludf.DUMMYFUNCTION("""COMPUTED_VALUE"""),0.120509708737864)</f>
        <v>0.1205097087</v>
      </c>
      <c r="U39" s="16">
        <f>IFERROR(__xludf.DUMMYFUNCTION("""COMPUTED_VALUE"""),0.0964482547458665)</f>
        <v>0.09644825475</v>
      </c>
      <c r="V39" s="16">
        <f>IFERROR(__xludf.DUMMYFUNCTION("""COMPUTED_VALUE"""),0.0851631438538887)</f>
        <v>0.08516314385</v>
      </c>
      <c r="W39" s="16">
        <f>IFERROR(__xludf.DUMMYFUNCTION("""COMPUTED_VALUE"""),0.0652852682372977)</f>
        <v>0.06528526824</v>
      </c>
      <c r="X39" s="16">
        <f>IFERROR(__xludf.DUMMYFUNCTION("""COMPUTED_VALUE"""),0.0374776918500892)</f>
        <v>0.03747769185</v>
      </c>
      <c r="Y39" s="16">
        <f>IFERROR(__xludf.DUMMYFUNCTION("""COMPUTED_VALUE"""),0.0342261904761904)</f>
        <v>0.03422619048</v>
      </c>
      <c r="Z39" s="16">
        <f>IFERROR(__xludf.DUMMYFUNCTION("""COMPUTED_VALUE"""),0.0)</f>
        <v>0</v>
      </c>
      <c r="AA39" s="16">
        <f>IFERROR(__xludf.DUMMYFUNCTION("""COMPUTED_VALUE"""),0.0)</f>
        <v>0</v>
      </c>
      <c r="AB39" s="16">
        <f>IFERROR(__xludf.DUMMYFUNCTION("""COMPUTED_VALUE"""),0.0)</f>
        <v>0</v>
      </c>
      <c r="AC39" s="16">
        <f>IFERROR(__xludf.DUMMYFUNCTION("""COMPUTED_VALUE"""),0.0)</f>
        <v>0</v>
      </c>
      <c r="AD39" s="16">
        <f>IFERROR(__xludf.DUMMYFUNCTION("""COMPUTED_VALUE"""),0.0)</f>
        <v>0</v>
      </c>
      <c r="AE39" s="16">
        <f>IFERROR(__xludf.DUMMYFUNCTION("""COMPUTED_VALUE"""),0.0)</f>
        <v>0</v>
      </c>
      <c r="AF39" s="16">
        <f>IFERROR(__xludf.DUMMYFUNCTION("""COMPUTED_VALUE"""),0.0)</f>
        <v>0</v>
      </c>
      <c r="AG39" s="16">
        <f>IFERROR(__xludf.DUMMYFUNCTION("""COMPUTED_VALUE"""),0.0)</f>
        <v>0</v>
      </c>
      <c r="AH39" s="16">
        <f>IFERROR(__xludf.DUMMYFUNCTION("""COMPUTED_VALUE"""),0.0)</f>
        <v>0</v>
      </c>
    </row>
    <row r="40">
      <c r="A40" s="16" t="str">
        <f>IFERROR(__xludf.DUMMYFUNCTION("""COMPUTED_VALUE"""),"215d4622bad0b1fca5cb36bca9f92b3c41d21f7e")</f>
        <v>215d4622bad0b1fca5cb36bca9f92b3c41d21f7e</v>
      </c>
      <c r="B40" s="16" t="str">
        <f>IFERROR(__xludf.DUMMYFUNCTION("""COMPUTED_VALUE"""),"Aiden's Regression")</f>
        <v>Aiden's Regression</v>
      </c>
      <c r="C40" s="16" t="str">
        <f>IFERROR(__xludf.DUMMYFUNCTION("""COMPUTED_VALUE"""),"System and Superpower")</f>
        <v>System and Superpower</v>
      </c>
      <c r="D40" s="16">
        <f>IFERROR(__xludf.DUMMYFUNCTION("""COMPUTED_VALUE"""),62.0)</f>
        <v>62</v>
      </c>
      <c r="E40" s="16">
        <f>IFERROR(__xludf.DUMMYFUNCTION("""COMPUTED_VALUE"""),0.951612903225806)</f>
        <v>0.9516129032</v>
      </c>
      <c r="F40" s="16">
        <f>IFERROR(__xludf.DUMMYFUNCTION("""COMPUTED_VALUE"""),0.564516129032258)</f>
        <v>0.564516129</v>
      </c>
      <c r="G40" s="16">
        <f>IFERROR(__xludf.DUMMYFUNCTION("""COMPUTED_VALUE"""),0.532258064516129)</f>
        <v>0.5322580645</v>
      </c>
      <c r="H40" s="16">
        <f>IFERROR(__xludf.DUMMYFUNCTION("""COMPUTED_VALUE"""),0.548387096774193)</f>
        <v>0.5483870968</v>
      </c>
      <c r="I40" s="16">
        <f>IFERROR(__xludf.DUMMYFUNCTION("""COMPUTED_VALUE"""),0.516129032258064)</f>
        <v>0.5161290323</v>
      </c>
      <c r="J40" s="16">
        <f>IFERROR(__xludf.DUMMYFUNCTION("""COMPUTED_VALUE"""),0.516129032258064)</f>
        <v>0.5161290323</v>
      </c>
      <c r="K40" s="16">
        <f>IFERROR(__xludf.DUMMYFUNCTION("""COMPUTED_VALUE"""),0.451612903225806)</f>
        <v>0.4516129032</v>
      </c>
      <c r="L40" s="16">
        <f>IFERROR(__xludf.DUMMYFUNCTION("""COMPUTED_VALUE"""),0.451612903225806)</f>
        <v>0.4516129032</v>
      </c>
      <c r="M40" s="16">
        <f>IFERROR(__xludf.DUMMYFUNCTION("""COMPUTED_VALUE"""),0.451612903225806)</f>
        <v>0.4516129032</v>
      </c>
      <c r="N40" s="16">
        <f>IFERROR(__xludf.DUMMYFUNCTION("""COMPUTED_VALUE"""),0.419354838709677)</f>
        <v>0.4193548387</v>
      </c>
      <c r="O40" s="16">
        <f>IFERROR(__xludf.DUMMYFUNCTION("""COMPUTED_VALUE"""),0.383333333333333)</f>
        <v>0.3833333333</v>
      </c>
      <c r="P40" s="16">
        <f>IFERROR(__xludf.DUMMYFUNCTION("""COMPUTED_VALUE"""),0.229166666666666)</f>
        <v>0.2291666667</v>
      </c>
      <c r="Q40" s="16">
        <f>IFERROR(__xludf.DUMMYFUNCTION("""COMPUTED_VALUE"""),0.0)</f>
        <v>0</v>
      </c>
      <c r="R40" s="16">
        <f>IFERROR(__xludf.DUMMYFUNCTION("""COMPUTED_VALUE"""),0.0)</f>
        <v>0</v>
      </c>
      <c r="S40" s="16">
        <f>IFERROR(__xludf.DUMMYFUNCTION("""COMPUTED_VALUE"""),0.0)</f>
        <v>0</v>
      </c>
      <c r="T40" s="16">
        <f>IFERROR(__xludf.DUMMYFUNCTION("""COMPUTED_VALUE"""),0.0)</f>
        <v>0</v>
      </c>
      <c r="U40" s="16">
        <f>IFERROR(__xludf.DUMMYFUNCTION("""COMPUTED_VALUE"""),0.0)</f>
        <v>0</v>
      </c>
      <c r="V40" s="16">
        <f>IFERROR(__xludf.DUMMYFUNCTION("""COMPUTED_VALUE"""),0.0)</f>
        <v>0</v>
      </c>
      <c r="W40" s="16">
        <f>IFERROR(__xludf.DUMMYFUNCTION("""COMPUTED_VALUE"""),0.0)</f>
        <v>0</v>
      </c>
      <c r="X40" s="16">
        <f>IFERROR(__xludf.DUMMYFUNCTION("""COMPUTED_VALUE"""),0.0)</f>
        <v>0</v>
      </c>
      <c r="Y40" s="16">
        <f>IFERROR(__xludf.DUMMYFUNCTION("""COMPUTED_VALUE"""),0.0)</f>
        <v>0</v>
      </c>
      <c r="Z40" s="16">
        <f>IFERROR(__xludf.DUMMYFUNCTION("""COMPUTED_VALUE"""),0.0)</f>
        <v>0</v>
      </c>
      <c r="AA40" s="16">
        <f>IFERROR(__xludf.DUMMYFUNCTION("""COMPUTED_VALUE"""),0.0)</f>
        <v>0</v>
      </c>
      <c r="AB40" s="16">
        <f>IFERROR(__xludf.DUMMYFUNCTION("""COMPUTED_VALUE"""),0.0)</f>
        <v>0</v>
      </c>
      <c r="AC40" s="16">
        <f>IFERROR(__xludf.DUMMYFUNCTION("""COMPUTED_VALUE"""),0.0)</f>
        <v>0</v>
      </c>
      <c r="AD40" s="16">
        <f>IFERROR(__xludf.DUMMYFUNCTION("""COMPUTED_VALUE"""),0.0)</f>
        <v>0</v>
      </c>
      <c r="AE40" s="16">
        <f>IFERROR(__xludf.DUMMYFUNCTION("""COMPUTED_VALUE"""),0.0)</f>
        <v>0</v>
      </c>
      <c r="AF40" s="16">
        <f>IFERROR(__xludf.DUMMYFUNCTION("""COMPUTED_VALUE"""),0.0)</f>
        <v>0</v>
      </c>
      <c r="AG40" s="16">
        <f>IFERROR(__xludf.DUMMYFUNCTION("""COMPUTED_VALUE"""),0.0)</f>
        <v>0</v>
      </c>
      <c r="AH40" s="16">
        <f>IFERROR(__xludf.DUMMYFUNCTION("""COMPUTED_VALUE"""),0.0)</f>
        <v>0</v>
      </c>
    </row>
    <row r="41">
      <c r="A41" s="16" t="str">
        <f>IFERROR(__xludf.DUMMYFUNCTION("""COMPUTED_VALUE"""),"2217881cc8f3c05fb3e0dbf70a118129e4e12471")</f>
        <v>2217881cc8f3c05fb3e0dbf70a118129e4e12471</v>
      </c>
      <c r="B41" s="16" t="str">
        <f>IFERROR(__xludf.DUMMYFUNCTION("""COMPUTED_VALUE"""),"Sevenfold Saint's Rise")</f>
        <v>Sevenfold Saint's Rise</v>
      </c>
      <c r="C41" s="16" t="str">
        <f>IFERROR(__xludf.DUMMYFUNCTION("""COMPUTED_VALUE"""),"Fantasy")</f>
        <v>Fantasy</v>
      </c>
      <c r="D41" s="16">
        <f>IFERROR(__xludf.DUMMYFUNCTION("""COMPUTED_VALUE"""),96.0)</f>
        <v>96</v>
      </c>
      <c r="E41" s="16">
        <f>IFERROR(__xludf.DUMMYFUNCTION("""COMPUTED_VALUE"""),0.947916666666666)</f>
        <v>0.9479166667</v>
      </c>
      <c r="F41" s="16">
        <f>IFERROR(__xludf.DUMMYFUNCTION("""COMPUTED_VALUE"""),0.59375)</f>
        <v>0.59375</v>
      </c>
      <c r="G41" s="16">
        <f>IFERROR(__xludf.DUMMYFUNCTION("""COMPUTED_VALUE"""),0.53125)</f>
        <v>0.53125</v>
      </c>
      <c r="H41" s="16">
        <f>IFERROR(__xludf.DUMMYFUNCTION("""COMPUTED_VALUE"""),0.510416666666666)</f>
        <v>0.5104166667</v>
      </c>
      <c r="I41" s="16">
        <f>IFERROR(__xludf.DUMMYFUNCTION("""COMPUTED_VALUE"""),0.442105263157894)</f>
        <v>0.4421052632</v>
      </c>
      <c r="J41" s="16">
        <f>IFERROR(__xludf.DUMMYFUNCTION("""COMPUTED_VALUE"""),0.368421052631578)</f>
        <v>0.3684210526</v>
      </c>
      <c r="K41" s="16">
        <f>IFERROR(__xludf.DUMMYFUNCTION("""COMPUTED_VALUE"""),0.326315789473684)</f>
        <v>0.3263157895</v>
      </c>
      <c r="L41" s="16">
        <f>IFERROR(__xludf.DUMMYFUNCTION("""COMPUTED_VALUE"""),0.31578947368421)</f>
        <v>0.3157894737</v>
      </c>
      <c r="M41" s="16">
        <f>IFERROR(__xludf.DUMMYFUNCTION("""COMPUTED_VALUE"""),0.284210526315789)</f>
        <v>0.2842105263</v>
      </c>
      <c r="N41" s="16">
        <f>IFERROR(__xludf.DUMMYFUNCTION("""COMPUTED_VALUE"""),0.225806451612903)</f>
        <v>0.2258064516</v>
      </c>
      <c r="O41" s="16">
        <f>IFERROR(__xludf.DUMMYFUNCTION("""COMPUTED_VALUE"""),0.142857142857142)</f>
        <v>0.1428571429</v>
      </c>
      <c r="P41" s="16">
        <f>IFERROR(__xludf.DUMMYFUNCTION("""COMPUTED_VALUE"""),0.0)</f>
        <v>0</v>
      </c>
      <c r="Q41" s="16">
        <f>IFERROR(__xludf.DUMMYFUNCTION("""COMPUTED_VALUE"""),0.0)</f>
        <v>0</v>
      </c>
      <c r="R41" s="16">
        <f>IFERROR(__xludf.DUMMYFUNCTION("""COMPUTED_VALUE"""),0.0)</f>
        <v>0</v>
      </c>
      <c r="S41" s="16">
        <f>IFERROR(__xludf.DUMMYFUNCTION("""COMPUTED_VALUE"""),0.0)</f>
        <v>0</v>
      </c>
      <c r="T41" s="16">
        <f>IFERROR(__xludf.DUMMYFUNCTION("""COMPUTED_VALUE"""),0.0)</f>
        <v>0</v>
      </c>
      <c r="U41" s="16">
        <f>IFERROR(__xludf.DUMMYFUNCTION("""COMPUTED_VALUE"""),0.0)</f>
        <v>0</v>
      </c>
      <c r="V41" s="16">
        <f>IFERROR(__xludf.DUMMYFUNCTION("""COMPUTED_VALUE"""),0.0)</f>
        <v>0</v>
      </c>
      <c r="W41" s="16">
        <f>IFERROR(__xludf.DUMMYFUNCTION("""COMPUTED_VALUE"""),0.0)</f>
        <v>0</v>
      </c>
      <c r="X41" s="16">
        <f>IFERROR(__xludf.DUMMYFUNCTION("""COMPUTED_VALUE"""),0.0)</f>
        <v>0</v>
      </c>
      <c r="Y41" s="16">
        <f>IFERROR(__xludf.DUMMYFUNCTION("""COMPUTED_VALUE"""),0.0)</f>
        <v>0</v>
      </c>
      <c r="Z41" s="16">
        <f>IFERROR(__xludf.DUMMYFUNCTION("""COMPUTED_VALUE"""),0.0)</f>
        <v>0</v>
      </c>
      <c r="AA41" s="16">
        <f>IFERROR(__xludf.DUMMYFUNCTION("""COMPUTED_VALUE"""),0.0)</f>
        <v>0</v>
      </c>
      <c r="AB41" s="16">
        <f>IFERROR(__xludf.DUMMYFUNCTION("""COMPUTED_VALUE"""),0.0)</f>
        <v>0</v>
      </c>
      <c r="AC41" s="16">
        <f>IFERROR(__xludf.DUMMYFUNCTION("""COMPUTED_VALUE"""),0.0)</f>
        <v>0</v>
      </c>
      <c r="AD41" s="16">
        <f>IFERROR(__xludf.DUMMYFUNCTION("""COMPUTED_VALUE"""),0.0)</f>
        <v>0</v>
      </c>
      <c r="AE41" s="16">
        <f>IFERROR(__xludf.DUMMYFUNCTION("""COMPUTED_VALUE"""),0.0)</f>
        <v>0</v>
      </c>
      <c r="AF41" s="16">
        <f>IFERROR(__xludf.DUMMYFUNCTION("""COMPUTED_VALUE"""),0.0)</f>
        <v>0</v>
      </c>
      <c r="AG41" s="16">
        <f>IFERROR(__xludf.DUMMYFUNCTION("""COMPUTED_VALUE"""),0.0)</f>
        <v>0</v>
      </c>
      <c r="AH41" s="16">
        <f>IFERROR(__xludf.DUMMYFUNCTION("""COMPUTED_VALUE"""),0.0)</f>
        <v>0</v>
      </c>
    </row>
    <row r="42">
      <c r="A42" s="16" t="str">
        <f>IFERROR(__xludf.DUMMYFUNCTION("""COMPUTED_VALUE"""),"224e6f56466e098b0d6a19535a60cc9f4da7f36a")</f>
        <v>224e6f56466e098b0d6a19535a60cc9f4da7f36a</v>
      </c>
      <c r="B42" s="16" t="str">
        <f>IFERROR(__xludf.DUMMYFUNCTION("""COMPUTED_VALUE"""),"Bound by Billions")</f>
        <v>Bound by Billions</v>
      </c>
      <c r="C42" s="16" t="str">
        <f>IFERROR(__xludf.DUMMYFUNCTION("""COMPUTED_VALUE"""),"Drama")</f>
        <v>Drama</v>
      </c>
      <c r="D42" s="16">
        <f>IFERROR(__xludf.DUMMYFUNCTION("""COMPUTED_VALUE"""),10799.0)</f>
        <v>10799</v>
      </c>
      <c r="E42" s="16">
        <f>IFERROR(__xludf.DUMMYFUNCTION("""COMPUTED_VALUE"""),0.932493749421242)</f>
        <v>0.9324937494</v>
      </c>
      <c r="F42" s="16">
        <f>IFERROR(__xludf.DUMMYFUNCTION("""COMPUTED_VALUE"""),0.489397166404296)</f>
        <v>0.4893971664</v>
      </c>
      <c r="G42" s="16">
        <f>IFERROR(__xludf.DUMMYFUNCTION("""COMPUTED_VALUE"""),0.442077970182424)</f>
        <v>0.4420779702</v>
      </c>
      <c r="H42" s="16">
        <f>IFERROR(__xludf.DUMMYFUNCTION("""COMPUTED_VALUE"""),0.415779238818409)</f>
        <v>0.4157792388</v>
      </c>
      <c r="I42" s="16">
        <f>IFERROR(__xludf.DUMMYFUNCTION("""COMPUTED_VALUE"""),0.39544360066679)</f>
        <v>0.3954436007</v>
      </c>
      <c r="J42" s="16">
        <f>IFERROR(__xludf.DUMMYFUNCTION("""COMPUTED_VALUE"""),0.377199481385441)</f>
        <v>0.3771994814</v>
      </c>
      <c r="K42" s="16">
        <f>IFERROR(__xludf.DUMMYFUNCTION("""COMPUTED_VALUE"""),0.360529727727356)</f>
        <v>0.3605297277</v>
      </c>
      <c r="L42" s="16">
        <f>IFERROR(__xludf.DUMMYFUNCTION("""COMPUTED_VALUE"""),0.355528801629931)</f>
        <v>0.3555288016</v>
      </c>
      <c r="M42" s="16">
        <f>IFERROR(__xludf.DUMMYFUNCTION("""COMPUTED_VALUE"""),0.336729023893313)</f>
        <v>0.3367290239</v>
      </c>
      <c r="N42" s="16">
        <f>IFERROR(__xludf.DUMMYFUNCTION("""COMPUTED_VALUE"""),0.329628600537186)</f>
        <v>0.3296286005</v>
      </c>
      <c r="O42" s="16">
        <f>IFERROR(__xludf.DUMMYFUNCTION("""COMPUTED_VALUE"""),0.298128589957383)</f>
        <v>0.29812859</v>
      </c>
      <c r="P42" s="16">
        <f>IFERROR(__xludf.DUMMYFUNCTION("""COMPUTED_VALUE"""),0.208387455928743)</f>
        <v>0.2083874559</v>
      </c>
      <c r="Q42" s="16">
        <f>IFERROR(__xludf.DUMMYFUNCTION("""COMPUTED_VALUE"""),0.14014229545029)</f>
        <v>0.1401422955</v>
      </c>
      <c r="R42" s="16">
        <f>IFERROR(__xludf.DUMMYFUNCTION("""COMPUTED_VALUE"""),0.109126797631356)</f>
        <v>0.1091267976</v>
      </c>
      <c r="S42" s="16">
        <f>IFERROR(__xludf.DUMMYFUNCTION("""COMPUTED_VALUE"""),0.0848576277578729)</f>
        <v>0.08485762776</v>
      </c>
      <c r="T42" s="16">
        <f>IFERROR(__xludf.DUMMYFUNCTION("""COMPUTED_VALUE"""),0.0575455838613733)</f>
        <v>0.05754558386</v>
      </c>
      <c r="U42" s="16">
        <f>IFERROR(__xludf.DUMMYFUNCTION("""COMPUTED_VALUE"""),0.0673102008870336)</f>
        <v>0.06731020089</v>
      </c>
      <c r="V42" s="16">
        <f>IFERROR(__xludf.DUMMYFUNCTION("""COMPUTED_VALUE"""),0.0646024464831804)</f>
        <v>0.06460244648</v>
      </c>
      <c r="W42" s="16">
        <f>IFERROR(__xludf.DUMMYFUNCTION("""COMPUTED_VALUE"""),0.0531053105310531)</f>
        <v>0.05310531053</v>
      </c>
      <c r="X42" s="16">
        <f>IFERROR(__xludf.DUMMYFUNCTION("""COMPUTED_VALUE"""),0.0452352231604342)</f>
        <v>0.04523522316</v>
      </c>
      <c r="Y42" s="16">
        <f>IFERROR(__xludf.DUMMYFUNCTION("""COMPUTED_VALUE"""),0.0393466963622865)</f>
        <v>0.03934669636</v>
      </c>
      <c r="Z42" s="16">
        <f>IFERROR(__xludf.DUMMYFUNCTION("""COMPUTED_VALUE"""),0.0296220633299285)</f>
        <v>0.02962206333</v>
      </c>
      <c r="AA42" s="16">
        <f>IFERROR(__xludf.DUMMYFUNCTION("""COMPUTED_VALUE"""),0.0273752012882447)</f>
        <v>0.02737520129</v>
      </c>
      <c r="AB42" s="16">
        <f>IFERROR(__xludf.DUMMYFUNCTION("""COMPUTED_VALUE"""),0.0303030303030303)</f>
        <v>0.0303030303</v>
      </c>
      <c r="AC42" s="16">
        <f>IFERROR(__xludf.DUMMYFUNCTION("""COMPUTED_VALUE"""),0.023391812865497)</f>
        <v>0.02339181287</v>
      </c>
      <c r="AD42" s="16">
        <f>IFERROR(__xludf.DUMMYFUNCTION("""COMPUTED_VALUE"""),0.0134228187919463)</f>
        <v>0.01342281879</v>
      </c>
      <c r="AE42" s="16">
        <f>IFERROR(__xludf.DUMMYFUNCTION("""COMPUTED_VALUE"""),0.0091743119266055)</f>
        <v>0.009174311927</v>
      </c>
      <c r="AF42" s="16">
        <f>IFERROR(__xludf.DUMMYFUNCTION("""COMPUTED_VALUE"""),0.0)</f>
        <v>0</v>
      </c>
      <c r="AG42" s="16">
        <f>IFERROR(__xludf.DUMMYFUNCTION("""COMPUTED_VALUE"""),0.0)</f>
        <v>0</v>
      </c>
      <c r="AH42" s="16">
        <f>IFERROR(__xludf.DUMMYFUNCTION("""COMPUTED_VALUE"""),0.0)</f>
        <v>0</v>
      </c>
    </row>
    <row r="43">
      <c r="A43" s="16" t="str">
        <f>IFERROR(__xludf.DUMMYFUNCTION("""COMPUTED_VALUE"""),"23200139c53ab123429a0f621a7519272bf21ea7")</f>
        <v>23200139c53ab123429a0f621a7519272bf21ea7</v>
      </c>
      <c r="B43" s="16" t="str">
        <f>IFERROR(__xludf.DUMMYFUNCTION("""COMPUTED_VALUE"""),"The Fae Lycan Abomination")</f>
        <v>The Fae Lycan Abomination</v>
      </c>
      <c r="C43" s="16" t="str">
        <f>IFERROR(__xludf.DUMMYFUNCTION("""COMPUTED_VALUE"""),"Fantasy")</f>
        <v>Fantasy</v>
      </c>
      <c r="D43" s="16">
        <f>IFERROR(__xludf.DUMMYFUNCTION("""COMPUTED_VALUE"""),208.0)</f>
        <v>208</v>
      </c>
      <c r="E43" s="16">
        <f>IFERROR(__xludf.DUMMYFUNCTION("""COMPUTED_VALUE"""),0.98076923076923)</f>
        <v>0.9807692308</v>
      </c>
      <c r="F43" s="16">
        <f>IFERROR(__xludf.DUMMYFUNCTION("""COMPUTED_VALUE"""),0.471153846153846)</f>
        <v>0.4711538462</v>
      </c>
      <c r="G43" s="16">
        <f>IFERROR(__xludf.DUMMYFUNCTION("""COMPUTED_VALUE"""),0.365384615384615)</f>
        <v>0.3653846154</v>
      </c>
      <c r="H43" s="16">
        <f>IFERROR(__xludf.DUMMYFUNCTION("""COMPUTED_VALUE"""),0.296116504854368)</f>
        <v>0.2961165049</v>
      </c>
      <c r="I43" s="16">
        <f>IFERROR(__xludf.DUMMYFUNCTION("""COMPUTED_VALUE"""),0.262135922330097)</f>
        <v>0.2621359223</v>
      </c>
      <c r="J43" s="16">
        <f>IFERROR(__xludf.DUMMYFUNCTION("""COMPUTED_VALUE"""),0.270408163265306)</f>
        <v>0.2704081633</v>
      </c>
      <c r="K43" s="16">
        <f>IFERROR(__xludf.DUMMYFUNCTION("""COMPUTED_VALUE"""),0.244680851063829)</f>
        <v>0.2446808511</v>
      </c>
      <c r="L43" s="16">
        <f>IFERROR(__xludf.DUMMYFUNCTION("""COMPUTED_VALUE"""),0.234636871508379)</f>
        <v>0.2346368715</v>
      </c>
      <c r="M43" s="16">
        <f>IFERROR(__xludf.DUMMYFUNCTION("""COMPUTED_VALUE"""),0.227272727272727)</f>
        <v>0.2272727273</v>
      </c>
      <c r="N43" s="16">
        <f>IFERROR(__xludf.DUMMYFUNCTION("""COMPUTED_VALUE"""),0.236024844720496)</f>
        <v>0.2360248447</v>
      </c>
      <c r="O43" s="16">
        <f>IFERROR(__xludf.DUMMYFUNCTION("""COMPUTED_VALUE"""),0.228346456692913)</f>
        <v>0.2283464567</v>
      </c>
      <c r="P43" s="16">
        <f>IFERROR(__xludf.DUMMYFUNCTION("""COMPUTED_VALUE"""),0.172413793103448)</f>
        <v>0.1724137931</v>
      </c>
      <c r="Q43" s="16">
        <f>IFERROR(__xludf.DUMMYFUNCTION("""COMPUTED_VALUE"""),0.0)</f>
        <v>0</v>
      </c>
      <c r="R43" s="16">
        <f>IFERROR(__xludf.DUMMYFUNCTION("""COMPUTED_VALUE"""),0.0)</f>
        <v>0</v>
      </c>
      <c r="S43" s="16">
        <f>IFERROR(__xludf.DUMMYFUNCTION("""COMPUTED_VALUE"""),0.0)</f>
        <v>0</v>
      </c>
      <c r="T43" s="16">
        <f>IFERROR(__xludf.DUMMYFUNCTION("""COMPUTED_VALUE"""),0.0)</f>
        <v>0</v>
      </c>
      <c r="U43" s="16">
        <f>IFERROR(__xludf.DUMMYFUNCTION("""COMPUTED_VALUE"""),0.0)</f>
        <v>0</v>
      </c>
      <c r="V43" s="16">
        <f>IFERROR(__xludf.DUMMYFUNCTION("""COMPUTED_VALUE"""),0.0)</f>
        <v>0</v>
      </c>
      <c r="W43" s="16">
        <f>IFERROR(__xludf.DUMMYFUNCTION("""COMPUTED_VALUE"""),0.0)</f>
        <v>0</v>
      </c>
      <c r="X43" s="16">
        <f>IFERROR(__xludf.DUMMYFUNCTION("""COMPUTED_VALUE"""),0.0)</f>
        <v>0</v>
      </c>
      <c r="Y43" s="16">
        <f>IFERROR(__xludf.DUMMYFUNCTION("""COMPUTED_VALUE"""),0.0)</f>
        <v>0</v>
      </c>
      <c r="Z43" s="16">
        <f>IFERROR(__xludf.DUMMYFUNCTION("""COMPUTED_VALUE"""),0.0)</f>
        <v>0</v>
      </c>
      <c r="AA43" s="16">
        <f>IFERROR(__xludf.DUMMYFUNCTION("""COMPUTED_VALUE"""),0.0)</f>
        <v>0</v>
      </c>
      <c r="AB43" s="16">
        <f>IFERROR(__xludf.DUMMYFUNCTION("""COMPUTED_VALUE"""),0.0)</f>
        <v>0</v>
      </c>
      <c r="AC43" s="16">
        <f>IFERROR(__xludf.DUMMYFUNCTION("""COMPUTED_VALUE"""),0.0)</f>
        <v>0</v>
      </c>
      <c r="AD43" s="16">
        <f>IFERROR(__xludf.DUMMYFUNCTION("""COMPUTED_VALUE"""),0.0)</f>
        <v>0</v>
      </c>
      <c r="AE43" s="16">
        <f>IFERROR(__xludf.DUMMYFUNCTION("""COMPUTED_VALUE"""),0.0)</f>
        <v>0</v>
      </c>
      <c r="AF43" s="16">
        <f>IFERROR(__xludf.DUMMYFUNCTION("""COMPUTED_VALUE"""),0.0)</f>
        <v>0</v>
      </c>
      <c r="AG43" s="16">
        <f>IFERROR(__xludf.DUMMYFUNCTION("""COMPUTED_VALUE"""),0.0)</f>
        <v>0</v>
      </c>
      <c r="AH43" s="16">
        <f>IFERROR(__xludf.DUMMYFUNCTION("""COMPUTED_VALUE"""),0.0)</f>
        <v>0</v>
      </c>
    </row>
    <row r="44">
      <c r="A44" s="16" t="str">
        <f>IFERROR(__xludf.DUMMYFUNCTION("""COMPUTED_VALUE"""),"234ed47144507d63e9a903acfe37512c24bc9290")</f>
        <v>234ed47144507d63e9a903acfe37512c24bc9290</v>
      </c>
      <c r="B44" s="16" t="str">
        <f>IFERROR(__xludf.DUMMYFUNCTION("""COMPUTED_VALUE"""),"Twists of Love &amp; Revenge")</f>
        <v>Twists of Love &amp; Revenge</v>
      </c>
      <c r="C44" s="16" t="str">
        <f>IFERROR(__xludf.DUMMYFUNCTION("""COMPUTED_VALUE"""),"Romantasy")</f>
        <v>Romantasy</v>
      </c>
      <c r="D44" s="16">
        <f>IFERROR(__xludf.DUMMYFUNCTION("""COMPUTED_VALUE"""),23297.0)</f>
        <v>23297</v>
      </c>
      <c r="E44" s="16">
        <f>IFERROR(__xludf.DUMMYFUNCTION("""COMPUTED_VALUE"""),0.921234493711636)</f>
        <v>0.9212344937</v>
      </c>
      <c r="F44" s="16">
        <f>IFERROR(__xludf.DUMMYFUNCTION("""COMPUTED_VALUE"""),0.642142765162896)</f>
        <v>0.6421427652</v>
      </c>
      <c r="G44" s="16">
        <f>IFERROR(__xludf.DUMMYFUNCTION("""COMPUTED_VALUE"""),0.578486500407777)</f>
        <v>0.5784865004</v>
      </c>
      <c r="H44" s="16">
        <f>IFERROR(__xludf.DUMMYFUNCTION("""COMPUTED_VALUE"""),0.525371340259294)</f>
        <v>0.5253713403</v>
      </c>
      <c r="I44" s="16">
        <f>IFERROR(__xludf.DUMMYFUNCTION("""COMPUTED_VALUE"""),0.495941593300408)</f>
        <v>0.4959415933</v>
      </c>
      <c r="J44" s="16">
        <f>IFERROR(__xludf.DUMMYFUNCTION("""COMPUTED_VALUE"""),0.476867563039649)</f>
        <v>0.476867563</v>
      </c>
      <c r="K44" s="16">
        <f>IFERROR(__xludf.DUMMYFUNCTION("""COMPUTED_VALUE"""),0.457640232108317)</f>
        <v>0.4576402321</v>
      </c>
      <c r="L44" s="16">
        <f>IFERROR(__xludf.DUMMYFUNCTION("""COMPUTED_VALUE"""),0.441199242945629)</f>
        <v>0.4411992429</v>
      </c>
      <c r="M44" s="16">
        <f>IFERROR(__xludf.DUMMYFUNCTION("""COMPUTED_VALUE"""),0.427925795205096)</f>
        <v>0.4279257952</v>
      </c>
      <c r="N44" s="16">
        <f>IFERROR(__xludf.DUMMYFUNCTION("""COMPUTED_VALUE"""),0.420245530906741)</f>
        <v>0.4202455309</v>
      </c>
      <c r="O44" s="16">
        <f>IFERROR(__xludf.DUMMYFUNCTION("""COMPUTED_VALUE"""),0.393118372646613)</f>
        <v>0.3931183726</v>
      </c>
      <c r="P44" s="16">
        <f>IFERROR(__xludf.DUMMYFUNCTION("""COMPUTED_VALUE"""),0.34744206383909)</f>
        <v>0.3474420638</v>
      </c>
      <c r="Q44" s="16">
        <f>IFERROR(__xludf.DUMMYFUNCTION("""COMPUTED_VALUE"""),0.28082403282015)</f>
        <v>0.2808240328</v>
      </c>
      <c r="R44" s="16">
        <f>IFERROR(__xludf.DUMMYFUNCTION("""COMPUTED_VALUE"""),0.220894063277639)</f>
        <v>0.2208940633</v>
      </c>
      <c r="S44" s="16">
        <f>IFERROR(__xludf.DUMMYFUNCTION("""COMPUTED_VALUE"""),0.19831977835374)</f>
        <v>0.1983197784</v>
      </c>
      <c r="T44" s="16">
        <f>IFERROR(__xludf.DUMMYFUNCTION("""COMPUTED_VALUE"""),0.184798740724083)</f>
        <v>0.1847987407</v>
      </c>
      <c r="U44" s="16">
        <f>IFERROR(__xludf.DUMMYFUNCTION("""COMPUTED_VALUE"""),0.167911968482543)</f>
        <v>0.1679119685</v>
      </c>
      <c r="V44" s="16">
        <f>IFERROR(__xludf.DUMMYFUNCTION("""COMPUTED_VALUE"""),0.155252708466101)</f>
        <v>0.1552527085</v>
      </c>
      <c r="W44" s="16">
        <f>IFERROR(__xludf.DUMMYFUNCTION("""COMPUTED_VALUE"""),0.142936878425005)</f>
        <v>0.1429368784</v>
      </c>
      <c r="X44" s="16">
        <f>IFERROR(__xludf.DUMMYFUNCTION("""COMPUTED_VALUE"""),0.130998210703247)</f>
        <v>0.1309982107</v>
      </c>
      <c r="Y44" s="16">
        <f>IFERROR(__xludf.DUMMYFUNCTION("""COMPUTED_VALUE"""),0.126351162139456)</f>
        <v>0.1263511621</v>
      </c>
      <c r="Z44" s="16">
        <f>IFERROR(__xludf.DUMMYFUNCTION("""COMPUTED_VALUE"""),0.116799905948742)</f>
        <v>0.1167999059</v>
      </c>
      <c r="AA44" s="16">
        <f>IFERROR(__xludf.DUMMYFUNCTION("""COMPUTED_VALUE"""),0.106960330980773)</f>
        <v>0.106960331</v>
      </c>
      <c r="AB44" s="16">
        <f>IFERROR(__xludf.DUMMYFUNCTION("""COMPUTED_VALUE"""),0.0957467344443729)</f>
        <v>0.09574673444</v>
      </c>
      <c r="AC44" s="16">
        <f>IFERROR(__xludf.DUMMYFUNCTION("""COMPUTED_VALUE"""),0.0872788666226235)</f>
        <v>0.08727886662</v>
      </c>
      <c r="AD44" s="16">
        <f>IFERROR(__xludf.DUMMYFUNCTION("""COMPUTED_VALUE"""),0.059272047187455)</f>
        <v>0.05927204719</v>
      </c>
      <c r="AE44" s="16">
        <f>IFERROR(__xludf.DUMMYFUNCTION("""COMPUTED_VALUE"""),0.0471380471380471)</f>
        <v>0.04713804714</v>
      </c>
      <c r="AF44" s="16">
        <f>IFERROR(__xludf.DUMMYFUNCTION("""COMPUTED_VALUE"""),0.0363636363636363)</f>
        <v>0.03636363636</v>
      </c>
      <c r="AG44" s="16">
        <f>IFERROR(__xludf.DUMMYFUNCTION("""COMPUTED_VALUE"""),0.0)</f>
        <v>0</v>
      </c>
      <c r="AH44" s="16">
        <f>IFERROR(__xludf.DUMMYFUNCTION("""COMPUTED_VALUE"""),0.0)</f>
        <v>0</v>
      </c>
    </row>
    <row r="45">
      <c r="A45" s="16" t="str">
        <f>IFERROR(__xludf.DUMMYFUNCTION("""COMPUTED_VALUE"""),"239987644f409ac822be4ca9051a98eb8bf7e766")</f>
        <v>239987644f409ac822be4ca9051a98eb8bf7e766</v>
      </c>
      <c r="B45" s="16" t="str">
        <f>IFERROR(__xludf.DUMMYFUNCTION("""COMPUTED_VALUE"""),"The Silent Rebirth")</f>
        <v>The Silent Rebirth</v>
      </c>
      <c r="C45" s="16" t="str">
        <f>IFERROR(__xludf.DUMMYFUNCTION("""COMPUTED_VALUE"""),"Romantasy")</f>
        <v>Romantasy</v>
      </c>
      <c r="D45" s="16">
        <f>IFERROR(__xludf.DUMMYFUNCTION("""COMPUTED_VALUE"""),6339.0)</f>
        <v>6339</v>
      </c>
      <c r="E45" s="16">
        <f>IFERROR(__xludf.DUMMYFUNCTION("""COMPUTED_VALUE"""),0.9406846505758)</f>
        <v>0.9406846506</v>
      </c>
      <c r="F45" s="16">
        <f>IFERROR(__xludf.DUMMYFUNCTION("""COMPUTED_VALUE"""),0.554433575260334)</f>
        <v>0.5544335753</v>
      </c>
      <c r="G45" s="16">
        <f>IFERROR(__xludf.DUMMYFUNCTION("""COMPUTED_VALUE"""),0.488639949510886)</f>
        <v>0.4886399495</v>
      </c>
      <c r="H45" s="16">
        <f>IFERROR(__xludf.DUMMYFUNCTION("""COMPUTED_VALUE"""),0.454315922360738)</f>
        <v>0.4543159224</v>
      </c>
      <c r="I45" s="16">
        <f>IFERROR(__xludf.DUMMYFUNCTION("""COMPUTED_VALUE"""),0.438516179952644)</f>
        <v>0.43851618</v>
      </c>
      <c r="J45" s="16">
        <f>IFERROR(__xludf.DUMMYFUNCTION("""COMPUTED_VALUE"""),0.415824384080859)</f>
        <v>0.4158243841</v>
      </c>
      <c r="K45" s="16">
        <f>IFERROR(__xludf.DUMMYFUNCTION("""COMPUTED_VALUE"""),0.394849107283931)</f>
        <v>0.3948491073</v>
      </c>
      <c r="L45" s="16">
        <f>IFERROR(__xludf.DUMMYFUNCTION("""COMPUTED_VALUE"""),0.38254821372115)</f>
        <v>0.3825482137</v>
      </c>
      <c r="M45" s="16">
        <f>IFERROR(__xludf.DUMMYFUNCTION("""COMPUTED_VALUE"""),0.371975328167009)</f>
        <v>0.3719753282</v>
      </c>
      <c r="N45" s="16">
        <f>IFERROR(__xludf.DUMMYFUNCTION("""COMPUTED_VALUE"""),0.361550632911392)</f>
        <v>0.3615506329</v>
      </c>
      <c r="O45" s="16">
        <f>IFERROR(__xludf.DUMMYFUNCTION("""COMPUTED_VALUE"""),0.346178242943228)</f>
        <v>0.3461782429</v>
      </c>
      <c r="P45" s="16">
        <f>IFERROR(__xludf.DUMMYFUNCTION("""COMPUTED_VALUE"""),0.300462004142106)</f>
        <v>0.3004620041</v>
      </c>
      <c r="Q45" s="16">
        <f>IFERROR(__xludf.DUMMYFUNCTION("""COMPUTED_VALUE"""),0.228612856452392)</f>
        <v>0.2286128565</v>
      </c>
      <c r="R45" s="16">
        <f>IFERROR(__xludf.DUMMYFUNCTION("""COMPUTED_VALUE"""),0.194648478488982)</f>
        <v>0.1946484785</v>
      </c>
      <c r="S45" s="16">
        <f>IFERROR(__xludf.DUMMYFUNCTION("""COMPUTED_VALUE"""),0.170690385429902)</f>
        <v>0.1706903854</v>
      </c>
      <c r="T45" s="16">
        <f>IFERROR(__xludf.DUMMYFUNCTION("""COMPUTED_VALUE"""),0.146248534583821)</f>
        <v>0.1462485346</v>
      </c>
      <c r="U45" s="16">
        <f>IFERROR(__xludf.DUMMYFUNCTION("""COMPUTED_VALUE"""),0.133632596685082)</f>
        <v>0.1336325967</v>
      </c>
      <c r="V45" s="16">
        <f>IFERROR(__xludf.DUMMYFUNCTION("""COMPUTED_VALUE"""),0.128259940145361)</f>
        <v>0.1282599401</v>
      </c>
      <c r="W45" s="16">
        <f>IFERROR(__xludf.DUMMYFUNCTION("""COMPUTED_VALUE"""),0.102459016393442)</f>
        <v>0.1024590164</v>
      </c>
      <c r="X45" s="16">
        <f>IFERROR(__xludf.DUMMYFUNCTION("""COMPUTED_VALUE"""),0.0759615384615384)</f>
        <v>0.07596153846</v>
      </c>
      <c r="Y45" s="16">
        <f>IFERROR(__xludf.DUMMYFUNCTION("""COMPUTED_VALUE"""),0.0442708333333333)</f>
        <v>0.04427083333</v>
      </c>
      <c r="Z45" s="16">
        <f>IFERROR(__xludf.DUMMYFUNCTION("""COMPUTED_VALUE"""),0.0)</f>
        <v>0</v>
      </c>
      <c r="AA45" s="16">
        <f>IFERROR(__xludf.DUMMYFUNCTION("""COMPUTED_VALUE"""),0.0)</f>
        <v>0</v>
      </c>
      <c r="AB45" s="16">
        <f>IFERROR(__xludf.DUMMYFUNCTION("""COMPUTED_VALUE"""),0.0)</f>
        <v>0</v>
      </c>
      <c r="AC45" s="16">
        <f>IFERROR(__xludf.DUMMYFUNCTION("""COMPUTED_VALUE"""),0.0)</f>
        <v>0</v>
      </c>
      <c r="AD45" s="16">
        <f>IFERROR(__xludf.DUMMYFUNCTION("""COMPUTED_VALUE"""),0.0)</f>
        <v>0</v>
      </c>
      <c r="AE45" s="16">
        <f>IFERROR(__xludf.DUMMYFUNCTION("""COMPUTED_VALUE"""),0.0)</f>
        <v>0</v>
      </c>
      <c r="AF45" s="16">
        <f>IFERROR(__xludf.DUMMYFUNCTION("""COMPUTED_VALUE"""),0.0)</f>
        <v>0</v>
      </c>
      <c r="AG45" s="16">
        <f>IFERROR(__xludf.DUMMYFUNCTION("""COMPUTED_VALUE"""),0.0)</f>
        <v>0</v>
      </c>
      <c r="AH45" s="16">
        <f>IFERROR(__xludf.DUMMYFUNCTION("""COMPUTED_VALUE"""),0.0)</f>
        <v>0</v>
      </c>
    </row>
    <row r="46">
      <c r="A46" s="16" t="str">
        <f>IFERROR(__xludf.DUMMYFUNCTION("""COMPUTED_VALUE"""),"239fafc880752526fba110a11c49b101aec7192f")</f>
        <v>239fafc880752526fba110a11c49b101aec7192f</v>
      </c>
      <c r="B46" s="16" t="str">
        <f>IFERROR(__xludf.DUMMYFUNCTION("""COMPUTED_VALUE"""),"Mama's Lil Kings")</f>
        <v>Mama's Lil Kings</v>
      </c>
      <c r="C46" s="16" t="str">
        <f>IFERROR(__xludf.DUMMYFUNCTION("""COMPUTED_VALUE"""),"Drama")</f>
        <v>Drama</v>
      </c>
      <c r="D46" s="16">
        <f>IFERROR(__xludf.DUMMYFUNCTION("""COMPUTED_VALUE"""),167.0)</f>
        <v>167</v>
      </c>
      <c r="E46" s="16">
        <f>IFERROR(__xludf.DUMMYFUNCTION("""COMPUTED_VALUE"""),0.898203592814371)</f>
        <v>0.8982035928</v>
      </c>
      <c r="F46" s="16">
        <f>IFERROR(__xludf.DUMMYFUNCTION("""COMPUTED_VALUE"""),0.203592814371257)</f>
        <v>0.2035928144</v>
      </c>
      <c r="G46" s="16">
        <f>IFERROR(__xludf.DUMMYFUNCTION("""COMPUTED_VALUE"""),0.18562874251497)</f>
        <v>0.1856287425</v>
      </c>
      <c r="H46" s="16">
        <f>IFERROR(__xludf.DUMMYFUNCTION("""COMPUTED_VALUE"""),0.150602409638554)</f>
        <v>0.1506024096</v>
      </c>
      <c r="I46" s="16">
        <f>IFERROR(__xludf.DUMMYFUNCTION("""COMPUTED_VALUE"""),0.138554216867469)</f>
        <v>0.1385542169</v>
      </c>
      <c r="J46" s="16">
        <f>IFERROR(__xludf.DUMMYFUNCTION("""COMPUTED_VALUE"""),0.121212121212121)</f>
        <v>0.1212121212</v>
      </c>
      <c r="K46" s="16">
        <f>IFERROR(__xludf.DUMMYFUNCTION("""COMPUTED_VALUE"""),0.117283950617283)</f>
        <v>0.1172839506</v>
      </c>
      <c r="L46" s="16">
        <f>IFERROR(__xludf.DUMMYFUNCTION("""COMPUTED_VALUE"""),0.125)</f>
        <v>0.125</v>
      </c>
      <c r="M46" s="16">
        <f>IFERROR(__xludf.DUMMYFUNCTION("""COMPUTED_VALUE"""),0.13125)</f>
        <v>0.13125</v>
      </c>
      <c r="N46" s="16">
        <f>IFERROR(__xludf.DUMMYFUNCTION("""COMPUTED_VALUE"""),0.126582278481012)</f>
        <v>0.1265822785</v>
      </c>
      <c r="O46" s="16">
        <f>IFERROR(__xludf.DUMMYFUNCTION("""COMPUTED_VALUE"""),0.139860139860139)</f>
        <v>0.1398601399</v>
      </c>
      <c r="P46" s="16">
        <f>IFERROR(__xludf.DUMMYFUNCTION("""COMPUTED_VALUE"""),0.075187969924812)</f>
        <v>0.07518796992</v>
      </c>
      <c r="Q46" s="16">
        <f>IFERROR(__xludf.DUMMYFUNCTION("""COMPUTED_VALUE"""),0.065040650406504)</f>
        <v>0.06504065041</v>
      </c>
      <c r="R46" s="16">
        <f>IFERROR(__xludf.DUMMYFUNCTION("""COMPUTED_VALUE"""),0.0608695652173913)</f>
        <v>0.06086956522</v>
      </c>
      <c r="S46" s="16">
        <f>IFERROR(__xludf.DUMMYFUNCTION("""COMPUTED_VALUE"""),0.0707070707070707)</f>
        <v>0.07070707071</v>
      </c>
      <c r="T46" s="16">
        <f>IFERROR(__xludf.DUMMYFUNCTION("""COMPUTED_VALUE"""),0.0777777777777777)</f>
        <v>0.07777777778</v>
      </c>
      <c r="U46" s="16">
        <f>IFERROR(__xludf.DUMMYFUNCTION("""COMPUTED_VALUE"""),0.0853658536585365)</f>
        <v>0.08536585366</v>
      </c>
      <c r="V46" s="16">
        <f>IFERROR(__xludf.DUMMYFUNCTION("""COMPUTED_VALUE"""),0.107692307692307)</f>
        <v>0.1076923077</v>
      </c>
      <c r="W46" s="16">
        <f>IFERROR(__xludf.DUMMYFUNCTION("""COMPUTED_VALUE"""),0.0555555555555555)</f>
        <v>0.05555555556</v>
      </c>
      <c r="X46" s="16">
        <f>IFERROR(__xludf.DUMMYFUNCTION("""COMPUTED_VALUE"""),0.0344827586206896)</f>
        <v>0.03448275862</v>
      </c>
      <c r="Y46" s="16">
        <f>IFERROR(__xludf.DUMMYFUNCTION("""COMPUTED_VALUE"""),0.0714285714285714)</f>
        <v>0.07142857143</v>
      </c>
      <c r="Z46" s="16">
        <f>IFERROR(__xludf.DUMMYFUNCTION("""COMPUTED_VALUE"""),0.08)</f>
        <v>0.08</v>
      </c>
      <c r="AA46" s="16">
        <f>IFERROR(__xludf.DUMMYFUNCTION("""COMPUTED_VALUE"""),0.0833333333333333)</f>
        <v>0.08333333333</v>
      </c>
      <c r="AB46" s="16">
        <f>IFERROR(__xludf.DUMMYFUNCTION("""COMPUTED_VALUE"""),0.0909090909090909)</f>
        <v>0.09090909091</v>
      </c>
      <c r="AC46" s="16">
        <f>IFERROR(__xludf.DUMMYFUNCTION("""COMPUTED_VALUE"""),0.0476190476190476)</f>
        <v>0.04761904762</v>
      </c>
      <c r="AD46" s="16">
        <f>IFERROR(__xludf.DUMMYFUNCTION("""COMPUTED_VALUE"""),0.0476190476190476)</f>
        <v>0.04761904762</v>
      </c>
      <c r="AE46" s="16">
        <f>IFERROR(__xludf.DUMMYFUNCTION("""COMPUTED_VALUE"""),0.0)</f>
        <v>0</v>
      </c>
      <c r="AF46" s="16">
        <f>IFERROR(__xludf.DUMMYFUNCTION("""COMPUTED_VALUE"""),0.0)</f>
        <v>0</v>
      </c>
      <c r="AG46" s="16">
        <f>IFERROR(__xludf.DUMMYFUNCTION("""COMPUTED_VALUE"""),0.0)</f>
        <v>0</v>
      </c>
      <c r="AH46" s="16">
        <f>IFERROR(__xludf.DUMMYFUNCTION("""COMPUTED_VALUE"""),0.0)</f>
        <v>0</v>
      </c>
    </row>
    <row r="47">
      <c r="A47" s="16" t="str">
        <f>IFERROR(__xludf.DUMMYFUNCTION("""COMPUTED_VALUE"""),"23a0bb3d5deb8d4707bdb34175170e288d724c97")</f>
        <v>23a0bb3d5deb8d4707bdb34175170e288d724c97</v>
      </c>
      <c r="B47" s="16" t="str">
        <f>IFERROR(__xludf.DUMMYFUNCTION("""COMPUTED_VALUE"""),"System of Super Tech")</f>
        <v>System of Super Tech</v>
      </c>
      <c r="C47" s="16" t="str">
        <f>IFERROR(__xludf.DUMMYFUNCTION("""COMPUTED_VALUE"""),"System and Superpower")</f>
        <v>System and Superpower</v>
      </c>
      <c r="D47" s="16">
        <f>IFERROR(__xludf.DUMMYFUNCTION("""COMPUTED_VALUE"""),28.0)</f>
        <v>28</v>
      </c>
      <c r="E47" s="16">
        <f>IFERROR(__xludf.DUMMYFUNCTION("""COMPUTED_VALUE"""),1.0)</f>
        <v>1</v>
      </c>
      <c r="F47" s="16">
        <f>IFERROR(__xludf.DUMMYFUNCTION("""COMPUTED_VALUE"""),0.392857142857142)</f>
        <v>0.3928571429</v>
      </c>
      <c r="G47" s="16">
        <f>IFERROR(__xludf.DUMMYFUNCTION("""COMPUTED_VALUE"""),0.321428571428571)</f>
        <v>0.3214285714</v>
      </c>
      <c r="H47" s="16">
        <f>IFERROR(__xludf.DUMMYFUNCTION("""COMPUTED_VALUE"""),0.285714285714285)</f>
        <v>0.2857142857</v>
      </c>
      <c r="I47" s="16">
        <f>IFERROR(__xludf.DUMMYFUNCTION("""COMPUTED_VALUE"""),0.25)</f>
        <v>0.25</v>
      </c>
      <c r="J47" s="16">
        <f>IFERROR(__xludf.DUMMYFUNCTION("""COMPUTED_VALUE"""),0.214285714285714)</f>
        <v>0.2142857143</v>
      </c>
      <c r="K47" s="16">
        <f>IFERROR(__xludf.DUMMYFUNCTION("""COMPUTED_VALUE"""),0.142857142857142)</f>
        <v>0.1428571429</v>
      </c>
      <c r="L47" s="16">
        <f>IFERROR(__xludf.DUMMYFUNCTION("""COMPUTED_VALUE"""),0.148148148148148)</f>
        <v>0.1481481481</v>
      </c>
      <c r="M47" s="16">
        <f>IFERROR(__xludf.DUMMYFUNCTION("""COMPUTED_VALUE"""),0.148148148148148)</f>
        <v>0.1481481481</v>
      </c>
      <c r="N47" s="16">
        <f>IFERROR(__xludf.DUMMYFUNCTION("""COMPUTED_VALUE"""),0.0833333333333333)</f>
        <v>0.08333333333</v>
      </c>
      <c r="O47" s="16">
        <f>IFERROR(__xludf.DUMMYFUNCTION("""COMPUTED_VALUE"""),0.0476190476190476)</f>
        <v>0.04761904762</v>
      </c>
      <c r="P47" s="16">
        <f>IFERROR(__xludf.DUMMYFUNCTION("""COMPUTED_VALUE"""),0.0)</f>
        <v>0</v>
      </c>
      <c r="Q47" s="16">
        <f>IFERROR(__xludf.DUMMYFUNCTION("""COMPUTED_VALUE"""),0.0)</f>
        <v>0</v>
      </c>
      <c r="R47" s="16">
        <f>IFERROR(__xludf.DUMMYFUNCTION("""COMPUTED_VALUE"""),0.0)</f>
        <v>0</v>
      </c>
      <c r="S47" s="16">
        <f>IFERROR(__xludf.DUMMYFUNCTION("""COMPUTED_VALUE"""),0.0)</f>
        <v>0</v>
      </c>
      <c r="T47" s="16">
        <f>IFERROR(__xludf.DUMMYFUNCTION("""COMPUTED_VALUE"""),0.0)</f>
        <v>0</v>
      </c>
      <c r="U47" s="16">
        <f>IFERROR(__xludf.DUMMYFUNCTION("""COMPUTED_VALUE"""),0.0)</f>
        <v>0</v>
      </c>
      <c r="V47" s="16">
        <f>IFERROR(__xludf.DUMMYFUNCTION("""COMPUTED_VALUE"""),0.0)</f>
        <v>0</v>
      </c>
      <c r="W47" s="16">
        <f>IFERROR(__xludf.DUMMYFUNCTION("""COMPUTED_VALUE"""),0.0)</f>
        <v>0</v>
      </c>
      <c r="X47" s="16">
        <f>IFERROR(__xludf.DUMMYFUNCTION("""COMPUTED_VALUE"""),0.0)</f>
        <v>0</v>
      </c>
      <c r="Y47" s="16">
        <f>IFERROR(__xludf.DUMMYFUNCTION("""COMPUTED_VALUE"""),0.0)</f>
        <v>0</v>
      </c>
      <c r="Z47" s="16">
        <f>IFERROR(__xludf.DUMMYFUNCTION("""COMPUTED_VALUE"""),0.0)</f>
        <v>0</v>
      </c>
      <c r="AA47" s="16">
        <f>IFERROR(__xludf.DUMMYFUNCTION("""COMPUTED_VALUE"""),0.0)</f>
        <v>0</v>
      </c>
      <c r="AB47" s="16">
        <f>IFERROR(__xludf.DUMMYFUNCTION("""COMPUTED_VALUE"""),0.0)</f>
        <v>0</v>
      </c>
      <c r="AC47" s="16">
        <f>IFERROR(__xludf.DUMMYFUNCTION("""COMPUTED_VALUE"""),0.0)</f>
        <v>0</v>
      </c>
      <c r="AD47" s="16">
        <f>IFERROR(__xludf.DUMMYFUNCTION("""COMPUTED_VALUE"""),0.0)</f>
        <v>0</v>
      </c>
      <c r="AE47" s="16">
        <f>IFERROR(__xludf.DUMMYFUNCTION("""COMPUTED_VALUE"""),0.0)</f>
        <v>0</v>
      </c>
      <c r="AF47" s="16">
        <f>IFERROR(__xludf.DUMMYFUNCTION("""COMPUTED_VALUE"""),0.0)</f>
        <v>0</v>
      </c>
      <c r="AG47" s="16">
        <f>IFERROR(__xludf.DUMMYFUNCTION("""COMPUTED_VALUE"""),0.0)</f>
        <v>0</v>
      </c>
      <c r="AH47" s="16">
        <f>IFERROR(__xludf.DUMMYFUNCTION("""COMPUTED_VALUE"""),0.0)</f>
        <v>0</v>
      </c>
    </row>
    <row r="48">
      <c r="A48" s="16" t="str">
        <f>IFERROR(__xludf.DUMMYFUNCTION("""COMPUTED_VALUE"""),"247dcedeaecc161909c6ddd57b599f4e38d758d8")</f>
        <v>247dcedeaecc161909c6ddd57b599f4e38d758d8</v>
      </c>
      <c r="B48" s="16" t="str">
        <f>IFERROR(__xludf.DUMMYFUNCTION("""COMPUTED_VALUE"""),"A Christmas of Betrayals")</f>
        <v>A Christmas of Betrayals</v>
      </c>
      <c r="C48" s="16" t="str">
        <f>IFERROR(__xludf.DUMMYFUNCTION("""COMPUTED_VALUE"""),"Romance")</f>
        <v>Romance</v>
      </c>
      <c r="D48" s="16">
        <f>IFERROR(__xludf.DUMMYFUNCTION("""COMPUTED_VALUE"""),402.0)</f>
        <v>402</v>
      </c>
      <c r="E48" s="16">
        <f>IFERROR(__xludf.DUMMYFUNCTION("""COMPUTED_VALUE"""),0.960199004975124)</f>
        <v>0.960199005</v>
      </c>
      <c r="F48" s="16">
        <f>IFERROR(__xludf.DUMMYFUNCTION("""COMPUTED_VALUE"""),0.606965174129353)</f>
        <v>0.6069651741</v>
      </c>
      <c r="G48" s="16">
        <f>IFERROR(__xludf.DUMMYFUNCTION("""COMPUTED_VALUE"""),0.559701492537313)</f>
        <v>0.5597014925</v>
      </c>
      <c r="H48" s="16">
        <f>IFERROR(__xludf.DUMMYFUNCTION("""COMPUTED_VALUE"""),0.502487562189054)</f>
        <v>0.5024875622</v>
      </c>
      <c r="I48" s="16">
        <f>IFERROR(__xludf.DUMMYFUNCTION("""COMPUTED_VALUE"""),0.44776119402985)</f>
        <v>0.447761194</v>
      </c>
      <c r="J48" s="16">
        <f>IFERROR(__xludf.DUMMYFUNCTION("""COMPUTED_VALUE"""),0.4214463840399)</f>
        <v>0.421446384</v>
      </c>
      <c r="K48" s="16">
        <f>IFERROR(__xludf.DUMMYFUNCTION("""COMPUTED_VALUE"""),0.389027431421446)</f>
        <v>0.3890274314</v>
      </c>
      <c r="L48" s="16">
        <f>IFERROR(__xludf.DUMMYFUNCTION("""COMPUTED_VALUE"""),0.348051948051948)</f>
        <v>0.3480519481</v>
      </c>
      <c r="M48" s="16">
        <f>IFERROR(__xludf.DUMMYFUNCTION("""COMPUTED_VALUE"""),0.328083989501312)</f>
        <v>0.3280839895</v>
      </c>
      <c r="N48" s="16">
        <f>IFERROR(__xludf.DUMMYFUNCTION("""COMPUTED_VALUE"""),0.318302387267904)</f>
        <v>0.3183023873</v>
      </c>
      <c r="O48" s="16">
        <f>IFERROR(__xludf.DUMMYFUNCTION("""COMPUTED_VALUE"""),0.275862068965517)</f>
        <v>0.275862069</v>
      </c>
      <c r="P48" s="16">
        <f>IFERROR(__xludf.DUMMYFUNCTION("""COMPUTED_VALUE"""),0.147849462365591)</f>
        <v>0.1478494624</v>
      </c>
      <c r="Q48" s="16">
        <f>IFERROR(__xludf.DUMMYFUNCTION("""COMPUTED_VALUE"""),0.101522842639593)</f>
        <v>0.1015228426</v>
      </c>
      <c r="R48" s="16">
        <f>IFERROR(__xludf.DUMMYFUNCTION("""COMPUTED_VALUE"""),0.0)</f>
        <v>0</v>
      </c>
      <c r="S48" s="16">
        <f>IFERROR(__xludf.DUMMYFUNCTION("""COMPUTED_VALUE"""),0.0)</f>
        <v>0</v>
      </c>
      <c r="T48" s="16">
        <f>IFERROR(__xludf.DUMMYFUNCTION("""COMPUTED_VALUE"""),0.0)</f>
        <v>0</v>
      </c>
      <c r="U48" s="16">
        <f>IFERROR(__xludf.DUMMYFUNCTION("""COMPUTED_VALUE"""),0.0)</f>
        <v>0</v>
      </c>
      <c r="V48" s="16">
        <f>IFERROR(__xludf.DUMMYFUNCTION("""COMPUTED_VALUE"""),0.0)</f>
        <v>0</v>
      </c>
      <c r="W48" s="16">
        <f>IFERROR(__xludf.DUMMYFUNCTION("""COMPUTED_VALUE"""),0.0)</f>
        <v>0</v>
      </c>
      <c r="X48" s="16">
        <f>IFERROR(__xludf.DUMMYFUNCTION("""COMPUTED_VALUE"""),0.0)</f>
        <v>0</v>
      </c>
      <c r="Y48" s="16">
        <f>IFERROR(__xludf.DUMMYFUNCTION("""COMPUTED_VALUE"""),0.0)</f>
        <v>0</v>
      </c>
      <c r="Z48" s="16">
        <f>IFERROR(__xludf.DUMMYFUNCTION("""COMPUTED_VALUE"""),0.0)</f>
        <v>0</v>
      </c>
      <c r="AA48" s="16">
        <f>IFERROR(__xludf.DUMMYFUNCTION("""COMPUTED_VALUE"""),0.0)</f>
        <v>0</v>
      </c>
      <c r="AB48" s="16">
        <f>IFERROR(__xludf.DUMMYFUNCTION("""COMPUTED_VALUE"""),0.0)</f>
        <v>0</v>
      </c>
      <c r="AC48" s="16">
        <f>IFERROR(__xludf.DUMMYFUNCTION("""COMPUTED_VALUE"""),0.0)</f>
        <v>0</v>
      </c>
      <c r="AD48" s="16">
        <f>IFERROR(__xludf.DUMMYFUNCTION("""COMPUTED_VALUE"""),0.0)</f>
        <v>0</v>
      </c>
      <c r="AE48" s="16">
        <f>IFERROR(__xludf.DUMMYFUNCTION("""COMPUTED_VALUE"""),0.0)</f>
        <v>0</v>
      </c>
      <c r="AF48" s="16">
        <f>IFERROR(__xludf.DUMMYFUNCTION("""COMPUTED_VALUE"""),0.0)</f>
        <v>0</v>
      </c>
      <c r="AG48" s="16">
        <f>IFERROR(__xludf.DUMMYFUNCTION("""COMPUTED_VALUE"""),0.0)</f>
        <v>0</v>
      </c>
      <c r="AH48" s="16">
        <f>IFERROR(__xludf.DUMMYFUNCTION("""COMPUTED_VALUE"""),0.0)</f>
        <v>0</v>
      </c>
    </row>
    <row r="49">
      <c r="A49" s="16" t="str">
        <f>IFERROR(__xludf.DUMMYFUNCTION("""COMPUTED_VALUE"""),"248aae390e84177edc04ecc06fac6c17aed375ff")</f>
        <v>248aae390e84177edc04ecc06fac6c17aed375ff</v>
      </c>
      <c r="B49" s="16" t="str">
        <f>IFERROR(__xludf.DUMMYFUNCTION("""COMPUTED_VALUE"""),"Silver Onyx: Dragonbound")</f>
        <v>Silver Onyx: Dragonbound</v>
      </c>
      <c r="C49" s="16" t="str">
        <f>IFERROR(__xludf.DUMMYFUNCTION("""COMPUTED_VALUE"""),"Romantasy")</f>
        <v>Romantasy</v>
      </c>
      <c r="D49" s="16">
        <f>IFERROR(__xludf.DUMMYFUNCTION("""COMPUTED_VALUE"""),590.0)</f>
        <v>590</v>
      </c>
      <c r="E49" s="16">
        <f>IFERROR(__xludf.DUMMYFUNCTION("""COMPUTED_VALUE"""),0.967796610169491)</f>
        <v>0.9677966102</v>
      </c>
      <c r="F49" s="16">
        <f>IFERROR(__xludf.DUMMYFUNCTION("""COMPUTED_VALUE"""),0.507640067911714)</f>
        <v>0.5076400679</v>
      </c>
      <c r="G49" s="16">
        <f>IFERROR(__xludf.DUMMYFUNCTION("""COMPUTED_VALUE"""),0.453310696095076)</f>
        <v>0.4533106961</v>
      </c>
      <c r="H49" s="16">
        <f>IFERROR(__xludf.DUMMYFUNCTION("""COMPUTED_VALUE"""),0.420783645655877)</f>
        <v>0.4207836457</v>
      </c>
      <c r="I49" s="16">
        <f>IFERROR(__xludf.DUMMYFUNCTION("""COMPUTED_VALUE"""),0.402417962003454)</f>
        <v>0.402417962</v>
      </c>
      <c r="J49" s="16">
        <f>IFERROR(__xludf.DUMMYFUNCTION("""COMPUTED_VALUE"""),0.390158172231985)</f>
        <v>0.3901581722</v>
      </c>
      <c r="K49" s="16">
        <f>IFERROR(__xludf.DUMMYFUNCTION("""COMPUTED_VALUE"""),0.390287769784172)</f>
        <v>0.3902877698</v>
      </c>
      <c r="L49" s="16">
        <f>IFERROR(__xludf.DUMMYFUNCTION("""COMPUTED_VALUE"""),0.391544117647058)</f>
        <v>0.3915441176</v>
      </c>
      <c r="M49" s="16">
        <f>IFERROR(__xludf.DUMMYFUNCTION("""COMPUTED_VALUE"""),0.372222222222222)</f>
        <v>0.3722222222</v>
      </c>
      <c r="N49" s="16">
        <f>IFERROR(__xludf.DUMMYFUNCTION("""COMPUTED_VALUE"""),0.369523809523809)</f>
        <v>0.3695238095</v>
      </c>
      <c r="O49" s="16">
        <f>IFERROR(__xludf.DUMMYFUNCTION("""COMPUTED_VALUE"""),0.46551724137931)</f>
        <v>0.4655172414</v>
      </c>
      <c r="P49" s="16">
        <f>IFERROR(__xludf.DUMMYFUNCTION("""COMPUTED_VALUE"""),0.457142857142857)</f>
        <v>0.4571428571</v>
      </c>
      <c r="Q49" s="16">
        <f>IFERROR(__xludf.DUMMYFUNCTION("""COMPUTED_VALUE"""),0.0)</f>
        <v>0</v>
      </c>
      <c r="R49" s="16">
        <f>IFERROR(__xludf.DUMMYFUNCTION("""COMPUTED_VALUE"""),0.0)</f>
        <v>0</v>
      </c>
      <c r="S49" s="16">
        <f>IFERROR(__xludf.DUMMYFUNCTION("""COMPUTED_VALUE"""),0.0)</f>
        <v>0</v>
      </c>
      <c r="T49" s="16">
        <f>IFERROR(__xludf.DUMMYFUNCTION("""COMPUTED_VALUE"""),0.0)</f>
        <v>0</v>
      </c>
      <c r="U49" s="16">
        <f>IFERROR(__xludf.DUMMYFUNCTION("""COMPUTED_VALUE"""),0.0)</f>
        <v>0</v>
      </c>
      <c r="V49" s="16">
        <f>IFERROR(__xludf.DUMMYFUNCTION("""COMPUTED_VALUE"""),0.0)</f>
        <v>0</v>
      </c>
      <c r="W49" s="16">
        <f>IFERROR(__xludf.DUMMYFUNCTION("""COMPUTED_VALUE"""),0.0)</f>
        <v>0</v>
      </c>
      <c r="X49" s="16">
        <f>IFERROR(__xludf.DUMMYFUNCTION("""COMPUTED_VALUE"""),0.0)</f>
        <v>0</v>
      </c>
      <c r="Y49" s="16">
        <f>IFERROR(__xludf.DUMMYFUNCTION("""COMPUTED_VALUE"""),0.0)</f>
        <v>0</v>
      </c>
      <c r="Z49" s="16">
        <f>IFERROR(__xludf.DUMMYFUNCTION("""COMPUTED_VALUE"""),0.0)</f>
        <v>0</v>
      </c>
      <c r="AA49" s="16">
        <f>IFERROR(__xludf.DUMMYFUNCTION("""COMPUTED_VALUE"""),0.0)</f>
        <v>0</v>
      </c>
      <c r="AB49" s="16">
        <f>IFERROR(__xludf.DUMMYFUNCTION("""COMPUTED_VALUE"""),0.0)</f>
        <v>0</v>
      </c>
      <c r="AC49" s="16">
        <f>IFERROR(__xludf.DUMMYFUNCTION("""COMPUTED_VALUE"""),0.0)</f>
        <v>0</v>
      </c>
      <c r="AD49" s="16">
        <f>IFERROR(__xludf.DUMMYFUNCTION("""COMPUTED_VALUE"""),0.0)</f>
        <v>0</v>
      </c>
      <c r="AE49" s="16">
        <f>IFERROR(__xludf.DUMMYFUNCTION("""COMPUTED_VALUE"""),0.0)</f>
        <v>0</v>
      </c>
      <c r="AF49" s="16">
        <f>IFERROR(__xludf.DUMMYFUNCTION("""COMPUTED_VALUE"""),0.0)</f>
        <v>0</v>
      </c>
      <c r="AG49" s="16">
        <f>IFERROR(__xludf.DUMMYFUNCTION("""COMPUTED_VALUE"""),0.0)</f>
        <v>0</v>
      </c>
      <c r="AH49" s="16">
        <f>IFERROR(__xludf.DUMMYFUNCTION("""COMPUTED_VALUE"""),0.0)</f>
        <v>0</v>
      </c>
    </row>
    <row r="50">
      <c r="A50" s="16" t="str">
        <f>IFERROR(__xludf.DUMMYFUNCTION("""COMPUTED_VALUE"""),"248ba0ec55862a22dd7993c8b49d5f052ce03954")</f>
        <v>248ba0ec55862a22dd7993c8b49d5f052ce03954</v>
      </c>
      <c r="B50" s="16" t="str">
        <f>IFERROR(__xludf.DUMMYFUNCTION("""COMPUTED_VALUE"""),"The Silent Sovereign")</f>
        <v>The Silent Sovereign</v>
      </c>
      <c r="C50" s="16" t="str">
        <f>IFERROR(__xludf.DUMMYFUNCTION("""COMPUTED_VALUE"""),"Fantasy")</f>
        <v>Fantasy</v>
      </c>
      <c r="D50" s="16">
        <f>IFERROR(__xludf.DUMMYFUNCTION("""COMPUTED_VALUE"""),158.0)</f>
        <v>158</v>
      </c>
      <c r="E50" s="16">
        <f>IFERROR(__xludf.DUMMYFUNCTION("""COMPUTED_VALUE"""),0.943037974683544)</f>
        <v>0.9430379747</v>
      </c>
      <c r="F50" s="16">
        <f>IFERROR(__xludf.DUMMYFUNCTION("""COMPUTED_VALUE"""),0.658227848101265)</f>
        <v>0.6582278481</v>
      </c>
      <c r="G50" s="16">
        <f>IFERROR(__xludf.DUMMYFUNCTION("""COMPUTED_VALUE"""),0.588607594936708)</f>
        <v>0.5886075949</v>
      </c>
      <c r="H50" s="16">
        <f>IFERROR(__xludf.DUMMYFUNCTION("""COMPUTED_VALUE"""),0.569620253164557)</f>
        <v>0.5696202532</v>
      </c>
      <c r="I50" s="16">
        <f>IFERROR(__xludf.DUMMYFUNCTION("""COMPUTED_VALUE"""),0.493670886075949)</f>
        <v>0.4936708861</v>
      </c>
      <c r="J50" s="16">
        <f>IFERROR(__xludf.DUMMYFUNCTION("""COMPUTED_VALUE"""),0.449367088607594)</f>
        <v>0.4493670886</v>
      </c>
      <c r="K50" s="16">
        <f>IFERROR(__xludf.DUMMYFUNCTION("""COMPUTED_VALUE"""),0.392405063291139)</f>
        <v>0.3924050633</v>
      </c>
      <c r="L50" s="16">
        <f>IFERROR(__xludf.DUMMYFUNCTION("""COMPUTED_VALUE"""),0.37012987012987)</f>
        <v>0.3701298701</v>
      </c>
      <c r="M50" s="16">
        <f>IFERROR(__xludf.DUMMYFUNCTION("""COMPUTED_VALUE"""),0.335526315789473)</f>
        <v>0.3355263158</v>
      </c>
      <c r="N50" s="16">
        <f>IFERROR(__xludf.DUMMYFUNCTION("""COMPUTED_VALUE"""),0.315436241610738)</f>
        <v>0.3154362416</v>
      </c>
      <c r="O50" s="16">
        <f>IFERROR(__xludf.DUMMYFUNCTION("""COMPUTED_VALUE"""),0.23076923076923)</f>
        <v>0.2307692308</v>
      </c>
      <c r="P50" s="16">
        <f>IFERROR(__xludf.DUMMYFUNCTION("""COMPUTED_VALUE"""),0.181818181818181)</f>
        <v>0.1818181818</v>
      </c>
      <c r="Q50" s="16">
        <f>IFERROR(__xludf.DUMMYFUNCTION("""COMPUTED_VALUE"""),0.0)</f>
        <v>0</v>
      </c>
      <c r="R50" s="16">
        <f>IFERROR(__xludf.DUMMYFUNCTION("""COMPUTED_VALUE"""),0.0)</f>
        <v>0</v>
      </c>
      <c r="S50" s="16">
        <f>IFERROR(__xludf.DUMMYFUNCTION("""COMPUTED_VALUE"""),0.0)</f>
        <v>0</v>
      </c>
      <c r="T50" s="16">
        <f>IFERROR(__xludf.DUMMYFUNCTION("""COMPUTED_VALUE"""),0.0)</f>
        <v>0</v>
      </c>
      <c r="U50" s="16">
        <f>IFERROR(__xludf.DUMMYFUNCTION("""COMPUTED_VALUE"""),0.0)</f>
        <v>0</v>
      </c>
      <c r="V50" s="16">
        <f>IFERROR(__xludf.DUMMYFUNCTION("""COMPUTED_VALUE"""),0.0)</f>
        <v>0</v>
      </c>
      <c r="W50" s="16">
        <f>IFERROR(__xludf.DUMMYFUNCTION("""COMPUTED_VALUE"""),0.0)</f>
        <v>0</v>
      </c>
      <c r="X50" s="16">
        <f>IFERROR(__xludf.DUMMYFUNCTION("""COMPUTED_VALUE"""),0.0)</f>
        <v>0</v>
      </c>
      <c r="Y50" s="16">
        <f>IFERROR(__xludf.DUMMYFUNCTION("""COMPUTED_VALUE"""),0.0)</f>
        <v>0</v>
      </c>
      <c r="Z50" s="16">
        <f>IFERROR(__xludf.DUMMYFUNCTION("""COMPUTED_VALUE"""),0.0)</f>
        <v>0</v>
      </c>
      <c r="AA50" s="16">
        <f>IFERROR(__xludf.DUMMYFUNCTION("""COMPUTED_VALUE"""),0.0)</f>
        <v>0</v>
      </c>
      <c r="AB50" s="16">
        <f>IFERROR(__xludf.DUMMYFUNCTION("""COMPUTED_VALUE"""),0.0)</f>
        <v>0</v>
      </c>
      <c r="AC50" s="16">
        <f>IFERROR(__xludf.DUMMYFUNCTION("""COMPUTED_VALUE"""),0.0)</f>
        <v>0</v>
      </c>
      <c r="AD50" s="16">
        <f>IFERROR(__xludf.DUMMYFUNCTION("""COMPUTED_VALUE"""),0.0)</f>
        <v>0</v>
      </c>
      <c r="AE50" s="16">
        <f>IFERROR(__xludf.DUMMYFUNCTION("""COMPUTED_VALUE"""),0.0)</f>
        <v>0</v>
      </c>
      <c r="AF50" s="16">
        <f>IFERROR(__xludf.DUMMYFUNCTION("""COMPUTED_VALUE"""),0.0)</f>
        <v>0</v>
      </c>
      <c r="AG50" s="16">
        <f>IFERROR(__xludf.DUMMYFUNCTION("""COMPUTED_VALUE"""),0.0)</f>
        <v>0</v>
      </c>
      <c r="AH50" s="16">
        <f>IFERROR(__xludf.DUMMYFUNCTION("""COMPUTED_VALUE"""),0.0)</f>
        <v>0</v>
      </c>
    </row>
    <row r="51">
      <c r="A51" s="16" t="str">
        <f>IFERROR(__xludf.DUMMYFUNCTION("""COMPUTED_VALUE"""),"256420b150a08ae24e418a9316db10d1c7142a09")</f>
        <v>256420b150a08ae24e418a9316db10d1c7142a09</v>
      </c>
      <c r="B51" s="16" t="str">
        <f>IFERROR(__xludf.DUMMYFUNCTION("""COMPUTED_VALUE"""),"Monarch of Spirits")</f>
        <v>Monarch of Spirits</v>
      </c>
      <c r="C51" s="16" t="str">
        <f>IFERROR(__xludf.DUMMYFUNCTION("""COMPUTED_VALUE"""),"Fantasy")</f>
        <v>Fantasy</v>
      </c>
      <c r="D51" s="16">
        <f>IFERROR(__xludf.DUMMYFUNCTION("""COMPUTED_VALUE"""),120.0)</f>
        <v>120</v>
      </c>
      <c r="E51" s="16">
        <f>IFERROR(__xludf.DUMMYFUNCTION("""COMPUTED_VALUE"""),0.95)</f>
        <v>0.95</v>
      </c>
      <c r="F51" s="16">
        <f>IFERROR(__xludf.DUMMYFUNCTION("""COMPUTED_VALUE"""),0.55)</f>
        <v>0.55</v>
      </c>
      <c r="G51" s="16">
        <f>IFERROR(__xludf.DUMMYFUNCTION("""COMPUTED_VALUE"""),0.483333333333333)</f>
        <v>0.4833333333</v>
      </c>
      <c r="H51" s="16">
        <f>IFERROR(__xludf.DUMMYFUNCTION("""COMPUTED_VALUE"""),0.383333333333333)</f>
        <v>0.3833333333</v>
      </c>
      <c r="I51" s="16">
        <f>IFERROR(__xludf.DUMMYFUNCTION("""COMPUTED_VALUE"""),0.308333333333333)</f>
        <v>0.3083333333</v>
      </c>
      <c r="J51" s="16">
        <f>IFERROR(__xludf.DUMMYFUNCTION("""COMPUTED_VALUE"""),0.283333333333333)</f>
        <v>0.2833333333</v>
      </c>
      <c r="K51" s="16">
        <f>IFERROR(__xludf.DUMMYFUNCTION("""COMPUTED_VALUE"""),0.258333333333333)</f>
        <v>0.2583333333</v>
      </c>
      <c r="L51" s="16">
        <f>IFERROR(__xludf.DUMMYFUNCTION("""COMPUTED_VALUE"""),0.233333333333333)</f>
        <v>0.2333333333</v>
      </c>
      <c r="M51" s="16">
        <f>IFERROR(__xludf.DUMMYFUNCTION("""COMPUTED_VALUE"""),0.241666666666666)</f>
        <v>0.2416666667</v>
      </c>
      <c r="N51" s="16">
        <f>IFERROR(__xludf.DUMMYFUNCTION("""COMPUTED_VALUE"""),0.225)</f>
        <v>0.225</v>
      </c>
      <c r="O51" s="16">
        <f>IFERROR(__xludf.DUMMYFUNCTION("""COMPUTED_VALUE"""),0.183333333333333)</f>
        <v>0.1833333333</v>
      </c>
      <c r="P51" s="16">
        <f>IFERROR(__xludf.DUMMYFUNCTION("""COMPUTED_VALUE"""),0.0990990990990991)</f>
        <v>0.0990990991</v>
      </c>
      <c r="Q51" s="16">
        <f>IFERROR(__xludf.DUMMYFUNCTION("""COMPUTED_VALUE"""),0.053763440860215)</f>
        <v>0.05376344086</v>
      </c>
      <c r="R51" s="16">
        <f>IFERROR(__xludf.DUMMYFUNCTION("""COMPUTED_VALUE"""),0.0833333333333333)</f>
        <v>0.08333333333</v>
      </c>
      <c r="S51" s="16">
        <f>IFERROR(__xludf.DUMMYFUNCTION("""COMPUTED_VALUE"""),0.0555555555555555)</f>
        <v>0.05555555556</v>
      </c>
      <c r="T51" s="16">
        <f>IFERROR(__xludf.DUMMYFUNCTION("""COMPUTED_VALUE"""),0.0)</f>
        <v>0</v>
      </c>
      <c r="U51" s="16">
        <f>IFERROR(__xludf.DUMMYFUNCTION("""COMPUTED_VALUE"""),0.0)</f>
        <v>0</v>
      </c>
      <c r="V51" s="16">
        <f>IFERROR(__xludf.DUMMYFUNCTION("""COMPUTED_VALUE"""),0.0)</f>
        <v>0</v>
      </c>
      <c r="W51" s="16">
        <f>IFERROR(__xludf.DUMMYFUNCTION("""COMPUTED_VALUE"""),0.0)</f>
        <v>0</v>
      </c>
      <c r="X51" s="16">
        <f>IFERROR(__xludf.DUMMYFUNCTION("""COMPUTED_VALUE"""),0.0)</f>
        <v>0</v>
      </c>
      <c r="Y51" s="16">
        <f>IFERROR(__xludf.DUMMYFUNCTION("""COMPUTED_VALUE"""),0.0)</f>
        <v>0</v>
      </c>
      <c r="Z51" s="16">
        <f>IFERROR(__xludf.DUMMYFUNCTION("""COMPUTED_VALUE"""),0.0)</f>
        <v>0</v>
      </c>
      <c r="AA51" s="16">
        <f>IFERROR(__xludf.DUMMYFUNCTION("""COMPUTED_VALUE"""),0.0)</f>
        <v>0</v>
      </c>
      <c r="AB51" s="16">
        <f>IFERROR(__xludf.DUMMYFUNCTION("""COMPUTED_VALUE"""),0.0)</f>
        <v>0</v>
      </c>
      <c r="AC51" s="16">
        <f>IFERROR(__xludf.DUMMYFUNCTION("""COMPUTED_VALUE"""),0.0)</f>
        <v>0</v>
      </c>
      <c r="AD51" s="16">
        <f>IFERROR(__xludf.DUMMYFUNCTION("""COMPUTED_VALUE"""),0.0)</f>
        <v>0</v>
      </c>
      <c r="AE51" s="16">
        <f>IFERROR(__xludf.DUMMYFUNCTION("""COMPUTED_VALUE"""),0.0)</f>
        <v>0</v>
      </c>
      <c r="AF51" s="16">
        <f>IFERROR(__xludf.DUMMYFUNCTION("""COMPUTED_VALUE"""),0.0)</f>
        <v>0</v>
      </c>
      <c r="AG51" s="16">
        <f>IFERROR(__xludf.DUMMYFUNCTION("""COMPUTED_VALUE"""),0.0)</f>
        <v>0</v>
      </c>
      <c r="AH51" s="16">
        <f>IFERROR(__xludf.DUMMYFUNCTION("""COMPUTED_VALUE"""),0.0)</f>
        <v>0</v>
      </c>
    </row>
    <row r="52">
      <c r="A52" s="16" t="str">
        <f>IFERROR(__xludf.DUMMYFUNCTION("""COMPUTED_VALUE"""),"26e1fd07be016edcad6988356011ef8b49038bd1")</f>
        <v>26e1fd07be016edcad6988356011ef8b49038bd1</v>
      </c>
      <c r="B52" s="16" t="str">
        <f>IFERROR(__xludf.DUMMYFUNCTION("""COMPUTED_VALUE"""),"The Last Anniversary Lie")</f>
        <v>The Last Anniversary Lie</v>
      </c>
      <c r="C52" s="16" t="str">
        <f>IFERROR(__xludf.DUMMYFUNCTION("""COMPUTED_VALUE"""),"Romance")</f>
        <v>Romance</v>
      </c>
      <c r="D52" s="16">
        <f>IFERROR(__xludf.DUMMYFUNCTION("""COMPUTED_VALUE"""),697.0)</f>
        <v>697</v>
      </c>
      <c r="E52" s="16">
        <f>IFERROR(__xludf.DUMMYFUNCTION("""COMPUTED_VALUE"""),0.955523672883787)</f>
        <v>0.9555236729</v>
      </c>
      <c r="F52" s="16">
        <f>IFERROR(__xludf.DUMMYFUNCTION("""COMPUTED_VALUE"""),0.606886657101865)</f>
        <v>0.6068866571</v>
      </c>
      <c r="G52" s="16">
        <f>IFERROR(__xludf.DUMMYFUNCTION("""COMPUTED_VALUE"""),0.532281205164992)</f>
        <v>0.5322812052</v>
      </c>
      <c r="H52" s="16">
        <f>IFERROR(__xludf.DUMMYFUNCTION("""COMPUTED_VALUE"""),0.494964028776978)</f>
        <v>0.4949640288</v>
      </c>
      <c r="I52" s="16">
        <f>IFERROR(__xludf.DUMMYFUNCTION("""COMPUTED_VALUE"""),0.451008645533141)</f>
        <v>0.4510086455</v>
      </c>
      <c r="J52" s="16">
        <f>IFERROR(__xludf.DUMMYFUNCTION("""COMPUTED_VALUE"""),0.430635838150289)</f>
        <v>0.4306358382</v>
      </c>
      <c r="K52" s="16">
        <f>IFERROR(__xludf.DUMMYFUNCTION("""COMPUTED_VALUE"""),0.390173410404624)</f>
        <v>0.3901734104</v>
      </c>
      <c r="L52" s="16">
        <f>IFERROR(__xludf.DUMMYFUNCTION("""COMPUTED_VALUE"""),0.391872278664731)</f>
        <v>0.3918722787</v>
      </c>
      <c r="M52" s="16">
        <f>IFERROR(__xludf.DUMMYFUNCTION("""COMPUTED_VALUE"""),0.392441860465116)</f>
        <v>0.3924418605</v>
      </c>
      <c r="N52" s="16">
        <f>IFERROR(__xludf.DUMMYFUNCTION("""COMPUTED_VALUE"""),0.394736842105263)</f>
        <v>0.3947368421</v>
      </c>
      <c r="O52" s="16">
        <f>IFERROR(__xludf.DUMMYFUNCTION("""COMPUTED_VALUE"""),0.280193236714975)</f>
        <v>0.2801932367</v>
      </c>
      <c r="P52" s="16">
        <f>IFERROR(__xludf.DUMMYFUNCTION("""COMPUTED_VALUE"""),0.1441647597254)</f>
        <v>0.1441647597</v>
      </c>
      <c r="Q52" s="16">
        <f>IFERROR(__xludf.DUMMYFUNCTION("""COMPUTED_VALUE"""),0.0)</f>
        <v>0</v>
      </c>
      <c r="R52" s="16">
        <f>IFERROR(__xludf.DUMMYFUNCTION("""COMPUTED_VALUE"""),0.0)</f>
        <v>0</v>
      </c>
      <c r="S52" s="16">
        <f>IFERROR(__xludf.DUMMYFUNCTION("""COMPUTED_VALUE"""),0.0)</f>
        <v>0</v>
      </c>
      <c r="T52" s="16">
        <f>IFERROR(__xludf.DUMMYFUNCTION("""COMPUTED_VALUE"""),0.0)</f>
        <v>0</v>
      </c>
      <c r="U52" s="16">
        <f>IFERROR(__xludf.DUMMYFUNCTION("""COMPUTED_VALUE"""),0.0)</f>
        <v>0</v>
      </c>
      <c r="V52" s="16">
        <f>IFERROR(__xludf.DUMMYFUNCTION("""COMPUTED_VALUE"""),0.0)</f>
        <v>0</v>
      </c>
      <c r="W52" s="16">
        <f>IFERROR(__xludf.DUMMYFUNCTION("""COMPUTED_VALUE"""),0.0)</f>
        <v>0</v>
      </c>
      <c r="X52" s="16">
        <f>IFERROR(__xludf.DUMMYFUNCTION("""COMPUTED_VALUE"""),0.0)</f>
        <v>0</v>
      </c>
      <c r="Y52" s="16">
        <f>IFERROR(__xludf.DUMMYFUNCTION("""COMPUTED_VALUE"""),0.0)</f>
        <v>0</v>
      </c>
      <c r="Z52" s="16">
        <f>IFERROR(__xludf.DUMMYFUNCTION("""COMPUTED_VALUE"""),0.0)</f>
        <v>0</v>
      </c>
      <c r="AA52" s="16">
        <f>IFERROR(__xludf.DUMMYFUNCTION("""COMPUTED_VALUE"""),0.0)</f>
        <v>0</v>
      </c>
      <c r="AB52" s="16">
        <f>IFERROR(__xludf.DUMMYFUNCTION("""COMPUTED_VALUE"""),0.0)</f>
        <v>0</v>
      </c>
      <c r="AC52" s="16">
        <f>IFERROR(__xludf.DUMMYFUNCTION("""COMPUTED_VALUE"""),0.0)</f>
        <v>0</v>
      </c>
      <c r="AD52" s="16">
        <f>IFERROR(__xludf.DUMMYFUNCTION("""COMPUTED_VALUE"""),0.0)</f>
        <v>0</v>
      </c>
      <c r="AE52" s="16">
        <f>IFERROR(__xludf.DUMMYFUNCTION("""COMPUTED_VALUE"""),0.0)</f>
        <v>0</v>
      </c>
      <c r="AF52" s="16">
        <f>IFERROR(__xludf.DUMMYFUNCTION("""COMPUTED_VALUE"""),0.0)</f>
        <v>0</v>
      </c>
      <c r="AG52" s="16">
        <f>IFERROR(__xludf.DUMMYFUNCTION("""COMPUTED_VALUE"""),0.0)</f>
        <v>0</v>
      </c>
      <c r="AH52" s="16">
        <f>IFERROR(__xludf.DUMMYFUNCTION("""COMPUTED_VALUE"""),0.0)</f>
        <v>0</v>
      </c>
    </row>
    <row r="53">
      <c r="A53" s="16" t="str">
        <f>IFERROR(__xludf.DUMMYFUNCTION("""COMPUTED_VALUE"""),"2804c5c0d94ac97e4b67564cc852e784e64583e5")</f>
        <v>2804c5c0d94ac97e4b67564cc852e784e64583e5</v>
      </c>
      <c r="B53" s="16" t="str">
        <f>IFERROR(__xludf.DUMMYFUNCTION("""COMPUTED_VALUE"""),"Rebirth in Beauty")</f>
        <v>Rebirth in Beauty</v>
      </c>
      <c r="C53" s="16" t="str">
        <f>IFERROR(__xludf.DUMMYFUNCTION("""COMPUTED_VALUE"""),"Fantasy")</f>
        <v>Fantasy</v>
      </c>
      <c r="D53" s="16">
        <f>IFERROR(__xludf.DUMMYFUNCTION("""COMPUTED_VALUE"""),448.0)</f>
        <v>448</v>
      </c>
      <c r="E53" s="16">
        <f>IFERROR(__xludf.DUMMYFUNCTION("""COMPUTED_VALUE"""),0.964285714285714)</f>
        <v>0.9642857143</v>
      </c>
      <c r="F53" s="16">
        <f>IFERROR(__xludf.DUMMYFUNCTION("""COMPUTED_VALUE"""),0.598214285714285)</f>
        <v>0.5982142857</v>
      </c>
      <c r="G53" s="16">
        <f>IFERROR(__xludf.DUMMYFUNCTION("""COMPUTED_VALUE"""),0.533482142857142)</f>
        <v>0.5334821429</v>
      </c>
      <c r="H53" s="16">
        <f>IFERROR(__xludf.DUMMYFUNCTION("""COMPUTED_VALUE"""),0.48993288590604)</f>
        <v>0.4899328859</v>
      </c>
      <c r="I53" s="16">
        <f>IFERROR(__xludf.DUMMYFUNCTION("""COMPUTED_VALUE"""),0.447963800904977)</f>
        <v>0.4479638009</v>
      </c>
      <c r="J53" s="16">
        <f>IFERROR(__xludf.DUMMYFUNCTION("""COMPUTED_VALUE"""),0.430952380952381)</f>
        <v>0.430952381</v>
      </c>
      <c r="K53" s="16">
        <f>IFERROR(__xludf.DUMMYFUNCTION("""COMPUTED_VALUE"""),0.396593673965936)</f>
        <v>0.396593674</v>
      </c>
      <c r="L53" s="16">
        <f>IFERROR(__xludf.DUMMYFUNCTION("""COMPUTED_VALUE"""),0.379746835443038)</f>
        <v>0.3797468354</v>
      </c>
      <c r="M53" s="16">
        <f>IFERROR(__xludf.DUMMYFUNCTION("""COMPUTED_VALUE"""),0.357894736842105)</f>
        <v>0.3578947368</v>
      </c>
      <c r="N53" s="16">
        <f>IFERROR(__xludf.DUMMYFUNCTION("""COMPUTED_VALUE"""),0.326589595375722)</f>
        <v>0.3265895954</v>
      </c>
      <c r="O53" s="16">
        <f>IFERROR(__xludf.DUMMYFUNCTION("""COMPUTED_VALUE"""),0.30188679245283)</f>
        <v>0.3018867925</v>
      </c>
      <c r="P53" s="16">
        <f>IFERROR(__xludf.DUMMYFUNCTION("""COMPUTED_VALUE"""),0.0)</f>
        <v>0</v>
      </c>
      <c r="Q53" s="16">
        <f>IFERROR(__xludf.DUMMYFUNCTION("""COMPUTED_VALUE"""),0.0)</f>
        <v>0</v>
      </c>
      <c r="R53" s="16">
        <f>IFERROR(__xludf.DUMMYFUNCTION("""COMPUTED_VALUE"""),0.0)</f>
        <v>0</v>
      </c>
      <c r="S53" s="16">
        <f>IFERROR(__xludf.DUMMYFUNCTION("""COMPUTED_VALUE"""),0.0)</f>
        <v>0</v>
      </c>
      <c r="T53" s="16">
        <f>IFERROR(__xludf.DUMMYFUNCTION("""COMPUTED_VALUE"""),0.0)</f>
        <v>0</v>
      </c>
      <c r="U53" s="16">
        <f>IFERROR(__xludf.DUMMYFUNCTION("""COMPUTED_VALUE"""),0.0)</f>
        <v>0</v>
      </c>
      <c r="V53" s="16">
        <f>IFERROR(__xludf.DUMMYFUNCTION("""COMPUTED_VALUE"""),0.0)</f>
        <v>0</v>
      </c>
      <c r="W53" s="16">
        <f>IFERROR(__xludf.DUMMYFUNCTION("""COMPUTED_VALUE"""),0.0)</f>
        <v>0</v>
      </c>
      <c r="X53" s="16">
        <f>IFERROR(__xludf.DUMMYFUNCTION("""COMPUTED_VALUE"""),0.0)</f>
        <v>0</v>
      </c>
      <c r="Y53" s="16">
        <f>IFERROR(__xludf.DUMMYFUNCTION("""COMPUTED_VALUE"""),0.0)</f>
        <v>0</v>
      </c>
      <c r="Z53" s="16">
        <f>IFERROR(__xludf.DUMMYFUNCTION("""COMPUTED_VALUE"""),0.0)</f>
        <v>0</v>
      </c>
      <c r="AA53" s="16">
        <f>IFERROR(__xludf.DUMMYFUNCTION("""COMPUTED_VALUE"""),0.0)</f>
        <v>0</v>
      </c>
      <c r="AB53" s="16">
        <f>IFERROR(__xludf.DUMMYFUNCTION("""COMPUTED_VALUE"""),0.0)</f>
        <v>0</v>
      </c>
      <c r="AC53" s="16">
        <f>IFERROR(__xludf.DUMMYFUNCTION("""COMPUTED_VALUE"""),0.0)</f>
        <v>0</v>
      </c>
      <c r="AD53" s="16">
        <f>IFERROR(__xludf.DUMMYFUNCTION("""COMPUTED_VALUE"""),0.0)</f>
        <v>0</v>
      </c>
      <c r="AE53" s="16">
        <f>IFERROR(__xludf.DUMMYFUNCTION("""COMPUTED_VALUE"""),0.0)</f>
        <v>0</v>
      </c>
      <c r="AF53" s="16">
        <f>IFERROR(__xludf.DUMMYFUNCTION("""COMPUTED_VALUE"""),0.0)</f>
        <v>0</v>
      </c>
      <c r="AG53" s="16">
        <f>IFERROR(__xludf.DUMMYFUNCTION("""COMPUTED_VALUE"""),0.0)</f>
        <v>0</v>
      </c>
      <c r="AH53" s="16">
        <f>IFERROR(__xludf.DUMMYFUNCTION("""COMPUTED_VALUE"""),0.0)</f>
        <v>0</v>
      </c>
    </row>
    <row r="54">
      <c r="A54" s="16" t="str">
        <f>IFERROR(__xludf.DUMMYFUNCTION("""COMPUTED_VALUE"""),"2969766ce2d0cd5c21da961666ea357622d5d073")</f>
        <v>2969766ce2d0cd5c21da961666ea357622d5d073</v>
      </c>
      <c r="B54" s="16" t="str">
        <f>IFERROR(__xludf.DUMMYFUNCTION("""COMPUTED_VALUE"""),"The Magical Mystic Master")</f>
        <v>The Magical Mystic Master</v>
      </c>
      <c r="C54" s="16" t="str">
        <f>IFERROR(__xludf.DUMMYFUNCTION("""COMPUTED_VALUE"""),"Fantasy")</f>
        <v>Fantasy</v>
      </c>
      <c r="D54" s="16">
        <f>IFERROR(__xludf.DUMMYFUNCTION("""COMPUTED_VALUE"""),270.0)</f>
        <v>270</v>
      </c>
      <c r="E54" s="16">
        <f>IFERROR(__xludf.DUMMYFUNCTION("""COMPUTED_VALUE"""),0.959259259259259)</f>
        <v>0.9592592593</v>
      </c>
      <c r="F54" s="16">
        <f>IFERROR(__xludf.DUMMYFUNCTION("""COMPUTED_VALUE"""),0.407407407407407)</f>
        <v>0.4074074074</v>
      </c>
      <c r="G54" s="16">
        <f>IFERROR(__xludf.DUMMYFUNCTION("""COMPUTED_VALUE"""),0.285185185185185)</f>
        <v>0.2851851852</v>
      </c>
      <c r="H54" s="16">
        <f>IFERROR(__xludf.DUMMYFUNCTION("""COMPUTED_VALUE"""),0.255555555555555)</f>
        <v>0.2555555556</v>
      </c>
      <c r="I54" s="16">
        <f>IFERROR(__xludf.DUMMYFUNCTION("""COMPUTED_VALUE"""),0.214814814814814)</f>
        <v>0.2148148148</v>
      </c>
      <c r="J54" s="16">
        <f>IFERROR(__xludf.DUMMYFUNCTION("""COMPUTED_VALUE"""),0.188888888888888)</f>
        <v>0.1888888889</v>
      </c>
      <c r="K54" s="16">
        <f>IFERROR(__xludf.DUMMYFUNCTION("""COMPUTED_VALUE"""),0.174721189591078)</f>
        <v>0.1747211896</v>
      </c>
      <c r="L54" s="16">
        <f>IFERROR(__xludf.DUMMYFUNCTION("""COMPUTED_VALUE"""),0.152416356877323)</f>
        <v>0.1524163569</v>
      </c>
      <c r="M54" s="16">
        <f>IFERROR(__xludf.DUMMYFUNCTION("""COMPUTED_VALUE"""),0.137546468401487)</f>
        <v>0.1375464684</v>
      </c>
      <c r="N54" s="16">
        <f>IFERROR(__xludf.DUMMYFUNCTION("""COMPUTED_VALUE"""),0.130597014925373)</f>
        <v>0.1305970149</v>
      </c>
      <c r="O54" s="16">
        <f>IFERROR(__xludf.DUMMYFUNCTION("""COMPUTED_VALUE"""),0.108695652173913)</f>
        <v>0.1086956522</v>
      </c>
      <c r="P54" s="16">
        <f>IFERROR(__xludf.DUMMYFUNCTION("""COMPUTED_VALUE"""),0.079646017699115)</f>
        <v>0.0796460177</v>
      </c>
      <c r="Q54" s="16">
        <f>IFERROR(__xludf.DUMMYFUNCTION("""COMPUTED_VALUE"""),0.0730337078651685)</f>
        <v>0.07303370787</v>
      </c>
      <c r="R54" s="16">
        <f>IFERROR(__xludf.DUMMYFUNCTION("""COMPUTED_VALUE"""),0.06)</f>
        <v>0.06</v>
      </c>
      <c r="S54" s="16">
        <f>IFERROR(__xludf.DUMMYFUNCTION("""COMPUTED_VALUE"""),0.0)</f>
        <v>0</v>
      </c>
      <c r="T54" s="16">
        <f>IFERROR(__xludf.DUMMYFUNCTION("""COMPUTED_VALUE"""),0.0)</f>
        <v>0</v>
      </c>
      <c r="U54" s="16">
        <f>IFERROR(__xludf.DUMMYFUNCTION("""COMPUTED_VALUE"""),0.0)</f>
        <v>0</v>
      </c>
      <c r="V54" s="16">
        <f>IFERROR(__xludf.DUMMYFUNCTION("""COMPUTED_VALUE"""),0.0)</f>
        <v>0</v>
      </c>
      <c r="W54" s="16">
        <f>IFERROR(__xludf.DUMMYFUNCTION("""COMPUTED_VALUE"""),0.0)</f>
        <v>0</v>
      </c>
      <c r="X54" s="16">
        <f>IFERROR(__xludf.DUMMYFUNCTION("""COMPUTED_VALUE"""),0.0)</f>
        <v>0</v>
      </c>
      <c r="Y54" s="16">
        <f>IFERROR(__xludf.DUMMYFUNCTION("""COMPUTED_VALUE"""),0.0)</f>
        <v>0</v>
      </c>
      <c r="Z54" s="16">
        <f>IFERROR(__xludf.DUMMYFUNCTION("""COMPUTED_VALUE"""),0.0)</f>
        <v>0</v>
      </c>
      <c r="AA54" s="16">
        <f>IFERROR(__xludf.DUMMYFUNCTION("""COMPUTED_VALUE"""),0.0)</f>
        <v>0</v>
      </c>
      <c r="AB54" s="16">
        <f>IFERROR(__xludf.DUMMYFUNCTION("""COMPUTED_VALUE"""),0.0)</f>
        <v>0</v>
      </c>
      <c r="AC54" s="16">
        <f>IFERROR(__xludf.DUMMYFUNCTION("""COMPUTED_VALUE"""),0.0)</f>
        <v>0</v>
      </c>
      <c r="AD54" s="16">
        <f>IFERROR(__xludf.DUMMYFUNCTION("""COMPUTED_VALUE"""),0.0)</f>
        <v>0</v>
      </c>
      <c r="AE54" s="16">
        <f>IFERROR(__xludf.DUMMYFUNCTION("""COMPUTED_VALUE"""),0.0)</f>
        <v>0</v>
      </c>
      <c r="AF54" s="16">
        <f>IFERROR(__xludf.DUMMYFUNCTION("""COMPUTED_VALUE"""),0.0)</f>
        <v>0</v>
      </c>
      <c r="AG54" s="16">
        <f>IFERROR(__xludf.DUMMYFUNCTION("""COMPUTED_VALUE"""),0.0)</f>
        <v>0</v>
      </c>
      <c r="AH54" s="16">
        <f>IFERROR(__xludf.DUMMYFUNCTION("""COMPUTED_VALUE"""),0.0)</f>
        <v>0</v>
      </c>
    </row>
    <row r="55">
      <c r="A55" s="16" t="str">
        <f>IFERROR(__xludf.DUMMYFUNCTION("""COMPUTED_VALUE"""),"29b6547143fa9e79e6e0d3e0463e7b79ac00c7fd")</f>
        <v>29b6547143fa9e79e6e0d3e0463e7b79ac00c7fd</v>
      </c>
      <c r="B55" s="16" t="str">
        <f>IFERROR(__xludf.DUMMYFUNCTION("""COMPUTED_VALUE"""),"Love, Revenge &amp; My Past")</f>
        <v>Love, Revenge &amp; My Past</v>
      </c>
      <c r="C55" s="16" t="str">
        <f>IFERROR(__xludf.DUMMYFUNCTION("""COMPUTED_VALUE"""),"Romance")</f>
        <v>Romance</v>
      </c>
      <c r="D55" s="16">
        <f>IFERROR(__xludf.DUMMYFUNCTION("""COMPUTED_VALUE"""),850.0)</f>
        <v>850</v>
      </c>
      <c r="E55" s="16">
        <f>IFERROR(__xludf.DUMMYFUNCTION("""COMPUTED_VALUE"""),0.969411764705882)</f>
        <v>0.9694117647</v>
      </c>
      <c r="F55" s="16">
        <f>IFERROR(__xludf.DUMMYFUNCTION("""COMPUTED_VALUE"""),0.416470588235294)</f>
        <v>0.4164705882</v>
      </c>
      <c r="G55" s="16">
        <f>IFERROR(__xludf.DUMMYFUNCTION("""COMPUTED_VALUE"""),0.380447585394581)</f>
        <v>0.3804475854</v>
      </c>
      <c r="H55" s="16">
        <f>IFERROR(__xludf.DUMMYFUNCTION("""COMPUTED_VALUE"""),0.355712603062426)</f>
        <v>0.3557126031</v>
      </c>
      <c r="I55" s="16">
        <f>IFERROR(__xludf.DUMMYFUNCTION("""COMPUTED_VALUE"""),0.33097762073027)</f>
        <v>0.3309776207</v>
      </c>
      <c r="J55" s="16">
        <f>IFERROR(__xludf.DUMMYFUNCTION("""COMPUTED_VALUE"""),0.308598351001177)</f>
        <v>0.308598351</v>
      </c>
      <c r="K55" s="16">
        <f>IFERROR(__xludf.DUMMYFUNCTION("""COMPUTED_VALUE"""),0.296819787985865)</f>
        <v>0.296819788</v>
      </c>
      <c r="L55" s="16">
        <f>IFERROR(__xludf.DUMMYFUNCTION("""COMPUTED_VALUE"""),0.286556603773584)</f>
        <v>0.2865566038</v>
      </c>
      <c r="M55" s="16">
        <f>IFERROR(__xludf.DUMMYFUNCTION("""COMPUTED_VALUE"""),0.268321513002364)</f>
        <v>0.268321513</v>
      </c>
      <c r="N55" s="16">
        <f>IFERROR(__xludf.DUMMYFUNCTION("""COMPUTED_VALUE"""),0.261229314420803)</f>
        <v>0.2612293144</v>
      </c>
      <c r="O55" s="16">
        <f>IFERROR(__xludf.DUMMYFUNCTION("""COMPUTED_VALUE"""),0.19047619047619)</f>
        <v>0.1904761905</v>
      </c>
      <c r="P55" s="16">
        <f>IFERROR(__xludf.DUMMYFUNCTION("""COMPUTED_VALUE"""),0.14341590612777)</f>
        <v>0.1434159061</v>
      </c>
      <c r="Q55" s="16">
        <f>IFERROR(__xludf.DUMMYFUNCTION("""COMPUTED_VALUE"""),0.0772946859903381)</f>
        <v>0.07729468599</v>
      </c>
      <c r="R55" s="16">
        <f>IFERROR(__xludf.DUMMYFUNCTION("""COMPUTED_VALUE"""),0.0509259259259259)</f>
        <v>0.05092592593</v>
      </c>
      <c r="S55" s="16">
        <f>IFERROR(__xludf.DUMMYFUNCTION("""COMPUTED_VALUE"""),0.032520325203252)</f>
        <v>0.0325203252</v>
      </c>
      <c r="T55" s="16">
        <f>IFERROR(__xludf.DUMMYFUNCTION("""COMPUTED_VALUE"""),0.0)</f>
        <v>0</v>
      </c>
      <c r="U55" s="16">
        <f>IFERROR(__xludf.DUMMYFUNCTION("""COMPUTED_VALUE"""),0.0)</f>
        <v>0</v>
      </c>
      <c r="V55" s="16">
        <f>IFERROR(__xludf.DUMMYFUNCTION("""COMPUTED_VALUE"""),0.0)</f>
        <v>0</v>
      </c>
      <c r="W55" s="16">
        <f>IFERROR(__xludf.DUMMYFUNCTION("""COMPUTED_VALUE"""),0.0)</f>
        <v>0</v>
      </c>
      <c r="X55" s="16">
        <f>IFERROR(__xludf.DUMMYFUNCTION("""COMPUTED_VALUE"""),0.0)</f>
        <v>0</v>
      </c>
      <c r="Y55" s="16">
        <f>IFERROR(__xludf.DUMMYFUNCTION("""COMPUTED_VALUE"""),0.0)</f>
        <v>0</v>
      </c>
      <c r="Z55" s="16">
        <f>IFERROR(__xludf.DUMMYFUNCTION("""COMPUTED_VALUE"""),0.0)</f>
        <v>0</v>
      </c>
      <c r="AA55" s="16">
        <f>IFERROR(__xludf.DUMMYFUNCTION("""COMPUTED_VALUE"""),0.0)</f>
        <v>0</v>
      </c>
      <c r="AB55" s="16">
        <f>IFERROR(__xludf.DUMMYFUNCTION("""COMPUTED_VALUE"""),0.0)</f>
        <v>0</v>
      </c>
      <c r="AC55" s="16">
        <f>IFERROR(__xludf.DUMMYFUNCTION("""COMPUTED_VALUE"""),0.0)</f>
        <v>0</v>
      </c>
      <c r="AD55" s="16">
        <f>IFERROR(__xludf.DUMMYFUNCTION("""COMPUTED_VALUE"""),0.0)</f>
        <v>0</v>
      </c>
      <c r="AE55" s="16">
        <f>IFERROR(__xludf.DUMMYFUNCTION("""COMPUTED_VALUE"""),0.0)</f>
        <v>0</v>
      </c>
      <c r="AF55" s="16">
        <f>IFERROR(__xludf.DUMMYFUNCTION("""COMPUTED_VALUE"""),0.0)</f>
        <v>0</v>
      </c>
      <c r="AG55" s="16">
        <f>IFERROR(__xludf.DUMMYFUNCTION("""COMPUTED_VALUE"""),0.0)</f>
        <v>0</v>
      </c>
      <c r="AH55" s="16">
        <f>IFERROR(__xludf.DUMMYFUNCTION("""COMPUTED_VALUE"""),0.0)</f>
        <v>0</v>
      </c>
    </row>
    <row r="56">
      <c r="A56" s="16" t="str">
        <f>IFERROR(__xludf.DUMMYFUNCTION("""COMPUTED_VALUE"""),"2a8120a20d0bebaa0f325746e4058859d5e610ee")</f>
        <v>2a8120a20d0bebaa0f325746e4058859d5e610ee</v>
      </c>
      <c r="B56" s="16" t="str">
        <f>IFERROR(__xludf.DUMMYFUNCTION("""COMPUTED_VALUE"""),"Cultivated Love")</f>
        <v>Cultivated Love</v>
      </c>
      <c r="C56" s="16" t="str">
        <f>IFERROR(__xludf.DUMMYFUNCTION("""COMPUTED_VALUE"""),"Romance")</f>
        <v>Romance</v>
      </c>
      <c r="D56" s="16">
        <f>IFERROR(__xludf.DUMMYFUNCTION("""COMPUTED_VALUE"""),202.0)</f>
        <v>202</v>
      </c>
      <c r="E56" s="16">
        <f>IFERROR(__xludf.DUMMYFUNCTION("""COMPUTED_VALUE"""),0.915841584158415)</f>
        <v>0.9158415842</v>
      </c>
      <c r="F56" s="16">
        <f>IFERROR(__xludf.DUMMYFUNCTION("""COMPUTED_VALUE"""),0.232673267326732)</f>
        <v>0.2326732673</v>
      </c>
      <c r="G56" s="16">
        <f>IFERROR(__xludf.DUMMYFUNCTION("""COMPUTED_VALUE"""),0.212871287128712)</f>
        <v>0.2128712871</v>
      </c>
      <c r="H56" s="16">
        <f>IFERROR(__xludf.DUMMYFUNCTION("""COMPUTED_VALUE"""),0.154228855721393)</f>
        <v>0.1542288557</v>
      </c>
      <c r="I56" s="16">
        <f>IFERROR(__xludf.DUMMYFUNCTION("""COMPUTED_VALUE"""),0.165)</f>
        <v>0.165</v>
      </c>
      <c r="J56" s="16">
        <f>IFERROR(__xludf.DUMMYFUNCTION("""COMPUTED_VALUE"""),0.160804020100502)</f>
        <v>0.1608040201</v>
      </c>
      <c r="K56" s="16">
        <f>IFERROR(__xludf.DUMMYFUNCTION("""COMPUTED_VALUE"""),0.136363636363636)</f>
        <v>0.1363636364</v>
      </c>
      <c r="L56" s="16">
        <f>IFERROR(__xludf.DUMMYFUNCTION("""COMPUTED_VALUE"""),0.127551020408163)</f>
        <v>0.1275510204</v>
      </c>
      <c r="M56" s="16">
        <f>IFERROR(__xludf.DUMMYFUNCTION("""COMPUTED_VALUE"""),0.158974358974358)</f>
        <v>0.158974359</v>
      </c>
      <c r="N56" s="16">
        <f>IFERROR(__xludf.DUMMYFUNCTION("""COMPUTED_VALUE"""),0.126315789473684)</f>
        <v>0.1263157895</v>
      </c>
      <c r="O56" s="16">
        <f>IFERROR(__xludf.DUMMYFUNCTION("""COMPUTED_VALUE"""),0.13953488372093)</f>
        <v>0.1395348837</v>
      </c>
      <c r="P56" s="16">
        <f>IFERROR(__xludf.DUMMYFUNCTION("""COMPUTED_VALUE"""),0.111111111111111)</f>
        <v>0.1111111111</v>
      </c>
      <c r="Q56" s="16">
        <f>IFERROR(__xludf.DUMMYFUNCTION("""COMPUTED_VALUE"""),0.081081081081081)</f>
        <v>0.08108108108</v>
      </c>
      <c r="R56" s="16">
        <f>IFERROR(__xludf.DUMMYFUNCTION("""COMPUTED_VALUE"""),0.0746268656716417)</f>
        <v>0.07462686567</v>
      </c>
      <c r="S56" s="16">
        <f>IFERROR(__xludf.DUMMYFUNCTION("""COMPUTED_VALUE"""),0.0555555555555555)</f>
        <v>0.05555555556</v>
      </c>
      <c r="T56" s="16">
        <f>IFERROR(__xludf.DUMMYFUNCTION("""COMPUTED_VALUE"""),0.121212121212121)</f>
        <v>0.1212121212</v>
      </c>
      <c r="U56" s="16">
        <f>IFERROR(__xludf.DUMMYFUNCTION("""COMPUTED_VALUE"""),0.0)</f>
        <v>0</v>
      </c>
      <c r="V56" s="16">
        <f>IFERROR(__xludf.DUMMYFUNCTION("""COMPUTED_VALUE"""),0.0)</f>
        <v>0</v>
      </c>
      <c r="W56" s="16">
        <f>IFERROR(__xludf.DUMMYFUNCTION("""COMPUTED_VALUE"""),0.0)</f>
        <v>0</v>
      </c>
      <c r="X56" s="16">
        <f>IFERROR(__xludf.DUMMYFUNCTION("""COMPUTED_VALUE"""),0.0)</f>
        <v>0</v>
      </c>
      <c r="Y56" s="16">
        <f>IFERROR(__xludf.DUMMYFUNCTION("""COMPUTED_VALUE"""),0.0)</f>
        <v>0</v>
      </c>
      <c r="Z56" s="16">
        <f>IFERROR(__xludf.DUMMYFUNCTION("""COMPUTED_VALUE"""),0.0)</f>
        <v>0</v>
      </c>
      <c r="AA56" s="16">
        <f>IFERROR(__xludf.DUMMYFUNCTION("""COMPUTED_VALUE"""),0.0)</f>
        <v>0</v>
      </c>
      <c r="AB56" s="16">
        <f>IFERROR(__xludf.DUMMYFUNCTION("""COMPUTED_VALUE"""),0.0)</f>
        <v>0</v>
      </c>
      <c r="AC56" s="16">
        <f>IFERROR(__xludf.DUMMYFUNCTION("""COMPUTED_VALUE"""),0.0)</f>
        <v>0</v>
      </c>
      <c r="AD56" s="16">
        <f>IFERROR(__xludf.DUMMYFUNCTION("""COMPUTED_VALUE"""),0.0)</f>
        <v>0</v>
      </c>
      <c r="AE56" s="16">
        <f>IFERROR(__xludf.DUMMYFUNCTION("""COMPUTED_VALUE"""),0.0)</f>
        <v>0</v>
      </c>
      <c r="AF56" s="16">
        <f>IFERROR(__xludf.DUMMYFUNCTION("""COMPUTED_VALUE"""),0.0)</f>
        <v>0</v>
      </c>
      <c r="AG56" s="16">
        <f>IFERROR(__xludf.DUMMYFUNCTION("""COMPUTED_VALUE"""),0.0)</f>
        <v>0</v>
      </c>
      <c r="AH56" s="16">
        <f>IFERROR(__xludf.DUMMYFUNCTION("""COMPUTED_VALUE"""),0.0)</f>
        <v>0</v>
      </c>
    </row>
    <row r="57">
      <c r="A57" s="16" t="str">
        <f>IFERROR(__xludf.DUMMYFUNCTION("""COMPUTED_VALUE"""),"2b967281ca19c941aa99d03c959adaf6349da9b3")</f>
        <v>2b967281ca19c941aa99d03c959adaf6349da9b3</v>
      </c>
      <c r="B57" s="16" t="str">
        <f>IFERROR(__xludf.DUMMYFUNCTION("""COMPUTED_VALUE"""),"The Unlikely Heiress")</f>
        <v>The Unlikely Heiress</v>
      </c>
      <c r="C57" s="16" t="str">
        <f>IFERROR(__xludf.DUMMYFUNCTION("""COMPUTED_VALUE"""),"Romance")</f>
        <v>Romance</v>
      </c>
      <c r="D57" s="16">
        <f>IFERROR(__xludf.DUMMYFUNCTION("""COMPUTED_VALUE"""),9616.0)</f>
        <v>9616</v>
      </c>
      <c r="E57" s="16">
        <f>IFERROR(__xludf.DUMMYFUNCTION("""COMPUTED_VALUE"""),0.939267886855241)</f>
        <v>0.9392678869</v>
      </c>
      <c r="F57" s="16">
        <f>IFERROR(__xludf.DUMMYFUNCTION("""COMPUTED_VALUE"""),0.477433444259567)</f>
        <v>0.4774334443</v>
      </c>
      <c r="G57" s="16">
        <f>IFERROR(__xludf.DUMMYFUNCTION("""COMPUTED_VALUE"""),0.448003327787021)</f>
        <v>0.4480033278</v>
      </c>
      <c r="H57" s="16">
        <f>IFERROR(__xludf.DUMMYFUNCTION("""COMPUTED_VALUE"""),0.42222453438768)</f>
        <v>0.4222245344</v>
      </c>
      <c r="I57" s="16">
        <f>IFERROR(__xludf.DUMMYFUNCTION("""COMPUTED_VALUE"""),0.405498281786941)</f>
        <v>0.4054982818</v>
      </c>
      <c r="J57" s="16">
        <f>IFERROR(__xludf.DUMMYFUNCTION("""COMPUTED_VALUE"""),0.387190987795973)</f>
        <v>0.3871909878</v>
      </c>
      <c r="K57" s="16">
        <f>IFERROR(__xludf.DUMMYFUNCTION("""COMPUTED_VALUE"""),0.369515252820727)</f>
        <v>0.3695152528</v>
      </c>
      <c r="L57" s="16">
        <f>IFERROR(__xludf.DUMMYFUNCTION("""COMPUTED_VALUE"""),0.354676710608914)</f>
        <v>0.3546767106</v>
      </c>
      <c r="M57" s="16">
        <f>IFERROR(__xludf.DUMMYFUNCTION("""COMPUTED_VALUE"""),0.345549738219895)</f>
        <v>0.3455497382</v>
      </c>
      <c r="N57" s="16">
        <f>IFERROR(__xludf.DUMMYFUNCTION("""COMPUTED_VALUE"""),0.341964566516406)</f>
        <v>0.3419645665</v>
      </c>
      <c r="O57" s="16">
        <f>IFERROR(__xludf.DUMMYFUNCTION("""COMPUTED_VALUE"""),0.305643627140139)</f>
        <v>0.3056436271</v>
      </c>
      <c r="P57" s="16">
        <f>IFERROR(__xludf.DUMMYFUNCTION("""COMPUTED_VALUE"""),0.24925468483816)</f>
        <v>0.2492546848</v>
      </c>
      <c r="Q57" s="16">
        <f>IFERROR(__xludf.DUMMYFUNCTION("""COMPUTED_VALUE"""),0.171478757273026)</f>
        <v>0.1714787573</v>
      </c>
      <c r="R57" s="16">
        <f>IFERROR(__xludf.DUMMYFUNCTION("""COMPUTED_VALUE"""),0.150527971242417)</f>
        <v>0.1505279712</v>
      </c>
      <c r="S57" s="16">
        <f>IFERROR(__xludf.DUMMYFUNCTION("""COMPUTED_VALUE"""),0.121643612693246)</f>
        <v>0.1216436127</v>
      </c>
      <c r="T57" s="16">
        <f>IFERROR(__xludf.DUMMYFUNCTION("""COMPUTED_VALUE"""),0.0765182186234817)</f>
        <v>0.07651821862</v>
      </c>
      <c r="U57" s="16">
        <f>IFERROR(__xludf.DUMMYFUNCTION("""COMPUTED_VALUE"""),0.00595238095238095)</f>
        <v>0.005952380952</v>
      </c>
      <c r="V57" s="16">
        <f>IFERROR(__xludf.DUMMYFUNCTION("""COMPUTED_VALUE"""),0.0)</f>
        <v>0</v>
      </c>
      <c r="W57" s="16">
        <f>IFERROR(__xludf.DUMMYFUNCTION("""COMPUTED_VALUE"""),0.0)</f>
        <v>0</v>
      </c>
      <c r="X57" s="16">
        <f>IFERROR(__xludf.DUMMYFUNCTION("""COMPUTED_VALUE"""),0.0)</f>
        <v>0</v>
      </c>
      <c r="Y57" s="16">
        <f>IFERROR(__xludf.DUMMYFUNCTION("""COMPUTED_VALUE"""),0.0)</f>
        <v>0</v>
      </c>
      <c r="Z57" s="16">
        <f>IFERROR(__xludf.DUMMYFUNCTION("""COMPUTED_VALUE"""),0.0)</f>
        <v>0</v>
      </c>
      <c r="AA57" s="16">
        <f>IFERROR(__xludf.DUMMYFUNCTION("""COMPUTED_VALUE"""),0.0)</f>
        <v>0</v>
      </c>
      <c r="AB57" s="16">
        <f>IFERROR(__xludf.DUMMYFUNCTION("""COMPUTED_VALUE"""),0.0)</f>
        <v>0</v>
      </c>
      <c r="AC57" s="16">
        <f>IFERROR(__xludf.DUMMYFUNCTION("""COMPUTED_VALUE"""),0.0)</f>
        <v>0</v>
      </c>
      <c r="AD57" s="16">
        <f>IFERROR(__xludf.DUMMYFUNCTION("""COMPUTED_VALUE"""),0.0)</f>
        <v>0</v>
      </c>
      <c r="AE57" s="16">
        <f>IFERROR(__xludf.DUMMYFUNCTION("""COMPUTED_VALUE"""),0.0)</f>
        <v>0</v>
      </c>
      <c r="AF57" s="16">
        <f>IFERROR(__xludf.DUMMYFUNCTION("""COMPUTED_VALUE"""),0.0)</f>
        <v>0</v>
      </c>
      <c r="AG57" s="16">
        <f>IFERROR(__xludf.DUMMYFUNCTION("""COMPUTED_VALUE"""),0.0)</f>
        <v>0</v>
      </c>
      <c r="AH57" s="16">
        <f>IFERROR(__xludf.DUMMYFUNCTION("""COMPUTED_VALUE"""),0.0)</f>
        <v>0</v>
      </c>
    </row>
    <row r="58">
      <c r="A58" s="16" t="str">
        <f>IFERROR(__xludf.DUMMYFUNCTION("""COMPUTED_VALUE"""),"2fb79ac2c90574002aaeec2f842f6693eb8ff7c2")</f>
        <v>2fb79ac2c90574002aaeec2f842f6693eb8ff7c2</v>
      </c>
      <c r="B58" s="16" t="str">
        <f>IFERROR(__xludf.DUMMYFUNCTION("""COMPUTED_VALUE"""),"Dear Boss")</f>
        <v>Dear Boss</v>
      </c>
      <c r="C58" s="16" t="str">
        <f>IFERROR(__xludf.DUMMYFUNCTION("""COMPUTED_VALUE"""),"Romance")</f>
        <v>Romance</v>
      </c>
      <c r="D58" s="16">
        <f>IFERROR(__xludf.DUMMYFUNCTION("""COMPUTED_VALUE"""),674.0)</f>
        <v>674</v>
      </c>
      <c r="E58" s="16">
        <f>IFERROR(__xludf.DUMMYFUNCTION("""COMPUTED_VALUE"""),0.971810089020771)</f>
        <v>0.971810089</v>
      </c>
      <c r="F58" s="16">
        <f>IFERROR(__xludf.DUMMYFUNCTION("""COMPUTED_VALUE"""),0.541543026706231)</f>
        <v>0.5415430267</v>
      </c>
      <c r="G58" s="16">
        <f>IFERROR(__xludf.DUMMYFUNCTION("""COMPUTED_VALUE"""),0.471810089020771)</f>
        <v>0.471810089</v>
      </c>
      <c r="H58" s="16">
        <f>IFERROR(__xludf.DUMMYFUNCTION("""COMPUTED_VALUE"""),0.439821693907875)</f>
        <v>0.4398216939</v>
      </c>
      <c r="I58" s="16">
        <f>IFERROR(__xludf.DUMMYFUNCTION("""COMPUTED_VALUE"""),0.419642857142857)</f>
        <v>0.4196428571</v>
      </c>
      <c r="J58" s="16">
        <f>IFERROR(__xludf.DUMMYFUNCTION("""COMPUTED_VALUE"""),0.373134328358209)</f>
        <v>0.3731343284</v>
      </c>
      <c r="K58" s="16">
        <f>IFERROR(__xludf.DUMMYFUNCTION("""COMPUTED_VALUE"""),0.352238805970149)</f>
        <v>0.352238806</v>
      </c>
      <c r="L58" s="16">
        <f>IFERROR(__xludf.DUMMYFUNCTION("""COMPUTED_VALUE"""),0.332335329341317)</f>
        <v>0.3323353293</v>
      </c>
      <c r="M58" s="16">
        <f>IFERROR(__xludf.DUMMYFUNCTION("""COMPUTED_VALUE"""),0.315868263473053)</f>
        <v>0.3158682635</v>
      </c>
      <c r="N58" s="16">
        <f>IFERROR(__xludf.DUMMYFUNCTION("""COMPUTED_VALUE"""),0.318112633181126)</f>
        <v>0.3181126332</v>
      </c>
      <c r="O58" s="16">
        <f>IFERROR(__xludf.DUMMYFUNCTION("""COMPUTED_VALUE"""),0.293666026871401)</f>
        <v>0.2936660269</v>
      </c>
      <c r="P58" s="16">
        <f>IFERROR(__xludf.DUMMYFUNCTION("""COMPUTED_VALUE"""),0.252100840336134)</f>
        <v>0.2521008403</v>
      </c>
      <c r="Q58" s="16">
        <f>IFERROR(__xludf.DUMMYFUNCTION("""COMPUTED_VALUE"""),0.0)</f>
        <v>0</v>
      </c>
      <c r="R58" s="16">
        <f>IFERROR(__xludf.DUMMYFUNCTION("""COMPUTED_VALUE"""),0.0)</f>
        <v>0</v>
      </c>
      <c r="S58" s="16">
        <f>IFERROR(__xludf.DUMMYFUNCTION("""COMPUTED_VALUE"""),0.0)</f>
        <v>0</v>
      </c>
      <c r="T58" s="16">
        <f>IFERROR(__xludf.DUMMYFUNCTION("""COMPUTED_VALUE"""),0.0)</f>
        <v>0</v>
      </c>
      <c r="U58" s="16">
        <f>IFERROR(__xludf.DUMMYFUNCTION("""COMPUTED_VALUE"""),0.0)</f>
        <v>0</v>
      </c>
      <c r="V58" s="16">
        <f>IFERROR(__xludf.DUMMYFUNCTION("""COMPUTED_VALUE"""),0.0)</f>
        <v>0</v>
      </c>
      <c r="W58" s="16">
        <f>IFERROR(__xludf.DUMMYFUNCTION("""COMPUTED_VALUE"""),0.0)</f>
        <v>0</v>
      </c>
      <c r="X58" s="16">
        <f>IFERROR(__xludf.DUMMYFUNCTION("""COMPUTED_VALUE"""),0.0)</f>
        <v>0</v>
      </c>
      <c r="Y58" s="16">
        <f>IFERROR(__xludf.DUMMYFUNCTION("""COMPUTED_VALUE"""),0.0)</f>
        <v>0</v>
      </c>
      <c r="Z58" s="16">
        <f>IFERROR(__xludf.DUMMYFUNCTION("""COMPUTED_VALUE"""),0.0)</f>
        <v>0</v>
      </c>
      <c r="AA58" s="16">
        <f>IFERROR(__xludf.DUMMYFUNCTION("""COMPUTED_VALUE"""),0.0)</f>
        <v>0</v>
      </c>
      <c r="AB58" s="16">
        <f>IFERROR(__xludf.DUMMYFUNCTION("""COMPUTED_VALUE"""),0.0)</f>
        <v>0</v>
      </c>
      <c r="AC58" s="16">
        <f>IFERROR(__xludf.DUMMYFUNCTION("""COMPUTED_VALUE"""),0.0)</f>
        <v>0</v>
      </c>
      <c r="AD58" s="16">
        <f>IFERROR(__xludf.DUMMYFUNCTION("""COMPUTED_VALUE"""),0.0)</f>
        <v>0</v>
      </c>
      <c r="AE58" s="16">
        <f>IFERROR(__xludf.DUMMYFUNCTION("""COMPUTED_VALUE"""),0.0)</f>
        <v>0</v>
      </c>
      <c r="AF58" s="16">
        <f>IFERROR(__xludf.DUMMYFUNCTION("""COMPUTED_VALUE"""),0.0)</f>
        <v>0</v>
      </c>
      <c r="AG58" s="16">
        <f>IFERROR(__xludf.DUMMYFUNCTION("""COMPUTED_VALUE"""),0.0)</f>
        <v>0</v>
      </c>
      <c r="AH58" s="16">
        <f>IFERROR(__xludf.DUMMYFUNCTION("""COMPUTED_VALUE"""),0.0)</f>
        <v>0</v>
      </c>
    </row>
    <row r="59">
      <c r="A59" s="16" t="str">
        <f>IFERROR(__xludf.DUMMYFUNCTION("""COMPUTED_VALUE"""),"31b86ee5ffeadf52fab3148c3add083a2f90b442")</f>
        <v>31b86ee5ffeadf52fab3148c3add083a2f90b442</v>
      </c>
      <c r="B59" s="16" t="str">
        <f>IFERROR(__xludf.DUMMYFUNCTION("""COMPUTED_VALUE"""),"Enchanted by Blood ")</f>
        <v>Enchanted by Blood </v>
      </c>
      <c r="C59" s="16" t="str">
        <f>IFERROR(__xludf.DUMMYFUNCTION("""COMPUTED_VALUE"""),"Romantasy")</f>
        <v>Romantasy</v>
      </c>
      <c r="D59" s="16">
        <f>IFERROR(__xludf.DUMMYFUNCTION("""COMPUTED_VALUE"""),182.0)</f>
        <v>182</v>
      </c>
      <c r="E59" s="16">
        <f>IFERROR(__xludf.DUMMYFUNCTION("""COMPUTED_VALUE"""),0.978021978021978)</f>
        <v>0.978021978</v>
      </c>
      <c r="F59" s="16">
        <f>IFERROR(__xludf.DUMMYFUNCTION("""COMPUTED_VALUE"""),0.318681318681318)</f>
        <v>0.3186813187</v>
      </c>
      <c r="G59" s="16">
        <f>IFERROR(__xludf.DUMMYFUNCTION("""COMPUTED_VALUE"""),0.247252747252747)</f>
        <v>0.2472527473</v>
      </c>
      <c r="H59" s="16">
        <f>IFERROR(__xludf.DUMMYFUNCTION("""COMPUTED_VALUE"""),0.209944751381215)</f>
        <v>0.2099447514</v>
      </c>
      <c r="I59" s="16">
        <f>IFERROR(__xludf.DUMMYFUNCTION("""COMPUTED_VALUE"""),0.180790960451977)</f>
        <v>0.1807909605</v>
      </c>
      <c r="J59" s="16">
        <f>IFERROR(__xludf.DUMMYFUNCTION("""COMPUTED_VALUE"""),0.154761904761904)</f>
        <v>0.1547619048</v>
      </c>
      <c r="K59" s="16">
        <f>IFERROR(__xludf.DUMMYFUNCTION("""COMPUTED_VALUE"""),0.135802469135802)</f>
        <v>0.1358024691</v>
      </c>
      <c r="L59" s="16">
        <f>IFERROR(__xludf.DUMMYFUNCTION("""COMPUTED_VALUE"""),0.120253164556962)</f>
        <v>0.1202531646</v>
      </c>
      <c r="M59" s="16">
        <f>IFERROR(__xludf.DUMMYFUNCTION("""COMPUTED_VALUE"""),0.10126582278481)</f>
        <v>0.1012658228</v>
      </c>
      <c r="N59" s="16">
        <f>IFERROR(__xludf.DUMMYFUNCTION("""COMPUTED_VALUE"""),0.0784313725490196)</f>
        <v>0.07843137255</v>
      </c>
      <c r="O59" s="16">
        <f>IFERROR(__xludf.DUMMYFUNCTION("""COMPUTED_VALUE"""),0.0756302521008403)</f>
        <v>0.0756302521</v>
      </c>
      <c r="P59" s="16">
        <f>IFERROR(__xludf.DUMMYFUNCTION("""COMPUTED_VALUE"""),0.131147540983606)</f>
        <v>0.131147541</v>
      </c>
      <c r="Q59" s="16">
        <f>IFERROR(__xludf.DUMMYFUNCTION("""COMPUTED_VALUE"""),0.109090909090909)</f>
        <v>0.1090909091</v>
      </c>
      <c r="R59" s="16">
        <f>IFERROR(__xludf.DUMMYFUNCTION("""COMPUTED_VALUE"""),0.0)</f>
        <v>0</v>
      </c>
      <c r="S59" s="16">
        <f>IFERROR(__xludf.DUMMYFUNCTION("""COMPUTED_VALUE"""),0.0)</f>
        <v>0</v>
      </c>
      <c r="T59" s="16">
        <f>IFERROR(__xludf.DUMMYFUNCTION("""COMPUTED_VALUE"""),0.0)</f>
        <v>0</v>
      </c>
      <c r="U59" s="16">
        <f>IFERROR(__xludf.DUMMYFUNCTION("""COMPUTED_VALUE"""),0.0)</f>
        <v>0</v>
      </c>
      <c r="V59" s="16">
        <f>IFERROR(__xludf.DUMMYFUNCTION("""COMPUTED_VALUE"""),0.0)</f>
        <v>0</v>
      </c>
      <c r="W59" s="16">
        <f>IFERROR(__xludf.DUMMYFUNCTION("""COMPUTED_VALUE"""),0.0)</f>
        <v>0</v>
      </c>
      <c r="X59" s="16">
        <f>IFERROR(__xludf.DUMMYFUNCTION("""COMPUTED_VALUE"""),0.0)</f>
        <v>0</v>
      </c>
      <c r="Y59" s="16">
        <f>IFERROR(__xludf.DUMMYFUNCTION("""COMPUTED_VALUE"""),0.0)</f>
        <v>0</v>
      </c>
      <c r="Z59" s="16">
        <f>IFERROR(__xludf.DUMMYFUNCTION("""COMPUTED_VALUE"""),0.0)</f>
        <v>0</v>
      </c>
      <c r="AA59" s="16">
        <f>IFERROR(__xludf.DUMMYFUNCTION("""COMPUTED_VALUE"""),0.0)</f>
        <v>0</v>
      </c>
      <c r="AB59" s="16">
        <f>IFERROR(__xludf.DUMMYFUNCTION("""COMPUTED_VALUE"""),0.0)</f>
        <v>0</v>
      </c>
      <c r="AC59" s="16">
        <f>IFERROR(__xludf.DUMMYFUNCTION("""COMPUTED_VALUE"""),0.0)</f>
        <v>0</v>
      </c>
      <c r="AD59" s="16">
        <f>IFERROR(__xludf.DUMMYFUNCTION("""COMPUTED_VALUE"""),0.0)</f>
        <v>0</v>
      </c>
      <c r="AE59" s="16">
        <f>IFERROR(__xludf.DUMMYFUNCTION("""COMPUTED_VALUE"""),0.0)</f>
        <v>0</v>
      </c>
      <c r="AF59" s="16">
        <f>IFERROR(__xludf.DUMMYFUNCTION("""COMPUTED_VALUE"""),0.0)</f>
        <v>0</v>
      </c>
      <c r="AG59" s="16">
        <f>IFERROR(__xludf.DUMMYFUNCTION("""COMPUTED_VALUE"""),0.0)</f>
        <v>0</v>
      </c>
      <c r="AH59" s="16">
        <f>IFERROR(__xludf.DUMMYFUNCTION("""COMPUTED_VALUE"""),0.0)</f>
        <v>0</v>
      </c>
    </row>
    <row r="60">
      <c r="A60" s="16" t="str">
        <f>IFERROR(__xludf.DUMMYFUNCTION("""COMPUTED_VALUE"""),"31e58f7ec421b1daaed1f4ac654ecd9eb855bc93")</f>
        <v>31e58f7ec421b1daaed1f4ac654ecd9eb855bc93</v>
      </c>
      <c r="B60" s="16" t="str">
        <f>IFERROR(__xludf.DUMMYFUNCTION("""COMPUTED_VALUE"""),"The Forsaken Path")</f>
        <v>The Forsaken Path</v>
      </c>
      <c r="C60" s="16" t="str">
        <f>IFERROR(__xludf.DUMMYFUNCTION("""COMPUTED_VALUE"""),"Fantasy")</f>
        <v>Fantasy</v>
      </c>
      <c r="D60" s="16">
        <f>IFERROR(__xludf.DUMMYFUNCTION("""COMPUTED_VALUE"""),199.0)</f>
        <v>199</v>
      </c>
      <c r="E60" s="16">
        <f>IFERROR(__xludf.DUMMYFUNCTION("""COMPUTED_VALUE"""),0.969849246231155)</f>
        <v>0.9698492462</v>
      </c>
      <c r="F60" s="16">
        <f>IFERROR(__xludf.DUMMYFUNCTION("""COMPUTED_VALUE"""),0.391959798994974)</f>
        <v>0.391959799</v>
      </c>
      <c r="G60" s="16">
        <f>IFERROR(__xludf.DUMMYFUNCTION("""COMPUTED_VALUE"""),0.331658291457286)</f>
        <v>0.3316582915</v>
      </c>
      <c r="H60" s="16">
        <f>IFERROR(__xludf.DUMMYFUNCTION("""COMPUTED_VALUE"""),0.276381909547738)</f>
        <v>0.2763819095</v>
      </c>
      <c r="I60" s="16">
        <f>IFERROR(__xludf.DUMMYFUNCTION("""COMPUTED_VALUE"""),0.256281407035175)</f>
        <v>0.256281407</v>
      </c>
      <c r="J60" s="16">
        <f>IFERROR(__xludf.DUMMYFUNCTION("""COMPUTED_VALUE"""),0.256281407035175)</f>
        <v>0.256281407</v>
      </c>
      <c r="K60" s="16">
        <f>IFERROR(__xludf.DUMMYFUNCTION("""COMPUTED_VALUE"""),0.236180904522613)</f>
        <v>0.2361809045</v>
      </c>
      <c r="L60" s="16">
        <f>IFERROR(__xludf.DUMMYFUNCTION("""COMPUTED_VALUE"""),0.231155778894472)</f>
        <v>0.2311557789</v>
      </c>
      <c r="M60" s="16">
        <f>IFERROR(__xludf.DUMMYFUNCTION("""COMPUTED_VALUE"""),0.236180904522613)</f>
        <v>0.2361809045</v>
      </c>
      <c r="N60" s="16">
        <f>IFERROR(__xludf.DUMMYFUNCTION("""COMPUTED_VALUE"""),0.207070707070707)</f>
        <v>0.2070707071</v>
      </c>
      <c r="O60" s="16">
        <f>IFERROR(__xludf.DUMMYFUNCTION("""COMPUTED_VALUE"""),0.153846153846153)</f>
        <v>0.1538461538</v>
      </c>
      <c r="P60" s="16">
        <f>IFERROR(__xludf.DUMMYFUNCTION("""COMPUTED_VALUE"""),0.0601503759398496)</f>
        <v>0.06015037594</v>
      </c>
      <c r="Q60" s="16">
        <f>IFERROR(__xludf.DUMMYFUNCTION("""COMPUTED_VALUE"""),0.0119047619047619)</f>
        <v>0.0119047619</v>
      </c>
      <c r="R60" s="16">
        <f>IFERROR(__xludf.DUMMYFUNCTION("""COMPUTED_VALUE"""),0.5)</f>
        <v>0.5</v>
      </c>
      <c r="S60" s="16">
        <f>IFERROR(__xludf.DUMMYFUNCTION("""COMPUTED_VALUE"""),0.0)</f>
        <v>0</v>
      </c>
      <c r="T60" s="16">
        <f>IFERROR(__xludf.DUMMYFUNCTION("""COMPUTED_VALUE"""),0.0)</f>
        <v>0</v>
      </c>
      <c r="U60" s="16">
        <f>IFERROR(__xludf.DUMMYFUNCTION("""COMPUTED_VALUE"""),0.0)</f>
        <v>0</v>
      </c>
      <c r="V60" s="16">
        <f>IFERROR(__xludf.DUMMYFUNCTION("""COMPUTED_VALUE"""),0.0)</f>
        <v>0</v>
      </c>
      <c r="W60" s="16">
        <f>IFERROR(__xludf.DUMMYFUNCTION("""COMPUTED_VALUE"""),0.0)</f>
        <v>0</v>
      </c>
      <c r="X60" s="16">
        <f>IFERROR(__xludf.DUMMYFUNCTION("""COMPUTED_VALUE"""),0.0)</f>
        <v>0</v>
      </c>
      <c r="Y60" s="16">
        <f>IFERROR(__xludf.DUMMYFUNCTION("""COMPUTED_VALUE"""),0.0)</f>
        <v>0</v>
      </c>
      <c r="Z60" s="16">
        <f>IFERROR(__xludf.DUMMYFUNCTION("""COMPUTED_VALUE"""),0.0)</f>
        <v>0</v>
      </c>
      <c r="AA60" s="16">
        <f>IFERROR(__xludf.DUMMYFUNCTION("""COMPUTED_VALUE"""),0.0)</f>
        <v>0</v>
      </c>
      <c r="AB60" s="16">
        <f>IFERROR(__xludf.DUMMYFUNCTION("""COMPUTED_VALUE"""),0.0)</f>
        <v>0</v>
      </c>
      <c r="AC60" s="16">
        <f>IFERROR(__xludf.DUMMYFUNCTION("""COMPUTED_VALUE"""),0.0)</f>
        <v>0</v>
      </c>
      <c r="AD60" s="16">
        <f>IFERROR(__xludf.DUMMYFUNCTION("""COMPUTED_VALUE"""),0.0)</f>
        <v>0</v>
      </c>
      <c r="AE60" s="16">
        <f>IFERROR(__xludf.DUMMYFUNCTION("""COMPUTED_VALUE"""),0.0)</f>
        <v>0</v>
      </c>
      <c r="AF60" s="16">
        <f>IFERROR(__xludf.DUMMYFUNCTION("""COMPUTED_VALUE"""),0.0)</f>
        <v>0</v>
      </c>
      <c r="AG60" s="16">
        <f>IFERROR(__xludf.DUMMYFUNCTION("""COMPUTED_VALUE"""),0.0)</f>
        <v>0</v>
      </c>
      <c r="AH60" s="16">
        <f>IFERROR(__xludf.DUMMYFUNCTION("""COMPUTED_VALUE"""),0.0)</f>
        <v>0</v>
      </c>
    </row>
    <row r="61">
      <c r="A61" s="16" t="str">
        <f>IFERROR(__xludf.DUMMYFUNCTION("""COMPUTED_VALUE"""),"328a6c95d732271bc4717aa2abf3a7c15f89a25e")</f>
        <v>328a6c95d732271bc4717aa2abf3a7c15f89a25e</v>
      </c>
      <c r="B61" s="16" t="str">
        <f>IFERROR(__xludf.DUMMYFUNCTION("""COMPUTED_VALUE"""),"Braving the Rapid Waters")</f>
        <v>Braving the Rapid Waters</v>
      </c>
      <c r="C61" s="16" t="str">
        <f>IFERROR(__xludf.DUMMYFUNCTION("""COMPUTED_VALUE"""),"Romance")</f>
        <v>Romance</v>
      </c>
      <c r="D61" s="16">
        <f>IFERROR(__xludf.DUMMYFUNCTION("""COMPUTED_VALUE"""),610.0)</f>
        <v>610</v>
      </c>
      <c r="E61" s="16">
        <f>IFERROR(__xludf.DUMMYFUNCTION("""COMPUTED_VALUE"""),0.970491803278688)</f>
        <v>0.9704918033</v>
      </c>
      <c r="F61" s="16">
        <f>IFERROR(__xludf.DUMMYFUNCTION("""COMPUTED_VALUE"""),0.51311475409836)</f>
        <v>0.5131147541</v>
      </c>
      <c r="G61" s="16">
        <f>IFERROR(__xludf.DUMMYFUNCTION("""COMPUTED_VALUE"""),0.437704918032786)</f>
        <v>0.437704918</v>
      </c>
      <c r="H61" s="16">
        <f>IFERROR(__xludf.DUMMYFUNCTION("""COMPUTED_VALUE"""),0.40983606557377)</f>
        <v>0.4098360656</v>
      </c>
      <c r="I61" s="16">
        <f>IFERROR(__xludf.DUMMYFUNCTION("""COMPUTED_VALUE"""),0.383606557377049)</f>
        <v>0.3836065574</v>
      </c>
      <c r="J61" s="16">
        <f>IFERROR(__xludf.DUMMYFUNCTION("""COMPUTED_VALUE"""),0.377049180327868)</f>
        <v>0.3770491803</v>
      </c>
      <c r="K61" s="16">
        <f>IFERROR(__xludf.DUMMYFUNCTION("""COMPUTED_VALUE"""),0.354098360655737)</f>
        <v>0.3540983607</v>
      </c>
      <c r="L61" s="16">
        <f>IFERROR(__xludf.DUMMYFUNCTION("""COMPUTED_VALUE"""),0.331147540983606)</f>
        <v>0.331147541</v>
      </c>
      <c r="M61" s="16">
        <f>IFERROR(__xludf.DUMMYFUNCTION("""COMPUTED_VALUE"""),0.321311475409836)</f>
        <v>0.3213114754</v>
      </c>
      <c r="N61" s="16">
        <f>IFERROR(__xludf.DUMMYFUNCTION("""COMPUTED_VALUE"""),0.3)</f>
        <v>0.3</v>
      </c>
      <c r="O61" s="16">
        <f>IFERROR(__xludf.DUMMYFUNCTION("""COMPUTED_VALUE"""),0.227655986509274)</f>
        <v>0.2276559865</v>
      </c>
      <c r="P61" s="16">
        <f>IFERROR(__xludf.DUMMYFUNCTION("""COMPUTED_VALUE"""),0.128378378378378)</f>
        <v>0.1283783784</v>
      </c>
      <c r="Q61" s="16">
        <f>IFERROR(__xludf.DUMMYFUNCTION("""COMPUTED_VALUE"""),0.074398249452954)</f>
        <v>0.07439824945</v>
      </c>
      <c r="R61" s="16">
        <f>IFERROR(__xludf.DUMMYFUNCTION("""COMPUTED_VALUE"""),0.0293453724604966)</f>
        <v>0.02934537246</v>
      </c>
      <c r="S61" s="16">
        <f>IFERROR(__xludf.DUMMYFUNCTION("""COMPUTED_VALUE"""),0.0)</f>
        <v>0</v>
      </c>
      <c r="T61" s="16">
        <f>IFERROR(__xludf.DUMMYFUNCTION("""COMPUTED_VALUE"""),0.0)</f>
        <v>0</v>
      </c>
      <c r="U61" s="16">
        <f>IFERROR(__xludf.DUMMYFUNCTION("""COMPUTED_VALUE"""),0.0)</f>
        <v>0</v>
      </c>
      <c r="V61" s="16">
        <f>IFERROR(__xludf.DUMMYFUNCTION("""COMPUTED_VALUE"""),0.0)</f>
        <v>0</v>
      </c>
      <c r="W61" s="16">
        <f>IFERROR(__xludf.DUMMYFUNCTION("""COMPUTED_VALUE"""),0.0)</f>
        <v>0</v>
      </c>
      <c r="X61" s="16">
        <f>IFERROR(__xludf.DUMMYFUNCTION("""COMPUTED_VALUE"""),0.0)</f>
        <v>0</v>
      </c>
      <c r="Y61" s="16">
        <f>IFERROR(__xludf.DUMMYFUNCTION("""COMPUTED_VALUE"""),0.0)</f>
        <v>0</v>
      </c>
      <c r="Z61" s="16">
        <f>IFERROR(__xludf.DUMMYFUNCTION("""COMPUTED_VALUE"""),0.0)</f>
        <v>0</v>
      </c>
      <c r="AA61" s="16">
        <f>IFERROR(__xludf.DUMMYFUNCTION("""COMPUTED_VALUE"""),0.0)</f>
        <v>0</v>
      </c>
      <c r="AB61" s="16">
        <f>IFERROR(__xludf.DUMMYFUNCTION("""COMPUTED_VALUE"""),0.0)</f>
        <v>0</v>
      </c>
      <c r="AC61" s="16">
        <f>IFERROR(__xludf.DUMMYFUNCTION("""COMPUTED_VALUE"""),0.0)</f>
        <v>0</v>
      </c>
      <c r="AD61" s="16">
        <f>IFERROR(__xludf.DUMMYFUNCTION("""COMPUTED_VALUE"""),0.0)</f>
        <v>0</v>
      </c>
      <c r="AE61" s="16">
        <f>IFERROR(__xludf.DUMMYFUNCTION("""COMPUTED_VALUE"""),0.0)</f>
        <v>0</v>
      </c>
      <c r="AF61" s="16">
        <f>IFERROR(__xludf.DUMMYFUNCTION("""COMPUTED_VALUE"""),0.0)</f>
        <v>0</v>
      </c>
      <c r="AG61" s="16">
        <f>IFERROR(__xludf.DUMMYFUNCTION("""COMPUTED_VALUE"""),0.0)</f>
        <v>0</v>
      </c>
      <c r="AH61" s="16">
        <f>IFERROR(__xludf.DUMMYFUNCTION("""COMPUTED_VALUE"""),0.0)</f>
        <v>0</v>
      </c>
    </row>
    <row r="62">
      <c r="A62" s="16" t="str">
        <f>IFERROR(__xludf.DUMMYFUNCTION("""COMPUTED_VALUE"""),"328d4b017d5db890a886902acdade960088fb3d8")</f>
        <v>328d4b017d5db890a886902acdade960088fb3d8</v>
      </c>
      <c r="B62" s="16" t="str">
        <f>IFERROR(__xludf.DUMMYFUNCTION("""COMPUTED_VALUE"""),"Her Worthless Son-in-Law")</f>
        <v>Her Worthless Son-in-Law</v>
      </c>
      <c r="C62" s="16" t="str">
        <f>IFERROR(__xludf.DUMMYFUNCTION("""COMPUTED_VALUE"""),"System and Superpower")</f>
        <v>System and Superpower</v>
      </c>
      <c r="D62" s="16">
        <f>IFERROR(__xludf.DUMMYFUNCTION("""COMPUTED_VALUE"""),79.0)</f>
        <v>79</v>
      </c>
      <c r="E62" s="16">
        <f>IFERROR(__xludf.DUMMYFUNCTION("""COMPUTED_VALUE"""),0.898734177215189)</f>
        <v>0.8987341772</v>
      </c>
      <c r="F62" s="16">
        <f>IFERROR(__xludf.DUMMYFUNCTION("""COMPUTED_VALUE"""),0.670886075949367)</f>
        <v>0.6708860759</v>
      </c>
      <c r="G62" s="16">
        <f>IFERROR(__xludf.DUMMYFUNCTION("""COMPUTED_VALUE"""),0.632911392405063)</f>
        <v>0.6329113924</v>
      </c>
      <c r="H62" s="16">
        <f>IFERROR(__xludf.DUMMYFUNCTION("""COMPUTED_VALUE"""),0.628205128205128)</f>
        <v>0.6282051282</v>
      </c>
      <c r="I62" s="16">
        <f>IFERROR(__xludf.DUMMYFUNCTION("""COMPUTED_VALUE"""),0.605263157894736)</f>
        <v>0.6052631579</v>
      </c>
      <c r="J62" s="16">
        <f>IFERROR(__xludf.DUMMYFUNCTION("""COMPUTED_VALUE"""),0.592105263157894)</f>
        <v>0.5921052632</v>
      </c>
      <c r="K62" s="16">
        <f>IFERROR(__xludf.DUMMYFUNCTION("""COMPUTED_VALUE"""),0.539473684210526)</f>
        <v>0.5394736842</v>
      </c>
      <c r="L62" s="16">
        <f>IFERROR(__xludf.DUMMYFUNCTION("""COMPUTED_VALUE"""),0.539473684210526)</f>
        <v>0.5394736842</v>
      </c>
      <c r="M62" s="16">
        <f>IFERROR(__xludf.DUMMYFUNCTION("""COMPUTED_VALUE"""),0.539473684210526)</f>
        <v>0.5394736842</v>
      </c>
      <c r="N62" s="16">
        <f>IFERROR(__xludf.DUMMYFUNCTION("""COMPUTED_VALUE"""),0.44)</f>
        <v>0.44</v>
      </c>
      <c r="O62" s="16">
        <f>IFERROR(__xludf.DUMMYFUNCTION("""COMPUTED_VALUE"""),0.383561643835616)</f>
        <v>0.3835616438</v>
      </c>
      <c r="P62" s="16">
        <f>IFERROR(__xludf.DUMMYFUNCTION("""COMPUTED_VALUE"""),0.263888888888888)</f>
        <v>0.2638888889</v>
      </c>
      <c r="Q62" s="16">
        <f>IFERROR(__xludf.DUMMYFUNCTION("""COMPUTED_VALUE"""),0.226415094339622)</f>
        <v>0.2264150943</v>
      </c>
      <c r="R62" s="16">
        <f>IFERROR(__xludf.DUMMYFUNCTION("""COMPUTED_VALUE"""),0.0)</f>
        <v>0</v>
      </c>
      <c r="S62" s="16">
        <f>IFERROR(__xludf.DUMMYFUNCTION("""COMPUTED_VALUE"""),0.0)</f>
        <v>0</v>
      </c>
      <c r="T62" s="16">
        <f>IFERROR(__xludf.DUMMYFUNCTION("""COMPUTED_VALUE"""),0.0)</f>
        <v>0</v>
      </c>
      <c r="U62" s="16">
        <f>IFERROR(__xludf.DUMMYFUNCTION("""COMPUTED_VALUE"""),0.0)</f>
        <v>0</v>
      </c>
      <c r="V62" s="16">
        <f>IFERROR(__xludf.DUMMYFUNCTION("""COMPUTED_VALUE"""),0.0)</f>
        <v>0</v>
      </c>
      <c r="W62" s="16">
        <f>IFERROR(__xludf.DUMMYFUNCTION("""COMPUTED_VALUE"""),0.0)</f>
        <v>0</v>
      </c>
      <c r="X62" s="16">
        <f>IFERROR(__xludf.DUMMYFUNCTION("""COMPUTED_VALUE"""),0.0)</f>
        <v>0</v>
      </c>
      <c r="Y62" s="16">
        <f>IFERROR(__xludf.DUMMYFUNCTION("""COMPUTED_VALUE"""),0.0)</f>
        <v>0</v>
      </c>
      <c r="Z62" s="16">
        <f>IFERROR(__xludf.DUMMYFUNCTION("""COMPUTED_VALUE"""),0.0)</f>
        <v>0</v>
      </c>
      <c r="AA62" s="16">
        <f>IFERROR(__xludf.DUMMYFUNCTION("""COMPUTED_VALUE"""),0.0)</f>
        <v>0</v>
      </c>
      <c r="AB62" s="16">
        <f>IFERROR(__xludf.DUMMYFUNCTION("""COMPUTED_VALUE"""),0.0)</f>
        <v>0</v>
      </c>
      <c r="AC62" s="16">
        <f>IFERROR(__xludf.DUMMYFUNCTION("""COMPUTED_VALUE"""),0.0)</f>
        <v>0</v>
      </c>
      <c r="AD62" s="16">
        <f>IFERROR(__xludf.DUMMYFUNCTION("""COMPUTED_VALUE"""),0.0)</f>
        <v>0</v>
      </c>
      <c r="AE62" s="16">
        <f>IFERROR(__xludf.DUMMYFUNCTION("""COMPUTED_VALUE"""),0.0)</f>
        <v>0</v>
      </c>
      <c r="AF62" s="16">
        <f>IFERROR(__xludf.DUMMYFUNCTION("""COMPUTED_VALUE"""),0.0)</f>
        <v>0</v>
      </c>
      <c r="AG62" s="16">
        <f>IFERROR(__xludf.DUMMYFUNCTION("""COMPUTED_VALUE"""),0.0)</f>
        <v>0</v>
      </c>
      <c r="AH62" s="16">
        <f>IFERROR(__xludf.DUMMYFUNCTION("""COMPUTED_VALUE"""),0.0)</f>
        <v>0</v>
      </c>
    </row>
    <row r="63">
      <c r="A63" s="16" t="str">
        <f>IFERROR(__xludf.DUMMYFUNCTION("""COMPUTED_VALUE"""),"33e8ab0db9ae32917785af78276932f16eac10c0")</f>
        <v>33e8ab0db9ae32917785af78276932f16eac10c0</v>
      </c>
      <c r="B63" s="16" t="str">
        <f>IFERROR(__xludf.DUMMYFUNCTION("""COMPUTED_VALUE"""),"The Crowns Selection")</f>
        <v>The Crowns Selection</v>
      </c>
      <c r="C63" s="16" t="str">
        <f>IFERROR(__xludf.DUMMYFUNCTION("""COMPUTED_VALUE"""),"Romance")</f>
        <v>Romance</v>
      </c>
      <c r="D63" s="16">
        <f>IFERROR(__xludf.DUMMYFUNCTION("""COMPUTED_VALUE"""),1442.0)</f>
        <v>1442</v>
      </c>
      <c r="E63" s="16">
        <f>IFERROR(__xludf.DUMMYFUNCTION("""COMPUTED_VALUE"""),0.9750346740638)</f>
        <v>0.9750346741</v>
      </c>
      <c r="F63" s="16">
        <f>IFERROR(__xludf.DUMMYFUNCTION("""COMPUTED_VALUE"""),0.523578363384188)</f>
        <v>0.5235783634</v>
      </c>
      <c r="G63" s="16">
        <f>IFERROR(__xludf.DUMMYFUNCTION("""COMPUTED_VALUE"""),0.465648854961832)</f>
        <v>0.465648855</v>
      </c>
      <c r="H63" s="16">
        <f>IFERROR(__xludf.DUMMYFUNCTION("""COMPUTED_VALUE"""),0.435416666666666)</f>
        <v>0.4354166667</v>
      </c>
      <c r="I63" s="16">
        <f>IFERROR(__xludf.DUMMYFUNCTION("""COMPUTED_VALUE"""),0.347705146036161)</f>
        <v>0.347705146</v>
      </c>
      <c r="J63" s="16">
        <f>IFERROR(__xludf.DUMMYFUNCTION("""COMPUTED_VALUE"""),0.32703081232493)</f>
        <v>0.3270308123</v>
      </c>
      <c r="K63" s="16">
        <f>IFERROR(__xludf.DUMMYFUNCTION("""COMPUTED_VALUE"""),0.297796730632551)</f>
        <v>0.2977967306</v>
      </c>
      <c r="L63" s="16">
        <f>IFERROR(__xludf.DUMMYFUNCTION("""COMPUTED_VALUE"""),0.282965074839629)</f>
        <v>0.2829650748</v>
      </c>
      <c r="M63" s="16">
        <f>IFERROR(__xludf.DUMMYFUNCTION("""COMPUTED_VALUE"""),0.267108167770419)</f>
        <v>0.2671081678</v>
      </c>
      <c r="N63" s="16">
        <f>IFERROR(__xludf.DUMMYFUNCTION("""COMPUTED_VALUE"""),0.262907069102462)</f>
        <v>0.2629070691</v>
      </c>
      <c r="O63" s="16">
        <f>IFERROR(__xludf.DUMMYFUNCTION("""COMPUTED_VALUE"""),0.223320158102766)</f>
        <v>0.2233201581</v>
      </c>
      <c r="P63" s="16">
        <f>IFERROR(__xludf.DUMMYFUNCTION("""COMPUTED_VALUE"""),0.201515151515151)</f>
        <v>0.2015151515</v>
      </c>
      <c r="Q63" s="16">
        <f>IFERROR(__xludf.DUMMYFUNCTION("""COMPUTED_VALUE"""),0.181818181818181)</f>
        <v>0.1818181818</v>
      </c>
      <c r="R63" s="16">
        <f>IFERROR(__xludf.DUMMYFUNCTION("""COMPUTED_VALUE"""),0.0)</f>
        <v>0</v>
      </c>
      <c r="S63" s="16">
        <f>IFERROR(__xludf.DUMMYFUNCTION("""COMPUTED_VALUE"""),0.0)</f>
        <v>0</v>
      </c>
      <c r="T63" s="16">
        <f>IFERROR(__xludf.DUMMYFUNCTION("""COMPUTED_VALUE"""),0.0)</f>
        <v>0</v>
      </c>
      <c r="U63" s="16">
        <f>IFERROR(__xludf.DUMMYFUNCTION("""COMPUTED_VALUE"""),0.0)</f>
        <v>0</v>
      </c>
      <c r="V63" s="16">
        <f>IFERROR(__xludf.DUMMYFUNCTION("""COMPUTED_VALUE"""),0.0)</f>
        <v>0</v>
      </c>
      <c r="W63" s="16">
        <f>IFERROR(__xludf.DUMMYFUNCTION("""COMPUTED_VALUE"""),0.0)</f>
        <v>0</v>
      </c>
      <c r="X63" s="16">
        <f>IFERROR(__xludf.DUMMYFUNCTION("""COMPUTED_VALUE"""),0.0)</f>
        <v>0</v>
      </c>
      <c r="Y63" s="16">
        <f>IFERROR(__xludf.DUMMYFUNCTION("""COMPUTED_VALUE"""),0.0)</f>
        <v>0</v>
      </c>
      <c r="Z63" s="16">
        <f>IFERROR(__xludf.DUMMYFUNCTION("""COMPUTED_VALUE"""),0.0)</f>
        <v>0</v>
      </c>
      <c r="AA63" s="16">
        <f>IFERROR(__xludf.DUMMYFUNCTION("""COMPUTED_VALUE"""),0.0)</f>
        <v>0</v>
      </c>
      <c r="AB63" s="16">
        <f>IFERROR(__xludf.DUMMYFUNCTION("""COMPUTED_VALUE"""),0.0)</f>
        <v>0</v>
      </c>
      <c r="AC63" s="16">
        <f>IFERROR(__xludf.DUMMYFUNCTION("""COMPUTED_VALUE"""),0.0)</f>
        <v>0</v>
      </c>
      <c r="AD63" s="16">
        <f>IFERROR(__xludf.DUMMYFUNCTION("""COMPUTED_VALUE"""),0.0)</f>
        <v>0</v>
      </c>
      <c r="AE63" s="16">
        <f>IFERROR(__xludf.DUMMYFUNCTION("""COMPUTED_VALUE"""),0.0)</f>
        <v>0</v>
      </c>
      <c r="AF63" s="16">
        <f>IFERROR(__xludf.DUMMYFUNCTION("""COMPUTED_VALUE"""),0.0)</f>
        <v>0</v>
      </c>
      <c r="AG63" s="16">
        <f>IFERROR(__xludf.DUMMYFUNCTION("""COMPUTED_VALUE"""),0.0)</f>
        <v>0</v>
      </c>
      <c r="AH63" s="16">
        <f>IFERROR(__xludf.DUMMYFUNCTION("""COMPUTED_VALUE"""),0.0)</f>
        <v>0</v>
      </c>
    </row>
    <row r="64">
      <c r="A64" s="16" t="str">
        <f>IFERROR(__xludf.DUMMYFUNCTION("""COMPUTED_VALUE"""),"344fcbb2ea419c5e240def842cb2949db59acee4")</f>
        <v>344fcbb2ea419c5e240def842cb2949db59acee4</v>
      </c>
      <c r="B64" s="16" t="str">
        <f>IFERROR(__xludf.DUMMYFUNCTION("""COMPUTED_VALUE"""),"Gate of Immortality")</f>
        <v>Gate of Immortality</v>
      </c>
      <c r="C64" s="16" t="str">
        <f>IFERROR(__xludf.DUMMYFUNCTION("""COMPUTED_VALUE"""),"Drama")</f>
        <v>Drama</v>
      </c>
      <c r="D64" s="16">
        <f>IFERROR(__xludf.DUMMYFUNCTION("""COMPUTED_VALUE"""),62.0)</f>
        <v>62</v>
      </c>
      <c r="E64" s="16">
        <f>IFERROR(__xludf.DUMMYFUNCTION("""COMPUTED_VALUE"""),0.967741935483871)</f>
        <v>0.9677419355</v>
      </c>
      <c r="F64" s="16">
        <f>IFERROR(__xludf.DUMMYFUNCTION("""COMPUTED_VALUE"""),0.435483870967741)</f>
        <v>0.435483871</v>
      </c>
      <c r="G64" s="16">
        <f>IFERROR(__xludf.DUMMYFUNCTION("""COMPUTED_VALUE"""),0.338709677419354)</f>
        <v>0.3387096774</v>
      </c>
      <c r="H64" s="16">
        <f>IFERROR(__xludf.DUMMYFUNCTION("""COMPUTED_VALUE"""),0.306451612903225)</f>
        <v>0.3064516129</v>
      </c>
      <c r="I64" s="16">
        <f>IFERROR(__xludf.DUMMYFUNCTION("""COMPUTED_VALUE"""),0.290322580645161)</f>
        <v>0.2903225806</v>
      </c>
      <c r="J64" s="16">
        <f>IFERROR(__xludf.DUMMYFUNCTION("""COMPUTED_VALUE"""),0.262295081967213)</f>
        <v>0.262295082</v>
      </c>
      <c r="K64" s="16">
        <f>IFERROR(__xludf.DUMMYFUNCTION("""COMPUTED_VALUE"""),0.228070175438596)</f>
        <v>0.2280701754</v>
      </c>
      <c r="L64" s="16">
        <f>IFERROR(__xludf.DUMMYFUNCTION("""COMPUTED_VALUE"""),0.166666666666666)</f>
        <v>0.1666666667</v>
      </c>
      <c r="M64" s="16">
        <f>IFERROR(__xludf.DUMMYFUNCTION("""COMPUTED_VALUE"""),0.173076923076923)</f>
        <v>0.1730769231</v>
      </c>
      <c r="N64" s="16">
        <f>IFERROR(__xludf.DUMMYFUNCTION("""COMPUTED_VALUE"""),0.2)</f>
        <v>0.2</v>
      </c>
      <c r="O64" s="16">
        <f>IFERROR(__xludf.DUMMYFUNCTION("""COMPUTED_VALUE"""),0.114285714285714)</f>
        <v>0.1142857143</v>
      </c>
      <c r="P64" s="16">
        <f>IFERROR(__xludf.DUMMYFUNCTION("""COMPUTED_VALUE"""),0.107142857142857)</f>
        <v>0.1071428571</v>
      </c>
      <c r="Q64" s="16">
        <f>IFERROR(__xludf.DUMMYFUNCTION("""COMPUTED_VALUE"""),0.0)</f>
        <v>0</v>
      </c>
      <c r="R64" s="16">
        <f>IFERROR(__xludf.DUMMYFUNCTION("""COMPUTED_VALUE"""),0.0)</f>
        <v>0</v>
      </c>
      <c r="S64" s="16">
        <f>IFERROR(__xludf.DUMMYFUNCTION("""COMPUTED_VALUE"""),0.0)</f>
        <v>0</v>
      </c>
      <c r="T64" s="16">
        <f>IFERROR(__xludf.DUMMYFUNCTION("""COMPUTED_VALUE"""),0.0)</f>
        <v>0</v>
      </c>
      <c r="U64" s="16">
        <f>IFERROR(__xludf.DUMMYFUNCTION("""COMPUTED_VALUE"""),0.0)</f>
        <v>0</v>
      </c>
      <c r="V64" s="16">
        <f>IFERROR(__xludf.DUMMYFUNCTION("""COMPUTED_VALUE"""),0.0)</f>
        <v>0</v>
      </c>
      <c r="W64" s="16">
        <f>IFERROR(__xludf.DUMMYFUNCTION("""COMPUTED_VALUE"""),0.0)</f>
        <v>0</v>
      </c>
      <c r="X64" s="16">
        <f>IFERROR(__xludf.DUMMYFUNCTION("""COMPUTED_VALUE"""),0.0)</f>
        <v>0</v>
      </c>
      <c r="Y64" s="16">
        <f>IFERROR(__xludf.DUMMYFUNCTION("""COMPUTED_VALUE"""),0.0)</f>
        <v>0</v>
      </c>
      <c r="Z64" s="16">
        <f>IFERROR(__xludf.DUMMYFUNCTION("""COMPUTED_VALUE"""),0.0)</f>
        <v>0</v>
      </c>
      <c r="AA64" s="16">
        <f>IFERROR(__xludf.DUMMYFUNCTION("""COMPUTED_VALUE"""),0.0)</f>
        <v>0</v>
      </c>
      <c r="AB64" s="16">
        <f>IFERROR(__xludf.DUMMYFUNCTION("""COMPUTED_VALUE"""),0.0)</f>
        <v>0</v>
      </c>
      <c r="AC64" s="16">
        <f>IFERROR(__xludf.DUMMYFUNCTION("""COMPUTED_VALUE"""),0.0)</f>
        <v>0</v>
      </c>
      <c r="AD64" s="16">
        <f>IFERROR(__xludf.DUMMYFUNCTION("""COMPUTED_VALUE"""),0.0)</f>
        <v>0</v>
      </c>
      <c r="AE64" s="16">
        <f>IFERROR(__xludf.DUMMYFUNCTION("""COMPUTED_VALUE"""),0.0)</f>
        <v>0</v>
      </c>
      <c r="AF64" s="16">
        <f>IFERROR(__xludf.DUMMYFUNCTION("""COMPUTED_VALUE"""),0.0)</f>
        <v>0</v>
      </c>
      <c r="AG64" s="16">
        <f>IFERROR(__xludf.DUMMYFUNCTION("""COMPUTED_VALUE"""),0.0)</f>
        <v>0</v>
      </c>
      <c r="AH64" s="16">
        <f>IFERROR(__xludf.DUMMYFUNCTION("""COMPUTED_VALUE"""),0.0)</f>
        <v>0</v>
      </c>
    </row>
    <row r="65">
      <c r="A65" s="16" t="str">
        <f>IFERROR(__xludf.DUMMYFUNCTION("""COMPUTED_VALUE"""),"34997bc4167305107b251e0bf8431553064ef3a5")</f>
        <v>34997bc4167305107b251e0bf8431553064ef3a5</v>
      </c>
      <c r="B65" s="16" t="str">
        <f>IFERROR(__xludf.DUMMYFUNCTION("""COMPUTED_VALUE"""),"The Ghost Heiress")</f>
        <v>The Ghost Heiress</v>
      </c>
      <c r="C65" s="16" t="str">
        <f>IFERROR(__xludf.DUMMYFUNCTION("""COMPUTED_VALUE"""),"Romance")</f>
        <v>Romance</v>
      </c>
      <c r="D65" s="16">
        <f>IFERROR(__xludf.DUMMYFUNCTION("""COMPUTED_VALUE"""),524.0)</f>
        <v>524</v>
      </c>
      <c r="E65" s="16">
        <f>IFERROR(__xludf.DUMMYFUNCTION("""COMPUTED_VALUE"""),0.952290076335877)</f>
        <v>0.9522900763</v>
      </c>
      <c r="F65" s="16">
        <f>IFERROR(__xludf.DUMMYFUNCTION("""COMPUTED_VALUE"""),0.547709923664122)</f>
        <v>0.5477099237</v>
      </c>
      <c r="G65" s="16">
        <f>IFERROR(__xludf.DUMMYFUNCTION("""COMPUTED_VALUE"""),0.490458015267175)</f>
        <v>0.4904580153</v>
      </c>
      <c r="H65" s="16">
        <f>IFERROR(__xludf.DUMMYFUNCTION("""COMPUTED_VALUE"""),0.450381679389312)</f>
        <v>0.4503816794</v>
      </c>
      <c r="I65" s="16">
        <f>IFERROR(__xludf.DUMMYFUNCTION("""COMPUTED_VALUE"""),0.408560311284046)</f>
        <v>0.4085603113</v>
      </c>
      <c r="J65" s="16">
        <f>IFERROR(__xludf.DUMMYFUNCTION("""COMPUTED_VALUE"""),0.3582995951417)</f>
        <v>0.3582995951</v>
      </c>
      <c r="K65" s="16">
        <f>IFERROR(__xludf.DUMMYFUNCTION("""COMPUTED_VALUE"""),0.272164948453608)</f>
        <v>0.2721649485</v>
      </c>
      <c r="L65" s="16">
        <f>IFERROR(__xludf.DUMMYFUNCTION("""COMPUTED_VALUE"""),0.278651685393258)</f>
        <v>0.2786516854</v>
      </c>
      <c r="M65" s="16">
        <f>IFERROR(__xludf.DUMMYFUNCTION("""COMPUTED_VALUE"""),0.306603773584905)</f>
        <v>0.3066037736</v>
      </c>
      <c r="N65" s="16">
        <f>IFERROR(__xludf.DUMMYFUNCTION("""COMPUTED_VALUE"""),0.303108808290155)</f>
        <v>0.3031088083</v>
      </c>
      <c r="O65" s="16">
        <f>IFERROR(__xludf.DUMMYFUNCTION("""COMPUTED_VALUE"""),0.227467811158798)</f>
        <v>0.2274678112</v>
      </c>
      <c r="P65" s="16">
        <f>IFERROR(__xludf.DUMMYFUNCTION("""COMPUTED_VALUE"""),0.1875)</f>
        <v>0.1875</v>
      </c>
      <c r="Q65" s="16">
        <f>IFERROR(__xludf.DUMMYFUNCTION("""COMPUTED_VALUE"""),0.333333333333333)</f>
        <v>0.3333333333</v>
      </c>
      <c r="R65" s="16">
        <f>IFERROR(__xludf.DUMMYFUNCTION("""COMPUTED_VALUE"""),0.0)</f>
        <v>0</v>
      </c>
      <c r="S65" s="16">
        <f>IFERROR(__xludf.DUMMYFUNCTION("""COMPUTED_VALUE"""),0.0)</f>
        <v>0</v>
      </c>
      <c r="T65" s="16">
        <f>IFERROR(__xludf.DUMMYFUNCTION("""COMPUTED_VALUE"""),0.0)</f>
        <v>0</v>
      </c>
      <c r="U65" s="16">
        <f>IFERROR(__xludf.DUMMYFUNCTION("""COMPUTED_VALUE"""),0.0)</f>
        <v>0</v>
      </c>
      <c r="V65" s="16">
        <f>IFERROR(__xludf.DUMMYFUNCTION("""COMPUTED_VALUE"""),0.0)</f>
        <v>0</v>
      </c>
      <c r="W65" s="16">
        <f>IFERROR(__xludf.DUMMYFUNCTION("""COMPUTED_VALUE"""),0.0)</f>
        <v>0</v>
      </c>
      <c r="X65" s="16">
        <f>IFERROR(__xludf.DUMMYFUNCTION("""COMPUTED_VALUE"""),0.0)</f>
        <v>0</v>
      </c>
      <c r="Y65" s="16">
        <f>IFERROR(__xludf.DUMMYFUNCTION("""COMPUTED_VALUE"""),0.0)</f>
        <v>0</v>
      </c>
      <c r="Z65" s="16">
        <f>IFERROR(__xludf.DUMMYFUNCTION("""COMPUTED_VALUE"""),0.0)</f>
        <v>0</v>
      </c>
      <c r="AA65" s="16">
        <f>IFERROR(__xludf.DUMMYFUNCTION("""COMPUTED_VALUE"""),0.0)</f>
        <v>0</v>
      </c>
      <c r="AB65" s="16">
        <f>IFERROR(__xludf.DUMMYFUNCTION("""COMPUTED_VALUE"""),0.0)</f>
        <v>0</v>
      </c>
      <c r="AC65" s="16">
        <f>IFERROR(__xludf.DUMMYFUNCTION("""COMPUTED_VALUE"""),0.0)</f>
        <v>0</v>
      </c>
      <c r="AD65" s="16">
        <f>IFERROR(__xludf.DUMMYFUNCTION("""COMPUTED_VALUE"""),0.0)</f>
        <v>0</v>
      </c>
      <c r="AE65" s="16">
        <f>IFERROR(__xludf.DUMMYFUNCTION("""COMPUTED_VALUE"""),0.0)</f>
        <v>0</v>
      </c>
      <c r="AF65" s="16">
        <f>IFERROR(__xludf.DUMMYFUNCTION("""COMPUTED_VALUE"""),0.0)</f>
        <v>0</v>
      </c>
      <c r="AG65" s="16">
        <f>IFERROR(__xludf.DUMMYFUNCTION("""COMPUTED_VALUE"""),0.0)</f>
        <v>0</v>
      </c>
      <c r="AH65" s="16">
        <f>IFERROR(__xludf.DUMMYFUNCTION("""COMPUTED_VALUE"""),0.0)</f>
        <v>0</v>
      </c>
    </row>
    <row r="66">
      <c r="A66" s="16" t="str">
        <f>IFERROR(__xludf.DUMMYFUNCTION("""COMPUTED_VALUE"""),"34f2f307c600eaadeadd185f5681a891034fb635")</f>
        <v>34f2f307c600eaadeadd185f5681a891034fb635</v>
      </c>
      <c r="B66" s="16" t="str">
        <f>IFERROR(__xludf.DUMMYFUNCTION("""COMPUTED_VALUE"""),"Complete Deception")</f>
        <v>Complete Deception</v>
      </c>
      <c r="C66" s="16" t="str">
        <f>IFERROR(__xludf.DUMMYFUNCTION("""COMPUTED_VALUE"""),"Romance")</f>
        <v>Romance</v>
      </c>
      <c r="D66" s="16">
        <f>IFERROR(__xludf.DUMMYFUNCTION("""COMPUTED_VALUE"""),543.0)</f>
        <v>543</v>
      </c>
      <c r="E66" s="16">
        <f>IFERROR(__xludf.DUMMYFUNCTION("""COMPUTED_VALUE"""),0.970534069981583)</f>
        <v>0.97053407</v>
      </c>
      <c r="F66" s="16">
        <f>IFERROR(__xludf.DUMMYFUNCTION("""COMPUTED_VALUE"""),0.534069981583793)</f>
        <v>0.5340699816</v>
      </c>
      <c r="G66" s="16">
        <f>IFERROR(__xludf.DUMMYFUNCTION("""COMPUTED_VALUE"""),0.421731123388581)</f>
        <v>0.4217311234</v>
      </c>
      <c r="H66" s="16">
        <f>IFERROR(__xludf.DUMMYFUNCTION("""COMPUTED_VALUE"""),0.381215469613259)</f>
        <v>0.3812154696</v>
      </c>
      <c r="I66" s="16">
        <f>IFERROR(__xludf.DUMMYFUNCTION("""COMPUTED_VALUE"""),0.387453874538745)</f>
        <v>0.3874538745</v>
      </c>
      <c r="J66" s="16">
        <f>IFERROR(__xludf.DUMMYFUNCTION("""COMPUTED_VALUE"""),0.343807763401109)</f>
        <v>0.3438077634</v>
      </c>
      <c r="K66" s="16">
        <f>IFERROR(__xludf.DUMMYFUNCTION("""COMPUTED_VALUE"""),0.304990757855822)</f>
        <v>0.3049907579</v>
      </c>
      <c r="L66" s="16">
        <f>IFERROR(__xludf.DUMMYFUNCTION("""COMPUTED_VALUE"""),0.296296296296296)</f>
        <v>0.2962962963</v>
      </c>
      <c r="M66" s="16">
        <f>IFERROR(__xludf.DUMMYFUNCTION("""COMPUTED_VALUE"""),0.296296296296296)</f>
        <v>0.2962962963</v>
      </c>
      <c r="N66" s="16">
        <f>IFERROR(__xludf.DUMMYFUNCTION("""COMPUTED_VALUE"""),0.287037037037037)</f>
        <v>0.287037037</v>
      </c>
      <c r="O66" s="16">
        <f>IFERROR(__xludf.DUMMYFUNCTION("""COMPUTED_VALUE"""),0.240890688259109)</f>
        <v>0.2408906883</v>
      </c>
      <c r="P66" s="16">
        <f>IFERROR(__xludf.DUMMYFUNCTION("""COMPUTED_VALUE"""),0.135944700460829)</f>
        <v>0.1359447005</v>
      </c>
      <c r="Q66" s="16">
        <f>IFERROR(__xludf.DUMMYFUNCTION("""COMPUTED_VALUE"""),0.0928270042194092)</f>
        <v>0.09282700422</v>
      </c>
      <c r="R66" s="16">
        <f>IFERROR(__xludf.DUMMYFUNCTION("""COMPUTED_VALUE"""),0.051063829787234)</f>
        <v>0.05106382979</v>
      </c>
      <c r="S66" s="16">
        <f>IFERROR(__xludf.DUMMYFUNCTION("""COMPUTED_VALUE"""),0.0341880341880341)</f>
        <v>0.03418803419</v>
      </c>
      <c r="T66" s="16">
        <f>IFERROR(__xludf.DUMMYFUNCTION("""COMPUTED_VALUE"""),0.0221238938053097)</f>
        <v>0.02212389381</v>
      </c>
      <c r="U66" s="16">
        <f>IFERROR(__xludf.DUMMYFUNCTION("""COMPUTED_VALUE"""),0.025)</f>
        <v>0.025</v>
      </c>
      <c r="V66" s="16">
        <f>IFERROR(__xludf.DUMMYFUNCTION("""COMPUTED_VALUE"""),0.01)</f>
        <v>0.01</v>
      </c>
      <c r="W66" s="16">
        <f>IFERROR(__xludf.DUMMYFUNCTION("""COMPUTED_VALUE"""),0.0)</f>
        <v>0</v>
      </c>
      <c r="X66" s="16">
        <f>IFERROR(__xludf.DUMMYFUNCTION("""COMPUTED_VALUE"""),0.0)</f>
        <v>0</v>
      </c>
      <c r="Y66" s="16">
        <f>IFERROR(__xludf.DUMMYFUNCTION("""COMPUTED_VALUE"""),0.0)</f>
        <v>0</v>
      </c>
      <c r="Z66" s="16">
        <f>IFERROR(__xludf.DUMMYFUNCTION("""COMPUTED_VALUE"""),0.0)</f>
        <v>0</v>
      </c>
      <c r="AA66" s="16">
        <f>IFERROR(__xludf.DUMMYFUNCTION("""COMPUTED_VALUE"""),0.0)</f>
        <v>0</v>
      </c>
      <c r="AB66" s="16">
        <f>IFERROR(__xludf.DUMMYFUNCTION("""COMPUTED_VALUE"""),0.0)</f>
        <v>0</v>
      </c>
      <c r="AC66" s="16">
        <f>IFERROR(__xludf.DUMMYFUNCTION("""COMPUTED_VALUE"""),0.0)</f>
        <v>0</v>
      </c>
      <c r="AD66" s="16">
        <f>IFERROR(__xludf.DUMMYFUNCTION("""COMPUTED_VALUE"""),0.0)</f>
        <v>0</v>
      </c>
      <c r="AE66" s="16">
        <f>IFERROR(__xludf.DUMMYFUNCTION("""COMPUTED_VALUE"""),0.0)</f>
        <v>0</v>
      </c>
      <c r="AF66" s="16">
        <f>IFERROR(__xludf.DUMMYFUNCTION("""COMPUTED_VALUE"""),0.0)</f>
        <v>0</v>
      </c>
      <c r="AG66" s="16">
        <f>IFERROR(__xludf.DUMMYFUNCTION("""COMPUTED_VALUE"""),0.0)</f>
        <v>0</v>
      </c>
      <c r="AH66" s="16">
        <f>IFERROR(__xludf.DUMMYFUNCTION("""COMPUTED_VALUE"""),0.0)</f>
        <v>0</v>
      </c>
    </row>
    <row r="67">
      <c r="A67" s="16" t="str">
        <f>IFERROR(__xludf.DUMMYFUNCTION("""COMPUTED_VALUE"""),"352616a7060cd6bae27e25732ce5479dfee317f3")</f>
        <v>352616a7060cd6bae27e25732ce5479dfee317f3</v>
      </c>
      <c r="B67" s="16" t="str">
        <f>IFERROR(__xludf.DUMMYFUNCTION("""COMPUTED_VALUE"""),"D Vicious Sword Sovereign")</f>
        <v>D Vicious Sword Sovereign</v>
      </c>
      <c r="C67" s="16" t="str">
        <f>IFERROR(__xludf.DUMMYFUNCTION("""COMPUTED_VALUE"""),"Fantasy")</f>
        <v>Fantasy</v>
      </c>
      <c r="D67" s="16">
        <f>IFERROR(__xludf.DUMMYFUNCTION("""COMPUTED_VALUE"""),1.0)</f>
        <v>1</v>
      </c>
      <c r="E67" s="16">
        <f>IFERROR(__xludf.DUMMYFUNCTION("""COMPUTED_VALUE"""),1.0)</f>
        <v>1</v>
      </c>
      <c r="F67" s="16">
        <f>IFERROR(__xludf.DUMMYFUNCTION("""COMPUTED_VALUE"""),0.0)</f>
        <v>0</v>
      </c>
      <c r="G67" s="16">
        <f>IFERROR(__xludf.DUMMYFUNCTION("""COMPUTED_VALUE"""),0.0)</f>
        <v>0</v>
      </c>
      <c r="H67" s="16">
        <f>IFERROR(__xludf.DUMMYFUNCTION("""COMPUTED_VALUE"""),0.0)</f>
        <v>0</v>
      </c>
      <c r="I67" s="16">
        <f>IFERROR(__xludf.DUMMYFUNCTION("""COMPUTED_VALUE"""),0.0)</f>
        <v>0</v>
      </c>
      <c r="J67" s="16">
        <f>IFERROR(__xludf.DUMMYFUNCTION("""COMPUTED_VALUE"""),0.0)</f>
        <v>0</v>
      </c>
      <c r="K67" s="16">
        <f>IFERROR(__xludf.DUMMYFUNCTION("""COMPUTED_VALUE"""),0.0)</f>
        <v>0</v>
      </c>
      <c r="L67" s="16">
        <f>IFERROR(__xludf.DUMMYFUNCTION("""COMPUTED_VALUE"""),0.0)</f>
        <v>0</v>
      </c>
      <c r="M67" s="16">
        <f>IFERROR(__xludf.DUMMYFUNCTION("""COMPUTED_VALUE"""),0.0)</f>
        <v>0</v>
      </c>
      <c r="N67" s="16">
        <f>IFERROR(__xludf.DUMMYFUNCTION("""COMPUTED_VALUE"""),0.0)</f>
        <v>0</v>
      </c>
      <c r="O67" s="16">
        <f>IFERROR(__xludf.DUMMYFUNCTION("""COMPUTED_VALUE"""),0.0)</f>
        <v>0</v>
      </c>
      <c r="P67" s="16">
        <f>IFERROR(__xludf.DUMMYFUNCTION("""COMPUTED_VALUE"""),0.0)</f>
        <v>0</v>
      </c>
      <c r="Q67" s="16">
        <f>IFERROR(__xludf.DUMMYFUNCTION("""COMPUTED_VALUE"""),0.0)</f>
        <v>0</v>
      </c>
      <c r="R67" s="16">
        <f>IFERROR(__xludf.DUMMYFUNCTION("""COMPUTED_VALUE"""),0.0)</f>
        <v>0</v>
      </c>
      <c r="S67" s="16">
        <f>IFERROR(__xludf.DUMMYFUNCTION("""COMPUTED_VALUE"""),0.0)</f>
        <v>0</v>
      </c>
      <c r="T67" s="16">
        <f>IFERROR(__xludf.DUMMYFUNCTION("""COMPUTED_VALUE"""),0.0)</f>
        <v>0</v>
      </c>
      <c r="U67" s="16">
        <f>IFERROR(__xludf.DUMMYFUNCTION("""COMPUTED_VALUE"""),0.0)</f>
        <v>0</v>
      </c>
      <c r="V67" s="16">
        <f>IFERROR(__xludf.DUMMYFUNCTION("""COMPUTED_VALUE"""),0.0)</f>
        <v>0</v>
      </c>
      <c r="W67" s="16">
        <f>IFERROR(__xludf.DUMMYFUNCTION("""COMPUTED_VALUE"""),0.0)</f>
        <v>0</v>
      </c>
      <c r="X67" s="16">
        <f>IFERROR(__xludf.DUMMYFUNCTION("""COMPUTED_VALUE"""),0.0)</f>
        <v>0</v>
      </c>
      <c r="Y67" s="16">
        <f>IFERROR(__xludf.DUMMYFUNCTION("""COMPUTED_VALUE"""),0.0)</f>
        <v>0</v>
      </c>
      <c r="Z67" s="16">
        <f>IFERROR(__xludf.DUMMYFUNCTION("""COMPUTED_VALUE"""),0.0)</f>
        <v>0</v>
      </c>
      <c r="AA67" s="16">
        <f>IFERROR(__xludf.DUMMYFUNCTION("""COMPUTED_VALUE"""),0.0)</f>
        <v>0</v>
      </c>
      <c r="AB67" s="16">
        <f>IFERROR(__xludf.DUMMYFUNCTION("""COMPUTED_VALUE"""),0.0)</f>
        <v>0</v>
      </c>
      <c r="AC67" s="16">
        <f>IFERROR(__xludf.DUMMYFUNCTION("""COMPUTED_VALUE"""),0.0)</f>
        <v>0</v>
      </c>
      <c r="AD67" s="16">
        <f>IFERROR(__xludf.DUMMYFUNCTION("""COMPUTED_VALUE"""),0.0)</f>
        <v>0</v>
      </c>
      <c r="AE67" s="16">
        <f>IFERROR(__xludf.DUMMYFUNCTION("""COMPUTED_VALUE"""),0.0)</f>
        <v>0</v>
      </c>
      <c r="AF67" s="16">
        <f>IFERROR(__xludf.DUMMYFUNCTION("""COMPUTED_VALUE"""),0.0)</f>
        <v>0</v>
      </c>
      <c r="AG67" s="16">
        <f>IFERROR(__xludf.DUMMYFUNCTION("""COMPUTED_VALUE"""),0.0)</f>
        <v>0</v>
      </c>
      <c r="AH67" s="16">
        <f>IFERROR(__xludf.DUMMYFUNCTION("""COMPUTED_VALUE"""),0.0)</f>
        <v>0</v>
      </c>
    </row>
    <row r="68">
      <c r="A68" s="16" t="str">
        <f>IFERROR(__xludf.DUMMYFUNCTION("""COMPUTED_VALUE"""),"362902a5f0edf9862b88e64b166bdf3fa44487fc")</f>
        <v>362902a5f0edf9862b88e64b166bdf3fa44487fc</v>
      </c>
      <c r="B68" s="16" t="str">
        <f>IFERROR(__xludf.DUMMYFUNCTION("""COMPUTED_VALUE"""),"Almighty Sword Domain")</f>
        <v>Almighty Sword Domain</v>
      </c>
      <c r="C68" s="16" t="str">
        <f>IFERROR(__xludf.DUMMYFUNCTION("""COMPUTED_VALUE"""),"Fantasy")</f>
        <v>Fantasy</v>
      </c>
      <c r="D68" s="16">
        <f>IFERROR(__xludf.DUMMYFUNCTION("""COMPUTED_VALUE"""),37.0)</f>
        <v>37</v>
      </c>
      <c r="E68" s="16">
        <f>IFERROR(__xludf.DUMMYFUNCTION("""COMPUTED_VALUE"""),0.972972972972973)</f>
        <v>0.972972973</v>
      </c>
      <c r="F68" s="16">
        <f>IFERROR(__xludf.DUMMYFUNCTION("""COMPUTED_VALUE"""),0.297297297297297)</f>
        <v>0.2972972973</v>
      </c>
      <c r="G68" s="16">
        <f>IFERROR(__xludf.DUMMYFUNCTION("""COMPUTED_VALUE"""),0.243243243243243)</f>
        <v>0.2432432432</v>
      </c>
      <c r="H68" s="16">
        <f>IFERROR(__xludf.DUMMYFUNCTION("""COMPUTED_VALUE"""),0.222222222222222)</f>
        <v>0.2222222222</v>
      </c>
      <c r="I68" s="16">
        <f>IFERROR(__xludf.DUMMYFUNCTION("""COMPUTED_VALUE"""),0.147058823529411)</f>
        <v>0.1470588235</v>
      </c>
      <c r="J68" s="16">
        <f>IFERROR(__xludf.DUMMYFUNCTION("""COMPUTED_VALUE"""),0.161290322580645)</f>
        <v>0.1612903226</v>
      </c>
      <c r="K68" s="16">
        <f>IFERROR(__xludf.DUMMYFUNCTION("""COMPUTED_VALUE"""),0.103448275862068)</f>
        <v>0.1034482759</v>
      </c>
      <c r="L68" s="16">
        <f>IFERROR(__xludf.DUMMYFUNCTION("""COMPUTED_VALUE"""),0.111111111111111)</f>
        <v>0.1111111111</v>
      </c>
      <c r="M68" s="16">
        <f>IFERROR(__xludf.DUMMYFUNCTION("""COMPUTED_VALUE"""),0.142857142857142)</f>
        <v>0.1428571429</v>
      </c>
      <c r="N68" s="16">
        <f>IFERROR(__xludf.DUMMYFUNCTION("""COMPUTED_VALUE"""),0.153846153846153)</f>
        <v>0.1538461538</v>
      </c>
      <c r="O68" s="16">
        <f>IFERROR(__xludf.DUMMYFUNCTION("""COMPUTED_VALUE"""),0.333333333333333)</f>
        <v>0.3333333333</v>
      </c>
      <c r="P68" s="16">
        <f>IFERROR(__xludf.DUMMYFUNCTION("""COMPUTED_VALUE"""),0.333333333333333)</f>
        <v>0.3333333333</v>
      </c>
      <c r="Q68" s="16">
        <f>IFERROR(__xludf.DUMMYFUNCTION("""COMPUTED_VALUE"""),0.333333333333333)</f>
        <v>0.3333333333</v>
      </c>
      <c r="R68" s="16">
        <f>IFERROR(__xludf.DUMMYFUNCTION("""COMPUTED_VALUE"""),0.333333333333333)</f>
        <v>0.3333333333</v>
      </c>
      <c r="S68" s="16">
        <f>IFERROR(__xludf.DUMMYFUNCTION("""COMPUTED_VALUE"""),0.0)</f>
        <v>0</v>
      </c>
      <c r="T68" s="16">
        <f>IFERROR(__xludf.DUMMYFUNCTION("""COMPUTED_VALUE"""),0.0)</f>
        <v>0</v>
      </c>
      <c r="U68" s="16">
        <f>IFERROR(__xludf.DUMMYFUNCTION("""COMPUTED_VALUE"""),0.0)</f>
        <v>0</v>
      </c>
      <c r="V68" s="16">
        <f>IFERROR(__xludf.DUMMYFUNCTION("""COMPUTED_VALUE"""),0.0)</f>
        <v>0</v>
      </c>
      <c r="W68" s="16">
        <f>IFERROR(__xludf.DUMMYFUNCTION("""COMPUTED_VALUE"""),0.0)</f>
        <v>0</v>
      </c>
      <c r="X68" s="16">
        <f>IFERROR(__xludf.DUMMYFUNCTION("""COMPUTED_VALUE"""),0.0)</f>
        <v>0</v>
      </c>
      <c r="Y68" s="16">
        <f>IFERROR(__xludf.DUMMYFUNCTION("""COMPUTED_VALUE"""),0.0)</f>
        <v>0</v>
      </c>
      <c r="Z68" s="16">
        <f>IFERROR(__xludf.DUMMYFUNCTION("""COMPUTED_VALUE"""),0.0)</f>
        <v>0</v>
      </c>
      <c r="AA68" s="16">
        <f>IFERROR(__xludf.DUMMYFUNCTION("""COMPUTED_VALUE"""),0.0)</f>
        <v>0</v>
      </c>
      <c r="AB68" s="16">
        <f>IFERROR(__xludf.DUMMYFUNCTION("""COMPUTED_VALUE"""),0.0)</f>
        <v>0</v>
      </c>
      <c r="AC68" s="16">
        <f>IFERROR(__xludf.DUMMYFUNCTION("""COMPUTED_VALUE"""),0.0)</f>
        <v>0</v>
      </c>
      <c r="AD68" s="16">
        <f>IFERROR(__xludf.DUMMYFUNCTION("""COMPUTED_VALUE"""),0.0)</f>
        <v>0</v>
      </c>
      <c r="AE68" s="16">
        <f>IFERROR(__xludf.DUMMYFUNCTION("""COMPUTED_VALUE"""),0.0)</f>
        <v>0</v>
      </c>
      <c r="AF68" s="16">
        <f>IFERROR(__xludf.DUMMYFUNCTION("""COMPUTED_VALUE"""),0.0)</f>
        <v>0</v>
      </c>
      <c r="AG68" s="16">
        <f>IFERROR(__xludf.DUMMYFUNCTION("""COMPUTED_VALUE"""),0.0)</f>
        <v>0</v>
      </c>
      <c r="AH68" s="16">
        <f>IFERROR(__xludf.DUMMYFUNCTION("""COMPUTED_VALUE"""),0.0)</f>
        <v>0</v>
      </c>
    </row>
    <row r="69">
      <c r="A69" s="16" t="str">
        <f>IFERROR(__xludf.DUMMYFUNCTION("""COMPUTED_VALUE"""),"37a4619595e440ac361cdc0df4d1bd0a9bd5d60c")</f>
        <v>37a4619595e440ac361cdc0df4d1bd0a9bd5d60c</v>
      </c>
      <c r="B69" s="16" t="str">
        <f>IFERROR(__xludf.DUMMYFUNCTION("""COMPUTED_VALUE"""),"The Bloodline Copy System")</f>
        <v>The Bloodline Copy System</v>
      </c>
      <c r="C69" s="16" t="str">
        <f>IFERROR(__xludf.DUMMYFUNCTION("""COMPUTED_VALUE"""),"System and Superpower")</f>
        <v>System and Superpower</v>
      </c>
      <c r="D69" s="16">
        <f>IFERROR(__xludf.DUMMYFUNCTION("""COMPUTED_VALUE"""),101.0)</f>
        <v>101</v>
      </c>
      <c r="E69" s="16">
        <f>IFERROR(__xludf.DUMMYFUNCTION("""COMPUTED_VALUE"""),0.98019801980198)</f>
        <v>0.9801980198</v>
      </c>
      <c r="F69" s="16">
        <f>IFERROR(__xludf.DUMMYFUNCTION("""COMPUTED_VALUE"""),0.603960396039603)</f>
        <v>0.603960396</v>
      </c>
      <c r="G69" s="16">
        <f>IFERROR(__xludf.DUMMYFUNCTION("""COMPUTED_VALUE"""),0.564356435643564)</f>
        <v>0.5643564356</v>
      </c>
      <c r="H69" s="16">
        <f>IFERROR(__xludf.DUMMYFUNCTION("""COMPUTED_VALUE"""),0.504950495049505)</f>
        <v>0.504950495</v>
      </c>
      <c r="I69" s="16">
        <f>IFERROR(__xludf.DUMMYFUNCTION("""COMPUTED_VALUE"""),0.485148514851485)</f>
        <v>0.4851485149</v>
      </c>
      <c r="J69" s="16">
        <f>IFERROR(__xludf.DUMMYFUNCTION("""COMPUTED_VALUE"""),0.445544554455445)</f>
        <v>0.4455445545</v>
      </c>
      <c r="K69" s="16">
        <f>IFERROR(__xludf.DUMMYFUNCTION("""COMPUTED_VALUE"""),0.39)</f>
        <v>0.39</v>
      </c>
      <c r="L69" s="16">
        <f>IFERROR(__xludf.DUMMYFUNCTION("""COMPUTED_VALUE"""),0.39)</f>
        <v>0.39</v>
      </c>
      <c r="M69" s="16">
        <f>IFERROR(__xludf.DUMMYFUNCTION("""COMPUTED_VALUE"""),0.35)</f>
        <v>0.35</v>
      </c>
      <c r="N69" s="16">
        <f>IFERROR(__xludf.DUMMYFUNCTION("""COMPUTED_VALUE"""),0.34)</f>
        <v>0.34</v>
      </c>
      <c r="O69" s="16">
        <f>IFERROR(__xludf.DUMMYFUNCTION("""COMPUTED_VALUE"""),0.264367816091954)</f>
        <v>0.2643678161</v>
      </c>
      <c r="P69" s="16">
        <f>IFERROR(__xludf.DUMMYFUNCTION("""COMPUTED_VALUE"""),0.21917808219178)</f>
        <v>0.2191780822</v>
      </c>
      <c r="Q69" s="16">
        <f>IFERROR(__xludf.DUMMYFUNCTION("""COMPUTED_VALUE"""),0.0416666666666666)</f>
        <v>0.04166666667</v>
      </c>
      <c r="R69" s="16">
        <f>IFERROR(__xludf.DUMMYFUNCTION("""COMPUTED_VALUE"""),0.1)</f>
        <v>0.1</v>
      </c>
      <c r="S69" s="16">
        <f>IFERROR(__xludf.DUMMYFUNCTION("""COMPUTED_VALUE"""),0.125)</f>
        <v>0.125</v>
      </c>
      <c r="T69" s="16">
        <f>IFERROR(__xludf.DUMMYFUNCTION("""COMPUTED_VALUE"""),0.25)</f>
        <v>0.25</v>
      </c>
      <c r="U69" s="16">
        <f>IFERROR(__xludf.DUMMYFUNCTION("""COMPUTED_VALUE"""),0.0)</f>
        <v>0</v>
      </c>
      <c r="V69" s="16">
        <f>IFERROR(__xludf.DUMMYFUNCTION("""COMPUTED_VALUE"""),0.0)</f>
        <v>0</v>
      </c>
      <c r="W69" s="16">
        <f>IFERROR(__xludf.DUMMYFUNCTION("""COMPUTED_VALUE"""),0.0)</f>
        <v>0</v>
      </c>
      <c r="X69" s="16">
        <f>IFERROR(__xludf.DUMMYFUNCTION("""COMPUTED_VALUE"""),0.0)</f>
        <v>0</v>
      </c>
      <c r="Y69" s="16">
        <f>IFERROR(__xludf.DUMMYFUNCTION("""COMPUTED_VALUE"""),0.0)</f>
        <v>0</v>
      </c>
      <c r="Z69" s="16">
        <f>IFERROR(__xludf.DUMMYFUNCTION("""COMPUTED_VALUE"""),0.0)</f>
        <v>0</v>
      </c>
      <c r="AA69" s="16">
        <f>IFERROR(__xludf.DUMMYFUNCTION("""COMPUTED_VALUE"""),0.0)</f>
        <v>0</v>
      </c>
      <c r="AB69" s="16">
        <f>IFERROR(__xludf.DUMMYFUNCTION("""COMPUTED_VALUE"""),0.0)</f>
        <v>0</v>
      </c>
      <c r="AC69" s="16">
        <f>IFERROR(__xludf.DUMMYFUNCTION("""COMPUTED_VALUE"""),0.0)</f>
        <v>0</v>
      </c>
      <c r="AD69" s="16">
        <f>IFERROR(__xludf.DUMMYFUNCTION("""COMPUTED_VALUE"""),0.0)</f>
        <v>0</v>
      </c>
      <c r="AE69" s="16">
        <f>IFERROR(__xludf.DUMMYFUNCTION("""COMPUTED_VALUE"""),0.0)</f>
        <v>0</v>
      </c>
      <c r="AF69" s="16">
        <f>IFERROR(__xludf.DUMMYFUNCTION("""COMPUTED_VALUE"""),0.0)</f>
        <v>0</v>
      </c>
      <c r="AG69" s="16">
        <f>IFERROR(__xludf.DUMMYFUNCTION("""COMPUTED_VALUE"""),0.0)</f>
        <v>0</v>
      </c>
      <c r="AH69" s="16">
        <f>IFERROR(__xludf.DUMMYFUNCTION("""COMPUTED_VALUE"""),0.0)</f>
        <v>0</v>
      </c>
    </row>
    <row r="70">
      <c r="A70" s="16" t="str">
        <f>IFERROR(__xludf.DUMMYFUNCTION("""COMPUTED_VALUE"""),"381f2f23cfe6043e04a4a705bfde2d0832cb6847")</f>
        <v>381f2f23cfe6043e04a4a705bfde2d0832cb6847</v>
      </c>
      <c r="B70" s="16" t="str">
        <f>IFERROR(__xludf.DUMMYFUNCTION("""COMPUTED_VALUE"""),"The Personal Maid")</f>
        <v>The Personal Maid</v>
      </c>
      <c r="C70" s="16" t="str">
        <f>IFERROR(__xludf.DUMMYFUNCTION("""COMPUTED_VALUE"""),"Romance")</f>
        <v>Romance</v>
      </c>
      <c r="D70" s="16">
        <f>IFERROR(__xludf.DUMMYFUNCTION("""COMPUTED_VALUE"""),97.0)</f>
        <v>97</v>
      </c>
      <c r="E70" s="16">
        <f>IFERROR(__xludf.DUMMYFUNCTION("""COMPUTED_VALUE"""),0.948453608247422)</f>
        <v>0.9484536082</v>
      </c>
      <c r="F70" s="16">
        <f>IFERROR(__xludf.DUMMYFUNCTION("""COMPUTED_VALUE"""),0.556701030927835)</f>
        <v>0.5567010309</v>
      </c>
      <c r="G70" s="16">
        <f>IFERROR(__xludf.DUMMYFUNCTION("""COMPUTED_VALUE"""),0.412371134020618)</f>
        <v>0.412371134</v>
      </c>
      <c r="H70" s="16">
        <f>IFERROR(__xludf.DUMMYFUNCTION("""COMPUTED_VALUE"""),0.412371134020618)</f>
        <v>0.412371134</v>
      </c>
      <c r="I70" s="16">
        <f>IFERROR(__xludf.DUMMYFUNCTION("""COMPUTED_VALUE"""),0.402061855670103)</f>
        <v>0.4020618557</v>
      </c>
      <c r="J70" s="16">
        <f>IFERROR(__xludf.DUMMYFUNCTION("""COMPUTED_VALUE"""),0.350515463917525)</f>
        <v>0.3505154639</v>
      </c>
      <c r="K70" s="16">
        <f>IFERROR(__xludf.DUMMYFUNCTION("""COMPUTED_VALUE"""),0.319587628865979)</f>
        <v>0.3195876289</v>
      </c>
      <c r="L70" s="16">
        <f>IFERROR(__xludf.DUMMYFUNCTION("""COMPUTED_VALUE"""),0.278350515463917)</f>
        <v>0.2783505155</v>
      </c>
      <c r="M70" s="16">
        <f>IFERROR(__xludf.DUMMYFUNCTION("""COMPUTED_VALUE"""),0.247422680412371)</f>
        <v>0.2474226804</v>
      </c>
      <c r="N70" s="16">
        <f>IFERROR(__xludf.DUMMYFUNCTION("""COMPUTED_VALUE"""),0.237113402061855)</f>
        <v>0.2371134021</v>
      </c>
      <c r="O70" s="16">
        <f>IFERROR(__xludf.DUMMYFUNCTION("""COMPUTED_VALUE"""),0.247422680412371)</f>
        <v>0.2474226804</v>
      </c>
      <c r="P70" s="16">
        <f>IFERROR(__xludf.DUMMYFUNCTION("""COMPUTED_VALUE"""),0.134020618556701)</f>
        <v>0.1340206186</v>
      </c>
      <c r="Q70" s="16">
        <f>IFERROR(__xludf.DUMMYFUNCTION("""COMPUTED_VALUE"""),0.0476190476190476)</f>
        <v>0.04761904762</v>
      </c>
      <c r="R70" s="16">
        <f>IFERROR(__xludf.DUMMYFUNCTION("""COMPUTED_VALUE"""),0.0)</f>
        <v>0</v>
      </c>
      <c r="S70" s="16">
        <f>IFERROR(__xludf.DUMMYFUNCTION("""COMPUTED_VALUE"""),0.0)</f>
        <v>0</v>
      </c>
      <c r="T70" s="16">
        <f>IFERROR(__xludf.DUMMYFUNCTION("""COMPUTED_VALUE"""),0.0)</f>
        <v>0</v>
      </c>
      <c r="U70" s="16">
        <f>IFERROR(__xludf.DUMMYFUNCTION("""COMPUTED_VALUE"""),0.0)</f>
        <v>0</v>
      </c>
      <c r="V70" s="16">
        <f>IFERROR(__xludf.DUMMYFUNCTION("""COMPUTED_VALUE"""),0.0)</f>
        <v>0</v>
      </c>
      <c r="W70" s="16">
        <f>IFERROR(__xludf.DUMMYFUNCTION("""COMPUTED_VALUE"""),0.0)</f>
        <v>0</v>
      </c>
      <c r="X70" s="16">
        <f>IFERROR(__xludf.DUMMYFUNCTION("""COMPUTED_VALUE"""),0.0)</f>
        <v>0</v>
      </c>
      <c r="Y70" s="16">
        <f>IFERROR(__xludf.DUMMYFUNCTION("""COMPUTED_VALUE"""),0.0)</f>
        <v>0</v>
      </c>
      <c r="Z70" s="16">
        <f>IFERROR(__xludf.DUMMYFUNCTION("""COMPUTED_VALUE"""),0.0)</f>
        <v>0</v>
      </c>
      <c r="AA70" s="16">
        <f>IFERROR(__xludf.DUMMYFUNCTION("""COMPUTED_VALUE"""),0.0)</f>
        <v>0</v>
      </c>
      <c r="AB70" s="16">
        <f>IFERROR(__xludf.DUMMYFUNCTION("""COMPUTED_VALUE"""),0.0)</f>
        <v>0</v>
      </c>
      <c r="AC70" s="16">
        <f>IFERROR(__xludf.DUMMYFUNCTION("""COMPUTED_VALUE"""),0.0)</f>
        <v>0</v>
      </c>
      <c r="AD70" s="16">
        <f>IFERROR(__xludf.DUMMYFUNCTION("""COMPUTED_VALUE"""),0.0)</f>
        <v>0</v>
      </c>
      <c r="AE70" s="16">
        <f>IFERROR(__xludf.DUMMYFUNCTION("""COMPUTED_VALUE"""),0.0)</f>
        <v>0</v>
      </c>
      <c r="AF70" s="16">
        <f>IFERROR(__xludf.DUMMYFUNCTION("""COMPUTED_VALUE"""),0.0)</f>
        <v>0</v>
      </c>
      <c r="AG70" s="16">
        <f>IFERROR(__xludf.DUMMYFUNCTION("""COMPUTED_VALUE"""),0.0)</f>
        <v>0</v>
      </c>
      <c r="AH70" s="16">
        <f>IFERROR(__xludf.DUMMYFUNCTION("""COMPUTED_VALUE"""),0.0)</f>
        <v>0</v>
      </c>
    </row>
    <row r="71">
      <c r="A71" s="16" t="str">
        <f>IFERROR(__xludf.DUMMYFUNCTION("""COMPUTED_VALUE"""),"392537ffa8338eed285daa71798d35bcff2726a9")</f>
        <v>392537ffa8338eed285daa71798d35bcff2726a9</v>
      </c>
      <c r="B71" s="16" t="str">
        <f>IFERROR(__xludf.DUMMYFUNCTION("""COMPUTED_VALUE"""),"What the Dead Left Her")</f>
        <v>What the Dead Left Her</v>
      </c>
      <c r="C71" s="16" t="str">
        <f>IFERROR(__xludf.DUMMYFUNCTION("""COMPUTED_VALUE"""),"Drama")</f>
        <v>Drama</v>
      </c>
      <c r="D71" s="16">
        <f>IFERROR(__xludf.DUMMYFUNCTION("""COMPUTED_VALUE"""),9.0)</f>
        <v>9</v>
      </c>
      <c r="E71" s="16">
        <f>IFERROR(__xludf.DUMMYFUNCTION("""COMPUTED_VALUE"""),1.0)</f>
        <v>1</v>
      </c>
      <c r="F71" s="16">
        <f>IFERROR(__xludf.DUMMYFUNCTION("""COMPUTED_VALUE"""),0.666666666666666)</f>
        <v>0.6666666667</v>
      </c>
      <c r="G71" s="16">
        <f>IFERROR(__xludf.DUMMYFUNCTION("""COMPUTED_VALUE"""),0.444444444444444)</f>
        <v>0.4444444444</v>
      </c>
      <c r="H71" s="16">
        <f>IFERROR(__xludf.DUMMYFUNCTION("""COMPUTED_VALUE"""),0.333333333333333)</f>
        <v>0.3333333333</v>
      </c>
      <c r="I71" s="16">
        <f>IFERROR(__xludf.DUMMYFUNCTION("""COMPUTED_VALUE"""),0.5)</f>
        <v>0.5</v>
      </c>
      <c r="J71" s="16">
        <f>IFERROR(__xludf.DUMMYFUNCTION("""COMPUTED_VALUE"""),1.0)</f>
        <v>1</v>
      </c>
      <c r="K71" s="16">
        <f>IFERROR(__xludf.DUMMYFUNCTION("""COMPUTED_VALUE"""),1.0)</f>
        <v>1</v>
      </c>
      <c r="L71" s="16">
        <f>IFERROR(__xludf.DUMMYFUNCTION("""COMPUTED_VALUE"""),0.0)</f>
        <v>0</v>
      </c>
      <c r="M71" s="16">
        <f>IFERROR(__xludf.DUMMYFUNCTION("""COMPUTED_VALUE"""),0.0)</f>
        <v>0</v>
      </c>
      <c r="N71" s="16">
        <f>IFERROR(__xludf.DUMMYFUNCTION("""COMPUTED_VALUE"""),0.0)</f>
        <v>0</v>
      </c>
      <c r="O71" s="16">
        <f>IFERROR(__xludf.DUMMYFUNCTION("""COMPUTED_VALUE"""),0.0)</f>
        <v>0</v>
      </c>
      <c r="P71" s="16">
        <f>IFERROR(__xludf.DUMMYFUNCTION("""COMPUTED_VALUE"""),0.0)</f>
        <v>0</v>
      </c>
      <c r="Q71" s="16">
        <f>IFERROR(__xludf.DUMMYFUNCTION("""COMPUTED_VALUE"""),0.0)</f>
        <v>0</v>
      </c>
      <c r="R71" s="16">
        <f>IFERROR(__xludf.DUMMYFUNCTION("""COMPUTED_VALUE"""),0.0)</f>
        <v>0</v>
      </c>
      <c r="S71" s="16">
        <f>IFERROR(__xludf.DUMMYFUNCTION("""COMPUTED_VALUE"""),0.0)</f>
        <v>0</v>
      </c>
      <c r="T71" s="16">
        <f>IFERROR(__xludf.DUMMYFUNCTION("""COMPUTED_VALUE"""),0.0)</f>
        <v>0</v>
      </c>
      <c r="U71" s="16">
        <f>IFERROR(__xludf.DUMMYFUNCTION("""COMPUTED_VALUE"""),0.0)</f>
        <v>0</v>
      </c>
      <c r="V71" s="16">
        <f>IFERROR(__xludf.DUMMYFUNCTION("""COMPUTED_VALUE"""),0.0)</f>
        <v>0</v>
      </c>
      <c r="W71" s="16">
        <f>IFERROR(__xludf.DUMMYFUNCTION("""COMPUTED_VALUE"""),0.0)</f>
        <v>0</v>
      </c>
      <c r="X71" s="16">
        <f>IFERROR(__xludf.DUMMYFUNCTION("""COMPUTED_VALUE"""),0.0)</f>
        <v>0</v>
      </c>
      <c r="Y71" s="16">
        <f>IFERROR(__xludf.DUMMYFUNCTION("""COMPUTED_VALUE"""),0.0)</f>
        <v>0</v>
      </c>
      <c r="Z71" s="16">
        <f>IFERROR(__xludf.DUMMYFUNCTION("""COMPUTED_VALUE"""),0.0)</f>
        <v>0</v>
      </c>
      <c r="AA71" s="16">
        <f>IFERROR(__xludf.DUMMYFUNCTION("""COMPUTED_VALUE"""),0.0)</f>
        <v>0</v>
      </c>
      <c r="AB71" s="16">
        <f>IFERROR(__xludf.DUMMYFUNCTION("""COMPUTED_VALUE"""),0.0)</f>
        <v>0</v>
      </c>
      <c r="AC71" s="16">
        <f>IFERROR(__xludf.DUMMYFUNCTION("""COMPUTED_VALUE"""),0.0)</f>
        <v>0</v>
      </c>
      <c r="AD71" s="16">
        <f>IFERROR(__xludf.DUMMYFUNCTION("""COMPUTED_VALUE"""),0.0)</f>
        <v>0</v>
      </c>
      <c r="AE71" s="16">
        <f>IFERROR(__xludf.DUMMYFUNCTION("""COMPUTED_VALUE"""),0.0)</f>
        <v>0</v>
      </c>
      <c r="AF71" s="16">
        <f>IFERROR(__xludf.DUMMYFUNCTION("""COMPUTED_VALUE"""),0.0)</f>
        <v>0</v>
      </c>
      <c r="AG71" s="16">
        <f>IFERROR(__xludf.DUMMYFUNCTION("""COMPUTED_VALUE"""),0.0)</f>
        <v>0</v>
      </c>
      <c r="AH71" s="16">
        <f>IFERROR(__xludf.DUMMYFUNCTION("""COMPUTED_VALUE"""),0.0)</f>
        <v>0</v>
      </c>
    </row>
    <row r="72">
      <c r="A72" s="16" t="str">
        <f>IFERROR(__xludf.DUMMYFUNCTION("""COMPUTED_VALUE"""),"3a6212d18e444c9585676ce7dba35b7111dd1613")</f>
        <v>3a6212d18e444c9585676ce7dba35b7111dd1613</v>
      </c>
      <c r="B72" s="16" t="str">
        <f>IFERROR(__xludf.DUMMYFUNCTION("""COMPUTED_VALUE"""),"King of Throne")</f>
        <v>King of Throne</v>
      </c>
      <c r="C72" s="16" t="str">
        <f>IFERROR(__xludf.DUMMYFUNCTION("""COMPUTED_VALUE"""),"Fantasy")</f>
        <v>Fantasy</v>
      </c>
      <c r="D72" s="16">
        <f>IFERROR(__xludf.DUMMYFUNCTION("""COMPUTED_VALUE"""),26.0)</f>
        <v>26</v>
      </c>
      <c r="E72" s="16">
        <f>IFERROR(__xludf.DUMMYFUNCTION("""COMPUTED_VALUE"""),1.0)</f>
        <v>1</v>
      </c>
      <c r="F72" s="16">
        <f>IFERROR(__xludf.DUMMYFUNCTION("""COMPUTED_VALUE"""),0.5)</f>
        <v>0.5</v>
      </c>
      <c r="G72" s="16">
        <f>IFERROR(__xludf.DUMMYFUNCTION("""COMPUTED_VALUE"""),0.346153846153846)</f>
        <v>0.3461538462</v>
      </c>
      <c r="H72" s="16">
        <f>IFERROR(__xludf.DUMMYFUNCTION("""COMPUTED_VALUE"""),0.307692307692307)</f>
        <v>0.3076923077</v>
      </c>
      <c r="I72" s="16">
        <f>IFERROR(__xludf.DUMMYFUNCTION("""COMPUTED_VALUE"""),0.333333333333333)</f>
        <v>0.3333333333</v>
      </c>
      <c r="J72" s="16">
        <f>IFERROR(__xludf.DUMMYFUNCTION("""COMPUTED_VALUE"""),0.347826086956521)</f>
        <v>0.347826087</v>
      </c>
      <c r="K72" s="16">
        <f>IFERROR(__xludf.DUMMYFUNCTION("""COMPUTED_VALUE"""),0.260869565217391)</f>
        <v>0.2608695652</v>
      </c>
      <c r="L72" s="16">
        <f>IFERROR(__xludf.DUMMYFUNCTION("""COMPUTED_VALUE"""),0.222222222222222)</f>
        <v>0.2222222222</v>
      </c>
      <c r="M72" s="16">
        <f>IFERROR(__xludf.DUMMYFUNCTION("""COMPUTED_VALUE"""),0.181818181818181)</f>
        <v>0.1818181818</v>
      </c>
      <c r="N72" s="16">
        <f>IFERROR(__xludf.DUMMYFUNCTION("""COMPUTED_VALUE"""),0.333333333333333)</f>
        <v>0.3333333333</v>
      </c>
      <c r="O72" s="16">
        <f>IFERROR(__xludf.DUMMYFUNCTION("""COMPUTED_VALUE"""),0.0)</f>
        <v>0</v>
      </c>
      <c r="P72" s="16">
        <f>IFERROR(__xludf.DUMMYFUNCTION("""COMPUTED_VALUE"""),0.0)</f>
        <v>0</v>
      </c>
      <c r="Q72" s="16">
        <f>IFERROR(__xludf.DUMMYFUNCTION("""COMPUTED_VALUE"""),0.0)</f>
        <v>0</v>
      </c>
      <c r="R72" s="16">
        <f>IFERROR(__xludf.DUMMYFUNCTION("""COMPUTED_VALUE"""),0.0)</f>
        <v>0</v>
      </c>
      <c r="S72" s="16">
        <f>IFERROR(__xludf.DUMMYFUNCTION("""COMPUTED_VALUE"""),0.0)</f>
        <v>0</v>
      </c>
      <c r="T72" s="16">
        <f>IFERROR(__xludf.DUMMYFUNCTION("""COMPUTED_VALUE"""),0.0)</f>
        <v>0</v>
      </c>
      <c r="U72" s="16">
        <f>IFERROR(__xludf.DUMMYFUNCTION("""COMPUTED_VALUE"""),0.0)</f>
        <v>0</v>
      </c>
      <c r="V72" s="16">
        <f>IFERROR(__xludf.DUMMYFUNCTION("""COMPUTED_VALUE"""),0.0)</f>
        <v>0</v>
      </c>
      <c r="W72" s="16">
        <f>IFERROR(__xludf.DUMMYFUNCTION("""COMPUTED_VALUE"""),0.0)</f>
        <v>0</v>
      </c>
      <c r="X72" s="16">
        <f>IFERROR(__xludf.DUMMYFUNCTION("""COMPUTED_VALUE"""),0.0)</f>
        <v>0</v>
      </c>
      <c r="Y72" s="16">
        <f>IFERROR(__xludf.DUMMYFUNCTION("""COMPUTED_VALUE"""),0.0)</f>
        <v>0</v>
      </c>
      <c r="Z72" s="16">
        <f>IFERROR(__xludf.DUMMYFUNCTION("""COMPUTED_VALUE"""),0.0)</f>
        <v>0</v>
      </c>
      <c r="AA72" s="16">
        <f>IFERROR(__xludf.DUMMYFUNCTION("""COMPUTED_VALUE"""),0.0)</f>
        <v>0</v>
      </c>
      <c r="AB72" s="16">
        <f>IFERROR(__xludf.DUMMYFUNCTION("""COMPUTED_VALUE"""),0.0)</f>
        <v>0</v>
      </c>
      <c r="AC72" s="16">
        <f>IFERROR(__xludf.DUMMYFUNCTION("""COMPUTED_VALUE"""),0.0)</f>
        <v>0</v>
      </c>
      <c r="AD72" s="16">
        <f>IFERROR(__xludf.DUMMYFUNCTION("""COMPUTED_VALUE"""),0.0)</f>
        <v>0</v>
      </c>
      <c r="AE72" s="16">
        <f>IFERROR(__xludf.DUMMYFUNCTION("""COMPUTED_VALUE"""),0.0)</f>
        <v>0</v>
      </c>
      <c r="AF72" s="16">
        <f>IFERROR(__xludf.DUMMYFUNCTION("""COMPUTED_VALUE"""),0.0)</f>
        <v>0</v>
      </c>
      <c r="AG72" s="16">
        <f>IFERROR(__xludf.DUMMYFUNCTION("""COMPUTED_VALUE"""),0.0)</f>
        <v>0</v>
      </c>
      <c r="AH72" s="16">
        <f>IFERROR(__xludf.DUMMYFUNCTION("""COMPUTED_VALUE"""),0.0)</f>
        <v>0</v>
      </c>
    </row>
    <row r="73">
      <c r="A73" s="16" t="str">
        <f>IFERROR(__xludf.DUMMYFUNCTION("""COMPUTED_VALUE"""),"3b626e0d14c34edb82f4b215f3b8d2e50455bbdd")</f>
        <v>3b626e0d14c34edb82f4b215f3b8d2e50455bbdd</v>
      </c>
      <c r="B73" s="16" t="str">
        <f>IFERROR(__xludf.DUMMYFUNCTION("""COMPUTED_VALUE"""),"His Lady Boss Is a Mafia")</f>
        <v>His Lady Boss Is a Mafia</v>
      </c>
      <c r="C73" s="16" t="str">
        <f>IFERROR(__xludf.DUMMYFUNCTION("""COMPUTED_VALUE"""),"Romance")</f>
        <v>Romance</v>
      </c>
      <c r="D73" s="16">
        <f>IFERROR(__xludf.DUMMYFUNCTION("""COMPUTED_VALUE"""),703.0)</f>
        <v>703</v>
      </c>
      <c r="E73" s="16">
        <f>IFERROR(__xludf.DUMMYFUNCTION("""COMPUTED_VALUE"""),0.951635846372688)</f>
        <v>0.9516358464</v>
      </c>
      <c r="F73" s="16">
        <f>IFERROR(__xludf.DUMMYFUNCTION("""COMPUTED_VALUE"""),0.408250355618776)</f>
        <v>0.4082503556</v>
      </c>
      <c r="G73" s="16">
        <f>IFERROR(__xludf.DUMMYFUNCTION("""COMPUTED_VALUE"""),0.368421052631578)</f>
        <v>0.3684210526</v>
      </c>
      <c r="H73" s="16">
        <f>IFERROR(__xludf.DUMMYFUNCTION("""COMPUTED_VALUE"""),0.337142857142857)</f>
        <v>0.3371428571</v>
      </c>
      <c r="I73" s="16">
        <f>IFERROR(__xludf.DUMMYFUNCTION("""COMPUTED_VALUE"""),0.30945558739255)</f>
        <v>0.3094555874</v>
      </c>
      <c r="J73" s="16">
        <f>IFERROR(__xludf.DUMMYFUNCTION("""COMPUTED_VALUE"""),0.297258297258297)</f>
        <v>0.2972582973</v>
      </c>
      <c r="K73" s="16">
        <f>IFERROR(__xludf.DUMMYFUNCTION("""COMPUTED_VALUE"""),0.288011695906432)</f>
        <v>0.2880116959</v>
      </c>
      <c r="L73" s="16">
        <f>IFERROR(__xludf.DUMMYFUNCTION("""COMPUTED_VALUE"""),0.266369047619047)</f>
        <v>0.2663690476</v>
      </c>
      <c r="M73" s="16">
        <f>IFERROR(__xludf.DUMMYFUNCTION("""COMPUTED_VALUE"""),0.272727272727272)</f>
        <v>0.2727272727</v>
      </c>
      <c r="N73" s="16">
        <f>IFERROR(__xludf.DUMMYFUNCTION("""COMPUTED_VALUE"""),0.269938650306748)</f>
        <v>0.2699386503</v>
      </c>
      <c r="O73" s="16">
        <f>IFERROR(__xludf.DUMMYFUNCTION("""COMPUTED_VALUE"""),0.242765273311897)</f>
        <v>0.2427652733</v>
      </c>
      <c r="P73" s="16">
        <f>IFERROR(__xludf.DUMMYFUNCTION("""COMPUTED_VALUE"""),0.225375626043405)</f>
        <v>0.225375626</v>
      </c>
      <c r="Q73" s="16">
        <f>IFERROR(__xludf.DUMMYFUNCTION("""COMPUTED_VALUE"""),1.0)</f>
        <v>1</v>
      </c>
      <c r="R73" s="16">
        <f>IFERROR(__xludf.DUMMYFUNCTION("""COMPUTED_VALUE"""),0.0)</f>
        <v>0</v>
      </c>
      <c r="S73" s="16">
        <f>IFERROR(__xludf.DUMMYFUNCTION("""COMPUTED_VALUE"""),0.0)</f>
        <v>0</v>
      </c>
      <c r="T73" s="16">
        <f>IFERROR(__xludf.DUMMYFUNCTION("""COMPUTED_VALUE"""),0.0)</f>
        <v>0</v>
      </c>
      <c r="U73" s="16">
        <f>IFERROR(__xludf.DUMMYFUNCTION("""COMPUTED_VALUE"""),0.0)</f>
        <v>0</v>
      </c>
      <c r="V73" s="16">
        <f>IFERROR(__xludf.DUMMYFUNCTION("""COMPUTED_VALUE"""),0.0)</f>
        <v>0</v>
      </c>
      <c r="W73" s="16">
        <f>IFERROR(__xludf.DUMMYFUNCTION("""COMPUTED_VALUE"""),0.0)</f>
        <v>0</v>
      </c>
      <c r="X73" s="16">
        <f>IFERROR(__xludf.DUMMYFUNCTION("""COMPUTED_VALUE"""),0.0)</f>
        <v>0</v>
      </c>
      <c r="Y73" s="16">
        <f>IFERROR(__xludf.DUMMYFUNCTION("""COMPUTED_VALUE"""),0.0)</f>
        <v>0</v>
      </c>
      <c r="Z73" s="16">
        <f>IFERROR(__xludf.DUMMYFUNCTION("""COMPUTED_VALUE"""),0.0)</f>
        <v>0</v>
      </c>
      <c r="AA73" s="16">
        <f>IFERROR(__xludf.DUMMYFUNCTION("""COMPUTED_VALUE"""),0.0)</f>
        <v>0</v>
      </c>
      <c r="AB73" s="16">
        <f>IFERROR(__xludf.DUMMYFUNCTION("""COMPUTED_VALUE"""),0.0)</f>
        <v>0</v>
      </c>
      <c r="AC73" s="16">
        <f>IFERROR(__xludf.DUMMYFUNCTION("""COMPUTED_VALUE"""),0.0)</f>
        <v>0</v>
      </c>
      <c r="AD73" s="16">
        <f>IFERROR(__xludf.DUMMYFUNCTION("""COMPUTED_VALUE"""),0.0)</f>
        <v>0</v>
      </c>
      <c r="AE73" s="16">
        <f>IFERROR(__xludf.DUMMYFUNCTION("""COMPUTED_VALUE"""),0.0)</f>
        <v>0</v>
      </c>
      <c r="AF73" s="16">
        <f>IFERROR(__xludf.DUMMYFUNCTION("""COMPUTED_VALUE"""),0.0)</f>
        <v>0</v>
      </c>
      <c r="AG73" s="16">
        <f>IFERROR(__xludf.DUMMYFUNCTION("""COMPUTED_VALUE"""),0.0)</f>
        <v>0</v>
      </c>
      <c r="AH73" s="16">
        <f>IFERROR(__xludf.DUMMYFUNCTION("""COMPUTED_VALUE"""),0.0)</f>
        <v>0</v>
      </c>
    </row>
    <row r="74">
      <c r="A74" s="16" t="str">
        <f>IFERROR(__xludf.DUMMYFUNCTION("""COMPUTED_VALUE"""),"3c57dd9bd6f929bdb36d8716aa9f261a72778e24")</f>
        <v>3c57dd9bd6f929bdb36d8716aa9f261a72778e24</v>
      </c>
      <c r="B74" s="16" t="str">
        <f>IFERROR(__xludf.DUMMYFUNCTION("""COMPUTED_VALUE"""),"Resurrected as a Secret Billionaire Liam Carson")</f>
        <v>Resurrected as a Secret Billionaire Liam Carson</v>
      </c>
      <c r="C74" s="16" t="str">
        <f>IFERROR(__xludf.DUMMYFUNCTION("""COMPUTED_VALUE"""),"Fantasy")</f>
        <v>Fantasy</v>
      </c>
      <c r="D74" s="16">
        <f>IFERROR(__xludf.DUMMYFUNCTION("""COMPUTED_VALUE"""),12575.0)</f>
        <v>12575</v>
      </c>
      <c r="E74" s="16">
        <f>IFERROR(__xludf.DUMMYFUNCTION("""COMPUTED_VALUE"""),0.933200795228628)</f>
        <v>0.9332007952</v>
      </c>
      <c r="F74" s="16">
        <f>IFERROR(__xludf.DUMMYFUNCTION("""COMPUTED_VALUE"""),0.371769383697813)</f>
        <v>0.3717693837</v>
      </c>
      <c r="G74" s="16">
        <f>IFERROR(__xludf.DUMMYFUNCTION("""COMPUTED_VALUE"""),0.31976143141153)</f>
        <v>0.3197614314</v>
      </c>
      <c r="H74" s="16">
        <f>IFERROR(__xludf.DUMMYFUNCTION("""COMPUTED_VALUE"""),0.295002387394556)</f>
        <v>0.2950023874</v>
      </c>
      <c r="I74" s="16">
        <f>IFERROR(__xludf.DUMMYFUNCTION("""COMPUTED_VALUE"""),0.279547626632685)</f>
        <v>0.2795476266</v>
      </c>
      <c r="J74" s="16">
        <f>IFERROR(__xludf.DUMMYFUNCTION("""COMPUTED_VALUE"""),0.267150027886224)</f>
        <v>0.2671500279</v>
      </c>
      <c r="K74" s="16">
        <f>IFERROR(__xludf.DUMMYFUNCTION("""COMPUTED_VALUE"""),0.260242308305436)</f>
        <v>0.2602423083</v>
      </c>
      <c r="L74" s="16">
        <f>IFERROR(__xludf.DUMMYFUNCTION("""COMPUTED_VALUE"""),0.251316839584996)</f>
        <v>0.2513168396</v>
      </c>
      <c r="M74" s="16">
        <f>IFERROR(__xludf.DUMMYFUNCTION("""COMPUTED_VALUE"""),0.240811760945989)</f>
        <v>0.2408117609</v>
      </c>
      <c r="N74" s="16">
        <f>IFERROR(__xludf.DUMMYFUNCTION("""COMPUTED_VALUE"""),0.235966735966735)</f>
        <v>0.235966736</v>
      </c>
      <c r="O74" s="16">
        <f>IFERROR(__xludf.DUMMYFUNCTION("""COMPUTED_VALUE"""),0.22084706260548)</f>
        <v>0.2208470626</v>
      </c>
      <c r="P74" s="16">
        <f>IFERROR(__xludf.DUMMYFUNCTION("""COMPUTED_VALUE"""),0.183352263508031)</f>
        <v>0.1833522635</v>
      </c>
      <c r="Q74" s="16">
        <f>IFERROR(__xludf.DUMMYFUNCTION("""COMPUTED_VALUE"""),0.138374104274771)</f>
        <v>0.1383741043</v>
      </c>
      <c r="R74" s="16">
        <f>IFERROR(__xludf.DUMMYFUNCTION("""COMPUTED_VALUE"""),0.113802256138022)</f>
        <v>0.1138022561</v>
      </c>
      <c r="S74" s="16">
        <f>IFERROR(__xludf.DUMMYFUNCTION("""COMPUTED_VALUE"""),0.0872578490313961)</f>
        <v>0.08725784903</v>
      </c>
      <c r="T74" s="16">
        <f>IFERROR(__xludf.DUMMYFUNCTION("""COMPUTED_VALUE"""),0.0718129835183316)</f>
        <v>0.07181298352</v>
      </c>
      <c r="U74" s="16">
        <f>IFERROR(__xludf.DUMMYFUNCTION("""COMPUTED_VALUE"""),0.0652307153489186)</f>
        <v>0.06523071535</v>
      </c>
      <c r="V74" s="16">
        <f>IFERROR(__xludf.DUMMYFUNCTION("""COMPUTED_VALUE"""),0.0611497619919443)</f>
        <v>0.06114976199</v>
      </c>
      <c r="W74" s="16">
        <f>IFERROR(__xludf.DUMMYFUNCTION("""COMPUTED_VALUE"""),0.0727822026915682)</f>
        <v>0.07278220269</v>
      </c>
      <c r="X74" s="16">
        <f>IFERROR(__xludf.DUMMYFUNCTION("""COMPUTED_VALUE"""),0.0583788999678353)</f>
        <v>0.05837889997</v>
      </c>
      <c r="Y74" s="16">
        <f>IFERROR(__xludf.DUMMYFUNCTION("""COMPUTED_VALUE"""),0.0439176059075009)</f>
        <v>0.04391760591</v>
      </c>
      <c r="Z74" s="16">
        <f>IFERROR(__xludf.DUMMYFUNCTION("""COMPUTED_VALUE"""),0.0252138676271949)</f>
        <v>0.02521386763</v>
      </c>
      <c r="AA74" s="16">
        <f>IFERROR(__xludf.DUMMYFUNCTION("""COMPUTED_VALUE"""),0.0241675617615467)</f>
        <v>0.02416756176</v>
      </c>
      <c r="AB74" s="16">
        <f>IFERROR(__xludf.DUMMYFUNCTION("""COMPUTED_VALUE"""),0.0203045685279187)</f>
        <v>0.02030456853</v>
      </c>
      <c r="AC74" s="16">
        <f>IFERROR(__xludf.DUMMYFUNCTION("""COMPUTED_VALUE"""),0.01250539025442)</f>
        <v>0.01250539025</v>
      </c>
      <c r="AD74" s="16">
        <f>IFERROR(__xludf.DUMMYFUNCTION("""COMPUTED_VALUE"""),0.0169597989949748)</f>
        <v>0.01695979899</v>
      </c>
      <c r="AE74" s="16">
        <f>IFERROR(__xludf.DUMMYFUNCTION("""COMPUTED_VALUE"""),0.0059171597633136)</f>
        <v>0.005917159763</v>
      </c>
      <c r="AF74" s="16">
        <f>IFERROR(__xludf.DUMMYFUNCTION("""COMPUTED_VALUE"""),0.0)</f>
        <v>0</v>
      </c>
      <c r="AG74" s="16">
        <f>IFERROR(__xludf.DUMMYFUNCTION("""COMPUTED_VALUE"""),0.0)</f>
        <v>0</v>
      </c>
      <c r="AH74" s="16">
        <f>IFERROR(__xludf.DUMMYFUNCTION("""COMPUTED_VALUE"""),0.0)</f>
        <v>0</v>
      </c>
    </row>
    <row r="75">
      <c r="A75" s="16" t="str">
        <f>IFERROR(__xludf.DUMMYFUNCTION("""COMPUTED_VALUE"""),"4010f733ac400156fd9f4d75852b8ebdeabe1689")</f>
        <v>4010f733ac400156fd9f4d75852b8ebdeabe1689</v>
      </c>
      <c r="B75" s="16" t="str">
        <f>IFERROR(__xludf.DUMMYFUNCTION("""COMPUTED_VALUE"""),"My Ceo Husband's Secret")</f>
        <v>My Ceo Husband's Secret</v>
      </c>
      <c r="C75" s="16" t="str">
        <f>IFERROR(__xludf.DUMMYFUNCTION("""COMPUTED_VALUE"""),"Romance")</f>
        <v>Romance</v>
      </c>
      <c r="D75" s="16">
        <f>IFERROR(__xludf.DUMMYFUNCTION("""COMPUTED_VALUE"""),988.0)</f>
        <v>988</v>
      </c>
      <c r="E75" s="16">
        <f>IFERROR(__xludf.DUMMYFUNCTION("""COMPUTED_VALUE"""),0.944331983805668)</f>
        <v>0.9443319838</v>
      </c>
      <c r="F75" s="16">
        <f>IFERROR(__xludf.DUMMYFUNCTION("""COMPUTED_VALUE"""),0.657894736842105)</f>
        <v>0.6578947368</v>
      </c>
      <c r="G75" s="16">
        <f>IFERROR(__xludf.DUMMYFUNCTION("""COMPUTED_VALUE"""),0.591093117408906)</f>
        <v>0.5910931174</v>
      </c>
      <c r="H75" s="16">
        <f>IFERROR(__xludf.DUMMYFUNCTION("""COMPUTED_VALUE"""),0.547570850202429)</f>
        <v>0.5475708502</v>
      </c>
      <c r="I75" s="16">
        <f>IFERROR(__xludf.DUMMYFUNCTION("""COMPUTED_VALUE"""),0.502024291497975)</f>
        <v>0.5020242915</v>
      </c>
      <c r="J75" s="16">
        <f>IFERROR(__xludf.DUMMYFUNCTION("""COMPUTED_VALUE"""),0.462550607287449)</f>
        <v>0.4625506073</v>
      </c>
      <c r="K75" s="16">
        <f>IFERROR(__xludf.DUMMYFUNCTION("""COMPUTED_VALUE"""),0.441295546558704)</f>
        <v>0.4412955466</v>
      </c>
      <c r="L75" s="16">
        <f>IFERROR(__xludf.DUMMYFUNCTION("""COMPUTED_VALUE"""),0.405679513184584)</f>
        <v>0.4056795132</v>
      </c>
      <c r="M75" s="16">
        <f>IFERROR(__xludf.DUMMYFUNCTION("""COMPUTED_VALUE"""),0.376267748478701)</f>
        <v>0.3762677485</v>
      </c>
      <c r="N75" s="16">
        <f>IFERROR(__xludf.DUMMYFUNCTION("""COMPUTED_VALUE"""),0.344862665310274)</f>
        <v>0.3448626653</v>
      </c>
      <c r="O75" s="16">
        <f>IFERROR(__xludf.DUMMYFUNCTION("""COMPUTED_VALUE"""),0.282631038026721)</f>
        <v>0.282631038</v>
      </c>
      <c r="P75" s="16">
        <f>IFERROR(__xludf.DUMMYFUNCTION("""COMPUTED_VALUE"""),0.248062015503875)</f>
        <v>0.2480620155</v>
      </c>
      <c r="Q75" s="16">
        <f>IFERROR(__xludf.DUMMYFUNCTION("""COMPUTED_VALUE"""),0.31390977443609)</f>
        <v>0.3139097744</v>
      </c>
      <c r="R75" s="16">
        <f>IFERROR(__xludf.DUMMYFUNCTION("""COMPUTED_VALUE"""),0.305343511450381)</f>
        <v>0.3053435115</v>
      </c>
      <c r="S75" s="16">
        <f>IFERROR(__xludf.DUMMYFUNCTION("""COMPUTED_VALUE"""),0.219444444444444)</f>
        <v>0.2194444444</v>
      </c>
      <c r="T75" s="16">
        <f>IFERROR(__xludf.DUMMYFUNCTION("""COMPUTED_VALUE"""),0.104477611940298)</f>
        <v>0.1044776119</v>
      </c>
      <c r="U75" s="16">
        <f>IFERROR(__xludf.DUMMYFUNCTION("""COMPUTED_VALUE"""),0.0384615384615384)</f>
        <v>0.03846153846</v>
      </c>
      <c r="V75" s="16">
        <f>IFERROR(__xludf.DUMMYFUNCTION("""COMPUTED_VALUE"""),0.0)</f>
        <v>0</v>
      </c>
      <c r="W75" s="16">
        <f>IFERROR(__xludf.DUMMYFUNCTION("""COMPUTED_VALUE"""),0.0)</f>
        <v>0</v>
      </c>
      <c r="X75" s="16">
        <f>IFERROR(__xludf.DUMMYFUNCTION("""COMPUTED_VALUE"""),0.0)</f>
        <v>0</v>
      </c>
      <c r="Y75" s="16">
        <f>IFERROR(__xludf.DUMMYFUNCTION("""COMPUTED_VALUE"""),0.0)</f>
        <v>0</v>
      </c>
      <c r="Z75" s="16">
        <f>IFERROR(__xludf.DUMMYFUNCTION("""COMPUTED_VALUE"""),0.0)</f>
        <v>0</v>
      </c>
      <c r="AA75" s="16">
        <f>IFERROR(__xludf.DUMMYFUNCTION("""COMPUTED_VALUE"""),0.0)</f>
        <v>0</v>
      </c>
      <c r="AB75" s="16">
        <f>IFERROR(__xludf.DUMMYFUNCTION("""COMPUTED_VALUE"""),0.0)</f>
        <v>0</v>
      </c>
      <c r="AC75" s="16">
        <f>IFERROR(__xludf.DUMMYFUNCTION("""COMPUTED_VALUE"""),0.0)</f>
        <v>0</v>
      </c>
      <c r="AD75" s="16">
        <f>IFERROR(__xludf.DUMMYFUNCTION("""COMPUTED_VALUE"""),0.0)</f>
        <v>0</v>
      </c>
      <c r="AE75" s="16">
        <f>IFERROR(__xludf.DUMMYFUNCTION("""COMPUTED_VALUE"""),0.0)</f>
        <v>0</v>
      </c>
      <c r="AF75" s="16">
        <f>IFERROR(__xludf.DUMMYFUNCTION("""COMPUTED_VALUE"""),0.0)</f>
        <v>0</v>
      </c>
      <c r="AG75" s="16">
        <f>IFERROR(__xludf.DUMMYFUNCTION("""COMPUTED_VALUE"""),0.0)</f>
        <v>0</v>
      </c>
      <c r="AH75" s="16">
        <f>IFERROR(__xludf.DUMMYFUNCTION("""COMPUTED_VALUE"""),0.0)</f>
        <v>0</v>
      </c>
    </row>
    <row r="76">
      <c r="A76" s="16" t="str">
        <f>IFERROR(__xludf.DUMMYFUNCTION("""COMPUTED_VALUE"""),"4056d8e031445adbb80d52b1fd723609be585a3b")</f>
        <v>4056d8e031445adbb80d52b1fd723609be585a3b</v>
      </c>
      <c r="B76" s="16" t="str">
        <f>IFERROR(__xludf.DUMMYFUNCTION("""COMPUTED_VALUE"""),"Only Boy on the Bus")</f>
        <v>Only Boy on the Bus</v>
      </c>
      <c r="C76" s="16" t="str">
        <f>IFERROR(__xludf.DUMMYFUNCTION("""COMPUTED_VALUE"""),"Fantasy")</f>
        <v>Fantasy</v>
      </c>
      <c r="D76" s="16">
        <f>IFERROR(__xludf.DUMMYFUNCTION("""COMPUTED_VALUE"""),37.0)</f>
        <v>37</v>
      </c>
      <c r="E76" s="16">
        <f>IFERROR(__xludf.DUMMYFUNCTION("""COMPUTED_VALUE"""),0.972972972972973)</f>
        <v>0.972972973</v>
      </c>
      <c r="F76" s="16">
        <f>IFERROR(__xludf.DUMMYFUNCTION("""COMPUTED_VALUE"""),0.27027027027027)</f>
        <v>0.2702702703</v>
      </c>
      <c r="G76" s="16">
        <f>IFERROR(__xludf.DUMMYFUNCTION("""COMPUTED_VALUE"""),0.243243243243243)</f>
        <v>0.2432432432</v>
      </c>
      <c r="H76" s="16">
        <f>IFERROR(__xludf.DUMMYFUNCTION("""COMPUTED_VALUE"""),0.27027027027027)</f>
        <v>0.2702702703</v>
      </c>
      <c r="I76" s="16">
        <f>IFERROR(__xludf.DUMMYFUNCTION("""COMPUTED_VALUE"""),0.189189189189189)</f>
        <v>0.1891891892</v>
      </c>
      <c r="J76" s="16">
        <f>IFERROR(__xludf.DUMMYFUNCTION("""COMPUTED_VALUE"""),0.162162162162162)</f>
        <v>0.1621621622</v>
      </c>
      <c r="K76" s="16">
        <f>IFERROR(__xludf.DUMMYFUNCTION("""COMPUTED_VALUE"""),0.162162162162162)</f>
        <v>0.1621621622</v>
      </c>
      <c r="L76" s="16">
        <f>IFERROR(__xludf.DUMMYFUNCTION("""COMPUTED_VALUE"""),0.135135135135135)</f>
        <v>0.1351351351</v>
      </c>
      <c r="M76" s="16">
        <f>IFERROR(__xludf.DUMMYFUNCTION("""COMPUTED_VALUE"""),0.135135135135135)</f>
        <v>0.1351351351</v>
      </c>
      <c r="N76" s="16">
        <f>IFERROR(__xludf.DUMMYFUNCTION("""COMPUTED_VALUE"""),0.135135135135135)</f>
        <v>0.1351351351</v>
      </c>
      <c r="O76" s="16">
        <f>IFERROR(__xludf.DUMMYFUNCTION("""COMPUTED_VALUE"""),0.147058823529411)</f>
        <v>0.1470588235</v>
      </c>
      <c r="P76" s="16">
        <f>IFERROR(__xludf.DUMMYFUNCTION("""COMPUTED_VALUE"""),0.133333333333333)</f>
        <v>0.1333333333</v>
      </c>
      <c r="Q76" s="16">
        <f>IFERROR(__xludf.DUMMYFUNCTION("""COMPUTED_VALUE"""),0.0)</f>
        <v>0</v>
      </c>
      <c r="R76" s="16">
        <f>IFERROR(__xludf.DUMMYFUNCTION("""COMPUTED_VALUE"""),0.0)</f>
        <v>0</v>
      </c>
      <c r="S76" s="16">
        <f>IFERROR(__xludf.DUMMYFUNCTION("""COMPUTED_VALUE"""),0.0)</f>
        <v>0</v>
      </c>
      <c r="T76" s="16">
        <f>IFERROR(__xludf.DUMMYFUNCTION("""COMPUTED_VALUE"""),0.0)</f>
        <v>0</v>
      </c>
      <c r="U76" s="16">
        <f>IFERROR(__xludf.DUMMYFUNCTION("""COMPUTED_VALUE"""),0.0)</f>
        <v>0</v>
      </c>
      <c r="V76" s="16">
        <f>IFERROR(__xludf.DUMMYFUNCTION("""COMPUTED_VALUE"""),0.0)</f>
        <v>0</v>
      </c>
      <c r="W76" s="16">
        <f>IFERROR(__xludf.DUMMYFUNCTION("""COMPUTED_VALUE"""),0.0)</f>
        <v>0</v>
      </c>
      <c r="X76" s="16">
        <f>IFERROR(__xludf.DUMMYFUNCTION("""COMPUTED_VALUE"""),0.0)</f>
        <v>0</v>
      </c>
      <c r="Y76" s="16">
        <f>IFERROR(__xludf.DUMMYFUNCTION("""COMPUTED_VALUE"""),0.0)</f>
        <v>0</v>
      </c>
      <c r="Z76" s="16">
        <f>IFERROR(__xludf.DUMMYFUNCTION("""COMPUTED_VALUE"""),0.0)</f>
        <v>0</v>
      </c>
      <c r="AA76" s="16">
        <f>IFERROR(__xludf.DUMMYFUNCTION("""COMPUTED_VALUE"""),0.0)</f>
        <v>0</v>
      </c>
      <c r="AB76" s="16">
        <f>IFERROR(__xludf.DUMMYFUNCTION("""COMPUTED_VALUE"""),0.0)</f>
        <v>0</v>
      </c>
      <c r="AC76" s="16">
        <f>IFERROR(__xludf.DUMMYFUNCTION("""COMPUTED_VALUE"""),0.0)</f>
        <v>0</v>
      </c>
      <c r="AD76" s="16">
        <f>IFERROR(__xludf.DUMMYFUNCTION("""COMPUTED_VALUE"""),0.0)</f>
        <v>0</v>
      </c>
      <c r="AE76" s="16">
        <f>IFERROR(__xludf.DUMMYFUNCTION("""COMPUTED_VALUE"""),0.0)</f>
        <v>0</v>
      </c>
      <c r="AF76" s="16">
        <f>IFERROR(__xludf.DUMMYFUNCTION("""COMPUTED_VALUE"""),0.0)</f>
        <v>0</v>
      </c>
      <c r="AG76" s="16">
        <f>IFERROR(__xludf.DUMMYFUNCTION("""COMPUTED_VALUE"""),0.0)</f>
        <v>0</v>
      </c>
      <c r="AH76" s="16">
        <f>IFERROR(__xludf.DUMMYFUNCTION("""COMPUTED_VALUE"""),0.0)</f>
        <v>0</v>
      </c>
    </row>
    <row r="77">
      <c r="A77" s="16" t="str">
        <f>IFERROR(__xludf.DUMMYFUNCTION("""COMPUTED_VALUE"""),"40e06046d3679811f910f8beed9306369f59c60e")</f>
        <v>40e06046d3679811f910f8beed9306369f59c60e</v>
      </c>
      <c r="B77" s="16" t="str">
        <f>IFERROR(__xludf.DUMMYFUNCTION("""COMPUTED_VALUE"""),"Lycan Unity Academy")</f>
        <v>Lycan Unity Academy</v>
      </c>
      <c r="C77" s="16" t="str">
        <f>IFERROR(__xludf.DUMMYFUNCTION("""COMPUTED_VALUE"""),"Romantasy")</f>
        <v>Romantasy</v>
      </c>
      <c r="D77" s="16">
        <f>IFERROR(__xludf.DUMMYFUNCTION("""COMPUTED_VALUE"""),1597.0)</f>
        <v>1597</v>
      </c>
      <c r="E77" s="16">
        <f>IFERROR(__xludf.DUMMYFUNCTION("""COMPUTED_VALUE"""),0.966812773951158)</f>
        <v>0.966812774</v>
      </c>
      <c r="F77" s="16">
        <f>IFERROR(__xludf.DUMMYFUNCTION("""COMPUTED_VALUE"""),0.527238572323105)</f>
        <v>0.5272385723</v>
      </c>
      <c r="G77" s="16">
        <f>IFERROR(__xludf.DUMMYFUNCTION("""COMPUTED_VALUE"""),0.462742642454602)</f>
        <v>0.4627426425</v>
      </c>
      <c r="H77" s="16">
        <f>IFERROR(__xludf.DUMMYFUNCTION("""COMPUTED_VALUE"""),0.423558897243107)</f>
        <v>0.4235588972</v>
      </c>
      <c r="I77" s="16">
        <f>IFERROR(__xludf.DUMMYFUNCTION("""COMPUTED_VALUE"""),0.388819095477386)</f>
        <v>0.3888190955</v>
      </c>
      <c r="J77" s="16">
        <f>IFERROR(__xludf.DUMMYFUNCTION("""COMPUTED_VALUE"""),0.374213836477987)</f>
        <v>0.3742138365</v>
      </c>
      <c r="K77" s="16">
        <f>IFERROR(__xludf.DUMMYFUNCTION("""COMPUTED_VALUE"""),0.359974826935179)</f>
        <v>0.3599748269</v>
      </c>
      <c r="L77" s="16">
        <f>IFERROR(__xludf.DUMMYFUNCTION("""COMPUTED_VALUE"""),0.33396345305608)</f>
        <v>0.3339634531</v>
      </c>
      <c r="M77" s="16">
        <f>IFERROR(__xludf.DUMMYFUNCTION("""COMPUTED_VALUE"""),0.314826498422712)</f>
        <v>0.3148264984</v>
      </c>
      <c r="N77" s="16">
        <f>IFERROR(__xludf.DUMMYFUNCTION("""COMPUTED_VALUE"""),0.308032890575585)</f>
        <v>0.3080328906</v>
      </c>
      <c r="O77" s="16">
        <f>IFERROR(__xludf.DUMMYFUNCTION("""COMPUTED_VALUE"""),0.266666666666666)</f>
        <v>0.2666666667</v>
      </c>
      <c r="P77" s="16">
        <f>IFERROR(__xludf.DUMMYFUNCTION("""COMPUTED_VALUE"""),0.209483368719037)</f>
        <v>0.2094833687</v>
      </c>
      <c r="Q77" s="16">
        <f>IFERROR(__xludf.DUMMYFUNCTION("""COMPUTED_VALUE"""),0.126422250316055)</f>
        <v>0.1264222503</v>
      </c>
      <c r="R77" s="16">
        <f>IFERROR(__xludf.DUMMYFUNCTION("""COMPUTED_VALUE"""),0.163265306122448)</f>
        <v>0.1632653061</v>
      </c>
      <c r="S77" s="16">
        <f>IFERROR(__xludf.DUMMYFUNCTION("""COMPUTED_VALUE"""),0.0)</f>
        <v>0</v>
      </c>
      <c r="T77" s="16">
        <f>IFERROR(__xludf.DUMMYFUNCTION("""COMPUTED_VALUE"""),0.0)</f>
        <v>0</v>
      </c>
      <c r="U77" s="16">
        <f>IFERROR(__xludf.DUMMYFUNCTION("""COMPUTED_VALUE"""),0.0)</f>
        <v>0</v>
      </c>
      <c r="V77" s="16">
        <f>IFERROR(__xludf.DUMMYFUNCTION("""COMPUTED_VALUE"""),0.0)</f>
        <v>0</v>
      </c>
      <c r="W77" s="16">
        <f>IFERROR(__xludf.DUMMYFUNCTION("""COMPUTED_VALUE"""),0.0)</f>
        <v>0</v>
      </c>
      <c r="X77" s="16">
        <f>IFERROR(__xludf.DUMMYFUNCTION("""COMPUTED_VALUE"""),0.0)</f>
        <v>0</v>
      </c>
      <c r="Y77" s="16">
        <f>IFERROR(__xludf.DUMMYFUNCTION("""COMPUTED_VALUE"""),0.0)</f>
        <v>0</v>
      </c>
      <c r="Z77" s="16">
        <f>IFERROR(__xludf.DUMMYFUNCTION("""COMPUTED_VALUE"""),0.0)</f>
        <v>0</v>
      </c>
      <c r="AA77" s="16">
        <f>IFERROR(__xludf.DUMMYFUNCTION("""COMPUTED_VALUE"""),0.0)</f>
        <v>0</v>
      </c>
      <c r="AB77" s="16">
        <f>IFERROR(__xludf.DUMMYFUNCTION("""COMPUTED_VALUE"""),0.0)</f>
        <v>0</v>
      </c>
      <c r="AC77" s="16">
        <f>IFERROR(__xludf.DUMMYFUNCTION("""COMPUTED_VALUE"""),0.0)</f>
        <v>0</v>
      </c>
      <c r="AD77" s="16">
        <f>IFERROR(__xludf.DUMMYFUNCTION("""COMPUTED_VALUE"""),0.0)</f>
        <v>0</v>
      </c>
      <c r="AE77" s="16">
        <f>IFERROR(__xludf.DUMMYFUNCTION("""COMPUTED_VALUE"""),0.0)</f>
        <v>0</v>
      </c>
      <c r="AF77" s="16">
        <f>IFERROR(__xludf.DUMMYFUNCTION("""COMPUTED_VALUE"""),0.0)</f>
        <v>0</v>
      </c>
      <c r="AG77" s="16">
        <f>IFERROR(__xludf.DUMMYFUNCTION("""COMPUTED_VALUE"""),0.0)</f>
        <v>0</v>
      </c>
      <c r="AH77" s="16">
        <f>IFERROR(__xludf.DUMMYFUNCTION("""COMPUTED_VALUE"""),0.0)</f>
        <v>0</v>
      </c>
    </row>
    <row r="78">
      <c r="A78" s="16" t="str">
        <f>IFERROR(__xludf.DUMMYFUNCTION("""COMPUTED_VALUE"""),"41afeacb4e481e249d618ae39936f1173864e026")</f>
        <v>41afeacb4e481e249d618ae39936f1173864e026</v>
      </c>
      <c r="B78" s="16" t="str">
        <f>IFERROR(__xludf.DUMMYFUNCTION("""COMPUTED_VALUE"""),"Disguised Successor")</f>
        <v>Disguised Successor</v>
      </c>
      <c r="C78" s="16" t="str">
        <f>IFERROR(__xludf.DUMMYFUNCTION("""COMPUTED_VALUE"""),"Drama")</f>
        <v>Drama</v>
      </c>
      <c r="D78" s="16">
        <f>IFERROR(__xludf.DUMMYFUNCTION("""COMPUTED_VALUE"""),222.0)</f>
        <v>222</v>
      </c>
      <c r="E78" s="16">
        <f>IFERROR(__xludf.DUMMYFUNCTION("""COMPUTED_VALUE"""),0.95045045045045)</f>
        <v>0.9504504505</v>
      </c>
      <c r="F78" s="16">
        <f>IFERROR(__xludf.DUMMYFUNCTION("""COMPUTED_VALUE"""),0.522522522522522)</f>
        <v>0.5225225225</v>
      </c>
      <c r="G78" s="16">
        <f>IFERROR(__xludf.DUMMYFUNCTION("""COMPUTED_VALUE"""),0.463963963963963)</f>
        <v>0.463963964</v>
      </c>
      <c r="H78" s="16">
        <f>IFERROR(__xludf.DUMMYFUNCTION("""COMPUTED_VALUE"""),0.369369369369369)</f>
        <v>0.3693693694</v>
      </c>
      <c r="I78" s="16">
        <f>IFERROR(__xludf.DUMMYFUNCTION("""COMPUTED_VALUE"""),0.346846846846846)</f>
        <v>0.3468468468</v>
      </c>
      <c r="J78" s="16">
        <f>IFERROR(__xludf.DUMMYFUNCTION("""COMPUTED_VALUE"""),0.324324324324324)</f>
        <v>0.3243243243</v>
      </c>
      <c r="K78" s="16">
        <f>IFERROR(__xludf.DUMMYFUNCTION("""COMPUTED_VALUE"""),0.279279279279279)</f>
        <v>0.2792792793</v>
      </c>
      <c r="L78" s="16">
        <f>IFERROR(__xludf.DUMMYFUNCTION("""COMPUTED_VALUE"""),0.283783783783783)</f>
        <v>0.2837837838</v>
      </c>
      <c r="M78" s="16">
        <f>IFERROR(__xludf.DUMMYFUNCTION("""COMPUTED_VALUE"""),0.252252252252252)</f>
        <v>0.2522522523</v>
      </c>
      <c r="N78" s="16">
        <f>IFERROR(__xludf.DUMMYFUNCTION("""COMPUTED_VALUE"""),0.225225225225225)</f>
        <v>0.2252252252</v>
      </c>
      <c r="O78" s="16">
        <f>IFERROR(__xludf.DUMMYFUNCTION("""COMPUTED_VALUE"""),0.195238095238095)</f>
        <v>0.1952380952</v>
      </c>
      <c r="P78" s="16">
        <f>IFERROR(__xludf.DUMMYFUNCTION("""COMPUTED_VALUE"""),0.153439153439153)</f>
        <v>0.1534391534</v>
      </c>
      <c r="Q78" s="16">
        <f>IFERROR(__xludf.DUMMYFUNCTION("""COMPUTED_VALUE"""),0.0987654320987654)</f>
        <v>0.0987654321</v>
      </c>
      <c r="R78" s="16">
        <f>IFERROR(__xludf.DUMMYFUNCTION("""COMPUTED_VALUE"""),0.032520325203252)</f>
        <v>0.0325203252</v>
      </c>
      <c r="S78" s="16">
        <f>IFERROR(__xludf.DUMMYFUNCTION("""COMPUTED_VALUE"""),0.0)</f>
        <v>0</v>
      </c>
      <c r="T78" s="16">
        <f>IFERROR(__xludf.DUMMYFUNCTION("""COMPUTED_VALUE"""),0.0)</f>
        <v>0</v>
      </c>
      <c r="U78" s="16">
        <f>IFERROR(__xludf.DUMMYFUNCTION("""COMPUTED_VALUE"""),0.0)</f>
        <v>0</v>
      </c>
      <c r="V78" s="16">
        <f>IFERROR(__xludf.DUMMYFUNCTION("""COMPUTED_VALUE"""),0.0)</f>
        <v>0</v>
      </c>
      <c r="W78" s="16">
        <f>IFERROR(__xludf.DUMMYFUNCTION("""COMPUTED_VALUE"""),0.0)</f>
        <v>0</v>
      </c>
      <c r="X78" s="16">
        <f>IFERROR(__xludf.DUMMYFUNCTION("""COMPUTED_VALUE"""),0.0)</f>
        <v>0</v>
      </c>
      <c r="Y78" s="16">
        <f>IFERROR(__xludf.DUMMYFUNCTION("""COMPUTED_VALUE"""),0.0)</f>
        <v>0</v>
      </c>
      <c r="Z78" s="16">
        <f>IFERROR(__xludf.DUMMYFUNCTION("""COMPUTED_VALUE"""),0.0)</f>
        <v>0</v>
      </c>
      <c r="AA78" s="16">
        <f>IFERROR(__xludf.DUMMYFUNCTION("""COMPUTED_VALUE"""),0.0)</f>
        <v>0</v>
      </c>
      <c r="AB78" s="16">
        <f>IFERROR(__xludf.DUMMYFUNCTION("""COMPUTED_VALUE"""),0.0)</f>
        <v>0</v>
      </c>
      <c r="AC78" s="16">
        <f>IFERROR(__xludf.DUMMYFUNCTION("""COMPUTED_VALUE"""),0.0)</f>
        <v>0</v>
      </c>
      <c r="AD78" s="16">
        <f>IFERROR(__xludf.DUMMYFUNCTION("""COMPUTED_VALUE"""),0.0)</f>
        <v>0</v>
      </c>
      <c r="AE78" s="16">
        <f>IFERROR(__xludf.DUMMYFUNCTION("""COMPUTED_VALUE"""),0.0)</f>
        <v>0</v>
      </c>
      <c r="AF78" s="16">
        <f>IFERROR(__xludf.DUMMYFUNCTION("""COMPUTED_VALUE"""),0.0)</f>
        <v>0</v>
      </c>
      <c r="AG78" s="16">
        <f>IFERROR(__xludf.DUMMYFUNCTION("""COMPUTED_VALUE"""),0.0)</f>
        <v>0</v>
      </c>
      <c r="AH78" s="16">
        <f>IFERROR(__xludf.DUMMYFUNCTION("""COMPUTED_VALUE"""),0.0)</f>
        <v>0</v>
      </c>
    </row>
    <row r="79">
      <c r="A79" s="16" t="str">
        <f>IFERROR(__xludf.DUMMYFUNCTION("""COMPUTED_VALUE"""),"41fe3152f98c34f655d93ac2fc85bf506eac3371")</f>
        <v>41fe3152f98c34f655d93ac2fc85bf506eac3371</v>
      </c>
      <c r="B79" s="16" t="str">
        <f>IFERROR(__xludf.DUMMYFUNCTION("""COMPUTED_VALUE"""),"Owen &amp; Liam")</f>
        <v>Owen &amp; Liam</v>
      </c>
      <c r="C79" s="16" t="str">
        <f>IFERROR(__xludf.DUMMYFUNCTION("""COMPUTED_VALUE"""),"Romance")</f>
        <v>Romance</v>
      </c>
      <c r="D79" s="16">
        <f>IFERROR(__xludf.DUMMYFUNCTION("""COMPUTED_VALUE"""),14888.0)</f>
        <v>14888</v>
      </c>
      <c r="E79" s="16">
        <f>IFERROR(__xludf.DUMMYFUNCTION("""COMPUTED_VALUE"""),0.919734013970983)</f>
        <v>0.919734014</v>
      </c>
      <c r="F79" s="16">
        <f>IFERROR(__xludf.DUMMYFUNCTION("""COMPUTED_VALUE"""),0.522971520687802)</f>
        <v>0.5229715207</v>
      </c>
      <c r="G79" s="16">
        <f>IFERROR(__xludf.DUMMYFUNCTION("""COMPUTED_VALUE"""),0.441429339065018)</f>
        <v>0.4414293391</v>
      </c>
      <c r="H79" s="16">
        <f>IFERROR(__xludf.DUMMYFUNCTION("""COMPUTED_VALUE"""),0.398602807818902)</f>
        <v>0.3986028078</v>
      </c>
      <c r="I79" s="16">
        <f>IFERROR(__xludf.DUMMYFUNCTION("""COMPUTED_VALUE"""),0.369775567800026)</f>
        <v>0.3697755678</v>
      </c>
      <c r="J79" s="16">
        <f>IFERROR(__xludf.DUMMYFUNCTION("""COMPUTED_VALUE"""),0.352759292868185)</f>
        <v>0.3527592929</v>
      </c>
      <c r="K79" s="16">
        <f>IFERROR(__xludf.DUMMYFUNCTION("""COMPUTED_VALUE"""),0.332414256893073)</f>
        <v>0.3324142569</v>
      </c>
      <c r="L79" s="16">
        <f>IFERROR(__xludf.DUMMYFUNCTION("""COMPUTED_VALUE"""),0.321582346609257)</f>
        <v>0.3215823466</v>
      </c>
      <c r="M79" s="16">
        <f>IFERROR(__xludf.DUMMYFUNCTION("""COMPUTED_VALUE"""),0.312983778690179)</f>
        <v>0.3129837787</v>
      </c>
      <c r="N79" s="16">
        <f>IFERROR(__xludf.DUMMYFUNCTION("""COMPUTED_VALUE"""),0.301178054527095)</f>
        <v>0.3011780545</v>
      </c>
      <c r="O79" s="16">
        <f>IFERROR(__xludf.DUMMYFUNCTION("""COMPUTED_VALUE"""),0.272322632856757)</f>
        <v>0.2723226329</v>
      </c>
      <c r="P79" s="16">
        <f>IFERROR(__xludf.DUMMYFUNCTION("""COMPUTED_VALUE"""),0.245642480745845)</f>
        <v>0.2456424807</v>
      </c>
      <c r="Q79" s="16">
        <f>IFERROR(__xludf.DUMMYFUNCTION("""COMPUTED_VALUE"""),0.195054945054945)</f>
        <v>0.1950549451</v>
      </c>
      <c r="R79" s="16">
        <f>IFERROR(__xludf.DUMMYFUNCTION("""COMPUTED_VALUE"""),0.149143690960755)</f>
        <v>0.149143691</v>
      </c>
      <c r="S79" s="16">
        <f>IFERROR(__xludf.DUMMYFUNCTION("""COMPUTED_VALUE"""),0.125299520766773)</f>
        <v>0.1252995208</v>
      </c>
      <c r="T79" s="16">
        <f>IFERROR(__xludf.DUMMYFUNCTION("""COMPUTED_VALUE"""),0.108328855454056)</f>
        <v>0.1083288555</v>
      </c>
      <c r="U79" s="16">
        <f>IFERROR(__xludf.DUMMYFUNCTION("""COMPUTED_VALUE"""),0.097347147899351)</f>
        <v>0.0973471479</v>
      </c>
      <c r="V79" s="16">
        <f>IFERROR(__xludf.DUMMYFUNCTION("""COMPUTED_VALUE"""),0.089242350655658)</f>
        <v>0.08924235066</v>
      </c>
      <c r="W79" s="16">
        <f>IFERROR(__xludf.DUMMYFUNCTION("""COMPUTED_VALUE"""),0.0766605408243633)</f>
        <v>0.07666054082</v>
      </c>
      <c r="X79" s="16">
        <f>IFERROR(__xludf.DUMMYFUNCTION("""COMPUTED_VALUE"""),0.0692810457516339)</f>
        <v>0.06928104575</v>
      </c>
      <c r="Y79" s="16">
        <f>IFERROR(__xludf.DUMMYFUNCTION("""COMPUTED_VALUE"""),0.055592177543397)</f>
        <v>0.05559217754</v>
      </c>
      <c r="Z79" s="16">
        <f>IFERROR(__xludf.DUMMYFUNCTION("""COMPUTED_VALUE"""),0.0653044871794871)</f>
        <v>0.06530448718</v>
      </c>
      <c r="AA79" s="16">
        <f>IFERROR(__xludf.DUMMYFUNCTION("""COMPUTED_VALUE"""),0.0558375634517766)</f>
        <v>0.05583756345</v>
      </c>
      <c r="AB79" s="16">
        <f>IFERROR(__xludf.DUMMYFUNCTION("""COMPUTED_VALUE"""),0.11214953271028)</f>
        <v>0.1121495327</v>
      </c>
      <c r="AC79" s="16">
        <f>IFERROR(__xludf.DUMMYFUNCTION("""COMPUTED_VALUE"""),0.105263157894736)</f>
        <v>0.1052631579</v>
      </c>
      <c r="AD79" s="16">
        <f>IFERROR(__xludf.DUMMYFUNCTION("""COMPUTED_VALUE"""),0.0)</f>
        <v>0</v>
      </c>
      <c r="AE79" s="16">
        <f>IFERROR(__xludf.DUMMYFUNCTION("""COMPUTED_VALUE"""),0.0)</f>
        <v>0</v>
      </c>
      <c r="AF79" s="16">
        <f>IFERROR(__xludf.DUMMYFUNCTION("""COMPUTED_VALUE"""),0.0)</f>
        <v>0</v>
      </c>
      <c r="AG79" s="16">
        <f>IFERROR(__xludf.DUMMYFUNCTION("""COMPUTED_VALUE"""),0.0)</f>
        <v>0</v>
      </c>
      <c r="AH79" s="16">
        <f>IFERROR(__xludf.DUMMYFUNCTION("""COMPUTED_VALUE"""),0.0)</f>
        <v>0</v>
      </c>
    </row>
    <row r="80">
      <c r="A80" s="16" t="str">
        <f>IFERROR(__xludf.DUMMYFUNCTION("""COMPUTED_VALUE"""),"424b450dc35cc4bf4fc088069830e978aa97884a")</f>
        <v>424b450dc35cc4bf4fc088069830e978aa97884a</v>
      </c>
      <c r="B80" s="16" t="str">
        <f>IFERROR(__xludf.DUMMYFUNCTION("""COMPUTED_VALUE"""),"The Alpha's Witch")</f>
        <v>The Alpha's Witch</v>
      </c>
      <c r="C80" s="16" t="str">
        <f>IFERROR(__xludf.DUMMYFUNCTION("""COMPUTED_VALUE"""),"Romantasy")</f>
        <v>Romantasy</v>
      </c>
      <c r="D80" s="16">
        <f>IFERROR(__xludf.DUMMYFUNCTION("""COMPUTED_VALUE"""),1307.0)</f>
        <v>1307</v>
      </c>
      <c r="E80" s="16">
        <f>IFERROR(__xludf.DUMMYFUNCTION("""COMPUTED_VALUE"""),0.978576893649579)</f>
        <v>0.9785768936</v>
      </c>
      <c r="F80" s="16">
        <f>IFERROR(__xludf.DUMMYFUNCTION("""COMPUTED_VALUE"""),0.609793420045906)</f>
        <v>0.60979342</v>
      </c>
      <c r="G80" s="16">
        <f>IFERROR(__xludf.DUMMYFUNCTION("""COMPUTED_VALUE"""),0.544758990053557)</f>
        <v>0.5447589901</v>
      </c>
      <c r="H80" s="16">
        <f>IFERROR(__xludf.DUMMYFUNCTION("""COMPUTED_VALUE"""),0.480489671002295)</f>
        <v>0.480489671</v>
      </c>
      <c r="I80" s="16">
        <f>IFERROR(__xludf.DUMMYFUNCTION("""COMPUTED_VALUE"""),0.445294567712318)</f>
        <v>0.4452945677</v>
      </c>
      <c r="J80" s="16">
        <f>IFERROR(__xludf.DUMMYFUNCTION("""COMPUTED_VALUE"""),0.421455938697318)</f>
        <v>0.4214559387</v>
      </c>
      <c r="K80" s="16">
        <f>IFERROR(__xludf.DUMMYFUNCTION("""COMPUTED_VALUE"""),0.407662835249042)</f>
        <v>0.4076628352</v>
      </c>
      <c r="L80" s="16">
        <f>IFERROR(__xludf.DUMMYFUNCTION("""COMPUTED_VALUE"""),0.39723926380368)</f>
        <v>0.3972392638</v>
      </c>
      <c r="M80" s="16">
        <f>IFERROR(__xludf.DUMMYFUNCTION("""COMPUTED_VALUE"""),0.387567152724481)</f>
        <v>0.3875671527</v>
      </c>
      <c r="N80" s="16">
        <f>IFERROR(__xludf.DUMMYFUNCTION("""COMPUTED_VALUE"""),0.373846153846153)</f>
        <v>0.3738461538</v>
      </c>
      <c r="O80" s="16">
        <f>IFERROR(__xludf.DUMMYFUNCTION("""COMPUTED_VALUE"""),0.235893416927899)</f>
        <v>0.2358934169</v>
      </c>
      <c r="P80" s="16">
        <f>IFERROR(__xludf.DUMMYFUNCTION("""COMPUTED_VALUE"""),0.204132231404958)</f>
        <v>0.2041322314</v>
      </c>
      <c r="Q80" s="16">
        <f>IFERROR(__xludf.DUMMYFUNCTION("""COMPUTED_VALUE"""),0.154306220095693)</f>
        <v>0.1543062201</v>
      </c>
      <c r="R80" s="16">
        <f>IFERROR(__xludf.DUMMYFUNCTION("""COMPUTED_VALUE"""),0.119565217391304)</f>
        <v>0.1195652174</v>
      </c>
      <c r="S80" s="16">
        <f>IFERROR(__xludf.DUMMYFUNCTION("""COMPUTED_VALUE"""),0.4)</f>
        <v>0.4</v>
      </c>
      <c r="T80" s="16">
        <f>IFERROR(__xludf.DUMMYFUNCTION("""COMPUTED_VALUE"""),0.0)</f>
        <v>0</v>
      </c>
      <c r="U80" s="16">
        <f>IFERROR(__xludf.DUMMYFUNCTION("""COMPUTED_VALUE"""),0.0)</f>
        <v>0</v>
      </c>
      <c r="V80" s="16">
        <f>IFERROR(__xludf.DUMMYFUNCTION("""COMPUTED_VALUE"""),0.0)</f>
        <v>0</v>
      </c>
      <c r="W80" s="16">
        <f>IFERROR(__xludf.DUMMYFUNCTION("""COMPUTED_VALUE"""),0.0)</f>
        <v>0</v>
      </c>
      <c r="X80" s="16">
        <f>IFERROR(__xludf.DUMMYFUNCTION("""COMPUTED_VALUE"""),0.0)</f>
        <v>0</v>
      </c>
      <c r="Y80" s="16">
        <f>IFERROR(__xludf.DUMMYFUNCTION("""COMPUTED_VALUE"""),0.0)</f>
        <v>0</v>
      </c>
      <c r="Z80" s="16">
        <f>IFERROR(__xludf.DUMMYFUNCTION("""COMPUTED_VALUE"""),0.0)</f>
        <v>0</v>
      </c>
      <c r="AA80" s="16">
        <f>IFERROR(__xludf.DUMMYFUNCTION("""COMPUTED_VALUE"""),0.0)</f>
        <v>0</v>
      </c>
      <c r="AB80" s="16">
        <f>IFERROR(__xludf.DUMMYFUNCTION("""COMPUTED_VALUE"""),0.0)</f>
        <v>0</v>
      </c>
      <c r="AC80" s="16">
        <f>IFERROR(__xludf.DUMMYFUNCTION("""COMPUTED_VALUE"""),0.0)</f>
        <v>0</v>
      </c>
      <c r="AD80" s="16">
        <f>IFERROR(__xludf.DUMMYFUNCTION("""COMPUTED_VALUE"""),0.0)</f>
        <v>0</v>
      </c>
      <c r="AE80" s="16">
        <f>IFERROR(__xludf.DUMMYFUNCTION("""COMPUTED_VALUE"""),0.0)</f>
        <v>0</v>
      </c>
      <c r="AF80" s="16">
        <f>IFERROR(__xludf.DUMMYFUNCTION("""COMPUTED_VALUE"""),0.0)</f>
        <v>0</v>
      </c>
      <c r="AG80" s="16">
        <f>IFERROR(__xludf.DUMMYFUNCTION("""COMPUTED_VALUE"""),0.0)</f>
        <v>0</v>
      </c>
      <c r="AH80" s="16">
        <f>IFERROR(__xludf.DUMMYFUNCTION("""COMPUTED_VALUE"""),0.0)</f>
        <v>0</v>
      </c>
    </row>
    <row r="81">
      <c r="A81" s="16" t="str">
        <f>IFERROR(__xludf.DUMMYFUNCTION("""COMPUTED_VALUE"""),"42515091e7b47b7b2d2381d7512fdb9f9866aa1e")</f>
        <v>42515091e7b47b7b2d2381d7512fdb9f9866aa1e</v>
      </c>
      <c r="B81" s="16" t="str">
        <f>IFERROR(__xludf.DUMMYFUNCTION("""COMPUTED_VALUE"""),"The Tomboy Love Story")</f>
        <v>The Tomboy Love Story</v>
      </c>
      <c r="C81" s="16" t="str">
        <f>IFERROR(__xludf.DUMMYFUNCTION("""COMPUTED_VALUE"""),"Romance")</f>
        <v>Romance</v>
      </c>
      <c r="D81" s="16">
        <f>IFERROR(__xludf.DUMMYFUNCTION("""COMPUTED_VALUE"""),3198.0)</f>
        <v>3198</v>
      </c>
      <c r="E81" s="16">
        <f>IFERROR(__xludf.DUMMYFUNCTION("""COMPUTED_VALUE"""),0.962476547842401)</f>
        <v>0.9624765478</v>
      </c>
      <c r="F81" s="16">
        <f>IFERROR(__xludf.DUMMYFUNCTION("""COMPUTED_VALUE"""),0.544090056285178)</f>
        <v>0.5440900563</v>
      </c>
      <c r="G81" s="16">
        <f>IFERROR(__xludf.DUMMYFUNCTION("""COMPUTED_VALUE"""),0.468730456535334)</f>
        <v>0.4687304565</v>
      </c>
      <c r="H81" s="16">
        <f>IFERROR(__xludf.DUMMYFUNCTION("""COMPUTED_VALUE"""),0.427810836204196)</f>
        <v>0.4278108362</v>
      </c>
      <c r="I81" s="16">
        <f>IFERROR(__xludf.DUMMYFUNCTION("""COMPUTED_VALUE"""),0.40414182616881)</f>
        <v>0.4041418262</v>
      </c>
      <c r="J81" s="16">
        <f>IFERROR(__xludf.DUMMYFUNCTION("""COMPUTED_VALUE"""),0.384108040201005)</f>
        <v>0.3841080402</v>
      </c>
      <c r="K81" s="16">
        <f>IFERROR(__xludf.DUMMYFUNCTION("""COMPUTED_VALUE"""),0.372481108312342)</f>
        <v>0.3724811083</v>
      </c>
      <c r="L81" s="16">
        <f>IFERROR(__xludf.DUMMYFUNCTION("""COMPUTED_VALUE"""),0.364783843483748)</f>
        <v>0.3647838435</v>
      </c>
      <c r="M81" s="16">
        <f>IFERROR(__xludf.DUMMYFUNCTION("""COMPUTED_VALUE"""),0.356263805616913)</f>
        <v>0.3562638056</v>
      </c>
      <c r="N81" s="16">
        <f>IFERROR(__xludf.DUMMYFUNCTION("""COMPUTED_VALUE"""),0.349116161616161)</f>
        <v>0.3491161616</v>
      </c>
      <c r="O81" s="16">
        <f>IFERROR(__xludf.DUMMYFUNCTION("""COMPUTED_VALUE"""),0.321473951715374)</f>
        <v>0.3214739517</v>
      </c>
      <c r="P81" s="16">
        <f>IFERROR(__xludf.DUMMYFUNCTION("""COMPUTED_VALUE"""),0.25282244269586)</f>
        <v>0.2528224427</v>
      </c>
      <c r="Q81" s="16">
        <f>IFERROR(__xludf.DUMMYFUNCTION("""COMPUTED_VALUE"""),0.182517866959868)</f>
        <v>0.182517867</v>
      </c>
      <c r="R81" s="16">
        <f>IFERROR(__xludf.DUMMYFUNCTION("""COMPUTED_VALUE"""),0.141749723145071)</f>
        <v>0.1417497231</v>
      </c>
      <c r="S81" s="16">
        <f>IFERROR(__xludf.DUMMYFUNCTION("""COMPUTED_VALUE"""),0.101694915254237)</f>
        <v>0.1016949153</v>
      </c>
      <c r="T81" s="16">
        <f>IFERROR(__xludf.DUMMYFUNCTION("""COMPUTED_VALUE"""),0.0)</f>
        <v>0</v>
      </c>
      <c r="U81" s="16">
        <f>IFERROR(__xludf.DUMMYFUNCTION("""COMPUTED_VALUE"""),0.0)</f>
        <v>0</v>
      </c>
      <c r="V81" s="16">
        <f>IFERROR(__xludf.DUMMYFUNCTION("""COMPUTED_VALUE"""),0.0)</f>
        <v>0</v>
      </c>
      <c r="W81" s="16">
        <f>IFERROR(__xludf.DUMMYFUNCTION("""COMPUTED_VALUE"""),0.0)</f>
        <v>0</v>
      </c>
      <c r="X81" s="16">
        <f>IFERROR(__xludf.DUMMYFUNCTION("""COMPUTED_VALUE"""),0.0)</f>
        <v>0</v>
      </c>
      <c r="Y81" s="16">
        <f>IFERROR(__xludf.DUMMYFUNCTION("""COMPUTED_VALUE"""),0.0)</f>
        <v>0</v>
      </c>
      <c r="Z81" s="16">
        <f>IFERROR(__xludf.DUMMYFUNCTION("""COMPUTED_VALUE"""),0.0)</f>
        <v>0</v>
      </c>
      <c r="AA81" s="16">
        <f>IFERROR(__xludf.DUMMYFUNCTION("""COMPUTED_VALUE"""),0.0)</f>
        <v>0</v>
      </c>
      <c r="AB81" s="16">
        <f>IFERROR(__xludf.DUMMYFUNCTION("""COMPUTED_VALUE"""),0.0)</f>
        <v>0</v>
      </c>
      <c r="AC81" s="16">
        <f>IFERROR(__xludf.DUMMYFUNCTION("""COMPUTED_VALUE"""),0.0)</f>
        <v>0</v>
      </c>
      <c r="AD81" s="16">
        <f>IFERROR(__xludf.DUMMYFUNCTION("""COMPUTED_VALUE"""),0.0)</f>
        <v>0</v>
      </c>
      <c r="AE81" s="16">
        <f>IFERROR(__xludf.DUMMYFUNCTION("""COMPUTED_VALUE"""),0.0)</f>
        <v>0</v>
      </c>
      <c r="AF81" s="16">
        <f>IFERROR(__xludf.DUMMYFUNCTION("""COMPUTED_VALUE"""),0.0)</f>
        <v>0</v>
      </c>
      <c r="AG81" s="16">
        <f>IFERROR(__xludf.DUMMYFUNCTION("""COMPUTED_VALUE"""),0.0)</f>
        <v>0</v>
      </c>
      <c r="AH81" s="16">
        <f>IFERROR(__xludf.DUMMYFUNCTION("""COMPUTED_VALUE"""),0.0)</f>
        <v>0</v>
      </c>
    </row>
    <row r="82">
      <c r="A82" s="16" t="str">
        <f>IFERROR(__xludf.DUMMYFUNCTION("""COMPUTED_VALUE"""),"4335258b71733375cbccc0fbf7ce0bf0975b095d")</f>
        <v>4335258b71733375cbccc0fbf7ce0bf0975b095d</v>
      </c>
      <c r="B82" s="16" t="str">
        <f>IFERROR(__xludf.DUMMYFUNCTION("""COMPUTED_VALUE"""),"Alex &amp; the Prison System")</f>
        <v>Alex &amp; the Prison System</v>
      </c>
      <c r="C82" s="16" t="str">
        <f>IFERROR(__xludf.DUMMYFUNCTION("""COMPUTED_VALUE"""),"System and Superpower")</f>
        <v>System and Superpower</v>
      </c>
      <c r="D82" s="16">
        <f>IFERROR(__xludf.DUMMYFUNCTION("""COMPUTED_VALUE"""),225.0)</f>
        <v>225</v>
      </c>
      <c r="E82" s="16">
        <f>IFERROR(__xludf.DUMMYFUNCTION("""COMPUTED_VALUE"""),0.937777777777777)</f>
        <v>0.9377777778</v>
      </c>
      <c r="F82" s="16">
        <f>IFERROR(__xludf.DUMMYFUNCTION("""COMPUTED_VALUE"""),0.604444444444444)</f>
        <v>0.6044444444</v>
      </c>
      <c r="G82" s="16">
        <f>IFERROR(__xludf.DUMMYFUNCTION("""COMPUTED_VALUE"""),0.52)</f>
        <v>0.52</v>
      </c>
      <c r="H82" s="16">
        <f>IFERROR(__xludf.DUMMYFUNCTION("""COMPUTED_VALUE"""),0.515555555555555)</f>
        <v>0.5155555556</v>
      </c>
      <c r="I82" s="16">
        <f>IFERROR(__xludf.DUMMYFUNCTION("""COMPUTED_VALUE"""),0.488888888888888)</f>
        <v>0.4888888889</v>
      </c>
      <c r="J82" s="16">
        <f>IFERROR(__xludf.DUMMYFUNCTION("""COMPUTED_VALUE"""),0.462222222222222)</f>
        <v>0.4622222222</v>
      </c>
      <c r="K82" s="16">
        <f>IFERROR(__xludf.DUMMYFUNCTION("""COMPUTED_VALUE"""),0.462222222222222)</f>
        <v>0.4622222222</v>
      </c>
      <c r="L82" s="16">
        <f>IFERROR(__xludf.DUMMYFUNCTION("""COMPUTED_VALUE"""),0.462222222222222)</f>
        <v>0.4622222222</v>
      </c>
      <c r="M82" s="16">
        <f>IFERROR(__xludf.DUMMYFUNCTION("""COMPUTED_VALUE"""),0.446428571428571)</f>
        <v>0.4464285714</v>
      </c>
      <c r="N82" s="16">
        <f>IFERROR(__xludf.DUMMYFUNCTION("""COMPUTED_VALUE"""),0.443946188340807)</f>
        <v>0.4439461883</v>
      </c>
      <c r="O82" s="16">
        <f>IFERROR(__xludf.DUMMYFUNCTION("""COMPUTED_VALUE"""),0.361990950226244)</f>
        <v>0.3619909502</v>
      </c>
      <c r="P82" s="16">
        <f>IFERROR(__xludf.DUMMYFUNCTION("""COMPUTED_VALUE"""),0.252380952380952)</f>
        <v>0.2523809524</v>
      </c>
      <c r="Q82" s="16">
        <f>IFERROR(__xludf.DUMMYFUNCTION("""COMPUTED_VALUE"""),0.225352112676056)</f>
        <v>0.2253521127</v>
      </c>
      <c r="R82" s="16">
        <f>IFERROR(__xludf.DUMMYFUNCTION("""COMPUTED_VALUE"""),0.384615384615384)</f>
        <v>0.3846153846</v>
      </c>
      <c r="S82" s="16">
        <f>IFERROR(__xludf.DUMMYFUNCTION("""COMPUTED_VALUE"""),0.0)</f>
        <v>0</v>
      </c>
      <c r="T82" s="16">
        <f>IFERROR(__xludf.DUMMYFUNCTION("""COMPUTED_VALUE"""),0.0)</f>
        <v>0</v>
      </c>
      <c r="U82" s="16">
        <f>IFERROR(__xludf.DUMMYFUNCTION("""COMPUTED_VALUE"""),0.0)</f>
        <v>0</v>
      </c>
      <c r="V82" s="16">
        <f>IFERROR(__xludf.DUMMYFUNCTION("""COMPUTED_VALUE"""),0.0)</f>
        <v>0</v>
      </c>
      <c r="W82" s="16">
        <f>IFERROR(__xludf.DUMMYFUNCTION("""COMPUTED_VALUE"""),0.0)</f>
        <v>0</v>
      </c>
      <c r="X82" s="16">
        <f>IFERROR(__xludf.DUMMYFUNCTION("""COMPUTED_VALUE"""),0.0)</f>
        <v>0</v>
      </c>
      <c r="Y82" s="16">
        <f>IFERROR(__xludf.DUMMYFUNCTION("""COMPUTED_VALUE"""),0.0)</f>
        <v>0</v>
      </c>
      <c r="Z82" s="16">
        <f>IFERROR(__xludf.DUMMYFUNCTION("""COMPUTED_VALUE"""),0.0)</f>
        <v>0</v>
      </c>
      <c r="AA82" s="16">
        <f>IFERROR(__xludf.DUMMYFUNCTION("""COMPUTED_VALUE"""),0.0)</f>
        <v>0</v>
      </c>
      <c r="AB82" s="16">
        <f>IFERROR(__xludf.DUMMYFUNCTION("""COMPUTED_VALUE"""),0.0)</f>
        <v>0</v>
      </c>
      <c r="AC82" s="16">
        <f>IFERROR(__xludf.DUMMYFUNCTION("""COMPUTED_VALUE"""),0.0)</f>
        <v>0</v>
      </c>
      <c r="AD82" s="16">
        <f>IFERROR(__xludf.DUMMYFUNCTION("""COMPUTED_VALUE"""),0.0)</f>
        <v>0</v>
      </c>
      <c r="AE82" s="16">
        <f>IFERROR(__xludf.DUMMYFUNCTION("""COMPUTED_VALUE"""),0.0)</f>
        <v>0</v>
      </c>
      <c r="AF82" s="16">
        <f>IFERROR(__xludf.DUMMYFUNCTION("""COMPUTED_VALUE"""),0.0)</f>
        <v>0</v>
      </c>
      <c r="AG82" s="16">
        <f>IFERROR(__xludf.DUMMYFUNCTION("""COMPUTED_VALUE"""),0.0)</f>
        <v>0</v>
      </c>
      <c r="AH82" s="16">
        <f>IFERROR(__xludf.DUMMYFUNCTION("""COMPUTED_VALUE"""),0.0)</f>
        <v>0</v>
      </c>
    </row>
    <row r="83">
      <c r="A83" s="16" t="str">
        <f>IFERROR(__xludf.DUMMYFUNCTION("""COMPUTED_VALUE"""),"43de49339ed40a2c4d8acef5644870ce292f541e")</f>
        <v>43de49339ed40a2c4d8acef5644870ce292f541e</v>
      </c>
      <c r="B83" s="16" t="str">
        <f>IFERROR(__xludf.DUMMYFUNCTION("""COMPUTED_VALUE"""),"Second Chances: Reborn to Be a CEO’s Wife")</f>
        <v>Second Chances: Reborn to Be a CEO’s Wife</v>
      </c>
      <c r="C83" s="16" t="str">
        <f>IFERROR(__xludf.DUMMYFUNCTION("""COMPUTED_VALUE"""),"Romance")</f>
        <v>Romance</v>
      </c>
      <c r="D83" s="16">
        <f>IFERROR(__xludf.DUMMYFUNCTION("""COMPUTED_VALUE"""),935.0)</f>
        <v>935</v>
      </c>
      <c r="E83" s="16">
        <f>IFERROR(__xludf.DUMMYFUNCTION("""COMPUTED_VALUE"""),0.929411764705882)</f>
        <v>0.9294117647</v>
      </c>
      <c r="F83" s="16">
        <f>IFERROR(__xludf.DUMMYFUNCTION("""COMPUTED_VALUE"""),0.638502673796791)</f>
        <v>0.6385026738</v>
      </c>
      <c r="G83" s="16">
        <f>IFERROR(__xludf.DUMMYFUNCTION("""COMPUTED_VALUE"""),0.571122994652406)</f>
        <v>0.5711229947</v>
      </c>
      <c r="H83" s="16">
        <f>IFERROR(__xludf.DUMMYFUNCTION("""COMPUTED_VALUE"""),0.501604278074866)</f>
        <v>0.5016042781</v>
      </c>
      <c r="I83" s="16">
        <f>IFERROR(__xludf.DUMMYFUNCTION("""COMPUTED_VALUE"""),0.470588235294117)</f>
        <v>0.4705882353</v>
      </c>
      <c r="J83" s="16">
        <f>IFERROR(__xludf.DUMMYFUNCTION("""COMPUTED_VALUE"""),0.433155080213903)</f>
        <v>0.4331550802</v>
      </c>
      <c r="K83" s="16">
        <f>IFERROR(__xludf.DUMMYFUNCTION("""COMPUTED_VALUE"""),0.406216505894962)</f>
        <v>0.4062165059</v>
      </c>
      <c r="L83" s="16">
        <f>IFERROR(__xludf.DUMMYFUNCTION("""COMPUTED_VALUE"""),0.386680988184747)</f>
        <v>0.3866809882</v>
      </c>
      <c r="M83" s="16">
        <f>IFERROR(__xludf.DUMMYFUNCTION("""COMPUTED_VALUE"""),0.353383458646616)</f>
        <v>0.3533834586</v>
      </c>
      <c r="N83" s="16">
        <f>IFERROR(__xludf.DUMMYFUNCTION("""COMPUTED_VALUE"""),0.330827067669172)</f>
        <v>0.3308270677</v>
      </c>
      <c r="O83" s="16">
        <f>IFERROR(__xludf.DUMMYFUNCTION("""COMPUTED_VALUE"""),0.291440953412784)</f>
        <v>0.2914409534</v>
      </c>
      <c r="P83" s="16">
        <f>IFERROR(__xludf.DUMMYFUNCTION("""COMPUTED_VALUE"""),0.147986942328618)</f>
        <v>0.1479869423</v>
      </c>
      <c r="Q83" s="16">
        <f>IFERROR(__xludf.DUMMYFUNCTION("""COMPUTED_VALUE"""),0.0356744704570791)</f>
        <v>0.03567447046</v>
      </c>
      <c r="R83" s="16">
        <f>IFERROR(__xludf.DUMMYFUNCTION("""COMPUTED_VALUE"""),0.0)</f>
        <v>0</v>
      </c>
      <c r="S83" s="16">
        <f>IFERROR(__xludf.DUMMYFUNCTION("""COMPUTED_VALUE"""),0.0)</f>
        <v>0</v>
      </c>
      <c r="T83" s="16">
        <f>IFERROR(__xludf.DUMMYFUNCTION("""COMPUTED_VALUE"""),0.0)</f>
        <v>0</v>
      </c>
      <c r="U83" s="16">
        <f>IFERROR(__xludf.DUMMYFUNCTION("""COMPUTED_VALUE"""),0.0)</f>
        <v>0</v>
      </c>
      <c r="V83" s="16">
        <f>IFERROR(__xludf.DUMMYFUNCTION("""COMPUTED_VALUE"""),0.0)</f>
        <v>0</v>
      </c>
      <c r="W83" s="16">
        <f>IFERROR(__xludf.DUMMYFUNCTION("""COMPUTED_VALUE"""),0.0)</f>
        <v>0</v>
      </c>
      <c r="X83" s="16">
        <f>IFERROR(__xludf.DUMMYFUNCTION("""COMPUTED_VALUE"""),0.0)</f>
        <v>0</v>
      </c>
      <c r="Y83" s="16">
        <f>IFERROR(__xludf.DUMMYFUNCTION("""COMPUTED_VALUE"""),0.0)</f>
        <v>0</v>
      </c>
      <c r="Z83" s="16">
        <f>IFERROR(__xludf.DUMMYFUNCTION("""COMPUTED_VALUE"""),0.0)</f>
        <v>0</v>
      </c>
      <c r="AA83" s="16">
        <f>IFERROR(__xludf.DUMMYFUNCTION("""COMPUTED_VALUE"""),0.0)</f>
        <v>0</v>
      </c>
      <c r="AB83" s="16">
        <f>IFERROR(__xludf.DUMMYFUNCTION("""COMPUTED_VALUE"""),0.0)</f>
        <v>0</v>
      </c>
      <c r="AC83" s="16">
        <f>IFERROR(__xludf.DUMMYFUNCTION("""COMPUTED_VALUE"""),0.0)</f>
        <v>0</v>
      </c>
      <c r="AD83" s="16">
        <f>IFERROR(__xludf.DUMMYFUNCTION("""COMPUTED_VALUE"""),0.0)</f>
        <v>0</v>
      </c>
      <c r="AE83" s="16">
        <f>IFERROR(__xludf.DUMMYFUNCTION("""COMPUTED_VALUE"""),0.0)</f>
        <v>0</v>
      </c>
      <c r="AF83" s="16">
        <f>IFERROR(__xludf.DUMMYFUNCTION("""COMPUTED_VALUE"""),0.0)</f>
        <v>0</v>
      </c>
      <c r="AG83" s="16">
        <f>IFERROR(__xludf.DUMMYFUNCTION("""COMPUTED_VALUE"""),0.0)</f>
        <v>0</v>
      </c>
      <c r="AH83" s="16">
        <f>IFERROR(__xludf.DUMMYFUNCTION("""COMPUTED_VALUE"""),0.0)</f>
        <v>0</v>
      </c>
    </row>
    <row r="84">
      <c r="A84" s="16" t="str">
        <f>IFERROR(__xludf.DUMMYFUNCTION("""COMPUTED_VALUE"""),"442d4dce8ca376c2bb4438209980daa53b761b51")</f>
        <v>442d4dce8ca376c2bb4438209980daa53b761b51</v>
      </c>
      <c r="B84" s="16" t="str">
        <f>IFERROR(__xludf.DUMMYFUNCTION("""COMPUTED_VALUE"""),"Rejected and Craved")</f>
        <v>Rejected and Craved</v>
      </c>
      <c r="C84" s="16" t="str">
        <f>IFERROR(__xludf.DUMMYFUNCTION("""COMPUTED_VALUE"""),"Romantasy")</f>
        <v>Romantasy</v>
      </c>
      <c r="D84" s="16">
        <f>IFERROR(__xludf.DUMMYFUNCTION("""COMPUTED_VALUE"""),852.0)</f>
        <v>852</v>
      </c>
      <c r="E84" s="16">
        <f>IFERROR(__xludf.DUMMYFUNCTION("""COMPUTED_VALUE"""),0.963615023474178)</f>
        <v>0.9636150235</v>
      </c>
      <c r="F84" s="16">
        <f>IFERROR(__xludf.DUMMYFUNCTION("""COMPUTED_VALUE"""),0.631455399061032)</f>
        <v>0.6314553991</v>
      </c>
      <c r="G84" s="16">
        <f>IFERROR(__xludf.DUMMYFUNCTION("""COMPUTED_VALUE"""),0.603286384976525)</f>
        <v>0.603286385</v>
      </c>
      <c r="H84" s="16">
        <f>IFERROR(__xludf.DUMMYFUNCTION("""COMPUTED_VALUE"""),0.588235294117647)</f>
        <v>0.5882352941</v>
      </c>
      <c r="I84" s="16">
        <f>IFERROR(__xludf.DUMMYFUNCTION("""COMPUTED_VALUE"""),0.567058823529411)</f>
        <v>0.5670588235</v>
      </c>
      <c r="J84" s="16">
        <f>IFERROR(__xludf.DUMMYFUNCTION("""COMPUTED_VALUE"""),0.52892561983471)</f>
        <v>0.5289256198</v>
      </c>
      <c r="K84" s="16">
        <f>IFERROR(__xludf.DUMMYFUNCTION("""COMPUTED_VALUE"""),0.51418439716312)</f>
        <v>0.5141843972</v>
      </c>
      <c r="L84" s="16">
        <f>IFERROR(__xludf.DUMMYFUNCTION("""COMPUTED_VALUE"""),0.497041420118343)</f>
        <v>0.4970414201</v>
      </c>
      <c r="M84" s="16">
        <f>IFERROR(__xludf.DUMMYFUNCTION("""COMPUTED_VALUE"""),0.507109004739336)</f>
        <v>0.5071090047</v>
      </c>
      <c r="N84" s="16">
        <f>IFERROR(__xludf.DUMMYFUNCTION("""COMPUTED_VALUE"""),0.479857819905213)</f>
        <v>0.4798578199</v>
      </c>
      <c r="O84" s="16">
        <f>IFERROR(__xludf.DUMMYFUNCTION("""COMPUTED_VALUE"""),0.396984924623115)</f>
        <v>0.3969849246</v>
      </c>
      <c r="P84" s="16">
        <f>IFERROR(__xludf.DUMMYFUNCTION("""COMPUTED_VALUE"""),0.271794871794871)</f>
        <v>0.2717948718</v>
      </c>
      <c r="Q84" s="16">
        <f>IFERROR(__xludf.DUMMYFUNCTION("""COMPUTED_VALUE"""),0.0705645161290322)</f>
        <v>0.07056451613</v>
      </c>
      <c r="R84" s="16">
        <f>IFERROR(__xludf.DUMMYFUNCTION("""COMPUTED_VALUE"""),0.0)</f>
        <v>0</v>
      </c>
      <c r="S84" s="16">
        <f>IFERROR(__xludf.DUMMYFUNCTION("""COMPUTED_VALUE"""),0.0)</f>
        <v>0</v>
      </c>
      <c r="T84" s="16">
        <f>IFERROR(__xludf.DUMMYFUNCTION("""COMPUTED_VALUE"""),0.0)</f>
        <v>0</v>
      </c>
      <c r="U84" s="16">
        <f>IFERROR(__xludf.DUMMYFUNCTION("""COMPUTED_VALUE"""),0.0)</f>
        <v>0</v>
      </c>
      <c r="V84" s="16">
        <f>IFERROR(__xludf.DUMMYFUNCTION("""COMPUTED_VALUE"""),0.0)</f>
        <v>0</v>
      </c>
      <c r="W84" s="16">
        <f>IFERROR(__xludf.DUMMYFUNCTION("""COMPUTED_VALUE"""),0.0)</f>
        <v>0</v>
      </c>
      <c r="X84" s="16">
        <f>IFERROR(__xludf.DUMMYFUNCTION("""COMPUTED_VALUE"""),0.0)</f>
        <v>0</v>
      </c>
      <c r="Y84" s="16">
        <f>IFERROR(__xludf.DUMMYFUNCTION("""COMPUTED_VALUE"""),0.0)</f>
        <v>0</v>
      </c>
      <c r="Z84" s="16">
        <f>IFERROR(__xludf.DUMMYFUNCTION("""COMPUTED_VALUE"""),0.0)</f>
        <v>0</v>
      </c>
      <c r="AA84" s="16">
        <f>IFERROR(__xludf.DUMMYFUNCTION("""COMPUTED_VALUE"""),0.0)</f>
        <v>0</v>
      </c>
      <c r="AB84" s="16">
        <f>IFERROR(__xludf.DUMMYFUNCTION("""COMPUTED_VALUE"""),0.0)</f>
        <v>0</v>
      </c>
      <c r="AC84" s="16">
        <f>IFERROR(__xludf.DUMMYFUNCTION("""COMPUTED_VALUE"""),0.0)</f>
        <v>0</v>
      </c>
      <c r="AD84" s="16">
        <f>IFERROR(__xludf.DUMMYFUNCTION("""COMPUTED_VALUE"""),0.0)</f>
        <v>0</v>
      </c>
      <c r="AE84" s="16">
        <f>IFERROR(__xludf.DUMMYFUNCTION("""COMPUTED_VALUE"""),0.0)</f>
        <v>0</v>
      </c>
      <c r="AF84" s="16">
        <f>IFERROR(__xludf.DUMMYFUNCTION("""COMPUTED_VALUE"""),0.0)</f>
        <v>0</v>
      </c>
      <c r="AG84" s="16">
        <f>IFERROR(__xludf.DUMMYFUNCTION("""COMPUTED_VALUE"""),0.0)</f>
        <v>0</v>
      </c>
      <c r="AH84" s="16">
        <f>IFERROR(__xludf.DUMMYFUNCTION("""COMPUTED_VALUE"""),0.0)</f>
        <v>0</v>
      </c>
    </row>
    <row r="85">
      <c r="A85" s="16" t="str">
        <f>IFERROR(__xludf.DUMMYFUNCTION("""COMPUTED_VALUE"""),"446d5769edafce0d5daf04c6cfc40515f289004f")</f>
        <v>446d5769edafce0d5daf04c6cfc40515f289004f</v>
      </c>
      <c r="B85" s="16" t="str">
        <f>IFERROR(__xludf.DUMMYFUNCTION("""COMPUTED_VALUE"""),"The Cloaked Mogul")</f>
        <v>The Cloaked Mogul</v>
      </c>
      <c r="C85" s="16" t="str">
        <f>IFERROR(__xludf.DUMMYFUNCTION("""COMPUTED_VALUE"""),"Drama")</f>
        <v>Drama</v>
      </c>
      <c r="D85" s="16">
        <f>IFERROR(__xludf.DUMMYFUNCTION("""COMPUTED_VALUE"""),2118.0)</f>
        <v>2118</v>
      </c>
      <c r="E85" s="16">
        <f>IFERROR(__xludf.DUMMYFUNCTION("""COMPUTED_VALUE"""),0.942870632672332)</f>
        <v>0.9428706327</v>
      </c>
      <c r="F85" s="16">
        <f>IFERROR(__xludf.DUMMYFUNCTION("""COMPUTED_VALUE"""),0.367327667610953)</f>
        <v>0.3673276676</v>
      </c>
      <c r="G85" s="16">
        <f>IFERROR(__xludf.DUMMYFUNCTION("""COMPUTED_VALUE"""),0.323418319169027)</f>
        <v>0.3234183192</v>
      </c>
      <c r="H85" s="16">
        <f>IFERROR(__xludf.DUMMYFUNCTION("""COMPUTED_VALUE"""),0.302171860245514)</f>
        <v>0.3021718602</v>
      </c>
      <c r="I85" s="16">
        <f>IFERROR(__xludf.DUMMYFUNCTION("""COMPUTED_VALUE"""),0.279279279279279)</f>
        <v>0.2792792793</v>
      </c>
      <c r="J85" s="16">
        <f>IFERROR(__xludf.DUMMYFUNCTION("""COMPUTED_VALUE"""),0.264957264957264)</f>
        <v>0.264957265</v>
      </c>
      <c r="K85" s="16">
        <f>IFERROR(__xludf.DUMMYFUNCTION("""COMPUTED_VALUE"""),0.256434699714013)</f>
        <v>0.2564346997</v>
      </c>
      <c r="L85" s="16">
        <f>IFERROR(__xludf.DUMMYFUNCTION("""COMPUTED_VALUE"""),0.24928092042186)</f>
        <v>0.2492809204</v>
      </c>
      <c r="M85" s="16">
        <f>IFERROR(__xludf.DUMMYFUNCTION("""COMPUTED_VALUE"""),0.244583533943187)</f>
        <v>0.2445835339</v>
      </c>
      <c r="N85" s="16">
        <f>IFERROR(__xludf.DUMMYFUNCTION("""COMPUTED_VALUE"""),0.23804925156929)</f>
        <v>0.2380492516</v>
      </c>
      <c r="O85" s="16">
        <f>IFERROR(__xludf.DUMMYFUNCTION("""COMPUTED_VALUE"""),0.225504677498769)</f>
        <v>0.2255046775</v>
      </c>
      <c r="P85" s="16">
        <f>IFERROR(__xludf.DUMMYFUNCTION("""COMPUTED_VALUE"""),0.180229655516724)</f>
        <v>0.1802296555</v>
      </c>
      <c r="Q85" s="16">
        <f>IFERROR(__xludf.DUMMYFUNCTION("""COMPUTED_VALUE"""),0.119897959183673)</f>
        <v>0.1198979592</v>
      </c>
      <c r="R85" s="16">
        <f>IFERROR(__xludf.DUMMYFUNCTION("""COMPUTED_VALUE"""),0.0797903319743739)</f>
        <v>0.07979033197</v>
      </c>
      <c r="S85" s="16">
        <f>IFERROR(__xludf.DUMMYFUNCTION("""COMPUTED_VALUE"""),0.0725490196078431)</f>
        <v>0.07254901961</v>
      </c>
      <c r="T85" s="16">
        <f>IFERROR(__xludf.DUMMYFUNCTION("""COMPUTED_VALUE"""),0.0801001251564455)</f>
        <v>0.08010012516</v>
      </c>
      <c r="U85" s="16">
        <f>IFERROR(__xludf.DUMMYFUNCTION("""COMPUTED_VALUE"""),0.0703448275862069)</f>
        <v>0.07034482759</v>
      </c>
      <c r="V85" s="16">
        <f>IFERROR(__xludf.DUMMYFUNCTION("""COMPUTED_VALUE"""),0.0570522979397781)</f>
        <v>0.05705229794</v>
      </c>
      <c r="W85" s="16">
        <f>IFERROR(__xludf.DUMMYFUNCTION("""COMPUTED_VALUE"""),0.0493827160493827)</f>
        <v>0.04938271605</v>
      </c>
      <c r="X85" s="16">
        <f>IFERROR(__xludf.DUMMYFUNCTION("""COMPUTED_VALUE"""),0.0)</f>
        <v>0</v>
      </c>
      <c r="Y85" s="16">
        <f>IFERROR(__xludf.DUMMYFUNCTION("""COMPUTED_VALUE"""),0.0)</f>
        <v>0</v>
      </c>
      <c r="Z85" s="16">
        <f>IFERROR(__xludf.DUMMYFUNCTION("""COMPUTED_VALUE"""),0.0)</f>
        <v>0</v>
      </c>
      <c r="AA85" s="16">
        <f>IFERROR(__xludf.DUMMYFUNCTION("""COMPUTED_VALUE"""),0.0)</f>
        <v>0</v>
      </c>
      <c r="AB85" s="16">
        <f>IFERROR(__xludf.DUMMYFUNCTION("""COMPUTED_VALUE"""),0.0)</f>
        <v>0</v>
      </c>
      <c r="AC85" s="16">
        <f>IFERROR(__xludf.DUMMYFUNCTION("""COMPUTED_VALUE"""),0.0)</f>
        <v>0</v>
      </c>
      <c r="AD85" s="16">
        <f>IFERROR(__xludf.DUMMYFUNCTION("""COMPUTED_VALUE"""),0.0)</f>
        <v>0</v>
      </c>
      <c r="AE85" s="16">
        <f>IFERROR(__xludf.DUMMYFUNCTION("""COMPUTED_VALUE"""),0.0)</f>
        <v>0</v>
      </c>
      <c r="AF85" s="16">
        <f>IFERROR(__xludf.DUMMYFUNCTION("""COMPUTED_VALUE"""),0.0)</f>
        <v>0</v>
      </c>
      <c r="AG85" s="16">
        <f>IFERROR(__xludf.DUMMYFUNCTION("""COMPUTED_VALUE"""),0.0)</f>
        <v>0</v>
      </c>
      <c r="AH85" s="16">
        <f>IFERROR(__xludf.DUMMYFUNCTION("""COMPUTED_VALUE"""),0.0)</f>
        <v>0</v>
      </c>
    </row>
    <row r="86">
      <c r="A86" s="16" t="str">
        <f>IFERROR(__xludf.DUMMYFUNCTION("""COMPUTED_VALUE"""),"44c616c59b6b2cd7fcb80263ece968b250ad9dbe")</f>
        <v>44c616c59b6b2cd7fcb80263ece968b250ad9dbe</v>
      </c>
      <c r="B86" s="16" t="str">
        <f>IFERROR(__xludf.DUMMYFUNCTION("""COMPUTED_VALUE"""),"Supreme Miracle Doctor")</f>
        <v>Supreme Miracle Doctor</v>
      </c>
      <c r="C86" s="16" t="str">
        <f>IFERROR(__xludf.DUMMYFUNCTION("""COMPUTED_VALUE"""),"Drama")</f>
        <v>Drama</v>
      </c>
      <c r="D86" s="16">
        <f>IFERROR(__xludf.DUMMYFUNCTION("""COMPUTED_VALUE"""),240.0)</f>
        <v>240</v>
      </c>
      <c r="E86" s="16">
        <f>IFERROR(__xludf.DUMMYFUNCTION("""COMPUTED_VALUE"""),0.983333333333333)</f>
        <v>0.9833333333</v>
      </c>
      <c r="F86" s="16">
        <f>IFERROR(__xludf.DUMMYFUNCTION("""COMPUTED_VALUE"""),0.470833333333333)</f>
        <v>0.4708333333</v>
      </c>
      <c r="G86" s="16">
        <f>IFERROR(__xludf.DUMMYFUNCTION("""COMPUTED_VALUE"""),0.3875)</f>
        <v>0.3875</v>
      </c>
      <c r="H86" s="16">
        <f>IFERROR(__xludf.DUMMYFUNCTION("""COMPUTED_VALUE"""),0.327731092436974)</f>
        <v>0.3277310924</v>
      </c>
      <c r="I86" s="16">
        <f>IFERROR(__xludf.DUMMYFUNCTION("""COMPUTED_VALUE"""),0.295358649789029)</f>
        <v>0.2953586498</v>
      </c>
      <c r="J86" s="16">
        <f>IFERROR(__xludf.DUMMYFUNCTION("""COMPUTED_VALUE"""),0.254310344827586)</f>
        <v>0.2543103448</v>
      </c>
      <c r="K86" s="16">
        <f>IFERROR(__xludf.DUMMYFUNCTION("""COMPUTED_VALUE"""),0.244444444444444)</f>
        <v>0.2444444444</v>
      </c>
      <c r="L86" s="16">
        <f>IFERROR(__xludf.DUMMYFUNCTION("""COMPUTED_VALUE"""),0.234741784037558)</f>
        <v>0.234741784</v>
      </c>
      <c r="M86" s="16">
        <f>IFERROR(__xludf.DUMMYFUNCTION("""COMPUTED_VALUE"""),0.214634146341463)</f>
        <v>0.2146341463</v>
      </c>
      <c r="N86" s="16">
        <f>IFERROR(__xludf.DUMMYFUNCTION("""COMPUTED_VALUE"""),0.19047619047619)</f>
        <v>0.1904761905</v>
      </c>
      <c r="O86" s="16">
        <f>IFERROR(__xludf.DUMMYFUNCTION("""COMPUTED_VALUE"""),0.0869565217391304)</f>
        <v>0.08695652174</v>
      </c>
      <c r="P86" s="16">
        <f>IFERROR(__xludf.DUMMYFUNCTION("""COMPUTED_VALUE"""),0.0520833333333333)</f>
        <v>0.05208333333</v>
      </c>
      <c r="Q86" s="16">
        <f>IFERROR(__xludf.DUMMYFUNCTION("""COMPUTED_VALUE"""),0.0)</f>
        <v>0</v>
      </c>
      <c r="R86" s="16">
        <f>IFERROR(__xludf.DUMMYFUNCTION("""COMPUTED_VALUE"""),0.0)</f>
        <v>0</v>
      </c>
      <c r="S86" s="16">
        <f>IFERROR(__xludf.DUMMYFUNCTION("""COMPUTED_VALUE"""),0.0)</f>
        <v>0</v>
      </c>
      <c r="T86" s="16">
        <f>IFERROR(__xludf.DUMMYFUNCTION("""COMPUTED_VALUE"""),0.0)</f>
        <v>0</v>
      </c>
      <c r="U86" s="16">
        <f>IFERROR(__xludf.DUMMYFUNCTION("""COMPUTED_VALUE"""),0.0)</f>
        <v>0</v>
      </c>
      <c r="V86" s="16">
        <f>IFERROR(__xludf.DUMMYFUNCTION("""COMPUTED_VALUE"""),0.0)</f>
        <v>0</v>
      </c>
      <c r="W86" s="16">
        <f>IFERROR(__xludf.DUMMYFUNCTION("""COMPUTED_VALUE"""),0.0)</f>
        <v>0</v>
      </c>
      <c r="X86" s="16">
        <f>IFERROR(__xludf.DUMMYFUNCTION("""COMPUTED_VALUE"""),0.0)</f>
        <v>0</v>
      </c>
      <c r="Y86" s="16">
        <f>IFERROR(__xludf.DUMMYFUNCTION("""COMPUTED_VALUE"""),0.0)</f>
        <v>0</v>
      </c>
      <c r="Z86" s="16">
        <f>IFERROR(__xludf.DUMMYFUNCTION("""COMPUTED_VALUE"""),0.0)</f>
        <v>0</v>
      </c>
      <c r="AA86" s="16">
        <f>IFERROR(__xludf.DUMMYFUNCTION("""COMPUTED_VALUE"""),0.0)</f>
        <v>0</v>
      </c>
      <c r="AB86" s="16">
        <f>IFERROR(__xludf.DUMMYFUNCTION("""COMPUTED_VALUE"""),0.0)</f>
        <v>0</v>
      </c>
      <c r="AC86" s="16">
        <f>IFERROR(__xludf.DUMMYFUNCTION("""COMPUTED_VALUE"""),0.0)</f>
        <v>0</v>
      </c>
      <c r="AD86" s="16">
        <f>IFERROR(__xludf.DUMMYFUNCTION("""COMPUTED_VALUE"""),0.0)</f>
        <v>0</v>
      </c>
      <c r="AE86" s="16">
        <f>IFERROR(__xludf.DUMMYFUNCTION("""COMPUTED_VALUE"""),0.0)</f>
        <v>0</v>
      </c>
      <c r="AF86" s="16">
        <f>IFERROR(__xludf.DUMMYFUNCTION("""COMPUTED_VALUE"""),0.0)</f>
        <v>0</v>
      </c>
      <c r="AG86" s="16">
        <f>IFERROR(__xludf.DUMMYFUNCTION("""COMPUTED_VALUE"""),0.0)</f>
        <v>0</v>
      </c>
      <c r="AH86" s="16">
        <f>IFERROR(__xludf.DUMMYFUNCTION("""COMPUTED_VALUE"""),0.0)</f>
        <v>0</v>
      </c>
    </row>
    <row r="87">
      <c r="A87" s="16" t="str">
        <f>IFERROR(__xludf.DUMMYFUNCTION("""COMPUTED_VALUE"""),"44f5a6fb4876567a5eec3722df1d0a3d436d8bdf")</f>
        <v>44f5a6fb4876567a5eec3722df1d0a3d436d8bdf</v>
      </c>
      <c r="B87" s="16" t="str">
        <f>IFERROR(__xludf.DUMMYFUNCTION("""COMPUTED_VALUE"""),"Alpha Kyros")</f>
        <v>Alpha Kyros</v>
      </c>
      <c r="C87" s="16" t="str">
        <f>IFERROR(__xludf.DUMMYFUNCTION("""COMPUTED_VALUE"""),"Romantasy")</f>
        <v>Romantasy</v>
      </c>
      <c r="D87" s="16">
        <f>IFERROR(__xludf.DUMMYFUNCTION("""COMPUTED_VALUE"""),5759.0)</f>
        <v>5759</v>
      </c>
      <c r="E87" s="16">
        <f>IFERROR(__xludf.DUMMYFUNCTION("""COMPUTED_VALUE"""),0.960930717138392)</f>
        <v>0.9609307171</v>
      </c>
      <c r="F87" s="16">
        <f>IFERROR(__xludf.DUMMYFUNCTION("""COMPUTED_VALUE"""),0.585865601666956)</f>
        <v>0.5858656017</v>
      </c>
      <c r="G87" s="16">
        <f>IFERROR(__xludf.DUMMYFUNCTION("""COMPUTED_VALUE"""),0.534467789546796)</f>
        <v>0.5344677895</v>
      </c>
      <c r="H87" s="16">
        <f>IFERROR(__xludf.DUMMYFUNCTION("""COMPUTED_VALUE"""),0.511114970475859)</f>
        <v>0.5111149705</v>
      </c>
      <c r="I87" s="16">
        <f>IFERROR(__xludf.DUMMYFUNCTION("""COMPUTED_VALUE"""),0.496001390820584)</f>
        <v>0.4960013908</v>
      </c>
      <c r="J87" s="16">
        <f>IFERROR(__xludf.DUMMYFUNCTION("""COMPUTED_VALUE"""),0.477209464161447)</f>
        <v>0.4772094642</v>
      </c>
      <c r="K87" s="16">
        <f>IFERROR(__xludf.DUMMYFUNCTION("""COMPUTED_VALUE"""),0.464148973198746)</f>
        <v>0.4641489732</v>
      </c>
      <c r="L87" s="16">
        <f>IFERROR(__xludf.DUMMYFUNCTION("""COMPUTED_VALUE"""),0.454925165332405)</f>
        <v>0.4549251653</v>
      </c>
      <c r="M87" s="16">
        <f>IFERROR(__xludf.DUMMYFUNCTION("""COMPUTED_VALUE"""),0.441581055197631)</f>
        <v>0.4415810552</v>
      </c>
      <c r="N87" s="16">
        <f>IFERROR(__xludf.DUMMYFUNCTION("""COMPUTED_VALUE"""),0.432828018818609)</f>
        <v>0.4328280188</v>
      </c>
      <c r="O87" s="16">
        <f>IFERROR(__xludf.DUMMYFUNCTION("""COMPUTED_VALUE"""),0.377245508982035)</f>
        <v>0.377245509</v>
      </c>
      <c r="P87" s="16">
        <f>IFERROR(__xludf.DUMMYFUNCTION("""COMPUTED_VALUE"""),0.32256257004109)</f>
        <v>0.32256257</v>
      </c>
      <c r="Q87" s="16">
        <f>IFERROR(__xludf.DUMMYFUNCTION("""COMPUTED_VALUE"""),0.176214405360134)</f>
        <v>0.1762144054</v>
      </c>
      <c r="R87" s="16">
        <f>IFERROR(__xludf.DUMMYFUNCTION("""COMPUTED_VALUE"""),0.0795847750865051)</f>
        <v>0.07958477509</v>
      </c>
      <c r="S87" s="16">
        <f>IFERROR(__xludf.DUMMYFUNCTION("""COMPUTED_VALUE"""),0.0)</f>
        <v>0</v>
      </c>
      <c r="T87" s="16">
        <f>IFERROR(__xludf.DUMMYFUNCTION("""COMPUTED_VALUE"""),0.0)</f>
        <v>0</v>
      </c>
      <c r="U87" s="16">
        <f>IFERROR(__xludf.DUMMYFUNCTION("""COMPUTED_VALUE"""),0.0)</f>
        <v>0</v>
      </c>
      <c r="V87" s="16">
        <f>IFERROR(__xludf.DUMMYFUNCTION("""COMPUTED_VALUE"""),0.0)</f>
        <v>0</v>
      </c>
      <c r="W87" s="16">
        <f>IFERROR(__xludf.DUMMYFUNCTION("""COMPUTED_VALUE"""),0.0)</f>
        <v>0</v>
      </c>
      <c r="X87" s="16">
        <f>IFERROR(__xludf.DUMMYFUNCTION("""COMPUTED_VALUE"""),0.0)</f>
        <v>0</v>
      </c>
      <c r="Y87" s="16">
        <f>IFERROR(__xludf.DUMMYFUNCTION("""COMPUTED_VALUE"""),0.0)</f>
        <v>0</v>
      </c>
      <c r="Z87" s="16">
        <f>IFERROR(__xludf.DUMMYFUNCTION("""COMPUTED_VALUE"""),0.0)</f>
        <v>0</v>
      </c>
      <c r="AA87" s="16">
        <f>IFERROR(__xludf.DUMMYFUNCTION("""COMPUTED_VALUE"""),0.0)</f>
        <v>0</v>
      </c>
      <c r="AB87" s="16">
        <f>IFERROR(__xludf.DUMMYFUNCTION("""COMPUTED_VALUE"""),0.0)</f>
        <v>0</v>
      </c>
      <c r="AC87" s="16">
        <f>IFERROR(__xludf.DUMMYFUNCTION("""COMPUTED_VALUE"""),0.0)</f>
        <v>0</v>
      </c>
      <c r="AD87" s="16">
        <f>IFERROR(__xludf.DUMMYFUNCTION("""COMPUTED_VALUE"""),0.0)</f>
        <v>0</v>
      </c>
      <c r="AE87" s="16">
        <f>IFERROR(__xludf.DUMMYFUNCTION("""COMPUTED_VALUE"""),0.0)</f>
        <v>0</v>
      </c>
      <c r="AF87" s="16">
        <f>IFERROR(__xludf.DUMMYFUNCTION("""COMPUTED_VALUE"""),0.0)</f>
        <v>0</v>
      </c>
      <c r="AG87" s="16">
        <f>IFERROR(__xludf.DUMMYFUNCTION("""COMPUTED_VALUE"""),0.0)</f>
        <v>0</v>
      </c>
      <c r="AH87" s="16">
        <f>IFERROR(__xludf.DUMMYFUNCTION("""COMPUTED_VALUE"""),0.0)</f>
        <v>0</v>
      </c>
    </row>
    <row r="88">
      <c r="A88" s="16" t="str">
        <f>IFERROR(__xludf.DUMMYFUNCTION("""COMPUTED_VALUE"""),"462b561ac0c6d238fc5ed6d8ce632a9e6a2152d9")</f>
        <v>462b561ac0c6d238fc5ed6d8ce632a9e6a2152d9</v>
      </c>
      <c r="B88" s="16" t="str">
        <f>IFERROR(__xludf.DUMMYFUNCTION("""COMPUTED_VALUE"""),"My Billionaire System")</f>
        <v>My Billionaire System</v>
      </c>
      <c r="C88" s="16" t="str">
        <f>IFERROR(__xludf.DUMMYFUNCTION("""COMPUTED_VALUE"""),"System and Superpower")</f>
        <v>System and Superpower</v>
      </c>
      <c r="D88" s="16">
        <f>IFERROR(__xludf.DUMMYFUNCTION("""COMPUTED_VALUE"""),120.0)</f>
        <v>120</v>
      </c>
      <c r="E88" s="16">
        <f>IFERROR(__xludf.DUMMYFUNCTION("""COMPUTED_VALUE"""),0.991666666666666)</f>
        <v>0.9916666667</v>
      </c>
      <c r="F88" s="16">
        <f>IFERROR(__xludf.DUMMYFUNCTION("""COMPUTED_VALUE"""),0.575)</f>
        <v>0.575</v>
      </c>
      <c r="G88" s="16">
        <f>IFERROR(__xludf.DUMMYFUNCTION("""COMPUTED_VALUE"""),0.483333333333333)</f>
        <v>0.4833333333</v>
      </c>
      <c r="H88" s="16">
        <f>IFERROR(__xludf.DUMMYFUNCTION("""COMPUTED_VALUE"""),0.416666666666666)</f>
        <v>0.4166666667</v>
      </c>
      <c r="I88" s="16">
        <f>IFERROR(__xludf.DUMMYFUNCTION("""COMPUTED_VALUE"""),0.358333333333333)</f>
        <v>0.3583333333</v>
      </c>
      <c r="J88" s="16">
        <f>IFERROR(__xludf.DUMMYFUNCTION("""COMPUTED_VALUE"""),0.308333333333333)</f>
        <v>0.3083333333</v>
      </c>
      <c r="K88" s="16">
        <f>IFERROR(__xludf.DUMMYFUNCTION("""COMPUTED_VALUE"""),0.258333333333333)</f>
        <v>0.2583333333</v>
      </c>
      <c r="L88" s="16">
        <f>IFERROR(__xludf.DUMMYFUNCTION("""COMPUTED_VALUE"""),0.226890756302521)</f>
        <v>0.2268907563</v>
      </c>
      <c r="M88" s="16">
        <f>IFERROR(__xludf.DUMMYFUNCTION("""COMPUTED_VALUE"""),0.211864406779661)</f>
        <v>0.2118644068</v>
      </c>
      <c r="N88" s="16">
        <f>IFERROR(__xludf.DUMMYFUNCTION("""COMPUTED_VALUE"""),0.186440677966101)</f>
        <v>0.186440678</v>
      </c>
      <c r="O88" s="16">
        <f>IFERROR(__xludf.DUMMYFUNCTION("""COMPUTED_VALUE"""),0.148514851485148)</f>
        <v>0.1485148515</v>
      </c>
      <c r="P88" s="16">
        <f>IFERROR(__xludf.DUMMYFUNCTION("""COMPUTED_VALUE"""),0.166666666666666)</f>
        <v>0.1666666667</v>
      </c>
      <c r="Q88" s="16">
        <f>IFERROR(__xludf.DUMMYFUNCTION("""COMPUTED_VALUE"""),0.0)</f>
        <v>0</v>
      </c>
      <c r="R88" s="16">
        <f>IFERROR(__xludf.DUMMYFUNCTION("""COMPUTED_VALUE"""),0.0)</f>
        <v>0</v>
      </c>
      <c r="S88" s="16">
        <f>IFERROR(__xludf.DUMMYFUNCTION("""COMPUTED_VALUE"""),0.0)</f>
        <v>0</v>
      </c>
      <c r="T88" s="16">
        <f>IFERROR(__xludf.DUMMYFUNCTION("""COMPUTED_VALUE"""),0.0)</f>
        <v>0</v>
      </c>
      <c r="U88" s="16">
        <f>IFERROR(__xludf.DUMMYFUNCTION("""COMPUTED_VALUE"""),0.0)</f>
        <v>0</v>
      </c>
      <c r="V88" s="16">
        <f>IFERROR(__xludf.DUMMYFUNCTION("""COMPUTED_VALUE"""),0.0)</f>
        <v>0</v>
      </c>
      <c r="W88" s="16">
        <f>IFERROR(__xludf.DUMMYFUNCTION("""COMPUTED_VALUE"""),0.0)</f>
        <v>0</v>
      </c>
      <c r="X88" s="16">
        <f>IFERROR(__xludf.DUMMYFUNCTION("""COMPUTED_VALUE"""),0.0)</f>
        <v>0</v>
      </c>
      <c r="Y88" s="16">
        <f>IFERROR(__xludf.DUMMYFUNCTION("""COMPUTED_VALUE"""),0.0)</f>
        <v>0</v>
      </c>
      <c r="Z88" s="16">
        <f>IFERROR(__xludf.DUMMYFUNCTION("""COMPUTED_VALUE"""),0.0)</f>
        <v>0</v>
      </c>
      <c r="AA88" s="16">
        <f>IFERROR(__xludf.DUMMYFUNCTION("""COMPUTED_VALUE"""),0.0)</f>
        <v>0</v>
      </c>
      <c r="AB88" s="16">
        <f>IFERROR(__xludf.DUMMYFUNCTION("""COMPUTED_VALUE"""),0.0)</f>
        <v>0</v>
      </c>
      <c r="AC88" s="16">
        <f>IFERROR(__xludf.DUMMYFUNCTION("""COMPUTED_VALUE"""),0.0)</f>
        <v>0</v>
      </c>
      <c r="AD88" s="16">
        <f>IFERROR(__xludf.DUMMYFUNCTION("""COMPUTED_VALUE"""),0.0)</f>
        <v>0</v>
      </c>
      <c r="AE88" s="16">
        <f>IFERROR(__xludf.DUMMYFUNCTION("""COMPUTED_VALUE"""),0.0)</f>
        <v>0</v>
      </c>
      <c r="AF88" s="16">
        <f>IFERROR(__xludf.DUMMYFUNCTION("""COMPUTED_VALUE"""),0.0)</f>
        <v>0</v>
      </c>
      <c r="AG88" s="16">
        <f>IFERROR(__xludf.DUMMYFUNCTION("""COMPUTED_VALUE"""),0.0)</f>
        <v>0</v>
      </c>
      <c r="AH88" s="16">
        <f>IFERROR(__xludf.DUMMYFUNCTION("""COMPUTED_VALUE"""),0.0)</f>
        <v>0</v>
      </c>
    </row>
    <row r="89">
      <c r="A89" s="16" t="str">
        <f>IFERROR(__xludf.DUMMYFUNCTION("""COMPUTED_VALUE"""),"46b27558432dbda1475a912729ae1e1dee8ac6fa")</f>
        <v>46b27558432dbda1475a912729ae1e1dee8ac6fa</v>
      </c>
      <c r="B89" s="16" t="str">
        <f>IFERROR(__xludf.DUMMYFUNCTION("""COMPUTED_VALUE"""),"Secrets of Thunder Eyes ")</f>
        <v>Secrets of Thunder Eyes </v>
      </c>
      <c r="C89" s="16" t="str">
        <f>IFERROR(__xludf.DUMMYFUNCTION("""COMPUTED_VALUE"""),"Fantasy")</f>
        <v>Fantasy</v>
      </c>
      <c r="D89" s="16">
        <f>IFERROR(__xludf.DUMMYFUNCTION("""COMPUTED_VALUE"""),47.0)</f>
        <v>47</v>
      </c>
      <c r="E89" s="16">
        <f>IFERROR(__xludf.DUMMYFUNCTION("""COMPUTED_VALUE"""),0.978723404255319)</f>
        <v>0.9787234043</v>
      </c>
      <c r="F89" s="16">
        <f>IFERROR(__xludf.DUMMYFUNCTION("""COMPUTED_VALUE"""),0.212765957446808)</f>
        <v>0.2127659574</v>
      </c>
      <c r="G89" s="16">
        <f>IFERROR(__xludf.DUMMYFUNCTION("""COMPUTED_VALUE"""),0.127659574468085)</f>
        <v>0.1276595745</v>
      </c>
      <c r="H89" s="16">
        <f>IFERROR(__xludf.DUMMYFUNCTION("""COMPUTED_VALUE"""),0.127659574468085)</f>
        <v>0.1276595745</v>
      </c>
      <c r="I89" s="16">
        <f>IFERROR(__xludf.DUMMYFUNCTION("""COMPUTED_VALUE"""),0.148936170212765)</f>
        <v>0.1489361702</v>
      </c>
      <c r="J89" s="16">
        <f>IFERROR(__xludf.DUMMYFUNCTION("""COMPUTED_VALUE"""),0.136363636363636)</f>
        <v>0.1363636364</v>
      </c>
      <c r="K89" s="16">
        <f>IFERROR(__xludf.DUMMYFUNCTION("""COMPUTED_VALUE"""),0.075)</f>
        <v>0.075</v>
      </c>
      <c r="L89" s="16">
        <f>IFERROR(__xludf.DUMMYFUNCTION("""COMPUTED_VALUE"""),0.108108108108108)</f>
        <v>0.1081081081</v>
      </c>
      <c r="M89" s="16">
        <f>IFERROR(__xludf.DUMMYFUNCTION("""COMPUTED_VALUE"""),0.0606060606060606)</f>
        <v>0.06060606061</v>
      </c>
      <c r="N89" s="16">
        <f>IFERROR(__xludf.DUMMYFUNCTION("""COMPUTED_VALUE"""),0.0344827586206896)</f>
        <v>0.03448275862</v>
      </c>
      <c r="O89" s="16">
        <f>IFERROR(__xludf.DUMMYFUNCTION("""COMPUTED_VALUE"""),0.0)</f>
        <v>0</v>
      </c>
      <c r="P89" s="16">
        <f>IFERROR(__xludf.DUMMYFUNCTION("""COMPUTED_VALUE"""),0.0)</f>
        <v>0</v>
      </c>
      <c r="Q89" s="16">
        <f>IFERROR(__xludf.DUMMYFUNCTION("""COMPUTED_VALUE"""),0.0)</f>
        <v>0</v>
      </c>
      <c r="R89" s="16">
        <f>IFERROR(__xludf.DUMMYFUNCTION("""COMPUTED_VALUE"""),0.0)</f>
        <v>0</v>
      </c>
      <c r="S89" s="16">
        <f>IFERROR(__xludf.DUMMYFUNCTION("""COMPUTED_VALUE"""),0.0)</f>
        <v>0</v>
      </c>
      <c r="T89" s="16">
        <f>IFERROR(__xludf.DUMMYFUNCTION("""COMPUTED_VALUE"""),0.0)</f>
        <v>0</v>
      </c>
      <c r="U89" s="16">
        <f>IFERROR(__xludf.DUMMYFUNCTION("""COMPUTED_VALUE"""),0.0)</f>
        <v>0</v>
      </c>
      <c r="V89" s="16">
        <f>IFERROR(__xludf.DUMMYFUNCTION("""COMPUTED_VALUE"""),0.0)</f>
        <v>0</v>
      </c>
      <c r="W89" s="16">
        <f>IFERROR(__xludf.DUMMYFUNCTION("""COMPUTED_VALUE"""),0.0)</f>
        <v>0</v>
      </c>
      <c r="X89" s="16">
        <f>IFERROR(__xludf.DUMMYFUNCTION("""COMPUTED_VALUE"""),0.0)</f>
        <v>0</v>
      </c>
      <c r="Y89" s="16">
        <f>IFERROR(__xludf.DUMMYFUNCTION("""COMPUTED_VALUE"""),0.0)</f>
        <v>0</v>
      </c>
      <c r="Z89" s="16">
        <f>IFERROR(__xludf.DUMMYFUNCTION("""COMPUTED_VALUE"""),0.0)</f>
        <v>0</v>
      </c>
      <c r="AA89" s="16">
        <f>IFERROR(__xludf.DUMMYFUNCTION("""COMPUTED_VALUE"""),0.0)</f>
        <v>0</v>
      </c>
      <c r="AB89" s="16">
        <f>IFERROR(__xludf.DUMMYFUNCTION("""COMPUTED_VALUE"""),0.0)</f>
        <v>0</v>
      </c>
      <c r="AC89" s="16">
        <f>IFERROR(__xludf.DUMMYFUNCTION("""COMPUTED_VALUE"""),0.0)</f>
        <v>0</v>
      </c>
      <c r="AD89" s="16">
        <f>IFERROR(__xludf.DUMMYFUNCTION("""COMPUTED_VALUE"""),0.0)</f>
        <v>0</v>
      </c>
      <c r="AE89" s="16">
        <f>IFERROR(__xludf.DUMMYFUNCTION("""COMPUTED_VALUE"""),0.0)</f>
        <v>0</v>
      </c>
      <c r="AF89" s="16">
        <f>IFERROR(__xludf.DUMMYFUNCTION("""COMPUTED_VALUE"""),0.0)</f>
        <v>0</v>
      </c>
      <c r="AG89" s="16">
        <f>IFERROR(__xludf.DUMMYFUNCTION("""COMPUTED_VALUE"""),0.0)</f>
        <v>0</v>
      </c>
      <c r="AH89" s="16">
        <f>IFERROR(__xludf.DUMMYFUNCTION("""COMPUTED_VALUE"""),0.0)</f>
        <v>0</v>
      </c>
    </row>
    <row r="90">
      <c r="A90" s="16" t="str">
        <f>IFERROR(__xludf.DUMMYFUNCTION("""COMPUTED_VALUE"""),"48b422f2dbf0dc909fde9fadad832fde3d20f4a4")</f>
        <v>48b422f2dbf0dc909fde9fadad832fde3d20f4a4</v>
      </c>
      <c r="B90" s="16" t="str">
        <f>IFERROR(__xludf.DUMMYFUNCTION("""COMPUTED_VALUE"""),"Bride of the Ice Ceo")</f>
        <v>Bride of the Ice Ceo</v>
      </c>
      <c r="C90" s="16" t="str">
        <f>IFERROR(__xludf.DUMMYFUNCTION("""COMPUTED_VALUE"""),"Romance")</f>
        <v>Romance</v>
      </c>
      <c r="D90" s="16">
        <f>IFERROR(__xludf.DUMMYFUNCTION("""COMPUTED_VALUE"""),1105.0)</f>
        <v>1105</v>
      </c>
      <c r="E90" s="16">
        <f>IFERROR(__xludf.DUMMYFUNCTION("""COMPUTED_VALUE"""),0.96289592760181)</f>
        <v>0.9628959276</v>
      </c>
      <c r="F90" s="16">
        <f>IFERROR(__xludf.DUMMYFUNCTION("""COMPUTED_VALUE"""),0.685067873303167)</f>
        <v>0.6850678733</v>
      </c>
      <c r="G90" s="16">
        <f>IFERROR(__xludf.DUMMYFUNCTION("""COMPUTED_VALUE"""),0.616289592760181)</f>
        <v>0.6162895928</v>
      </c>
      <c r="H90" s="16">
        <f>IFERROR(__xludf.DUMMYFUNCTION("""COMPUTED_VALUE"""),0.585144927536231)</f>
        <v>0.5851449275</v>
      </c>
      <c r="I90" s="16">
        <f>IFERROR(__xludf.DUMMYFUNCTION("""COMPUTED_VALUE"""),0.543478260869565)</f>
        <v>0.5434782609</v>
      </c>
      <c r="J90" s="16">
        <f>IFERROR(__xludf.DUMMYFUNCTION("""COMPUTED_VALUE"""),0.521778584392014)</f>
        <v>0.5217785844</v>
      </c>
      <c r="K90" s="16">
        <f>IFERROR(__xludf.DUMMYFUNCTION("""COMPUTED_VALUE"""),0.496821071752951)</f>
        <v>0.4968210718</v>
      </c>
      <c r="L90" s="16">
        <f>IFERROR(__xludf.DUMMYFUNCTION("""COMPUTED_VALUE"""),0.487738419618528)</f>
        <v>0.4877384196</v>
      </c>
      <c r="M90" s="16">
        <f>IFERROR(__xludf.DUMMYFUNCTION("""COMPUTED_VALUE"""),0.477231329690346)</f>
        <v>0.4772313297</v>
      </c>
      <c r="N90" s="16">
        <f>IFERROR(__xludf.DUMMYFUNCTION("""COMPUTED_VALUE"""),0.45096241979835)</f>
        <v>0.4509624198</v>
      </c>
      <c r="O90" s="16">
        <f>IFERROR(__xludf.DUMMYFUNCTION("""COMPUTED_VALUE"""),0.392720306513409)</f>
        <v>0.3927203065</v>
      </c>
      <c r="P90" s="16">
        <f>IFERROR(__xludf.DUMMYFUNCTION("""COMPUTED_VALUE"""),0.317047817047817)</f>
        <v>0.317047817</v>
      </c>
      <c r="Q90" s="16">
        <f>IFERROR(__xludf.DUMMYFUNCTION("""COMPUTED_VALUE"""),0.196721311475409)</f>
        <v>0.1967213115</v>
      </c>
      <c r="R90" s="16">
        <f>IFERROR(__xludf.DUMMYFUNCTION("""COMPUTED_VALUE"""),0.131399317406143)</f>
        <v>0.1313993174</v>
      </c>
      <c r="S90" s="16">
        <f>IFERROR(__xludf.DUMMYFUNCTION("""COMPUTED_VALUE"""),0.0)</f>
        <v>0</v>
      </c>
      <c r="T90" s="16">
        <f>IFERROR(__xludf.DUMMYFUNCTION("""COMPUTED_VALUE"""),0.0)</f>
        <v>0</v>
      </c>
      <c r="U90" s="16">
        <f>IFERROR(__xludf.DUMMYFUNCTION("""COMPUTED_VALUE"""),0.0)</f>
        <v>0</v>
      </c>
      <c r="V90" s="16">
        <f>IFERROR(__xludf.DUMMYFUNCTION("""COMPUTED_VALUE"""),0.0)</f>
        <v>0</v>
      </c>
      <c r="W90" s="16">
        <f>IFERROR(__xludf.DUMMYFUNCTION("""COMPUTED_VALUE"""),0.0)</f>
        <v>0</v>
      </c>
      <c r="X90" s="16">
        <f>IFERROR(__xludf.DUMMYFUNCTION("""COMPUTED_VALUE"""),0.0)</f>
        <v>0</v>
      </c>
      <c r="Y90" s="16">
        <f>IFERROR(__xludf.DUMMYFUNCTION("""COMPUTED_VALUE"""),0.0)</f>
        <v>0</v>
      </c>
      <c r="Z90" s="16">
        <f>IFERROR(__xludf.DUMMYFUNCTION("""COMPUTED_VALUE"""),0.0)</f>
        <v>0</v>
      </c>
      <c r="AA90" s="16">
        <f>IFERROR(__xludf.DUMMYFUNCTION("""COMPUTED_VALUE"""),0.0)</f>
        <v>0</v>
      </c>
      <c r="AB90" s="16">
        <f>IFERROR(__xludf.DUMMYFUNCTION("""COMPUTED_VALUE"""),0.0)</f>
        <v>0</v>
      </c>
      <c r="AC90" s="16">
        <f>IFERROR(__xludf.DUMMYFUNCTION("""COMPUTED_VALUE"""),0.0)</f>
        <v>0</v>
      </c>
      <c r="AD90" s="16">
        <f>IFERROR(__xludf.DUMMYFUNCTION("""COMPUTED_VALUE"""),0.0)</f>
        <v>0</v>
      </c>
      <c r="AE90" s="16">
        <f>IFERROR(__xludf.DUMMYFUNCTION("""COMPUTED_VALUE"""),0.0)</f>
        <v>0</v>
      </c>
      <c r="AF90" s="16">
        <f>IFERROR(__xludf.DUMMYFUNCTION("""COMPUTED_VALUE"""),0.0)</f>
        <v>0</v>
      </c>
      <c r="AG90" s="16">
        <f>IFERROR(__xludf.DUMMYFUNCTION("""COMPUTED_VALUE"""),0.0)</f>
        <v>0</v>
      </c>
      <c r="AH90" s="16">
        <f>IFERROR(__xludf.DUMMYFUNCTION("""COMPUTED_VALUE"""),0.0)</f>
        <v>0</v>
      </c>
    </row>
    <row r="91">
      <c r="A91" s="16" t="str">
        <f>IFERROR(__xludf.DUMMYFUNCTION("""COMPUTED_VALUE"""),"4a310051c4c56c2fab46c3a7f528a09901399ecd")</f>
        <v>4a310051c4c56c2fab46c3a7f528a09901399ecd</v>
      </c>
      <c r="B91" s="16" t="str">
        <f>IFERROR(__xludf.DUMMYFUNCTION("""COMPUTED_VALUE"""),"Strongest Warlock ")</f>
        <v>Strongest Warlock </v>
      </c>
      <c r="C91" s="16" t="str">
        <f>IFERROR(__xludf.DUMMYFUNCTION("""COMPUTED_VALUE"""),"Fantasy")</f>
        <v>Fantasy</v>
      </c>
      <c r="D91" s="16">
        <f>IFERROR(__xludf.DUMMYFUNCTION("""COMPUTED_VALUE"""),17308.0)</f>
        <v>17308</v>
      </c>
      <c r="E91" s="16">
        <f>IFERROR(__xludf.DUMMYFUNCTION("""COMPUTED_VALUE"""),0.943898775132886)</f>
        <v>0.9438987751</v>
      </c>
      <c r="F91" s="16">
        <f>IFERROR(__xludf.DUMMYFUNCTION("""COMPUTED_VALUE"""),0.479027039519297)</f>
        <v>0.4790270395</v>
      </c>
      <c r="G91" s="16">
        <f>IFERROR(__xludf.DUMMYFUNCTION("""COMPUTED_VALUE"""),0.428876819967645)</f>
        <v>0.42887682</v>
      </c>
      <c r="H91" s="16">
        <f>IFERROR(__xludf.DUMMYFUNCTION("""COMPUTED_VALUE"""),0.395674300254452)</f>
        <v>0.3956743003</v>
      </c>
      <c r="I91" s="16">
        <f>IFERROR(__xludf.DUMMYFUNCTION("""COMPUTED_VALUE"""),0.369595456126115)</f>
        <v>0.3695954561</v>
      </c>
      <c r="J91" s="16">
        <f>IFERROR(__xludf.DUMMYFUNCTION("""COMPUTED_VALUE"""),0.353525380415843)</f>
        <v>0.3535253804</v>
      </c>
      <c r="K91" s="16">
        <f>IFERROR(__xludf.DUMMYFUNCTION("""COMPUTED_VALUE"""),0.334245140263066)</f>
        <v>0.3342451403</v>
      </c>
      <c r="L91" s="16">
        <f>IFERROR(__xludf.DUMMYFUNCTION("""COMPUTED_VALUE"""),0.322356513107958)</f>
        <v>0.3223565131</v>
      </c>
      <c r="M91" s="16">
        <f>IFERROR(__xludf.DUMMYFUNCTION("""COMPUTED_VALUE"""),0.311377595788242)</f>
        <v>0.3113775958</v>
      </c>
      <c r="N91" s="16">
        <f>IFERROR(__xludf.DUMMYFUNCTION("""COMPUTED_VALUE"""),0.302644695947927)</f>
        <v>0.3026446959</v>
      </c>
      <c r="O91" s="16">
        <f>IFERROR(__xludf.DUMMYFUNCTION("""COMPUTED_VALUE"""),0.266658748069842)</f>
        <v>0.2666587481</v>
      </c>
      <c r="P91" s="16">
        <f>IFERROR(__xludf.DUMMYFUNCTION("""COMPUTED_VALUE"""),0.233438485804416)</f>
        <v>0.2334384858</v>
      </c>
      <c r="Q91" s="16">
        <f>IFERROR(__xludf.DUMMYFUNCTION("""COMPUTED_VALUE"""),0.175687554941604)</f>
        <v>0.1756875549</v>
      </c>
      <c r="R91" s="16">
        <f>IFERROR(__xludf.DUMMYFUNCTION("""COMPUTED_VALUE"""),0.141212586339217)</f>
        <v>0.1412125863</v>
      </c>
      <c r="S91" s="16">
        <f>IFERROR(__xludf.DUMMYFUNCTION("""COMPUTED_VALUE"""),0.117666232073011)</f>
        <v>0.1176662321</v>
      </c>
      <c r="T91" s="16">
        <f>IFERROR(__xludf.DUMMYFUNCTION("""COMPUTED_VALUE"""),0.102803738317757)</f>
        <v>0.1028037383</v>
      </c>
      <c r="U91" s="16">
        <f>IFERROR(__xludf.DUMMYFUNCTION("""COMPUTED_VALUE"""),0.0934043701106015)</f>
        <v>0.09340437011</v>
      </c>
      <c r="V91" s="16">
        <f>IFERROR(__xludf.DUMMYFUNCTION("""COMPUTED_VALUE"""),0.0856828496767982)</f>
        <v>0.08568284968</v>
      </c>
      <c r="W91" s="16">
        <f>IFERROR(__xludf.DUMMYFUNCTION("""COMPUTED_VALUE"""),0.0785799480811057)</f>
        <v>0.07857994808</v>
      </c>
      <c r="X91" s="16">
        <f>IFERROR(__xludf.DUMMYFUNCTION("""COMPUTED_VALUE"""),0.0673860225811062)</f>
        <v>0.06738602258</v>
      </c>
      <c r="Y91" s="16">
        <f>IFERROR(__xludf.DUMMYFUNCTION("""COMPUTED_VALUE"""),0.058315804743599)</f>
        <v>0.05831580474</v>
      </c>
      <c r="Z91" s="16">
        <f>IFERROR(__xludf.DUMMYFUNCTION("""COMPUTED_VALUE"""),0.0450536528002351)</f>
        <v>0.0450536528</v>
      </c>
      <c r="AA91" s="16">
        <f>IFERROR(__xludf.DUMMYFUNCTION("""COMPUTED_VALUE"""),0.036826772241727)</f>
        <v>0.03682677224</v>
      </c>
      <c r="AB91" s="16">
        <f>IFERROR(__xludf.DUMMYFUNCTION("""COMPUTED_VALUE"""),0.00806083650190114)</f>
        <v>0.008060836502</v>
      </c>
      <c r="AC91" s="16">
        <f>IFERROR(__xludf.DUMMYFUNCTION("""COMPUTED_VALUE"""),0.00321724443014558)</f>
        <v>0.00321724443</v>
      </c>
      <c r="AD91" s="16">
        <f>IFERROR(__xludf.DUMMYFUNCTION("""COMPUTED_VALUE"""),0.0)</f>
        <v>0</v>
      </c>
      <c r="AE91" s="16">
        <f>IFERROR(__xludf.DUMMYFUNCTION("""COMPUTED_VALUE"""),0.0)</f>
        <v>0</v>
      </c>
      <c r="AF91" s="16">
        <f>IFERROR(__xludf.DUMMYFUNCTION("""COMPUTED_VALUE"""),0.0)</f>
        <v>0</v>
      </c>
      <c r="AG91" s="16">
        <f>IFERROR(__xludf.DUMMYFUNCTION("""COMPUTED_VALUE"""),0.0)</f>
        <v>0</v>
      </c>
      <c r="AH91" s="16">
        <f>IFERROR(__xludf.DUMMYFUNCTION("""COMPUTED_VALUE"""),0.0)</f>
        <v>0</v>
      </c>
    </row>
    <row r="92">
      <c r="A92" s="16" t="str">
        <f>IFERROR(__xludf.DUMMYFUNCTION("""COMPUTED_VALUE"""),"4b2d918a2f639175cf29754151e058356b36f273")</f>
        <v>4b2d918a2f639175cf29754151e058356b36f273</v>
      </c>
      <c r="B92" s="16" t="str">
        <f>IFERROR(__xludf.DUMMYFUNCTION("""COMPUTED_VALUE"""),"Surviving Zombies Rising")</f>
        <v>Surviving Zombies Rising</v>
      </c>
      <c r="C92" s="16" t="str">
        <f>IFERROR(__xludf.DUMMYFUNCTION("""COMPUTED_VALUE"""),"Sci-Fi")</f>
        <v>Sci-Fi</v>
      </c>
      <c r="D92" s="16">
        <f>IFERROR(__xludf.DUMMYFUNCTION("""COMPUTED_VALUE"""),177.0)</f>
        <v>177</v>
      </c>
      <c r="E92" s="16">
        <f>IFERROR(__xludf.DUMMYFUNCTION("""COMPUTED_VALUE"""),0.96045197740113)</f>
        <v>0.9604519774</v>
      </c>
      <c r="F92" s="16">
        <f>IFERROR(__xludf.DUMMYFUNCTION("""COMPUTED_VALUE"""),0.576271186440678)</f>
        <v>0.5762711864</v>
      </c>
      <c r="G92" s="16">
        <f>IFERROR(__xludf.DUMMYFUNCTION("""COMPUTED_VALUE"""),0.468926553672316)</f>
        <v>0.4689265537</v>
      </c>
      <c r="H92" s="16">
        <f>IFERROR(__xludf.DUMMYFUNCTION("""COMPUTED_VALUE"""),0.389830508474576)</f>
        <v>0.3898305085</v>
      </c>
      <c r="I92" s="16">
        <f>IFERROR(__xludf.DUMMYFUNCTION("""COMPUTED_VALUE"""),0.364161849710982)</f>
        <v>0.3641618497</v>
      </c>
      <c r="J92" s="16">
        <f>IFERROR(__xludf.DUMMYFUNCTION("""COMPUTED_VALUE"""),0.350877192982456)</f>
        <v>0.350877193</v>
      </c>
      <c r="K92" s="16">
        <f>IFERROR(__xludf.DUMMYFUNCTION("""COMPUTED_VALUE"""),0.339285714285714)</f>
        <v>0.3392857143</v>
      </c>
      <c r="L92" s="16">
        <f>IFERROR(__xludf.DUMMYFUNCTION("""COMPUTED_VALUE"""),0.335365853658536)</f>
        <v>0.3353658537</v>
      </c>
      <c r="M92" s="16">
        <f>IFERROR(__xludf.DUMMYFUNCTION("""COMPUTED_VALUE"""),0.341463414634146)</f>
        <v>0.3414634146</v>
      </c>
      <c r="N92" s="16">
        <f>IFERROR(__xludf.DUMMYFUNCTION("""COMPUTED_VALUE"""),0.314814814814814)</f>
        <v>0.3148148148</v>
      </c>
      <c r="O92" s="16">
        <f>IFERROR(__xludf.DUMMYFUNCTION("""COMPUTED_VALUE"""),0.278145695364238)</f>
        <v>0.2781456954</v>
      </c>
      <c r="P92" s="16">
        <f>IFERROR(__xludf.DUMMYFUNCTION("""COMPUTED_VALUE"""),0.259259259259259)</f>
        <v>0.2592592593</v>
      </c>
      <c r="Q92" s="16">
        <f>IFERROR(__xludf.DUMMYFUNCTION("""COMPUTED_VALUE"""),0.173333333333333)</f>
        <v>0.1733333333</v>
      </c>
      <c r="R92" s="16">
        <f>IFERROR(__xludf.DUMMYFUNCTION("""COMPUTED_VALUE"""),0.0)</f>
        <v>0</v>
      </c>
      <c r="S92" s="16">
        <f>IFERROR(__xludf.DUMMYFUNCTION("""COMPUTED_VALUE"""),0.0)</f>
        <v>0</v>
      </c>
      <c r="T92" s="16">
        <f>IFERROR(__xludf.DUMMYFUNCTION("""COMPUTED_VALUE"""),0.0)</f>
        <v>0</v>
      </c>
      <c r="U92" s="16">
        <f>IFERROR(__xludf.DUMMYFUNCTION("""COMPUTED_VALUE"""),0.0)</f>
        <v>0</v>
      </c>
      <c r="V92" s="16">
        <f>IFERROR(__xludf.DUMMYFUNCTION("""COMPUTED_VALUE"""),0.0)</f>
        <v>0</v>
      </c>
      <c r="W92" s="16">
        <f>IFERROR(__xludf.DUMMYFUNCTION("""COMPUTED_VALUE"""),0.0)</f>
        <v>0</v>
      </c>
      <c r="X92" s="16">
        <f>IFERROR(__xludf.DUMMYFUNCTION("""COMPUTED_VALUE"""),0.0)</f>
        <v>0</v>
      </c>
      <c r="Y92" s="16">
        <f>IFERROR(__xludf.DUMMYFUNCTION("""COMPUTED_VALUE"""),0.0)</f>
        <v>0</v>
      </c>
      <c r="Z92" s="16">
        <f>IFERROR(__xludf.DUMMYFUNCTION("""COMPUTED_VALUE"""),0.0)</f>
        <v>0</v>
      </c>
      <c r="AA92" s="16">
        <f>IFERROR(__xludf.DUMMYFUNCTION("""COMPUTED_VALUE"""),0.0)</f>
        <v>0</v>
      </c>
      <c r="AB92" s="16">
        <f>IFERROR(__xludf.DUMMYFUNCTION("""COMPUTED_VALUE"""),0.0)</f>
        <v>0</v>
      </c>
      <c r="AC92" s="16">
        <f>IFERROR(__xludf.DUMMYFUNCTION("""COMPUTED_VALUE"""),0.0)</f>
        <v>0</v>
      </c>
      <c r="AD92" s="16">
        <f>IFERROR(__xludf.DUMMYFUNCTION("""COMPUTED_VALUE"""),0.0)</f>
        <v>0</v>
      </c>
      <c r="AE92" s="16">
        <f>IFERROR(__xludf.DUMMYFUNCTION("""COMPUTED_VALUE"""),0.0)</f>
        <v>0</v>
      </c>
      <c r="AF92" s="16">
        <f>IFERROR(__xludf.DUMMYFUNCTION("""COMPUTED_VALUE"""),0.0)</f>
        <v>0</v>
      </c>
      <c r="AG92" s="16">
        <f>IFERROR(__xludf.DUMMYFUNCTION("""COMPUTED_VALUE"""),0.0)</f>
        <v>0</v>
      </c>
      <c r="AH92" s="16">
        <f>IFERROR(__xludf.DUMMYFUNCTION("""COMPUTED_VALUE"""),0.0)</f>
        <v>0</v>
      </c>
    </row>
    <row r="93">
      <c r="A93" s="16" t="str">
        <f>IFERROR(__xludf.DUMMYFUNCTION("""COMPUTED_VALUE"""),"4bb85319b3dd3ab4ec654bdd13098e3f37cb3e3b")</f>
        <v>4bb85319b3dd3ab4ec654bdd13098e3f37cb3e3b</v>
      </c>
      <c r="B93" s="16" t="str">
        <f>IFERROR(__xludf.DUMMYFUNCTION("""COMPUTED_VALUE"""),"Shadowed Wealth")</f>
        <v>Shadowed Wealth</v>
      </c>
      <c r="C93" s="16" t="str">
        <f>IFERROR(__xludf.DUMMYFUNCTION("""COMPUTED_VALUE"""),"System and Superpower")</f>
        <v>System and Superpower</v>
      </c>
      <c r="D93" s="16">
        <f>IFERROR(__xludf.DUMMYFUNCTION("""COMPUTED_VALUE"""),65.0)</f>
        <v>65</v>
      </c>
      <c r="E93" s="16">
        <f>IFERROR(__xludf.DUMMYFUNCTION("""COMPUTED_VALUE"""),0.923076923076923)</f>
        <v>0.9230769231</v>
      </c>
      <c r="F93" s="16">
        <f>IFERROR(__xludf.DUMMYFUNCTION("""COMPUTED_VALUE"""),0.553846153846153)</f>
        <v>0.5538461538</v>
      </c>
      <c r="G93" s="16">
        <f>IFERROR(__xludf.DUMMYFUNCTION("""COMPUTED_VALUE"""),0.507692307692307)</f>
        <v>0.5076923077</v>
      </c>
      <c r="H93" s="16">
        <f>IFERROR(__xludf.DUMMYFUNCTION("""COMPUTED_VALUE"""),0.461538461538461)</f>
        <v>0.4615384615</v>
      </c>
      <c r="I93" s="16">
        <f>IFERROR(__xludf.DUMMYFUNCTION("""COMPUTED_VALUE"""),0.4)</f>
        <v>0.4</v>
      </c>
      <c r="J93" s="16">
        <f>IFERROR(__xludf.DUMMYFUNCTION("""COMPUTED_VALUE"""),0.353846153846153)</f>
        <v>0.3538461538</v>
      </c>
      <c r="K93" s="16">
        <f>IFERROR(__xludf.DUMMYFUNCTION("""COMPUTED_VALUE"""),0.353846153846153)</f>
        <v>0.3538461538</v>
      </c>
      <c r="L93" s="16">
        <f>IFERROR(__xludf.DUMMYFUNCTION("""COMPUTED_VALUE"""),0.323076923076923)</f>
        <v>0.3230769231</v>
      </c>
      <c r="M93" s="16">
        <f>IFERROR(__xludf.DUMMYFUNCTION("""COMPUTED_VALUE"""),0.292307692307692)</f>
        <v>0.2923076923</v>
      </c>
      <c r="N93" s="16">
        <f>IFERROR(__xludf.DUMMYFUNCTION("""COMPUTED_VALUE"""),0.307692307692307)</f>
        <v>0.3076923077</v>
      </c>
      <c r="O93" s="16">
        <f>IFERROR(__xludf.DUMMYFUNCTION("""COMPUTED_VALUE"""),0.215384615384615)</f>
        <v>0.2153846154</v>
      </c>
      <c r="P93" s="16">
        <f>IFERROR(__xludf.DUMMYFUNCTION("""COMPUTED_VALUE"""),0.138461538461538)</f>
        <v>0.1384615385</v>
      </c>
      <c r="Q93" s="16">
        <f>IFERROR(__xludf.DUMMYFUNCTION("""COMPUTED_VALUE"""),0.078125)</f>
        <v>0.078125</v>
      </c>
      <c r="R93" s="16">
        <f>IFERROR(__xludf.DUMMYFUNCTION("""COMPUTED_VALUE"""),0.0)</f>
        <v>0</v>
      </c>
      <c r="S93" s="16">
        <f>IFERROR(__xludf.DUMMYFUNCTION("""COMPUTED_VALUE"""),0.0)</f>
        <v>0</v>
      </c>
      <c r="T93" s="16">
        <f>IFERROR(__xludf.DUMMYFUNCTION("""COMPUTED_VALUE"""),0.0)</f>
        <v>0</v>
      </c>
      <c r="U93" s="16">
        <f>IFERROR(__xludf.DUMMYFUNCTION("""COMPUTED_VALUE"""),0.0)</f>
        <v>0</v>
      </c>
      <c r="V93" s="16">
        <f>IFERROR(__xludf.DUMMYFUNCTION("""COMPUTED_VALUE"""),0.0)</f>
        <v>0</v>
      </c>
      <c r="W93" s="16">
        <f>IFERROR(__xludf.DUMMYFUNCTION("""COMPUTED_VALUE"""),0.0)</f>
        <v>0</v>
      </c>
      <c r="X93" s="16">
        <f>IFERROR(__xludf.DUMMYFUNCTION("""COMPUTED_VALUE"""),0.0)</f>
        <v>0</v>
      </c>
      <c r="Y93" s="16">
        <f>IFERROR(__xludf.DUMMYFUNCTION("""COMPUTED_VALUE"""),0.0)</f>
        <v>0</v>
      </c>
      <c r="Z93" s="16">
        <f>IFERROR(__xludf.DUMMYFUNCTION("""COMPUTED_VALUE"""),0.0)</f>
        <v>0</v>
      </c>
      <c r="AA93" s="16">
        <f>IFERROR(__xludf.DUMMYFUNCTION("""COMPUTED_VALUE"""),0.0)</f>
        <v>0</v>
      </c>
      <c r="AB93" s="16">
        <f>IFERROR(__xludf.DUMMYFUNCTION("""COMPUTED_VALUE"""),0.0)</f>
        <v>0</v>
      </c>
      <c r="AC93" s="16">
        <f>IFERROR(__xludf.DUMMYFUNCTION("""COMPUTED_VALUE"""),0.0)</f>
        <v>0</v>
      </c>
      <c r="AD93" s="16">
        <f>IFERROR(__xludf.DUMMYFUNCTION("""COMPUTED_VALUE"""),0.0)</f>
        <v>0</v>
      </c>
      <c r="AE93" s="16">
        <f>IFERROR(__xludf.DUMMYFUNCTION("""COMPUTED_VALUE"""),0.0)</f>
        <v>0</v>
      </c>
      <c r="AF93" s="16">
        <f>IFERROR(__xludf.DUMMYFUNCTION("""COMPUTED_VALUE"""),0.0)</f>
        <v>0</v>
      </c>
      <c r="AG93" s="16">
        <f>IFERROR(__xludf.DUMMYFUNCTION("""COMPUTED_VALUE"""),0.0)</f>
        <v>0</v>
      </c>
      <c r="AH93" s="16">
        <f>IFERROR(__xludf.DUMMYFUNCTION("""COMPUTED_VALUE"""),0.0)</f>
        <v>0</v>
      </c>
    </row>
    <row r="94">
      <c r="A94" s="16" t="str">
        <f>IFERROR(__xludf.DUMMYFUNCTION("""COMPUTED_VALUE"""),"4c43207d3f7885c90d8aaafbb8952de80561f21d")</f>
        <v>4c43207d3f7885c90d8aaafbb8952de80561f21d</v>
      </c>
      <c r="B94" s="16" t="str">
        <f>IFERROR(__xludf.DUMMYFUNCTION("""COMPUTED_VALUE"""),"The Boss &amp; His Fake Wife")</f>
        <v>The Boss &amp; His Fake Wife</v>
      </c>
      <c r="C94" s="16" t="str">
        <f>IFERROR(__xludf.DUMMYFUNCTION("""COMPUTED_VALUE"""),"Romance")</f>
        <v>Romance</v>
      </c>
      <c r="D94" s="16">
        <f>IFERROR(__xludf.DUMMYFUNCTION("""COMPUTED_VALUE"""),1012.0)</f>
        <v>1012</v>
      </c>
      <c r="E94" s="16">
        <f>IFERROR(__xludf.DUMMYFUNCTION("""COMPUTED_VALUE"""),0.965415019762845)</f>
        <v>0.9654150198</v>
      </c>
      <c r="F94" s="16">
        <f>IFERROR(__xludf.DUMMYFUNCTION("""COMPUTED_VALUE"""),0.592885375494071)</f>
        <v>0.5928853755</v>
      </c>
      <c r="G94" s="16">
        <f>IFERROR(__xludf.DUMMYFUNCTION("""COMPUTED_VALUE"""),0.550395256916996)</f>
        <v>0.5503952569</v>
      </c>
      <c r="H94" s="16">
        <f>IFERROR(__xludf.DUMMYFUNCTION("""COMPUTED_VALUE"""),0.534260178748758)</f>
        <v>0.5342601787</v>
      </c>
      <c r="I94" s="16">
        <f>IFERROR(__xludf.DUMMYFUNCTION("""COMPUTED_VALUE"""),0.509513742071881)</f>
        <v>0.5095137421</v>
      </c>
      <c r="J94" s="16">
        <f>IFERROR(__xludf.DUMMYFUNCTION("""COMPUTED_VALUE"""),0.491926803013993)</f>
        <v>0.491926803</v>
      </c>
      <c r="K94" s="16">
        <f>IFERROR(__xludf.DUMMYFUNCTION("""COMPUTED_VALUE"""),0.464975845410628)</f>
        <v>0.4649758454</v>
      </c>
      <c r="L94" s="16">
        <f>IFERROR(__xludf.DUMMYFUNCTION("""COMPUTED_VALUE"""),0.436728395061728)</f>
        <v>0.4367283951</v>
      </c>
      <c r="M94" s="16">
        <f>IFERROR(__xludf.DUMMYFUNCTION("""COMPUTED_VALUE"""),0.430817610062893)</f>
        <v>0.4308176101</v>
      </c>
      <c r="N94" s="16">
        <f>IFERROR(__xludf.DUMMYFUNCTION("""COMPUTED_VALUE"""),0.406299212598425)</f>
        <v>0.4062992126</v>
      </c>
      <c r="O94" s="16">
        <f>IFERROR(__xludf.DUMMYFUNCTION("""COMPUTED_VALUE"""),0.365217391304347)</f>
        <v>0.3652173913</v>
      </c>
      <c r="P94" s="16">
        <f>IFERROR(__xludf.DUMMYFUNCTION("""COMPUTED_VALUE"""),0.266233766233766)</f>
        <v>0.2662337662</v>
      </c>
      <c r="Q94" s="16">
        <f>IFERROR(__xludf.DUMMYFUNCTION("""COMPUTED_VALUE"""),0.0)</f>
        <v>0</v>
      </c>
      <c r="R94" s="16">
        <f>IFERROR(__xludf.DUMMYFUNCTION("""COMPUTED_VALUE"""),0.0)</f>
        <v>0</v>
      </c>
      <c r="S94" s="16">
        <f>IFERROR(__xludf.DUMMYFUNCTION("""COMPUTED_VALUE"""),0.0)</f>
        <v>0</v>
      </c>
      <c r="T94" s="16">
        <f>IFERROR(__xludf.DUMMYFUNCTION("""COMPUTED_VALUE"""),0.0)</f>
        <v>0</v>
      </c>
      <c r="U94" s="16">
        <f>IFERROR(__xludf.DUMMYFUNCTION("""COMPUTED_VALUE"""),0.0)</f>
        <v>0</v>
      </c>
      <c r="V94" s="16">
        <f>IFERROR(__xludf.DUMMYFUNCTION("""COMPUTED_VALUE"""),0.0)</f>
        <v>0</v>
      </c>
      <c r="W94" s="16">
        <f>IFERROR(__xludf.DUMMYFUNCTION("""COMPUTED_VALUE"""),0.0)</f>
        <v>0</v>
      </c>
      <c r="X94" s="16">
        <f>IFERROR(__xludf.DUMMYFUNCTION("""COMPUTED_VALUE"""),0.0)</f>
        <v>0</v>
      </c>
      <c r="Y94" s="16">
        <f>IFERROR(__xludf.DUMMYFUNCTION("""COMPUTED_VALUE"""),0.0)</f>
        <v>0</v>
      </c>
      <c r="Z94" s="16">
        <f>IFERROR(__xludf.DUMMYFUNCTION("""COMPUTED_VALUE"""),0.0)</f>
        <v>0</v>
      </c>
      <c r="AA94" s="16">
        <f>IFERROR(__xludf.DUMMYFUNCTION("""COMPUTED_VALUE"""),0.0)</f>
        <v>0</v>
      </c>
      <c r="AB94" s="16">
        <f>IFERROR(__xludf.DUMMYFUNCTION("""COMPUTED_VALUE"""),0.0)</f>
        <v>0</v>
      </c>
      <c r="AC94" s="16">
        <f>IFERROR(__xludf.DUMMYFUNCTION("""COMPUTED_VALUE"""),0.0)</f>
        <v>0</v>
      </c>
      <c r="AD94" s="16">
        <f>IFERROR(__xludf.DUMMYFUNCTION("""COMPUTED_VALUE"""),0.0)</f>
        <v>0</v>
      </c>
      <c r="AE94" s="16">
        <f>IFERROR(__xludf.DUMMYFUNCTION("""COMPUTED_VALUE"""),0.0)</f>
        <v>0</v>
      </c>
      <c r="AF94" s="16">
        <f>IFERROR(__xludf.DUMMYFUNCTION("""COMPUTED_VALUE"""),0.0)</f>
        <v>0</v>
      </c>
      <c r="AG94" s="16">
        <f>IFERROR(__xludf.DUMMYFUNCTION("""COMPUTED_VALUE"""),0.0)</f>
        <v>0</v>
      </c>
      <c r="AH94" s="16">
        <f>IFERROR(__xludf.DUMMYFUNCTION("""COMPUTED_VALUE"""),0.0)</f>
        <v>0</v>
      </c>
    </row>
    <row r="95">
      <c r="A95" s="16" t="str">
        <f>IFERROR(__xludf.DUMMYFUNCTION("""COMPUTED_VALUE"""),"4d01d84cdfff217f33b380cdb07a2a1c706749ea")</f>
        <v>4d01d84cdfff217f33b380cdb07a2a1c706749ea</v>
      </c>
      <c r="B95" s="16" t="str">
        <f>IFERROR(__xludf.DUMMYFUNCTION("""COMPUTED_VALUE"""),"The Fifth Bride")</f>
        <v>The Fifth Bride</v>
      </c>
      <c r="C95" s="16" t="str">
        <f>IFERROR(__xludf.DUMMYFUNCTION("""COMPUTED_VALUE"""),"Suspense or Thriller")</f>
        <v>Suspense or Thriller</v>
      </c>
      <c r="D95" s="16">
        <f>IFERROR(__xludf.DUMMYFUNCTION("""COMPUTED_VALUE"""),176.0)</f>
        <v>176</v>
      </c>
      <c r="E95" s="16">
        <f>IFERROR(__xludf.DUMMYFUNCTION("""COMPUTED_VALUE"""),0.926136363636363)</f>
        <v>0.9261363636</v>
      </c>
      <c r="F95" s="16">
        <f>IFERROR(__xludf.DUMMYFUNCTION("""COMPUTED_VALUE"""),0.5)</f>
        <v>0.5</v>
      </c>
      <c r="G95" s="16">
        <f>IFERROR(__xludf.DUMMYFUNCTION("""COMPUTED_VALUE"""),0.426136363636363)</f>
        <v>0.4261363636</v>
      </c>
      <c r="H95" s="16">
        <f>IFERROR(__xludf.DUMMYFUNCTION("""COMPUTED_VALUE"""),0.40340909090909)</f>
        <v>0.4034090909</v>
      </c>
      <c r="I95" s="16">
        <f>IFERROR(__xludf.DUMMYFUNCTION("""COMPUTED_VALUE"""),0.397727272727272)</f>
        <v>0.3977272727</v>
      </c>
      <c r="J95" s="16">
        <f>IFERROR(__xludf.DUMMYFUNCTION("""COMPUTED_VALUE"""),0.369318181818181)</f>
        <v>0.3693181818</v>
      </c>
      <c r="K95" s="16">
        <f>IFERROR(__xludf.DUMMYFUNCTION("""COMPUTED_VALUE"""),0.352272727272727)</f>
        <v>0.3522727273</v>
      </c>
      <c r="L95" s="16">
        <f>IFERROR(__xludf.DUMMYFUNCTION("""COMPUTED_VALUE"""),0.323863636363636)</f>
        <v>0.3238636364</v>
      </c>
      <c r="M95" s="16">
        <f>IFERROR(__xludf.DUMMYFUNCTION("""COMPUTED_VALUE"""),0.318181818181818)</f>
        <v>0.3181818182</v>
      </c>
      <c r="N95" s="16">
        <f>IFERROR(__xludf.DUMMYFUNCTION("""COMPUTED_VALUE"""),0.289772727272727)</f>
        <v>0.2897727273</v>
      </c>
      <c r="O95" s="16">
        <f>IFERROR(__xludf.DUMMYFUNCTION("""COMPUTED_VALUE"""),0.267045454545454)</f>
        <v>0.2670454545</v>
      </c>
      <c r="P95" s="16">
        <f>IFERROR(__xludf.DUMMYFUNCTION("""COMPUTED_VALUE"""),0.205714285714285)</f>
        <v>0.2057142857</v>
      </c>
      <c r="Q95" s="16">
        <f>IFERROR(__xludf.DUMMYFUNCTION("""COMPUTED_VALUE"""),0.100775193798449)</f>
        <v>0.1007751938</v>
      </c>
      <c r="R95" s="16">
        <f>IFERROR(__xludf.DUMMYFUNCTION("""COMPUTED_VALUE"""),0.0)</f>
        <v>0</v>
      </c>
      <c r="S95" s="16">
        <f>IFERROR(__xludf.DUMMYFUNCTION("""COMPUTED_VALUE"""),0.0)</f>
        <v>0</v>
      </c>
      <c r="T95" s="16">
        <f>IFERROR(__xludf.DUMMYFUNCTION("""COMPUTED_VALUE"""),0.0)</f>
        <v>0</v>
      </c>
      <c r="U95" s="16">
        <f>IFERROR(__xludf.DUMMYFUNCTION("""COMPUTED_VALUE"""),0.0)</f>
        <v>0</v>
      </c>
      <c r="V95" s="16">
        <f>IFERROR(__xludf.DUMMYFUNCTION("""COMPUTED_VALUE"""),0.0)</f>
        <v>0</v>
      </c>
      <c r="W95" s="16">
        <f>IFERROR(__xludf.DUMMYFUNCTION("""COMPUTED_VALUE"""),0.0)</f>
        <v>0</v>
      </c>
      <c r="X95" s="16">
        <f>IFERROR(__xludf.DUMMYFUNCTION("""COMPUTED_VALUE"""),0.0)</f>
        <v>0</v>
      </c>
      <c r="Y95" s="16">
        <f>IFERROR(__xludf.DUMMYFUNCTION("""COMPUTED_VALUE"""),0.0)</f>
        <v>0</v>
      </c>
      <c r="Z95" s="16">
        <f>IFERROR(__xludf.DUMMYFUNCTION("""COMPUTED_VALUE"""),0.0)</f>
        <v>0</v>
      </c>
      <c r="AA95" s="16">
        <f>IFERROR(__xludf.DUMMYFUNCTION("""COMPUTED_VALUE"""),0.0)</f>
        <v>0</v>
      </c>
      <c r="AB95" s="16">
        <f>IFERROR(__xludf.DUMMYFUNCTION("""COMPUTED_VALUE"""),0.0)</f>
        <v>0</v>
      </c>
      <c r="AC95" s="16">
        <f>IFERROR(__xludf.DUMMYFUNCTION("""COMPUTED_VALUE"""),0.0)</f>
        <v>0</v>
      </c>
      <c r="AD95" s="16">
        <f>IFERROR(__xludf.DUMMYFUNCTION("""COMPUTED_VALUE"""),0.0)</f>
        <v>0</v>
      </c>
      <c r="AE95" s="16">
        <f>IFERROR(__xludf.DUMMYFUNCTION("""COMPUTED_VALUE"""),0.0)</f>
        <v>0</v>
      </c>
      <c r="AF95" s="16">
        <f>IFERROR(__xludf.DUMMYFUNCTION("""COMPUTED_VALUE"""),0.0)</f>
        <v>0</v>
      </c>
      <c r="AG95" s="16">
        <f>IFERROR(__xludf.DUMMYFUNCTION("""COMPUTED_VALUE"""),0.0)</f>
        <v>0</v>
      </c>
      <c r="AH95" s="16">
        <f>IFERROR(__xludf.DUMMYFUNCTION("""COMPUTED_VALUE"""),0.0)</f>
        <v>0</v>
      </c>
    </row>
    <row r="96">
      <c r="A96" s="16" t="str">
        <f>IFERROR(__xludf.DUMMYFUNCTION("""COMPUTED_VALUE"""),"4d887dec2a071a00150fdcd6417f16bcaf5f02b0")</f>
        <v>4d887dec2a071a00150fdcd6417f16bcaf5f02b0</v>
      </c>
      <c r="B96" s="16" t="str">
        <f>IFERROR(__xludf.DUMMYFUNCTION("""COMPUTED_VALUE"""),"Loving Nathaniel Hawthorne: The Billionaire Playboy")</f>
        <v>Loving Nathaniel Hawthorne: The Billionaire Playboy</v>
      </c>
      <c r="C96" s="16" t="str">
        <f>IFERROR(__xludf.DUMMYFUNCTION("""COMPUTED_VALUE"""),"Romance")</f>
        <v>Romance</v>
      </c>
      <c r="D96" s="16">
        <f>IFERROR(__xludf.DUMMYFUNCTION("""COMPUTED_VALUE"""),19165.0)</f>
        <v>19165</v>
      </c>
      <c r="E96" s="16">
        <f>IFERROR(__xludf.DUMMYFUNCTION("""COMPUTED_VALUE"""),0.90086094442995)</f>
        <v>0.9008609444</v>
      </c>
      <c r="F96" s="16">
        <f>IFERROR(__xludf.DUMMYFUNCTION("""COMPUTED_VALUE"""),0.466214453430733)</f>
        <v>0.4662144534</v>
      </c>
      <c r="G96" s="16">
        <f>IFERROR(__xludf.DUMMYFUNCTION("""COMPUTED_VALUE"""),0.42139316462301)</f>
        <v>0.4213931646</v>
      </c>
      <c r="H96" s="16">
        <f>IFERROR(__xludf.DUMMYFUNCTION("""COMPUTED_VALUE"""),0.396608400730498)</f>
        <v>0.3966084007</v>
      </c>
      <c r="I96" s="16">
        <f>IFERROR(__xludf.DUMMYFUNCTION("""COMPUTED_VALUE"""),0.375417536534446)</f>
        <v>0.3754175365</v>
      </c>
      <c r="J96" s="16">
        <f>IFERROR(__xludf.DUMMYFUNCTION("""COMPUTED_VALUE"""),0.365283215870529)</f>
        <v>0.3652832159</v>
      </c>
      <c r="K96" s="16">
        <f>IFERROR(__xludf.DUMMYFUNCTION("""COMPUTED_VALUE"""),0.349903399300297)</f>
        <v>0.3499033993</v>
      </c>
      <c r="L96" s="16">
        <f>IFERROR(__xludf.DUMMYFUNCTION("""COMPUTED_VALUE"""),0.341012380504623)</f>
        <v>0.3410123805</v>
      </c>
      <c r="M96" s="16">
        <f>IFERROR(__xludf.DUMMYFUNCTION("""COMPUTED_VALUE"""),0.335179187127781)</f>
        <v>0.3351791871</v>
      </c>
      <c r="N96" s="16">
        <f>IFERROR(__xludf.DUMMYFUNCTION("""COMPUTED_VALUE"""),0.33030303030303)</f>
        <v>0.3303030303</v>
      </c>
      <c r="O96" s="16">
        <f>IFERROR(__xludf.DUMMYFUNCTION("""COMPUTED_VALUE"""),0.313235986811116)</f>
        <v>0.3132359868</v>
      </c>
      <c r="P96" s="16">
        <f>IFERROR(__xludf.DUMMYFUNCTION("""COMPUTED_VALUE"""),0.266806502359727)</f>
        <v>0.2668065024</v>
      </c>
      <c r="Q96" s="16">
        <f>IFERROR(__xludf.DUMMYFUNCTION("""COMPUTED_VALUE"""),0.200799831614396)</f>
        <v>0.2007998316</v>
      </c>
      <c r="R96" s="16">
        <f>IFERROR(__xludf.DUMMYFUNCTION("""COMPUTED_VALUE"""),0.161747654685358)</f>
        <v>0.1617476547</v>
      </c>
      <c r="S96" s="16">
        <f>IFERROR(__xludf.DUMMYFUNCTION("""COMPUTED_VALUE"""),0.140403720143732)</f>
        <v>0.1404037201</v>
      </c>
      <c r="T96" s="16">
        <f>IFERROR(__xludf.DUMMYFUNCTION("""COMPUTED_VALUE"""),0.129587459619763)</f>
        <v>0.1295874596</v>
      </c>
      <c r="U96" s="16">
        <f>IFERROR(__xludf.DUMMYFUNCTION("""COMPUTED_VALUE"""),0.121532575193963)</f>
        <v>0.1215325752</v>
      </c>
      <c r="V96" s="16">
        <f>IFERROR(__xludf.DUMMYFUNCTION("""COMPUTED_VALUE"""),0.114716939407341)</f>
        <v>0.1147169394</v>
      </c>
      <c r="W96" s="16">
        <f>IFERROR(__xludf.DUMMYFUNCTION("""COMPUTED_VALUE"""),0.107103182382539)</f>
        <v>0.1071031824</v>
      </c>
      <c r="X96" s="16">
        <f>IFERROR(__xludf.DUMMYFUNCTION("""COMPUTED_VALUE"""),0.104930899163965)</f>
        <v>0.1049308992</v>
      </c>
      <c r="Y96" s="16">
        <f>IFERROR(__xludf.DUMMYFUNCTION("""COMPUTED_VALUE"""),0.105778414517669)</f>
        <v>0.1057784145</v>
      </c>
      <c r="Z96" s="16">
        <f>IFERROR(__xludf.DUMMYFUNCTION("""COMPUTED_VALUE"""),0.098964326812428)</f>
        <v>0.09896432681</v>
      </c>
      <c r="AA96" s="16">
        <f>IFERROR(__xludf.DUMMYFUNCTION("""COMPUTED_VALUE"""),0.0799339388934764)</f>
        <v>0.07993393889</v>
      </c>
      <c r="AB96" s="16">
        <f>IFERROR(__xludf.DUMMYFUNCTION("""COMPUTED_VALUE"""),0.074208317436093)</f>
        <v>0.07420831744</v>
      </c>
      <c r="AC96" s="16">
        <f>IFERROR(__xludf.DUMMYFUNCTION("""COMPUTED_VALUE"""),0.0)</f>
        <v>0</v>
      </c>
      <c r="AD96" s="16">
        <f>IFERROR(__xludf.DUMMYFUNCTION("""COMPUTED_VALUE"""),0.0)</f>
        <v>0</v>
      </c>
      <c r="AE96" s="16">
        <f>IFERROR(__xludf.DUMMYFUNCTION("""COMPUTED_VALUE"""),0.0)</f>
        <v>0</v>
      </c>
      <c r="AF96" s="16">
        <f>IFERROR(__xludf.DUMMYFUNCTION("""COMPUTED_VALUE"""),0.0)</f>
        <v>0</v>
      </c>
      <c r="AG96" s="16">
        <f>IFERROR(__xludf.DUMMYFUNCTION("""COMPUTED_VALUE"""),0.0)</f>
        <v>0</v>
      </c>
      <c r="AH96" s="16">
        <f>IFERROR(__xludf.DUMMYFUNCTION("""COMPUTED_VALUE"""),0.0)</f>
        <v>0</v>
      </c>
    </row>
    <row r="97">
      <c r="A97" s="16" t="str">
        <f>IFERROR(__xludf.DUMMYFUNCTION("""COMPUTED_VALUE"""),"4e3bbfc86993cf8c574bdebca34a49627f4a386a")</f>
        <v>4e3bbfc86993cf8c574bdebca34a49627f4a386a</v>
      </c>
      <c r="B97" s="16" t="str">
        <f>IFERROR(__xludf.DUMMYFUNCTION("""COMPUTED_VALUE"""),"Our Beloved Villains ")</f>
        <v>Our Beloved Villains </v>
      </c>
      <c r="C97" s="16" t="str">
        <f>IFERROR(__xludf.DUMMYFUNCTION("""COMPUTED_VALUE"""),"Fantasy")</f>
        <v>Fantasy</v>
      </c>
      <c r="D97" s="16">
        <f>IFERROR(__xludf.DUMMYFUNCTION("""COMPUTED_VALUE"""),69.0)</f>
        <v>69</v>
      </c>
      <c r="E97" s="16">
        <f>IFERROR(__xludf.DUMMYFUNCTION("""COMPUTED_VALUE"""),0.942028985507246)</f>
        <v>0.9420289855</v>
      </c>
      <c r="F97" s="16">
        <f>IFERROR(__xludf.DUMMYFUNCTION("""COMPUTED_VALUE"""),0.347826086956521)</f>
        <v>0.347826087</v>
      </c>
      <c r="G97" s="16">
        <f>IFERROR(__xludf.DUMMYFUNCTION("""COMPUTED_VALUE"""),0.217391304347826)</f>
        <v>0.2173913043</v>
      </c>
      <c r="H97" s="16">
        <f>IFERROR(__xludf.DUMMYFUNCTION("""COMPUTED_VALUE"""),0.144927536231884)</f>
        <v>0.1449275362</v>
      </c>
      <c r="I97" s="16">
        <f>IFERROR(__xludf.DUMMYFUNCTION("""COMPUTED_VALUE"""),0.144927536231884)</f>
        <v>0.1449275362</v>
      </c>
      <c r="J97" s="16">
        <f>IFERROR(__xludf.DUMMYFUNCTION("""COMPUTED_VALUE"""),0.144927536231884)</f>
        <v>0.1449275362</v>
      </c>
      <c r="K97" s="16">
        <f>IFERROR(__xludf.DUMMYFUNCTION("""COMPUTED_VALUE"""),0.115942028985507)</f>
        <v>0.115942029</v>
      </c>
      <c r="L97" s="16">
        <f>IFERROR(__xludf.DUMMYFUNCTION("""COMPUTED_VALUE"""),0.101449275362318)</f>
        <v>0.1014492754</v>
      </c>
      <c r="M97" s="16">
        <f>IFERROR(__xludf.DUMMYFUNCTION("""COMPUTED_VALUE"""),0.0869565217391304)</f>
        <v>0.08695652174</v>
      </c>
      <c r="N97" s="16">
        <f>IFERROR(__xludf.DUMMYFUNCTION("""COMPUTED_VALUE"""),0.072463768115942)</f>
        <v>0.07246376812</v>
      </c>
      <c r="O97" s="16">
        <f>IFERROR(__xludf.DUMMYFUNCTION("""COMPUTED_VALUE"""),0.0862068965517241)</f>
        <v>0.08620689655</v>
      </c>
      <c r="P97" s="16">
        <f>IFERROR(__xludf.DUMMYFUNCTION("""COMPUTED_VALUE"""),0.0408163265306122)</f>
        <v>0.04081632653</v>
      </c>
      <c r="Q97" s="16">
        <f>IFERROR(__xludf.DUMMYFUNCTION("""COMPUTED_VALUE"""),0.0227272727272727)</f>
        <v>0.02272727273</v>
      </c>
      <c r="R97" s="16">
        <f>IFERROR(__xludf.DUMMYFUNCTION("""COMPUTED_VALUE"""),0.0)</f>
        <v>0</v>
      </c>
      <c r="S97" s="16">
        <f>IFERROR(__xludf.DUMMYFUNCTION("""COMPUTED_VALUE"""),0.0)</f>
        <v>0</v>
      </c>
      <c r="T97" s="16">
        <f>IFERROR(__xludf.DUMMYFUNCTION("""COMPUTED_VALUE"""),0.0)</f>
        <v>0</v>
      </c>
      <c r="U97" s="16">
        <f>IFERROR(__xludf.DUMMYFUNCTION("""COMPUTED_VALUE"""),0.0)</f>
        <v>0</v>
      </c>
      <c r="V97" s="16">
        <f>IFERROR(__xludf.DUMMYFUNCTION("""COMPUTED_VALUE"""),0.0)</f>
        <v>0</v>
      </c>
      <c r="W97" s="16">
        <f>IFERROR(__xludf.DUMMYFUNCTION("""COMPUTED_VALUE"""),0.0)</f>
        <v>0</v>
      </c>
      <c r="X97" s="16">
        <f>IFERROR(__xludf.DUMMYFUNCTION("""COMPUTED_VALUE"""),0.0)</f>
        <v>0</v>
      </c>
      <c r="Y97" s="16">
        <f>IFERROR(__xludf.DUMMYFUNCTION("""COMPUTED_VALUE"""),0.0)</f>
        <v>0</v>
      </c>
      <c r="Z97" s="16">
        <f>IFERROR(__xludf.DUMMYFUNCTION("""COMPUTED_VALUE"""),0.0)</f>
        <v>0</v>
      </c>
      <c r="AA97" s="16">
        <f>IFERROR(__xludf.DUMMYFUNCTION("""COMPUTED_VALUE"""),0.0)</f>
        <v>0</v>
      </c>
      <c r="AB97" s="16">
        <f>IFERROR(__xludf.DUMMYFUNCTION("""COMPUTED_VALUE"""),0.0)</f>
        <v>0</v>
      </c>
      <c r="AC97" s="16">
        <f>IFERROR(__xludf.DUMMYFUNCTION("""COMPUTED_VALUE"""),0.0)</f>
        <v>0</v>
      </c>
      <c r="AD97" s="16">
        <f>IFERROR(__xludf.DUMMYFUNCTION("""COMPUTED_VALUE"""),0.0)</f>
        <v>0</v>
      </c>
      <c r="AE97" s="16">
        <f>IFERROR(__xludf.DUMMYFUNCTION("""COMPUTED_VALUE"""),0.0)</f>
        <v>0</v>
      </c>
      <c r="AF97" s="16">
        <f>IFERROR(__xludf.DUMMYFUNCTION("""COMPUTED_VALUE"""),0.0)</f>
        <v>0</v>
      </c>
      <c r="AG97" s="16">
        <f>IFERROR(__xludf.DUMMYFUNCTION("""COMPUTED_VALUE"""),0.0)</f>
        <v>0</v>
      </c>
      <c r="AH97" s="16">
        <f>IFERROR(__xludf.DUMMYFUNCTION("""COMPUTED_VALUE"""),0.0)</f>
        <v>0</v>
      </c>
    </row>
    <row r="98">
      <c r="A98" s="16" t="str">
        <f>IFERROR(__xludf.DUMMYFUNCTION("""COMPUTED_VALUE"""),"4e767fe3eae1eb30991fabcb73be16e9925ab124")</f>
        <v>4e767fe3eae1eb30991fabcb73be16e9925ab124</v>
      </c>
      <c r="B98" s="16" t="str">
        <f>IFERROR(__xludf.DUMMYFUNCTION("""COMPUTED_VALUE"""),"The Ill-Fated Aristocrat")</f>
        <v>The Ill-Fated Aristocrat</v>
      </c>
      <c r="C98" s="16" t="str">
        <f>IFERROR(__xludf.DUMMYFUNCTION("""COMPUTED_VALUE"""),"Romance")</f>
        <v>Romance</v>
      </c>
      <c r="D98" s="16">
        <f>IFERROR(__xludf.DUMMYFUNCTION("""COMPUTED_VALUE"""),1092.0)</f>
        <v>1092</v>
      </c>
      <c r="E98" s="16">
        <f>IFERROR(__xludf.DUMMYFUNCTION("""COMPUTED_VALUE"""),0.953296703296703)</f>
        <v>0.9532967033</v>
      </c>
      <c r="F98" s="16">
        <f>IFERROR(__xludf.DUMMYFUNCTION("""COMPUTED_VALUE"""),0.521100917431192)</f>
        <v>0.5211009174</v>
      </c>
      <c r="G98" s="16">
        <f>IFERROR(__xludf.DUMMYFUNCTION("""COMPUTED_VALUE"""),0.483011937557392)</f>
        <v>0.4830119376</v>
      </c>
      <c r="H98" s="16">
        <f>IFERROR(__xludf.DUMMYFUNCTION("""COMPUTED_VALUE"""),0.429622815087396)</f>
        <v>0.4296228151</v>
      </c>
      <c r="I98" s="16">
        <f>IFERROR(__xludf.DUMMYFUNCTION("""COMPUTED_VALUE"""),0.40552995391705)</f>
        <v>0.4055299539</v>
      </c>
      <c r="J98" s="16">
        <f>IFERROR(__xludf.DUMMYFUNCTION("""COMPUTED_VALUE"""),0.380555555555555)</f>
        <v>0.3805555556</v>
      </c>
      <c r="K98" s="16">
        <f>IFERROR(__xludf.DUMMYFUNCTION("""COMPUTED_VALUE"""),0.36456400742115)</f>
        <v>0.3645640074</v>
      </c>
      <c r="L98" s="16">
        <f>IFERROR(__xludf.DUMMYFUNCTION("""COMPUTED_VALUE"""),0.350697674418604)</f>
        <v>0.3506976744</v>
      </c>
      <c r="M98" s="16">
        <f>IFERROR(__xludf.DUMMYFUNCTION("""COMPUTED_VALUE"""),0.335195530726256)</f>
        <v>0.3351955307</v>
      </c>
      <c r="N98" s="16">
        <f>IFERROR(__xludf.DUMMYFUNCTION("""COMPUTED_VALUE"""),0.325559701492537)</f>
        <v>0.3255597015</v>
      </c>
      <c r="O98" s="16">
        <f>IFERROR(__xludf.DUMMYFUNCTION("""COMPUTED_VALUE"""),0.300934579439252)</f>
        <v>0.3009345794</v>
      </c>
      <c r="P98" s="16">
        <f>IFERROR(__xludf.DUMMYFUNCTION("""COMPUTED_VALUE"""),0.24319248826291)</f>
        <v>0.2431924883</v>
      </c>
      <c r="Q98" s="16">
        <f>IFERROR(__xludf.DUMMYFUNCTION("""COMPUTED_VALUE"""),0.173863636363636)</f>
        <v>0.1738636364</v>
      </c>
      <c r="R98" s="16">
        <f>IFERROR(__xludf.DUMMYFUNCTION("""COMPUTED_VALUE"""),0.101492537313432)</f>
        <v>0.1014925373</v>
      </c>
      <c r="S98" s="16">
        <f>IFERROR(__xludf.DUMMYFUNCTION("""COMPUTED_VALUE"""),0.064516129032258)</f>
        <v>0.06451612903</v>
      </c>
      <c r="T98" s="16">
        <f>IFERROR(__xludf.DUMMYFUNCTION("""COMPUTED_VALUE"""),0.0)</f>
        <v>0</v>
      </c>
      <c r="U98" s="16">
        <f>IFERROR(__xludf.DUMMYFUNCTION("""COMPUTED_VALUE"""),0.0)</f>
        <v>0</v>
      </c>
      <c r="V98" s="16">
        <f>IFERROR(__xludf.DUMMYFUNCTION("""COMPUTED_VALUE"""),0.0)</f>
        <v>0</v>
      </c>
      <c r="W98" s="16">
        <f>IFERROR(__xludf.DUMMYFUNCTION("""COMPUTED_VALUE"""),0.0)</f>
        <v>0</v>
      </c>
      <c r="X98" s="16">
        <f>IFERROR(__xludf.DUMMYFUNCTION("""COMPUTED_VALUE"""),0.0)</f>
        <v>0</v>
      </c>
      <c r="Y98" s="16">
        <f>IFERROR(__xludf.DUMMYFUNCTION("""COMPUTED_VALUE"""),0.0)</f>
        <v>0</v>
      </c>
      <c r="Z98" s="16">
        <f>IFERROR(__xludf.DUMMYFUNCTION("""COMPUTED_VALUE"""),0.0)</f>
        <v>0</v>
      </c>
      <c r="AA98" s="16">
        <f>IFERROR(__xludf.DUMMYFUNCTION("""COMPUTED_VALUE"""),0.0)</f>
        <v>0</v>
      </c>
      <c r="AB98" s="16">
        <f>IFERROR(__xludf.DUMMYFUNCTION("""COMPUTED_VALUE"""),0.0)</f>
        <v>0</v>
      </c>
      <c r="AC98" s="16">
        <f>IFERROR(__xludf.DUMMYFUNCTION("""COMPUTED_VALUE"""),0.0)</f>
        <v>0</v>
      </c>
      <c r="AD98" s="16">
        <f>IFERROR(__xludf.DUMMYFUNCTION("""COMPUTED_VALUE"""),0.0)</f>
        <v>0</v>
      </c>
      <c r="AE98" s="16">
        <f>IFERROR(__xludf.DUMMYFUNCTION("""COMPUTED_VALUE"""),0.0)</f>
        <v>0</v>
      </c>
      <c r="AF98" s="16">
        <f>IFERROR(__xludf.DUMMYFUNCTION("""COMPUTED_VALUE"""),0.0)</f>
        <v>0</v>
      </c>
      <c r="AG98" s="16">
        <f>IFERROR(__xludf.DUMMYFUNCTION("""COMPUTED_VALUE"""),0.0)</f>
        <v>0</v>
      </c>
      <c r="AH98" s="16">
        <f>IFERROR(__xludf.DUMMYFUNCTION("""COMPUTED_VALUE"""),0.0)</f>
        <v>0</v>
      </c>
    </row>
    <row r="99">
      <c r="A99" s="16" t="str">
        <f>IFERROR(__xludf.DUMMYFUNCTION("""COMPUTED_VALUE"""),"4e82e5be987e78daa5bb2bb67006b68256170925")</f>
        <v>4e82e5be987e78daa5bb2bb67006b68256170925</v>
      </c>
      <c r="B99" s="16" t="str">
        <f>IFERROR(__xludf.DUMMYFUNCTION("""COMPUTED_VALUE"""),"Machine Invasion")</f>
        <v>Machine Invasion</v>
      </c>
      <c r="C99" s="16" t="str">
        <f>IFERROR(__xludf.DUMMYFUNCTION("""COMPUTED_VALUE"""),"System and Superpower")</f>
        <v>System and Superpower</v>
      </c>
      <c r="D99" s="16">
        <f>IFERROR(__xludf.DUMMYFUNCTION("""COMPUTED_VALUE"""),350.0)</f>
        <v>350</v>
      </c>
      <c r="E99" s="16">
        <f>IFERROR(__xludf.DUMMYFUNCTION("""COMPUTED_VALUE"""),0.962857142857142)</f>
        <v>0.9628571429</v>
      </c>
      <c r="F99" s="16">
        <f>IFERROR(__xludf.DUMMYFUNCTION("""COMPUTED_VALUE"""),0.429799426934097)</f>
        <v>0.4297994269</v>
      </c>
      <c r="G99" s="16">
        <f>IFERROR(__xludf.DUMMYFUNCTION("""COMPUTED_VALUE"""),0.363896848137535)</f>
        <v>0.3638968481</v>
      </c>
      <c r="H99" s="16">
        <f>IFERROR(__xludf.DUMMYFUNCTION("""COMPUTED_VALUE"""),0.343839541547277)</f>
        <v>0.3438395415</v>
      </c>
      <c r="I99" s="16">
        <f>IFERROR(__xludf.DUMMYFUNCTION("""COMPUTED_VALUE"""),0.320916905444126)</f>
        <v>0.3209169054</v>
      </c>
      <c r="J99" s="16">
        <f>IFERROR(__xludf.DUMMYFUNCTION("""COMPUTED_VALUE"""),0.277936962750716)</f>
        <v>0.2779369628</v>
      </c>
      <c r="K99" s="16">
        <f>IFERROR(__xludf.DUMMYFUNCTION("""COMPUTED_VALUE"""),0.255014326647564)</f>
        <v>0.2550143266</v>
      </c>
      <c r="L99" s="16">
        <f>IFERROR(__xludf.DUMMYFUNCTION("""COMPUTED_VALUE"""),0.229885057471264)</f>
        <v>0.2298850575</v>
      </c>
      <c r="M99" s="16">
        <f>IFERROR(__xludf.DUMMYFUNCTION("""COMPUTED_VALUE"""),0.230547550432276)</f>
        <v>0.2305475504</v>
      </c>
      <c r="N99" s="16">
        <f>IFERROR(__xludf.DUMMYFUNCTION("""COMPUTED_VALUE"""),0.230547550432276)</f>
        <v>0.2305475504</v>
      </c>
      <c r="O99" s="16">
        <f>IFERROR(__xludf.DUMMYFUNCTION("""COMPUTED_VALUE"""),0.20807453416149)</f>
        <v>0.2080745342</v>
      </c>
      <c r="P99" s="16">
        <f>IFERROR(__xludf.DUMMYFUNCTION("""COMPUTED_VALUE"""),0.155844155844155)</f>
        <v>0.1558441558</v>
      </c>
      <c r="Q99" s="16">
        <f>IFERROR(__xludf.DUMMYFUNCTION("""COMPUTED_VALUE"""),0.191489361702127)</f>
        <v>0.1914893617</v>
      </c>
      <c r="R99" s="16">
        <f>IFERROR(__xludf.DUMMYFUNCTION("""COMPUTED_VALUE"""),0.0)</f>
        <v>0</v>
      </c>
      <c r="S99" s="16">
        <f>IFERROR(__xludf.DUMMYFUNCTION("""COMPUTED_VALUE"""),0.0)</f>
        <v>0</v>
      </c>
      <c r="T99" s="16">
        <f>IFERROR(__xludf.DUMMYFUNCTION("""COMPUTED_VALUE"""),0.0)</f>
        <v>0</v>
      </c>
      <c r="U99" s="16">
        <f>IFERROR(__xludf.DUMMYFUNCTION("""COMPUTED_VALUE"""),0.0)</f>
        <v>0</v>
      </c>
      <c r="V99" s="16">
        <f>IFERROR(__xludf.DUMMYFUNCTION("""COMPUTED_VALUE"""),0.0)</f>
        <v>0</v>
      </c>
      <c r="W99" s="16">
        <f>IFERROR(__xludf.DUMMYFUNCTION("""COMPUTED_VALUE"""),0.0)</f>
        <v>0</v>
      </c>
      <c r="X99" s="16">
        <f>IFERROR(__xludf.DUMMYFUNCTION("""COMPUTED_VALUE"""),0.0)</f>
        <v>0</v>
      </c>
      <c r="Y99" s="16">
        <f>IFERROR(__xludf.DUMMYFUNCTION("""COMPUTED_VALUE"""),0.0)</f>
        <v>0</v>
      </c>
      <c r="Z99" s="16">
        <f>IFERROR(__xludf.DUMMYFUNCTION("""COMPUTED_VALUE"""),0.0)</f>
        <v>0</v>
      </c>
      <c r="AA99" s="16">
        <f>IFERROR(__xludf.DUMMYFUNCTION("""COMPUTED_VALUE"""),0.0)</f>
        <v>0</v>
      </c>
      <c r="AB99" s="16">
        <f>IFERROR(__xludf.DUMMYFUNCTION("""COMPUTED_VALUE"""),0.0)</f>
        <v>0</v>
      </c>
      <c r="AC99" s="16">
        <f>IFERROR(__xludf.DUMMYFUNCTION("""COMPUTED_VALUE"""),0.0)</f>
        <v>0</v>
      </c>
      <c r="AD99" s="16">
        <f>IFERROR(__xludf.DUMMYFUNCTION("""COMPUTED_VALUE"""),0.0)</f>
        <v>0</v>
      </c>
      <c r="AE99" s="16">
        <f>IFERROR(__xludf.DUMMYFUNCTION("""COMPUTED_VALUE"""),0.0)</f>
        <v>0</v>
      </c>
      <c r="AF99" s="16">
        <f>IFERROR(__xludf.DUMMYFUNCTION("""COMPUTED_VALUE"""),0.0)</f>
        <v>0</v>
      </c>
      <c r="AG99" s="16">
        <f>IFERROR(__xludf.DUMMYFUNCTION("""COMPUTED_VALUE"""),0.0)</f>
        <v>0</v>
      </c>
      <c r="AH99" s="16">
        <f>IFERROR(__xludf.DUMMYFUNCTION("""COMPUTED_VALUE"""),0.0)</f>
        <v>0</v>
      </c>
    </row>
    <row r="100">
      <c r="A100" s="16" t="str">
        <f>IFERROR(__xludf.DUMMYFUNCTION("""COMPUTED_VALUE"""),"4e8fc1ec90ca0e70f873bdd45aea984fc56b5c89")</f>
        <v>4e8fc1ec90ca0e70f873bdd45aea984fc56b5c89</v>
      </c>
      <c r="B100" s="16" t="str">
        <f>IFERROR(__xludf.DUMMYFUNCTION("""COMPUTED_VALUE"""),"When Strangers Say I Do")</f>
        <v>When Strangers Say I Do</v>
      </c>
      <c r="C100" s="16" t="str">
        <f>IFERROR(__xludf.DUMMYFUNCTION("""COMPUTED_VALUE"""),"Drama")</f>
        <v>Drama</v>
      </c>
      <c r="D100" s="16">
        <f>IFERROR(__xludf.DUMMYFUNCTION("""COMPUTED_VALUE"""),518.0)</f>
        <v>518</v>
      </c>
      <c r="E100" s="16">
        <f>IFERROR(__xludf.DUMMYFUNCTION("""COMPUTED_VALUE"""),0.986486486486486)</f>
        <v>0.9864864865</v>
      </c>
      <c r="F100" s="16">
        <f>IFERROR(__xludf.DUMMYFUNCTION("""COMPUTED_VALUE"""),0.482625482625482)</f>
        <v>0.4826254826</v>
      </c>
      <c r="G100" s="16">
        <f>IFERROR(__xludf.DUMMYFUNCTION("""COMPUTED_VALUE"""),0.42084942084942)</f>
        <v>0.4208494208</v>
      </c>
      <c r="H100" s="16">
        <f>IFERROR(__xludf.DUMMYFUNCTION("""COMPUTED_VALUE"""),0.374517374517374)</f>
        <v>0.3745173745</v>
      </c>
      <c r="I100" s="16">
        <f>IFERROR(__xludf.DUMMYFUNCTION("""COMPUTED_VALUE"""),0.335907335907335)</f>
        <v>0.3359073359</v>
      </c>
      <c r="J100" s="16">
        <f>IFERROR(__xludf.DUMMYFUNCTION("""COMPUTED_VALUE"""),0.307543520309477)</f>
        <v>0.3075435203</v>
      </c>
      <c r="K100" s="16">
        <f>IFERROR(__xludf.DUMMYFUNCTION("""COMPUTED_VALUE"""),0.297665369649805)</f>
        <v>0.2976653696</v>
      </c>
      <c r="L100" s="16">
        <f>IFERROR(__xludf.DUMMYFUNCTION("""COMPUTED_VALUE"""),0.275390625)</f>
        <v>0.275390625</v>
      </c>
      <c r="M100" s="16">
        <f>IFERROR(__xludf.DUMMYFUNCTION("""COMPUTED_VALUE"""),0.26078431372549)</f>
        <v>0.2607843137</v>
      </c>
      <c r="N100" s="16">
        <f>IFERROR(__xludf.DUMMYFUNCTION("""COMPUTED_VALUE"""),0.216110019646365)</f>
        <v>0.2161100196</v>
      </c>
      <c r="O100" s="16">
        <f>IFERROR(__xludf.DUMMYFUNCTION("""COMPUTED_VALUE"""),0.16144578313253)</f>
        <v>0.1614457831</v>
      </c>
      <c r="P100" s="16">
        <f>IFERROR(__xludf.DUMMYFUNCTION("""COMPUTED_VALUE"""),0.10062893081761)</f>
        <v>0.1006289308</v>
      </c>
      <c r="Q100" s="16">
        <f>IFERROR(__xludf.DUMMYFUNCTION("""COMPUTED_VALUE"""),0.0508474576271186)</f>
        <v>0.05084745763</v>
      </c>
      <c r="R100" s="16">
        <f>IFERROR(__xludf.DUMMYFUNCTION("""COMPUTED_VALUE"""),0.0)</f>
        <v>0</v>
      </c>
      <c r="S100" s="16">
        <f>IFERROR(__xludf.DUMMYFUNCTION("""COMPUTED_VALUE"""),0.0)</f>
        <v>0</v>
      </c>
      <c r="T100" s="16">
        <f>IFERROR(__xludf.DUMMYFUNCTION("""COMPUTED_VALUE"""),0.0)</f>
        <v>0</v>
      </c>
      <c r="U100" s="16">
        <f>IFERROR(__xludf.DUMMYFUNCTION("""COMPUTED_VALUE"""),0.0)</f>
        <v>0</v>
      </c>
      <c r="V100" s="16">
        <f>IFERROR(__xludf.DUMMYFUNCTION("""COMPUTED_VALUE"""),0.0)</f>
        <v>0</v>
      </c>
      <c r="W100" s="16">
        <f>IFERROR(__xludf.DUMMYFUNCTION("""COMPUTED_VALUE"""),0.0)</f>
        <v>0</v>
      </c>
      <c r="X100" s="16">
        <f>IFERROR(__xludf.DUMMYFUNCTION("""COMPUTED_VALUE"""),0.0)</f>
        <v>0</v>
      </c>
      <c r="Y100" s="16">
        <f>IFERROR(__xludf.DUMMYFUNCTION("""COMPUTED_VALUE"""),0.0)</f>
        <v>0</v>
      </c>
      <c r="Z100" s="16">
        <f>IFERROR(__xludf.DUMMYFUNCTION("""COMPUTED_VALUE"""),0.0)</f>
        <v>0</v>
      </c>
      <c r="AA100" s="16">
        <f>IFERROR(__xludf.DUMMYFUNCTION("""COMPUTED_VALUE"""),0.0)</f>
        <v>0</v>
      </c>
      <c r="AB100" s="16">
        <f>IFERROR(__xludf.DUMMYFUNCTION("""COMPUTED_VALUE"""),0.0)</f>
        <v>0</v>
      </c>
      <c r="AC100" s="16">
        <f>IFERROR(__xludf.DUMMYFUNCTION("""COMPUTED_VALUE"""),0.0)</f>
        <v>0</v>
      </c>
      <c r="AD100" s="16">
        <f>IFERROR(__xludf.DUMMYFUNCTION("""COMPUTED_VALUE"""),0.0)</f>
        <v>0</v>
      </c>
      <c r="AE100" s="16">
        <f>IFERROR(__xludf.DUMMYFUNCTION("""COMPUTED_VALUE"""),0.0)</f>
        <v>0</v>
      </c>
      <c r="AF100" s="16">
        <f>IFERROR(__xludf.DUMMYFUNCTION("""COMPUTED_VALUE"""),0.0)</f>
        <v>0</v>
      </c>
      <c r="AG100" s="16">
        <f>IFERROR(__xludf.DUMMYFUNCTION("""COMPUTED_VALUE"""),0.0)</f>
        <v>0</v>
      </c>
      <c r="AH100" s="16">
        <f>IFERROR(__xludf.DUMMYFUNCTION("""COMPUTED_VALUE"""),0.0)</f>
        <v>0</v>
      </c>
    </row>
    <row r="101">
      <c r="A101" s="16" t="str">
        <f>IFERROR(__xludf.DUMMYFUNCTION("""COMPUTED_VALUE"""),"4ef829b74ddfb2f550d1c5ceb22a6d68f5936dff")</f>
        <v>4ef829b74ddfb2f550d1c5ceb22a6d68f5936dff</v>
      </c>
      <c r="B101" s="16" t="str">
        <f>IFERROR(__xludf.DUMMYFUNCTION("""COMPUTED_VALUE"""),"The Mad Alpha’s True Luna")</f>
        <v>The Mad Alpha’s True Luna</v>
      </c>
      <c r="C101" s="16" t="str">
        <f>IFERROR(__xludf.DUMMYFUNCTION("""COMPUTED_VALUE"""),"Romantasy")</f>
        <v>Romantasy</v>
      </c>
      <c r="D101" s="16">
        <f>IFERROR(__xludf.DUMMYFUNCTION("""COMPUTED_VALUE"""),929.0)</f>
        <v>929</v>
      </c>
      <c r="E101" s="16">
        <f>IFERROR(__xludf.DUMMYFUNCTION("""COMPUTED_VALUE"""),0.966630785791173)</f>
        <v>0.9666307858</v>
      </c>
      <c r="F101" s="16">
        <f>IFERROR(__xludf.DUMMYFUNCTION("""COMPUTED_VALUE"""),0.65123789020452)</f>
        <v>0.6512378902</v>
      </c>
      <c r="G101" s="16">
        <f>IFERROR(__xludf.DUMMYFUNCTION("""COMPUTED_VALUE"""),0.560818083961248)</f>
        <v>0.560818084</v>
      </c>
      <c r="H101" s="16">
        <f>IFERROR(__xludf.DUMMYFUNCTION("""COMPUTED_VALUE"""),0.522066738428417)</f>
        <v>0.5220667384</v>
      </c>
      <c r="I101" s="16">
        <f>IFERROR(__xludf.DUMMYFUNCTION("""COMPUTED_VALUE"""),0.484324324324324)</f>
        <v>0.4843243243</v>
      </c>
      <c r="J101" s="16">
        <f>IFERROR(__xludf.DUMMYFUNCTION("""COMPUTED_VALUE"""),0.451327433628318)</f>
        <v>0.4513274336</v>
      </c>
      <c r="K101" s="16">
        <f>IFERROR(__xludf.DUMMYFUNCTION("""COMPUTED_VALUE"""),0.448717948717948)</f>
        <v>0.4487179487</v>
      </c>
      <c r="L101" s="16">
        <f>IFERROR(__xludf.DUMMYFUNCTION("""COMPUTED_VALUE"""),0.435114503816793)</f>
        <v>0.4351145038</v>
      </c>
      <c r="M101" s="16">
        <f>IFERROR(__xludf.DUMMYFUNCTION("""COMPUTED_VALUE"""),0.404463040446304)</f>
        <v>0.4044630404</v>
      </c>
      <c r="N101" s="16">
        <f>IFERROR(__xludf.DUMMYFUNCTION("""COMPUTED_VALUE"""),0.389589905362776)</f>
        <v>0.3895899054</v>
      </c>
      <c r="O101" s="16">
        <f>IFERROR(__xludf.DUMMYFUNCTION("""COMPUTED_VALUE"""),0.305439330543933)</f>
        <v>0.3054393305</v>
      </c>
      <c r="P101" s="16">
        <f>IFERROR(__xludf.DUMMYFUNCTION("""COMPUTED_VALUE"""),0.231884057971014)</f>
        <v>0.231884058</v>
      </c>
      <c r="Q101" s="16">
        <f>IFERROR(__xludf.DUMMYFUNCTION("""COMPUTED_VALUE"""),0.0)</f>
        <v>0</v>
      </c>
      <c r="R101" s="16">
        <f>IFERROR(__xludf.DUMMYFUNCTION("""COMPUTED_VALUE"""),0.0)</f>
        <v>0</v>
      </c>
      <c r="S101" s="16">
        <f>IFERROR(__xludf.DUMMYFUNCTION("""COMPUTED_VALUE"""),0.0)</f>
        <v>0</v>
      </c>
      <c r="T101" s="16">
        <f>IFERROR(__xludf.DUMMYFUNCTION("""COMPUTED_VALUE"""),0.0)</f>
        <v>0</v>
      </c>
      <c r="U101" s="16">
        <f>IFERROR(__xludf.DUMMYFUNCTION("""COMPUTED_VALUE"""),0.0)</f>
        <v>0</v>
      </c>
      <c r="V101" s="16">
        <f>IFERROR(__xludf.DUMMYFUNCTION("""COMPUTED_VALUE"""),0.0)</f>
        <v>0</v>
      </c>
      <c r="W101" s="16">
        <f>IFERROR(__xludf.DUMMYFUNCTION("""COMPUTED_VALUE"""),0.0)</f>
        <v>0</v>
      </c>
      <c r="X101" s="16">
        <f>IFERROR(__xludf.DUMMYFUNCTION("""COMPUTED_VALUE"""),0.0)</f>
        <v>0</v>
      </c>
      <c r="Y101" s="16">
        <f>IFERROR(__xludf.DUMMYFUNCTION("""COMPUTED_VALUE"""),0.0)</f>
        <v>0</v>
      </c>
      <c r="Z101" s="16">
        <f>IFERROR(__xludf.DUMMYFUNCTION("""COMPUTED_VALUE"""),0.0)</f>
        <v>0</v>
      </c>
      <c r="AA101" s="16">
        <f>IFERROR(__xludf.DUMMYFUNCTION("""COMPUTED_VALUE"""),0.0)</f>
        <v>0</v>
      </c>
      <c r="AB101" s="16">
        <f>IFERROR(__xludf.DUMMYFUNCTION("""COMPUTED_VALUE"""),0.0)</f>
        <v>0</v>
      </c>
      <c r="AC101" s="16">
        <f>IFERROR(__xludf.DUMMYFUNCTION("""COMPUTED_VALUE"""),0.0)</f>
        <v>0</v>
      </c>
      <c r="AD101" s="16">
        <f>IFERROR(__xludf.DUMMYFUNCTION("""COMPUTED_VALUE"""),0.0)</f>
        <v>0</v>
      </c>
      <c r="AE101" s="16">
        <f>IFERROR(__xludf.DUMMYFUNCTION("""COMPUTED_VALUE"""),0.0)</f>
        <v>0</v>
      </c>
      <c r="AF101" s="16">
        <f>IFERROR(__xludf.DUMMYFUNCTION("""COMPUTED_VALUE"""),0.0)</f>
        <v>0</v>
      </c>
      <c r="AG101" s="16">
        <f>IFERROR(__xludf.DUMMYFUNCTION("""COMPUTED_VALUE"""),0.0)</f>
        <v>0</v>
      </c>
      <c r="AH101" s="16">
        <f>IFERROR(__xludf.DUMMYFUNCTION("""COMPUTED_VALUE"""),0.0)</f>
        <v>0</v>
      </c>
    </row>
    <row r="102">
      <c r="A102" s="16" t="str">
        <f>IFERROR(__xludf.DUMMYFUNCTION("""COMPUTED_VALUE"""),"4fed71af64877bcaf79252f171bf022a3b80e926")</f>
        <v>4fed71af64877bcaf79252f171bf022a3b80e926</v>
      </c>
      <c r="B102" s="16" t="str">
        <f>IFERROR(__xludf.DUMMYFUNCTION("""COMPUTED_VALUE"""),"Doomsday Hoarder")</f>
        <v>Doomsday Hoarder</v>
      </c>
      <c r="C102" s="16" t="str">
        <f>IFERROR(__xludf.DUMMYFUNCTION("""COMPUTED_VALUE"""),"Fantasy")</f>
        <v>Fantasy</v>
      </c>
      <c r="D102" s="16">
        <f>IFERROR(__xludf.DUMMYFUNCTION("""COMPUTED_VALUE"""),43.0)</f>
        <v>43</v>
      </c>
      <c r="E102" s="16">
        <f>IFERROR(__xludf.DUMMYFUNCTION("""COMPUTED_VALUE"""),0.930232558139534)</f>
        <v>0.9302325581</v>
      </c>
      <c r="F102" s="16">
        <f>IFERROR(__xludf.DUMMYFUNCTION("""COMPUTED_VALUE"""),0.767441860465116)</f>
        <v>0.7674418605</v>
      </c>
      <c r="G102" s="16">
        <f>IFERROR(__xludf.DUMMYFUNCTION("""COMPUTED_VALUE"""),0.697674418604651)</f>
        <v>0.6976744186</v>
      </c>
      <c r="H102" s="16">
        <f>IFERROR(__xludf.DUMMYFUNCTION("""COMPUTED_VALUE"""),0.674418604651162)</f>
        <v>0.6744186047</v>
      </c>
      <c r="I102" s="16">
        <f>IFERROR(__xludf.DUMMYFUNCTION("""COMPUTED_VALUE"""),0.674418604651162)</f>
        <v>0.6744186047</v>
      </c>
      <c r="J102" s="16">
        <f>IFERROR(__xludf.DUMMYFUNCTION("""COMPUTED_VALUE"""),0.674418604651162)</f>
        <v>0.6744186047</v>
      </c>
      <c r="K102" s="16">
        <f>IFERROR(__xludf.DUMMYFUNCTION("""COMPUTED_VALUE"""),0.651162790697674)</f>
        <v>0.6511627907</v>
      </c>
      <c r="L102" s="16">
        <f>IFERROR(__xludf.DUMMYFUNCTION("""COMPUTED_VALUE"""),0.651162790697674)</f>
        <v>0.6511627907</v>
      </c>
      <c r="M102" s="16">
        <f>IFERROR(__xludf.DUMMYFUNCTION("""COMPUTED_VALUE"""),0.627906976744186)</f>
        <v>0.6279069767</v>
      </c>
      <c r="N102" s="16">
        <f>IFERROR(__xludf.DUMMYFUNCTION("""COMPUTED_VALUE"""),0.627906976744186)</f>
        <v>0.6279069767</v>
      </c>
      <c r="O102" s="16">
        <f>IFERROR(__xludf.DUMMYFUNCTION("""COMPUTED_VALUE"""),0.452380952380952)</f>
        <v>0.4523809524</v>
      </c>
      <c r="P102" s="16">
        <f>IFERROR(__xludf.DUMMYFUNCTION("""COMPUTED_VALUE"""),0.309523809523809)</f>
        <v>0.3095238095</v>
      </c>
      <c r="Q102" s="16">
        <f>IFERROR(__xludf.DUMMYFUNCTION("""COMPUTED_VALUE"""),0.277777777777777)</f>
        <v>0.2777777778</v>
      </c>
      <c r="R102" s="16">
        <f>IFERROR(__xludf.DUMMYFUNCTION("""COMPUTED_VALUE"""),0.0)</f>
        <v>0</v>
      </c>
      <c r="S102" s="16">
        <f>IFERROR(__xludf.DUMMYFUNCTION("""COMPUTED_VALUE"""),0.0)</f>
        <v>0</v>
      </c>
      <c r="T102" s="16">
        <f>IFERROR(__xludf.DUMMYFUNCTION("""COMPUTED_VALUE"""),0.0)</f>
        <v>0</v>
      </c>
      <c r="U102" s="16">
        <f>IFERROR(__xludf.DUMMYFUNCTION("""COMPUTED_VALUE"""),0.0)</f>
        <v>0</v>
      </c>
      <c r="V102" s="16">
        <f>IFERROR(__xludf.DUMMYFUNCTION("""COMPUTED_VALUE"""),0.0)</f>
        <v>0</v>
      </c>
      <c r="W102" s="16">
        <f>IFERROR(__xludf.DUMMYFUNCTION("""COMPUTED_VALUE"""),0.0)</f>
        <v>0</v>
      </c>
      <c r="X102" s="16">
        <f>IFERROR(__xludf.DUMMYFUNCTION("""COMPUTED_VALUE"""),0.0)</f>
        <v>0</v>
      </c>
      <c r="Y102" s="16">
        <f>IFERROR(__xludf.DUMMYFUNCTION("""COMPUTED_VALUE"""),0.0)</f>
        <v>0</v>
      </c>
      <c r="Z102" s="16">
        <f>IFERROR(__xludf.DUMMYFUNCTION("""COMPUTED_VALUE"""),0.0)</f>
        <v>0</v>
      </c>
      <c r="AA102" s="16">
        <f>IFERROR(__xludf.DUMMYFUNCTION("""COMPUTED_VALUE"""),0.0)</f>
        <v>0</v>
      </c>
      <c r="AB102" s="16">
        <f>IFERROR(__xludf.DUMMYFUNCTION("""COMPUTED_VALUE"""),0.0)</f>
        <v>0</v>
      </c>
      <c r="AC102" s="16">
        <f>IFERROR(__xludf.DUMMYFUNCTION("""COMPUTED_VALUE"""),0.0)</f>
        <v>0</v>
      </c>
      <c r="AD102" s="16">
        <f>IFERROR(__xludf.DUMMYFUNCTION("""COMPUTED_VALUE"""),0.0)</f>
        <v>0</v>
      </c>
      <c r="AE102" s="16">
        <f>IFERROR(__xludf.DUMMYFUNCTION("""COMPUTED_VALUE"""),0.0)</f>
        <v>0</v>
      </c>
      <c r="AF102" s="16">
        <f>IFERROR(__xludf.DUMMYFUNCTION("""COMPUTED_VALUE"""),0.0)</f>
        <v>0</v>
      </c>
      <c r="AG102" s="16">
        <f>IFERROR(__xludf.DUMMYFUNCTION("""COMPUTED_VALUE"""),0.0)</f>
        <v>0</v>
      </c>
      <c r="AH102" s="16">
        <f>IFERROR(__xludf.DUMMYFUNCTION("""COMPUTED_VALUE"""),0.0)</f>
        <v>0</v>
      </c>
    </row>
    <row r="103">
      <c r="A103" s="16" t="str">
        <f>IFERROR(__xludf.DUMMYFUNCTION("""COMPUTED_VALUE"""),"514efd834428337923e640a1254ea9d7477b18b3")</f>
        <v>514efd834428337923e640a1254ea9d7477b18b3</v>
      </c>
      <c r="B103" s="16" t="str">
        <f>IFERROR(__xludf.DUMMYFUNCTION("""COMPUTED_VALUE"""),"Bride of a Dragon")</f>
        <v>Bride of a Dragon</v>
      </c>
      <c r="C103" s="16" t="str">
        <f>IFERROR(__xludf.DUMMYFUNCTION("""COMPUTED_VALUE"""),"Romantasy")</f>
        <v>Romantasy</v>
      </c>
      <c r="D103" s="16">
        <f>IFERROR(__xludf.DUMMYFUNCTION("""COMPUTED_VALUE"""),7069.0)</f>
        <v>7069</v>
      </c>
      <c r="E103" s="16">
        <f>IFERROR(__xludf.DUMMYFUNCTION("""COMPUTED_VALUE"""),0.928136935917385)</f>
        <v>0.9281369359</v>
      </c>
      <c r="F103" s="16">
        <f>IFERROR(__xludf.DUMMYFUNCTION("""COMPUTED_VALUE"""),0.614372612816522)</f>
        <v>0.6143726128</v>
      </c>
      <c r="G103" s="16">
        <f>IFERROR(__xludf.DUMMYFUNCTION("""COMPUTED_VALUE"""),0.572782571792332)</f>
        <v>0.5727825718</v>
      </c>
      <c r="H103" s="16">
        <f>IFERROR(__xludf.DUMMYFUNCTION("""COMPUTED_VALUE"""),0.531351733899504)</f>
        <v>0.5313517339</v>
      </c>
      <c r="I103" s="16">
        <f>IFERROR(__xludf.DUMMYFUNCTION("""COMPUTED_VALUE"""),0.514854299928926)</f>
        <v>0.5148542999</v>
      </c>
      <c r="J103" s="16">
        <f>IFERROR(__xludf.DUMMYFUNCTION("""COMPUTED_VALUE"""),0.484675694939415)</f>
        <v>0.4846756949</v>
      </c>
      <c r="K103" s="16">
        <f>IFERROR(__xludf.DUMMYFUNCTION("""COMPUTED_VALUE"""),0.480565875964561)</f>
        <v>0.480565876</v>
      </c>
      <c r="L103" s="16">
        <f>IFERROR(__xludf.DUMMYFUNCTION("""COMPUTED_VALUE"""),0.464213854555906)</f>
        <v>0.4642138546</v>
      </c>
      <c r="M103" s="16">
        <f>IFERROR(__xludf.DUMMYFUNCTION("""COMPUTED_VALUE"""),0.452411807055435)</f>
        <v>0.4524118071</v>
      </c>
      <c r="N103" s="16">
        <f>IFERROR(__xludf.DUMMYFUNCTION("""COMPUTED_VALUE"""),0.445022395607571)</f>
        <v>0.4450223956</v>
      </c>
      <c r="O103" s="16">
        <f>IFERROR(__xludf.DUMMYFUNCTION("""COMPUTED_VALUE"""),0.400771284485315)</f>
        <v>0.4007712845</v>
      </c>
      <c r="P103" s="16">
        <f>IFERROR(__xludf.DUMMYFUNCTION("""COMPUTED_VALUE"""),0.369668976135488)</f>
        <v>0.3696689761</v>
      </c>
      <c r="Q103" s="16">
        <f>IFERROR(__xludf.DUMMYFUNCTION("""COMPUTED_VALUE"""),0.321555430921667)</f>
        <v>0.3215554309</v>
      </c>
      <c r="R103" s="16">
        <f>IFERROR(__xludf.DUMMYFUNCTION("""COMPUTED_VALUE"""),0.287363494539781)</f>
        <v>0.2873634945</v>
      </c>
      <c r="S103" s="16">
        <f>IFERROR(__xludf.DUMMYFUNCTION("""COMPUTED_VALUE"""),0.237825216811207)</f>
        <v>0.2378252168</v>
      </c>
      <c r="T103" s="16">
        <f>IFERROR(__xludf.DUMMYFUNCTION("""COMPUTED_VALUE"""),0.139097744360902)</f>
        <v>0.1390977444</v>
      </c>
      <c r="U103" s="16">
        <f>IFERROR(__xludf.DUMMYFUNCTION("""COMPUTED_VALUE"""),0.128205128205128)</f>
        <v>0.1282051282</v>
      </c>
      <c r="V103" s="16">
        <f>IFERROR(__xludf.DUMMYFUNCTION("""COMPUTED_VALUE"""),0.0)</f>
        <v>0</v>
      </c>
      <c r="W103" s="16">
        <f>IFERROR(__xludf.DUMMYFUNCTION("""COMPUTED_VALUE"""),0.0)</f>
        <v>0</v>
      </c>
      <c r="X103" s="16">
        <f>IFERROR(__xludf.DUMMYFUNCTION("""COMPUTED_VALUE"""),0.0)</f>
        <v>0</v>
      </c>
      <c r="Y103" s="16">
        <f>IFERROR(__xludf.DUMMYFUNCTION("""COMPUTED_VALUE"""),0.0)</f>
        <v>0</v>
      </c>
      <c r="Z103" s="16">
        <f>IFERROR(__xludf.DUMMYFUNCTION("""COMPUTED_VALUE"""),0.0)</f>
        <v>0</v>
      </c>
      <c r="AA103" s="16">
        <f>IFERROR(__xludf.DUMMYFUNCTION("""COMPUTED_VALUE"""),0.0)</f>
        <v>0</v>
      </c>
      <c r="AB103" s="16">
        <f>IFERROR(__xludf.DUMMYFUNCTION("""COMPUTED_VALUE"""),0.0)</f>
        <v>0</v>
      </c>
      <c r="AC103" s="16">
        <f>IFERROR(__xludf.DUMMYFUNCTION("""COMPUTED_VALUE"""),0.0)</f>
        <v>0</v>
      </c>
      <c r="AD103" s="16">
        <f>IFERROR(__xludf.DUMMYFUNCTION("""COMPUTED_VALUE"""),0.0)</f>
        <v>0</v>
      </c>
      <c r="AE103" s="16">
        <f>IFERROR(__xludf.DUMMYFUNCTION("""COMPUTED_VALUE"""),0.0)</f>
        <v>0</v>
      </c>
      <c r="AF103" s="16">
        <f>IFERROR(__xludf.DUMMYFUNCTION("""COMPUTED_VALUE"""),0.0)</f>
        <v>0</v>
      </c>
      <c r="AG103" s="16">
        <f>IFERROR(__xludf.DUMMYFUNCTION("""COMPUTED_VALUE"""),0.0)</f>
        <v>0</v>
      </c>
      <c r="AH103" s="16">
        <f>IFERROR(__xludf.DUMMYFUNCTION("""COMPUTED_VALUE"""),0.0)</f>
        <v>0</v>
      </c>
    </row>
    <row r="104">
      <c r="A104" s="16" t="str">
        <f>IFERROR(__xludf.DUMMYFUNCTION("""COMPUTED_VALUE"""),"5269f35d5665dd7c25aa81eac9fa9e452b693897")</f>
        <v>5269f35d5665dd7c25aa81eac9fa9e452b693897</v>
      </c>
      <c r="B104" s="16" t="str">
        <f>IFERROR(__xludf.DUMMYFUNCTION("""COMPUTED_VALUE"""),"Her Royal Vampire")</f>
        <v>Her Royal Vampire</v>
      </c>
      <c r="C104" s="16" t="str">
        <f>IFERROR(__xludf.DUMMYFUNCTION("""COMPUTED_VALUE"""),"Romantasy")</f>
        <v>Romantasy</v>
      </c>
      <c r="D104" s="16">
        <f>IFERROR(__xludf.DUMMYFUNCTION("""COMPUTED_VALUE"""),1802.0)</f>
        <v>1802</v>
      </c>
      <c r="E104" s="16">
        <f>IFERROR(__xludf.DUMMYFUNCTION("""COMPUTED_VALUE"""),0.960044395116537)</f>
        <v>0.9600443951</v>
      </c>
      <c r="F104" s="16">
        <f>IFERROR(__xludf.DUMMYFUNCTION("""COMPUTED_VALUE"""),0.598779134295227)</f>
        <v>0.5987791343</v>
      </c>
      <c r="G104" s="16">
        <f>IFERROR(__xludf.DUMMYFUNCTION("""COMPUTED_VALUE"""),0.534961154273029)</f>
        <v>0.5349611543</v>
      </c>
      <c r="H104" s="16">
        <f>IFERROR(__xludf.DUMMYFUNCTION("""COMPUTED_VALUE"""),0.497225305216426)</f>
        <v>0.4972253052</v>
      </c>
      <c r="I104" s="16">
        <f>IFERROR(__xludf.DUMMYFUNCTION("""COMPUTED_VALUE"""),0.465852304275402)</f>
        <v>0.4658523043</v>
      </c>
      <c r="J104" s="16">
        <f>IFERROR(__xludf.DUMMYFUNCTION("""COMPUTED_VALUE"""),0.446488294314381)</f>
        <v>0.4464882943</v>
      </c>
      <c r="K104" s="16">
        <f>IFERROR(__xludf.DUMMYFUNCTION("""COMPUTED_VALUE"""),0.433519553072625)</f>
        <v>0.4335195531</v>
      </c>
      <c r="L104" s="16">
        <f>IFERROR(__xludf.DUMMYFUNCTION("""COMPUTED_VALUE"""),0.430011198208286)</f>
        <v>0.4300111982</v>
      </c>
      <c r="M104" s="16">
        <f>IFERROR(__xludf.DUMMYFUNCTION("""COMPUTED_VALUE"""),0.416386083052749)</f>
        <v>0.4163860831</v>
      </c>
      <c r="N104" s="16">
        <f>IFERROR(__xludf.DUMMYFUNCTION("""COMPUTED_VALUE"""),0.398085585585585)</f>
        <v>0.3980855856</v>
      </c>
      <c r="O104" s="16">
        <f>IFERROR(__xludf.DUMMYFUNCTION("""COMPUTED_VALUE"""),0.345592897907419)</f>
        <v>0.3455928979</v>
      </c>
      <c r="P104" s="16">
        <f>IFERROR(__xludf.DUMMYFUNCTION("""COMPUTED_VALUE"""),0.262793914246196)</f>
        <v>0.2627939142</v>
      </c>
      <c r="Q104" s="16">
        <f>IFERROR(__xludf.DUMMYFUNCTION("""COMPUTED_VALUE"""),0.17364657814096)</f>
        <v>0.1736465781</v>
      </c>
      <c r="R104" s="16">
        <f>IFERROR(__xludf.DUMMYFUNCTION("""COMPUTED_VALUE"""),0.0929032258064516)</f>
        <v>0.09290322581</v>
      </c>
      <c r="S104" s="16">
        <f>IFERROR(__xludf.DUMMYFUNCTION("""COMPUTED_VALUE"""),0.0652173913043478)</f>
        <v>0.0652173913</v>
      </c>
      <c r="T104" s="16">
        <f>IFERROR(__xludf.DUMMYFUNCTION("""COMPUTED_VALUE"""),0.0204081632653061)</f>
        <v>0.02040816327</v>
      </c>
      <c r="U104" s="16">
        <f>IFERROR(__xludf.DUMMYFUNCTION("""COMPUTED_VALUE"""),0.0833333333333333)</f>
        <v>0.08333333333</v>
      </c>
      <c r="V104" s="16">
        <f>IFERROR(__xludf.DUMMYFUNCTION("""COMPUTED_VALUE"""),0.0)</f>
        <v>0</v>
      </c>
      <c r="W104" s="16">
        <f>IFERROR(__xludf.DUMMYFUNCTION("""COMPUTED_VALUE"""),0.0)</f>
        <v>0</v>
      </c>
      <c r="X104" s="16">
        <f>IFERROR(__xludf.DUMMYFUNCTION("""COMPUTED_VALUE"""),0.0)</f>
        <v>0</v>
      </c>
      <c r="Y104" s="16">
        <f>IFERROR(__xludf.DUMMYFUNCTION("""COMPUTED_VALUE"""),0.0)</f>
        <v>0</v>
      </c>
      <c r="Z104" s="16">
        <f>IFERROR(__xludf.DUMMYFUNCTION("""COMPUTED_VALUE"""),0.0)</f>
        <v>0</v>
      </c>
      <c r="AA104" s="16">
        <f>IFERROR(__xludf.DUMMYFUNCTION("""COMPUTED_VALUE"""),0.0)</f>
        <v>0</v>
      </c>
      <c r="AB104" s="16">
        <f>IFERROR(__xludf.DUMMYFUNCTION("""COMPUTED_VALUE"""),0.0)</f>
        <v>0</v>
      </c>
      <c r="AC104" s="16">
        <f>IFERROR(__xludf.DUMMYFUNCTION("""COMPUTED_VALUE"""),0.0)</f>
        <v>0</v>
      </c>
      <c r="AD104" s="16">
        <f>IFERROR(__xludf.DUMMYFUNCTION("""COMPUTED_VALUE"""),0.0)</f>
        <v>0</v>
      </c>
      <c r="AE104" s="16">
        <f>IFERROR(__xludf.DUMMYFUNCTION("""COMPUTED_VALUE"""),0.0)</f>
        <v>0</v>
      </c>
      <c r="AF104" s="16">
        <f>IFERROR(__xludf.DUMMYFUNCTION("""COMPUTED_VALUE"""),0.0)</f>
        <v>0</v>
      </c>
      <c r="AG104" s="16">
        <f>IFERROR(__xludf.DUMMYFUNCTION("""COMPUTED_VALUE"""),0.0)</f>
        <v>0</v>
      </c>
      <c r="AH104" s="16">
        <f>IFERROR(__xludf.DUMMYFUNCTION("""COMPUTED_VALUE"""),0.0)</f>
        <v>0</v>
      </c>
    </row>
    <row r="105">
      <c r="A105" s="16" t="str">
        <f>IFERROR(__xludf.DUMMYFUNCTION("""COMPUTED_VALUE"""),"5276da779c8fe48836102d34eea2143d4421865c")</f>
        <v>5276da779c8fe48836102d34eea2143d4421865c</v>
      </c>
      <c r="B105" s="16" t="str">
        <f>IFERROR(__xludf.DUMMYFUNCTION("""COMPUTED_VALUE"""),"The Single Father's Surrender")</f>
        <v>The Single Father's Surrender</v>
      </c>
      <c r="C105" s="16" t="str">
        <f>IFERROR(__xludf.DUMMYFUNCTION("""COMPUTED_VALUE"""),"Romance")</f>
        <v>Romance</v>
      </c>
      <c r="D105" s="16">
        <f>IFERROR(__xludf.DUMMYFUNCTION("""COMPUTED_VALUE"""),642.0)</f>
        <v>642</v>
      </c>
      <c r="E105" s="16">
        <f>IFERROR(__xludf.DUMMYFUNCTION("""COMPUTED_VALUE"""),0.965732087227414)</f>
        <v>0.9657320872</v>
      </c>
      <c r="F105" s="16">
        <f>IFERROR(__xludf.DUMMYFUNCTION("""COMPUTED_VALUE"""),0.643302180685358)</f>
        <v>0.6433021807</v>
      </c>
      <c r="G105" s="16">
        <f>IFERROR(__xludf.DUMMYFUNCTION("""COMPUTED_VALUE"""),0.560747663551401)</f>
        <v>0.5607476636</v>
      </c>
      <c r="H105" s="16">
        <f>IFERROR(__xludf.DUMMYFUNCTION("""COMPUTED_VALUE"""),0.5)</f>
        <v>0.5</v>
      </c>
      <c r="I105" s="16">
        <f>IFERROR(__xludf.DUMMYFUNCTION("""COMPUTED_VALUE"""),0.475)</f>
        <v>0.475</v>
      </c>
      <c r="J105" s="16">
        <f>IFERROR(__xludf.DUMMYFUNCTION("""COMPUTED_VALUE"""),0.443740095087163)</f>
        <v>0.4437400951</v>
      </c>
      <c r="K105" s="16">
        <f>IFERROR(__xludf.DUMMYFUNCTION("""COMPUTED_VALUE"""),0.421052631578947)</f>
        <v>0.4210526316</v>
      </c>
      <c r="L105" s="16">
        <f>IFERROR(__xludf.DUMMYFUNCTION("""COMPUTED_VALUE"""),0.406752411575562)</f>
        <v>0.4067524116</v>
      </c>
      <c r="M105" s="16">
        <f>IFERROR(__xludf.DUMMYFUNCTION("""COMPUTED_VALUE"""),0.373182552504038)</f>
        <v>0.3731825525</v>
      </c>
      <c r="N105" s="16">
        <f>IFERROR(__xludf.DUMMYFUNCTION("""COMPUTED_VALUE"""),0.368248772504091)</f>
        <v>0.3682487725</v>
      </c>
      <c r="O105" s="16">
        <f>IFERROR(__xludf.DUMMYFUNCTION("""COMPUTED_VALUE"""),0.330841121495327)</f>
        <v>0.3308411215</v>
      </c>
      <c r="P105" s="16">
        <f>IFERROR(__xludf.DUMMYFUNCTION("""COMPUTED_VALUE"""),0.285714285714285)</f>
        <v>0.2857142857</v>
      </c>
      <c r="Q105" s="16">
        <f>IFERROR(__xludf.DUMMYFUNCTION("""COMPUTED_VALUE"""),0.168067226890756)</f>
        <v>0.1680672269</v>
      </c>
      <c r="R105" s="16">
        <f>IFERROR(__xludf.DUMMYFUNCTION("""COMPUTED_VALUE"""),0.0606060606060606)</f>
        <v>0.06060606061</v>
      </c>
      <c r="S105" s="16">
        <f>IFERROR(__xludf.DUMMYFUNCTION("""COMPUTED_VALUE"""),0.0294117647058823)</f>
        <v>0.02941176471</v>
      </c>
      <c r="T105" s="16">
        <f>IFERROR(__xludf.DUMMYFUNCTION("""COMPUTED_VALUE"""),0.0)</f>
        <v>0</v>
      </c>
      <c r="U105" s="16">
        <f>IFERROR(__xludf.DUMMYFUNCTION("""COMPUTED_VALUE"""),0.0)</f>
        <v>0</v>
      </c>
      <c r="V105" s="16">
        <f>IFERROR(__xludf.DUMMYFUNCTION("""COMPUTED_VALUE"""),0.0)</f>
        <v>0</v>
      </c>
      <c r="W105" s="16">
        <f>IFERROR(__xludf.DUMMYFUNCTION("""COMPUTED_VALUE"""),0.0)</f>
        <v>0</v>
      </c>
      <c r="X105" s="16">
        <f>IFERROR(__xludf.DUMMYFUNCTION("""COMPUTED_VALUE"""),0.0)</f>
        <v>0</v>
      </c>
      <c r="Y105" s="16">
        <f>IFERROR(__xludf.DUMMYFUNCTION("""COMPUTED_VALUE"""),0.0)</f>
        <v>0</v>
      </c>
      <c r="Z105" s="16">
        <f>IFERROR(__xludf.DUMMYFUNCTION("""COMPUTED_VALUE"""),0.0)</f>
        <v>0</v>
      </c>
      <c r="AA105" s="16">
        <f>IFERROR(__xludf.DUMMYFUNCTION("""COMPUTED_VALUE"""),0.0)</f>
        <v>0</v>
      </c>
      <c r="AB105" s="16">
        <f>IFERROR(__xludf.DUMMYFUNCTION("""COMPUTED_VALUE"""),0.0)</f>
        <v>0</v>
      </c>
      <c r="AC105" s="16">
        <f>IFERROR(__xludf.DUMMYFUNCTION("""COMPUTED_VALUE"""),0.0)</f>
        <v>0</v>
      </c>
      <c r="AD105" s="16">
        <f>IFERROR(__xludf.DUMMYFUNCTION("""COMPUTED_VALUE"""),0.0)</f>
        <v>0</v>
      </c>
      <c r="AE105" s="16">
        <f>IFERROR(__xludf.DUMMYFUNCTION("""COMPUTED_VALUE"""),0.0)</f>
        <v>0</v>
      </c>
      <c r="AF105" s="16">
        <f>IFERROR(__xludf.DUMMYFUNCTION("""COMPUTED_VALUE"""),0.0)</f>
        <v>0</v>
      </c>
      <c r="AG105" s="16">
        <f>IFERROR(__xludf.DUMMYFUNCTION("""COMPUTED_VALUE"""),0.0)</f>
        <v>0</v>
      </c>
      <c r="AH105" s="16">
        <f>IFERROR(__xludf.DUMMYFUNCTION("""COMPUTED_VALUE"""),0.0)</f>
        <v>0</v>
      </c>
    </row>
    <row r="106">
      <c r="A106" s="16" t="str">
        <f>IFERROR(__xludf.DUMMYFUNCTION("""COMPUTED_VALUE"""),"53bd90147df4228136243c0a218345e3a338b8c1")</f>
        <v>53bd90147df4228136243c0a218345e3a338b8c1</v>
      </c>
      <c r="B106" s="16" t="str">
        <f>IFERROR(__xludf.DUMMYFUNCTION("""COMPUTED_VALUE"""),"His Abandoned Wife")</f>
        <v>His Abandoned Wife</v>
      </c>
      <c r="C106" s="16" t="str">
        <f>IFERROR(__xludf.DUMMYFUNCTION("""COMPUTED_VALUE"""),"Romance")</f>
        <v>Romance</v>
      </c>
      <c r="D106" s="16">
        <f>IFERROR(__xludf.DUMMYFUNCTION("""COMPUTED_VALUE"""),168.0)</f>
        <v>168</v>
      </c>
      <c r="E106" s="16">
        <f>IFERROR(__xludf.DUMMYFUNCTION("""COMPUTED_VALUE"""),0.970238095238095)</f>
        <v>0.9702380952</v>
      </c>
      <c r="F106" s="16">
        <f>IFERROR(__xludf.DUMMYFUNCTION("""COMPUTED_VALUE"""),0.541666666666666)</f>
        <v>0.5416666667</v>
      </c>
      <c r="G106" s="16">
        <f>IFERROR(__xludf.DUMMYFUNCTION("""COMPUTED_VALUE"""),0.488095238095238)</f>
        <v>0.4880952381</v>
      </c>
      <c r="H106" s="16">
        <f>IFERROR(__xludf.DUMMYFUNCTION("""COMPUTED_VALUE"""),0.449101796407185)</f>
        <v>0.4491017964</v>
      </c>
      <c r="I106" s="16">
        <f>IFERROR(__xludf.DUMMYFUNCTION("""COMPUTED_VALUE"""),0.39156626506024)</f>
        <v>0.3915662651</v>
      </c>
      <c r="J106" s="16">
        <f>IFERROR(__xludf.DUMMYFUNCTION("""COMPUTED_VALUE"""),0.367088607594936)</f>
        <v>0.3670886076</v>
      </c>
      <c r="K106" s="16">
        <f>IFERROR(__xludf.DUMMYFUNCTION("""COMPUTED_VALUE"""),0.357142857142857)</f>
        <v>0.3571428571</v>
      </c>
      <c r="L106" s="16">
        <f>IFERROR(__xludf.DUMMYFUNCTION("""COMPUTED_VALUE"""),0.337931034482758)</f>
        <v>0.3379310345</v>
      </c>
      <c r="M106" s="16">
        <f>IFERROR(__xludf.DUMMYFUNCTION("""COMPUTED_VALUE"""),0.302158273381295)</f>
        <v>0.3021582734</v>
      </c>
      <c r="N106" s="16">
        <f>IFERROR(__xludf.DUMMYFUNCTION("""COMPUTED_VALUE"""),0.270676691729323)</f>
        <v>0.2706766917</v>
      </c>
      <c r="O106" s="16">
        <f>IFERROR(__xludf.DUMMYFUNCTION("""COMPUTED_VALUE"""),0.211382113821138)</f>
        <v>0.2113821138</v>
      </c>
      <c r="P106" s="16">
        <f>IFERROR(__xludf.DUMMYFUNCTION("""COMPUTED_VALUE"""),0.166666666666666)</f>
        <v>0.1666666667</v>
      </c>
      <c r="Q106" s="16">
        <f>IFERROR(__xludf.DUMMYFUNCTION("""COMPUTED_VALUE"""),0.0)</f>
        <v>0</v>
      </c>
      <c r="R106" s="16">
        <f>IFERROR(__xludf.DUMMYFUNCTION("""COMPUTED_VALUE"""),0.0)</f>
        <v>0</v>
      </c>
      <c r="S106" s="16">
        <f>IFERROR(__xludf.DUMMYFUNCTION("""COMPUTED_VALUE"""),0.0)</f>
        <v>0</v>
      </c>
      <c r="T106" s="16">
        <f>IFERROR(__xludf.DUMMYFUNCTION("""COMPUTED_VALUE"""),0.0)</f>
        <v>0</v>
      </c>
      <c r="U106" s="16">
        <f>IFERROR(__xludf.DUMMYFUNCTION("""COMPUTED_VALUE"""),0.0)</f>
        <v>0</v>
      </c>
      <c r="V106" s="16">
        <f>IFERROR(__xludf.DUMMYFUNCTION("""COMPUTED_VALUE"""),0.0)</f>
        <v>0</v>
      </c>
      <c r="W106" s="16">
        <f>IFERROR(__xludf.DUMMYFUNCTION("""COMPUTED_VALUE"""),0.0)</f>
        <v>0</v>
      </c>
      <c r="X106" s="16">
        <f>IFERROR(__xludf.DUMMYFUNCTION("""COMPUTED_VALUE"""),0.0)</f>
        <v>0</v>
      </c>
      <c r="Y106" s="16">
        <f>IFERROR(__xludf.DUMMYFUNCTION("""COMPUTED_VALUE"""),0.0)</f>
        <v>0</v>
      </c>
      <c r="Z106" s="16">
        <f>IFERROR(__xludf.DUMMYFUNCTION("""COMPUTED_VALUE"""),0.0)</f>
        <v>0</v>
      </c>
      <c r="AA106" s="16">
        <f>IFERROR(__xludf.DUMMYFUNCTION("""COMPUTED_VALUE"""),0.0)</f>
        <v>0</v>
      </c>
      <c r="AB106" s="16">
        <f>IFERROR(__xludf.DUMMYFUNCTION("""COMPUTED_VALUE"""),0.0)</f>
        <v>0</v>
      </c>
      <c r="AC106" s="16">
        <f>IFERROR(__xludf.DUMMYFUNCTION("""COMPUTED_VALUE"""),0.0)</f>
        <v>0</v>
      </c>
      <c r="AD106" s="16">
        <f>IFERROR(__xludf.DUMMYFUNCTION("""COMPUTED_VALUE"""),0.0)</f>
        <v>0</v>
      </c>
      <c r="AE106" s="16">
        <f>IFERROR(__xludf.DUMMYFUNCTION("""COMPUTED_VALUE"""),0.0)</f>
        <v>0</v>
      </c>
      <c r="AF106" s="16">
        <f>IFERROR(__xludf.DUMMYFUNCTION("""COMPUTED_VALUE"""),0.0)</f>
        <v>0</v>
      </c>
      <c r="AG106" s="16">
        <f>IFERROR(__xludf.DUMMYFUNCTION("""COMPUTED_VALUE"""),0.0)</f>
        <v>0</v>
      </c>
      <c r="AH106" s="16">
        <f>IFERROR(__xludf.DUMMYFUNCTION("""COMPUTED_VALUE"""),0.0)</f>
        <v>0</v>
      </c>
    </row>
    <row r="107">
      <c r="A107" s="16" t="str">
        <f>IFERROR(__xludf.DUMMYFUNCTION("""COMPUTED_VALUE"""),"54a2cb963cd2e93491b9f03d9cf379ed72d3271f")</f>
        <v>54a2cb963cd2e93491b9f03d9cf379ed72d3271f</v>
      </c>
      <c r="B107" s="16" t="str">
        <f>IFERROR(__xludf.DUMMYFUNCTION("""COMPUTED_VALUE"""),"The One He Can't Break")</f>
        <v>The One He Can't Break</v>
      </c>
      <c r="C107" s="16" t="str">
        <f>IFERROR(__xludf.DUMMYFUNCTION("""COMPUTED_VALUE"""),"Romance")</f>
        <v>Romance</v>
      </c>
      <c r="D107" s="16">
        <f>IFERROR(__xludf.DUMMYFUNCTION("""COMPUTED_VALUE"""),1151.0)</f>
        <v>1151</v>
      </c>
      <c r="E107" s="16">
        <f>IFERROR(__xludf.DUMMYFUNCTION("""COMPUTED_VALUE"""),0.966985230234578)</f>
        <v>0.9669852302</v>
      </c>
      <c r="F107" s="16">
        <f>IFERROR(__xludf.DUMMYFUNCTION("""COMPUTED_VALUE"""),0.570807993049522)</f>
        <v>0.570807993</v>
      </c>
      <c r="G107" s="16">
        <f>IFERROR(__xludf.DUMMYFUNCTION("""COMPUTED_VALUE"""),0.493483927019982)</f>
        <v>0.493483927</v>
      </c>
      <c r="H107" s="16">
        <f>IFERROR(__xludf.DUMMYFUNCTION("""COMPUTED_VALUE"""),0.424347826086956)</f>
        <v>0.4243478261</v>
      </c>
      <c r="I107" s="16">
        <f>IFERROR(__xludf.DUMMYFUNCTION("""COMPUTED_VALUE"""),0.398607484769364)</f>
        <v>0.3986074848</v>
      </c>
      <c r="J107" s="16">
        <f>IFERROR(__xludf.DUMMYFUNCTION("""COMPUTED_VALUE"""),0.366724738675958)</f>
        <v>0.3667247387</v>
      </c>
      <c r="K107" s="16">
        <f>IFERROR(__xludf.DUMMYFUNCTION("""COMPUTED_VALUE"""),0.35745422842197)</f>
        <v>0.3574542284</v>
      </c>
      <c r="L107" s="16">
        <f>IFERROR(__xludf.DUMMYFUNCTION("""COMPUTED_VALUE"""),0.316157205240174)</f>
        <v>0.3161572052</v>
      </c>
      <c r="M107" s="16">
        <f>IFERROR(__xludf.DUMMYFUNCTION("""COMPUTED_VALUE"""),0.307624890446976)</f>
        <v>0.3076248904</v>
      </c>
      <c r="N107" s="16">
        <f>IFERROR(__xludf.DUMMYFUNCTION("""COMPUTED_VALUE"""),0.277033065236818)</f>
        <v>0.2770330652</v>
      </c>
      <c r="O107" s="16">
        <f>IFERROR(__xludf.DUMMYFUNCTION("""COMPUTED_VALUE"""),0.209209209209209)</f>
        <v>0.2092092092</v>
      </c>
      <c r="P107" s="16">
        <f>IFERROR(__xludf.DUMMYFUNCTION("""COMPUTED_VALUE"""),0.127245508982035)</f>
        <v>0.127245509</v>
      </c>
      <c r="Q107" s="16">
        <f>IFERROR(__xludf.DUMMYFUNCTION("""COMPUTED_VALUE"""),0.087248322147651)</f>
        <v>0.08724832215</v>
      </c>
      <c r="R107" s="16">
        <f>IFERROR(__xludf.DUMMYFUNCTION("""COMPUTED_VALUE"""),0.0731070496083551)</f>
        <v>0.07310704961</v>
      </c>
      <c r="S107" s="16">
        <f>IFERROR(__xludf.DUMMYFUNCTION("""COMPUTED_VALUE"""),0.0571428571428571)</f>
        <v>0.05714285714</v>
      </c>
      <c r="T107" s="16">
        <f>IFERROR(__xludf.DUMMYFUNCTION("""COMPUTED_VALUE"""),0.0)</f>
        <v>0</v>
      </c>
      <c r="U107" s="16">
        <f>IFERROR(__xludf.DUMMYFUNCTION("""COMPUTED_VALUE"""),0.0)</f>
        <v>0</v>
      </c>
      <c r="V107" s="16">
        <f>IFERROR(__xludf.DUMMYFUNCTION("""COMPUTED_VALUE"""),0.0)</f>
        <v>0</v>
      </c>
      <c r="W107" s="16">
        <f>IFERROR(__xludf.DUMMYFUNCTION("""COMPUTED_VALUE"""),0.0)</f>
        <v>0</v>
      </c>
      <c r="X107" s="16">
        <f>IFERROR(__xludf.DUMMYFUNCTION("""COMPUTED_VALUE"""),0.0)</f>
        <v>0</v>
      </c>
      <c r="Y107" s="16">
        <f>IFERROR(__xludf.DUMMYFUNCTION("""COMPUTED_VALUE"""),0.0)</f>
        <v>0</v>
      </c>
      <c r="Z107" s="16">
        <f>IFERROR(__xludf.DUMMYFUNCTION("""COMPUTED_VALUE"""),0.0)</f>
        <v>0</v>
      </c>
      <c r="AA107" s="16">
        <f>IFERROR(__xludf.DUMMYFUNCTION("""COMPUTED_VALUE"""),0.0)</f>
        <v>0</v>
      </c>
      <c r="AB107" s="16">
        <f>IFERROR(__xludf.DUMMYFUNCTION("""COMPUTED_VALUE"""),0.0)</f>
        <v>0</v>
      </c>
      <c r="AC107" s="16">
        <f>IFERROR(__xludf.DUMMYFUNCTION("""COMPUTED_VALUE"""),0.0)</f>
        <v>0</v>
      </c>
      <c r="AD107" s="16">
        <f>IFERROR(__xludf.DUMMYFUNCTION("""COMPUTED_VALUE"""),0.0)</f>
        <v>0</v>
      </c>
      <c r="AE107" s="16">
        <f>IFERROR(__xludf.DUMMYFUNCTION("""COMPUTED_VALUE"""),0.0)</f>
        <v>0</v>
      </c>
      <c r="AF107" s="16">
        <f>IFERROR(__xludf.DUMMYFUNCTION("""COMPUTED_VALUE"""),0.0)</f>
        <v>0</v>
      </c>
      <c r="AG107" s="16">
        <f>IFERROR(__xludf.DUMMYFUNCTION("""COMPUTED_VALUE"""),0.0)</f>
        <v>0</v>
      </c>
      <c r="AH107" s="16">
        <f>IFERROR(__xludf.DUMMYFUNCTION("""COMPUTED_VALUE"""),0.0)</f>
        <v>0</v>
      </c>
    </row>
    <row r="108">
      <c r="A108" s="16" t="str">
        <f>IFERROR(__xludf.DUMMYFUNCTION("""COMPUTED_VALUE"""),"55254a77c40862bb825ededf69a85438157d664f")</f>
        <v>55254a77c40862bb825ededf69a85438157d664f</v>
      </c>
      <c r="B108" s="16" t="str">
        <f>IFERROR(__xludf.DUMMYFUNCTION("""COMPUTED_VALUE"""),"The Billionaire With Mask")</f>
        <v>The Billionaire With Mask</v>
      </c>
      <c r="C108" s="16" t="str">
        <f>IFERROR(__xludf.DUMMYFUNCTION("""COMPUTED_VALUE"""),"Drama")</f>
        <v>Drama</v>
      </c>
      <c r="D108" s="16">
        <f>IFERROR(__xludf.DUMMYFUNCTION("""COMPUTED_VALUE"""),236.0)</f>
        <v>236</v>
      </c>
      <c r="E108" s="16">
        <f>IFERROR(__xludf.DUMMYFUNCTION("""COMPUTED_VALUE"""),0.966101694915254)</f>
        <v>0.9661016949</v>
      </c>
      <c r="F108" s="16">
        <f>IFERROR(__xludf.DUMMYFUNCTION("""COMPUTED_VALUE"""),0.504237288135593)</f>
        <v>0.5042372881</v>
      </c>
      <c r="G108" s="16">
        <f>IFERROR(__xludf.DUMMYFUNCTION("""COMPUTED_VALUE"""),0.415254237288135)</f>
        <v>0.4152542373</v>
      </c>
      <c r="H108" s="16">
        <f>IFERROR(__xludf.DUMMYFUNCTION("""COMPUTED_VALUE"""),0.377118644067796)</f>
        <v>0.3771186441</v>
      </c>
      <c r="I108" s="16">
        <f>IFERROR(__xludf.DUMMYFUNCTION("""COMPUTED_VALUE"""),0.334745762711864)</f>
        <v>0.3347457627</v>
      </c>
      <c r="J108" s="16">
        <f>IFERROR(__xludf.DUMMYFUNCTION("""COMPUTED_VALUE"""),0.313559322033898)</f>
        <v>0.313559322</v>
      </c>
      <c r="K108" s="16">
        <f>IFERROR(__xludf.DUMMYFUNCTION("""COMPUTED_VALUE"""),0.304721030042918)</f>
        <v>0.30472103</v>
      </c>
      <c r="L108" s="16">
        <f>IFERROR(__xludf.DUMMYFUNCTION("""COMPUTED_VALUE"""),0.284482758620689)</f>
        <v>0.2844827586</v>
      </c>
      <c r="M108" s="16">
        <f>IFERROR(__xludf.DUMMYFUNCTION("""COMPUTED_VALUE"""),0.271551724137931)</f>
        <v>0.2715517241</v>
      </c>
      <c r="N108" s="16">
        <f>IFERROR(__xludf.DUMMYFUNCTION("""COMPUTED_VALUE"""),0.262931034482758)</f>
        <v>0.2629310345</v>
      </c>
      <c r="O108" s="16">
        <f>IFERROR(__xludf.DUMMYFUNCTION("""COMPUTED_VALUE"""),0.21551724137931)</f>
        <v>0.2155172414</v>
      </c>
      <c r="P108" s="16">
        <f>IFERROR(__xludf.DUMMYFUNCTION("""COMPUTED_VALUE"""),0.179824561403508)</f>
        <v>0.1798245614</v>
      </c>
      <c r="Q108" s="16">
        <f>IFERROR(__xludf.DUMMYFUNCTION("""COMPUTED_VALUE"""),0.146853146853146)</f>
        <v>0.1468531469</v>
      </c>
      <c r="R108" s="16">
        <f>IFERROR(__xludf.DUMMYFUNCTION("""COMPUTED_VALUE"""),0.114035087719298)</f>
        <v>0.1140350877</v>
      </c>
      <c r="S108" s="16">
        <f>IFERROR(__xludf.DUMMYFUNCTION("""COMPUTED_VALUE"""),0.1)</f>
        <v>0.1</v>
      </c>
      <c r="T108" s="16">
        <f>IFERROR(__xludf.DUMMYFUNCTION("""COMPUTED_VALUE"""),0.0)</f>
        <v>0</v>
      </c>
      <c r="U108" s="16">
        <f>IFERROR(__xludf.DUMMYFUNCTION("""COMPUTED_VALUE"""),0.0)</f>
        <v>0</v>
      </c>
      <c r="V108" s="16">
        <f>IFERROR(__xludf.DUMMYFUNCTION("""COMPUTED_VALUE"""),0.0)</f>
        <v>0</v>
      </c>
      <c r="W108" s="16">
        <f>IFERROR(__xludf.DUMMYFUNCTION("""COMPUTED_VALUE"""),0.0)</f>
        <v>0</v>
      </c>
      <c r="X108" s="16">
        <f>IFERROR(__xludf.DUMMYFUNCTION("""COMPUTED_VALUE"""),0.0)</f>
        <v>0</v>
      </c>
      <c r="Y108" s="16">
        <f>IFERROR(__xludf.DUMMYFUNCTION("""COMPUTED_VALUE"""),0.0)</f>
        <v>0</v>
      </c>
      <c r="Z108" s="16">
        <f>IFERROR(__xludf.DUMMYFUNCTION("""COMPUTED_VALUE"""),0.0)</f>
        <v>0</v>
      </c>
      <c r="AA108" s="16">
        <f>IFERROR(__xludf.DUMMYFUNCTION("""COMPUTED_VALUE"""),0.0)</f>
        <v>0</v>
      </c>
      <c r="AB108" s="16">
        <f>IFERROR(__xludf.DUMMYFUNCTION("""COMPUTED_VALUE"""),0.0)</f>
        <v>0</v>
      </c>
      <c r="AC108" s="16">
        <f>IFERROR(__xludf.DUMMYFUNCTION("""COMPUTED_VALUE"""),0.0)</f>
        <v>0</v>
      </c>
      <c r="AD108" s="16">
        <f>IFERROR(__xludf.DUMMYFUNCTION("""COMPUTED_VALUE"""),0.0)</f>
        <v>0</v>
      </c>
      <c r="AE108" s="16">
        <f>IFERROR(__xludf.DUMMYFUNCTION("""COMPUTED_VALUE"""),0.0)</f>
        <v>0</v>
      </c>
      <c r="AF108" s="16">
        <f>IFERROR(__xludf.DUMMYFUNCTION("""COMPUTED_VALUE"""),0.0)</f>
        <v>0</v>
      </c>
      <c r="AG108" s="16">
        <f>IFERROR(__xludf.DUMMYFUNCTION("""COMPUTED_VALUE"""),0.0)</f>
        <v>0</v>
      </c>
      <c r="AH108" s="16">
        <f>IFERROR(__xludf.DUMMYFUNCTION("""COMPUTED_VALUE"""),0.0)</f>
        <v>0</v>
      </c>
    </row>
    <row r="109">
      <c r="A109" s="16" t="str">
        <f>IFERROR(__xludf.DUMMYFUNCTION("""COMPUTED_VALUE"""),"559db21e99cf5bc0720a814784386a0617e020b9")</f>
        <v>559db21e99cf5bc0720a814784386a0617e020b9</v>
      </c>
      <c r="B109" s="16" t="str">
        <f>IFERROR(__xludf.DUMMYFUNCTION("""COMPUTED_VALUE"""),"The Reborn Sovereign")</f>
        <v>The Reborn Sovereign</v>
      </c>
      <c r="C109" s="16" t="str">
        <f>IFERROR(__xludf.DUMMYFUNCTION("""COMPUTED_VALUE"""),"Fantasy")</f>
        <v>Fantasy</v>
      </c>
      <c r="D109" s="16">
        <f>IFERROR(__xludf.DUMMYFUNCTION("""COMPUTED_VALUE"""),466.0)</f>
        <v>466</v>
      </c>
      <c r="E109" s="16">
        <f>IFERROR(__xludf.DUMMYFUNCTION("""COMPUTED_VALUE"""),0.937768240343347)</f>
        <v>0.9377682403</v>
      </c>
      <c r="F109" s="16">
        <f>IFERROR(__xludf.DUMMYFUNCTION("""COMPUTED_VALUE"""),0.560085836909871)</f>
        <v>0.5600858369</v>
      </c>
      <c r="G109" s="16">
        <f>IFERROR(__xludf.DUMMYFUNCTION("""COMPUTED_VALUE"""),0.506437768240343)</f>
        <v>0.5064377682</v>
      </c>
      <c r="H109" s="16">
        <f>IFERROR(__xludf.DUMMYFUNCTION("""COMPUTED_VALUE"""),0.489177489177489)</f>
        <v>0.4891774892</v>
      </c>
      <c r="I109" s="16">
        <f>IFERROR(__xludf.DUMMYFUNCTION("""COMPUTED_VALUE"""),0.460352422907489)</f>
        <v>0.4603524229</v>
      </c>
      <c r="J109" s="16">
        <f>IFERROR(__xludf.DUMMYFUNCTION("""COMPUTED_VALUE"""),0.427293064876957)</f>
        <v>0.4272930649</v>
      </c>
      <c r="K109" s="16">
        <f>IFERROR(__xludf.DUMMYFUNCTION("""COMPUTED_VALUE"""),0.405895691609977)</f>
        <v>0.4058956916</v>
      </c>
      <c r="L109" s="16">
        <f>IFERROR(__xludf.DUMMYFUNCTION("""COMPUTED_VALUE"""),0.395348837209302)</f>
        <v>0.3953488372</v>
      </c>
      <c r="M109" s="16">
        <f>IFERROR(__xludf.DUMMYFUNCTION("""COMPUTED_VALUE"""),0.391509433962264)</f>
        <v>0.391509434</v>
      </c>
      <c r="N109" s="16">
        <f>IFERROR(__xludf.DUMMYFUNCTION("""COMPUTED_VALUE"""),0.379807692307692)</f>
        <v>0.3798076923</v>
      </c>
      <c r="O109" s="16">
        <f>IFERROR(__xludf.DUMMYFUNCTION("""COMPUTED_VALUE"""),0.307692307692307)</f>
        <v>0.3076923077</v>
      </c>
      <c r="P109" s="16">
        <f>IFERROR(__xludf.DUMMYFUNCTION("""COMPUTED_VALUE"""),0.244837758112094)</f>
        <v>0.2448377581</v>
      </c>
      <c r="Q109" s="16">
        <f>IFERROR(__xludf.DUMMYFUNCTION("""COMPUTED_VALUE"""),0.196363636363636)</f>
        <v>0.1963636364</v>
      </c>
      <c r="R109" s="16">
        <f>IFERROR(__xludf.DUMMYFUNCTION("""COMPUTED_VALUE"""),0.142131979695431)</f>
        <v>0.1421319797</v>
      </c>
      <c r="S109" s="16">
        <f>IFERROR(__xludf.DUMMYFUNCTION("""COMPUTED_VALUE"""),0.0898876404494382)</f>
        <v>0.08988764045</v>
      </c>
      <c r="T109" s="16">
        <f>IFERROR(__xludf.DUMMYFUNCTION("""COMPUTED_VALUE"""),0.0)</f>
        <v>0</v>
      </c>
      <c r="U109" s="16">
        <f>IFERROR(__xludf.DUMMYFUNCTION("""COMPUTED_VALUE"""),0.0)</f>
        <v>0</v>
      </c>
      <c r="V109" s="16">
        <f>IFERROR(__xludf.DUMMYFUNCTION("""COMPUTED_VALUE"""),0.0)</f>
        <v>0</v>
      </c>
      <c r="W109" s="16">
        <f>IFERROR(__xludf.DUMMYFUNCTION("""COMPUTED_VALUE"""),0.0)</f>
        <v>0</v>
      </c>
      <c r="X109" s="16">
        <f>IFERROR(__xludf.DUMMYFUNCTION("""COMPUTED_VALUE"""),0.0)</f>
        <v>0</v>
      </c>
      <c r="Y109" s="16">
        <f>IFERROR(__xludf.DUMMYFUNCTION("""COMPUTED_VALUE"""),0.0)</f>
        <v>0</v>
      </c>
      <c r="Z109" s="16">
        <f>IFERROR(__xludf.DUMMYFUNCTION("""COMPUTED_VALUE"""),0.0)</f>
        <v>0</v>
      </c>
      <c r="AA109" s="16">
        <f>IFERROR(__xludf.DUMMYFUNCTION("""COMPUTED_VALUE"""),0.0)</f>
        <v>0</v>
      </c>
      <c r="AB109" s="16">
        <f>IFERROR(__xludf.DUMMYFUNCTION("""COMPUTED_VALUE"""),0.0)</f>
        <v>0</v>
      </c>
      <c r="AC109" s="16">
        <f>IFERROR(__xludf.DUMMYFUNCTION("""COMPUTED_VALUE"""),0.0)</f>
        <v>0</v>
      </c>
      <c r="AD109" s="16">
        <f>IFERROR(__xludf.DUMMYFUNCTION("""COMPUTED_VALUE"""),0.0)</f>
        <v>0</v>
      </c>
      <c r="AE109" s="16">
        <f>IFERROR(__xludf.DUMMYFUNCTION("""COMPUTED_VALUE"""),0.0)</f>
        <v>0</v>
      </c>
      <c r="AF109" s="16">
        <f>IFERROR(__xludf.DUMMYFUNCTION("""COMPUTED_VALUE"""),0.0)</f>
        <v>0</v>
      </c>
      <c r="AG109" s="16">
        <f>IFERROR(__xludf.DUMMYFUNCTION("""COMPUTED_VALUE"""),0.0)</f>
        <v>0</v>
      </c>
      <c r="AH109" s="16">
        <f>IFERROR(__xludf.DUMMYFUNCTION("""COMPUTED_VALUE"""),0.0)</f>
        <v>0</v>
      </c>
    </row>
    <row r="110">
      <c r="A110" s="16" t="str">
        <f>IFERROR(__xludf.DUMMYFUNCTION("""COMPUTED_VALUE"""),"562f725dcc83392df0b3d429b6d1ff538f81e71b")</f>
        <v>562f725dcc83392df0b3d429b6d1ff538f81e71b</v>
      </c>
      <c r="B110" s="16" t="str">
        <f>IFERROR(__xludf.DUMMYFUNCTION("""COMPUTED_VALUE"""),"Their Contracted Hearts")</f>
        <v>Their Contracted Hearts</v>
      </c>
      <c r="C110" s="16" t="str">
        <f>IFERROR(__xludf.DUMMYFUNCTION("""COMPUTED_VALUE"""),"Romance")</f>
        <v>Romance</v>
      </c>
      <c r="D110" s="16">
        <f>IFERROR(__xludf.DUMMYFUNCTION("""COMPUTED_VALUE"""),827.0)</f>
        <v>827</v>
      </c>
      <c r="E110" s="16">
        <f>IFERROR(__xludf.DUMMYFUNCTION("""COMPUTED_VALUE"""),0.954050785973397)</f>
        <v>0.954050786</v>
      </c>
      <c r="F110" s="16">
        <f>IFERROR(__xludf.DUMMYFUNCTION("""COMPUTED_VALUE"""),0.60459492140266)</f>
        <v>0.6045949214</v>
      </c>
      <c r="G110" s="16">
        <f>IFERROR(__xludf.DUMMYFUNCTION("""COMPUTED_VALUE"""),0.619105199516324)</f>
        <v>0.6191051995</v>
      </c>
      <c r="H110" s="16">
        <f>IFERROR(__xludf.DUMMYFUNCTION("""COMPUTED_VALUE"""),0.5683192261185)</f>
        <v>0.5683192261</v>
      </c>
      <c r="I110" s="16">
        <f>IFERROR(__xludf.DUMMYFUNCTION("""COMPUTED_VALUE"""),0.564691656590084)</f>
        <v>0.5646916566</v>
      </c>
      <c r="J110" s="16">
        <f>IFERROR(__xludf.DUMMYFUNCTION("""COMPUTED_VALUE"""),0.503022974607013)</f>
        <v>0.5030229746</v>
      </c>
      <c r="K110" s="16">
        <f>IFERROR(__xludf.DUMMYFUNCTION("""COMPUTED_VALUE"""),0.471515151515151)</f>
        <v>0.4715151515</v>
      </c>
      <c r="L110" s="16">
        <f>IFERROR(__xludf.DUMMYFUNCTION("""COMPUTED_VALUE"""),0.487272727272727)</f>
        <v>0.4872727273</v>
      </c>
      <c r="M110" s="16">
        <f>IFERROR(__xludf.DUMMYFUNCTION("""COMPUTED_VALUE"""),0.453333333333333)</f>
        <v>0.4533333333</v>
      </c>
      <c r="N110" s="16">
        <f>IFERROR(__xludf.DUMMYFUNCTION("""COMPUTED_VALUE"""),0.430825242718446)</f>
        <v>0.4308252427</v>
      </c>
      <c r="O110" s="16">
        <f>IFERROR(__xludf.DUMMYFUNCTION("""COMPUTED_VALUE"""),0.33418043202033)</f>
        <v>0.334180432</v>
      </c>
      <c r="P110" s="16">
        <f>IFERROR(__xludf.DUMMYFUNCTION("""COMPUTED_VALUE"""),0.186684073107049)</f>
        <v>0.1866840731</v>
      </c>
      <c r="Q110" s="16">
        <f>IFERROR(__xludf.DUMMYFUNCTION("""COMPUTED_VALUE"""),0.131699846860643)</f>
        <v>0.1316998469</v>
      </c>
      <c r="R110" s="16">
        <f>IFERROR(__xludf.DUMMYFUNCTION("""COMPUTED_VALUE"""),0.163179916317991)</f>
        <v>0.1631799163</v>
      </c>
      <c r="S110" s="16">
        <f>IFERROR(__xludf.DUMMYFUNCTION("""COMPUTED_VALUE"""),0.0661764705882353)</f>
        <v>0.06617647059</v>
      </c>
      <c r="T110" s="16">
        <f>IFERROR(__xludf.DUMMYFUNCTION("""COMPUTED_VALUE"""),0.0)</f>
        <v>0</v>
      </c>
      <c r="U110" s="16">
        <f>IFERROR(__xludf.DUMMYFUNCTION("""COMPUTED_VALUE"""),0.0)</f>
        <v>0</v>
      </c>
      <c r="V110" s="16">
        <f>IFERROR(__xludf.DUMMYFUNCTION("""COMPUTED_VALUE"""),0.0)</f>
        <v>0</v>
      </c>
      <c r="W110" s="16">
        <f>IFERROR(__xludf.DUMMYFUNCTION("""COMPUTED_VALUE"""),0.0)</f>
        <v>0</v>
      </c>
      <c r="X110" s="16">
        <f>IFERROR(__xludf.DUMMYFUNCTION("""COMPUTED_VALUE"""),0.0)</f>
        <v>0</v>
      </c>
      <c r="Y110" s="16">
        <f>IFERROR(__xludf.DUMMYFUNCTION("""COMPUTED_VALUE"""),0.0)</f>
        <v>0</v>
      </c>
      <c r="Z110" s="16">
        <f>IFERROR(__xludf.DUMMYFUNCTION("""COMPUTED_VALUE"""),0.0)</f>
        <v>0</v>
      </c>
      <c r="AA110" s="16">
        <f>IFERROR(__xludf.DUMMYFUNCTION("""COMPUTED_VALUE"""),0.0)</f>
        <v>0</v>
      </c>
      <c r="AB110" s="16">
        <f>IFERROR(__xludf.DUMMYFUNCTION("""COMPUTED_VALUE"""),0.0)</f>
        <v>0</v>
      </c>
      <c r="AC110" s="16">
        <f>IFERROR(__xludf.DUMMYFUNCTION("""COMPUTED_VALUE"""),0.0)</f>
        <v>0</v>
      </c>
      <c r="AD110" s="16">
        <f>IFERROR(__xludf.DUMMYFUNCTION("""COMPUTED_VALUE"""),0.0)</f>
        <v>0</v>
      </c>
      <c r="AE110" s="16">
        <f>IFERROR(__xludf.DUMMYFUNCTION("""COMPUTED_VALUE"""),0.0)</f>
        <v>0</v>
      </c>
      <c r="AF110" s="16">
        <f>IFERROR(__xludf.DUMMYFUNCTION("""COMPUTED_VALUE"""),0.0)</f>
        <v>0</v>
      </c>
      <c r="AG110" s="16">
        <f>IFERROR(__xludf.DUMMYFUNCTION("""COMPUTED_VALUE"""),0.0)</f>
        <v>0</v>
      </c>
      <c r="AH110" s="16">
        <f>IFERROR(__xludf.DUMMYFUNCTION("""COMPUTED_VALUE"""),0.0)</f>
        <v>0</v>
      </c>
    </row>
    <row r="111">
      <c r="A111" s="16" t="str">
        <f>IFERROR(__xludf.DUMMYFUNCTION("""COMPUTED_VALUE"""),"56fd2f13dbccca0c55f9b02f7334d302737ec3df")</f>
        <v>56fd2f13dbccca0c55f9b02f7334d302737ec3df</v>
      </c>
      <c r="B111" s="16" t="str">
        <f>IFERROR(__xludf.DUMMYFUNCTION("""COMPUTED_VALUE"""),"Heaven-Shaking Doctor")</f>
        <v>Heaven-Shaking Doctor</v>
      </c>
      <c r="C111" s="16" t="str">
        <f>IFERROR(__xludf.DUMMYFUNCTION("""COMPUTED_VALUE"""),"Drama")</f>
        <v>Drama</v>
      </c>
      <c r="D111" s="16">
        <f>IFERROR(__xludf.DUMMYFUNCTION("""COMPUTED_VALUE"""),120.0)</f>
        <v>120</v>
      </c>
      <c r="E111" s="16">
        <f>IFERROR(__xludf.DUMMYFUNCTION("""COMPUTED_VALUE"""),0.983333333333333)</f>
        <v>0.9833333333</v>
      </c>
      <c r="F111" s="16">
        <f>IFERROR(__xludf.DUMMYFUNCTION("""COMPUTED_VALUE"""),0.541666666666666)</f>
        <v>0.5416666667</v>
      </c>
      <c r="G111" s="16">
        <f>IFERROR(__xludf.DUMMYFUNCTION("""COMPUTED_VALUE"""),0.491666666666666)</f>
        <v>0.4916666667</v>
      </c>
      <c r="H111" s="16">
        <f>IFERROR(__xludf.DUMMYFUNCTION("""COMPUTED_VALUE"""),0.425)</f>
        <v>0.425</v>
      </c>
      <c r="I111" s="16">
        <f>IFERROR(__xludf.DUMMYFUNCTION("""COMPUTED_VALUE"""),0.375)</f>
        <v>0.375</v>
      </c>
      <c r="J111" s="16">
        <f>IFERROR(__xludf.DUMMYFUNCTION("""COMPUTED_VALUE"""),0.333333333333333)</f>
        <v>0.3333333333</v>
      </c>
      <c r="K111" s="16">
        <f>IFERROR(__xludf.DUMMYFUNCTION("""COMPUTED_VALUE"""),0.3)</f>
        <v>0.3</v>
      </c>
      <c r="L111" s="16">
        <f>IFERROR(__xludf.DUMMYFUNCTION("""COMPUTED_VALUE"""),0.275)</f>
        <v>0.275</v>
      </c>
      <c r="M111" s="16">
        <f>IFERROR(__xludf.DUMMYFUNCTION("""COMPUTED_VALUE"""),0.226890756302521)</f>
        <v>0.2268907563</v>
      </c>
      <c r="N111" s="16">
        <f>IFERROR(__xludf.DUMMYFUNCTION("""COMPUTED_VALUE"""),0.184873949579831)</f>
        <v>0.1848739496</v>
      </c>
      <c r="O111" s="16">
        <f>IFERROR(__xludf.DUMMYFUNCTION("""COMPUTED_VALUE"""),0.126050420168067)</f>
        <v>0.1260504202</v>
      </c>
      <c r="P111" s="16">
        <f>IFERROR(__xludf.DUMMYFUNCTION("""COMPUTED_VALUE"""),0.0943396226415094)</f>
        <v>0.09433962264</v>
      </c>
      <c r="Q111" s="16">
        <f>IFERROR(__xludf.DUMMYFUNCTION("""COMPUTED_VALUE"""),0.0)</f>
        <v>0</v>
      </c>
      <c r="R111" s="16">
        <f>IFERROR(__xludf.DUMMYFUNCTION("""COMPUTED_VALUE"""),0.0)</f>
        <v>0</v>
      </c>
      <c r="S111" s="16">
        <f>IFERROR(__xludf.DUMMYFUNCTION("""COMPUTED_VALUE"""),0.0)</f>
        <v>0</v>
      </c>
      <c r="T111" s="16">
        <f>IFERROR(__xludf.DUMMYFUNCTION("""COMPUTED_VALUE"""),0.0)</f>
        <v>0</v>
      </c>
      <c r="U111" s="16">
        <f>IFERROR(__xludf.DUMMYFUNCTION("""COMPUTED_VALUE"""),0.0)</f>
        <v>0</v>
      </c>
      <c r="V111" s="16">
        <f>IFERROR(__xludf.DUMMYFUNCTION("""COMPUTED_VALUE"""),0.0)</f>
        <v>0</v>
      </c>
      <c r="W111" s="16">
        <f>IFERROR(__xludf.DUMMYFUNCTION("""COMPUTED_VALUE"""),0.0)</f>
        <v>0</v>
      </c>
      <c r="X111" s="16">
        <f>IFERROR(__xludf.DUMMYFUNCTION("""COMPUTED_VALUE"""),0.0)</f>
        <v>0</v>
      </c>
      <c r="Y111" s="16">
        <f>IFERROR(__xludf.DUMMYFUNCTION("""COMPUTED_VALUE"""),0.0)</f>
        <v>0</v>
      </c>
      <c r="Z111" s="16">
        <f>IFERROR(__xludf.DUMMYFUNCTION("""COMPUTED_VALUE"""),0.0)</f>
        <v>0</v>
      </c>
      <c r="AA111" s="16">
        <f>IFERROR(__xludf.DUMMYFUNCTION("""COMPUTED_VALUE"""),0.0)</f>
        <v>0</v>
      </c>
      <c r="AB111" s="16">
        <f>IFERROR(__xludf.DUMMYFUNCTION("""COMPUTED_VALUE"""),0.0)</f>
        <v>0</v>
      </c>
      <c r="AC111" s="16">
        <f>IFERROR(__xludf.DUMMYFUNCTION("""COMPUTED_VALUE"""),0.0)</f>
        <v>0</v>
      </c>
      <c r="AD111" s="16">
        <f>IFERROR(__xludf.DUMMYFUNCTION("""COMPUTED_VALUE"""),0.0)</f>
        <v>0</v>
      </c>
      <c r="AE111" s="16">
        <f>IFERROR(__xludf.DUMMYFUNCTION("""COMPUTED_VALUE"""),0.0)</f>
        <v>0</v>
      </c>
      <c r="AF111" s="16">
        <f>IFERROR(__xludf.DUMMYFUNCTION("""COMPUTED_VALUE"""),0.0)</f>
        <v>0</v>
      </c>
      <c r="AG111" s="16">
        <f>IFERROR(__xludf.DUMMYFUNCTION("""COMPUTED_VALUE"""),0.0)</f>
        <v>0</v>
      </c>
      <c r="AH111" s="16">
        <f>IFERROR(__xludf.DUMMYFUNCTION("""COMPUTED_VALUE"""),0.0)</f>
        <v>0</v>
      </c>
    </row>
    <row r="112">
      <c r="A112" s="16" t="str">
        <f>IFERROR(__xludf.DUMMYFUNCTION("""COMPUTED_VALUE"""),"5710ee62e2cd01947d8f11e6bcaaa653fd1281b2")</f>
        <v>5710ee62e2cd01947d8f11e6bcaaa653fd1281b2</v>
      </c>
      <c r="B112" s="16" t="str">
        <f>IFERROR(__xludf.DUMMYFUNCTION("""COMPUTED_VALUE"""),"The Greatest Son-in-Law")</f>
        <v>The Greatest Son-in-Law</v>
      </c>
      <c r="C112" s="16" t="str">
        <f>IFERROR(__xludf.DUMMYFUNCTION("""COMPUTED_VALUE"""),"Drama")</f>
        <v>Drama</v>
      </c>
      <c r="D112" s="16">
        <f>IFERROR(__xludf.DUMMYFUNCTION("""COMPUTED_VALUE"""),174.0)</f>
        <v>174</v>
      </c>
      <c r="E112" s="16">
        <f>IFERROR(__xludf.DUMMYFUNCTION("""COMPUTED_VALUE"""),0.971264367816091)</f>
        <v>0.9712643678</v>
      </c>
      <c r="F112" s="16">
        <f>IFERROR(__xludf.DUMMYFUNCTION("""COMPUTED_VALUE"""),0.528735632183908)</f>
        <v>0.5287356322</v>
      </c>
      <c r="G112" s="16">
        <f>IFERROR(__xludf.DUMMYFUNCTION("""COMPUTED_VALUE"""),0.442528735632183)</f>
        <v>0.4425287356</v>
      </c>
      <c r="H112" s="16">
        <f>IFERROR(__xludf.DUMMYFUNCTION("""COMPUTED_VALUE"""),0.367816091954023)</f>
        <v>0.367816092</v>
      </c>
      <c r="I112" s="16">
        <f>IFERROR(__xludf.DUMMYFUNCTION("""COMPUTED_VALUE"""),0.310344827586206)</f>
        <v>0.3103448276</v>
      </c>
      <c r="J112" s="16">
        <f>IFERROR(__xludf.DUMMYFUNCTION("""COMPUTED_VALUE"""),0.25287356321839)</f>
        <v>0.2528735632</v>
      </c>
      <c r="K112" s="16">
        <f>IFERROR(__xludf.DUMMYFUNCTION("""COMPUTED_VALUE"""),0.238372093023255)</f>
        <v>0.238372093</v>
      </c>
      <c r="L112" s="16">
        <f>IFERROR(__xludf.DUMMYFUNCTION("""COMPUTED_VALUE"""),0.222222222222222)</f>
        <v>0.2222222222</v>
      </c>
      <c r="M112" s="16">
        <f>IFERROR(__xludf.DUMMYFUNCTION("""COMPUTED_VALUE"""),0.210526315789473)</f>
        <v>0.2105263158</v>
      </c>
      <c r="N112" s="16">
        <f>IFERROR(__xludf.DUMMYFUNCTION("""COMPUTED_VALUE"""),0.187878787878787)</f>
        <v>0.1878787879</v>
      </c>
      <c r="O112" s="16">
        <f>IFERROR(__xludf.DUMMYFUNCTION("""COMPUTED_VALUE"""),0.141666666666666)</f>
        <v>0.1416666667</v>
      </c>
      <c r="P112" s="16">
        <f>IFERROR(__xludf.DUMMYFUNCTION("""COMPUTED_VALUE"""),0.12087912087912)</f>
        <v>0.1208791209</v>
      </c>
      <c r="Q112" s="16">
        <f>IFERROR(__xludf.DUMMYFUNCTION("""COMPUTED_VALUE"""),0.0)</f>
        <v>0</v>
      </c>
      <c r="R112" s="16">
        <f>IFERROR(__xludf.DUMMYFUNCTION("""COMPUTED_VALUE"""),0.0)</f>
        <v>0</v>
      </c>
      <c r="S112" s="16">
        <f>IFERROR(__xludf.DUMMYFUNCTION("""COMPUTED_VALUE"""),0.0)</f>
        <v>0</v>
      </c>
      <c r="T112" s="16">
        <f>IFERROR(__xludf.DUMMYFUNCTION("""COMPUTED_VALUE"""),0.0)</f>
        <v>0</v>
      </c>
      <c r="U112" s="16">
        <f>IFERROR(__xludf.DUMMYFUNCTION("""COMPUTED_VALUE"""),0.0)</f>
        <v>0</v>
      </c>
      <c r="V112" s="16">
        <f>IFERROR(__xludf.DUMMYFUNCTION("""COMPUTED_VALUE"""),0.0)</f>
        <v>0</v>
      </c>
      <c r="W112" s="16">
        <f>IFERROR(__xludf.DUMMYFUNCTION("""COMPUTED_VALUE"""),0.0)</f>
        <v>0</v>
      </c>
      <c r="X112" s="16">
        <f>IFERROR(__xludf.DUMMYFUNCTION("""COMPUTED_VALUE"""),0.0)</f>
        <v>0</v>
      </c>
      <c r="Y112" s="16">
        <f>IFERROR(__xludf.DUMMYFUNCTION("""COMPUTED_VALUE"""),0.0)</f>
        <v>0</v>
      </c>
      <c r="Z112" s="16">
        <f>IFERROR(__xludf.DUMMYFUNCTION("""COMPUTED_VALUE"""),0.0)</f>
        <v>0</v>
      </c>
      <c r="AA112" s="16">
        <f>IFERROR(__xludf.DUMMYFUNCTION("""COMPUTED_VALUE"""),0.0)</f>
        <v>0</v>
      </c>
      <c r="AB112" s="16">
        <f>IFERROR(__xludf.DUMMYFUNCTION("""COMPUTED_VALUE"""),0.0)</f>
        <v>0</v>
      </c>
      <c r="AC112" s="16">
        <f>IFERROR(__xludf.DUMMYFUNCTION("""COMPUTED_VALUE"""),0.0)</f>
        <v>0</v>
      </c>
      <c r="AD112" s="16">
        <f>IFERROR(__xludf.DUMMYFUNCTION("""COMPUTED_VALUE"""),0.0)</f>
        <v>0</v>
      </c>
      <c r="AE112" s="16">
        <f>IFERROR(__xludf.DUMMYFUNCTION("""COMPUTED_VALUE"""),0.0)</f>
        <v>0</v>
      </c>
      <c r="AF112" s="16">
        <f>IFERROR(__xludf.DUMMYFUNCTION("""COMPUTED_VALUE"""),0.0)</f>
        <v>0</v>
      </c>
      <c r="AG112" s="16">
        <f>IFERROR(__xludf.DUMMYFUNCTION("""COMPUTED_VALUE"""),0.0)</f>
        <v>0</v>
      </c>
      <c r="AH112" s="16">
        <f>IFERROR(__xludf.DUMMYFUNCTION("""COMPUTED_VALUE"""),0.0)</f>
        <v>0</v>
      </c>
    </row>
    <row r="113">
      <c r="A113" s="16" t="str">
        <f>IFERROR(__xludf.DUMMYFUNCTION("""COMPUTED_VALUE"""),"57c4ad36d88c94c3d6132c931c371b08f21ab0e1")</f>
        <v>57c4ad36d88c94c3d6132c931c371b08f21ab0e1</v>
      </c>
      <c r="B113" s="16" t="str">
        <f>IFERROR(__xludf.DUMMYFUNCTION("""COMPUTED_VALUE"""),"Warlord of the Frozen Daw")</f>
        <v>Warlord of the Frozen Daw</v>
      </c>
      <c r="C113" s="16" t="str">
        <f>IFERROR(__xludf.DUMMYFUNCTION("""COMPUTED_VALUE"""),"Drama")</f>
        <v>Drama</v>
      </c>
      <c r="D113" s="16">
        <f>IFERROR(__xludf.DUMMYFUNCTION("""COMPUTED_VALUE"""),11.0)</f>
        <v>11</v>
      </c>
      <c r="E113" s="16">
        <f>IFERROR(__xludf.DUMMYFUNCTION("""COMPUTED_VALUE"""),0.909090909090909)</f>
        <v>0.9090909091</v>
      </c>
      <c r="F113" s="16">
        <f>IFERROR(__xludf.DUMMYFUNCTION("""COMPUTED_VALUE"""),0.363636363636363)</f>
        <v>0.3636363636</v>
      </c>
      <c r="G113" s="16">
        <f>IFERROR(__xludf.DUMMYFUNCTION("""COMPUTED_VALUE"""),0.363636363636363)</f>
        <v>0.3636363636</v>
      </c>
      <c r="H113" s="16">
        <f>IFERROR(__xludf.DUMMYFUNCTION("""COMPUTED_VALUE"""),0.363636363636363)</f>
        <v>0.3636363636</v>
      </c>
      <c r="I113" s="16">
        <f>IFERROR(__xludf.DUMMYFUNCTION("""COMPUTED_VALUE"""),0.363636363636363)</f>
        <v>0.3636363636</v>
      </c>
      <c r="J113" s="16">
        <f>IFERROR(__xludf.DUMMYFUNCTION("""COMPUTED_VALUE"""),0.363636363636363)</f>
        <v>0.3636363636</v>
      </c>
      <c r="K113" s="16">
        <f>IFERROR(__xludf.DUMMYFUNCTION("""COMPUTED_VALUE"""),0.363636363636363)</f>
        <v>0.3636363636</v>
      </c>
      <c r="L113" s="16">
        <f>IFERROR(__xludf.DUMMYFUNCTION("""COMPUTED_VALUE"""),0.363636363636363)</f>
        <v>0.3636363636</v>
      </c>
      <c r="M113" s="16">
        <f>IFERROR(__xludf.DUMMYFUNCTION("""COMPUTED_VALUE"""),0.363636363636363)</f>
        <v>0.3636363636</v>
      </c>
      <c r="N113" s="16">
        <f>IFERROR(__xludf.DUMMYFUNCTION("""COMPUTED_VALUE"""),0.363636363636363)</f>
        <v>0.3636363636</v>
      </c>
      <c r="O113" s="16">
        <f>IFERROR(__xludf.DUMMYFUNCTION("""COMPUTED_VALUE"""),0.4)</f>
        <v>0.4</v>
      </c>
      <c r="P113" s="16">
        <f>IFERROR(__xludf.DUMMYFUNCTION("""COMPUTED_VALUE"""),0.333333333333333)</f>
        <v>0.3333333333</v>
      </c>
      <c r="Q113" s="16">
        <f>IFERROR(__xludf.DUMMYFUNCTION("""COMPUTED_VALUE"""),0.333333333333333)</f>
        <v>0.3333333333</v>
      </c>
      <c r="R113" s="16">
        <f>IFERROR(__xludf.DUMMYFUNCTION("""COMPUTED_VALUE"""),0.222222222222222)</f>
        <v>0.2222222222</v>
      </c>
      <c r="S113" s="16">
        <f>IFERROR(__xludf.DUMMYFUNCTION("""COMPUTED_VALUE"""),0.0)</f>
        <v>0</v>
      </c>
      <c r="T113" s="16">
        <f>IFERROR(__xludf.DUMMYFUNCTION("""COMPUTED_VALUE"""),0.0)</f>
        <v>0</v>
      </c>
      <c r="U113" s="16">
        <f>IFERROR(__xludf.DUMMYFUNCTION("""COMPUTED_VALUE"""),0.0)</f>
        <v>0</v>
      </c>
      <c r="V113" s="16">
        <f>IFERROR(__xludf.DUMMYFUNCTION("""COMPUTED_VALUE"""),0.0)</f>
        <v>0</v>
      </c>
      <c r="W113" s="16">
        <f>IFERROR(__xludf.DUMMYFUNCTION("""COMPUTED_VALUE"""),0.0)</f>
        <v>0</v>
      </c>
      <c r="X113" s="16">
        <f>IFERROR(__xludf.DUMMYFUNCTION("""COMPUTED_VALUE"""),0.0)</f>
        <v>0</v>
      </c>
      <c r="Y113" s="16">
        <f>IFERROR(__xludf.DUMMYFUNCTION("""COMPUTED_VALUE"""),0.0)</f>
        <v>0</v>
      </c>
      <c r="Z113" s="16">
        <f>IFERROR(__xludf.DUMMYFUNCTION("""COMPUTED_VALUE"""),0.0)</f>
        <v>0</v>
      </c>
      <c r="AA113" s="16">
        <f>IFERROR(__xludf.DUMMYFUNCTION("""COMPUTED_VALUE"""),0.0)</f>
        <v>0</v>
      </c>
      <c r="AB113" s="16">
        <f>IFERROR(__xludf.DUMMYFUNCTION("""COMPUTED_VALUE"""),0.0)</f>
        <v>0</v>
      </c>
      <c r="AC113" s="16">
        <f>IFERROR(__xludf.DUMMYFUNCTION("""COMPUTED_VALUE"""),0.0)</f>
        <v>0</v>
      </c>
      <c r="AD113" s="16">
        <f>IFERROR(__xludf.DUMMYFUNCTION("""COMPUTED_VALUE"""),0.0)</f>
        <v>0</v>
      </c>
      <c r="AE113" s="16">
        <f>IFERROR(__xludf.DUMMYFUNCTION("""COMPUTED_VALUE"""),0.0)</f>
        <v>0</v>
      </c>
      <c r="AF113" s="16">
        <f>IFERROR(__xludf.DUMMYFUNCTION("""COMPUTED_VALUE"""),0.0)</f>
        <v>0</v>
      </c>
      <c r="AG113" s="16">
        <f>IFERROR(__xludf.DUMMYFUNCTION("""COMPUTED_VALUE"""),0.0)</f>
        <v>0</v>
      </c>
      <c r="AH113" s="16">
        <f>IFERROR(__xludf.DUMMYFUNCTION("""COMPUTED_VALUE"""),0.0)</f>
        <v>0</v>
      </c>
    </row>
    <row r="114">
      <c r="A114" s="16" t="str">
        <f>IFERROR(__xludf.DUMMYFUNCTION("""COMPUTED_VALUE"""),"57e670da35fed12abf270953b1cf3cf942fc89e1")</f>
        <v>57e670da35fed12abf270953b1cf3cf942fc89e1</v>
      </c>
      <c r="B114" s="16" t="str">
        <f>IFERROR(__xludf.DUMMYFUNCTION("""COMPUTED_VALUE"""),"You Are Mine Alone, Love")</f>
        <v>You Are Mine Alone, Love</v>
      </c>
      <c r="C114" s="16" t="str">
        <f>IFERROR(__xludf.DUMMYFUNCTION("""COMPUTED_VALUE"""),"Romance")</f>
        <v>Romance</v>
      </c>
      <c r="D114" s="16">
        <f>IFERROR(__xludf.DUMMYFUNCTION("""COMPUTED_VALUE"""),405.0)</f>
        <v>405</v>
      </c>
      <c r="E114" s="16">
        <f>IFERROR(__xludf.DUMMYFUNCTION("""COMPUTED_VALUE"""),0.960493827160493)</f>
        <v>0.9604938272</v>
      </c>
      <c r="F114" s="16">
        <f>IFERROR(__xludf.DUMMYFUNCTION("""COMPUTED_VALUE"""),0.558024691358024)</f>
        <v>0.5580246914</v>
      </c>
      <c r="G114" s="16">
        <f>IFERROR(__xludf.DUMMYFUNCTION("""COMPUTED_VALUE"""),0.461728395061728)</f>
        <v>0.4617283951</v>
      </c>
      <c r="H114" s="16">
        <f>IFERROR(__xludf.DUMMYFUNCTION("""COMPUTED_VALUE"""),0.404938271604938)</f>
        <v>0.4049382716</v>
      </c>
      <c r="I114" s="16">
        <f>IFERROR(__xludf.DUMMYFUNCTION("""COMPUTED_VALUE"""),0.369727047146402)</f>
        <v>0.3697270471</v>
      </c>
      <c r="J114" s="16">
        <f>IFERROR(__xludf.DUMMYFUNCTION("""COMPUTED_VALUE"""),0.3325)</f>
        <v>0.3325</v>
      </c>
      <c r="K114" s="16">
        <f>IFERROR(__xludf.DUMMYFUNCTION("""COMPUTED_VALUE"""),0.297979797979797)</f>
        <v>0.297979798</v>
      </c>
      <c r="L114" s="16">
        <f>IFERROR(__xludf.DUMMYFUNCTION("""COMPUTED_VALUE"""),0.283163265306122)</f>
        <v>0.2831632653</v>
      </c>
      <c r="M114" s="16">
        <f>IFERROR(__xludf.DUMMYFUNCTION("""COMPUTED_VALUE"""),0.255154639175257)</f>
        <v>0.2551546392</v>
      </c>
      <c r="N114" s="16">
        <f>IFERROR(__xludf.DUMMYFUNCTION("""COMPUTED_VALUE"""),0.242744063324538)</f>
        <v>0.2427440633</v>
      </c>
      <c r="O114" s="16">
        <f>IFERROR(__xludf.DUMMYFUNCTION("""COMPUTED_VALUE"""),0.2)</f>
        <v>0.2</v>
      </c>
      <c r="P114" s="16">
        <f>IFERROR(__xludf.DUMMYFUNCTION("""COMPUTED_VALUE"""),0.127906976744186)</f>
        <v>0.1279069767</v>
      </c>
      <c r="Q114" s="16">
        <f>IFERROR(__xludf.DUMMYFUNCTION("""COMPUTED_VALUE"""),0.0923076923076923)</f>
        <v>0.09230769231</v>
      </c>
      <c r="R114" s="16">
        <f>IFERROR(__xludf.DUMMYFUNCTION("""COMPUTED_VALUE"""),0.142857142857142)</f>
        <v>0.1428571429</v>
      </c>
      <c r="S114" s="16">
        <f>IFERROR(__xludf.DUMMYFUNCTION("""COMPUTED_VALUE"""),0.0)</f>
        <v>0</v>
      </c>
      <c r="T114" s="16">
        <f>IFERROR(__xludf.DUMMYFUNCTION("""COMPUTED_VALUE"""),0.0)</f>
        <v>0</v>
      </c>
      <c r="U114" s="16">
        <f>IFERROR(__xludf.DUMMYFUNCTION("""COMPUTED_VALUE"""),0.0)</f>
        <v>0</v>
      </c>
      <c r="V114" s="16">
        <f>IFERROR(__xludf.DUMMYFUNCTION("""COMPUTED_VALUE"""),0.0)</f>
        <v>0</v>
      </c>
      <c r="W114" s="16">
        <f>IFERROR(__xludf.DUMMYFUNCTION("""COMPUTED_VALUE"""),0.0)</f>
        <v>0</v>
      </c>
      <c r="X114" s="16">
        <f>IFERROR(__xludf.DUMMYFUNCTION("""COMPUTED_VALUE"""),0.0)</f>
        <v>0</v>
      </c>
      <c r="Y114" s="16">
        <f>IFERROR(__xludf.DUMMYFUNCTION("""COMPUTED_VALUE"""),0.0)</f>
        <v>0</v>
      </c>
      <c r="Z114" s="16">
        <f>IFERROR(__xludf.DUMMYFUNCTION("""COMPUTED_VALUE"""),0.0)</f>
        <v>0</v>
      </c>
      <c r="AA114" s="16">
        <f>IFERROR(__xludf.DUMMYFUNCTION("""COMPUTED_VALUE"""),0.0)</f>
        <v>0</v>
      </c>
      <c r="AB114" s="16">
        <f>IFERROR(__xludf.DUMMYFUNCTION("""COMPUTED_VALUE"""),0.0)</f>
        <v>0</v>
      </c>
      <c r="AC114" s="16">
        <f>IFERROR(__xludf.DUMMYFUNCTION("""COMPUTED_VALUE"""),0.0)</f>
        <v>0</v>
      </c>
      <c r="AD114" s="16">
        <f>IFERROR(__xludf.DUMMYFUNCTION("""COMPUTED_VALUE"""),0.0)</f>
        <v>0</v>
      </c>
      <c r="AE114" s="16">
        <f>IFERROR(__xludf.DUMMYFUNCTION("""COMPUTED_VALUE"""),0.0)</f>
        <v>0</v>
      </c>
      <c r="AF114" s="16">
        <f>IFERROR(__xludf.DUMMYFUNCTION("""COMPUTED_VALUE"""),0.0)</f>
        <v>0</v>
      </c>
      <c r="AG114" s="16">
        <f>IFERROR(__xludf.DUMMYFUNCTION("""COMPUTED_VALUE"""),0.0)</f>
        <v>0</v>
      </c>
      <c r="AH114" s="16">
        <f>IFERROR(__xludf.DUMMYFUNCTION("""COMPUTED_VALUE"""),0.0)</f>
        <v>0</v>
      </c>
    </row>
    <row r="115">
      <c r="A115" s="16" t="str">
        <f>IFERROR(__xludf.DUMMYFUNCTION("""COMPUTED_VALUE"""),"57ebfa5b58a3257a521a5b9c12c5af19771e4403")</f>
        <v>57ebfa5b58a3257a521a5b9c12c5af19771e4403</v>
      </c>
      <c r="B115" s="16" t="str">
        <f>IFERROR(__xludf.DUMMYFUNCTION("""COMPUTED_VALUE"""),"Unmasking the Bride")</f>
        <v>Unmasking the Bride</v>
      </c>
      <c r="C115" s="16" t="str">
        <f>IFERROR(__xludf.DUMMYFUNCTION("""COMPUTED_VALUE"""),"Romance")</f>
        <v>Romance</v>
      </c>
      <c r="D115" s="16">
        <f>IFERROR(__xludf.DUMMYFUNCTION("""COMPUTED_VALUE"""),411.0)</f>
        <v>411</v>
      </c>
      <c r="E115" s="16">
        <f>IFERROR(__xludf.DUMMYFUNCTION("""COMPUTED_VALUE"""),0.900243309002433)</f>
        <v>0.900243309</v>
      </c>
      <c r="F115" s="16">
        <f>IFERROR(__xludf.DUMMYFUNCTION("""COMPUTED_VALUE"""),0.403892944038929)</f>
        <v>0.403892944</v>
      </c>
      <c r="G115" s="16">
        <f>IFERROR(__xludf.DUMMYFUNCTION("""COMPUTED_VALUE"""),0.360097323600973)</f>
        <v>0.3600973236</v>
      </c>
      <c r="H115" s="16">
        <f>IFERROR(__xludf.DUMMYFUNCTION("""COMPUTED_VALUE"""),0.323600973236009)</f>
        <v>0.3236009732</v>
      </c>
      <c r="I115" s="16">
        <f>IFERROR(__xludf.DUMMYFUNCTION("""COMPUTED_VALUE"""),0.295121951219512)</f>
        <v>0.2951219512</v>
      </c>
      <c r="J115" s="16">
        <f>IFERROR(__xludf.DUMMYFUNCTION("""COMPUTED_VALUE"""),0.270731707317073)</f>
        <v>0.2707317073</v>
      </c>
      <c r="K115" s="16">
        <f>IFERROR(__xludf.DUMMYFUNCTION("""COMPUTED_VALUE"""),0.256097560975609)</f>
        <v>0.256097561</v>
      </c>
      <c r="L115" s="16">
        <f>IFERROR(__xludf.DUMMYFUNCTION("""COMPUTED_VALUE"""),0.24390243902439)</f>
        <v>0.243902439</v>
      </c>
      <c r="M115" s="16">
        <f>IFERROR(__xludf.DUMMYFUNCTION("""COMPUTED_VALUE"""),0.232273838630806)</f>
        <v>0.2322738386</v>
      </c>
      <c r="N115" s="16">
        <f>IFERROR(__xludf.DUMMYFUNCTION("""COMPUTED_VALUE"""),0.220588235294117)</f>
        <v>0.2205882353</v>
      </c>
      <c r="O115" s="16">
        <f>IFERROR(__xludf.DUMMYFUNCTION("""COMPUTED_VALUE"""),0.172413793103448)</f>
        <v>0.1724137931</v>
      </c>
      <c r="P115" s="16">
        <f>IFERROR(__xludf.DUMMYFUNCTION("""COMPUTED_VALUE"""),0.106493506493506)</f>
        <v>0.1064935065</v>
      </c>
      <c r="Q115" s="16">
        <f>IFERROR(__xludf.DUMMYFUNCTION("""COMPUTED_VALUE"""),0.0668789808917197)</f>
        <v>0.06687898089</v>
      </c>
      <c r="R115" s="16">
        <f>IFERROR(__xludf.DUMMYFUNCTION("""COMPUTED_VALUE"""),0.0)</f>
        <v>0</v>
      </c>
      <c r="S115" s="16">
        <f>IFERROR(__xludf.DUMMYFUNCTION("""COMPUTED_VALUE"""),0.0)</f>
        <v>0</v>
      </c>
      <c r="T115" s="16">
        <f>IFERROR(__xludf.DUMMYFUNCTION("""COMPUTED_VALUE"""),0.0)</f>
        <v>0</v>
      </c>
      <c r="U115" s="16">
        <f>IFERROR(__xludf.DUMMYFUNCTION("""COMPUTED_VALUE"""),0.0)</f>
        <v>0</v>
      </c>
      <c r="V115" s="16">
        <f>IFERROR(__xludf.DUMMYFUNCTION("""COMPUTED_VALUE"""),0.0)</f>
        <v>0</v>
      </c>
      <c r="W115" s="16">
        <f>IFERROR(__xludf.DUMMYFUNCTION("""COMPUTED_VALUE"""),0.0)</f>
        <v>0</v>
      </c>
      <c r="X115" s="16">
        <f>IFERROR(__xludf.DUMMYFUNCTION("""COMPUTED_VALUE"""),0.0)</f>
        <v>0</v>
      </c>
      <c r="Y115" s="16">
        <f>IFERROR(__xludf.DUMMYFUNCTION("""COMPUTED_VALUE"""),0.0)</f>
        <v>0</v>
      </c>
      <c r="Z115" s="16">
        <f>IFERROR(__xludf.DUMMYFUNCTION("""COMPUTED_VALUE"""),0.0)</f>
        <v>0</v>
      </c>
      <c r="AA115" s="16">
        <f>IFERROR(__xludf.DUMMYFUNCTION("""COMPUTED_VALUE"""),0.0)</f>
        <v>0</v>
      </c>
      <c r="AB115" s="16">
        <f>IFERROR(__xludf.DUMMYFUNCTION("""COMPUTED_VALUE"""),0.0)</f>
        <v>0</v>
      </c>
      <c r="AC115" s="16">
        <f>IFERROR(__xludf.DUMMYFUNCTION("""COMPUTED_VALUE"""),0.0)</f>
        <v>0</v>
      </c>
      <c r="AD115" s="16">
        <f>IFERROR(__xludf.DUMMYFUNCTION("""COMPUTED_VALUE"""),0.0)</f>
        <v>0</v>
      </c>
      <c r="AE115" s="16">
        <f>IFERROR(__xludf.DUMMYFUNCTION("""COMPUTED_VALUE"""),0.0)</f>
        <v>0</v>
      </c>
      <c r="AF115" s="16">
        <f>IFERROR(__xludf.DUMMYFUNCTION("""COMPUTED_VALUE"""),0.0)</f>
        <v>0</v>
      </c>
      <c r="AG115" s="16">
        <f>IFERROR(__xludf.DUMMYFUNCTION("""COMPUTED_VALUE"""),0.0)</f>
        <v>0</v>
      </c>
      <c r="AH115" s="16">
        <f>IFERROR(__xludf.DUMMYFUNCTION("""COMPUTED_VALUE"""),0.0)</f>
        <v>0</v>
      </c>
    </row>
    <row r="116">
      <c r="A116" s="16" t="str">
        <f>IFERROR(__xludf.DUMMYFUNCTION("""COMPUTED_VALUE"""),"5843f25ac24c8ba34301e2cfe9e73ddc0bfd8fc7")</f>
        <v>5843f25ac24c8ba34301e2cfe9e73ddc0bfd8fc7</v>
      </c>
      <c r="B116" s="16" t="str">
        <f>IFERROR(__xludf.DUMMYFUNCTION("""COMPUTED_VALUE"""),"The Fire Reborn Xavier")</f>
        <v>The Fire Reborn Xavier</v>
      </c>
      <c r="C116" s="16" t="str">
        <f>IFERROR(__xludf.DUMMYFUNCTION("""COMPUTED_VALUE"""),"System and Superpower")</f>
        <v>System and Superpower</v>
      </c>
      <c r="D116" s="16">
        <f>IFERROR(__xludf.DUMMYFUNCTION("""COMPUTED_VALUE"""),158.0)</f>
        <v>158</v>
      </c>
      <c r="E116" s="16">
        <f>IFERROR(__xludf.DUMMYFUNCTION("""COMPUTED_VALUE"""),0.955696202531645)</f>
        <v>0.9556962025</v>
      </c>
      <c r="F116" s="16">
        <f>IFERROR(__xludf.DUMMYFUNCTION("""COMPUTED_VALUE"""),0.40506329113924)</f>
        <v>0.4050632911</v>
      </c>
      <c r="G116" s="16">
        <f>IFERROR(__xludf.DUMMYFUNCTION("""COMPUTED_VALUE"""),0.341772151898734)</f>
        <v>0.3417721519</v>
      </c>
      <c r="H116" s="16">
        <f>IFERROR(__xludf.DUMMYFUNCTION("""COMPUTED_VALUE"""),0.297468354430379)</f>
        <v>0.2974683544</v>
      </c>
      <c r="I116" s="16">
        <f>IFERROR(__xludf.DUMMYFUNCTION("""COMPUTED_VALUE"""),0.246835443037974)</f>
        <v>0.246835443</v>
      </c>
      <c r="J116" s="16">
        <f>IFERROR(__xludf.DUMMYFUNCTION("""COMPUTED_VALUE"""),0.215189873417721)</f>
        <v>0.2151898734</v>
      </c>
      <c r="K116" s="16">
        <f>IFERROR(__xludf.DUMMYFUNCTION("""COMPUTED_VALUE"""),0.20886075949367)</f>
        <v>0.2088607595</v>
      </c>
      <c r="L116" s="16">
        <f>IFERROR(__xludf.DUMMYFUNCTION("""COMPUTED_VALUE"""),0.20253164556962)</f>
        <v>0.2025316456</v>
      </c>
      <c r="M116" s="16">
        <f>IFERROR(__xludf.DUMMYFUNCTION("""COMPUTED_VALUE"""),0.196202531645569)</f>
        <v>0.1962025316</v>
      </c>
      <c r="N116" s="16">
        <f>IFERROR(__xludf.DUMMYFUNCTION("""COMPUTED_VALUE"""),0.165605095541401)</f>
        <v>0.1656050955</v>
      </c>
      <c r="O116" s="16">
        <f>IFERROR(__xludf.DUMMYFUNCTION("""COMPUTED_VALUE"""),0.108108108108108)</f>
        <v>0.1081081081</v>
      </c>
      <c r="P116" s="16">
        <f>IFERROR(__xludf.DUMMYFUNCTION("""COMPUTED_VALUE"""),0.125)</f>
        <v>0.125</v>
      </c>
      <c r="Q116" s="16">
        <f>IFERROR(__xludf.DUMMYFUNCTION("""COMPUTED_VALUE"""),0.104477611940298)</f>
        <v>0.1044776119</v>
      </c>
      <c r="R116" s="16">
        <f>IFERROR(__xludf.DUMMYFUNCTION("""COMPUTED_VALUE"""),0.153846153846153)</f>
        <v>0.1538461538</v>
      </c>
      <c r="S116" s="16">
        <f>IFERROR(__xludf.DUMMYFUNCTION("""COMPUTED_VALUE"""),0.0)</f>
        <v>0</v>
      </c>
      <c r="T116" s="16">
        <f>IFERROR(__xludf.DUMMYFUNCTION("""COMPUTED_VALUE"""),0.0)</f>
        <v>0</v>
      </c>
      <c r="U116" s="16">
        <f>IFERROR(__xludf.DUMMYFUNCTION("""COMPUTED_VALUE"""),0.0)</f>
        <v>0</v>
      </c>
      <c r="V116" s="16">
        <f>IFERROR(__xludf.DUMMYFUNCTION("""COMPUTED_VALUE"""),0.0)</f>
        <v>0</v>
      </c>
      <c r="W116" s="16">
        <f>IFERROR(__xludf.DUMMYFUNCTION("""COMPUTED_VALUE"""),0.0)</f>
        <v>0</v>
      </c>
      <c r="X116" s="16">
        <f>IFERROR(__xludf.DUMMYFUNCTION("""COMPUTED_VALUE"""),0.0)</f>
        <v>0</v>
      </c>
      <c r="Y116" s="16">
        <f>IFERROR(__xludf.DUMMYFUNCTION("""COMPUTED_VALUE"""),0.0)</f>
        <v>0</v>
      </c>
      <c r="Z116" s="16">
        <f>IFERROR(__xludf.DUMMYFUNCTION("""COMPUTED_VALUE"""),0.0)</f>
        <v>0</v>
      </c>
      <c r="AA116" s="16">
        <f>IFERROR(__xludf.DUMMYFUNCTION("""COMPUTED_VALUE"""),0.0)</f>
        <v>0</v>
      </c>
      <c r="AB116" s="16">
        <f>IFERROR(__xludf.DUMMYFUNCTION("""COMPUTED_VALUE"""),0.0)</f>
        <v>0</v>
      </c>
      <c r="AC116" s="16">
        <f>IFERROR(__xludf.DUMMYFUNCTION("""COMPUTED_VALUE"""),0.0)</f>
        <v>0</v>
      </c>
      <c r="AD116" s="16">
        <f>IFERROR(__xludf.DUMMYFUNCTION("""COMPUTED_VALUE"""),0.0)</f>
        <v>0</v>
      </c>
      <c r="AE116" s="16">
        <f>IFERROR(__xludf.DUMMYFUNCTION("""COMPUTED_VALUE"""),0.0)</f>
        <v>0</v>
      </c>
      <c r="AF116" s="16">
        <f>IFERROR(__xludf.DUMMYFUNCTION("""COMPUTED_VALUE"""),0.0)</f>
        <v>0</v>
      </c>
      <c r="AG116" s="16">
        <f>IFERROR(__xludf.DUMMYFUNCTION("""COMPUTED_VALUE"""),0.0)</f>
        <v>0</v>
      </c>
      <c r="AH116" s="16">
        <f>IFERROR(__xludf.DUMMYFUNCTION("""COMPUTED_VALUE"""),0.0)</f>
        <v>0</v>
      </c>
    </row>
    <row r="117">
      <c r="A117" s="16" t="str">
        <f>IFERROR(__xludf.DUMMYFUNCTION("""COMPUTED_VALUE"""),"596d213162507bbf543b3c2a618f8bb54acd4623")</f>
        <v>596d213162507bbf543b3c2a618f8bb54acd4623</v>
      </c>
      <c r="B117" s="16" t="str">
        <f>IFERROR(__xludf.DUMMYFUNCTION("""COMPUTED_VALUE"""),"Echoes of Regrets")</f>
        <v>Echoes of Regrets</v>
      </c>
      <c r="C117" s="16" t="str">
        <f>IFERROR(__xludf.DUMMYFUNCTION("""COMPUTED_VALUE"""),"Romance")</f>
        <v>Romance</v>
      </c>
      <c r="D117" s="16">
        <f>IFERROR(__xludf.DUMMYFUNCTION("""COMPUTED_VALUE"""),328.0)</f>
        <v>328</v>
      </c>
      <c r="E117" s="16">
        <f>IFERROR(__xludf.DUMMYFUNCTION("""COMPUTED_VALUE"""),0.975609756097561)</f>
        <v>0.9756097561</v>
      </c>
      <c r="F117" s="16">
        <f>IFERROR(__xludf.DUMMYFUNCTION("""COMPUTED_VALUE"""),0.60670731707317)</f>
        <v>0.6067073171</v>
      </c>
      <c r="G117" s="16">
        <f>IFERROR(__xludf.DUMMYFUNCTION("""COMPUTED_VALUE"""),0.490853658536585)</f>
        <v>0.4908536585</v>
      </c>
      <c r="H117" s="16">
        <f>IFERROR(__xludf.DUMMYFUNCTION("""COMPUTED_VALUE"""),0.357142857142857)</f>
        <v>0.3571428571</v>
      </c>
      <c r="I117" s="16">
        <f>IFERROR(__xludf.DUMMYFUNCTION("""COMPUTED_VALUE"""),0.321766561514195)</f>
        <v>0.3217665615</v>
      </c>
      <c r="J117" s="16">
        <f>IFERROR(__xludf.DUMMYFUNCTION("""COMPUTED_VALUE"""),0.302325581395348)</f>
        <v>0.3023255814</v>
      </c>
      <c r="K117" s="16">
        <f>IFERROR(__xludf.DUMMYFUNCTION("""COMPUTED_VALUE"""),0.27719298245614)</f>
        <v>0.2771929825</v>
      </c>
      <c r="L117" s="16">
        <f>IFERROR(__xludf.DUMMYFUNCTION("""COMPUTED_VALUE"""),0.282945736434108)</f>
        <v>0.2829457364</v>
      </c>
      <c r="M117" s="16">
        <f>IFERROR(__xludf.DUMMYFUNCTION("""COMPUTED_VALUE"""),0.258064516129032)</f>
        <v>0.2580645161</v>
      </c>
      <c r="N117" s="16">
        <f>IFERROR(__xludf.DUMMYFUNCTION("""COMPUTED_VALUE"""),0.197368421052631)</f>
        <v>0.1973684211</v>
      </c>
      <c r="O117" s="16">
        <f>IFERROR(__xludf.DUMMYFUNCTION("""COMPUTED_VALUE"""),0.175)</f>
        <v>0.175</v>
      </c>
      <c r="P117" s="16">
        <f>IFERROR(__xludf.DUMMYFUNCTION("""COMPUTED_VALUE"""),0.178571428571428)</f>
        <v>0.1785714286</v>
      </c>
      <c r="Q117" s="16">
        <f>IFERROR(__xludf.DUMMYFUNCTION("""COMPUTED_VALUE"""),0.163636363636363)</f>
        <v>0.1636363636</v>
      </c>
      <c r="R117" s="16">
        <f>IFERROR(__xludf.DUMMYFUNCTION("""COMPUTED_VALUE"""),0.142857142857142)</f>
        <v>0.1428571429</v>
      </c>
      <c r="S117" s="16">
        <f>IFERROR(__xludf.DUMMYFUNCTION("""COMPUTED_VALUE"""),0.0)</f>
        <v>0</v>
      </c>
      <c r="T117" s="16">
        <f>IFERROR(__xludf.DUMMYFUNCTION("""COMPUTED_VALUE"""),0.0)</f>
        <v>0</v>
      </c>
      <c r="U117" s="16">
        <f>IFERROR(__xludf.DUMMYFUNCTION("""COMPUTED_VALUE"""),0.0)</f>
        <v>0</v>
      </c>
      <c r="V117" s="16">
        <f>IFERROR(__xludf.DUMMYFUNCTION("""COMPUTED_VALUE"""),0.0)</f>
        <v>0</v>
      </c>
      <c r="W117" s="16">
        <f>IFERROR(__xludf.DUMMYFUNCTION("""COMPUTED_VALUE"""),0.0)</f>
        <v>0</v>
      </c>
      <c r="X117" s="16">
        <f>IFERROR(__xludf.DUMMYFUNCTION("""COMPUTED_VALUE"""),0.0)</f>
        <v>0</v>
      </c>
      <c r="Y117" s="16">
        <f>IFERROR(__xludf.DUMMYFUNCTION("""COMPUTED_VALUE"""),0.0)</f>
        <v>0</v>
      </c>
      <c r="Z117" s="16">
        <f>IFERROR(__xludf.DUMMYFUNCTION("""COMPUTED_VALUE"""),0.0)</f>
        <v>0</v>
      </c>
      <c r="AA117" s="16">
        <f>IFERROR(__xludf.DUMMYFUNCTION("""COMPUTED_VALUE"""),0.0)</f>
        <v>0</v>
      </c>
      <c r="AB117" s="16">
        <f>IFERROR(__xludf.DUMMYFUNCTION("""COMPUTED_VALUE"""),0.0)</f>
        <v>0</v>
      </c>
      <c r="AC117" s="16">
        <f>IFERROR(__xludf.DUMMYFUNCTION("""COMPUTED_VALUE"""),0.0)</f>
        <v>0</v>
      </c>
      <c r="AD117" s="16">
        <f>IFERROR(__xludf.DUMMYFUNCTION("""COMPUTED_VALUE"""),0.0)</f>
        <v>0</v>
      </c>
      <c r="AE117" s="16">
        <f>IFERROR(__xludf.DUMMYFUNCTION("""COMPUTED_VALUE"""),0.0)</f>
        <v>0</v>
      </c>
      <c r="AF117" s="16">
        <f>IFERROR(__xludf.DUMMYFUNCTION("""COMPUTED_VALUE"""),0.0)</f>
        <v>0</v>
      </c>
      <c r="AG117" s="16">
        <f>IFERROR(__xludf.DUMMYFUNCTION("""COMPUTED_VALUE"""),0.0)</f>
        <v>0</v>
      </c>
      <c r="AH117" s="16">
        <f>IFERROR(__xludf.DUMMYFUNCTION("""COMPUTED_VALUE"""),0.0)</f>
        <v>0</v>
      </c>
    </row>
    <row r="118">
      <c r="A118" s="16" t="str">
        <f>IFERROR(__xludf.DUMMYFUNCTION("""COMPUTED_VALUE"""),"5c0a4a3bda3c16a4ed94c8945bade52e165a2848")</f>
        <v>5c0a4a3bda3c16a4ed94c8945bade52e165a2848</v>
      </c>
      <c r="B118" s="16" t="str">
        <f>IFERROR(__xludf.DUMMYFUNCTION("""COMPUTED_VALUE"""),"Bound to Reclusive Alpha")</f>
        <v>Bound to Reclusive Alpha</v>
      </c>
      <c r="C118" s="16" t="str">
        <f>IFERROR(__xludf.DUMMYFUNCTION("""COMPUTED_VALUE"""),"Fantasy")</f>
        <v>Fantasy</v>
      </c>
      <c r="D118" s="16">
        <f>IFERROR(__xludf.DUMMYFUNCTION("""COMPUTED_VALUE"""),1035.0)</f>
        <v>1035</v>
      </c>
      <c r="E118" s="16">
        <f>IFERROR(__xludf.DUMMYFUNCTION("""COMPUTED_VALUE"""),0.978743961352657)</f>
        <v>0.9787439614</v>
      </c>
      <c r="F118" s="16">
        <f>IFERROR(__xludf.DUMMYFUNCTION("""COMPUTED_VALUE"""),0.517874396135265)</f>
        <v>0.5178743961</v>
      </c>
      <c r="G118" s="16">
        <f>IFERROR(__xludf.DUMMYFUNCTION("""COMPUTED_VALUE"""),0.447342995169082)</f>
        <v>0.4473429952</v>
      </c>
      <c r="H118" s="16">
        <f>IFERROR(__xludf.DUMMYFUNCTION("""COMPUTED_VALUE"""),0.412560386473429)</f>
        <v>0.4125603865</v>
      </c>
      <c r="I118" s="16">
        <f>IFERROR(__xludf.DUMMYFUNCTION("""COMPUTED_VALUE"""),0.380077369439071)</f>
        <v>0.3800773694</v>
      </c>
      <c r="J118" s="16">
        <f>IFERROR(__xludf.DUMMYFUNCTION("""COMPUTED_VALUE"""),0.345930232558139)</f>
        <v>0.3459302326</v>
      </c>
      <c r="K118" s="16">
        <f>IFERROR(__xludf.DUMMYFUNCTION("""COMPUTED_VALUE"""),0.315481986368062)</f>
        <v>0.3154819864</v>
      </c>
      <c r="L118" s="16">
        <f>IFERROR(__xludf.DUMMYFUNCTION("""COMPUTED_VALUE"""),0.293658536585365)</f>
        <v>0.2936585366</v>
      </c>
      <c r="M118" s="16">
        <f>IFERROR(__xludf.DUMMYFUNCTION("""COMPUTED_VALUE"""),0.26949654491609)</f>
        <v>0.2694965449</v>
      </c>
      <c r="N118" s="16">
        <f>IFERROR(__xludf.DUMMYFUNCTION("""COMPUTED_VALUE"""),0.23780487804878)</f>
        <v>0.237804878</v>
      </c>
      <c r="O118" s="16">
        <f>IFERROR(__xludf.DUMMYFUNCTION("""COMPUTED_VALUE"""),0.189220183486238)</f>
        <v>0.1892201835</v>
      </c>
      <c r="P118" s="16">
        <f>IFERROR(__xludf.DUMMYFUNCTION("""COMPUTED_VALUE"""),0.141414141414141)</f>
        <v>0.1414141414</v>
      </c>
      <c r="Q118" s="16">
        <f>IFERROR(__xludf.DUMMYFUNCTION("""COMPUTED_VALUE"""),0.040650406504065)</f>
        <v>0.0406504065</v>
      </c>
      <c r="R118" s="16">
        <f>IFERROR(__xludf.DUMMYFUNCTION("""COMPUTED_VALUE"""),0.0528846153846153)</f>
        <v>0.05288461538</v>
      </c>
      <c r="S118" s="16">
        <f>IFERROR(__xludf.DUMMYFUNCTION("""COMPUTED_VALUE"""),0.0666666666666666)</f>
        <v>0.06666666667</v>
      </c>
      <c r="T118" s="16">
        <f>IFERROR(__xludf.DUMMYFUNCTION("""COMPUTED_VALUE"""),0.0)</f>
        <v>0</v>
      </c>
      <c r="U118" s="16">
        <f>IFERROR(__xludf.DUMMYFUNCTION("""COMPUTED_VALUE"""),0.0)</f>
        <v>0</v>
      </c>
      <c r="V118" s="16">
        <f>IFERROR(__xludf.DUMMYFUNCTION("""COMPUTED_VALUE"""),0.0)</f>
        <v>0</v>
      </c>
      <c r="W118" s="16">
        <f>IFERROR(__xludf.DUMMYFUNCTION("""COMPUTED_VALUE"""),0.0)</f>
        <v>0</v>
      </c>
      <c r="X118" s="16">
        <f>IFERROR(__xludf.DUMMYFUNCTION("""COMPUTED_VALUE"""),0.0)</f>
        <v>0</v>
      </c>
      <c r="Y118" s="16">
        <f>IFERROR(__xludf.DUMMYFUNCTION("""COMPUTED_VALUE"""),0.0)</f>
        <v>0</v>
      </c>
      <c r="Z118" s="16">
        <f>IFERROR(__xludf.DUMMYFUNCTION("""COMPUTED_VALUE"""),0.0)</f>
        <v>0</v>
      </c>
      <c r="AA118" s="16">
        <f>IFERROR(__xludf.DUMMYFUNCTION("""COMPUTED_VALUE"""),0.0)</f>
        <v>0</v>
      </c>
      <c r="AB118" s="16">
        <f>IFERROR(__xludf.DUMMYFUNCTION("""COMPUTED_VALUE"""),0.0)</f>
        <v>0</v>
      </c>
      <c r="AC118" s="16">
        <f>IFERROR(__xludf.DUMMYFUNCTION("""COMPUTED_VALUE"""),0.0)</f>
        <v>0</v>
      </c>
      <c r="AD118" s="16">
        <f>IFERROR(__xludf.DUMMYFUNCTION("""COMPUTED_VALUE"""),0.0)</f>
        <v>0</v>
      </c>
      <c r="AE118" s="16">
        <f>IFERROR(__xludf.DUMMYFUNCTION("""COMPUTED_VALUE"""),0.0)</f>
        <v>0</v>
      </c>
      <c r="AF118" s="16">
        <f>IFERROR(__xludf.DUMMYFUNCTION("""COMPUTED_VALUE"""),0.0)</f>
        <v>0</v>
      </c>
      <c r="AG118" s="16">
        <f>IFERROR(__xludf.DUMMYFUNCTION("""COMPUTED_VALUE"""),0.0)</f>
        <v>0</v>
      </c>
      <c r="AH118" s="16">
        <f>IFERROR(__xludf.DUMMYFUNCTION("""COMPUTED_VALUE"""),0.0)</f>
        <v>0</v>
      </c>
    </row>
    <row r="119">
      <c r="A119" s="16" t="str">
        <f>IFERROR(__xludf.DUMMYFUNCTION("""COMPUTED_VALUE"""),"5cf4b46f18d6bb7294440595874ef70922a2b9a3")</f>
        <v>5cf4b46f18d6bb7294440595874ef70922a2b9a3</v>
      </c>
      <c r="B119" s="16" t="str">
        <f>IFERROR(__xludf.DUMMYFUNCTION("""COMPUTED_VALUE"""),"Alabama Royal")</f>
        <v>Alabama Royal</v>
      </c>
      <c r="C119" s="16" t="str">
        <f>IFERROR(__xludf.DUMMYFUNCTION("""COMPUTED_VALUE"""),"Romance")</f>
        <v>Romance</v>
      </c>
      <c r="D119" s="16">
        <f>IFERROR(__xludf.DUMMYFUNCTION("""COMPUTED_VALUE"""),925.0)</f>
        <v>925</v>
      </c>
      <c r="E119" s="16">
        <f>IFERROR(__xludf.DUMMYFUNCTION("""COMPUTED_VALUE"""),0.972972972972973)</f>
        <v>0.972972973</v>
      </c>
      <c r="F119" s="16">
        <f>IFERROR(__xludf.DUMMYFUNCTION("""COMPUTED_VALUE"""),0.456216216216216)</f>
        <v>0.4562162162</v>
      </c>
      <c r="G119" s="16">
        <f>IFERROR(__xludf.DUMMYFUNCTION("""COMPUTED_VALUE"""),0.403243243243243)</f>
        <v>0.4032432432</v>
      </c>
      <c r="H119" s="16">
        <f>IFERROR(__xludf.DUMMYFUNCTION("""COMPUTED_VALUE"""),0.367567567567567)</f>
        <v>0.3675675676</v>
      </c>
      <c r="I119" s="16">
        <f>IFERROR(__xludf.DUMMYFUNCTION("""COMPUTED_VALUE"""),0.345612134344528)</f>
        <v>0.3456121343</v>
      </c>
      <c r="J119" s="16">
        <f>IFERROR(__xludf.DUMMYFUNCTION("""COMPUTED_VALUE"""),0.317443120260021)</f>
        <v>0.3174431203</v>
      </c>
      <c r="K119" s="16">
        <f>IFERROR(__xludf.DUMMYFUNCTION("""COMPUTED_VALUE"""),0.306100217864923)</f>
        <v>0.3061002179</v>
      </c>
      <c r="L119" s="16">
        <f>IFERROR(__xludf.DUMMYFUNCTION("""COMPUTED_VALUE"""),0.29193899782135)</f>
        <v>0.2919389978</v>
      </c>
      <c r="M119" s="16">
        <f>IFERROR(__xludf.DUMMYFUNCTION("""COMPUTED_VALUE"""),0.278867102396514)</f>
        <v>0.2788671024</v>
      </c>
      <c r="N119" s="16">
        <f>IFERROR(__xludf.DUMMYFUNCTION("""COMPUTED_VALUE"""),0.268426842684268)</f>
        <v>0.2684268427</v>
      </c>
      <c r="O119" s="16">
        <f>IFERROR(__xludf.DUMMYFUNCTION("""COMPUTED_VALUE"""),0.224611708482676)</f>
        <v>0.2246117085</v>
      </c>
      <c r="P119" s="16">
        <f>IFERROR(__xludf.DUMMYFUNCTION("""COMPUTED_VALUE"""),0.205918618988902)</f>
        <v>0.205918619</v>
      </c>
      <c r="Q119" s="16">
        <f>IFERROR(__xludf.DUMMYFUNCTION("""COMPUTED_VALUE"""),0.150234741784037)</f>
        <v>0.1502347418</v>
      </c>
      <c r="R119" s="16">
        <f>IFERROR(__xludf.DUMMYFUNCTION("""COMPUTED_VALUE"""),0.0)</f>
        <v>0</v>
      </c>
      <c r="S119" s="16">
        <f>IFERROR(__xludf.DUMMYFUNCTION("""COMPUTED_VALUE"""),0.0)</f>
        <v>0</v>
      </c>
      <c r="T119" s="16">
        <f>IFERROR(__xludf.DUMMYFUNCTION("""COMPUTED_VALUE"""),0.0)</f>
        <v>0</v>
      </c>
      <c r="U119" s="16">
        <f>IFERROR(__xludf.DUMMYFUNCTION("""COMPUTED_VALUE"""),0.0)</f>
        <v>0</v>
      </c>
      <c r="V119" s="16">
        <f>IFERROR(__xludf.DUMMYFUNCTION("""COMPUTED_VALUE"""),0.0)</f>
        <v>0</v>
      </c>
      <c r="W119" s="16">
        <f>IFERROR(__xludf.DUMMYFUNCTION("""COMPUTED_VALUE"""),0.0)</f>
        <v>0</v>
      </c>
      <c r="X119" s="16">
        <f>IFERROR(__xludf.DUMMYFUNCTION("""COMPUTED_VALUE"""),0.0)</f>
        <v>0</v>
      </c>
      <c r="Y119" s="16">
        <f>IFERROR(__xludf.DUMMYFUNCTION("""COMPUTED_VALUE"""),0.0)</f>
        <v>0</v>
      </c>
      <c r="Z119" s="16">
        <f>IFERROR(__xludf.DUMMYFUNCTION("""COMPUTED_VALUE"""),0.0)</f>
        <v>0</v>
      </c>
      <c r="AA119" s="16">
        <f>IFERROR(__xludf.DUMMYFUNCTION("""COMPUTED_VALUE"""),0.0)</f>
        <v>0</v>
      </c>
      <c r="AB119" s="16">
        <f>IFERROR(__xludf.DUMMYFUNCTION("""COMPUTED_VALUE"""),0.0)</f>
        <v>0</v>
      </c>
      <c r="AC119" s="16">
        <f>IFERROR(__xludf.DUMMYFUNCTION("""COMPUTED_VALUE"""),0.0)</f>
        <v>0</v>
      </c>
      <c r="AD119" s="16">
        <f>IFERROR(__xludf.DUMMYFUNCTION("""COMPUTED_VALUE"""),0.0)</f>
        <v>0</v>
      </c>
      <c r="AE119" s="16">
        <f>IFERROR(__xludf.DUMMYFUNCTION("""COMPUTED_VALUE"""),0.0)</f>
        <v>0</v>
      </c>
      <c r="AF119" s="16">
        <f>IFERROR(__xludf.DUMMYFUNCTION("""COMPUTED_VALUE"""),0.0)</f>
        <v>0</v>
      </c>
      <c r="AG119" s="16">
        <f>IFERROR(__xludf.DUMMYFUNCTION("""COMPUTED_VALUE"""),0.0)</f>
        <v>0</v>
      </c>
      <c r="AH119" s="16">
        <f>IFERROR(__xludf.DUMMYFUNCTION("""COMPUTED_VALUE"""),0.0)</f>
        <v>0</v>
      </c>
    </row>
    <row r="120">
      <c r="A120" s="16" t="str">
        <f>IFERROR(__xludf.DUMMYFUNCTION("""COMPUTED_VALUE"""),"5d4e7e8696e74e383e0ea0e4f4f535ba9758496a")</f>
        <v>5d4e7e8696e74e383e0ea0e4f4f535ba9758496a</v>
      </c>
      <c r="B120" s="16" t="str">
        <f>IFERROR(__xludf.DUMMYFUNCTION("""COMPUTED_VALUE"""),"Who Fathered My Twins")</f>
        <v>Who Fathered My Twins</v>
      </c>
      <c r="C120" s="16" t="str">
        <f>IFERROR(__xludf.DUMMYFUNCTION("""COMPUTED_VALUE"""),"Romance")</f>
        <v>Romance</v>
      </c>
      <c r="D120" s="16">
        <f>IFERROR(__xludf.DUMMYFUNCTION("""COMPUTED_VALUE"""),330.0)</f>
        <v>330</v>
      </c>
      <c r="E120" s="16">
        <f>IFERROR(__xludf.DUMMYFUNCTION("""COMPUTED_VALUE"""),0.93030303030303)</f>
        <v>0.9303030303</v>
      </c>
      <c r="F120" s="16">
        <f>IFERROR(__xludf.DUMMYFUNCTION("""COMPUTED_VALUE"""),0.609090909090909)</f>
        <v>0.6090909091</v>
      </c>
      <c r="G120" s="16">
        <f>IFERROR(__xludf.DUMMYFUNCTION("""COMPUTED_VALUE"""),0.533333333333333)</f>
        <v>0.5333333333</v>
      </c>
      <c r="H120" s="16">
        <f>IFERROR(__xludf.DUMMYFUNCTION("""COMPUTED_VALUE"""),0.524242424242424)</f>
        <v>0.5242424242</v>
      </c>
      <c r="I120" s="16">
        <f>IFERROR(__xludf.DUMMYFUNCTION("""COMPUTED_VALUE"""),0.487878787878787)</f>
        <v>0.4878787879</v>
      </c>
      <c r="J120" s="16">
        <f>IFERROR(__xludf.DUMMYFUNCTION("""COMPUTED_VALUE"""),0.49090909090909)</f>
        <v>0.4909090909</v>
      </c>
      <c r="K120" s="16">
        <f>IFERROR(__xludf.DUMMYFUNCTION("""COMPUTED_VALUE"""),0.462006079027355)</f>
        <v>0.462006079</v>
      </c>
      <c r="L120" s="16">
        <f>IFERROR(__xludf.DUMMYFUNCTION("""COMPUTED_VALUE"""),0.451219512195121)</f>
        <v>0.4512195122</v>
      </c>
      <c r="M120" s="16">
        <f>IFERROR(__xludf.DUMMYFUNCTION("""COMPUTED_VALUE"""),0.431192660550458)</f>
        <v>0.4311926606</v>
      </c>
      <c r="N120" s="16">
        <f>IFERROR(__xludf.DUMMYFUNCTION("""COMPUTED_VALUE"""),0.438485804416403)</f>
        <v>0.4384858044</v>
      </c>
      <c r="O120" s="16">
        <f>IFERROR(__xludf.DUMMYFUNCTION("""COMPUTED_VALUE"""),0.385159010600706)</f>
        <v>0.3851590106</v>
      </c>
      <c r="P120" s="16">
        <f>IFERROR(__xludf.DUMMYFUNCTION("""COMPUTED_VALUE"""),0.25096525096525)</f>
        <v>0.250965251</v>
      </c>
      <c r="Q120" s="16">
        <f>IFERROR(__xludf.DUMMYFUNCTION("""COMPUTED_VALUE"""),0.127450980392156)</f>
        <v>0.1274509804</v>
      </c>
      <c r="R120" s="16">
        <f>IFERROR(__xludf.DUMMYFUNCTION("""COMPUTED_VALUE"""),0.131386861313868)</f>
        <v>0.1313868613</v>
      </c>
      <c r="S120" s="16">
        <f>IFERROR(__xludf.DUMMYFUNCTION("""COMPUTED_VALUE"""),0.0)</f>
        <v>0</v>
      </c>
      <c r="T120" s="16">
        <f>IFERROR(__xludf.DUMMYFUNCTION("""COMPUTED_VALUE"""),0.0)</f>
        <v>0</v>
      </c>
      <c r="U120" s="16">
        <f>IFERROR(__xludf.DUMMYFUNCTION("""COMPUTED_VALUE"""),0.0)</f>
        <v>0</v>
      </c>
      <c r="V120" s="16">
        <f>IFERROR(__xludf.DUMMYFUNCTION("""COMPUTED_VALUE"""),0.0)</f>
        <v>0</v>
      </c>
      <c r="W120" s="16">
        <f>IFERROR(__xludf.DUMMYFUNCTION("""COMPUTED_VALUE"""),0.0)</f>
        <v>0</v>
      </c>
      <c r="X120" s="16">
        <f>IFERROR(__xludf.DUMMYFUNCTION("""COMPUTED_VALUE"""),0.0)</f>
        <v>0</v>
      </c>
      <c r="Y120" s="16">
        <f>IFERROR(__xludf.DUMMYFUNCTION("""COMPUTED_VALUE"""),0.0)</f>
        <v>0</v>
      </c>
      <c r="Z120" s="16">
        <f>IFERROR(__xludf.DUMMYFUNCTION("""COMPUTED_VALUE"""),0.0)</f>
        <v>0</v>
      </c>
      <c r="AA120" s="16">
        <f>IFERROR(__xludf.DUMMYFUNCTION("""COMPUTED_VALUE"""),0.0)</f>
        <v>0</v>
      </c>
      <c r="AB120" s="16">
        <f>IFERROR(__xludf.DUMMYFUNCTION("""COMPUTED_VALUE"""),0.0)</f>
        <v>0</v>
      </c>
      <c r="AC120" s="16">
        <f>IFERROR(__xludf.DUMMYFUNCTION("""COMPUTED_VALUE"""),0.0)</f>
        <v>0</v>
      </c>
      <c r="AD120" s="16">
        <f>IFERROR(__xludf.DUMMYFUNCTION("""COMPUTED_VALUE"""),0.0)</f>
        <v>0</v>
      </c>
      <c r="AE120" s="16">
        <f>IFERROR(__xludf.DUMMYFUNCTION("""COMPUTED_VALUE"""),0.0)</f>
        <v>0</v>
      </c>
      <c r="AF120" s="16">
        <f>IFERROR(__xludf.DUMMYFUNCTION("""COMPUTED_VALUE"""),0.0)</f>
        <v>0</v>
      </c>
      <c r="AG120" s="16">
        <f>IFERROR(__xludf.DUMMYFUNCTION("""COMPUTED_VALUE"""),0.0)</f>
        <v>0</v>
      </c>
      <c r="AH120" s="16">
        <f>IFERROR(__xludf.DUMMYFUNCTION("""COMPUTED_VALUE"""),0.0)</f>
        <v>0</v>
      </c>
    </row>
    <row r="121">
      <c r="A121" s="16" t="str">
        <f>IFERROR(__xludf.DUMMYFUNCTION("""COMPUTED_VALUE"""),"5e570d3fccfb5029774b4d9f9669429f580d0791")</f>
        <v>5e570d3fccfb5029774b4d9f9669429f580d0791</v>
      </c>
      <c r="B121" s="16" t="str">
        <f>IFERROR(__xludf.DUMMYFUNCTION("""COMPUTED_VALUE"""),"Princess Ebony &amp; the Silver Dragon")</f>
        <v>Princess Ebony &amp; the Silver Dragon</v>
      </c>
      <c r="C121" s="16" t="str">
        <f>IFERROR(__xludf.DUMMYFUNCTION("""COMPUTED_VALUE"""),"Fantasy")</f>
        <v>Fantasy</v>
      </c>
      <c r="D121" s="16">
        <f>IFERROR(__xludf.DUMMYFUNCTION("""COMPUTED_VALUE"""),2095.0)</f>
        <v>2095</v>
      </c>
      <c r="E121" s="16">
        <f>IFERROR(__xludf.DUMMYFUNCTION("""COMPUTED_VALUE"""),0.829116945107398)</f>
        <v>0.8291169451</v>
      </c>
      <c r="F121" s="16">
        <f>IFERROR(__xludf.DUMMYFUNCTION("""COMPUTED_VALUE"""),0.541766109785202)</f>
        <v>0.5417661098</v>
      </c>
      <c r="G121" s="16">
        <f>IFERROR(__xludf.DUMMYFUNCTION("""COMPUTED_VALUE"""),0.484486873508353)</f>
        <v>0.4844868735</v>
      </c>
      <c r="H121" s="16">
        <f>IFERROR(__xludf.DUMMYFUNCTION("""COMPUTED_VALUE"""),0.452722063037249)</f>
        <v>0.452722063</v>
      </c>
      <c r="I121" s="16">
        <f>IFERROR(__xludf.DUMMYFUNCTION("""COMPUTED_VALUE"""),0.442215854823304)</f>
        <v>0.4422158548</v>
      </c>
      <c r="J121" s="16">
        <f>IFERROR(__xludf.DUMMYFUNCTION("""COMPUTED_VALUE"""),0.431232091690544)</f>
        <v>0.4312320917</v>
      </c>
      <c r="K121" s="16">
        <f>IFERROR(__xludf.DUMMYFUNCTION("""COMPUTED_VALUE"""),0.4089823220258)</f>
        <v>0.408982322</v>
      </c>
      <c r="L121" s="16">
        <f>IFERROR(__xludf.DUMMYFUNCTION("""COMPUTED_VALUE"""),0.397509578544061)</f>
        <v>0.3975095785</v>
      </c>
      <c r="M121" s="16">
        <f>IFERROR(__xludf.DUMMYFUNCTION("""COMPUTED_VALUE"""),0.389367816091954)</f>
        <v>0.3893678161</v>
      </c>
      <c r="N121" s="16">
        <f>IFERROR(__xludf.DUMMYFUNCTION("""COMPUTED_VALUE"""),0.386015325670498)</f>
        <v>0.3860153257</v>
      </c>
      <c r="O121" s="16">
        <f>IFERROR(__xludf.DUMMYFUNCTION("""COMPUTED_VALUE"""),0.362589928057553)</f>
        <v>0.3625899281</v>
      </c>
      <c r="P121" s="16">
        <f>IFERROR(__xludf.DUMMYFUNCTION("""COMPUTED_VALUE"""),0.31957773512476)</f>
        <v>0.3195777351</v>
      </c>
      <c r="Q121" s="16">
        <f>IFERROR(__xludf.DUMMYFUNCTION("""COMPUTED_VALUE"""),0.264903846153846)</f>
        <v>0.2649038462</v>
      </c>
      <c r="R121" s="16">
        <f>IFERROR(__xludf.DUMMYFUNCTION("""COMPUTED_VALUE"""),0.245537867824409)</f>
        <v>0.2455378678</v>
      </c>
      <c r="S121" s="16">
        <f>IFERROR(__xludf.DUMMYFUNCTION("""COMPUTED_VALUE"""),0.211974891356832)</f>
        <v>0.2119748914</v>
      </c>
      <c r="T121" s="16">
        <f>IFERROR(__xludf.DUMMYFUNCTION("""COMPUTED_VALUE"""),0.186170212765957)</f>
        <v>0.1861702128</v>
      </c>
      <c r="U121" s="16">
        <f>IFERROR(__xludf.DUMMYFUNCTION("""COMPUTED_VALUE"""),0.17718715393134)</f>
        <v>0.1771871539</v>
      </c>
      <c r="V121" s="16">
        <f>IFERROR(__xludf.DUMMYFUNCTION("""COMPUTED_VALUE"""),0.166666666666666)</f>
        <v>0.1666666667</v>
      </c>
      <c r="W121" s="16">
        <f>IFERROR(__xludf.DUMMYFUNCTION("""COMPUTED_VALUE"""),0.145348837209302)</f>
        <v>0.1453488372</v>
      </c>
      <c r="X121" s="16">
        <f>IFERROR(__xludf.DUMMYFUNCTION("""COMPUTED_VALUE"""),0.0510204081632653)</f>
        <v>0.05102040816</v>
      </c>
      <c r="Y121" s="16">
        <f>IFERROR(__xludf.DUMMYFUNCTION("""COMPUTED_VALUE"""),0.173228346456692)</f>
        <v>0.1732283465</v>
      </c>
      <c r="Z121" s="16">
        <f>IFERROR(__xludf.DUMMYFUNCTION("""COMPUTED_VALUE"""),0.16867469879518)</f>
        <v>0.1686746988</v>
      </c>
      <c r="AA121" s="16">
        <f>IFERROR(__xludf.DUMMYFUNCTION("""COMPUTED_VALUE"""),1.0)</f>
        <v>1</v>
      </c>
      <c r="AB121" s="16">
        <f>IFERROR(__xludf.DUMMYFUNCTION("""COMPUTED_VALUE"""),0.0)</f>
        <v>0</v>
      </c>
      <c r="AC121" s="16">
        <f>IFERROR(__xludf.DUMMYFUNCTION("""COMPUTED_VALUE"""),0.0)</f>
        <v>0</v>
      </c>
      <c r="AD121" s="16">
        <f>IFERROR(__xludf.DUMMYFUNCTION("""COMPUTED_VALUE"""),0.0)</f>
        <v>0</v>
      </c>
      <c r="AE121" s="16">
        <f>IFERROR(__xludf.DUMMYFUNCTION("""COMPUTED_VALUE"""),0.0)</f>
        <v>0</v>
      </c>
      <c r="AF121" s="16">
        <f>IFERROR(__xludf.DUMMYFUNCTION("""COMPUTED_VALUE"""),0.0)</f>
        <v>0</v>
      </c>
      <c r="AG121" s="16">
        <f>IFERROR(__xludf.DUMMYFUNCTION("""COMPUTED_VALUE"""),0.0)</f>
        <v>0</v>
      </c>
      <c r="AH121" s="16">
        <f>IFERROR(__xludf.DUMMYFUNCTION("""COMPUTED_VALUE"""),0.0)</f>
        <v>0</v>
      </c>
    </row>
    <row r="122">
      <c r="A122" s="16" t="str">
        <f>IFERROR(__xludf.DUMMYFUNCTION("""COMPUTED_VALUE"""),"600fd3dce36442cc62b42d3dc874d91d13e1d8e4")</f>
        <v>600fd3dce36442cc62b42d3dc874d91d13e1d8e4</v>
      </c>
      <c r="B122" s="16" t="str">
        <f>IFERROR(__xludf.DUMMYFUNCTION("""COMPUTED_VALUE"""),"Solo Leveling Respawn")</f>
        <v>Solo Leveling Respawn</v>
      </c>
      <c r="C122" s="16" t="str">
        <f>IFERROR(__xludf.DUMMYFUNCTION("""COMPUTED_VALUE"""),"System and Superpower")</f>
        <v>System and Superpower</v>
      </c>
      <c r="D122" s="16">
        <f>IFERROR(__xludf.DUMMYFUNCTION("""COMPUTED_VALUE"""),14.0)</f>
        <v>14</v>
      </c>
      <c r="E122" s="16">
        <f>IFERROR(__xludf.DUMMYFUNCTION("""COMPUTED_VALUE"""),1.0)</f>
        <v>1</v>
      </c>
      <c r="F122" s="16">
        <f>IFERROR(__xludf.DUMMYFUNCTION("""COMPUTED_VALUE"""),0.357142857142857)</f>
        <v>0.3571428571</v>
      </c>
      <c r="G122" s="16">
        <f>IFERROR(__xludf.DUMMYFUNCTION("""COMPUTED_VALUE"""),0.285714285714285)</f>
        <v>0.2857142857</v>
      </c>
      <c r="H122" s="16">
        <f>IFERROR(__xludf.DUMMYFUNCTION("""COMPUTED_VALUE"""),0.285714285714285)</f>
        <v>0.2857142857</v>
      </c>
      <c r="I122" s="16">
        <f>IFERROR(__xludf.DUMMYFUNCTION("""COMPUTED_VALUE"""),0.214285714285714)</f>
        <v>0.2142857143</v>
      </c>
      <c r="J122" s="16">
        <f>IFERROR(__xludf.DUMMYFUNCTION("""COMPUTED_VALUE"""),0.0714285714285714)</f>
        <v>0.07142857143</v>
      </c>
      <c r="K122" s="16">
        <f>IFERROR(__xludf.DUMMYFUNCTION("""COMPUTED_VALUE"""),0.0714285714285714)</f>
        <v>0.07142857143</v>
      </c>
      <c r="L122" s="16">
        <f>IFERROR(__xludf.DUMMYFUNCTION("""COMPUTED_VALUE"""),0.0714285714285714)</f>
        <v>0.07142857143</v>
      </c>
      <c r="M122" s="16">
        <f>IFERROR(__xludf.DUMMYFUNCTION("""COMPUTED_VALUE"""),0.0714285714285714)</f>
        <v>0.07142857143</v>
      </c>
      <c r="N122" s="16">
        <f>IFERROR(__xludf.DUMMYFUNCTION("""COMPUTED_VALUE"""),0.0714285714285714)</f>
        <v>0.07142857143</v>
      </c>
      <c r="O122" s="16">
        <f>IFERROR(__xludf.DUMMYFUNCTION("""COMPUTED_VALUE"""),0.0714285714285714)</f>
        <v>0.07142857143</v>
      </c>
      <c r="P122" s="16">
        <f>IFERROR(__xludf.DUMMYFUNCTION("""COMPUTED_VALUE"""),0.0714285714285714)</f>
        <v>0.07142857143</v>
      </c>
      <c r="Q122" s="16">
        <f>IFERROR(__xludf.DUMMYFUNCTION("""COMPUTED_VALUE"""),0.0)</f>
        <v>0</v>
      </c>
      <c r="R122" s="16">
        <f>IFERROR(__xludf.DUMMYFUNCTION("""COMPUTED_VALUE"""),0.0)</f>
        <v>0</v>
      </c>
      <c r="S122" s="16">
        <f>IFERROR(__xludf.DUMMYFUNCTION("""COMPUTED_VALUE"""),0.0)</f>
        <v>0</v>
      </c>
      <c r="T122" s="16">
        <f>IFERROR(__xludf.DUMMYFUNCTION("""COMPUTED_VALUE"""),0.0)</f>
        <v>0</v>
      </c>
      <c r="U122" s="16">
        <f>IFERROR(__xludf.DUMMYFUNCTION("""COMPUTED_VALUE"""),0.0)</f>
        <v>0</v>
      </c>
      <c r="V122" s="16">
        <f>IFERROR(__xludf.DUMMYFUNCTION("""COMPUTED_VALUE"""),0.0)</f>
        <v>0</v>
      </c>
      <c r="W122" s="16">
        <f>IFERROR(__xludf.DUMMYFUNCTION("""COMPUTED_VALUE"""),0.0)</f>
        <v>0</v>
      </c>
      <c r="X122" s="16">
        <f>IFERROR(__xludf.DUMMYFUNCTION("""COMPUTED_VALUE"""),0.0)</f>
        <v>0</v>
      </c>
      <c r="Y122" s="16">
        <f>IFERROR(__xludf.DUMMYFUNCTION("""COMPUTED_VALUE"""),0.0)</f>
        <v>0</v>
      </c>
      <c r="Z122" s="16">
        <f>IFERROR(__xludf.DUMMYFUNCTION("""COMPUTED_VALUE"""),0.0)</f>
        <v>0</v>
      </c>
      <c r="AA122" s="16">
        <f>IFERROR(__xludf.DUMMYFUNCTION("""COMPUTED_VALUE"""),0.0)</f>
        <v>0</v>
      </c>
      <c r="AB122" s="16">
        <f>IFERROR(__xludf.DUMMYFUNCTION("""COMPUTED_VALUE"""),0.0)</f>
        <v>0</v>
      </c>
      <c r="AC122" s="16">
        <f>IFERROR(__xludf.DUMMYFUNCTION("""COMPUTED_VALUE"""),0.0)</f>
        <v>0</v>
      </c>
      <c r="AD122" s="16">
        <f>IFERROR(__xludf.DUMMYFUNCTION("""COMPUTED_VALUE"""),0.0)</f>
        <v>0</v>
      </c>
      <c r="AE122" s="16">
        <f>IFERROR(__xludf.DUMMYFUNCTION("""COMPUTED_VALUE"""),0.0)</f>
        <v>0</v>
      </c>
      <c r="AF122" s="16">
        <f>IFERROR(__xludf.DUMMYFUNCTION("""COMPUTED_VALUE"""),0.0)</f>
        <v>0</v>
      </c>
      <c r="AG122" s="16">
        <f>IFERROR(__xludf.DUMMYFUNCTION("""COMPUTED_VALUE"""),0.0)</f>
        <v>0</v>
      </c>
      <c r="AH122" s="16">
        <f>IFERROR(__xludf.DUMMYFUNCTION("""COMPUTED_VALUE"""),0.0)</f>
        <v>0</v>
      </c>
    </row>
    <row r="123">
      <c r="A123" s="16" t="str">
        <f>IFERROR(__xludf.DUMMYFUNCTION("""COMPUTED_VALUE"""),"607c0f609185406d26ef53f75ec53702dfb292d7")</f>
        <v>607c0f609185406d26ef53f75ec53702dfb292d7</v>
      </c>
      <c r="B123" s="16" t="str">
        <f>IFERROR(__xludf.DUMMYFUNCTION("""COMPUTED_VALUE"""),"The Chaosborn Child")</f>
        <v>The Chaosborn Child</v>
      </c>
      <c r="C123" s="16" t="str">
        <f>IFERROR(__xludf.DUMMYFUNCTION("""COMPUTED_VALUE"""),"Fantasy")</f>
        <v>Fantasy</v>
      </c>
      <c r="D123" s="16">
        <f>IFERROR(__xludf.DUMMYFUNCTION("""COMPUTED_VALUE"""),62.0)</f>
        <v>62</v>
      </c>
      <c r="E123" s="16">
        <f>IFERROR(__xludf.DUMMYFUNCTION("""COMPUTED_VALUE"""),0.967741935483871)</f>
        <v>0.9677419355</v>
      </c>
      <c r="F123" s="16">
        <f>IFERROR(__xludf.DUMMYFUNCTION("""COMPUTED_VALUE"""),0.677419354838709)</f>
        <v>0.6774193548</v>
      </c>
      <c r="G123" s="16">
        <f>IFERROR(__xludf.DUMMYFUNCTION("""COMPUTED_VALUE"""),0.516129032258064)</f>
        <v>0.5161290323</v>
      </c>
      <c r="H123" s="16">
        <f>IFERROR(__xludf.DUMMYFUNCTION("""COMPUTED_VALUE"""),0.5)</f>
        <v>0.5</v>
      </c>
      <c r="I123" s="16">
        <f>IFERROR(__xludf.DUMMYFUNCTION("""COMPUTED_VALUE"""),0.403225806451612)</f>
        <v>0.4032258065</v>
      </c>
      <c r="J123" s="16">
        <f>IFERROR(__xludf.DUMMYFUNCTION("""COMPUTED_VALUE"""),0.370967741935483)</f>
        <v>0.3709677419</v>
      </c>
      <c r="K123" s="16">
        <f>IFERROR(__xludf.DUMMYFUNCTION("""COMPUTED_VALUE"""),0.32258064516129)</f>
        <v>0.3225806452</v>
      </c>
      <c r="L123" s="16">
        <f>IFERROR(__xludf.DUMMYFUNCTION("""COMPUTED_VALUE"""),0.258064516129032)</f>
        <v>0.2580645161</v>
      </c>
      <c r="M123" s="16">
        <f>IFERROR(__xludf.DUMMYFUNCTION("""COMPUTED_VALUE"""),0.25)</f>
        <v>0.25</v>
      </c>
      <c r="N123" s="16">
        <f>IFERROR(__xludf.DUMMYFUNCTION("""COMPUTED_VALUE"""),0.233333333333333)</f>
        <v>0.2333333333</v>
      </c>
      <c r="O123" s="16">
        <f>IFERROR(__xludf.DUMMYFUNCTION("""COMPUTED_VALUE"""),0.148936170212765)</f>
        <v>0.1489361702</v>
      </c>
      <c r="P123" s="16">
        <f>IFERROR(__xludf.DUMMYFUNCTION("""COMPUTED_VALUE"""),0.172413793103448)</f>
        <v>0.1724137931</v>
      </c>
      <c r="Q123" s="16">
        <f>IFERROR(__xludf.DUMMYFUNCTION("""COMPUTED_VALUE"""),0.117647058823529)</f>
        <v>0.1176470588</v>
      </c>
      <c r="R123" s="16">
        <f>IFERROR(__xludf.DUMMYFUNCTION("""COMPUTED_VALUE"""),0.0769230769230769)</f>
        <v>0.07692307692</v>
      </c>
      <c r="S123" s="16">
        <f>IFERROR(__xludf.DUMMYFUNCTION("""COMPUTED_VALUE"""),0.0)</f>
        <v>0</v>
      </c>
      <c r="T123" s="16">
        <f>IFERROR(__xludf.DUMMYFUNCTION("""COMPUTED_VALUE"""),0.0)</f>
        <v>0</v>
      </c>
      <c r="U123" s="16">
        <f>IFERROR(__xludf.DUMMYFUNCTION("""COMPUTED_VALUE"""),0.0)</f>
        <v>0</v>
      </c>
      <c r="V123" s="16">
        <f>IFERROR(__xludf.DUMMYFUNCTION("""COMPUTED_VALUE"""),0.0)</f>
        <v>0</v>
      </c>
      <c r="W123" s="16">
        <f>IFERROR(__xludf.DUMMYFUNCTION("""COMPUTED_VALUE"""),0.0)</f>
        <v>0</v>
      </c>
      <c r="X123" s="16">
        <f>IFERROR(__xludf.DUMMYFUNCTION("""COMPUTED_VALUE"""),0.0)</f>
        <v>0</v>
      </c>
      <c r="Y123" s="16">
        <f>IFERROR(__xludf.DUMMYFUNCTION("""COMPUTED_VALUE"""),0.0)</f>
        <v>0</v>
      </c>
      <c r="Z123" s="16">
        <f>IFERROR(__xludf.DUMMYFUNCTION("""COMPUTED_VALUE"""),0.0)</f>
        <v>0</v>
      </c>
      <c r="AA123" s="16">
        <f>IFERROR(__xludf.DUMMYFUNCTION("""COMPUTED_VALUE"""),0.0)</f>
        <v>0</v>
      </c>
      <c r="AB123" s="16">
        <f>IFERROR(__xludf.DUMMYFUNCTION("""COMPUTED_VALUE"""),0.0)</f>
        <v>0</v>
      </c>
      <c r="AC123" s="16">
        <f>IFERROR(__xludf.DUMMYFUNCTION("""COMPUTED_VALUE"""),0.0)</f>
        <v>0</v>
      </c>
      <c r="AD123" s="16">
        <f>IFERROR(__xludf.DUMMYFUNCTION("""COMPUTED_VALUE"""),0.0)</f>
        <v>0</v>
      </c>
      <c r="AE123" s="16">
        <f>IFERROR(__xludf.DUMMYFUNCTION("""COMPUTED_VALUE"""),0.0)</f>
        <v>0</v>
      </c>
      <c r="AF123" s="16">
        <f>IFERROR(__xludf.DUMMYFUNCTION("""COMPUTED_VALUE"""),0.0)</f>
        <v>0</v>
      </c>
      <c r="AG123" s="16">
        <f>IFERROR(__xludf.DUMMYFUNCTION("""COMPUTED_VALUE"""),0.0)</f>
        <v>0</v>
      </c>
      <c r="AH123" s="16">
        <f>IFERROR(__xludf.DUMMYFUNCTION("""COMPUTED_VALUE"""),0.0)</f>
        <v>0</v>
      </c>
    </row>
    <row r="124">
      <c r="A124" s="16" t="str">
        <f>IFERROR(__xludf.DUMMYFUNCTION("""COMPUTED_VALUE"""),"616431aa030a50bfb34a59a1919f5a8db0c29017")</f>
        <v>616431aa030a50bfb34a59a1919f5a8db0c29017</v>
      </c>
      <c r="B124" s="16" t="str">
        <f>IFERROR(__xludf.DUMMYFUNCTION("""COMPUTED_VALUE"""),"She Came Back Fabulous")</f>
        <v>She Came Back Fabulous</v>
      </c>
      <c r="C124" s="16" t="str">
        <f>IFERROR(__xludf.DUMMYFUNCTION("""COMPUTED_VALUE"""),"Romance")</f>
        <v>Romance</v>
      </c>
      <c r="D124" s="16">
        <f>IFERROR(__xludf.DUMMYFUNCTION("""COMPUTED_VALUE"""),793.0)</f>
        <v>793</v>
      </c>
      <c r="E124" s="16">
        <f>IFERROR(__xludf.DUMMYFUNCTION("""COMPUTED_VALUE"""),0.962168978562421)</f>
        <v>0.9621689786</v>
      </c>
      <c r="F124" s="16">
        <f>IFERROR(__xludf.DUMMYFUNCTION("""COMPUTED_VALUE"""),0.557377049180327)</f>
        <v>0.5573770492</v>
      </c>
      <c r="G124" s="16">
        <f>IFERROR(__xludf.DUMMYFUNCTION("""COMPUTED_VALUE"""),0.501891551071879)</f>
        <v>0.5018915511</v>
      </c>
      <c r="H124" s="16">
        <f>IFERROR(__xludf.DUMMYFUNCTION("""COMPUTED_VALUE"""),0.455233291298865)</f>
        <v>0.4552332913</v>
      </c>
      <c r="I124" s="16">
        <f>IFERROR(__xludf.DUMMYFUNCTION("""COMPUTED_VALUE"""),0.418987341772151)</f>
        <v>0.4189873418</v>
      </c>
      <c r="J124" s="16">
        <f>IFERROR(__xludf.DUMMYFUNCTION("""COMPUTED_VALUE"""),0.375)</f>
        <v>0.375</v>
      </c>
      <c r="K124" s="16">
        <f>IFERROR(__xludf.DUMMYFUNCTION("""COMPUTED_VALUE"""),0.365384615384615)</f>
        <v>0.3653846154</v>
      </c>
      <c r="L124" s="16">
        <f>IFERROR(__xludf.DUMMYFUNCTION("""COMPUTED_VALUE"""),0.326848249027237)</f>
        <v>0.326848249</v>
      </c>
      <c r="M124" s="16">
        <f>IFERROR(__xludf.DUMMYFUNCTION("""COMPUTED_VALUE"""),0.323684210526315)</f>
        <v>0.3236842105</v>
      </c>
      <c r="N124" s="16">
        <f>IFERROR(__xludf.DUMMYFUNCTION("""COMPUTED_VALUE"""),0.31761442441054)</f>
        <v>0.3176144244</v>
      </c>
      <c r="O124" s="16">
        <f>IFERROR(__xludf.DUMMYFUNCTION("""COMPUTED_VALUE"""),0.301109350237717)</f>
        <v>0.3011093502</v>
      </c>
      <c r="P124" s="16">
        <f>IFERROR(__xludf.DUMMYFUNCTION("""COMPUTED_VALUE"""),0.232142857142857)</f>
        <v>0.2321428571</v>
      </c>
      <c r="Q124" s="16">
        <f>IFERROR(__xludf.DUMMYFUNCTION("""COMPUTED_VALUE"""),0.142857142857142)</f>
        <v>0.1428571429</v>
      </c>
      <c r="R124" s="16">
        <f>IFERROR(__xludf.DUMMYFUNCTION("""COMPUTED_VALUE"""),0.0)</f>
        <v>0</v>
      </c>
      <c r="S124" s="16">
        <f>IFERROR(__xludf.DUMMYFUNCTION("""COMPUTED_VALUE"""),0.0)</f>
        <v>0</v>
      </c>
      <c r="T124" s="16">
        <f>IFERROR(__xludf.DUMMYFUNCTION("""COMPUTED_VALUE"""),0.0)</f>
        <v>0</v>
      </c>
      <c r="U124" s="16">
        <f>IFERROR(__xludf.DUMMYFUNCTION("""COMPUTED_VALUE"""),0.0)</f>
        <v>0</v>
      </c>
      <c r="V124" s="16">
        <f>IFERROR(__xludf.DUMMYFUNCTION("""COMPUTED_VALUE"""),0.0)</f>
        <v>0</v>
      </c>
      <c r="W124" s="16">
        <f>IFERROR(__xludf.DUMMYFUNCTION("""COMPUTED_VALUE"""),0.0)</f>
        <v>0</v>
      </c>
      <c r="X124" s="16">
        <f>IFERROR(__xludf.DUMMYFUNCTION("""COMPUTED_VALUE"""),0.0)</f>
        <v>0</v>
      </c>
      <c r="Y124" s="16">
        <f>IFERROR(__xludf.DUMMYFUNCTION("""COMPUTED_VALUE"""),0.0)</f>
        <v>0</v>
      </c>
      <c r="Z124" s="16">
        <f>IFERROR(__xludf.DUMMYFUNCTION("""COMPUTED_VALUE"""),0.0)</f>
        <v>0</v>
      </c>
      <c r="AA124" s="16">
        <f>IFERROR(__xludf.DUMMYFUNCTION("""COMPUTED_VALUE"""),0.0)</f>
        <v>0</v>
      </c>
      <c r="AB124" s="16">
        <f>IFERROR(__xludf.DUMMYFUNCTION("""COMPUTED_VALUE"""),0.0)</f>
        <v>0</v>
      </c>
      <c r="AC124" s="16">
        <f>IFERROR(__xludf.DUMMYFUNCTION("""COMPUTED_VALUE"""),0.0)</f>
        <v>0</v>
      </c>
      <c r="AD124" s="16">
        <f>IFERROR(__xludf.DUMMYFUNCTION("""COMPUTED_VALUE"""),0.0)</f>
        <v>0</v>
      </c>
      <c r="AE124" s="16">
        <f>IFERROR(__xludf.DUMMYFUNCTION("""COMPUTED_VALUE"""),0.0)</f>
        <v>0</v>
      </c>
      <c r="AF124" s="16">
        <f>IFERROR(__xludf.DUMMYFUNCTION("""COMPUTED_VALUE"""),0.0)</f>
        <v>0</v>
      </c>
      <c r="AG124" s="16">
        <f>IFERROR(__xludf.DUMMYFUNCTION("""COMPUTED_VALUE"""),0.0)</f>
        <v>0</v>
      </c>
      <c r="AH124" s="16">
        <f>IFERROR(__xludf.DUMMYFUNCTION("""COMPUTED_VALUE"""),0.0)</f>
        <v>0</v>
      </c>
    </row>
    <row r="125">
      <c r="A125" s="16" t="str">
        <f>IFERROR(__xludf.DUMMYFUNCTION("""COMPUTED_VALUE"""),"6214ecac2801afde28aa63c555faf06203321c85")</f>
        <v>6214ecac2801afde28aa63c555faf06203321c85</v>
      </c>
      <c r="B125" s="16" t="str">
        <f>IFERROR(__xludf.DUMMYFUNCTION("""COMPUTED_VALUE"""),"Love Behind the Screen")</f>
        <v>Love Behind the Screen</v>
      </c>
      <c r="C125" s="16" t="str">
        <f>IFERROR(__xludf.DUMMYFUNCTION("""COMPUTED_VALUE"""),"Romance")</f>
        <v>Romance</v>
      </c>
      <c r="D125" s="16">
        <f>IFERROR(__xludf.DUMMYFUNCTION("""COMPUTED_VALUE"""),1045.0)</f>
        <v>1045</v>
      </c>
      <c r="E125" s="16">
        <f>IFERROR(__xludf.DUMMYFUNCTION("""COMPUTED_VALUE"""),0.954066985645933)</f>
        <v>0.9540669856</v>
      </c>
      <c r="F125" s="16">
        <f>IFERROR(__xludf.DUMMYFUNCTION("""COMPUTED_VALUE"""),0.535440613026819)</f>
        <v>0.535440613</v>
      </c>
      <c r="G125" s="16">
        <f>IFERROR(__xludf.DUMMYFUNCTION("""COMPUTED_VALUE"""),0.470306513409961)</f>
        <v>0.4703065134</v>
      </c>
      <c r="H125" s="16">
        <f>IFERROR(__xludf.DUMMYFUNCTION("""COMPUTED_VALUE"""),0.449233716475095)</f>
        <v>0.4492337165</v>
      </c>
      <c r="I125" s="16">
        <f>IFERROR(__xludf.DUMMYFUNCTION("""COMPUTED_VALUE"""),0.418582375478927)</f>
        <v>0.4185823755</v>
      </c>
      <c r="J125" s="16">
        <f>IFERROR(__xludf.DUMMYFUNCTION("""COMPUTED_VALUE"""),0.401536983669548)</f>
        <v>0.4015369837</v>
      </c>
      <c r="K125" s="16">
        <f>IFERROR(__xludf.DUMMYFUNCTION("""COMPUTED_VALUE"""),0.383060635226179)</f>
        <v>0.3830606352</v>
      </c>
      <c r="L125" s="16">
        <f>IFERROR(__xludf.DUMMYFUNCTION("""COMPUTED_VALUE"""),0.368370298939247)</f>
        <v>0.3683702989</v>
      </c>
      <c r="M125" s="16">
        <f>IFERROR(__xludf.DUMMYFUNCTION("""COMPUTED_VALUE"""),0.3503861003861)</f>
        <v>0.3503861004</v>
      </c>
      <c r="N125" s="16">
        <f>IFERROR(__xludf.DUMMYFUNCTION("""COMPUTED_VALUE"""),0.345595353339787)</f>
        <v>0.3455953533</v>
      </c>
      <c r="O125" s="16">
        <f>IFERROR(__xludf.DUMMYFUNCTION("""COMPUTED_VALUE"""),0.324701195219123)</f>
        <v>0.3247011952</v>
      </c>
      <c r="P125" s="16">
        <f>IFERROR(__xludf.DUMMYFUNCTION("""COMPUTED_VALUE"""),0.206451612903225)</f>
        <v>0.2064516129</v>
      </c>
      <c r="Q125" s="16">
        <f>IFERROR(__xludf.DUMMYFUNCTION("""COMPUTED_VALUE"""),0.132440476190476)</f>
        <v>0.1324404762</v>
      </c>
      <c r="R125" s="16">
        <f>IFERROR(__xludf.DUMMYFUNCTION("""COMPUTED_VALUE"""),0.102439024390243)</f>
        <v>0.1024390244</v>
      </c>
      <c r="S125" s="16">
        <f>IFERROR(__xludf.DUMMYFUNCTION("""COMPUTED_VALUE"""),0.0770642201834862)</f>
        <v>0.07706422018</v>
      </c>
      <c r="T125" s="16">
        <f>IFERROR(__xludf.DUMMYFUNCTION("""COMPUTED_VALUE"""),0.0)</f>
        <v>0</v>
      </c>
      <c r="U125" s="16">
        <f>IFERROR(__xludf.DUMMYFUNCTION("""COMPUTED_VALUE"""),0.0)</f>
        <v>0</v>
      </c>
      <c r="V125" s="16">
        <f>IFERROR(__xludf.DUMMYFUNCTION("""COMPUTED_VALUE"""),0.0)</f>
        <v>0</v>
      </c>
      <c r="W125" s="16">
        <f>IFERROR(__xludf.DUMMYFUNCTION("""COMPUTED_VALUE"""),0.0)</f>
        <v>0</v>
      </c>
      <c r="X125" s="16">
        <f>IFERROR(__xludf.DUMMYFUNCTION("""COMPUTED_VALUE"""),0.0)</f>
        <v>0</v>
      </c>
      <c r="Y125" s="16">
        <f>IFERROR(__xludf.DUMMYFUNCTION("""COMPUTED_VALUE"""),0.0)</f>
        <v>0</v>
      </c>
      <c r="Z125" s="16">
        <f>IFERROR(__xludf.DUMMYFUNCTION("""COMPUTED_VALUE"""),0.0)</f>
        <v>0</v>
      </c>
      <c r="AA125" s="16">
        <f>IFERROR(__xludf.DUMMYFUNCTION("""COMPUTED_VALUE"""),0.0)</f>
        <v>0</v>
      </c>
      <c r="AB125" s="16">
        <f>IFERROR(__xludf.DUMMYFUNCTION("""COMPUTED_VALUE"""),0.0)</f>
        <v>0</v>
      </c>
      <c r="AC125" s="16">
        <f>IFERROR(__xludf.DUMMYFUNCTION("""COMPUTED_VALUE"""),0.0)</f>
        <v>0</v>
      </c>
      <c r="AD125" s="16">
        <f>IFERROR(__xludf.DUMMYFUNCTION("""COMPUTED_VALUE"""),0.0)</f>
        <v>0</v>
      </c>
      <c r="AE125" s="16">
        <f>IFERROR(__xludf.DUMMYFUNCTION("""COMPUTED_VALUE"""),0.0)</f>
        <v>0</v>
      </c>
      <c r="AF125" s="16">
        <f>IFERROR(__xludf.DUMMYFUNCTION("""COMPUTED_VALUE"""),0.0)</f>
        <v>0</v>
      </c>
      <c r="AG125" s="16">
        <f>IFERROR(__xludf.DUMMYFUNCTION("""COMPUTED_VALUE"""),0.0)</f>
        <v>0</v>
      </c>
      <c r="AH125" s="16">
        <f>IFERROR(__xludf.DUMMYFUNCTION("""COMPUTED_VALUE"""),0.0)</f>
        <v>0</v>
      </c>
    </row>
    <row r="126">
      <c r="A126" s="16" t="str">
        <f>IFERROR(__xludf.DUMMYFUNCTION("""COMPUTED_VALUE"""),"622c96a576425047d6bff8447205921132d7f61c")</f>
        <v>622c96a576425047d6bff8447205921132d7f61c</v>
      </c>
      <c r="B126" s="16" t="str">
        <f>IFERROR(__xludf.DUMMYFUNCTION("""COMPUTED_VALUE"""),"The Exit Nobody Expected")</f>
        <v>The Exit Nobody Expected</v>
      </c>
      <c r="C126" s="16" t="str">
        <f>IFERROR(__xludf.DUMMYFUNCTION("""COMPUTED_VALUE"""),"Suspense or Thriller")</f>
        <v>Suspense or Thriller</v>
      </c>
      <c r="D126" s="16">
        <f>IFERROR(__xludf.DUMMYFUNCTION("""COMPUTED_VALUE"""),100.0)</f>
        <v>100</v>
      </c>
      <c r="E126" s="16">
        <f>IFERROR(__xludf.DUMMYFUNCTION("""COMPUTED_VALUE"""),0.95)</f>
        <v>0.95</v>
      </c>
      <c r="F126" s="16">
        <f>IFERROR(__xludf.DUMMYFUNCTION("""COMPUTED_VALUE"""),0.41)</f>
        <v>0.41</v>
      </c>
      <c r="G126" s="16">
        <f>IFERROR(__xludf.DUMMYFUNCTION("""COMPUTED_VALUE"""),0.37)</f>
        <v>0.37</v>
      </c>
      <c r="H126" s="16">
        <f>IFERROR(__xludf.DUMMYFUNCTION("""COMPUTED_VALUE"""),0.363636363636363)</f>
        <v>0.3636363636</v>
      </c>
      <c r="I126" s="16">
        <f>IFERROR(__xludf.DUMMYFUNCTION("""COMPUTED_VALUE"""),0.288659793814432)</f>
        <v>0.2886597938</v>
      </c>
      <c r="J126" s="16">
        <f>IFERROR(__xludf.DUMMYFUNCTION("""COMPUTED_VALUE"""),0.260416666666666)</f>
        <v>0.2604166667</v>
      </c>
      <c r="K126" s="16">
        <f>IFERROR(__xludf.DUMMYFUNCTION("""COMPUTED_VALUE"""),0.25)</f>
        <v>0.25</v>
      </c>
      <c r="L126" s="16">
        <f>IFERROR(__xludf.DUMMYFUNCTION("""COMPUTED_VALUE"""),0.224719101123595)</f>
        <v>0.2247191011</v>
      </c>
      <c r="M126" s="16">
        <f>IFERROR(__xludf.DUMMYFUNCTION("""COMPUTED_VALUE"""),0.186046511627906)</f>
        <v>0.1860465116</v>
      </c>
      <c r="N126" s="16">
        <f>IFERROR(__xludf.DUMMYFUNCTION("""COMPUTED_VALUE"""),0.170731707317073)</f>
        <v>0.1707317073</v>
      </c>
      <c r="O126" s="16">
        <f>IFERROR(__xludf.DUMMYFUNCTION("""COMPUTED_VALUE"""),0.125)</f>
        <v>0.125</v>
      </c>
      <c r="P126" s="16">
        <f>IFERROR(__xludf.DUMMYFUNCTION("""COMPUTED_VALUE"""),0.133333333333333)</f>
        <v>0.1333333333</v>
      </c>
      <c r="Q126" s="16">
        <f>IFERROR(__xludf.DUMMYFUNCTION("""COMPUTED_VALUE"""),0.13953488372093)</f>
        <v>0.1395348837</v>
      </c>
      <c r="R126" s="16">
        <f>IFERROR(__xludf.DUMMYFUNCTION("""COMPUTED_VALUE"""),0.0)</f>
        <v>0</v>
      </c>
      <c r="S126" s="16">
        <f>IFERROR(__xludf.DUMMYFUNCTION("""COMPUTED_VALUE"""),0.0)</f>
        <v>0</v>
      </c>
      <c r="T126" s="16">
        <f>IFERROR(__xludf.DUMMYFUNCTION("""COMPUTED_VALUE"""),0.0)</f>
        <v>0</v>
      </c>
      <c r="U126" s="16">
        <f>IFERROR(__xludf.DUMMYFUNCTION("""COMPUTED_VALUE"""),0.0)</f>
        <v>0</v>
      </c>
      <c r="V126" s="16">
        <f>IFERROR(__xludf.DUMMYFUNCTION("""COMPUTED_VALUE"""),0.0)</f>
        <v>0</v>
      </c>
      <c r="W126" s="16">
        <f>IFERROR(__xludf.DUMMYFUNCTION("""COMPUTED_VALUE"""),0.0)</f>
        <v>0</v>
      </c>
      <c r="X126" s="16">
        <f>IFERROR(__xludf.DUMMYFUNCTION("""COMPUTED_VALUE"""),0.0)</f>
        <v>0</v>
      </c>
      <c r="Y126" s="16">
        <f>IFERROR(__xludf.DUMMYFUNCTION("""COMPUTED_VALUE"""),0.0)</f>
        <v>0</v>
      </c>
      <c r="Z126" s="16">
        <f>IFERROR(__xludf.DUMMYFUNCTION("""COMPUTED_VALUE"""),0.0)</f>
        <v>0</v>
      </c>
      <c r="AA126" s="16">
        <f>IFERROR(__xludf.DUMMYFUNCTION("""COMPUTED_VALUE"""),0.0)</f>
        <v>0</v>
      </c>
      <c r="AB126" s="16">
        <f>IFERROR(__xludf.DUMMYFUNCTION("""COMPUTED_VALUE"""),0.0)</f>
        <v>0</v>
      </c>
      <c r="AC126" s="16">
        <f>IFERROR(__xludf.DUMMYFUNCTION("""COMPUTED_VALUE"""),0.0)</f>
        <v>0</v>
      </c>
      <c r="AD126" s="16">
        <f>IFERROR(__xludf.DUMMYFUNCTION("""COMPUTED_VALUE"""),0.0)</f>
        <v>0</v>
      </c>
      <c r="AE126" s="16">
        <f>IFERROR(__xludf.DUMMYFUNCTION("""COMPUTED_VALUE"""),0.0)</f>
        <v>0</v>
      </c>
      <c r="AF126" s="16">
        <f>IFERROR(__xludf.DUMMYFUNCTION("""COMPUTED_VALUE"""),0.0)</f>
        <v>0</v>
      </c>
      <c r="AG126" s="16">
        <f>IFERROR(__xludf.DUMMYFUNCTION("""COMPUTED_VALUE"""),0.0)</f>
        <v>0</v>
      </c>
      <c r="AH126" s="16">
        <f>IFERROR(__xludf.DUMMYFUNCTION("""COMPUTED_VALUE"""),0.0)</f>
        <v>0</v>
      </c>
    </row>
    <row r="127">
      <c r="A127" s="16" t="str">
        <f>IFERROR(__xludf.DUMMYFUNCTION("""COMPUTED_VALUE"""),"6346e154f10078de4f17cbc6268066519b02789f")</f>
        <v>6346e154f10078de4f17cbc6268066519b02789f</v>
      </c>
      <c r="B127" s="16" t="str">
        <f>IFERROR(__xludf.DUMMYFUNCTION("""COMPUTED_VALUE"""),"Doctor Young")</f>
        <v>Doctor Young</v>
      </c>
      <c r="C127" s="16" t="str">
        <f>IFERROR(__xludf.DUMMYFUNCTION("""COMPUTED_VALUE"""),"Suspense or Thriller")</f>
        <v>Suspense or Thriller</v>
      </c>
      <c r="D127" s="16">
        <f>IFERROR(__xludf.DUMMYFUNCTION("""COMPUTED_VALUE"""),135.0)</f>
        <v>135</v>
      </c>
      <c r="E127" s="16">
        <f>IFERROR(__xludf.DUMMYFUNCTION("""COMPUTED_VALUE"""),0.97037037037037)</f>
        <v>0.9703703704</v>
      </c>
      <c r="F127" s="16">
        <f>IFERROR(__xludf.DUMMYFUNCTION("""COMPUTED_VALUE"""),0.333333333333333)</f>
        <v>0.3333333333</v>
      </c>
      <c r="G127" s="16">
        <f>IFERROR(__xludf.DUMMYFUNCTION("""COMPUTED_VALUE"""),0.259259259259259)</f>
        <v>0.2592592593</v>
      </c>
      <c r="H127" s="16">
        <f>IFERROR(__xludf.DUMMYFUNCTION("""COMPUTED_VALUE"""),0.216417910447761)</f>
        <v>0.2164179104</v>
      </c>
      <c r="I127" s="16">
        <f>IFERROR(__xludf.DUMMYFUNCTION("""COMPUTED_VALUE"""),0.17910447761194)</f>
        <v>0.1791044776</v>
      </c>
      <c r="J127" s="16">
        <f>IFERROR(__xludf.DUMMYFUNCTION("""COMPUTED_VALUE"""),0.180451127819548)</f>
        <v>0.1804511278</v>
      </c>
      <c r="K127" s="16">
        <f>IFERROR(__xludf.DUMMYFUNCTION("""COMPUTED_VALUE"""),0.166666666666666)</f>
        <v>0.1666666667</v>
      </c>
      <c r="L127" s="16">
        <f>IFERROR(__xludf.DUMMYFUNCTION("""COMPUTED_VALUE"""),0.175572519083969)</f>
        <v>0.1755725191</v>
      </c>
      <c r="M127" s="16">
        <f>IFERROR(__xludf.DUMMYFUNCTION("""COMPUTED_VALUE"""),0.16030534351145)</f>
        <v>0.1603053435</v>
      </c>
      <c r="N127" s="16">
        <f>IFERROR(__xludf.DUMMYFUNCTION("""COMPUTED_VALUE"""),0.155038759689922)</f>
        <v>0.1550387597</v>
      </c>
      <c r="O127" s="16">
        <f>IFERROR(__xludf.DUMMYFUNCTION("""COMPUTED_VALUE"""),0.132231404958677)</f>
        <v>0.132231405</v>
      </c>
      <c r="P127" s="16">
        <f>IFERROR(__xludf.DUMMYFUNCTION("""COMPUTED_VALUE"""),0.108108108108108)</f>
        <v>0.1081081081</v>
      </c>
      <c r="Q127" s="16">
        <f>IFERROR(__xludf.DUMMYFUNCTION("""COMPUTED_VALUE"""),0.0865384615384615)</f>
        <v>0.08653846154</v>
      </c>
      <c r="R127" s="16">
        <f>IFERROR(__xludf.DUMMYFUNCTION("""COMPUTED_VALUE"""),0.0485436893203883)</f>
        <v>0.04854368932</v>
      </c>
      <c r="S127" s="16">
        <f>IFERROR(__xludf.DUMMYFUNCTION("""COMPUTED_VALUE"""),0.0)</f>
        <v>0</v>
      </c>
      <c r="T127" s="16">
        <f>IFERROR(__xludf.DUMMYFUNCTION("""COMPUTED_VALUE"""),0.0)</f>
        <v>0</v>
      </c>
      <c r="U127" s="16">
        <f>IFERROR(__xludf.DUMMYFUNCTION("""COMPUTED_VALUE"""),0.0)</f>
        <v>0</v>
      </c>
      <c r="V127" s="16">
        <f>IFERROR(__xludf.DUMMYFUNCTION("""COMPUTED_VALUE"""),0.0)</f>
        <v>0</v>
      </c>
      <c r="W127" s="16">
        <f>IFERROR(__xludf.DUMMYFUNCTION("""COMPUTED_VALUE"""),0.0)</f>
        <v>0</v>
      </c>
      <c r="X127" s="16">
        <f>IFERROR(__xludf.DUMMYFUNCTION("""COMPUTED_VALUE"""),0.0)</f>
        <v>0</v>
      </c>
      <c r="Y127" s="16">
        <f>IFERROR(__xludf.DUMMYFUNCTION("""COMPUTED_VALUE"""),0.0)</f>
        <v>0</v>
      </c>
      <c r="Z127" s="16">
        <f>IFERROR(__xludf.DUMMYFUNCTION("""COMPUTED_VALUE"""),0.0)</f>
        <v>0</v>
      </c>
      <c r="AA127" s="16">
        <f>IFERROR(__xludf.DUMMYFUNCTION("""COMPUTED_VALUE"""),0.0)</f>
        <v>0</v>
      </c>
      <c r="AB127" s="16">
        <f>IFERROR(__xludf.DUMMYFUNCTION("""COMPUTED_VALUE"""),0.0)</f>
        <v>0</v>
      </c>
      <c r="AC127" s="16">
        <f>IFERROR(__xludf.DUMMYFUNCTION("""COMPUTED_VALUE"""),0.0)</f>
        <v>0</v>
      </c>
      <c r="AD127" s="16">
        <f>IFERROR(__xludf.DUMMYFUNCTION("""COMPUTED_VALUE"""),0.0)</f>
        <v>0</v>
      </c>
      <c r="AE127" s="16">
        <f>IFERROR(__xludf.DUMMYFUNCTION("""COMPUTED_VALUE"""),0.0)</f>
        <v>0</v>
      </c>
      <c r="AF127" s="16">
        <f>IFERROR(__xludf.DUMMYFUNCTION("""COMPUTED_VALUE"""),0.0)</f>
        <v>0</v>
      </c>
      <c r="AG127" s="16">
        <f>IFERROR(__xludf.DUMMYFUNCTION("""COMPUTED_VALUE"""),0.0)</f>
        <v>0</v>
      </c>
      <c r="AH127" s="16">
        <f>IFERROR(__xludf.DUMMYFUNCTION("""COMPUTED_VALUE"""),0.0)</f>
        <v>0</v>
      </c>
    </row>
    <row r="128">
      <c r="A128" s="16" t="str">
        <f>IFERROR(__xludf.DUMMYFUNCTION("""COMPUTED_VALUE"""),"646112abf2d6a5c232155a853f029ad1737b504e")</f>
        <v>646112abf2d6a5c232155a853f029ad1737b504e</v>
      </c>
      <c r="B128" s="16" t="str">
        <f>IFERROR(__xludf.DUMMYFUNCTION("""COMPUTED_VALUE"""),"Gatebreak")</f>
        <v>Gatebreak</v>
      </c>
      <c r="C128" s="16" t="str">
        <f>IFERROR(__xludf.DUMMYFUNCTION("""COMPUTED_VALUE"""),"Fantasy")</f>
        <v>Fantasy</v>
      </c>
      <c r="D128" s="16">
        <f>IFERROR(__xludf.DUMMYFUNCTION("""COMPUTED_VALUE"""),84.0)</f>
        <v>84</v>
      </c>
      <c r="E128" s="16">
        <f>IFERROR(__xludf.DUMMYFUNCTION("""COMPUTED_VALUE"""),0.916666666666666)</f>
        <v>0.9166666667</v>
      </c>
      <c r="F128" s="16">
        <f>IFERROR(__xludf.DUMMYFUNCTION("""COMPUTED_VALUE"""),0.547619047619047)</f>
        <v>0.5476190476</v>
      </c>
      <c r="G128" s="16">
        <f>IFERROR(__xludf.DUMMYFUNCTION("""COMPUTED_VALUE"""),0.476190476190476)</f>
        <v>0.4761904762</v>
      </c>
      <c r="H128" s="16">
        <f>IFERROR(__xludf.DUMMYFUNCTION("""COMPUTED_VALUE"""),0.44047619047619)</f>
        <v>0.4404761905</v>
      </c>
      <c r="I128" s="16">
        <f>IFERROR(__xludf.DUMMYFUNCTION("""COMPUTED_VALUE"""),0.416666666666666)</f>
        <v>0.4166666667</v>
      </c>
      <c r="J128" s="16">
        <f>IFERROR(__xludf.DUMMYFUNCTION("""COMPUTED_VALUE"""),0.416666666666666)</f>
        <v>0.4166666667</v>
      </c>
      <c r="K128" s="16">
        <f>IFERROR(__xludf.DUMMYFUNCTION("""COMPUTED_VALUE"""),0.397590361445783)</f>
        <v>0.3975903614</v>
      </c>
      <c r="L128" s="16">
        <f>IFERROR(__xludf.DUMMYFUNCTION("""COMPUTED_VALUE"""),0.419753086419753)</f>
        <v>0.4197530864</v>
      </c>
      <c r="M128" s="16">
        <f>IFERROR(__xludf.DUMMYFUNCTION("""COMPUTED_VALUE"""),0.395061728395061)</f>
        <v>0.3950617284</v>
      </c>
      <c r="N128" s="16">
        <f>IFERROR(__xludf.DUMMYFUNCTION("""COMPUTED_VALUE"""),0.382716049382716)</f>
        <v>0.3827160494</v>
      </c>
      <c r="O128" s="16">
        <f>IFERROR(__xludf.DUMMYFUNCTION("""COMPUTED_VALUE"""),0.316455696202531)</f>
        <v>0.3164556962</v>
      </c>
      <c r="P128" s="16">
        <f>IFERROR(__xludf.DUMMYFUNCTION("""COMPUTED_VALUE"""),0.298701298701298)</f>
        <v>0.2987012987</v>
      </c>
      <c r="Q128" s="16">
        <f>IFERROR(__xludf.DUMMYFUNCTION("""COMPUTED_VALUE"""),0.226666666666666)</f>
        <v>0.2266666667</v>
      </c>
      <c r="R128" s="16">
        <f>IFERROR(__xludf.DUMMYFUNCTION("""COMPUTED_VALUE"""),0.106666666666666)</f>
        <v>0.1066666667</v>
      </c>
      <c r="S128" s="16">
        <f>IFERROR(__xludf.DUMMYFUNCTION("""COMPUTED_VALUE"""),0.0980392156862745)</f>
        <v>0.09803921569</v>
      </c>
      <c r="T128" s="16">
        <f>IFERROR(__xludf.DUMMYFUNCTION("""COMPUTED_VALUE"""),0.1)</f>
        <v>0.1</v>
      </c>
      <c r="U128" s="16">
        <f>IFERROR(__xludf.DUMMYFUNCTION("""COMPUTED_VALUE"""),0.0)</f>
        <v>0</v>
      </c>
      <c r="V128" s="16">
        <f>IFERROR(__xludf.DUMMYFUNCTION("""COMPUTED_VALUE"""),0.0)</f>
        <v>0</v>
      </c>
      <c r="W128" s="16">
        <f>IFERROR(__xludf.DUMMYFUNCTION("""COMPUTED_VALUE"""),0.0)</f>
        <v>0</v>
      </c>
      <c r="X128" s="16">
        <f>IFERROR(__xludf.DUMMYFUNCTION("""COMPUTED_VALUE"""),0.0)</f>
        <v>0</v>
      </c>
      <c r="Y128" s="16">
        <f>IFERROR(__xludf.DUMMYFUNCTION("""COMPUTED_VALUE"""),0.0)</f>
        <v>0</v>
      </c>
      <c r="Z128" s="16">
        <f>IFERROR(__xludf.DUMMYFUNCTION("""COMPUTED_VALUE"""),0.0)</f>
        <v>0</v>
      </c>
      <c r="AA128" s="16">
        <f>IFERROR(__xludf.DUMMYFUNCTION("""COMPUTED_VALUE"""),0.0)</f>
        <v>0</v>
      </c>
      <c r="AB128" s="16">
        <f>IFERROR(__xludf.DUMMYFUNCTION("""COMPUTED_VALUE"""),0.0)</f>
        <v>0</v>
      </c>
      <c r="AC128" s="16">
        <f>IFERROR(__xludf.DUMMYFUNCTION("""COMPUTED_VALUE"""),0.0)</f>
        <v>0</v>
      </c>
      <c r="AD128" s="16">
        <f>IFERROR(__xludf.DUMMYFUNCTION("""COMPUTED_VALUE"""),0.0)</f>
        <v>0</v>
      </c>
      <c r="AE128" s="16">
        <f>IFERROR(__xludf.DUMMYFUNCTION("""COMPUTED_VALUE"""),0.0)</f>
        <v>0</v>
      </c>
      <c r="AF128" s="16">
        <f>IFERROR(__xludf.DUMMYFUNCTION("""COMPUTED_VALUE"""),0.0)</f>
        <v>0</v>
      </c>
      <c r="AG128" s="16">
        <f>IFERROR(__xludf.DUMMYFUNCTION("""COMPUTED_VALUE"""),0.0)</f>
        <v>0</v>
      </c>
      <c r="AH128" s="16">
        <f>IFERROR(__xludf.DUMMYFUNCTION("""COMPUTED_VALUE"""),0.0)</f>
        <v>0</v>
      </c>
    </row>
    <row r="129">
      <c r="A129" s="16" t="str">
        <f>IFERROR(__xludf.DUMMYFUNCTION("""COMPUTED_VALUE"""),"6537ebcf99ebb2572c378cc92edd07b6d165b13b")</f>
        <v>6537ebcf99ebb2572c378cc92edd07b6d165b13b</v>
      </c>
      <c r="B129" s="16" t="str">
        <f>IFERROR(__xludf.DUMMYFUNCTION("""COMPUTED_VALUE"""),"The Legendary Beast Archi")</f>
        <v>The Legendary Beast Archi</v>
      </c>
      <c r="C129" s="16" t="str">
        <f>IFERROR(__xludf.DUMMYFUNCTION("""COMPUTED_VALUE"""),"Fantasy")</f>
        <v>Fantasy</v>
      </c>
      <c r="D129" s="16">
        <f>IFERROR(__xludf.DUMMYFUNCTION("""COMPUTED_VALUE"""),81.0)</f>
        <v>81</v>
      </c>
      <c r="E129" s="16">
        <f>IFERROR(__xludf.DUMMYFUNCTION("""COMPUTED_VALUE"""),0.950617283950617)</f>
        <v>0.950617284</v>
      </c>
      <c r="F129" s="16">
        <f>IFERROR(__xludf.DUMMYFUNCTION("""COMPUTED_VALUE"""),0.45679012345679)</f>
        <v>0.4567901235</v>
      </c>
      <c r="G129" s="16">
        <f>IFERROR(__xludf.DUMMYFUNCTION("""COMPUTED_VALUE"""),0.382716049382716)</f>
        <v>0.3827160494</v>
      </c>
      <c r="H129" s="16">
        <f>IFERROR(__xludf.DUMMYFUNCTION("""COMPUTED_VALUE"""),0.345679012345679)</f>
        <v>0.3456790123</v>
      </c>
      <c r="I129" s="16">
        <f>IFERROR(__xludf.DUMMYFUNCTION("""COMPUTED_VALUE"""),0.308641975308641)</f>
        <v>0.3086419753</v>
      </c>
      <c r="J129" s="16">
        <f>IFERROR(__xludf.DUMMYFUNCTION("""COMPUTED_VALUE"""),0.271604938271604)</f>
        <v>0.2716049383</v>
      </c>
      <c r="K129" s="16">
        <f>IFERROR(__xludf.DUMMYFUNCTION("""COMPUTED_VALUE"""),0.227848101265822)</f>
        <v>0.2278481013</v>
      </c>
      <c r="L129" s="16">
        <f>IFERROR(__xludf.DUMMYFUNCTION("""COMPUTED_VALUE"""),0.23076923076923)</f>
        <v>0.2307692308</v>
      </c>
      <c r="M129" s="16">
        <f>IFERROR(__xludf.DUMMYFUNCTION("""COMPUTED_VALUE"""),0.22077922077922)</f>
        <v>0.2207792208</v>
      </c>
      <c r="N129" s="16">
        <f>IFERROR(__xludf.DUMMYFUNCTION("""COMPUTED_VALUE"""),0.184210526315789)</f>
        <v>0.1842105263</v>
      </c>
      <c r="O129" s="16">
        <f>IFERROR(__xludf.DUMMYFUNCTION("""COMPUTED_VALUE"""),0.0930232558139534)</f>
        <v>0.09302325581</v>
      </c>
      <c r="P129" s="16">
        <f>IFERROR(__xludf.DUMMYFUNCTION("""COMPUTED_VALUE"""),0.0)</f>
        <v>0</v>
      </c>
      <c r="Q129" s="16">
        <f>IFERROR(__xludf.DUMMYFUNCTION("""COMPUTED_VALUE"""),0.0)</f>
        <v>0</v>
      </c>
      <c r="R129" s="16">
        <f>IFERROR(__xludf.DUMMYFUNCTION("""COMPUTED_VALUE"""),0.0)</f>
        <v>0</v>
      </c>
      <c r="S129" s="16">
        <f>IFERROR(__xludf.DUMMYFUNCTION("""COMPUTED_VALUE"""),0.0)</f>
        <v>0</v>
      </c>
      <c r="T129" s="16">
        <f>IFERROR(__xludf.DUMMYFUNCTION("""COMPUTED_VALUE"""),0.0)</f>
        <v>0</v>
      </c>
      <c r="U129" s="16">
        <f>IFERROR(__xludf.DUMMYFUNCTION("""COMPUTED_VALUE"""),0.0)</f>
        <v>0</v>
      </c>
      <c r="V129" s="16">
        <f>IFERROR(__xludf.DUMMYFUNCTION("""COMPUTED_VALUE"""),0.0)</f>
        <v>0</v>
      </c>
      <c r="W129" s="16">
        <f>IFERROR(__xludf.DUMMYFUNCTION("""COMPUTED_VALUE"""),0.0)</f>
        <v>0</v>
      </c>
      <c r="X129" s="16">
        <f>IFERROR(__xludf.DUMMYFUNCTION("""COMPUTED_VALUE"""),0.0)</f>
        <v>0</v>
      </c>
      <c r="Y129" s="16">
        <f>IFERROR(__xludf.DUMMYFUNCTION("""COMPUTED_VALUE"""),0.0)</f>
        <v>0</v>
      </c>
      <c r="Z129" s="16">
        <f>IFERROR(__xludf.DUMMYFUNCTION("""COMPUTED_VALUE"""),0.0)</f>
        <v>0</v>
      </c>
      <c r="AA129" s="16">
        <f>IFERROR(__xludf.DUMMYFUNCTION("""COMPUTED_VALUE"""),0.0)</f>
        <v>0</v>
      </c>
      <c r="AB129" s="16">
        <f>IFERROR(__xludf.DUMMYFUNCTION("""COMPUTED_VALUE"""),0.0)</f>
        <v>0</v>
      </c>
      <c r="AC129" s="16">
        <f>IFERROR(__xludf.DUMMYFUNCTION("""COMPUTED_VALUE"""),0.0)</f>
        <v>0</v>
      </c>
      <c r="AD129" s="16">
        <f>IFERROR(__xludf.DUMMYFUNCTION("""COMPUTED_VALUE"""),0.0)</f>
        <v>0</v>
      </c>
      <c r="AE129" s="16">
        <f>IFERROR(__xludf.DUMMYFUNCTION("""COMPUTED_VALUE"""),0.0)</f>
        <v>0</v>
      </c>
      <c r="AF129" s="16">
        <f>IFERROR(__xludf.DUMMYFUNCTION("""COMPUTED_VALUE"""),0.0)</f>
        <v>0</v>
      </c>
      <c r="AG129" s="16">
        <f>IFERROR(__xludf.DUMMYFUNCTION("""COMPUTED_VALUE"""),0.0)</f>
        <v>0</v>
      </c>
      <c r="AH129" s="16">
        <f>IFERROR(__xludf.DUMMYFUNCTION("""COMPUTED_VALUE"""),0.0)</f>
        <v>0</v>
      </c>
    </row>
    <row r="130">
      <c r="A130" s="16" t="str">
        <f>IFERROR(__xludf.DUMMYFUNCTION("""COMPUTED_VALUE"""),"66d071d24615af48b285815d02992a008381015d")</f>
        <v>66d071d24615af48b285815d02992a008381015d</v>
      </c>
      <c r="B130" s="16" t="str">
        <f>IFERROR(__xludf.DUMMYFUNCTION("""COMPUTED_VALUE"""),"Exile Star")</f>
        <v>Exile Star</v>
      </c>
      <c r="C130" s="16" t="str">
        <f>IFERROR(__xludf.DUMMYFUNCTION("""COMPUTED_VALUE"""),"Fantasy")</f>
        <v>Fantasy</v>
      </c>
      <c r="D130" s="16">
        <f>IFERROR(__xludf.DUMMYFUNCTION("""COMPUTED_VALUE"""),29.0)</f>
        <v>29</v>
      </c>
      <c r="E130" s="16">
        <f>IFERROR(__xludf.DUMMYFUNCTION("""COMPUTED_VALUE"""),0.96551724137931)</f>
        <v>0.9655172414</v>
      </c>
      <c r="F130" s="16">
        <f>IFERROR(__xludf.DUMMYFUNCTION("""COMPUTED_VALUE"""),0.551724137931034)</f>
        <v>0.5517241379</v>
      </c>
      <c r="G130" s="16">
        <f>IFERROR(__xludf.DUMMYFUNCTION("""COMPUTED_VALUE"""),0.482758620689655)</f>
        <v>0.4827586207</v>
      </c>
      <c r="H130" s="16">
        <f>IFERROR(__xludf.DUMMYFUNCTION("""COMPUTED_VALUE"""),0.5)</f>
        <v>0.5</v>
      </c>
      <c r="I130" s="16">
        <f>IFERROR(__xludf.DUMMYFUNCTION("""COMPUTED_VALUE"""),0.407407407407407)</f>
        <v>0.4074074074</v>
      </c>
      <c r="J130" s="16">
        <f>IFERROR(__xludf.DUMMYFUNCTION("""COMPUTED_VALUE"""),0.37037037037037)</f>
        <v>0.3703703704</v>
      </c>
      <c r="K130" s="16">
        <f>IFERROR(__xludf.DUMMYFUNCTION("""COMPUTED_VALUE"""),0.37037037037037)</f>
        <v>0.3703703704</v>
      </c>
      <c r="L130" s="16">
        <f>IFERROR(__xludf.DUMMYFUNCTION("""COMPUTED_VALUE"""),0.407407407407407)</f>
        <v>0.4074074074</v>
      </c>
      <c r="M130" s="16">
        <f>IFERROR(__xludf.DUMMYFUNCTION("""COMPUTED_VALUE"""),0.37037037037037)</f>
        <v>0.3703703704</v>
      </c>
      <c r="N130" s="16">
        <f>IFERROR(__xludf.DUMMYFUNCTION("""COMPUTED_VALUE"""),0.333333333333333)</f>
        <v>0.3333333333</v>
      </c>
      <c r="O130" s="16">
        <f>IFERROR(__xludf.DUMMYFUNCTION("""COMPUTED_VALUE"""),0.2)</f>
        <v>0.2</v>
      </c>
      <c r="P130" s="16">
        <f>IFERROR(__xludf.DUMMYFUNCTION("""COMPUTED_VALUE"""),0.5)</f>
        <v>0.5</v>
      </c>
      <c r="Q130" s="16">
        <f>IFERROR(__xludf.DUMMYFUNCTION("""COMPUTED_VALUE"""),0.0)</f>
        <v>0</v>
      </c>
      <c r="R130" s="16">
        <f>IFERROR(__xludf.DUMMYFUNCTION("""COMPUTED_VALUE"""),0.0)</f>
        <v>0</v>
      </c>
      <c r="S130" s="16">
        <f>IFERROR(__xludf.DUMMYFUNCTION("""COMPUTED_VALUE"""),0.0)</f>
        <v>0</v>
      </c>
      <c r="T130" s="16">
        <f>IFERROR(__xludf.DUMMYFUNCTION("""COMPUTED_VALUE"""),0.0)</f>
        <v>0</v>
      </c>
      <c r="U130" s="16">
        <f>IFERROR(__xludf.DUMMYFUNCTION("""COMPUTED_VALUE"""),0.0)</f>
        <v>0</v>
      </c>
      <c r="V130" s="16">
        <f>IFERROR(__xludf.DUMMYFUNCTION("""COMPUTED_VALUE"""),0.0)</f>
        <v>0</v>
      </c>
      <c r="W130" s="16">
        <f>IFERROR(__xludf.DUMMYFUNCTION("""COMPUTED_VALUE"""),0.0)</f>
        <v>0</v>
      </c>
      <c r="X130" s="16">
        <f>IFERROR(__xludf.DUMMYFUNCTION("""COMPUTED_VALUE"""),0.0)</f>
        <v>0</v>
      </c>
      <c r="Y130" s="16">
        <f>IFERROR(__xludf.DUMMYFUNCTION("""COMPUTED_VALUE"""),0.0)</f>
        <v>0</v>
      </c>
      <c r="Z130" s="16">
        <f>IFERROR(__xludf.DUMMYFUNCTION("""COMPUTED_VALUE"""),0.0)</f>
        <v>0</v>
      </c>
      <c r="AA130" s="16">
        <f>IFERROR(__xludf.DUMMYFUNCTION("""COMPUTED_VALUE"""),0.0)</f>
        <v>0</v>
      </c>
      <c r="AB130" s="16">
        <f>IFERROR(__xludf.DUMMYFUNCTION("""COMPUTED_VALUE"""),0.0)</f>
        <v>0</v>
      </c>
      <c r="AC130" s="16">
        <f>IFERROR(__xludf.DUMMYFUNCTION("""COMPUTED_VALUE"""),0.0)</f>
        <v>0</v>
      </c>
      <c r="AD130" s="16">
        <f>IFERROR(__xludf.DUMMYFUNCTION("""COMPUTED_VALUE"""),0.0)</f>
        <v>0</v>
      </c>
      <c r="AE130" s="16">
        <f>IFERROR(__xludf.DUMMYFUNCTION("""COMPUTED_VALUE"""),0.0)</f>
        <v>0</v>
      </c>
      <c r="AF130" s="16">
        <f>IFERROR(__xludf.DUMMYFUNCTION("""COMPUTED_VALUE"""),0.0)</f>
        <v>0</v>
      </c>
      <c r="AG130" s="16">
        <f>IFERROR(__xludf.DUMMYFUNCTION("""COMPUTED_VALUE"""),0.0)</f>
        <v>0</v>
      </c>
      <c r="AH130" s="16">
        <f>IFERROR(__xludf.DUMMYFUNCTION("""COMPUTED_VALUE"""),0.0)</f>
        <v>0</v>
      </c>
    </row>
    <row r="131">
      <c r="A131" s="16" t="str">
        <f>IFERROR(__xludf.DUMMYFUNCTION("""COMPUTED_VALUE"""),"66e5597d741c6d87c2bc8e35ec83065242c0e34d")</f>
        <v>66e5597d741c6d87c2bc8e35ec83065242c0e34d</v>
      </c>
      <c r="B131" s="16" t="str">
        <f>IFERROR(__xludf.DUMMYFUNCTION("""COMPUTED_VALUE"""),"Sky Lord")</f>
        <v>Sky Lord</v>
      </c>
      <c r="C131" s="16" t="str">
        <f>IFERROR(__xludf.DUMMYFUNCTION("""COMPUTED_VALUE"""),"Fantasy")</f>
        <v>Fantasy</v>
      </c>
      <c r="D131" s="16">
        <f>IFERROR(__xludf.DUMMYFUNCTION("""COMPUTED_VALUE"""),92.0)</f>
        <v>92</v>
      </c>
      <c r="E131" s="16">
        <f>IFERROR(__xludf.DUMMYFUNCTION("""COMPUTED_VALUE"""),0.92391304347826)</f>
        <v>0.9239130435</v>
      </c>
      <c r="F131" s="16">
        <f>IFERROR(__xludf.DUMMYFUNCTION("""COMPUTED_VALUE"""),0.478260869565217)</f>
        <v>0.4782608696</v>
      </c>
      <c r="G131" s="16">
        <f>IFERROR(__xludf.DUMMYFUNCTION("""COMPUTED_VALUE"""),0.467391304347826)</f>
        <v>0.4673913043</v>
      </c>
      <c r="H131" s="16">
        <f>IFERROR(__xludf.DUMMYFUNCTION("""COMPUTED_VALUE"""),0.42391304347826)</f>
        <v>0.4239130435</v>
      </c>
      <c r="I131" s="16">
        <f>IFERROR(__xludf.DUMMYFUNCTION("""COMPUTED_VALUE"""),0.384615384615384)</f>
        <v>0.3846153846</v>
      </c>
      <c r="J131" s="16">
        <f>IFERROR(__xludf.DUMMYFUNCTION("""COMPUTED_VALUE"""),0.395604395604395)</f>
        <v>0.3956043956</v>
      </c>
      <c r="K131" s="16">
        <f>IFERROR(__xludf.DUMMYFUNCTION("""COMPUTED_VALUE"""),0.337078651685393)</f>
        <v>0.3370786517</v>
      </c>
      <c r="L131" s="16">
        <f>IFERROR(__xludf.DUMMYFUNCTION("""COMPUTED_VALUE"""),0.303370786516853)</f>
        <v>0.3033707865</v>
      </c>
      <c r="M131" s="16">
        <f>IFERROR(__xludf.DUMMYFUNCTION("""COMPUTED_VALUE"""),0.258426966292134)</f>
        <v>0.2584269663</v>
      </c>
      <c r="N131" s="16">
        <f>IFERROR(__xludf.DUMMYFUNCTION("""COMPUTED_VALUE"""),0.275862068965517)</f>
        <v>0.275862069</v>
      </c>
      <c r="O131" s="16">
        <f>IFERROR(__xludf.DUMMYFUNCTION("""COMPUTED_VALUE"""),0.263157894736842)</f>
        <v>0.2631578947</v>
      </c>
      <c r="P131" s="16">
        <f>IFERROR(__xludf.DUMMYFUNCTION("""COMPUTED_VALUE"""),0.222222222222222)</f>
        <v>0.2222222222</v>
      </c>
      <c r="Q131" s="16">
        <f>IFERROR(__xludf.DUMMYFUNCTION("""COMPUTED_VALUE"""),0.0)</f>
        <v>0</v>
      </c>
      <c r="R131" s="16">
        <f>IFERROR(__xludf.DUMMYFUNCTION("""COMPUTED_VALUE"""),0.0)</f>
        <v>0</v>
      </c>
      <c r="S131" s="16">
        <f>IFERROR(__xludf.DUMMYFUNCTION("""COMPUTED_VALUE"""),0.0)</f>
        <v>0</v>
      </c>
      <c r="T131" s="16">
        <f>IFERROR(__xludf.DUMMYFUNCTION("""COMPUTED_VALUE"""),0.0)</f>
        <v>0</v>
      </c>
      <c r="U131" s="16">
        <f>IFERROR(__xludf.DUMMYFUNCTION("""COMPUTED_VALUE"""),0.0)</f>
        <v>0</v>
      </c>
      <c r="V131" s="16">
        <f>IFERROR(__xludf.DUMMYFUNCTION("""COMPUTED_VALUE"""),0.0)</f>
        <v>0</v>
      </c>
      <c r="W131" s="16">
        <f>IFERROR(__xludf.DUMMYFUNCTION("""COMPUTED_VALUE"""),0.0)</f>
        <v>0</v>
      </c>
      <c r="X131" s="16">
        <f>IFERROR(__xludf.DUMMYFUNCTION("""COMPUTED_VALUE"""),0.0)</f>
        <v>0</v>
      </c>
      <c r="Y131" s="16">
        <f>IFERROR(__xludf.DUMMYFUNCTION("""COMPUTED_VALUE"""),0.0)</f>
        <v>0</v>
      </c>
      <c r="Z131" s="16">
        <f>IFERROR(__xludf.DUMMYFUNCTION("""COMPUTED_VALUE"""),0.0)</f>
        <v>0</v>
      </c>
      <c r="AA131" s="16">
        <f>IFERROR(__xludf.DUMMYFUNCTION("""COMPUTED_VALUE"""),0.0)</f>
        <v>0</v>
      </c>
      <c r="AB131" s="16">
        <f>IFERROR(__xludf.DUMMYFUNCTION("""COMPUTED_VALUE"""),0.0)</f>
        <v>0</v>
      </c>
      <c r="AC131" s="16">
        <f>IFERROR(__xludf.DUMMYFUNCTION("""COMPUTED_VALUE"""),0.0)</f>
        <v>0</v>
      </c>
      <c r="AD131" s="16">
        <f>IFERROR(__xludf.DUMMYFUNCTION("""COMPUTED_VALUE"""),0.0)</f>
        <v>0</v>
      </c>
      <c r="AE131" s="16">
        <f>IFERROR(__xludf.DUMMYFUNCTION("""COMPUTED_VALUE"""),0.0)</f>
        <v>0</v>
      </c>
      <c r="AF131" s="16">
        <f>IFERROR(__xludf.DUMMYFUNCTION("""COMPUTED_VALUE"""),0.0)</f>
        <v>0</v>
      </c>
      <c r="AG131" s="16">
        <f>IFERROR(__xludf.DUMMYFUNCTION("""COMPUTED_VALUE"""),0.0)</f>
        <v>0</v>
      </c>
      <c r="AH131" s="16">
        <f>IFERROR(__xludf.DUMMYFUNCTION("""COMPUTED_VALUE"""),0.0)</f>
        <v>0</v>
      </c>
    </row>
    <row r="132">
      <c r="A132" s="16" t="str">
        <f>IFERROR(__xludf.DUMMYFUNCTION("""COMPUTED_VALUE"""),"69e29d606b65c300fffe9a9af149d4b81b170a78")</f>
        <v>69e29d606b65c300fffe9a9af149d4b81b170a78</v>
      </c>
      <c r="B132" s="16" t="str">
        <f>IFERROR(__xludf.DUMMYFUNCTION("""COMPUTED_VALUE"""),"Unexpectedly Entwined")</f>
        <v>Unexpectedly Entwined</v>
      </c>
      <c r="C132" s="16" t="str">
        <f>IFERROR(__xludf.DUMMYFUNCTION("""COMPUTED_VALUE"""),"Romance")</f>
        <v>Romance</v>
      </c>
      <c r="D132" s="16">
        <f>IFERROR(__xludf.DUMMYFUNCTION("""COMPUTED_VALUE"""),364.0)</f>
        <v>364</v>
      </c>
      <c r="E132" s="16">
        <f>IFERROR(__xludf.DUMMYFUNCTION("""COMPUTED_VALUE"""),0.967032967032967)</f>
        <v>0.967032967</v>
      </c>
      <c r="F132" s="16">
        <f>IFERROR(__xludf.DUMMYFUNCTION("""COMPUTED_VALUE"""),0.445054945054945)</f>
        <v>0.4450549451</v>
      </c>
      <c r="G132" s="16">
        <f>IFERROR(__xludf.DUMMYFUNCTION("""COMPUTED_VALUE"""),0.387362637362637)</f>
        <v>0.3873626374</v>
      </c>
      <c r="H132" s="16">
        <f>IFERROR(__xludf.DUMMYFUNCTION("""COMPUTED_VALUE"""),0.346153846153846)</f>
        <v>0.3461538462</v>
      </c>
      <c r="I132" s="16">
        <f>IFERROR(__xludf.DUMMYFUNCTION("""COMPUTED_VALUE"""),0.321428571428571)</f>
        <v>0.3214285714</v>
      </c>
      <c r="J132" s="16">
        <f>IFERROR(__xludf.DUMMYFUNCTION("""COMPUTED_VALUE"""),0.288461538461538)</f>
        <v>0.2884615385</v>
      </c>
      <c r="K132" s="16">
        <f>IFERROR(__xludf.DUMMYFUNCTION("""COMPUTED_VALUE"""),0.266483516483516)</f>
        <v>0.2664835165</v>
      </c>
      <c r="L132" s="16">
        <f>IFERROR(__xludf.DUMMYFUNCTION("""COMPUTED_VALUE"""),0.239669421487603)</f>
        <v>0.2396694215</v>
      </c>
      <c r="M132" s="16">
        <f>IFERROR(__xludf.DUMMYFUNCTION("""COMPUTED_VALUE"""),0.201101928374655)</f>
        <v>0.2011019284</v>
      </c>
      <c r="N132" s="16">
        <f>IFERROR(__xludf.DUMMYFUNCTION("""COMPUTED_VALUE"""),0.201657458563535)</f>
        <v>0.2016574586</v>
      </c>
      <c r="O132" s="16">
        <f>IFERROR(__xludf.DUMMYFUNCTION("""COMPUTED_VALUE"""),0.179775280898876)</f>
        <v>0.1797752809</v>
      </c>
      <c r="P132" s="16">
        <f>IFERROR(__xludf.DUMMYFUNCTION("""COMPUTED_VALUE"""),0.108571428571428)</f>
        <v>0.1085714286</v>
      </c>
      <c r="Q132" s="16">
        <f>IFERROR(__xludf.DUMMYFUNCTION("""COMPUTED_VALUE"""),0.103734439834024)</f>
        <v>0.1037344398</v>
      </c>
      <c r="R132" s="16">
        <f>IFERROR(__xludf.DUMMYFUNCTION("""COMPUTED_VALUE"""),0.0970873786407767)</f>
        <v>0.09708737864</v>
      </c>
      <c r="S132" s="16">
        <f>IFERROR(__xludf.DUMMYFUNCTION("""COMPUTED_VALUE"""),0.112676056338028)</f>
        <v>0.1126760563</v>
      </c>
      <c r="T132" s="16">
        <f>IFERROR(__xludf.DUMMYFUNCTION("""COMPUTED_VALUE"""),0.0408163265306122)</f>
        <v>0.04081632653</v>
      </c>
      <c r="U132" s="16">
        <f>IFERROR(__xludf.DUMMYFUNCTION("""COMPUTED_VALUE"""),0.0)</f>
        <v>0</v>
      </c>
      <c r="V132" s="16">
        <f>IFERROR(__xludf.DUMMYFUNCTION("""COMPUTED_VALUE"""),0.0)</f>
        <v>0</v>
      </c>
      <c r="W132" s="16">
        <f>IFERROR(__xludf.DUMMYFUNCTION("""COMPUTED_VALUE"""),0.0)</f>
        <v>0</v>
      </c>
      <c r="X132" s="16">
        <f>IFERROR(__xludf.DUMMYFUNCTION("""COMPUTED_VALUE"""),0.0)</f>
        <v>0</v>
      </c>
      <c r="Y132" s="16">
        <f>IFERROR(__xludf.DUMMYFUNCTION("""COMPUTED_VALUE"""),0.0)</f>
        <v>0</v>
      </c>
      <c r="Z132" s="16">
        <f>IFERROR(__xludf.DUMMYFUNCTION("""COMPUTED_VALUE"""),0.0)</f>
        <v>0</v>
      </c>
      <c r="AA132" s="16">
        <f>IFERROR(__xludf.DUMMYFUNCTION("""COMPUTED_VALUE"""),0.0)</f>
        <v>0</v>
      </c>
      <c r="AB132" s="16">
        <f>IFERROR(__xludf.DUMMYFUNCTION("""COMPUTED_VALUE"""),0.0)</f>
        <v>0</v>
      </c>
      <c r="AC132" s="16">
        <f>IFERROR(__xludf.DUMMYFUNCTION("""COMPUTED_VALUE"""),0.0)</f>
        <v>0</v>
      </c>
      <c r="AD132" s="16">
        <f>IFERROR(__xludf.DUMMYFUNCTION("""COMPUTED_VALUE"""),0.0)</f>
        <v>0</v>
      </c>
      <c r="AE132" s="16">
        <f>IFERROR(__xludf.DUMMYFUNCTION("""COMPUTED_VALUE"""),0.0)</f>
        <v>0</v>
      </c>
      <c r="AF132" s="16">
        <f>IFERROR(__xludf.DUMMYFUNCTION("""COMPUTED_VALUE"""),0.0)</f>
        <v>0</v>
      </c>
      <c r="AG132" s="16">
        <f>IFERROR(__xludf.DUMMYFUNCTION("""COMPUTED_VALUE"""),0.0)</f>
        <v>0</v>
      </c>
      <c r="AH132" s="16">
        <f>IFERROR(__xludf.DUMMYFUNCTION("""COMPUTED_VALUE"""),0.0)</f>
        <v>0</v>
      </c>
    </row>
    <row r="133">
      <c r="A133" s="16" t="str">
        <f>IFERROR(__xludf.DUMMYFUNCTION("""COMPUTED_VALUE"""),"69e2eb3772b49e749fed57ae96a86147dde154cb")</f>
        <v>69e2eb3772b49e749fed57ae96a86147dde154cb</v>
      </c>
      <c r="B133" s="16" t="str">
        <f>IFERROR(__xludf.DUMMYFUNCTION("""COMPUTED_VALUE"""),"The Alpha She Chose")</f>
        <v>The Alpha She Chose</v>
      </c>
      <c r="C133" s="16" t="str">
        <f>IFERROR(__xludf.DUMMYFUNCTION("""COMPUTED_VALUE"""),"Romantasy")</f>
        <v>Romantasy</v>
      </c>
      <c r="D133" s="16">
        <f>IFERROR(__xludf.DUMMYFUNCTION("""COMPUTED_VALUE"""),1220.0)</f>
        <v>1220</v>
      </c>
      <c r="E133" s="16">
        <f>IFERROR(__xludf.DUMMYFUNCTION("""COMPUTED_VALUE"""),0.948360655737704)</f>
        <v>0.9483606557</v>
      </c>
      <c r="F133" s="16">
        <f>IFERROR(__xludf.DUMMYFUNCTION("""COMPUTED_VALUE"""),0.581967213114754)</f>
        <v>0.5819672131</v>
      </c>
      <c r="G133" s="16">
        <f>IFERROR(__xludf.DUMMYFUNCTION("""COMPUTED_VALUE"""),0.545901639344262)</f>
        <v>0.5459016393</v>
      </c>
      <c r="H133" s="16">
        <f>IFERROR(__xludf.DUMMYFUNCTION("""COMPUTED_VALUE"""),0.509046052631579)</f>
        <v>0.5090460526</v>
      </c>
      <c r="I133" s="16">
        <f>IFERROR(__xludf.DUMMYFUNCTION("""COMPUTED_VALUE"""),0.481818181818181)</f>
        <v>0.4818181818</v>
      </c>
      <c r="J133" s="16">
        <f>IFERROR(__xludf.DUMMYFUNCTION("""COMPUTED_VALUE"""),0.462114904246461)</f>
        <v>0.4621149042</v>
      </c>
      <c r="K133" s="16">
        <f>IFERROR(__xludf.DUMMYFUNCTION("""COMPUTED_VALUE"""),0.439126784214945)</f>
        <v>0.4391267842</v>
      </c>
      <c r="L133" s="16">
        <f>IFERROR(__xludf.DUMMYFUNCTION("""COMPUTED_VALUE"""),0.425925925925925)</f>
        <v>0.4259259259</v>
      </c>
      <c r="M133" s="16">
        <f>IFERROR(__xludf.DUMMYFUNCTION("""COMPUTED_VALUE"""),0.413851351351351)</f>
        <v>0.4138513514</v>
      </c>
      <c r="N133" s="16">
        <f>IFERROR(__xludf.DUMMYFUNCTION("""COMPUTED_VALUE"""),0.398631308810949)</f>
        <v>0.3986313088</v>
      </c>
      <c r="O133" s="16">
        <f>IFERROR(__xludf.DUMMYFUNCTION("""COMPUTED_VALUE"""),0.36982520699172)</f>
        <v>0.369825207</v>
      </c>
      <c r="P133" s="16">
        <f>IFERROR(__xludf.DUMMYFUNCTION("""COMPUTED_VALUE"""),0.305582761998041)</f>
        <v>0.305582762</v>
      </c>
      <c r="Q133" s="16">
        <f>IFERROR(__xludf.DUMMYFUNCTION("""COMPUTED_VALUE"""),0.258285714285714)</f>
        <v>0.2582857143</v>
      </c>
      <c r="R133" s="16">
        <f>IFERROR(__xludf.DUMMYFUNCTION("""COMPUTED_VALUE"""),0.21517027863777)</f>
        <v>0.2151702786</v>
      </c>
      <c r="S133" s="16">
        <f>IFERROR(__xludf.DUMMYFUNCTION("""COMPUTED_VALUE"""),0.16)</f>
        <v>0.16</v>
      </c>
      <c r="T133" s="16">
        <f>IFERROR(__xludf.DUMMYFUNCTION("""COMPUTED_VALUE"""),0.0)</f>
        <v>0</v>
      </c>
      <c r="U133" s="16">
        <f>IFERROR(__xludf.DUMMYFUNCTION("""COMPUTED_VALUE"""),0.0)</f>
        <v>0</v>
      </c>
      <c r="V133" s="16">
        <f>IFERROR(__xludf.DUMMYFUNCTION("""COMPUTED_VALUE"""),0.0)</f>
        <v>0</v>
      </c>
      <c r="W133" s="16">
        <f>IFERROR(__xludf.DUMMYFUNCTION("""COMPUTED_VALUE"""),0.0)</f>
        <v>0</v>
      </c>
      <c r="X133" s="16">
        <f>IFERROR(__xludf.DUMMYFUNCTION("""COMPUTED_VALUE"""),0.0)</f>
        <v>0</v>
      </c>
      <c r="Y133" s="16">
        <f>IFERROR(__xludf.DUMMYFUNCTION("""COMPUTED_VALUE"""),0.0)</f>
        <v>0</v>
      </c>
      <c r="Z133" s="16">
        <f>IFERROR(__xludf.DUMMYFUNCTION("""COMPUTED_VALUE"""),0.0)</f>
        <v>0</v>
      </c>
      <c r="AA133" s="16">
        <f>IFERROR(__xludf.DUMMYFUNCTION("""COMPUTED_VALUE"""),0.0)</f>
        <v>0</v>
      </c>
      <c r="AB133" s="16">
        <f>IFERROR(__xludf.DUMMYFUNCTION("""COMPUTED_VALUE"""),0.0)</f>
        <v>0</v>
      </c>
      <c r="AC133" s="16">
        <f>IFERROR(__xludf.DUMMYFUNCTION("""COMPUTED_VALUE"""),0.0)</f>
        <v>0</v>
      </c>
      <c r="AD133" s="16">
        <f>IFERROR(__xludf.DUMMYFUNCTION("""COMPUTED_VALUE"""),0.0)</f>
        <v>0</v>
      </c>
      <c r="AE133" s="16">
        <f>IFERROR(__xludf.DUMMYFUNCTION("""COMPUTED_VALUE"""),0.0)</f>
        <v>0</v>
      </c>
      <c r="AF133" s="16">
        <f>IFERROR(__xludf.DUMMYFUNCTION("""COMPUTED_VALUE"""),0.0)</f>
        <v>0</v>
      </c>
      <c r="AG133" s="16">
        <f>IFERROR(__xludf.DUMMYFUNCTION("""COMPUTED_VALUE"""),0.0)</f>
        <v>0</v>
      </c>
      <c r="AH133" s="16">
        <f>IFERROR(__xludf.DUMMYFUNCTION("""COMPUTED_VALUE"""),0.0)</f>
        <v>0</v>
      </c>
    </row>
    <row r="134">
      <c r="A134" s="16" t="str">
        <f>IFERROR(__xludf.DUMMYFUNCTION("""COMPUTED_VALUE"""),"6c13ac0e01a86e60a2d75bbcee5bb8f9be472700")</f>
        <v>6c13ac0e01a86e60a2d75bbcee5bb8f9be472700</v>
      </c>
      <c r="B134" s="16" t="str">
        <f>IFERROR(__xludf.DUMMYFUNCTION("""COMPUTED_VALUE"""),"Fated to You")</f>
        <v>Fated to You</v>
      </c>
      <c r="C134" s="16" t="str">
        <f>IFERROR(__xludf.DUMMYFUNCTION("""COMPUTED_VALUE"""),"Romance")</f>
        <v>Romance</v>
      </c>
      <c r="D134" s="16">
        <f>IFERROR(__xludf.DUMMYFUNCTION("""COMPUTED_VALUE"""),198.0)</f>
        <v>198</v>
      </c>
      <c r="E134" s="16">
        <f>IFERROR(__xludf.DUMMYFUNCTION("""COMPUTED_VALUE"""),0.398989898989899)</f>
        <v>0.398989899</v>
      </c>
      <c r="F134" s="16">
        <f>IFERROR(__xludf.DUMMYFUNCTION("""COMPUTED_VALUE"""),0.252525252525252)</f>
        <v>0.2525252525</v>
      </c>
      <c r="G134" s="16">
        <f>IFERROR(__xludf.DUMMYFUNCTION("""COMPUTED_VALUE"""),0.237373737373737)</f>
        <v>0.2373737374</v>
      </c>
      <c r="H134" s="16">
        <f>IFERROR(__xludf.DUMMYFUNCTION("""COMPUTED_VALUE"""),0.222222222222222)</f>
        <v>0.2222222222</v>
      </c>
      <c r="I134" s="16">
        <f>IFERROR(__xludf.DUMMYFUNCTION("""COMPUTED_VALUE"""),0.196969696969696)</f>
        <v>0.196969697</v>
      </c>
      <c r="J134" s="16">
        <f>IFERROR(__xludf.DUMMYFUNCTION("""COMPUTED_VALUE"""),0.192893401015228)</f>
        <v>0.192893401</v>
      </c>
      <c r="K134" s="16">
        <f>IFERROR(__xludf.DUMMYFUNCTION("""COMPUTED_VALUE"""),0.172588832487309)</f>
        <v>0.1725888325</v>
      </c>
      <c r="L134" s="16">
        <f>IFERROR(__xludf.DUMMYFUNCTION("""COMPUTED_VALUE"""),0.182741116751269)</f>
        <v>0.1827411168</v>
      </c>
      <c r="M134" s="16">
        <f>IFERROR(__xludf.DUMMYFUNCTION("""COMPUTED_VALUE"""),0.167512690355329)</f>
        <v>0.1675126904</v>
      </c>
      <c r="N134" s="16">
        <f>IFERROR(__xludf.DUMMYFUNCTION("""COMPUTED_VALUE"""),0.194871794871794)</f>
        <v>0.1948717949</v>
      </c>
      <c r="O134" s="16">
        <f>IFERROR(__xludf.DUMMYFUNCTION("""COMPUTED_VALUE"""),0.170103092783505)</f>
        <v>0.1701030928</v>
      </c>
      <c r="P134" s="16">
        <f>IFERROR(__xludf.DUMMYFUNCTION("""COMPUTED_VALUE"""),0.178947368421052)</f>
        <v>0.1789473684</v>
      </c>
      <c r="Q134" s="16">
        <f>IFERROR(__xludf.DUMMYFUNCTION("""COMPUTED_VALUE"""),0.0894736842105263)</f>
        <v>0.08947368421</v>
      </c>
      <c r="R134" s="16">
        <f>IFERROR(__xludf.DUMMYFUNCTION("""COMPUTED_VALUE"""),0.0638297872340425)</f>
        <v>0.06382978723</v>
      </c>
      <c r="S134" s="16">
        <f>IFERROR(__xludf.DUMMYFUNCTION("""COMPUTED_VALUE"""),0.064516129032258)</f>
        <v>0.06451612903</v>
      </c>
      <c r="T134" s="16">
        <f>IFERROR(__xludf.DUMMYFUNCTION("""COMPUTED_VALUE"""),0.042016806722689)</f>
        <v>0.04201680672</v>
      </c>
      <c r="U134" s="16">
        <f>IFERROR(__xludf.DUMMYFUNCTION("""COMPUTED_VALUE"""),0.0172413793103448)</f>
        <v>0.01724137931</v>
      </c>
      <c r="V134" s="16">
        <f>IFERROR(__xludf.DUMMYFUNCTION("""COMPUTED_VALUE"""),0.0260869565217391)</f>
        <v>0.02608695652</v>
      </c>
      <c r="W134" s="16">
        <f>IFERROR(__xludf.DUMMYFUNCTION("""COMPUTED_VALUE"""),0.018018018018018)</f>
        <v>0.01801801802</v>
      </c>
      <c r="X134" s="16">
        <f>IFERROR(__xludf.DUMMYFUNCTION("""COMPUTED_VALUE"""),0.018348623853211)</f>
        <v>0.01834862385</v>
      </c>
      <c r="Y134" s="16">
        <f>IFERROR(__xludf.DUMMYFUNCTION("""COMPUTED_VALUE"""),0.0)</f>
        <v>0</v>
      </c>
      <c r="Z134" s="16">
        <f>IFERROR(__xludf.DUMMYFUNCTION("""COMPUTED_VALUE"""),0.0)</f>
        <v>0</v>
      </c>
      <c r="AA134" s="16">
        <f>IFERROR(__xludf.DUMMYFUNCTION("""COMPUTED_VALUE"""),0.0357142857142857)</f>
        <v>0.03571428571</v>
      </c>
      <c r="AB134" s="16">
        <f>IFERROR(__xludf.DUMMYFUNCTION("""COMPUTED_VALUE"""),0.037037037037037)</f>
        <v>0.03703703704</v>
      </c>
      <c r="AC134" s="16">
        <f>IFERROR(__xludf.DUMMYFUNCTION("""COMPUTED_VALUE"""),0.0384615384615384)</f>
        <v>0.03846153846</v>
      </c>
      <c r="AD134" s="16">
        <f>IFERROR(__xludf.DUMMYFUNCTION("""COMPUTED_VALUE"""),0.0416666666666666)</f>
        <v>0.04166666667</v>
      </c>
      <c r="AE134" s="16">
        <f>IFERROR(__xludf.DUMMYFUNCTION("""COMPUTED_VALUE"""),0.0)</f>
        <v>0</v>
      </c>
      <c r="AF134" s="16">
        <f>IFERROR(__xludf.DUMMYFUNCTION("""COMPUTED_VALUE"""),0.0)</f>
        <v>0</v>
      </c>
      <c r="AG134" s="16">
        <f>IFERROR(__xludf.DUMMYFUNCTION("""COMPUTED_VALUE"""),0.0)</f>
        <v>0</v>
      </c>
      <c r="AH134" s="16">
        <f>IFERROR(__xludf.DUMMYFUNCTION("""COMPUTED_VALUE"""),0.0)</f>
        <v>0</v>
      </c>
    </row>
    <row r="135">
      <c r="A135" s="16" t="str">
        <f>IFERROR(__xludf.DUMMYFUNCTION("""COMPUTED_VALUE"""),"6e9cd8b5ce597e73f12a6a180c18888a89f8aac3")</f>
        <v>6e9cd8b5ce597e73f12a6a180c18888a89f8aac3</v>
      </c>
      <c r="B135" s="16" t="str">
        <f>IFERROR(__xludf.DUMMYFUNCTION("""COMPUTED_VALUE"""),"Sovereign Retribution")</f>
        <v>Sovereign Retribution</v>
      </c>
      <c r="C135" s="16" t="str">
        <f>IFERROR(__xludf.DUMMYFUNCTION("""COMPUTED_VALUE"""),"Drama")</f>
        <v>Drama</v>
      </c>
      <c r="D135" s="16">
        <f>IFERROR(__xludf.DUMMYFUNCTION("""COMPUTED_VALUE"""),485.0)</f>
        <v>485</v>
      </c>
      <c r="E135" s="16">
        <f>IFERROR(__xludf.DUMMYFUNCTION("""COMPUTED_VALUE"""),0.94020618556701)</f>
        <v>0.9402061856</v>
      </c>
      <c r="F135" s="16">
        <f>IFERROR(__xludf.DUMMYFUNCTION("""COMPUTED_VALUE"""),0.635051546391752)</f>
        <v>0.6350515464</v>
      </c>
      <c r="G135" s="16">
        <f>IFERROR(__xludf.DUMMYFUNCTION("""COMPUTED_VALUE"""),0.59381443298969)</f>
        <v>0.593814433</v>
      </c>
      <c r="H135" s="16">
        <f>IFERROR(__xludf.DUMMYFUNCTION("""COMPUTED_VALUE"""),0.554639175257732)</f>
        <v>0.5546391753</v>
      </c>
      <c r="I135" s="16">
        <f>IFERROR(__xludf.DUMMYFUNCTION("""COMPUTED_VALUE"""),0.531958762886597)</f>
        <v>0.5319587629</v>
      </c>
      <c r="J135" s="16">
        <f>IFERROR(__xludf.DUMMYFUNCTION("""COMPUTED_VALUE"""),0.501030927835051)</f>
        <v>0.5010309278</v>
      </c>
      <c r="K135" s="16">
        <f>IFERROR(__xludf.DUMMYFUNCTION("""COMPUTED_VALUE"""),0.476288659793814)</f>
        <v>0.4762886598</v>
      </c>
      <c r="L135" s="16">
        <f>IFERROR(__xludf.DUMMYFUNCTION("""COMPUTED_VALUE"""),0.459793814432989)</f>
        <v>0.4597938144</v>
      </c>
      <c r="M135" s="16">
        <f>IFERROR(__xludf.DUMMYFUNCTION("""COMPUTED_VALUE"""),0.452479338842975)</f>
        <v>0.4524793388</v>
      </c>
      <c r="N135" s="16">
        <f>IFERROR(__xludf.DUMMYFUNCTION("""COMPUTED_VALUE"""),0.430641821946169)</f>
        <v>0.4306418219</v>
      </c>
      <c r="O135" s="16">
        <f>IFERROR(__xludf.DUMMYFUNCTION("""COMPUTED_VALUE"""),0.369098712446351)</f>
        <v>0.3690987124</v>
      </c>
      <c r="P135" s="16">
        <f>IFERROR(__xludf.DUMMYFUNCTION("""COMPUTED_VALUE"""),0.290023201856148)</f>
        <v>0.2900232019</v>
      </c>
      <c r="Q135" s="16">
        <f>IFERROR(__xludf.DUMMYFUNCTION("""COMPUTED_VALUE"""),0.223333333333333)</f>
        <v>0.2233333333</v>
      </c>
      <c r="R135" s="16">
        <f>IFERROR(__xludf.DUMMYFUNCTION("""COMPUTED_VALUE"""),0.304347826086956)</f>
        <v>0.3043478261</v>
      </c>
      <c r="S135" s="16">
        <f>IFERROR(__xludf.DUMMYFUNCTION("""COMPUTED_VALUE"""),0.0)</f>
        <v>0</v>
      </c>
      <c r="T135" s="16">
        <f>IFERROR(__xludf.DUMMYFUNCTION("""COMPUTED_VALUE"""),0.0)</f>
        <v>0</v>
      </c>
      <c r="U135" s="16">
        <f>IFERROR(__xludf.DUMMYFUNCTION("""COMPUTED_VALUE"""),0.0)</f>
        <v>0</v>
      </c>
      <c r="V135" s="16">
        <f>IFERROR(__xludf.DUMMYFUNCTION("""COMPUTED_VALUE"""),0.0)</f>
        <v>0</v>
      </c>
      <c r="W135" s="16">
        <f>IFERROR(__xludf.DUMMYFUNCTION("""COMPUTED_VALUE"""),0.0)</f>
        <v>0</v>
      </c>
      <c r="X135" s="16">
        <f>IFERROR(__xludf.DUMMYFUNCTION("""COMPUTED_VALUE"""),0.0)</f>
        <v>0</v>
      </c>
      <c r="Y135" s="16">
        <f>IFERROR(__xludf.DUMMYFUNCTION("""COMPUTED_VALUE"""),0.0)</f>
        <v>0</v>
      </c>
      <c r="Z135" s="16">
        <f>IFERROR(__xludf.DUMMYFUNCTION("""COMPUTED_VALUE"""),0.0)</f>
        <v>0</v>
      </c>
      <c r="AA135" s="16">
        <f>IFERROR(__xludf.DUMMYFUNCTION("""COMPUTED_VALUE"""),0.0)</f>
        <v>0</v>
      </c>
      <c r="AB135" s="16">
        <f>IFERROR(__xludf.DUMMYFUNCTION("""COMPUTED_VALUE"""),0.0)</f>
        <v>0</v>
      </c>
      <c r="AC135" s="16">
        <f>IFERROR(__xludf.DUMMYFUNCTION("""COMPUTED_VALUE"""),0.0)</f>
        <v>0</v>
      </c>
      <c r="AD135" s="16">
        <f>IFERROR(__xludf.DUMMYFUNCTION("""COMPUTED_VALUE"""),0.0)</f>
        <v>0</v>
      </c>
      <c r="AE135" s="16">
        <f>IFERROR(__xludf.DUMMYFUNCTION("""COMPUTED_VALUE"""),0.0)</f>
        <v>0</v>
      </c>
      <c r="AF135" s="16">
        <f>IFERROR(__xludf.DUMMYFUNCTION("""COMPUTED_VALUE"""),0.0)</f>
        <v>0</v>
      </c>
      <c r="AG135" s="16">
        <f>IFERROR(__xludf.DUMMYFUNCTION("""COMPUTED_VALUE"""),0.0)</f>
        <v>0</v>
      </c>
      <c r="AH135" s="16">
        <f>IFERROR(__xludf.DUMMYFUNCTION("""COMPUTED_VALUE"""),0.0)</f>
        <v>0</v>
      </c>
    </row>
    <row r="136">
      <c r="A136" s="16" t="str">
        <f>IFERROR(__xludf.DUMMYFUNCTION("""COMPUTED_VALUE"""),"6f82cdfa2792a89aec9172918610c124246ad8bd")</f>
        <v>6f82cdfa2792a89aec9172918610c124246ad8bd</v>
      </c>
      <c r="B136" s="16" t="str">
        <f>IFERROR(__xludf.DUMMYFUNCTION("""COMPUTED_VALUE"""),"Hector's Rise to Power")</f>
        <v>Hector's Rise to Power</v>
      </c>
      <c r="C136" s="16" t="str">
        <f>IFERROR(__xludf.DUMMYFUNCTION("""COMPUTED_VALUE"""),"Drama")</f>
        <v>Drama</v>
      </c>
      <c r="D136" s="16">
        <f>IFERROR(__xludf.DUMMYFUNCTION("""COMPUTED_VALUE"""),64.0)</f>
        <v>64</v>
      </c>
      <c r="E136" s="16">
        <f>IFERROR(__xludf.DUMMYFUNCTION("""COMPUTED_VALUE"""),0.96875)</f>
        <v>0.96875</v>
      </c>
      <c r="F136" s="16">
        <f>IFERROR(__xludf.DUMMYFUNCTION("""COMPUTED_VALUE"""),0.484375)</f>
        <v>0.484375</v>
      </c>
      <c r="G136" s="16">
        <f>IFERROR(__xludf.DUMMYFUNCTION("""COMPUTED_VALUE"""),0.3125)</f>
        <v>0.3125</v>
      </c>
      <c r="H136" s="16">
        <f>IFERROR(__xludf.DUMMYFUNCTION("""COMPUTED_VALUE"""),0.25)</f>
        <v>0.25</v>
      </c>
      <c r="I136" s="16">
        <f>IFERROR(__xludf.DUMMYFUNCTION("""COMPUTED_VALUE"""),0.25)</f>
        <v>0.25</v>
      </c>
      <c r="J136" s="16">
        <f>IFERROR(__xludf.DUMMYFUNCTION("""COMPUTED_VALUE"""),0.21875)</f>
        <v>0.21875</v>
      </c>
      <c r="K136" s="16">
        <f>IFERROR(__xludf.DUMMYFUNCTION("""COMPUTED_VALUE"""),0.21875)</f>
        <v>0.21875</v>
      </c>
      <c r="L136" s="16">
        <f>IFERROR(__xludf.DUMMYFUNCTION("""COMPUTED_VALUE"""),0.1875)</f>
        <v>0.1875</v>
      </c>
      <c r="M136" s="16">
        <f>IFERROR(__xludf.DUMMYFUNCTION("""COMPUTED_VALUE"""),0.140625)</f>
        <v>0.140625</v>
      </c>
      <c r="N136" s="16">
        <f>IFERROR(__xludf.DUMMYFUNCTION("""COMPUTED_VALUE"""),0.140625)</f>
        <v>0.140625</v>
      </c>
      <c r="O136" s="16">
        <f>IFERROR(__xludf.DUMMYFUNCTION("""COMPUTED_VALUE"""),0.137931034482758)</f>
        <v>0.1379310345</v>
      </c>
      <c r="P136" s="16">
        <f>IFERROR(__xludf.DUMMYFUNCTION("""COMPUTED_VALUE"""),0.214285714285714)</f>
        <v>0.2142857143</v>
      </c>
      <c r="Q136" s="16">
        <f>IFERROR(__xludf.DUMMYFUNCTION("""COMPUTED_VALUE"""),0.0909090909090909)</f>
        <v>0.09090909091</v>
      </c>
      <c r="R136" s="16">
        <f>IFERROR(__xludf.DUMMYFUNCTION("""COMPUTED_VALUE"""),0.0)</f>
        <v>0</v>
      </c>
      <c r="S136" s="16">
        <f>IFERROR(__xludf.DUMMYFUNCTION("""COMPUTED_VALUE"""),0.0)</f>
        <v>0</v>
      </c>
      <c r="T136" s="16">
        <f>IFERROR(__xludf.DUMMYFUNCTION("""COMPUTED_VALUE"""),0.0)</f>
        <v>0</v>
      </c>
      <c r="U136" s="16">
        <f>IFERROR(__xludf.DUMMYFUNCTION("""COMPUTED_VALUE"""),0.0)</f>
        <v>0</v>
      </c>
      <c r="V136" s="16">
        <f>IFERROR(__xludf.DUMMYFUNCTION("""COMPUTED_VALUE"""),0.0)</f>
        <v>0</v>
      </c>
      <c r="W136" s="16">
        <f>IFERROR(__xludf.DUMMYFUNCTION("""COMPUTED_VALUE"""),0.0)</f>
        <v>0</v>
      </c>
      <c r="X136" s="16">
        <f>IFERROR(__xludf.DUMMYFUNCTION("""COMPUTED_VALUE"""),0.0)</f>
        <v>0</v>
      </c>
      <c r="Y136" s="16">
        <f>IFERROR(__xludf.DUMMYFUNCTION("""COMPUTED_VALUE"""),0.0)</f>
        <v>0</v>
      </c>
      <c r="Z136" s="16">
        <f>IFERROR(__xludf.DUMMYFUNCTION("""COMPUTED_VALUE"""),0.0)</f>
        <v>0</v>
      </c>
      <c r="AA136" s="16">
        <f>IFERROR(__xludf.DUMMYFUNCTION("""COMPUTED_VALUE"""),0.0)</f>
        <v>0</v>
      </c>
      <c r="AB136" s="16">
        <f>IFERROR(__xludf.DUMMYFUNCTION("""COMPUTED_VALUE"""),0.0)</f>
        <v>0</v>
      </c>
      <c r="AC136" s="16">
        <f>IFERROR(__xludf.DUMMYFUNCTION("""COMPUTED_VALUE"""),0.0)</f>
        <v>0</v>
      </c>
      <c r="AD136" s="16">
        <f>IFERROR(__xludf.DUMMYFUNCTION("""COMPUTED_VALUE"""),0.0)</f>
        <v>0</v>
      </c>
      <c r="AE136" s="16">
        <f>IFERROR(__xludf.DUMMYFUNCTION("""COMPUTED_VALUE"""),0.0)</f>
        <v>0</v>
      </c>
      <c r="AF136" s="16">
        <f>IFERROR(__xludf.DUMMYFUNCTION("""COMPUTED_VALUE"""),0.0)</f>
        <v>0</v>
      </c>
      <c r="AG136" s="16">
        <f>IFERROR(__xludf.DUMMYFUNCTION("""COMPUTED_VALUE"""),0.0)</f>
        <v>0</v>
      </c>
      <c r="AH136" s="16">
        <f>IFERROR(__xludf.DUMMYFUNCTION("""COMPUTED_VALUE"""),0.0)</f>
        <v>0</v>
      </c>
    </row>
    <row r="137">
      <c r="A137" s="16" t="str">
        <f>IFERROR(__xludf.DUMMYFUNCTION("""COMPUTED_VALUE"""),"6f907f1e2ab28d03dcc8246bf380f11b97d00c06")</f>
        <v>6f907f1e2ab28d03dcc8246bf380f11b97d00c06</v>
      </c>
      <c r="B137" s="16" t="str">
        <f>IFERROR(__xludf.DUMMYFUNCTION("""COMPUTED_VALUE"""),"CEO Inherited Bride ")</f>
        <v>CEO Inherited Bride </v>
      </c>
      <c r="C137" s="16" t="str">
        <f>IFERROR(__xludf.DUMMYFUNCTION("""COMPUTED_VALUE"""),"Romance")</f>
        <v>Romance</v>
      </c>
      <c r="D137" s="16">
        <f>IFERROR(__xludf.DUMMYFUNCTION("""COMPUTED_VALUE"""),263.0)</f>
        <v>263</v>
      </c>
      <c r="E137" s="16">
        <f>IFERROR(__xludf.DUMMYFUNCTION("""COMPUTED_VALUE"""),0.973384030418251)</f>
        <v>0.9733840304</v>
      </c>
      <c r="F137" s="16">
        <f>IFERROR(__xludf.DUMMYFUNCTION("""COMPUTED_VALUE"""),0.680608365019011)</f>
        <v>0.680608365</v>
      </c>
      <c r="G137" s="16">
        <f>IFERROR(__xludf.DUMMYFUNCTION("""COMPUTED_VALUE"""),0.608365019011406)</f>
        <v>0.608365019</v>
      </c>
      <c r="H137" s="16">
        <f>IFERROR(__xludf.DUMMYFUNCTION("""COMPUTED_VALUE"""),0.593155893536121)</f>
        <v>0.5931558935</v>
      </c>
      <c r="I137" s="16">
        <f>IFERROR(__xludf.DUMMYFUNCTION("""COMPUTED_VALUE"""),0.570342205323193)</f>
        <v>0.5703422053</v>
      </c>
      <c r="J137" s="16">
        <f>IFERROR(__xludf.DUMMYFUNCTION("""COMPUTED_VALUE"""),0.509505703422053)</f>
        <v>0.5095057034</v>
      </c>
      <c r="K137" s="16">
        <f>IFERROR(__xludf.DUMMYFUNCTION("""COMPUTED_VALUE"""),0.494296577946768)</f>
        <v>0.4942965779</v>
      </c>
      <c r="L137" s="16">
        <f>IFERROR(__xludf.DUMMYFUNCTION("""COMPUTED_VALUE"""),0.467680608365019)</f>
        <v>0.4676806084</v>
      </c>
      <c r="M137" s="16">
        <f>IFERROR(__xludf.DUMMYFUNCTION("""COMPUTED_VALUE"""),0.460076045627376)</f>
        <v>0.4600760456</v>
      </c>
      <c r="N137" s="16">
        <f>IFERROR(__xludf.DUMMYFUNCTION("""COMPUTED_VALUE"""),0.437262357414448)</f>
        <v>0.4372623574</v>
      </c>
      <c r="O137" s="16">
        <f>IFERROR(__xludf.DUMMYFUNCTION("""COMPUTED_VALUE"""),0.354581673306772)</f>
        <v>0.3545816733</v>
      </c>
      <c r="P137" s="16">
        <f>IFERROR(__xludf.DUMMYFUNCTION("""COMPUTED_VALUE"""),0.271255060728744)</f>
        <v>0.2712550607</v>
      </c>
      <c r="Q137" s="16">
        <f>IFERROR(__xludf.DUMMYFUNCTION("""COMPUTED_VALUE"""),0.170212765957446)</f>
        <v>0.170212766</v>
      </c>
      <c r="R137" s="16">
        <f>IFERROR(__xludf.DUMMYFUNCTION("""COMPUTED_VALUE"""),0.108695652173913)</f>
        <v>0.1086956522</v>
      </c>
      <c r="S137" s="16">
        <f>IFERROR(__xludf.DUMMYFUNCTION("""COMPUTED_VALUE"""),0.0659340659340659)</f>
        <v>0.06593406593</v>
      </c>
      <c r="T137" s="16">
        <f>IFERROR(__xludf.DUMMYFUNCTION("""COMPUTED_VALUE"""),0.0769230769230769)</f>
        <v>0.07692307692</v>
      </c>
      <c r="U137" s="16">
        <f>IFERROR(__xludf.DUMMYFUNCTION("""COMPUTED_VALUE"""),0.0)</f>
        <v>0</v>
      </c>
      <c r="V137" s="16">
        <f>IFERROR(__xludf.DUMMYFUNCTION("""COMPUTED_VALUE"""),0.0)</f>
        <v>0</v>
      </c>
      <c r="W137" s="16">
        <f>IFERROR(__xludf.DUMMYFUNCTION("""COMPUTED_VALUE"""),0.0)</f>
        <v>0</v>
      </c>
      <c r="X137" s="16">
        <f>IFERROR(__xludf.DUMMYFUNCTION("""COMPUTED_VALUE"""),0.0)</f>
        <v>0</v>
      </c>
      <c r="Y137" s="16">
        <f>IFERROR(__xludf.DUMMYFUNCTION("""COMPUTED_VALUE"""),0.0)</f>
        <v>0</v>
      </c>
      <c r="Z137" s="16">
        <f>IFERROR(__xludf.DUMMYFUNCTION("""COMPUTED_VALUE"""),0.0)</f>
        <v>0</v>
      </c>
      <c r="AA137" s="16">
        <f>IFERROR(__xludf.DUMMYFUNCTION("""COMPUTED_VALUE"""),0.0)</f>
        <v>0</v>
      </c>
      <c r="AB137" s="16">
        <f>IFERROR(__xludf.DUMMYFUNCTION("""COMPUTED_VALUE"""),0.0)</f>
        <v>0</v>
      </c>
      <c r="AC137" s="16">
        <f>IFERROR(__xludf.DUMMYFUNCTION("""COMPUTED_VALUE"""),0.0)</f>
        <v>0</v>
      </c>
      <c r="AD137" s="16">
        <f>IFERROR(__xludf.DUMMYFUNCTION("""COMPUTED_VALUE"""),0.0)</f>
        <v>0</v>
      </c>
      <c r="AE137" s="16">
        <f>IFERROR(__xludf.DUMMYFUNCTION("""COMPUTED_VALUE"""),0.0)</f>
        <v>0</v>
      </c>
      <c r="AF137" s="16">
        <f>IFERROR(__xludf.DUMMYFUNCTION("""COMPUTED_VALUE"""),0.0)</f>
        <v>0</v>
      </c>
      <c r="AG137" s="16">
        <f>IFERROR(__xludf.DUMMYFUNCTION("""COMPUTED_VALUE"""),0.0)</f>
        <v>0</v>
      </c>
      <c r="AH137" s="16">
        <f>IFERROR(__xludf.DUMMYFUNCTION("""COMPUTED_VALUE"""),0.0)</f>
        <v>0</v>
      </c>
    </row>
    <row r="138">
      <c r="A138" s="16" t="str">
        <f>IFERROR(__xludf.DUMMYFUNCTION("""COMPUTED_VALUE"""),"71bfacd374965f4c980894477e36ea695b41c609")</f>
        <v>71bfacd374965f4c980894477e36ea695b41c609</v>
      </c>
      <c r="B138" s="16" t="str">
        <f>IFERROR(__xludf.DUMMYFUNCTION("""COMPUTED_VALUE"""),"Bride Who Didn't Want Him")</f>
        <v>Bride Who Didn't Want Him</v>
      </c>
      <c r="C138" s="16" t="str">
        <f>IFERROR(__xludf.DUMMYFUNCTION("""COMPUTED_VALUE"""),"Romance")</f>
        <v>Romance</v>
      </c>
      <c r="D138" s="16">
        <f>IFERROR(__xludf.DUMMYFUNCTION("""COMPUTED_VALUE"""),828.0)</f>
        <v>828</v>
      </c>
      <c r="E138" s="16">
        <f>IFERROR(__xludf.DUMMYFUNCTION("""COMPUTED_VALUE"""),0.975845410628019)</f>
        <v>0.9758454106</v>
      </c>
      <c r="F138" s="16">
        <f>IFERROR(__xludf.DUMMYFUNCTION("""COMPUTED_VALUE"""),0.535024154589372)</f>
        <v>0.5350241546</v>
      </c>
      <c r="G138" s="16">
        <f>IFERROR(__xludf.DUMMYFUNCTION("""COMPUTED_VALUE"""),0.462560386473429)</f>
        <v>0.4625603865</v>
      </c>
      <c r="H138" s="16">
        <f>IFERROR(__xludf.DUMMYFUNCTION("""COMPUTED_VALUE"""),0.401451027811366)</f>
        <v>0.4014510278</v>
      </c>
      <c r="I138" s="16">
        <f>IFERROR(__xludf.DUMMYFUNCTION("""COMPUTED_VALUE"""),0.382566585956416)</f>
        <v>0.382566586</v>
      </c>
      <c r="J138" s="16">
        <f>IFERROR(__xludf.DUMMYFUNCTION("""COMPUTED_VALUE"""),0.353939393939393)</f>
        <v>0.3539393939</v>
      </c>
      <c r="K138" s="16">
        <f>IFERROR(__xludf.DUMMYFUNCTION("""COMPUTED_VALUE"""),0.333737864077669)</f>
        <v>0.3337378641</v>
      </c>
      <c r="L138" s="16">
        <f>IFERROR(__xludf.DUMMYFUNCTION("""COMPUTED_VALUE"""),0.316747572815534)</f>
        <v>0.3167475728</v>
      </c>
      <c r="M138" s="16">
        <f>IFERROR(__xludf.DUMMYFUNCTION("""COMPUTED_VALUE"""),0.319174757281553)</f>
        <v>0.3191747573</v>
      </c>
      <c r="N138" s="16">
        <f>IFERROR(__xludf.DUMMYFUNCTION("""COMPUTED_VALUE"""),0.311057108140947)</f>
        <v>0.3110571081</v>
      </c>
      <c r="O138" s="16">
        <f>IFERROR(__xludf.DUMMYFUNCTION("""COMPUTED_VALUE"""),0.287299630086313)</f>
        <v>0.2872996301</v>
      </c>
      <c r="P138" s="16">
        <f>IFERROR(__xludf.DUMMYFUNCTION("""COMPUTED_VALUE"""),0.227722772277227)</f>
        <v>0.2277227723</v>
      </c>
      <c r="Q138" s="16">
        <f>IFERROR(__xludf.DUMMYFUNCTION("""COMPUTED_VALUE"""),0.137524557956778)</f>
        <v>0.137524558</v>
      </c>
      <c r="R138" s="16">
        <f>IFERROR(__xludf.DUMMYFUNCTION("""COMPUTED_VALUE"""),0.0)</f>
        <v>0</v>
      </c>
      <c r="S138" s="16">
        <f>IFERROR(__xludf.DUMMYFUNCTION("""COMPUTED_VALUE"""),0.0)</f>
        <v>0</v>
      </c>
      <c r="T138" s="16">
        <f>IFERROR(__xludf.DUMMYFUNCTION("""COMPUTED_VALUE"""),0.0)</f>
        <v>0</v>
      </c>
      <c r="U138" s="16">
        <f>IFERROR(__xludf.DUMMYFUNCTION("""COMPUTED_VALUE"""),0.0)</f>
        <v>0</v>
      </c>
      <c r="V138" s="16">
        <f>IFERROR(__xludf.DUMMYFUNCTION("""COMPUTED_VALUE"""),0.0)</f>
        <v>0</v>
      </c>
      <c r="W138" s="16">
        <f>IFERROR(__xludf.DUMMYFUNCTION("""COMPUTED_VALUE"""),0.0)</f>
        <v>0</v>
      </c>
      <c r="X138" s="16">
        <f>IFERROR(__xludf.DUMMYFUNCTION("""COMPUTED_VALUE"""),0.0)</f>
        <v>0</v>
      </c>
      <c r="Y138" s="16">
        <f>IFERROR(__xludf.DUMMYFUNCTION("""COMPUTED_VALUE"""),0.0)</f>
        <v>0</v>
      </c>
      <c r="Z138" s="16">
        <f>IFERROR(__xludf.DUMMYFUNCTION("""COMPUTED_VALUE"""),0.0)</f>
        <v>0</v>
      </c>
      <c r="AA138" s="16">
        <f>IFERROR(__xludf.DUMMYFUNCTION("""COMPUTED_VALUE"""),0.0)</f>
        <v>0</v>
      </c>
      <c r="AB138" s="16">
        <f>IFERROR(__xludf.DUMMYFUNCTION("""COMPUTED_VALUE"""),0.0)</f>
        <v>0</v>
      </c>
      <c r="AC138" s="16">
        <f>IFERROR(__xludf.DUMMYFUNCTION("""COMPUTED_VALUE"""),0.0)</f>
        <v>0</v>
      </c>
      <c r="AD138" s="16">
        <f>IFERROR(__xludf.DUMMYFUNCTION("""COMPUTED_VALUE"""),0.0)</f>
        <v>0</v>
      </c>
      <c r="AE138" s="16">
        <f>IFERROR(__xludf.DUMMYFUNCTION("""COMPUTED_VALUE"""),0.0)</f>
        <v>0</v>
      </c>
      <c r="AF138" s="16">
        <f>IFERROR(__xludf.DUMMYFUNCTION("""COMPUTED_VALUE"""),0.0)</f>
        <v>0</v>
      </c>
      <c r="AG138" s="16">
        <f>IFERROR(__xludf.DUMMYFUNCTION("""COMPUTED_VALUE"""),0.0)</f>
        <v>0</v>
      </c>
      <c r="AH138" s="16">
        <f>IFERROR(__xludf.DUMMYFUNCTION("""COMPUTED_VALUE"""),0.0)</f>
        <v>0</v>
      </c>
    </row>
    <row r="139">
      <c r="A139" s="16" t="str">
        <f>IFERROR(__xludf.DUMMYFUNCTION("""COMPUTED_VALUE"""),"730a3d0d6b094f151aed0a3dff6794a1d2fedee3")</f>
        <v>730a3d0d6b094f151aed0a3dff6794a1d2fedee3</v>
      </c>
      <c r="B139" s="16" t="str">
        <f>IFERROR(__xludf.DUMMYFUNCTION("""COMPUTED_VALUE"""),"Her Beauty Is Reborn")</f>
        <v>Her Beauty Is Reborn</v>
      </c>
      <c r="C139" s="16" t="str">
        <f>IFERROR(__xludf.DUMMYFUNCTION("""COMPUTED_VALUE"""),"Romance")</f>
        <v>Romance</v>
      </c>
      <c r="D139" s="16">
        <f>IFERROR(__xludf.DUMMYFUNCTION("""COMPUTED_VALUE"""),5657.0)</f>
        <v>5657</v>
      </c>
      <c r="E139" s="16">
        <f>IFERROR(__xludf.DUMMYFUNCTION("""COMPUTED_VALUE"""),0.934771080077779)</f>
        <v>0.9347710801</v>
      </c>
      <c r="F139" s="16">
        <f>IFERROR(__xludf.DUMMYFUNCTION("""COMPUTED_VALUE"""),0.531200282835425)</f>
        <v>0.5312002828</v>
      </c>
      <c r="G139" s="16">
        <f>IFERROR(__xludf.DUMMYFUNCTION("""COMPUTED_VALUE"""),0.473572564963761)</f>
        <v>0.473572565</v>
      </c>
      <c r="H139" s="16">
        <f>IFERROR(__xludf.DUMMYFUNCTION("""COMPUTED_VALUE"""),0.43645041541453)</f>
        <v>0.4364504154</v>
      </c>
      <c r="I139" s="16">
        <f>IFERROR(__xludf.DUMMYFUNCTION("""COMPUTED_VALUE"""),0.415134370579915)</f>
        <v>0.4151343706</v>
      </c>
      <c r="J139" s="16">
        <f>IFERROR(__xludf.DUMMYFUNCTION("""COMPUTED_VALUE"""),0.394801980198019)</f>
        <v>0.3948019802</v>
      </c>
      <c r="K139" s="16">
        <f>IFERROR(__xludf.DUMMYFUNCTION("""COMPUTED_VALUE"""),0.379066478076379)</f>
        <v>0.3790664781</v>
      </c>
      <c r="L139" s="16">
        <f>IFERROR(__xludf.DUMMYFUNCTION("""COMPUTED_VALUE"""),0.367303609341825)</f>
        <v>0.3673036093</v>
      </c>
      <c r="M139" s="16">
        <f>IFERROR(__xludf.DUMMYFUNCTION("""COMPUTED_VALUE"""),0.35834365599009)</f>
        <v>0.358343656</v>
      </c>
      <c r="N139" s="16">
        <f>IFERROR(__xludf.DUMMYFUNCTION("""COMPUTED_VALUE"""),0.350557423464873)</f>
        <v>0.3505574235</v>
      </c>
      <c r="O139" s="16">
        <f>IFERROR(__xludf.DUMMYFUNCTION("""COMPUTED_VALUE"""),0.322689373780379)</f>
        <v>0.3226893738</v>
      </c>
      <c r="P139" s="16">
        <f>IFERROR(__xludf.DUMMYFUNCTION("""COMPUTED_VALUE"""),0.280854853072128)</f>
        <v>0.2808548531</v>
      </c>
      <c r="Q139" s="16">
        <f>IFERROR(__xludf.DUMMYFUNCTION("""COMPUTED_VALUE"""),0.233901345291479)</f>
        <v>0.2339013453</v>
      </c>
      <c r="R139" s="16">
        <f>IFERROR(__xludf.DUMMYFUNCTION("""COMPUTED_VALUE"""),0.184507042253521)</f>
        <v>0.1845070423</v>
      </c>
      <c r="S139" s="16">
        <f>IFERROR(__xludf.DUMMYFUNCTION("""COMPUTED_VALUE"""),0.163598106259863)</f>
        <v>0.1635981063</v>
      </c>
      <c r="T139" s="16">
        <f>IFERROR(__xludf.DUMMYFUNCTION("""COMPUTED_VALUE"""),0.143113772455089)</f>
        <v>0.1431137725</v>
      </c>
      <c r="U139" s="16">
        <f>IFERROR(__xludf.DUMMYFUNCTION("""COMPUTED_VALUE"""),0.130608618391825)</f>
        <v>0.1306086184</v>
      </c>
      <c r="V139" s="16">
        <f>IFERROR(__xludf.DUMMYFUNCTION("""COMPUTED_VALUE"""),0.124800849707912)</f>
        <v>0.1248008497</v>
      </c>
      <c r="W139" s="16">
        <f>IFERROR(__xludf.DUMMYFUNCTION("""COMPUTED_VALUE"""),0.108026554013277)</f>
        <v>0.108026554</v>
      </c>
      <c r="X139" s="16">
        <f>IFERROR(__xludf.DUMMYFUNCTION("""COMPUTED_VALUE"""),0.0942184154175588)</f>
        <v>0.09421841542</v>
      </c>
      <c r="Y139" s="16">
        <f>IFERROR(__xludf.DUMMYFUNCTION("""COMPUTED_VALUE"""),0.0726744186046511)</f>
        <v>0.0726744186</v>
      </c>
      <c r="Z139" s="16">
        <f>IFERROR(__xludf.DUMMYFUNCTION("""COMPUTED_VALUE"""),0.0265604249667994)</f>
        <v>0.02656042497</v>
      </c>
      <c r="AA139" s="16">
        <f>IFERROR(__xludf.DUMMYFUNCTION("""COMPUTED_VALUE"""),0.0)</f>
        <v>0</v>
      </c>
      <c r="AB139" s="16">
        <f>IFERROR(__xludf.DUMMYFUNCTION("""COMPUTED_VALUE"""),0.0)</f>
        <v>0</v>
      </c>
      <c r="AC139" s="16">
        <f>IFERROR(__xludf.DUMMYFUNCTION("""COMPUTED_VALUE"""),0.0)</f>
        <v>0</v>
      </c>
      <c r="AD139" s="16">
        <f>IFERROR(__xludf.DUMMYFUNCTION("""COMPUTED_VALUE"""),0.0)</f>
        <v>0</v>
      </c>
      <c r="AE139" s="16">
        <f>IFERROR(__xludf.DUMMYFUNCTION("""COMPUTED_VALUE"""),0.0)</f>
        <v>0</v>
      </c>
      <c r="AF139" s="16">
        <f>IFERROR(__xludf.DUMMYFUNCTION("""COMPUTED_VALUE"""),0.0)</f>
        <v>0</v>
      </c>
      <c r="AG139" s="16">
        <f>IFERROR(__xludf.DUMMYFUNCTION("""COMPUTED_VALUE"""),0.0)</f>
        <v>0</v>
      </c>
      <c r="AH139" s="16">
        <f>IFERROR(__xludf.DUMMYFUNCTION("""COMPUTED_VALUE"""),0.0)</f>
        <v>0</v>
      </c>
    </row>
    <row r="140">
      <c r="A140" s="16" t="str">
        <f>IFERROR(__xludf.DUMMYFUNCTION("""COMPUTED_VALUE"""),"7315dca13e406894d8407cd6d050c5d3b69eec10")</f>
        <v>7315dca13e406894d8407cd6d050c5d3b69eec10</v>
      </c>
      <c r="B140" s="16" t="str">
        <f>IFERROR(__xludf.DUMMYFUNCTION("""COMPUTED_VALUE"""),"The Uncle Who Chose Me")</f>
        <v>The Uncle Who Chose Me</v>
      </c>
      <c r="C140" s="16" t="str">
        <f>IFERROR(__xludf.DUMMYFUNCTION("""COMPUTED_VALUE"""),"Romance")</f>
        <v>Romance</v>
      </c>
      <c r="D140" s="16">
        <f>IFERROR(__xludf.DUMMYFUNCTION("""COMPUTED_VALUE"""),547.0)</f>
        <v>547</v>
      </c>
      <c r="E140" s="16">
        <f>IFERROR(__xludf.DUMMYFUNCTION("""COMPUTED_VALUE"""),0.974405850091407)</f>
        <v>0.9744058501</v>
      </c>
      <c r="F140" s="16">
        <f>IFERROR(__xludf.DUMMYFUNCTION("""COMPUTED_VALUE"""),0.616087751371115)</f>
        <v>0.6160877514</v>
      </c>
      <c r="G140" s="16">
        <f>IFERROR(__xludf.DUMMYFUNCTION("""COMPUTED_VALUE"""),0.513711151736745)</f>
        <v>0.5137111517</v>
      </c>
      <c r="H140" s="16">
        <f>IFERROR(__xludf.DUMMYFUNCTION("""COMPUTED_VALUE"""),0.471663619744058)</f>
        <v>0.4716636197</v>
      </c>
      <c r="I140" s="16">
        <f>IFERROR(__xludf.DUMMYFUNCTION("""COMPUTED_VALUE"""),0.421245421245421)</f>
        <v>0.4212454212</v>
      </c>
      <c r="J140" s="16">
        <f>IFERROR(__xludf.DUMMYFUNCTION("""COMPUTED_VALUE"""),0.384615384615384)</f>
        <v>0.3846153846</v>
      </c>
      <c r="K140" s="16">
        <f>IFERROR(__xludf.DUMMYFUNCTION("""COMPUTED_VALUE"""),0.357142857142857)</f>
        <v>0.3571428571</v>
      </c>
      <c r="L140" s="16">
        <f>IFERROR(__xludf.DUMMYFUNCTION("""COMPUTED_VALUE"""),0.341284403669724)</f>
        <v>0.3412844037</v>
      </c>
      <c r="M140" s="16">
        <f>IFERROR(__xludf.DUMMYFUNCTION("""COMPUTED_VALUE"""),0.328440366972477)</f>
        <v>0.328440367</v>
      </c>
      <c r="N140" s="16">
        <f>IFERROR(__xludf.DUMMYFUNCTION("""COMPUTED_VALUE"""),0.302752293577981)</f>
        <v>0.3027522936</v>
      </c>
      <c r="O140" s="16">
        <f>IFERROR(__xludf.DUMMYFUNCTION("""COMPUTED_VALUE"""),0.251386321626617)</f>
        <v>0.2513863216</v>
      </c>
      <c r="P140" s="16">
        <f>IFERROR(__xludf.DUMMYFUNCTION("""COMPUTED_VALUE"""),0.177693761814744)</f>
        <v>0.1776937618</v>
      </c>
      <c r="Q140" s="16">
        <f>IFERROR(__xludf.DUMMYFUNCTION("""COMPUTED_VALUE"""),0.0879828326180257)</f>
        <v>0.08798283262</v>
      </c>
      <c r="R140" s="16">
        <f>IFERROR(__xludf.DUMMYFUNCTION("""COMPUTED_VALUE"""),0.0)</f>
        <v>0</v>
      </c>
      <c r="S140" s="16">
        <f>IFERROR(__xludf.DUMMYFUNCTION("""COMPUTED_VALUE"""),0.0)</f>
        <v>0</v>
      </c>
      <c r="T140" s="16">
        <f>IFERROR(__xludf.DUMMYFUNCTION("""COMPUTED_VALUE"""),0.0)</f>
        <v>0</v>
      </c>
      <c r="U140" s="16">
        <f>IFERROR(__xludf.DUMMYFUNCTION("""COMPUTED_VALUE"""),0.0)</f>
        <v>0</v>
      </c>
      <c r="V140" s="16">
        <f>IFERROR(__xludf.DUMMYFUNCTION("""COMPUTED_VALUE"""),0.0)</f>
        <v>0</v>
      </c>
      <c r="W140" s="16">
        <f>IFERROR(__xludf.DUMMYFUNCTION("""COMPUTED_VALUE"""),0.0)</f>
        <v>0</v>
      </c>
      <c r="X140" s="16">
        <f>IFERROR(__xludf.DUMMYFUNCTION("""COMPUTED_VALUE"""),0.0)</f>
        <v>0</v>
      </c>
      <c r="Y140" s="16">
        <f>IFERROR(__xludf.DUMMYFUNCTION("""COMPUTED_VALUE"""),0.0)</f>
        <v>0</v>
      </c>
      <c r="Z140" s="16">
        <f>IFERROR(__xludf.DUMMYFUNCTION("""COMPUTED_VALUE"""),0.0)</f>
        <v>0</v>
      </c>
      <c r="AA140" s="16">
        <f>IFERROR(__xludf.DUMMYFUNCTION("""COMPUTED_VALUE"""),0.0)</f>
        <v>0</v>
      </c>
      <c r="AB140" s="16">
        <f>IFERROR(__xludf.DUMMYFUNCTION("""COMPUTED_VALUE"""),0.0)</f>
        <v>0</v>
      </c>
      <c r="AC140" s="16">
        <f>IFERROR(__xludf.DUMMYFUNCTION("""COMPUTED_VALUE"""),0.0)</f>
        <v>0</v>
      </c>
      <c r="AD140" s="16">
        <f>IFERROR(__xludf.DUMMYFUNCTION("""COMPUTED_VALUE"""),0.0)</f>
        <v>0</v>
      </c>
      <c r="AE140" s="16">
        <f>IFERROR(__xludf.DUMMYFUNCTION("""COMPUTED_VALUE"""),0.0)</f>
        <v>0</v>
      </c>
      <c r="AF140" s="16">
        <f>IFERROR(__xludf.DUMMYFUNCTION("""COMPUTED_VALUE"""),0.0)</f>
        <v>0</v>
      </c>
      <c r="AG140" s="16">
        <f>IFERROR(__xludf.DUMMYFUNCTION("""COMPUTED_VALUE"""),0.0)</f>
        <v>0</v>
      </c>
      <c r="AH140" s="16">
        <f>IFERROR(__xludf.DUMMYFUNCTION("""COMPUTED_VALUE"""),0.0)</f>
        <v>0</v>
      </c>
    </row>
    <row r="141">
      <c r="A141" s="16" t="str">
        <f>IFERROR(__xludf.DUMMYFUNCTION("""COMPUTED_VALUE"""),"749524eadbd429949b1a44242bd8fb3559f3626c")</f>
        <v>749524eadbd429949b1a44242bd8fb3559f3626c</v>
      </c>
      <c r="B141" s="16" t="str">
        <f>IFERROR(__xludf.DUMMYFUNCTION("""COMPUTED_VALUE"""),"Monarch of His Shadows")</f>
        <v>Monarch of His Shadows</v>
      </c>
      <c r="C141" s="16" t="str">
        <f>IFERROR(__xludf.DUMMYFUNCTION("""COMPUTED_VALUE"""),"Fantasy")</f>
        <v>Fantasy</v>
      </c>
      <c r="D141" s="16">
        <f>IFERROR(__xludf.DUMMYFUNCTION("""COMPUTED_VALUE"""),66.0)</f>
        <v>66</v>
      </c>
      <c r="E141" s="16">
        <f>IFERROR(__xludf.DUMMYFUNCTION("""COMPUTED_VALUE"""),0.984848484848484)</f>
        <v>0.9848484848</v>
      </c>
      <c r="F141" s="16">
        <f>IFERROR(__xludf.DUMMYFUNCTION("""COMPUTED_VALUE"""),0.56060606060606)</f>
        <v>0.5606060606</v>
      </c>
      <c r="G141" s="16">
        <f>IFERROR(__xludf.DUMMYFUNCTION("""COMPUTED_VALUE"""),0.56060606060606)</f>
        <v>0.5606060606</v>
      </c>
      <c r="H141" s="16">
        <f>IFERROR(__xludf.DUMMYFUNCTION("""COMPUTED_VALUE"""),0.53030303030303)</f>
        <v>0.5303030303</v>
      </c>
      <c r="I141" s="16">
        <f>IFERROR(__xludf.DUMMYFUNCTION("""COMPUTED_VALUE"""),0.469696969696969)</f>
        <v>0.4696969697</v>
      </c>
      <c r="J141" s="16">
        <f>IFERROR(__xludf.DUMMYFUNCTION("""COMPUTED_VALUE"""),0.439393939393939)</f>
        <v>0.4393939394</v>
      </c>
      <c r="K141" s="16">
        <f>IFERROR(__xludf.DUMMYFUNCTION("""COMPUTED_VALUE"""),0.409090909090909)</f>
        <v>0.4090909091</v>
      </c>
      <c r="L141" s="16">
        <f>IFERROR(__xludf.DUMMYFUNCTION("""COMPUTED_VALUE"""),0.4)</f>
        <v>0.4</v>
      </c>
      <c r="M141" s="16">
        <f>IFERROR(__xludf.DUMMYFUNCTION("""COMPUTED_VALUE"""),0.369230769230769)</f>
        <v>0.3692307692</v>
      </c>
      <c r="N141" s="16">
        <f>IFERROR(__xludf.DUMMYFUNCTION("""COMPUTED_VALUE"""),0.338461538461538)</f>
        <v>0.3384615385</v>
      </c>
      <c r="O141" s="16">
        <f>IFERROR(__xludf.DUMMYFUNCTION("""COMPUTED_VALUE"""),0.317460317460317)</f>
        <v>0.3174603175</v>
      </c>
      <c r="P141" s="16">
        <f>IFERROR(__xludf.DUMMYFUNCTION("""COMPUTED_VALUE"""),0.147540983606557)</f>
        <v>0.1475409836</v>
      </c>
      <c r="Q141" s="16">
        <f>IFERROR(__xludf.DUMMYFUNCTION("""COMPUTED_VALUE"""),0.0)</f>
        <v>0</v>
      </c>
      <c r="R141" s="16">
        <f>IFERROR(__xludf.DUMMYFUNCTION("""COMPUTED_VALUE"""),0.0)</f>
        <v>0</v>
      </c>
      <c r="S141" s="16">
        <f>IFERROR(__xludf.DUMMYFUNCTION("""COMPUTED_VALUE"""),0.0)</f>
        <v>0</v>
      </c>
      <c r="T141" s="16">
        <f>IFERROR(__xludf.DUMMYFUNCTION("""COMPUTED_VALUE"""),0.0)</f>
        <v>0</v>
      </c>
      <c r="U141" s="16">
        <f>IFERROR(__xludf.DUMMYFUNCTION("""COMPUTED_VALUE"""),0.0)</f>
        <v>0</v>
      </c>
      <c r="V141" s="16">
        <f>IFERROR(__xludf.DUMMYFUNCTION("""COMPUTED_VALUE"""),0.0)</f>
        <v>0</v>
      </c>
      <c r="W141" s="16">
        <f>IFERROR(__xludf.DUMMYFUNCTION("""COMPUTED_VALUE"""),0.0)</f>
        <v>0</v>
      </c>
      <c r="X141" s="16">
        <f>IFERROR(__xludf.DUMMYFUNCTION("""COMPUTED_VALUE"""),0.0)</f>
        <v>0</v>
      </c>
      <c r="Y141" s="16">
        <f>IFERROR(__xludf.DUMMYFUNCTION("""COMPUTED_VALUE"""),0.0)</f>
        <v>0</v>
      </c>
      <c r="Z141" s="16">
        <f>IFERROR(__xludf.DUMMYFUNCTION("""COMPUTED_VALUE"""),0.0)</f>
        <v>0</v>
      </c>
      <c r="AA141" s="16">
        <f>IFERROR(__xludf.DUMMYFUNCTION("""COMPUTED_VALUE"""),0.0)</f>
        <v>0</v>
      </c>
      <c r="AB141" s="16">
        <f>IFERROR(__xludf.DUMMYFUNCTION("""COMPUTED_VALUE"""),0.0)</f>
        <v>0</v>
      </c>
      <c r="AC141" s="16">
        <f>IFERROR(__xludf.DUMMYFUNCTION("""COMPUTED_VALUE"""),0.0)</f>
        <v>0</v>
      </c>
      <c r="AD141" s="16">
        <f>IFERROR(__xludf.DUMMYFUNCTION("""COMPUTED_VALUE"""),0.0)</f>
        <v>0</v>
      </c>
      <c r="AE141" s="16">
        <f>IFERROR(__xludf.DUMMYFUNCTION("""COMPUTED_VALUE"""),0.0)</f>
        <v>0</v>
      </c>
      <c r="AF141" s="16">
        <f>IFERROR(__xludf.DUMMYFUNCTION("""COMPUTED_VALUE"""),0.0)</f>
        <v>0</v>
      </c>
      <c r="AG141" s="16">
        <f>IFERROR(__xludf.DUMMYFUNCTION("""COMPUTED_VALUE"""),0.0)</f>
        <v>0</v>
      </c>
      <c r="AH141" s="16">
        <f>IFERROR(__xludf.DUMMYFUNCTION("""COMPUTED_VALUE"""),0.0)</f>
        <v>0</v>
      </c>
    </row>
    <row r="142">
      <c r="A142" s="16" t="str">
        <f>IFERROR(__xludf.DUMMYFUNCTION("""COMPUTED_VALUE"""),"75537e31c1c79bdbb6ca1cd286c8e6bcb2697a51")</f>
        <v>75537e31c1c79bdbb6ca1cd286c8e6bcb2697a51</v>
      </c>
      <c r="B142" s="16" t="str">
        <f>IFERROR(__xludf.DUMMYFUNCTION("""COMPUTED_VALUE"""),"The Story of the CEO and the Heiress")</f>
        <v>The Story of the CEO and the Heiress</v>
      </c>
      <c r="C142" s="16" t="str">
        <f>IFERROR(__xludf.DUMMYFUNCTION("""COMPUTED_VALUE"""),"Romance")</f>
        <v>Romance</v>
      </c>
      <c r="D142" s="16">
        <f>IFERROR(__xludf.DUMMYFUNCTION("""COMPUTED_VALUE"""),10008.0)</f>
        <v>10008</v>
      </c>
      <c r="E142" s="16">
        <f>IFERROR(__xludf.DUMMYFUNCTION("""COMPUTED_VALUE"""),0.907873701039168)</f>
        <v>0.907873701</v>
      </c>
      <c r="F142" s="16">
        <f>IFERROR(__xludf.DUMMYFUNCTION("""COMPUTED_VALUE"""),0.476219024780175)</f>
        <v>0.4762190248</v>
      </c>
      <c r="G142" s="16">
        <f>IFERROR(__xludf.DUMMYFUNCTION("""COMPUTED_VALUE"""),0.417466027178257)</f>
        <v>0.4174660272</v>
      </c>
      <c r="H142" s="16">
        <f>IFERROR(__xludf.DUMMYFUNCTION("""COMPUTED_VALUE"""),0.388377675535107)</f>
        <v>0.3883776755</v>
      </c>
      <c r="I142" s="16">
        <f>IFERROR(__xludf.DUMMYFUNCTION("""COMPUTED_VALUE"""),0.362252053696654)</f>
        <v>0.3622520537</v>
      </c>
      <c r="J142" s="16">
        <f>IFERROR(__xludf.DUMMYFUNCTION("""COMPUTED_VALUE"""),0.347952629466077)</f>
        <v>0.3479526295</v>
      </c>
      <c r="K142" s="16">
        <f>IFERROR(__xludf.DUMMYFUNCTION("""COMPUTED_VALUE"""),0.335143834238583)</f>
        <v>0.3351438342</v>
      </c>
      <c r="L142" s="16">
        <f>IFERROR(__xludf.DUMMYFUNCTION("""COMPUTED_VALUE"""),0.329736815569224)</f>
        <v>0.3297368156</v>
      </c>
      <c r="M142" s="16">
        <f>IFERROR(__xludf.DUMMYFUNCTION("""COMPUTED_VALUE"""),0.319179051663128)</f>
        <v>0.3191790517</v>
      </c>
      <c r="N142" s="16">
        <f>IFERROR(__xludf.DUMMYFUNCTION("""COMPUTED_VALUE"""),0.309880542619963)</f>
        <v>0.3098805426</v>
      </c>
      <c r="O142" s="16">
        <f>IFERROR(__xludf.DUMMYFUNCTION("""COMPUTED_VALUE"""),0.302710997442455)</f>
        <v>0.3027109974</v>
      </c>
      <c r="P142" s="16">
        <f>IFERROR(__xludf.DUMMYFUNCTION("""COMPUTED_VALUE"""),0.270328988206083)</f>
        <v>0.2703289882</v>
      </c>
      <c r="Q142" s="16">
        <f>IFERROR(__xludf.DUMMYFUNCTION("""COMPUTED_VALUE"""),0.22424881391671)</f>
        <v>0.2242488139</v>
      </c>
      <c r="R142" s="16">
        <f>IFERROR(__xludf.DUMMYFUNCTION("""COMPUTED_VALUE"""),0.188230295304865)</f>
        <v>0.1882302953</v>
      </c>
      <c r="S142" s="16">
        <f>IFERROR(__xludf.DUMMYFUNCTION("""COMPUTED_VALUE"""),0.166434763994434)</f>
        <v>0.166434764</v>
      </c>
      <c r="T142" s="16">
        <f>IFERROR(__xludf.DUMMYFUNCTION("""COMPUTED_VALUE"""),0.120928015255045)</f>
        <v>0.1209280153</v>
      </c>
      <c r="U142" s="16">
        <f>IFERROR(__xludf.DUMMYFUNCTION("""COMPUTED_VALUE"""),0.099878197320341)</f>
        <v>0.09987819732</v>
      </c>
      <c r="V142" s="16">
        <f>IFERROR(__xludf.DUMMYFUNCTION("""COMPUTED_VALUE"""),0.0788766788766788)</f>
        <v>0.07887667888</v>
      </c>
      <c r="W142" s="16">
        <f>IFERROR(__xludf.DUMMYFUNCTION("""COMPUTED_VALUE"""),0.0596765197992191)</f>
        <v>0.0596765198</v>
      </c>
      <c r="X142" s="16">
        <f>IFERROR(__xludf.DUMMYFUNCTION("""COMPUTED_VALUE"""),0.0)</f>
        <v>0</v>
      </c>
      <c r="Y142" s="16">
        <f>IFERROR(__xludf.DUMMYFUNCTION("""COMPUTED_VALUE"""),0.0)</f>
        <v>0</v>
      </c>
      <c r="Z142" s="16">
        <f>IFERROR(__xludf.DUMMYFUNCTION("""COMPUTED_VALUE"""),0.0)</f>
        <v>0</v>
      </c>
      <c r="AA142" s="16">
        <f>IFERROR(__xludf.DUMMYFUNCTION("""COMPUTED_VALUE"""),0.0)</f>
        <v>0</v>
      </c>
      <c r="AB142" s="16">
        <f>IFERROR(__xludf.DUMMYFUNCTION("""COMPUTED_VALUE"""),0.0)</f>
        <v>0</v>
      </c>
      <c r="AC142" s="16">
        <f>IFERROR(__xludf.DUMMYFUNCTION("""COMPUTED_VALUE"""),0.0)</f>
        <v>0</v>
      </c>
      <c r="AD142" s="16">
        <f>IFERROR(__xludf.DUMMYFUNCTION("""COMPUTED_VALUE"""),0.0)</f>
        <v>0</v>
      </c>
      <c r="AE142" s="16">
        <f>IFERROR(__xludf.DUMMYFUNCTION("""COMPUTED_VALUE"""),0.0)</f>
        <v>0</v>
      </c>
      <c r="AF142" s="16">
        <f>IFERROR(__xludf.DUMMYFUNCTION("""COMPUTED_VALUE"""),0.0)</f>
        <v>0</v>
      </c>
      <c r="AG142" s="16">
        <f>IFERROR(__xludf.DUMMYFUNCTION("""COMPUTED_VALUE"""),0.0)</f>
        <v>0</v>
      </c>
      <c r="AH142" s="16">
        <f>IFERROR(__xludf.DUMMYFUNCTION("""COMPUTED_VALUE"""),0.0)</f>
        <v>0</v>
      </c>
    </row>
    <row r="143">
      <c r="A143" s="16" t="str">
        <f>IFERROR(__xludf.DUMMYFUNCTION("""COMPUTED_VALUE"""),"767e135d338072c6a947db01691ead3f3174c6e1")</f>
        <v>767e135d338072c6a947db01691ead3f3174c6e1</v>
      </c>
      <c r="B143" s="16" t="str">
        <f>IFERROR(__xludf.DUMMYFUNCTION("""COMPUTED_VALUE"""),"The Hidden Heir Returns")</f>
        <v>The Hidden Heir Returns</v>
      </c>
      <c r="C143" s="16" t="str">
        <f>IFERROR(__xludf.DUMMYFUNCTION("""COMPUTED_VALUE"""),"Drama")</f>
        <v>Drama</v>
      </c>
      <c r="D143" s="16">
        <f>IFERROR(__xludf.DUMMYFUNCTION("""COMPUTED_VALUE"""),2466.0)</f>
        <v>2466</v>
      </c>
      <c r="E143" s="16">
        <f>IFERROR(__xludf.DUMMYFUNCTION("""COMPUTED_VALUE"""),0.848337388483373)</f>
        <v>0.8483373885</v>
      </c>
      <c r="F143" s="16">
        <f>IFERROR(__xludf.DUMMYFUNCTION("""COMPUTED_VALUE"""),0.354420113544201)</f>
        <v>0.3544201135</v>
      </c>
      <c r="G143" s="16">
        <f>IFERROR(__xludf.DUMMYFUNCTION("""COMPUTED_VALUE"""),0.306974858069748)</f>
        <v>0.3069748581</v>
      </c>
      <c r="H143" s="16">
        <f>IFERROR(__xludf.DUMMYFUNCTION("""COMPUTED_VALUE"""),0.270917952883834)</f>
        <v>0.2709179529</v>
      </c>
      <c r="I143" s="16">
        <f>IFERROR(__xludf.DUMMYFUNCTION("""COMPUTED_VALUE"""),0.243584521384928)</f>
        <v>0.2435845214</v>
      </c>
      <c r="J143" s="16">
        <f>IFERROR(__xludf.DUMMYFUNCTION("""COMPUTED_VALUE"""),0.219852337981952)</f>
        <v>0.219852338</v>
      </c>
      <c r="K143" s="16">
        <f>IFERROR(__xludf.DUMMYFUNCTION("""COMPUTED_VALUE"""),0.214787277984304)</f>
        <v>0.214787278</v>
      </c>
      <c r="L143" s="16">
        <f>IFERROR(__xludf.DUMMYFUNCTION("""COMPUTED_VALUE"""),0.19658475635152)</f>
        <v>0.1965847564</v>
      </c>
      <c r="M143" s="16">
        <f>IFERROR(__xludf.DUMMYFUNCTION("""COMPUTED_VALUE"""),0.188363331938049)</f>
        <v>0.1883633319</v>
      </c>
      <c r="N143" s="16">
        <f>IFERROR(__xludf.DUMMYFUNCTION("""COMPUTED_VALUE"""),0.177684210526315)</f>
        <v>0.1776842105</v>
      </c>
      <c r="O143" s="16">
        <f>IFERROR(__xludf.DUMMYFUNCTION("""COMPUTED_VALUE"""),0.152476107732406)</f>
        <v>0.1524761077</v>
      </c>
      <c r="P143" s="16">
        <f>IFERROR(__xludf.DUMMYFUNCTION("""COMPUTED_VALUE"""),0.139834406623735)</f>
        <v>0.1398344066</v>
      </c>
      <c r="Q143" s="16">
        <f>IFERROR(__xludf.DUMMYFUNCTION("""COMPUTED_VALUE"""),0.114614614614614)</f>
        <v>0.1146146146</v>
      </c>
      <c r="R143" s="16">
        <f>IFERROR(__xludf.DUMMYFUNCTION("""COMPUTED_VALUE"""),0.0757496054708048)</f>
        <v>0.07574960547</v>
      </c>
      <c r="S143" s="16">
        <f>IFERROR(__xludf.DUMMYFUNCTION("""COMPUTED_VALUE"""),0.0614525139664804)</f>
        <v>0.06145251397</v>
      </c>
      <c r="T143" s="16">
        <f>IFERROR(__xludf.DUMMYFUNCTION("""COMPUTED_VALUE"""),0.0515222482435597)</f>
        <v>0.05152224824</v>
      </c>
      <c r="U143" s="16">
        <f>IFERROR(__xludf.DUMMYFUNCTION("""COMPUTED_VALUE"""),0.048048048048048)</f>
        <v>0.04804804805</v>
      </c>
      <c r="V143" s="16">
        <f>IFERROR(__xludf.DUMMYFUNCTION("""COMPUTED_VALUE"""),0.0494437577255871)</f>
        <v>0.04944375773</v>
      </c>
      <c r="W143" s="16">
        <f>IFERROR(__xludf.DUMMYFUNCTION("""COMPUTED_VALUE"""),0.0444874274661508)</f>
        <v>0.04448742747</v>
      </c>
      <c r="X143" s="16">
        <f>IFERROR(__xludf.DUMMYFUNCTION("""COMPUTED_VALUE"""),0.0437121721587088)</f>
        <v>0.04371217216</v>
      </c>
      <c r="Y143" s="16">
        <f>IFERROR(__xludf.DUMMYFUNCTION("""COMPUTED_VALUE"""),0.0408022130013831)</f>
        <v>0.040802213</v>
      </c>
      <c r="Z143" s="16">
        <f>IFERROR(__xludf.DUMMYFUNCTION("""COMPUTED_VALUE"""),0.0361958836053939)</f>
        <v>0.03619588361</v>
      </c>
      <c r="AA143" s="16">
        <f>IFERROR(__xludf.DUMMYFUNCTION("""COMPUTED_VALUE"""),0.0339105339105339)</f>
        <v>0.03391053391</v>
      </c>
      <c r="AB143" s="16">
        <f>IFERROR(__xludf.DUMMYFUNCTION("""COMPUTED_VALUE"""),0.0356612184249628)</f>
        <v>0.03566121842</v>
      </c>
      <c r="AC143" s="16">
        <f>IFERROR(__xludf.DUMMYFUNCTION("""COMPUTED_VALUE"""),0.0297937356760886)</f>
        <v>0.02979373568</v>
      </c>
      <c r="AD143" s="16">
        <f>IFERROR(__xludf.DUMMYFUNCTION("""COMPUTED_VALUE"""),0.0267379679144385)</f>
        <v>0.02673796791</v>
      </c>
      <c r="AE143" s="16">
        <f>IFERROR(__xludf.DUMMYFUNCTION("""COMPUTED_VALUE"""),0.0190985485103132)</f>
        <v>0.01909854851</v>
      </c>
      <c r="AF143" s="16">
        <f>IFERROR(__xludf.DUMMYFUNCTION("""COMPUTED_VALUE"""),0.0137509549274255)</f>
        <v>0.01375095493</v>
      </c>
      <c r="AG143" s="16">
        <f>IFERROR(__xludf.DUMMYFUNCTION("""COMPUTED_VALUE"""),0.0139982502187226)</f>
        <v>0.01399825022</v>
      </c>
      <c r="AH143" s="16">
        <f>IFERROR(__xludf.DUMMYFUNCTION("""COMPUTED_VALUE"""),0.0)</f>
        <v>0</v>
      </c>
    </row>
    <row r="144">
      <c r="A144" s="16" t="str">
        <f>IFERROR(__xludf.DUMMYFUNCTION("""COMPUTED_VALUE"""),"778663539ccabc8ee781b66d2bf6ff6a7f527163")</f>
        <v>778663539ccabc8ee781b66d2bf6ff6a7f527163</v>
      </c>
      <c r="B144" s="16" t="str">
        <f>IFERROR(__xludf.DUMMYFUNCTION("""COMPUTED_VALUE"""),"The Lazuras Engine System")</f>
        <v>The Lazuras Engine System</v>
      </c>
      <c r="C144" s="16" t="str">
        <f>IFERROR(__xludf.DUMMYFUNCTION("""COMPUTED_VALUE"""),"System and Superpower")</f>
        <v>System and Superpower</v>
      </c>
      <c r="D144" s="16">
        <f>IFERROR(__xludf.DUMMYFUNCTION("""COMPUTED_VALUE"""),38.0)</f>
        <v>38</v>
      </c>
      <c r="E144" s="16">
        <f>IFERROR(__xludf.DUMMYFUNCTION("""COMPUTED_VALUE"""),1.0)</f>
        <v>1</v>
      </c>
      <c r="F144" s="16">
        <f>IFERROR(__xludf.DUMMYFUNCTION("""COMPUTED_VALUE"""),0.578947368421052)</f>
        <v>0.5789473684</v>
      </c>
      <c r="G144" s="16">
        <f>IFERROR(__xludf.DUMMYFUNCTION("""COMPUTED_VALUE"""),0.473684210526315)</f>
        <v>0.4736842105</v>
      </c>
      <c r="H144" s="16">
        <f>IFERROR(__xludf.DUMMYFUNCTION("""COMPUTED_VALUE"""),0.421052631578947)</f>
        <v>0.4210526316</v>
      </c>
      <c r="I144" s="16">
        <f>IFERROR(__xludf.DUMMYFUNCTION("""COMPUTED_VALUE"""),0.421052631578947)</f>
        <v>0.4210526316</v>
      </c>
      <c r="J144" s="16">
        <f>IFERROR(__xludf.DUMMYFUNCTION("""COMPUTED_VALUE"""),0.421052631578947)</f>
        <v>0.4210526316</v>
      </c>
      <c r="K144" s="16">
        <f>IFERROR(__xludf.DUMMYFUNCTION("""COMPUTED_VALUE"""),0.368421052631578)</f>
        <v>0.3684210526</v>
      </c>
      <c r="L144" s="16">
        <f>IFERROR(__xludf.DUMMYFUNCTION("""COMPUTED_VALUE"""),0.31578947368421)</f>
        <v>0.3157894737</v>
      </c>
      <c r="M144" s="16">
        <f>IFERROR(__xludf.DUMMYFUNCTION("""COMPUTED_VALUE"""),0.31578947368421)</f>
        <v>0.3157894737</v>
      </c>
      <c r="N144" s="16">
        <f>IFERROR(__xludf.DUMMYFUNCTION("""COMPUTED_VALUE"""),0.289473684210526)</f>
        <v>0.2894736842</v>
      </c>
      <c r="O144" s="16">
        <f>IFERROR(__xludf.DUMMYFUNCTION("""COMPUTED_VALUE"""),0.23076923076923)</f>
        <v>0.2307692308</v>
      </c>
      <c r="P144" s="16">
        <f>IFERROR(__xludf.DUMMYFUNCTION("""COMPUTED_VALUE"""),0.166666666666666)</f>
        <v>0.1666666667</v>
      </c>
      <c r="Q144" s="16">
        <f>IFERROR(__xludf.DUMMYFUNCTION("""COMPUTED_VALUE"""),0.105263157894736)</f>
        <v>0.1052631579</v>
      </c>
      <c r="R144" s="16">
        <f>IFERROR(__xludf.DUMMYFUNCTION("""COMPUTED_VALUE"""),0.0)</f>
        <v>0</v>
      </c>
      <c r="S144" s="16">
        <f>IFERROR(__xludf.DUMMYFUNCTION("""COMPUTED_VALUE"""),0.0)</f>
        <v>0</v>
      </c>
      <c r="T144" s="16">
        <f>IFERROR(__xludf.DUMMYFUNCTION("""COMPUTED_VALUE"""),0.0)</f>
        <v>0</v>
      </c>
      <c r="U144" s="16">
        <f>IFERROR(__xludf.DUMMYFUNCTION("""COMPUTED_VALUE"""),0.0)</f>
        <v>0</v>
      </c>
      <c r="V144" s="16">
        <f>IFERROR(__xludf.DUMMYFUNCTION("""COMPUTED_VALUE"""),0.0)</f>
        <v>0</v>
      </c>
      <c r="W144" s="16">
        <f>IFERROR(__xludf.DUMMYFUNCTION("""COMPUTED_VALUE"""),0.0)</f>
        <v>0</v>
      </c>
      <c r="X144" s="16">
        <f>IFERROR(__xludf.DUMMYFUNCTION("""COMPUTED_VALUE"""),0.0)</f>
        <v>0</v>
      </c>
      <c r="Y144" s="16">
        <f>IFERROR(__xludf.DUMMYFUNCTION("""COMPUTED_VALUE"""),0.0)</f>
        <v>0</v>
      </c>
      <c r="Z144" s="16">
        <f>IFERROR(__xludf.DUMMYFUNCTION("""COMPUTED_VALUE"""),0.0)</f>
        <v>0</v>
      </c>
      <c r="AA144" s="16">
        <f>IFERROR(__xludf.DUMMYFUNCTION("""COMPUTED_VALUE"""),0.0)</f>
        <v>0</v>
      </c>
      <c r="AB144" s="16">
        <f>IFERROR(__xludf.DUMMYFUNCTION("""COMPUTED_VALUE"""),0.0)</f>
        <v>0</v>
      </c>
      <c r="AC144" s="16">
        <f>IFERROR(__xludf.DUMMYFUNCTION("""COMPUTED_VALUE"""),0.0)</f>
        <v>0</v>
      </c>
      <c r="AD144" s="16">
        <f>IFERROR(__xludf.DUMMYFUNCTION("""COMPUTED_VALUE"""),0.0)</f>
        <v>0</v>
      </c>
      <c r="AE144" s="16">
        <f>IFERROR(__xludf.DUMMYFUNCTION("""COMPUTED_VALUE"""),0.0)</f>
        <v>0</v>
      </c>
      <c r="AF144" s="16">
        <f>IFERROR(__xludf.DUMMYFUNCTION("""COMPUTED_VALUE"""),0.0)</f>
        <v>0</v>
      </c>
      <c r="AG144" s="16">
        <f>IFERROR(__xludf.DUMMYFUNCTION("""COMPUTED_VALUE"""),0.0)</f>
        <v>0</v>
      </c>
      <c r="AH144" s="16">
        <f>IFERROR(__xludf.DUMMYFUNCTION("""COMPUTED_VALUE"""),0.0)</f>
        <v>0</v>
      </c>
    </row>
    <row r="145">
      <c r="A145" s="16" t="str">
        <f>IFERROR(__xludf.DUMMYFUNCTION("""COMPUTED_VALUE"""),"77c25fc29116ebc88dff5390f311fed0e9b28cf4")</f>
        <v>77c25fc29116ebc88dff5390f311fed0e9b28cf4</v>
      </c>
      <c r="B145" s="16" t="str">
        <f>IFERROR(__xludf.DUMMYFUNCTION("""COMPUTED_VALUE"""),"Zaaynn: Birth of a Kingg")</f>
        <v>Zaaynn: Birth of a Kingg</v>
      </c>
      <c r="C145" s="16" t="str">
        <f>IFERROR(__xludf.DUMMYFUNCTION("""COMPUTED_VALUE"""),"Fantasy")</f>
        <v>Fantasy</v>
      </c>
      <c r="D145" s="16">
        <f>IFERROR(__xludf.DUMMYFUNCTION("""COMPUTED_VALUE"""),28.0)</f>
        <v>28</v>
      </c>
      <c r="E145" s="16">
        <f>IFERROR(__xludf.DUMMYFUNCTION("""COMPUTED_VALUE"""),0.964285714285714)</f>
        <v>0.9642857143</v>
      </c>
      <c r="F145" s="16">
        <f>IFERROR(__xludf.DUMMYFUNCTION("""COMPUTED_VALUE"""),0.392857142857142)</f>
        <v>0.3928571429</v>
      </c>
      <c r="G145" s="16">
        <f>IFERROR(__xludf.DUMMYFUNCTION("""COMPUTED_VALUE"""),0.321428571428571)</f>
        <v>0.3214285714</v>
      </c>
      <c r="H145" s="16">
        <f>IFERROR(__xludf.DUMMYFUNCTION("""COMPUTED_VALUE"""),0.296296296296296)</f>
        <v>0.2962962963</v>
      </c>
      <c r="I145" s="16">
        <f>IFERROR(__xludf.DUMMYFUNCTION("""COMPUTED_VALUE"""),0.269230769230769)</f>
        <v>0.2692307692</v>
      </c>
      <c r="J145" s="16">
        <f>IFERROR(__xludf.DUMMYFUNCTION("""COMPUTED_VALUE"""),0.28)</f>
        <v>0.28</v>
      </c>
      <c r="K145" s="16">
        <f>IFERROR(__xludf.DUMMYFUNCTION("""COMPUTED_VALUE"""),0.28)</f>
        <v>0.28</v>
      </c>
      <c r="L145" s="16">
        <f>IFERROR(__xludf.DUMMYFUNCTION("""COMPUTED_VALUE"""),0.28)</f>
        <v>0.28</v>
      </c>
      <c r="M145" s="16">
        <f>IFERROR(__xludf.DUMMYFUNCTION("""COMPUTED_VALUE"""),0.28)</f>
        <v>0.28</v>
      </c>
      <c r="N145" s="16">
        <f>IFERROR(__xludf.DUMMYFUNCTION("""COMPUTED_VALUE"""),0.28)</f>
        <v>0.28</v>
      </c>
      <c r="O145" s="16">
        <f>IFERROR(__xludf.DUMMYFUNCTION("""COMPUTED_VALUE"""),0.227272727272727)</f>
        <v>0.2272727273</v>
      </c>
      <c r="P145" s="16">
        <f>IFERROR(__xludf.DUMMYFUNCTION("""COMPUTED_VALUE"""),0.142857142857142)</f>
        <v>0.1428571429</v>
      </c>
      <c r="Q145" s="16">
        <f>IFERROR(__xludf.DUMMYFUNCTION("""COMPUTED_VALUE"""),0.0)</f>
        <v>0</v>
      </c>
      <c r="R145" s="16">
        <f>IFERROR(__xludf.DUMMYFUNCTION("""COMPUTED_VALUE"""),0.0)</f>
        <v>0</v>
      </c>
      <c r="S145" s="16">
        <f>IFERROR(__xludf.DUMMYFUNCTION("""COMPUTED_VALUE"""),0.0)</f>
        <v>0</v>
      </c>
      <c r="T145" s="16">
        <f>IFERROR(__xludf.DUMMYFUNCTION("""COMPUTED_VALUE"""),0.0)</f>
        <v>0</v>
      </c>
      <c r="U145" s="16">
        <f>IFERROR(__xludf.DUMMYFUNCTION("""COMPUTED_VALUE"""),0.0)</f>
        <v>0</v>
      </c>
      <c r="V145" s="16">
        <f>IFERROR(__xludf.DUMMYFUNCTION("""COMPUTED_VALUE"""),0.0)</f>
        <v>0</v>
      </c>
      <c r="W145" s="16">
        <f>IFERROR(__xludf.DUMMYFUNCTION("""COMPUTED_VALUE"""),0.0)</f>
        <v>0</v>
      </c>
      <c r="X145" s="16">
        <f>IFERROR(__xludf.DUMMYFUNCTION("""COMPUTED_VALUE"""),0.0)</f>
        <v>0</v>
      </c>
      <c r="Y145" s="16">
        <f>IFERROR(__xludf.DUMMYFUNCTION("""COMPUTED_VALUE"""),0.0)</f>
        <v>0</v>
      </c>
      <c r="Z145" s="16">
        <f>IFERROR(__xludf.DUMMYFUNCTION("""COMPUTED_VALUE"""),0.0)</f>
        <v>0</v>
      </c>
      <c r="AA145" s="16">
        <f>IFERROR(__xludf.DUMMYFUNCTION("""COMPUTED_VALUE"""),0.0)</f>
        <v>0</v>
      </c>
      <c r="AB145" s="16">
        <f>IFERROR(__xludf.DUMMYFUNCTION("""COMPUTED_VALUE"""),0.0)</f>
        <v>0</v>
      </c>
      <c r="AC145" s="16">
        <f>IFERROR(__xludf.DUMMYFUNCTION("""COMPUTED_VALUE"""),0.0)</f>
        <v>0</v>
      </c>
      <c r="AD145" s="16">
        <f>IFERROR(__xludf.DUMMYFUNCTION("""COMPUTED_VALUE"""),0.0)</f>
        <v>0</v>
      </c>
      <c r="AE145" s="16">
        <f>IFERROR(__xludf.DUMMYFUNCTION("""COMPUTED_VALUE"""),0.0)</f>
        <v>0</v>
      </c>
      <c r="AF145" s="16">
        <f>IFERROR(__xludf.DUMMYFUNCTION("""COMPUTED_VALUE"""),0.0)</f>
        <v>0</v>
      </c>
      <c r="AG145" s="16">
        <f>IFERROR(__xludf.DUMMYFUNCTION("""COMPUTED_VALUE"""),0.0)</f>
        <v>0</v>
      </c>
      <c r="AH145" s="16">
        <f>IFERROR(__xludf.DUMMYFUNCTION("""COMPUTED_VALUE"""),0.0)</f>
        <v>0</v>
      </c>
    </row>
    <row r="146">
      <c r="A146" s="16" t="str">
        <f>IFERROR(__xludf.DUMMYFUNCTION("""COMPUTED_VALUE"""),"7b3a625b0f5bbaa9080a6795b2d70e994716f8a5")</f>
        <v>7b3a625b0f5bbaa9080a6795b2d70e994716f8a5</v>
      </c>
      <c r="B146" s="16" t="str">
        <f>IFERROR(__xludf.DUMMYFUNCTION("""COMPUTED_VALUE"""),"Unexpectedly Yours")</f>
        <v>Unexpectedly Yours</v>
      </c>
      <c r="C146" s="16" t="str">
        <f>IFERROR(__xludf.DUMMYFUNCTION("""COMPUTED_VALUE"""),"Romance")</f>
        <v>Romance</v>
      </c>
      <c r="D146" s="16">
        <f>IFERROR(__xludf.DUMMYFUNCTION("""COMPUTED_VALUE"""),242.0)</f>
        <v>242</v>
      </c>
      <c r="E146" s="16">
        <f>IFERROR(__xludf.DUMMYFUNCTION("""COMPUTED_VALUE"""),0.938016528925619)</f>
        <v>0.9380165289</v>
      </c>
      <c r="F146" s="16">
        <f>IFERROR(__xludf.DUMMYFUNCTION("""COMPUTED_VALUE"""),0.409090909090909)</f>
        <v>0.4090909091</v>
      </c>
      <c r="G146" s="16">
        <f>IFERROR(__xludf.DUMMYFUNCTION("""COMPUTED_VALUE"""),0.37759336099585)</f>
        <v>0.377593361</v>
      </c>
      <c r="H146" s="16">
        <f>IFERROR(__xludf.DUMMYFUNCTION("""COMPUTED_VALUE"""),0.33609958506224)</f>
        <v>0.3360995851</v>
      </c>
      <c r="I146" s="16">
        <f>IFERROR(__xludf.DUMMYFUNCTION("""COMPUTED_VALUE"""),0.30672268907563)</f>
        <v>0.3067226891</v>
      </c>
      <c r="J146" s="16">
        <f>IFERROR(__xludf.DUMMYFUNCTION("""COMPUTED_VALUE"""),0.254464285714285)</f>
        <v>0.2544642857</v>
      </c>
      <c r="K146" s="16">
        <f>IFERROR(__xludf.DUMMYFUNCTION("""COMPUTED_VALUE"""),0.256038647342995)</f>
        <v>0.2560386473</v>
      </c>
      <c r="L146" s="16">
        <f>IFERROR(__xludf.DUMMYFUNCTION("""COMPUTED_VALUE"""),0.219780219780219)</f>
        <v>0.2197802198</v>
      </c>
      <c r="M146" s="16">
        <f>IFERROR(__xludf.DUMMYFUNCTION("""COMPUTED_VALUE"""),0.187134502923976)</f>
        <v>0.1871345029</v>
      </c>
      <c r="N146" s="16">
        <f>IFERROR(__xludf.DUMMYFUNCTION("""COMPUTED_VALUE"""),0.176470588235294)</f>
        <v>0.1764705882</v>
      </c>
      <c r="O146" s="16">
        <f>IFERROR(__xludf.DUMMYFUNCTION("""COMPUTED_VALUE"""),0.122448979591836)</f>
        <v>0.1224489796</v>
      </c>
      <c r="P146" s="16">
        <f>IFERROR(__xludf.DUMMYFUNCTION("""COMPUTED_VALUE"""),0.127272727272727)</f>
        <v>0.1272727273</v>
      </c>
      <c r="Q146" s="16">
        <f>IFERROR(__xludf.DUMMYFUNCTION("""COMPUTED_VALUE"""),0.5)</f>
        <v>0.5</v>
      </c>
      <c r="R146" s="16">
        <f>IFERROR(__xludf.DUMMYFUNCTION("""COMPUTED_VALUE"""),0.0)</f>
        <v>0</v>
      </c>
      <c r="S146" s="16">
        <f>IFERROR(__xludf.DUMMYFUNCTION("""COMPUTED_VALUE"""),0.0)</f>
        <v>0</v>
      </c>
      <c r="T146" s="16">
        <f>IFERROR(__xludf.DUMMYFUNCTION("""COMPUTED_VALUE"""),0.0)</f>
        <v>0</v>
      </c>
      <c r="U146" s="16">
        <f>IFERROR(__xludf.DUMMYFUNCTION("""COMPUTED_VALUE"""),0.0)</f>
        <v>0</v>
      </c>
      <c r="V146" s="16">
        <f>IFERROR(__xludf.DUMMYFUNCTION("""COMPUTED_VALUE"""),0.0)</f>
        <v>0</v>
      </c>
      <c r="W146" s="16">
        <f>IFERROR(__xludf.DUMMYFUNCTION("""COMPUTED_VALUE"""),0.0)</f>
        <v>0</v>
      </c>
      <c r="X146" s="16">
        <f>IFERROR(__xludf.DUMMYFUNCTION("""COMPUTED_VALUE"""),0.0)</f>
        <v>0</v>
      </c>
      <c r="Y146" s="16">
        <f>IFERROR(__xludf.DUMMYFUNCTION("""COMPUTED_VALUE"""),0.0)</f>
        <v>0</v>
      </c>
      <c r="Z146" s="16">
        <f>IFERROR(__xludf.DUMMYFUNCTION("""COMPUTED_VALUE"""),0.0)</f>
        <v>0</v>
      </c>
      <c r="AA146" s="16">
        <f>IFERROR(__xludf.DUMMYFUNCTION("""COMPUTED_VALUE"""),0.0)</f>
        <v>0</v>
      </c>
      <c r="AB146" s="16">
        <f>IFERROR(__xludf.DUMMYFUNCTION("""COMPUTED_VALUE"""),0.0)</f>
        <v>0</v>
      </c>
      <c r="AC146" s="16">
        <f>IFERROR(__xludf.DUMMYFUNCTION("""COMPUTED_VALUE"""),0.0)</f>
        <v>0</v>
      </c>
      <c r="AD146" s="16">
        <f>IFERROR(__xludf.DUMMYFUNCTION("""COMPUTED_VALUE"""),0.0)</f>
        <v>0</v>
      </c>
      <c r="AE146" s="16">
        <f>IFERROR(__xludf.DUMMYFUNCTION("""COMPUTED_VALUE"""),0.0)</f>
        <v>0</v>
      </c>
      <c r="AF146" s="16">
        <f>IFERROR(__xludf.DUMMYFUNCTION("""COMPUTED_VALUE"""),0.0)</f>
        <v>0</v>
      </c>
      <c r="AG146" s="16">
        <f>IFERROR(__xludf.DUMMYFUNCTION("""COMPUTED_VALUE"""),0.0)</f>
        <v>0</v>
      </c>
      <c r="AH146" s="16">
        <f>IFERROR(__xludf.DUMMYFUNCTION("""COMPUTED_VALUE"""),0.0)</f>
        <v>0</v>
      </c>
    </row>
    <row r="147">
      <c r="A147" s="16" t="str">
        <f>IFERROR(__xludf.DUMMYFUNCTION("""COMPUTED_VALUE"""),"7c9e3c835e58a5ec8e21381910eaaf785ea5ddfc")</f>
        <v>7c9e3c835e58a5ec8e21381910eaaf785ea5ddfc</v>
      </c>
      <c r="B147" s="16" t="str">
        <f>IFERROR(__xludf.DUMMYFUNCTION("""COMPUTED_VALUE"""),"I Do ... Or Do I? ")</f>
        <v>I Do ... Or Do I? </v>
      </c>
      <c r="C147" s="16" t="str">
        <f>IFERROR(__xludf.DUMMYFUNCTION("""COMPUTED_VALUE"""),"Romance")</f>
        <v>Romance</v>
      </c>
      <c r="D147" s="16">
        <f>IFERROR(__xludf.DUMMYFUNCTION("""COMPUTED_VALUE"""),585.0)</f>
        <v>585</v>
      </c>
      <c r="E147" s="16">
        <f>IFERROR(__xludf.DUMMYFUNCTION("""COMPUTED_VALUE"""),0.948717948717948)</f>
        <v>0.9487179487</v>
      </c>
      <c r="F147" s="16">
        <f>IFERROR(__xludf.DUMMYFUNCTION("""COMPUTED_VALUE"""),0.576068376068376)</f>
        <v>0.5760683761</v>
      </c>
      <c r="G147" s="16">
        <f>IFERROR(__xludf.DUMMYFUNCTION("""COMPUTED_VALUE"""),0.536752136752136)</f>
        <v>0.5367521368</v>
      </c>
      <c r="H147" s="16">
        <f>IFERROR(__xludf.DUMMYFUNCTION("""COMPUTED_VALUE"""),0.514529914529914)</f>
        <v>0.5145299145</v>
      </c>
      <c r="I147" s="16">
        <f>IFERROR(__xludf.DUMMYFUNCTION("""COMPUTED_VALUE"""),0.493150684931506)</f>
        <v>0.4931506849</v>
      </c>
      <c r="J147" s="16">
        <f>IFERROR(__xludf.DUMMYFUNCTION("""COMPUTED_VALUE"""),0.469072164948453)</f>
        <v>0.4690721649</v>
      </c>
      <c r="K147" s="16">
        <f>IFERROR(__xludf.DUMMYFUNCTION("""COMPUTED_VALUE"""),0.440972222222222)</f>
        <v>0.4409722222</v>
      </c>
      <c r="L147" s="16">
        <f>IFERROR(__xludf.DUMMYFUNCTION("""COMPUTED_VALUE"""),0.406631762652705)</f>
        <v>0.4066317627</v>
      </c>
      <c r="M147" s="16">
        <f>IFERROR(__xludf.DUMMYFUNCTION("""COMPUTED_VALUE"""),0.382867132867132)</f>
        <v>0.3828671329</v>
      </c>
      <c r="N147" s="16">
        <f>IFERROR(__xludf.DUMMYFUNCTION("""COMPUTED_VALUE"""),0.364130434782608)</f>
        <v>0.3641304348</v>
      </c>
      <c r="O147" s="16">
        <f>IFERROR(__xludf.DUMMYFUNCTION("""COMPUTED_VALUE"""),0.303822937625754)</f>
        <v>0.3038229376</v>
      </c>
      <c r="P147" s="16">
        <f>IFERROR(__xludf.DUMMYFUNCTION("""COMPUTED_VALUE"""),0.219047619047619)</f>
        <v>0.219047619</v>
      </c>
      <c r="Q147" s="16">
        <f>IFERROR(__xludf.DUMMYFUNCTION("""COMPUTED_VALUE"""),0.122448979591836)</f>
        <v>0.1224489796</v>
      </c>
      <c r="R147" s="16">
        <f>IFERROR(__xludf.DUMMYFUNCTION("""COMPUTED_VALUE"""),0.0)</f>
        <v>0</v>
      </c>
      <c r="S147" s="16">
        <f>IFERROR(__xludf.DUMMYFUNCTION("""COMPUTED_VALUE"""),0.0)</f>
        <v>0</v>
      </c>
      <c r="T147" s="16">
        <f>IFERROR(__xludf.DUMMYFUNCTION("""COMPUTED_VALUE"""),0.0)</f>
        <v>0</v>
      </c>
      <c r="U147" s="16">
        <f>IFERROR(__xludf.DUMMYFUNCTION("""COMPUTED_VALUE"""),0.0)</f>
        <v>0</v>
      </c>
      <c r="V147" s="16">
        <f>IFERROR(__xludf.DUMMYFUNCTION("""COMPUTED_VALUE"""),0.0)</f>
        <v>0</v>
      </c>
      <c r="W147" s="16">
        <f>IFERROR(__xludf.DUMMYFUNCTION("""COMPUTED_VALUE"""),0.0)</f>
        <v>0</v>
      </c>
      <c r="X147" s="16">
        <f>IFERROR(__xludf.DUMMYFUNCTION("""COMPUTED_VALUE"""),0.0)</f>
        <v>0</v>
      </c>
      <c r="Y147" s="16">
        <f>IFERROR(__xludf.DUMMYFUNCTION("""COMPUTED_VALUE"""),0.0)</f>
        <v>0</v>
      </c>
      <c r="Z147" s="16">
        <f>IFERROR(__xludf.DUMMYFUNCTION("""COMPUTED_VALUE"""),0.0)</f>
        <v>0</v>
      </c>
      <c r="AA147" s="16">
        <f>IFERROR(__xludf.DUMMYFUNCTION("""COMPUTED_VALUE"""),0.0)</f>
        <v>0</v>
      </c>
      <c r="AB147" s="16">
        <f>IFERROR(__xludf.DUMMYFUNCTION("""COMPUTED_VALUE"""),0.0)</f>
        <v>0</v>
      </c>
      <c r="AC147" s="16">
        <f>IFERROR(__xludf.DUMMYFUNCTION("""COMPUTED_VALUE"""),0.0)</f>
        <v>0</v>
      </c>
      <c r="AD147" s="16">
        <f>IFERROR(__xludf.DUMMYFUNCTION("""COMPUTED_VALUE"""),0.0)</f>
        <v>0</v>
      </c>
      <c r="AE147" s="16">
        <f>IFERROR(__xludf.DUMMYFUNCTION("""COMPUTED_VALUE"""),0.0)</f>
        <v>0</v>
      </c>
      <c r="AF147" s="16">
        <f>IFERROR(__xludf.DUMMYFUNCTION("""COMPUTED_VALUE"""),0.0)</f>
        <v>0</v>
      </c>
      <c r="AG147" s="16">
        <f>IFERROR(__xludf.DUMMYFUNCTION("""COMPUTED_VALUE"""),0.0)</f>
        <v>0</v>
      </c>
      <c r="AH147" s="16">
        <f>IFERROR(__xludf.DUMMYFUNCTION("""COMPUTED_VALUE"""),0.0)</f>
        <v>0</v>
      </c>
    </row>
    <row r="148">
      <c r="A148" s="16" t="str">
        <f>IFERROR(__xludf.DUMMYFUNCTION("""COMPUTED_VALUE"""),"7d18c26c9a61af0d543d74280e7328e01a907988")</f>
        <v>7d18c26c9a61af0d543d74280e7328e01a907988</v>
      </c>
      <c r="B148" s="16" t="str">
        <f>IFERROR(__xludf.DUMMYFUNCTION("""COMPUTED_VALUE"""),"Empire of Love and War")</f>
        <v>Empire of Love and War</v>
      </c>
      <c r="C148" s="16" t="str">
        <f>IFERROR(__xludf.DUMMYFUNCTION("""COMPUTED_VALUE"""),"Romance")</f>
        <v>Romance</v>
      </c>
      <c r="D148" s="16">
        <f>IFERROR(__xludf.DUMMYFUNCTION("""COMPUTED_VALUE"""),4245.0)</f>
        <v>4245</v>
      </c>
      <c r="E148" s="16">
        <f>IFERROR(__xludf.DUMMYFUNCTION("""COMPUTED_VALUE"""),0.9773851590106)</f>
        <v>0.977385159</v>
      </c>
      <c r="F148" s="16">
        <f>IFERROR(__xludf.DUMMYFUNCTION("""COMPUTED_VALUE"""),0.555005889281507)</f>
        <v>0.5550058893</v>
      </c>
      <c r="G148" s="16">
        <f>IFERROR(__xludf.DUMMYFUNCTION("""COMPUTED_VALUE"""),0.500353356890459)</f>
        <v>0.5003533569</v>
      </c>
      <c r="H148" s="16">
        <f>IFERROR(__xludf.DUMMYFUNCTION("""COMPUTED_VALUE"""),0.446643109540636)</f>
        <v>0.4466431095</v>
      </c>
      <c r="I148" s="16">
        <f>IFERROR(__xludf.DUMMYFUNCTION("""COMPUTED_VALUE"""),0.410849056603773)</f>
        <v>0.4108490566</v>
      </c>
      <c r="J148" s="16">
        <f>IFERROR(__xludf.DUMMYFUNCTION("""COMPUTED_VALUE"""),0.377153646447958)</f>
        <v>0.3771536464</v>
      </c>
      <c r="K148" s="16">
        <f>IFERROR(__xludf.DUMMYFUNCTION("""COMPUTED_VALUE"""),0.352259285545304)</f>
        <v>0.3522592855</v>
      </c>
      <c r="L148" s="16">
        <f>IFERROR(__xludf.DUMMYFUNCTION("""COMPUTED_VALUE"""),0.330405886541656)</f>
        <v>0.3304058865</v>
      </c>
      <c r="M148" s="16">
        <f>IFERROR(__xludf.DUMMYFUNCTION("""COMPUTED_VALUE"""),0.314183551847437)</f>
        <v>0.3141835518</v>
      </c>
      <c r="N148" s="16">
        <f>IFERROR(__xludf.DUMMYFUNCTION("""COMPUTED_VALUE"""),0.297530568209062)</f>
        <v>0.2975305682</v>
      </c>
      <c r="O148" s="16">
        <f>IFERROR(__xludf.DUMMYFUNCTION("""COMPUTED_VALUE"""),0.204139715394566)</f>
        <v>0.2041397154</v>
      </c>
      <c r="P148" s="16">
        <f>IFERROR(__xludf.DUMMYFUNCTION("""COMPUTED_VALUE"""),0.137546468401487)</f>
        <v>0.1375464684</v>
      </c>
      <c r="Q148" s="16">
        <f>IFERROR(__xludf.DUMMYFUNCTION("""COMPUTED_VALUE"""),0.0983606557377049)</f>
        <v>0.09836065574</v>
      </c>
      <c r="R148" s="16">
        <f>IFERROR(__xludf.DUMMYFUNCTION("""COMPUTED_VALUE"""),0.0)</f>
        <v>0</v>
      </c>
      <c r="S148" s="16">
        <f>IFERROR(__xludf.DUMMYFUNCTION("""COMPUTED_VALUE"""),0.0)</f>
        <v>0</v>
      </c>
      <c r="T148" s="16">
        <f>IFERROR(__xludf.DUMMYFUNCTION("""COMPUTED_VALUE"""),0.0)</f>
        <v>0</v>
      </c>
      <c r="U148" s="16">
        <f>IFERROR(__xludf.DUMMYFUNCTION("""COMPUTED_VALUE"""),0.0)</f>
        <v>0</v>
      </c>
      <c r="V148" s="16">
        <f>IFERROR(__xludf.DUMMYFUNCTION("""COMPUTED_VALUE"""),0.0)</f>
        <v>0</v>
      </c>
      <c r="W148" s="16">
        <f>IFERROR(__xludf.DUMMYFUNCTION("""COMPUTED_VALUE"""),0.0)</f>
        <v>0</v>
      </c>
      <c r="X148" s="16">
        <f>IFERROR(__xludf.DUMMYFUNCTION("""COMPUTED_VALUE"""),0.0)</f>
        <v>0</v>
      </c>
      <c r="Y148" s="16">
        <f>IFERROR(__xludf.DUMMYFUNCTION("""COMPUTED_VALUE"""),0.0)</f>
        <v>0</v>
      </c>
      <c r="Z148" s="16">
        <f>IFERROR(__xludf.DUMMYFUNCTION("""COMPUTED_VALUE"""),0.0)</f>
        <v>0</v>
      </c>
      <c r="AA148" s="16">
        <f>IFERROR(__xludf.DUMMYFUNCTION("""COMPUTED_VALUE"""),0.0)</f>
        <v>0</v>
      </c>
      <c r="AB148" s="16">
        <f>IFERROR(__xludf.DUMMYFUNCTION("""COMPUTED_VALUE"""),0.0)</f>
        <v>0</v>
      </c>
      <c r="AC148" s="16">
        <f>IFERROR(__xludf.DUMMYFUNCTION("""COMPUTED_VALUE"""),0.0)</f>
        <v>0</v>
      </c>
      <c r="AD148" s="16">
        <f>IFERROR(__xludf.DUMMYFUNCTION("""COMPUTED_VALUE"""),0.0)</f>
        <v>0</v>
      </c>
      <c r="AE148" s="16">
        <f>IFERROR(__xludf.DUMMYFUNCTION("""COMPUTED_VALUE"""),0.0)</f>
        <v>0</v>
      </c>
      <c r="AF148" s="16">
        <f>IFERROR(__xludf.DUMMYFUNCTION("""COMPUTED_VALUE"""),0.0)</f>
        <v>0</v>
      </c>
      <c r="AG148" s="16">
        <f>IFERROR(__xludf.DUMMYFUNCTION("""COMPUTED_VALUE"""),0.0)</f>
        <v>0</v>
      </c>
      <c r="AH148" s="16">
        <f>IFERROR(__xludf.DUMMYFUNCTION("""COMPUTED_VALUE"""),0.0)</f>
        <v>0</v>
      </c>
    </row>
    <row r="149">
      <c r="A149" s="16" t="str">
        <f>IFERROR(__xludf.DUMMYFUNCTION("""COMPUTED_VALUE"""),"7dcd0d4c632448440b17285c811990532a31efec")</f>
        <v>7dcd0d4c632448440b17285c811990532a31efec</v>
      </c>
      <c r="B149" s="16" t="str">
        <f>IFERROR(__xludf.DUMMYFUNCTION("""COMPUTED_VALUE"""),"The Scentless Luna")</f>
        <v>The Scentless Luna</v>
      </c>
      <c r="C149" s="16" t="str">
        <f>IFERROR(__xludf.DUMMYFUNCTION("""COMPUTED_VALUE"""),"Romantasy")</f>
        <v>Romantasy</v>
      </c>
      <c r="D149" s="16">
        <f>IFERROR(__xludf.DUMMYFUNCTION("""COMPUTED_VALUE"""),839.0)</f>
        <v>839</v>
      </c>
      <c r="E149" s="16">
        <f>IFERROR(__xludf.DUMMYFUNCTION("""COMPUTED_VALUE"""),0.979737783075089)</f>
        <v>0.9797377831</v>
      </c>
      <c r="F149" s="16">
        <f>IFERROR(__xludf.DUMMYFUNCTION("""COMPUTED_VALUE"""),0.594755661501787)</f>
        <v>0.5947556615</v>
      </c>
      <c r="G149" s="16">
        <f>IFERROR(__xludf.DUMMYFUNCTION("""COMPUTED_VALUE"""),0.528009535160905)</f>
        <v>0.5280095352</v>
      </c>
      <c r="H149" s="16">
        <f>IFERROR(__xludf.DUMMYFUNCTION("""COMPUTED_VALUE"""),0.431980906921241)</f>
        <v>0.4319809069</v>
      </c>
      <c r="I149" s="16">
        <f>IFERROR(__xludf.DUMMYFUNCTION("""COMPUTED_VALUE"""),0.396111786148238)</f>
        <v>0.3961117861</v>
      </c>
      <c r="J149" s="16">
        <f>IFERROR(__xludf.DUMMYFUNCTION("""COMPUTED_VALUE"""),0.37065637065637)</f>
        <v>0.3706563707</v>
      </c>
      <c r="K149" s="16">
        <f>IFERROR(__xludf.DUMMYFUNCTION("""COMPUTED_VALUE"""),0.349934469200524)</f>
        <v>0.3499344692</v>
      </c>
      <c r="L149" s="16">
        <f>IFERROR(__xludf.DUMMYFUNCTION("""COMPUTED_VALUE"""),0.352941176470588)</f>
        <v>0.3529411765</v>
      </c>
      <c r="M149" s="16">
        <f>IFERROR(__xludf.DUMMYFUNCTION("""COMPUTED_VALUE"""),0.349705304518664)</f>
        <v>0.3497053045</v>
      </c>
      <c r="N149" s="16">
        <f>IFERROR(__xludf.DUMMYFUNCTION("""COMPUTED_VALUE"""),0.343478260869565)</f>
        <v>0.3434782609</v>
      </c>
      <c r="O149" s="16">
        <f>IFERROR(__xludf.DUMMYFUNCTION("""COMPUTED_VALUE"""),0.218961625282167)</f>
        <v>0.2189616253</v>
      </c>
      <c r="P149" s="16">
        <f>IFERROR(__xludf.DUMMYFUNCTION("""COMPUTED_VALUE"""),0.131944444444444)</f>
        <v>0.1319444444</v>
      </c>
      <c r="Q149" s="16">
        <f>IFERROR(__xludf.DUMMYFUNCTION("""COMPUTED_VALUE"""),0.079646017699115)</f>
        <v>0.0796460177</v>
      </c>
      <c r="R149" s="16">
        <f>IFERROR(__xludf.DUMMYFUNCTION("""COMPUTED_VALUE"""),0.0952380952380952)</f>
        <v>0.09523809524</v>
      </c>
      <c r="S149" s="16">
        <f>IFERROR(__xludf.DUMMYFUNCTION("""COMPUTED_VALUE"""),0.0)</f>
        <v>0</v>
      </c>
      <c r="T149" s="16">
        <f>IFERROR(__xludf.DUMMYFUNCTION("""COMPUTED_VALUE"""),0.0)</f>
        <v>0</v>
      </c>
      <c r="U149" s="16">
        <f>IFERROR(__xludf.DUMMYFUNCTION("""COMPUTED_VALUE"""),0.0)</f>
        <v>0</v>
      </c>
      <c r="V149" s="16">
        <f>IFERROR(__xludf.DUMMYFUNCTION("""COMPUTED_VALUE"""),0.0)</f>
        <v>0</v>
      </c>
      <c r="W149" s="16">
        <f>IFERROR(__xludf.DUMMYFUNCTION("""COMPUTED_VALUE"""),0.0)</f>
        <v>0</v>
      </c>
      <c r="X149" s="16">
        <f>IFERROR(__xludf.DUMMYFUNCTION("""COMPUTED_VALUE"""),0.0)</f>
        <v>0</v>
      </c>
      <c r="Y149" s="16">
        <f>IFERROR(__xludf.DUMMYFUNCTION("""COMPUTED_VALUE"""),0.0)</f>
        <v>0</v>
      </c>
      <c r="Z149" s="16">
        <f>IFERROR(__xludf.DUMMYFUNCTION("""COMPUTED_VALUE"""),0.0)</f>
        <v>0</v>
      </c>
      <c r="AA149" s="16">
        <f>IFERROR(__xludf.DUMMYFUNCTION("""COMPUTED_VALUE"""),0.0)</f>
        <v>0</v>
      </c>
      <c r="AB149" s="16">
        <f>IFERROR(__xludf.DUMMYFUNCTION("""COMPUTED_VALUE"""),0.0)</f>
        <v>0</v>
      </c>
      <c r="AC149" s="16">
        <f>IFERROR(__xludf.DUMMYFUNCTION("""COMPUTED_VALUE"""),0.0)</f>
        <v>0</v>
      </c>
      <c r="AD149" s="16">
        <f>IFERROR(__xludf.DUMMYFUNCTION("""COMPUTED_VALUE"""),0.0)</f>
        <v>0</v>
      </c>
      <c r="AE149" s="16">
        <f>IFERROR(__xludf.DUMMYFUNCTION("""COMPUTED_VALUE"""),0.0)</f>
        <v>0</v>
      </c>
      <c r="AF149" s="16">
        <f>IFERROR(__xludf.DUMMYFUNCTION("""COMPUTED_VALUE"""),0.0)</f>
        <v>0</v>
      </c>
      <c r="AG149" s="16">
        <f>IFERROR(__xludf.DUMMYFUNCTION("""COMPUTED_VALUE"""),0.0)</f>
        <v>0</v>
      </c>
      <c r="AH149" s="16">
        <f>IFERROR(__xludf.DUMMYFUNCTION("""COMPUTED_VALUE"""),0.0)</f>
        <v>0</v>
      </c>
    </row>
    <row r="150">
      <c r="A150" s="16" t="str">
        <f>IFERROR(__xludf.DUMMYFUNCTION("""COMPUTED_VALUE"""),"7fb3b080b1ad8976195f7a18e1df497bc23037fa")</f>
        <v>7fb3b080b1ad8976195f7a18e1df497bc23037fa</v>
      </c>
      <c r="B150" s="16" t="str">
        <f>IFERROR(__xludf.DUMMYFUNCTION("""COMPUTED_VALUE"""),"The Ghostwalker")</f>
        <v>The Ghostwalker</v>
      </c>
      <c r="C150" s="16" t="str">
        <f>IFERROR(__xludf.DUMMYFUNCTION("""COMPUTED_VALUE"""),"Suspense or Thriller")</f>
        <v>Suspense or Thriller</v>
      </c>
      <c r="D150" s="16">
        <f>IFERROR(__xludf.DUMMYFUNCTION("""COMPUTED_VALUE"""),1137.0)</f>
        <v>1137</v>
      </c>
      <c r="E150" s="16">
        <f>IFERROR(__xludf.DUMMYFUNCTION("""COMPUTED_VALUE"""),0.978012313104661)</f>
        <v>0.9780123131</v>
      </c>
      <c r="F150" s="16">
        <f>IFERROR(__xludf.DUMMYFUNCTION("""COMPUTED_VALUE"""),0.415127528583993)</f>
        <v>0.4151275286</v>
      </c>
      <c r="G150" s="16">
        <f>IFERROR(__xludf.DUMMYFUNCTION("""COMPUTED_VALUE"""),0.329815303430079)</f>
        <v>0.3298153034</v>
      </c>
      <c r="H150" s="16">
        <f>IFERROR(__xludf.DUMMYFUNCTION("""COMPUTED_VALUE"""),0.286091549295774)</f>
        <v>0.2860915493</v>
      </c>
      <c r="I150" s="16">
        <f>IFERROR(__xludf.DUMMYFUNCTION("""COMPUTED_VALUE"""),0.252435783879539)</f>
        <v>0.2524357839</v>
      </c>
      <c r="J150" s="16">
        <f>IFERROR(__xludf.DUMMYFUNCTION("""COMPUTED_VALUE"""),0.229874776386404)</f>
        <v>0.2298747764</v>
      </c>
      <c r="K150" s="16">
        <f>IFERROR(__xludf.DUMMYFUNCTION("""COMPUTED_VALUE"""),0.209386281588447)</f>
        <v>0.2093862816</v>
      </c>
      <c r="L150" s="16">
        <f>IFERROR(__xludf.DUMMYFUNCTION("""COMPUTED_VALUE"""),0.193284936479128)</f>
        <v>0.1932849365</v>
      </c>
      <c r="M150" s="16">
        <f>IFERROR(__xludf.DUMMYFUNCTION("""COMPUTED_VALUE"""),0.180327868852459)</f>
        <v>0.1803278689</v>
      </c>
      <c r="N150" s="16">
        <f>IFERROR(__xludf.DUMMYFUNCTION("""COMPUTED_VALUE"""),0.171088746569075)</f>
        <v>0.1710887466</v>
      </c>
      <c r="O150" s="16">
        <f>IFERROR(__xludf.DUMMYFUNCTION("""COMPUTED_VALUE"""),0.139186295503212)</f>
        <v>0.1391862955</v>
      </c>
      <c r="P150" s="16">
        <f>IFERROR(__xludf.DUMMYFUNCTION("""COMPUTED_VALUE"""),0.0837563451776649)</f>
        <v>0.08375634518</v>
      </c>
      <c r="Q150" s="16">
        <f>IFERROR(__xludf.DUMMYFUNCTION("""COMPUTED_VALUE"""),0.0)</f>
        <v>0</v>
      </c>
      <c r="R150" s="16">
        <f>IFERROR(__xludf.DUMMYFUNCTION("""COMPUTED_VALUE"""),0.0)</f>
        <v>0</v>
      </c>
      <c r="S150" s="16">
        <f>IFERROR(__xludf.DUMMYFUNCTION("""COMPUTED_VALUE"""),0.0)</f>
        <v>0</v>
      </c>
      <c r="T150" s="16">
        <f>IFERROR(__xludf.DUMMYFUNCTION("""COMPUTED_VALUE"""),0.0)</f>
        <v>0</v>
      </c>
      <c r="U150" s="16">
        <f>IFERROR(__xludf.DUMMYFUNCTION("""COMPUTED_VALUE"""),0.0)</f>
        <v>0</v>
      </c>
      <c r="V150" s="16">
        <f>IFERROR(__xludf.DUMMYFUNCTION("""COMPUTED_VALUE"""),0.0)</f>
        <v>0</v>
      </c>
      <c r="W150" s="16">
        <f>IFERROR(__xludf.DUMMYFUNCTION("""COMPUTED_VALUE"""),0.0)</f>
        <v>0</v>
      </c>
      <c r="X150" s="16">
        <f>IFERROR(__xludf.DUMMYFUNCTION("""COMPUTED_VALUE"""),0.0)</f>
        <v>0</v>
      </c>
      <c r="Y150" s="16">
        <f>IFERROR(__xludf.DUMMYFUNCTION("""COMPUTED_VALUE"""),0.0)</f>
        <v>0</v>
      </c>
      <c r="Z150" s="16">
        <f>IFERROR(__xludf.DUMMYFUNCTION("""COMPUTED_VALUE"""),0.0)</f>
        <v>0</v>
      </c>
      <c r="AA150" s="16">
        <f>IFERROR(__xludf.DUMMYFUNCTION("""COMPUTED_VALUE"""),0.0)</f>
        <v>0</v>
      </c>
      <c r="AB150" s="16">
        <f>IFERROR(__xludf.DUMMYFUNCTION("""COMPUTED_VALUE"""),0.0)</f>
        <v>0</v>
      </c>
      <c r="AC150" s="16">
        <f>IFERROR(__xludf.DUMMYFUNCTION("""COMPUTED_VALUE"""),0.0)</f>
        <v>0</v>
      </c>
      <c r="AD150" s="16">
        <f>IFERROR(__xludf.DUMMYFUNCTION("""COMPUTED_VALUE"""),0.0)</f>
        <v>0</v>
      </c>
      <c r="AE150" s="16">
        <f>IFERROR(__xludf.DUMMYFUNCTION("""COMPUTED_VALUE"""),0.0)</f>
        <v>0</v>
      </c>
      <c r="AF150" s="16">
        <f>IFERROR(__xludf.DUMMYFUNCTION("""COMPUTED_VALUE"""),0.0)</f>
        <v>0</v>
      </c>
      <c r="AG150" s="16">
        <f>IFERROR(__xludf.DUMMYFUNCTION("""COMPUTED_VALUE"""),0.0)</f>
        <v>0</v>
      </c>
      <c r="AH150" s="16">
        <f>IFERROR(__xludf.DUMMYFUNCTION("""COMPUTED_VALUE"""),0.0)</f>
        <v>0</v>
      </c>
    </row>
    <row r="151">
      <c r="A151" s="16" t="str">
        <f>IFERROR(__xludf.DUMMYFUNCTION("""COMPUTED_VALUE"""),"7fd747e6520471a8653824ad1a2ba2ad33b91835")</f>
        <v>7fd747e6520471a8653824ad1a2ba2ad33b91835</v>
      </c>
      <c r="B151" s="16" t="str">
        <f>IFERROR(__xludf.DUMMYFUNCTION("""COMPUTED_VALUE"""),"Evolution Online")</f>
        <v>Evolution Online</v>
      </c>
      <c r="C151" s="16" t="str">
        <f>IFERROR(__xludf.DUMMYFUNCTION("""COMPUTED_VALUE"""),"Fantasy")</f>
        <v>Fantasy</v>
      </c>
      <c r="D151" s="16">
        <f>IFERROR(__xludf.DUMMYFUNCTION("""COMPUTED_VALUE"""),30.0)</f>
        <v>30</v>
      </c>
      <c r="E151" s="16">
        <f>IFERROR(__xludf.DUMMYFUNCTION("""COMPUTED_VALUE"""),0.966666666666666)</f>
        <v>0.9666666667</v>
      </c>
      <c r="F151" s="16">
        <f>IFERROR(__xludf.DUMMYFUNCTION("""COMPUTED_VALUE"""),0.633333333333333)</f>
        <v>0.6333333333</v>
      </c>
      <c r="G151" s="16">
        <f>IFERROR(__xludf.DUMMYFUNCTION("""COMPUTED_VALUE"""),0.233333333333333)</f>
        <v>0.2333333333</v>
      </c>
      <c r="H151" s="16">
        <f>IFERROR(__xludf.DUMMYFUNCTION("""COMPUTED_VALUE"""),0.2)</f>
        <v>0.2</v>
      </c>
      <c r="I151" s="16">
        <f>IFERROR(__xludf.DUMMYFUNCTION("""COMPUTED_VALUE"""),0.2)</f>
        <v>0.2</v>
      </c>
      <c r="J151" s="16">
        <f>IFERROR(__xludf.DUMMYFUNCTION("""COMPUTED_VALUE"""),0.2)</f>
        <v>0.2</v>
      </c>
      <c r="K151" s="16">
        <f>IFERROR(__xludf.DUMMYFUNCTION("""COMPUTED_VALUE"""),0.1)</f>
        <v>0.1</v>
      </c>
      <c r="L151" s="16">
        <f>IFERROR(__xludf.DUMMYFUNCTION("""COMPUTED_VALUE"""),0.1)</f>
        <v>0.1</v>
      </c>
      <c r="M151" s="16">
        <f>IFERROR(__xludf.DUMMYFUNCTION("""COMPUTED_VALUE"""),0.1)</f>
        <v>0.1</v>
      </c>
      <c r="N151" s="16">
        <f>IFERROR(__xludf.DUMMYFUNCTION("""COMPUTED_VALUE"""),0.103448275862068)</f>
        <v>0.1034482759</v>
      </c>
      <c r="O151" s="16">
        <f>IFERROR(__xludf.DUMMYFUNCTION("""COMPUTED_VALUE"""),0.074074074074074)</f>
        <v>0.07407407407</v>
      </c>
      <c r="P151" s="16">
        <f>IFERROR(__xludf.DUMMYFUNCTION("""COMPUTED_VALUE"""),0.0769230769230769)</f>
        <v>0.07692307692</v>
      </c>
      <c r="Q151" s="16">
        <f>IFERROR(__xludf.DUMMYFUNCTION("""COMPUTED_VALUE"""),0.0434782608695652)</f>
        <v>0.04347826087</v>
      </c>
      <c r="R151" s="16">
        <f>IFERROR(__xludf.DUMMYFUNCTION("""COMPUTED_VALUE"""),0.0)</f>
        <v>0</v>
      </c>
      <c r="S151" s="16">
        <f>IFERROR(__xludf.DUMMYFUNCTION("""COMPUTED_VALUE"""),0.0)</f>
        <v>0</v>
      </c>
      <c r="T151" s="16">
        <f>IFERROR(__xludf.DUMMYFUNCTION("""COMPUTED_VALUE"""),0.0)</f>
        <v>0</v>
      </c>
      <c r="U151" s="16">
        <f>IFERROR(__xludf.DUMMYFUNCTION("""COMPUTED_VALUE"""),0.0)</f>
        <v>0</v>
      </c>
      <c r="V151" s="16">
        <f>IFERROR(__xludf.DUMMYFUNCTION("""COMPUTED_VALUE"""),0.0)</f>
        <v>0</v>
      </c>
      <c r="W151" s="16">
        <f>IFERROR(__xludf.DUMMYFUNCTION("""COMPUTED_VALUE"""),0.0)</f>
        <v>0</v>
      </c>
      <c r="X151" s="16">
        <f>IFERROR(__xludf.DUMMYFUNCTION("""COMPUTED_VALUE"""),0.0)</f>
        <v>0</v>
      </c>
      <c r="Y151" s="16">
        <f>IFERROR(__xludf.DUMMYFUNCTION("""COMPUTED_VALUE"""),0.0)</f>
        <v>0</v>
      </c>
      <c r="Z151" s="16">
        <f>IFERROR(__xludf.DUMMYFUNCTION("""COMPUTED_VALUE"""),0.0)</f>
        <v>0</v>
      </c>
      <c r="AA151" s="16">
        <f>IFERROR(__xludf.DUMMYFUNCTION("""COMPUTED_VALUE"""),0.0)</f>
        <v>0</v>
      </c>
      <c r="AB151" s="16">
        <f>IFERROR(__xludf.DUMMYFUNCTION("""COMPUTED_VALUE"""),0.0)</f>
        <v>0</v>
      </c>
      <c r="AC151" s="16">
        <f>IFERROR(__xludf.DUMMYFUNCTION("""COMPUTED_VALUE"""),0.0)</f>
        <v>0</v>
      </c>
      <c r="AD151" s="16">
        <f>IFERROR(__xludf.DUMMYFUNCTION("""COMPUTED_VALUE"""),0.0)</f>
        <v>0</v>
      </c>
      <c r="AE151" s="16">
        <f>IFERROR(__xludf.DUMMYFUNCTION("""COMPUTED_VALUE"""),0.0)</f>
        <v>0</v>
      </c>
      <c r="AF151" s="16">
        <f>IFERROR(__xludf.DUMMYFUNCTION("""COMPUTED_VALUE"""),0.0)</f>
        <v>0</v>
      </c>
      <c r="AG151" s="16">
        <f>IFERROR(__xludf.DUMMYFUNCTION("""COMPUTED_VALUE"""),0.0)</f>
        <v>0</v>
      </c>
      <c r="AH151" s="16">
        <f>IFERROR(__xludf.DUMMYFUNCTION("""COMPUTED_VALUE"""),0.0)</f>
        <v>0</v>
      </c>
    </row>
    <row r="152">
      <c r="A152" s="16" t="str">
        <f>IFERROR(__xludf.DUMMYFUNCTION("""COMPUTED_VALUE"""),"80e6be6f7d165552c60a2fc7cbf39746d2ab2466")</f>
        <v>80e6be6f7d165552c60a2fc7cbf39746d2ab2466</v>
      </c>
      <c r="B152" s="16" t="str">
        <f>IFERROR(__xludf.DUMMYFUNCTION("""COMPUTED_VALUE"""),"Marked by Him: True Mate")</f>
        <v>Marked by Him: True Mate</v>
      </c>
      <c r="C152" s="16" t="str">
        <f>IFERROR(__xludf.DUMMYFUNCTION("""COMPUTED_VALUE"""),"Romantasy")</f>
        <v>Romantasy</v>
      </c>
      <c r="D152" s="16">
        <f>IFERROR(__xludf.DUMMYFUNCTION("""COMPUTED_VALUE"""),1471.0)</f>
        <v>1471</v>
      </c>
      <c r="E152" s="16">
        <f>IFERROR(__xludf.DUMMYFUNCTION("""COMPUTED_VALUE"""),0.963290278721957)</f>
        <v>0.9632902787</v>
      </c>
      <c r="F152" s="16">
        <f>IFERROR(__xludf.DUMMYFUNCTION("""COMPUTED_VALUE"""),0.596193065941536)</f>
        <v>0.5961930659</v>
      </c>
      <c r="G152" s="16">
        <f>IFERROR(__xludf.DUMMYFUNCTION("""COMPUTED_VALUE"""),0.533650577838205)</f>
        <v>0.5336505778</v>
      </c>
      <c r="H152" s="16">
        <f>IFERROR(__xludf.DUMMYFUNCTION("""COMPUTED_VALUE"""),0.506458191706322)</f>
        <v>0.5064581917</v>
      </c>
      <c r="I152" s="16">
        <f>IFERROR(__xludf.DUMMYFUNCTION("""COMPUTED_VALUE"""),0.485384092454112)</f>
        <v>0.4853840925</v>
      </c>
      <c r="J152" s="16">
        <f>IFERROR(__xludf.DUMMYFUNCTION("""COMPUTED_VALUE"""),0.461224489795918)</f>
        <v>0.4612244898</v>
      </c>
      <c r="K152" s="16">
        <f>IFERROR(__xludf.DUMMYFUNCTION("""COMPUTED_VALUE"""),0.443686006825938)</f>
        <v>0.4436860068</v>
      </c>
      <c r="L152" s="16">
        <f>IFERROR(__xludf.DUMMYFUNCTION("""COMPUTED_VALUE"""),0.432672590567327)</f>
        <v>0.4326725906</v>
      </c>
      <c r="M152" s="16">
        <f>IFERROR(__xludf.DUMMYFUNCTION("""COMPUTED_VALUE"""),0.421629021218343)</f>
        <v>0.4216290212</v>
      </c>
      <c r="N152" s="16">
        <f>IFERROR(__xludf.DUMMYFUNCTION("""COMPUTED_VALUE"""),0.410432395332875)</f>
        <v>0.4104323953</v>
      </c>
      <c r="O152" s="16">
        <f>IFERROR(__xludf.DUMMYFUNCTION("""COMPUTED_VALUE"""),0.394698085419734)</f>
        <v>0.3946980854</v>
      </c>
      <c r="P152" s="16">
        <f>IFERROR(__xludf.DUMMYFUNCTION("""COMPUTED_VALUE"""),0.33201189296333)</f>
        <v>0.332011893</v>
      </c>
      <c r="Q152" s="16">
        <f>IFERROR(__xludf.DUMMYFUNCTION("""COMPUTED_VALUE"""),0.194729136163982)</f>
        <v>0.1947291362</v>
      </c>
      <c r="R152" s="16">
        <f>IFERROR(__xludf.DUMMYFUNCTION("""COMPUTED_VALUE"""),0.121951219512195)</f>
        <v>0.1219512195</v>
      </c>
      <c r="S152" s="16">
        <f>IFERROR(__xludf.DUMMYFUNCTION("""COMPUTED_VALUE"""),0.0)</f>
        <v>0</v>
      </c>
      <c r="T152" s="16">
        <f>IFERROR(__xludf.DUMMYFUNCTION("""COMPUTED_VALUE"""),0.0)</f>
        <v>0</v>
      </c>
      <c r="U152" s="16">
        <f>IFERROR(__xludf.DUMMYFUNCTION("""COMPUTED_VALUE"""),0.0)</f>
        <v>0</v>
      </c>
      <c r="V152" s="16">
        <f>IFERROR(__xludf.DUMMYFUNCTION("""COMPUTED_VALUE"""),0.0)</f>
        <v>0</v>
      </c>
      <c r="W152" s="16">
        <f>IFERROR(__xludf.DUMMYFUNCTION("""COMPUTED_VALUE"""),0.0)</f>
        <v>0</v>
      </c>
      <c r="X152" s="16">
        <f>IFERROR(__xludf.DUMMYFUNCTION("""COMPUTED_VALUE"""),0.0)</f>
        <v>0</v>
      </c>
      <c r="Y152" s="16">
        <f>IFERROR(__xludf.DUMMYFUNCTION("""COMPUTED_VALUE"""),0.0)</f>
        <v>0</v>
      </c>
      <c r="Z152" s="16">
        <f>IFERROR(__xludf.DUMMYFUNCTION("""COMPUTED_VALUE"""),0.0)</f>
        <v>0</v>
      </c>
      <c r="AA152" s="16">
        <f>IFERROR(__xludf.DUMMYFUNCTION("""COMPUTED_VALUE"""),0.0)</f>
        <v>0</v>
      </c>
      <c r="AB152" s="16">
        <f>IFERROR(__xludf.DUMMYFUNCTION("""COMPUTED_VALUE"""),0.0)</f>
        <v>0</v>
      </c>
      <c r="AC152" s="16">
        <f>IFERROR(__xludf.DUMMYFUNCTION("""COMPUTED_VALUE"""),0.0)</f>
        <v>0</v>
      </c>
      <c r="AD152" s="16">
        <f>IFERROR(__xludf.DUMMYFUNCTION("""COMPUTED_VALUE"""),0.0)</f>
        <v>0</v>
      </c>
      <c r="AE152" s="16">
        <f>IFERROR(__xludf.DUMMYFUNCTION("""COMPUTED_VALUE"""),0.0)</f>
        <v>0</v>
      </c>
      <c r="AF152" s="16">
        <f>IFERROR(__xludf.DUMMYFUNCTION("""COMPUTED_VALUE"""),0.0)</f>
        <v>0</v>
      </c>
      <c r="AG152" s="16">
        <f>IFERROR(__xludf.DUMMYFUNCTION("""COMPUTED_VALUE"""),0.0)</f>
        <v>0</v>
      </c>
      <c r="AH152" s="16">
        <f>IFERROR(__xludf.DUMMYFUNCTION("""COMPUTED_VALUE"""),0.0)</f>
        <v>0</v>
      </c>
    </row>
    <row r="153">
      <c r="A153" s="16" t="str">
        <f>IFERROR(__xludf.DUMMYFUNCTION("""COMPUTED_VALUE"""),"81f38c054e274dae5e400ec6c2c582118338c065")</f>
        <v>81f38c054e274dae5e400ec6c2c582118338c065</v>
      </c>
      <c r="B153" s="16" t="str">
        <f>IFERROR(__xludf.DUMMYFUNCTION("""COMPUTED_VALUE"""),"Authority System")</f>
        <v>Authority System</v>
      </c>
      <c r="C153" s="16" t="str">
        <f>IFERROR(__xludf.DUMMYFUNCTION("""COMPUTED_VALUE"""),"Fantasy")</f>
        <v>Fantasy</v>
      </c>
      <c r="D153" s="16">
        <f>IFERROR(__xludf.DUMMYFUNCTION("""COMPUTED_VALUE"""),20.0)</f>
        <v>20</v>
      </c>
      <c r="E153" s="16">
        <f>IFERROR(__xludf.DUMMYFUNCTION("""COMPUTED_VALUE"""),0.95)</f>
        <v>0.95</v>
      </c>
      <c r="F153" s="16">
        <f>IFERROR(__xludf.DUMMYFUNCTION("""COMPUTED_VALUE"""),0.45)</f>
        <v>0.45</v>
      </c>
      <c r="G153" s="16">
        <f>IFERROR(__xludf.DUMMYFUNCTION("""COMPUTED_VALUE"""),0.45)</f>
        <v>0.45</v>
      </c>
      <c r="H153" s="16">
        <f>IFERROR(__xludf.DUMMYFUNCTION("""COMPUTED_VALUE"""),0.45)</f>
        <v>0.45</v>
      </c>
      <c r="I153" s="16">
        <f>IFERROR(__xludf.DUMMYFUNCTION("""COMPUTED_VALUE"""),0.31578947368421)</f>
        <v>0.3157894737</v>
      </c>
      <c r="J153" s="16">
        <f>IFERROR(__xludf.DUMMYFUNCTION("""COMPUTED_VALUE"""),0.31578947368421)</f>
        <v>0.3157894737</v>
      </c>
      <c r="K153" s="16">
        <f>IFERROR(__xludf.DUMMYFUNCTION("""COMPUTED_VALUE"""),0.31578947368421)</f>
        <v>0.3157894737</v>
      </c>
      <c r="L153" s="16">
        <f>IFERROR(__xludf.DUMMYFUNCTION("""COMPUTED_VALUE"""),0.31578947368421)</f>
        <v>0.3157894737</v>
      </c>
      <c r="M153" s="16">
        <f>IFERROR(__xludf.DUMMYFUNCTION("""COMPUTED_VALUE"""),0.368421052631578)</f>
        <v>0.3684210526</v>
      </c>
      <c r="N153" s="16">
        <f>IFERROR(__xludf.DUMMYFUNCTION("""COMPUTED_VALUE"""),0.333333333333333)</f>
        <v>0.3333333333</v>
      </c>
      <c r="O153" s="16">
        <f>IFERROR(__xludf.DUMMYFUNCTION("""COMPUTED_VALUE"""),0.125)</f>
        <v>0.125</v>
      </c>
      <c r="P153" s="16">
        <f>IFERROR(__xludf.DUMMYFUNCTION("""COMPUTED_VALUE"""),0.0)</f>
        <v>0</v>
      </c>
      <c r="Q153" s="16">
        <f>IFERROR(__xludf.DUMMYFUNCTION("""COMPUTED_VALUE"""),0.0)</f>
        <v>0</v>
      </c>
      <c r="R153" s="16">
        <f>IFERROR(__xludf.DUMMYFUNCTION("""COMPUTED_VALUE"""),0.0)</f>
        <v>0</v>
      </c>
      <c r="S153" s="16">
        <f>IFERROR(__xludf.DUMMYFUNCTION("""COMPUTED_VALUE"""),0.0)</f>
        <v>0</v>
      </c>
      <c r="T153" s="16">
        <f>IFERROR(__xludf.DUMMYFUNCTION("""COMPUTED_VALUE"""),0.0)</f>
        <v>0</v>
      </c>
      <c r="U153" s="16">
        <f>IFERROR(__xludf.DUMMYFUNCTION("""COMPUTED_VALUE"""),0.0)</f>
        <v>0</v>
      </c>
      <c r="V153" s="16">
        <f>IFERROR(__xludf.DUMMYFUNCTION("""COMPUTED_VALUE"""),0.0)</f>
        <v>0</v>
      </c>
      <c r="W153" s="16">
        <f>IFERROR(__xludf.DUMMYFUNCTION("""COMPUTED_VALUE"""),0.0)</f>
        <v>0</v>
      </c>
      <c r="X153" s="16">
        <f>IFERROR(__xludf.DUMMYFUNCTION("""COMPUTED_VALUE"""),0.0)</f>
        <v>0</v>
      </c>
      <c r="Y153" s="16">
        <f>IFERROR(__xludf.DUMMYFUNCTION("""COMPUTED_VALUE"""),0.0)</f>
        <v>0</v>
      </c>
      <c r="Z153" s="16">
        <f>IFERROR(__xludf.DUMMYFUNCTION("""COMPUTED_VALUE"""),0.0)</f>
        <v>0</v>
      </c>
      <c r="AA153" s="16">
        <f>IFERROR(__xludf.DUMMYFUNCTION("""COMPUTED_VALUE"""),0.0)</f>
        <v>0</v>
      </c>
      <c r="AB153" s="16">
        <f>IFERROR(__xludf.DUMMYFUNCTION("""COMPUTED_VALUE"""),0.0)</f>
        <v>0</v>
      </c>
      <c r="AC153" s="16">
        <f>IFERROR(__xludf.DUMMYFUNCTION("""COMPUTED_VALUE"""),0.0)</f>
        <v>0</v>
      </c>
      <c r="AD153" s="16">
        <f>IFERROR(__xludf.DUMMYFUNCTION("""COMPUTED_VALUE"""),0.0)</f>
        <v>0</v>
      </c>
      <c r="AE153" s="16">
        <f>IFERROR(__xludf.DUMMYFUNCTION("""COMPUTED_VALUE"""),0.0)</f>
        <v>0</v>
      </c>
      <c r="AF153" s="16">
        <f>IFERROR(__xludf.DUMMYFUNCTION("""COMPUTED_VALUE"""),0.0)</f>
        <v>0</v>
      </c>
      <c r="AG153" s="16">
        <f>IFERROR(__xludf.DUMMYFUNCTION("""COMPUTED_VALUE"""),0.0)</f>
        <v>0</v>
      </c>
      <c r="AH153" s="16">
        <f>IFERROR(__xludf.DUMMYFUNCTION("""COMPUTED_VALUE"""),0.0)</f>
        <v>0</v>
      </c>
    </row>
    <row r="154">
      <c r="A154" s="16" t="str">
        <f>IFERROR(__xludf.DUMMYFUNCTION("""COMPUTED_VALUE"""),"820e3a2951adfcd3997c3ea5696cb62bc975f0a0")</f>
        <v>820e3a2951adfcd3997c3ea5696cb62bc975f0a0</v>
      </c>
      <c r="B154" s="16" t="str">
        <f>IFERROR(__xludf.DUMMYFUNCTION("""COMPUTED_VALUE"""),"The Return of Master ")</f>
        <v>The Return of Master </v>
      </c>
      <c r="C154" s="16" t="str">
        <f>IFERROR(__xludf.DUMMYFUNCTION("""COMPUTED_VALUE"""),"Fantasy")</f>
        <v>Fantasy</v>
      </c>
      <c r="D154" s="16">
        <f>IFERROR(__xludf.DUMMYFUNCTION("""COMPUTED_VALUE"""),16.0)</f>
        <v>16</v>
      </c>
      <c r="E154" s="16">
        <f>IFERROR(__xludf.DUMMYFUNCTION("""COMPUTED_VALUE"""),0.8125)</f>
        <v>0.8125</v>
      </c>
      <c r="F154" s="16">
        <f>IFERROR(__xludf.DUMMYFUNCTION("""COMPUTED_VALUE"""),0.625)</f>
        <v>0.625</v>
      </c>
      <c r="G154" s="16">
        <f>IFERROR(__xludf.DUMMYFUNCTION("""COMPUTED_VALUE"""),0.5625)</f>
        <v>0.5625</v>
      </c>
      <c r="H154" s="16">
        <f>IFERROR(__xludf.DUMMYFUNCTION("""COMPUTED_VALUE"""),0.5625)</f>
        <v>0.5625</v>
      </c>
      <c r="I154" s="16">
        <f>IFERROR(__xludf.DUMMYFUNCTION("""COMPUTED_VALUE"""),0.5625)</f>
        <v>0.5625</v>
      </c>
      <c r="J154" s="16">
        <f>IFERROR(__xludf.DUMMYFUNCTION("""COMPUTED_VALUE"""),0.5)</f>
        <v>0.5</v>
      </c>
      <c r="K154" s="16">
        <f>IFERROR(__xludf.DUMMYFUNCTION("""COMPUTED_VALUE"""),0.5)</f>
        <v>0.5</v>
      </c>
      <c r="L154" s="16">
        <f>IFERROR(__xludf.DUMMYFUNCTION("""COMPUTED_VALUE"""),0.3125)</f>
        <v>0.3125</v>
      </c>
      <c r="M154" s="16">
        <f>IFERROR(__xludf.DUMMYFUNCTION("""COMPUTED_VALUE"""),0.3125)</f>
        <v>0.3125</v>
      </c>
      <c r="N154" s="16">
        <f>IFERROR(__xludf.DUMMYFUNCTION("""COMPUTED_VALUE"""),0.3125)</f>
        <v>0.3125</v>
      </c>
      <c r="O154" s="16">
        <f>IFERROR(__xludf.DUMMYFUNCTION("""COMPUTED_VALUE"""),0.1875)</f>
        <v>0.1875</v>
      </c>
      <c r="P154" s="16">
        <f>IFERROR(__xludf.DUMMYFUNCTION("""COMPUTED_VALUE"""),0.0625)</f>
        <v>0.0625</v>
      </c>
      <c r="Q154" s="16">
        <f>IFERROR(__xludf.DUMMYFUNCTION("""COMPUTED_VALUE"""),0.0)</f>
        <v>0</v>
      </c>
      <c r="R154" s="16">
        <f>IFERROR(__xludf.DUMMYFUNCTION("""COMPUTED_VALUE"""),0.0)</f>
        <v>0</v>
      </c>
      <c r="S154" s="16">
        <f>IFERROR(__xludf.DUMMYFUNCTION("""COMPUTED_VALUE"""),0.0)</f>
        <v>0</v>
      </c>
      <c r="T154" s="16">
        <f>IFERROR(__xludf.DUMMYFUNCTION("""COMPUTED_VALUE"""),0.0)</f>
        <v>0</v>
      </c>
      <c r="U154" s="16">
        <f>IFERROR(__xludf.DUMMYFUNCTION("""COMPUTED_VALUE"""),0.0)</f>
        <v>0</v>
      </c>
      <c r="V154" s="16">
        <f>IFERROR(__xludf.DUMMYFUNCTION("""COMPUTED_VALUE"""),0.0)</f>
        <v>0</v>
      </c>
      <c r="W154" s="16">
        <f>IFERROR(__xludf.DUMMYFUNCTION("""COMPUTED_VALUE"""),0.0)</f>
        <v>0</v>
      </c>
      <c r="X154" s="16">
        <f>IFERROR(__xludf.DUMMYFUNCTION("""COMPUTED_VALUE"""),0.0)</f>
        <v>0</v>
      </c>
      <c r="Y154" s="16">
        <f>IFERROR(__xludf.DUMMYFUNCTION("""COMPUTED_VALUE"""),0.0)</f>
        <v>0</v>
      </c>
      <c r="Z154" s="16">
        <f>IFERROR(__xludf.DUMMYFUNCTION("""COMPUTED_VALUE"""),0.0)</f>
        <v>0</v>
      </c>
      <c r="AA154" s="16">
        <f>IFERROR(__xludf.DUMMYFUNCTION("""COMPUTED_VALUE"""),0.0)</f>
        <v>0</v>
      </c>
      <c r="AB154" s="16">
        <f>IFERROR(__xludf.DUMMYFUNCTION("""COMPUTED_VALUE"""),0.0)</f>
        <v>0</v>
      </c>
      <c r="AC154" s="16">
        <f>IFERROR(__xludf.DUMMYFUNCTION("""COMPUTED_VALUE"""),0.0)</f>
        <v>0</v>
      </c>
      <c r="AD154" s="16">
        <f>IFERROR(__xludf.DUMMYFUNCTION("""COMPUTED_VALUE"""),0.0)</f>
        <v>0</v>
      </c>
      <c r="AE154" s="16">
        <f>IFERROR(__xludf.DUMMYFUNCTION("""COMPUTED_VALUE"""),0.0)</f>
        <v>0</v>
      </c>
      <c r="AF154" s="16">
        <f>IFERROR(__xludf.DUMMYFUNCTION("""COMPUTED_VALUE"""),0.0)</f>
        <v>0</v>
      </c>
      <c r="AG154" s="16">
        <f>IFERROR(__xludf.DUMMYFUNCTION("""COMPUTED_VALUE"""),0.0)</f>
        <v>0</v>
      </c>
      <c r="AH154" s="16">
        <f>IFERROR(__xludf.DUMMYFUNCTION("""COMPUTED_VALUE"""),0.0)</f>
        <v>0</v>
      </c>
    </row>
    <row r="155">
      <c r="A155" s="16" t="str">
        <f>IFERROR(__xludf.DUMMYFUNCTION("""COMPUTED_VALUE"""),"82ff8ba01d1e1fbcea7c734b687b1a9ff858733d")</f>
        <v>82ff8ba01d1e1fbcea7c734b687b1a9ff858733d</v>
      </c>
      <c r="B155" s="16" t="str">
        <f>IFERROR(__xludf.DUMMYFUNCTION("""COMPUTED_VALUE"""),"Twin Realms Traveler")</f>
        <v>Twin Realms Traveler</v>
      </c>
      <c r="C155" s="16" t="str">
        <f>IFERROR(__xludf.DUMMYFUNCTION("""COMPUTED_VALUE"""),"System and Superpower")</f>
        <v>System and Superpower</v>
      </c>
      <c r="D155" s="16">
        <f>IFERROR(__xludf.DUMMYFUNCTION("""COMPUTED_VALUE"""),22.0)</f>
        <v>22</v>
      </c>
      <c r="E155" s="16">
        <f>IFERROR(__xludf.DUMMYFUNCTION("""COMPUTED_VALUE"""),1.0)</f>
        <v>1</v>
      </c>
      <c r="F155" s="16">
        <f>IFERROR(__xludf.DUMMYFUNCTION("""COMPUTED_VALUE"""),0.363636363636363)</f>
        <v>0.3636363636</v>
      </c>
      <c r="G155" s="16">
        <f>IFERROR(__xludf.DUMMYFUNCTION("""COMPUTED_VALUE"""),0.272727272727272)</f>
        <v>0.2727272727</v>
      </c>
      <c r="H155" s="16">
        <f>IFERROR(__xludf.DUMMYFUNCTION("""COMPUTED_VALUE"""),0.272727272727272)</f>
        <v>0.2727272727</v>
      </c>
      <c r="I155" s="16">
        <f>IFERROR(__xludf.DUMMYFUNCTION("""COMPUTED_VALUE"""),0.227272727272727)</f>
        <v>0.2272727273</v>
      </c>
      <c r="J155" s="16">
        <f>IFERROR(__xludf.DUMMYFUNCTION("""COMPUTED_VALUE"""),0.227272727272727)</f>
        <v>0.2272727273</v>
      </c>
      <c r="K155" s="16">
        <f>IFERROR(__xludf.DUMMYFUNCTION("""COMPUTED_VALUE"""),0.181818181818181)</f>
        <v>0.1818181818</v>
      </c>
      <c r="L155" s="16">
        <f>IFERROR(__xludf.DUMMYFUNCTION("""COMPUTED_VALUE"""),0.227272727272727)</f>
        <v>0.2272727273</v>
      </c>
      <c r="M155" s="16">
        <f>IFERROR(__xludf.DUMMYFUNCTION("""COMPUTED_VALUE"""),0.227272727272727)</f>
        <v>0.2272727273</v>
      </c>
      <c r="N155" s="16">
        <f>IFERROR(__xludf.DUMMYFUNCTION("""COMPUTED_VALUE"""),0.238095238095238)</f>
        <v>0.2380952381</v>
      </c>
      <c r="O155" s="16">
        <f>IFERROR(__xludf.DUMMYFUNCTION("""COMPUTED_VALUE"""),0.142857142857142)</f>
        <v>0.1428571429</v>
      </c>
      <c r="P155" s="16">
        <f>IFERROR(__xludf.DUMMYFUNCTION("""COMPUTED_VALUE"""),0.142857142857142)</f>
        <v>0.1428571429</v>
      </c>
      <c r="Q155" s="16">
        <f>IFERROR(__xludf.DUMMYFUNCTION("""COMPUTED_VALUE"""),0.157894736842105)</f>
        <v>0.1578947368</v>
      </c>
      <c r="R155" s="16">
        <f>IFERROR(__xludf.DUMMYFUNCTION("""COMPUTED_VALUE"""),0.142857142857142)</f>
        <v>0.1428571429</v>
      </c>
      <c r="S155" s="16">
        <f>IFERROR(__xludf.DUMMYFUNCTION("""COMPUTED_VALUE"""),0.0)</f>
        <v>0</v>
      </c>
      <c r="T155" s="16">
        <f>IFERROR(__xludf.DUMMYFUNCTION("""COMPUTED_VALUE"""),0.0)</f>
        <v>0</v>
      </c>
      <c r="U155" s="16">
        <f>IFERROR(__xludf.DUMMYFUNCTION("""COMPUTED_VALUE"""),0.0)</f>
        <v>0</v>
      </c>
      <c r="V155" s="16">
        <f>IFERROR(__xludf.DUMMYFUNCTION("""COMPUTED_VALUE"""),0.0)</f>
        <v>0</v>
      </c>
      <c r="W155" s="16">
        <f>IFERROR(__xludf.DUMMYFUNCTION("""COMPUTED_VALUE"""),0.0)</f>
        <v>0</v>
      </c>
      <c r="X155" s="16">
        <f>IFERROR(__xludf.DUMMYFUNCTION("""COMPUTED_VALUE"""),0.0)</f>
        <v>0</v>
      </c>
      <c r="Y155" s="16">
        <f>IFERROR(__xludf.DUMMYFUNCTION("""COMPUTED_VALUE"""),0.0)</f>
        <v>0</v>
      </c>
      <c r="Z155" s="16">
        <f>IFERROR(__xludf.DUMMYFUNCTION("""COMPUTED_VALUE"""),0.0)</f>
        <v>0</v>
      </c>
      <c r="AA155" s="16">
        <f>IFERROR(__xludf.DUMMYFUNCTION("""COMPUTED_VALUE"""),0.0)</f>
        <v>0</v>
      </c>
      <c r="AB155" s="16">
        <f>IFERROR(__xludf.DUMMYFUNCTION("""COMPUTED_VALUE"""),0.0)</f>
        <v>0</v>
      </c>
      <c r="AC155" s="16">
        <f>IFERROR(__xludf.DUMMYFUNCTION("""COMPUTED_VALUE"""),0.0)</f>
        <v>0</v>
      </c>
      <c r="AD155" s="16">
        <f>IFERROR(__xludf.DUMMYFUNCTION("""COMPUTED_VALUE"""),0.0)</f>
        <v>0</v>
      </c>
      <c r="AE155" s="16">
        <f>IFERROR(__xludf.DUMMYFUNCTION("""COMPUTED_VALUE"""),0.0)</f>
        <v>0</v>
      </c>
      <c r="AF155" s="16">
        <f>IFERROR(__xludf.DUMMYFUNCTION("""COMPUTED_VALUE"""),0.0)</f>
        <v>0</v>
      </c>
      <c r="AG155" s="16">
        <f>IFERROR(__xludf.DUMMYFUNCTION("""COMPUTED_VALUE"""),0.0)</f>
        <v>0</v>
      </c>
      <c r="AH155" s="16">
        <f>IFERROR(__xludf.DUMMYFUNCTION("""COMPUTED_VALUE"""),0.0)</f>
        <v>0</v>
      </c>
    </row>
    <row r="156">
      <c r="A156" s="16" t="str">
        <f>IFERROR(__xludf.DUMMYFUNCTION("""COMPUTED_VALUE"""),"84289ce4a2b527c3aa47651760eaff877da6adad")</f>
        <v>84289ce4a2b527c3aa47651760eaff877da6adad</v>
      </c>
      <c r="B156" s="16" t="str">
        <f>IFERROR(__xludf.DUMMYFUNCTION("""COMPUTED_VALUE"""),"Contracted by Love")</f>
        <v>Contracted by Love</v>
      </c>
      <c r="C156" s="16" t="str">
        <f>IFERROR(__xludf.DUMMYFUNCTION("""COMPUTED_VALUE"""),"Romance")</f>
        <v>Romance</v>
      </c>
      <c r="D156" s="16">
        <f>IFERROR(__xludf.DUMMYFUNCTION("""COMPUTED_VALUE"""),778.0)</f>
        <v>778</v>
      </c>
      <c r="E156" s="16">
        <f>IFERROR(__xludf.DUMMYFUNCTION("""COMPUTED_VALUE"""),0.979434447300771)</f>
        <v>0.9794344473</v>
      </c>
      <c r="F156" s="16">
        <f>IFERROR(__xludf.DUMMYFUNCTION("""COMPUTED_VALUE"""),0.533419023136246)</f>
        <v>0.5334190231</v>
      </c>
      <c r="G156" s="16">
        <f>IFERROR(__xludf.DUMMYFUNCTION("""COMPUTED_VALUE"""),0.497429305912596)</f>
        <v>0.4974293059</v>
      </c>
      <c r="H156" s="16">
        <f>IFERROR(__xludf.DUMMYFUNCTION("""COMPUTED_VALUE"""),0.455012853470437)</f>
        <v>0.4550128535</v>
      </c>
      <c r="I156" s="16">
        <f>IFERROR(__xludf.DUMMYFUNCTION("""COMPUTED_VALUE"""),0.417737789203084)</f>
        <v>0.4177377892</v>
      </c>
      <c r="J156" s="16">
        <f>IFERROR(__xludf.DUMMYFUNCTION("""COMPUTED_VALUE"""),0.383033419023136)</f>
        <v>0.383033419</v>
      </c>
      <c r="K156" s="16">
        <f>IFERROR(__xludf.DUMMYFUNCTION("""COMPUTED_VALUE"""),0.356499356499356)</f>
        <v>0.3564993565</v>
      </c>
      <c r="L156" s="16">
        <f>IFERROR(__xludf.DUMMYFUNCTION("""COMPUTED_VALUE"""),0.33204134366925)</f>
        <v>0.3320413437</v>
      </c>
      <c r="M156" s="16">
        <f>IFERROR(__xludf.DUMMYFUNCTION("""COMPUTED_VALUE"""),0.301423027166882)</f>
        <v>0.3014230272</v>
      </c>
      <c r="N156" s="16">
        <f>IFERROR(__xludf.DUMMYFUNCTION("""COMPUTED_VALUE"""),0.292746113989637)</f>
        <v>0.292746114</v>
      </c>
      <c r="O156" s="16">
        <f>IFERROR(__xludf.DUMMYFUNCTION("""COMPUTED_VALUE"""),0.25)</f>
        <v>0.25</v>
      </c>
      <c r="P156" s="16">
        <f>IFERROR(__xludf.DUMMYFUNCTION("""COMPUTED_VALUE"""),0.185185185185185)</f>
        <v>0.1851851852</v>
      </c>
      <c r="Q156" s="16">
        <f>IFERROR(__xludf.DUMMYFUNCTION("""COMPUTED_VALUE"""),0.0)</f>
        <v>0</v>
      </c>
      <c r="R156" s="16">
        <f>IFERROR(__xludf.DUMMYFUNCTION("""COMPUTED_VALUE"""),0.0)</f>
        <v>0</v>
      </c>
      <c r="S156" s="16">
        <f>IFERROR(__xludf.DUMMYFUNCTION("""COMPUTED_VALUE"""),0.0)</f>
        <v>0</v>
      </c>
      <c r="T156" s="16">
        <f>IFERROR(__xludf.DUMMYFUNCTION("""COMPUTED_VALUE"""),0.0)</f>
        <v>0</v>
      </c>
      <c r="U156" s="16">
        <f>IFERROR(__xludf.DUMMYFUNCTION("""COMPUTED_VALUE"""),0.0)</f>
        <v>0</v>
      </c>
      <c r="V156" s="16">
        <f>IFERROR(__xludf.DUMMYFUNCTION("""COMPUTED_VALUE"""),0.0)</f>
        <v>0</v>
      </c>
      <c r="W156" s="16">
        <f>IFERROR(__xludf.DUMMYFUNCTION("""COMPUTED_VALUE"""),0.0)</f>
        <v>0</v>
      </c>
      <c r="X156" s="16">
        <f>IFERROR(__xludf.DUMMYFUNCTION("""COMPUTED_VALUE"""),0.0)</f>
        <v>0</v>
      </c>
      <c r="Y156" s="16">
        <f>IFERROR(__xludf.DUMMYFUNCTION("""COMPUTED_VALUE"""),0.0)</f>
        <v>0</v>
      </c>
      <c r="Z156" s="16">
        <f>IFERROR(__xludf.DUMMYFUNCTION("""COMPUTED_VALUE"""),0.0)</f>
        <v>0</v>
      </c>
      <c r="AA156" s="16">
        <f>IFERROR(__xludf.DUMMYFUNCTION("""COMPUTED_VALUE"""),0.0)</f>
        <v>0</v>
      </c>
      <c r="AB156" s="16">
        <f>IFERROR(__xludf.DUMMYFUNCTION("""COMPUTED_VALUE"""),0.0)</f>
        <v>0</v>
      </c>
      <c r="AC156" s="16">
        <f>IFERROR(__xludf.DUMMYFUNCTION("""COMPUTED_VALUE"""),0.0)</f>
        <v>0</v>
      </c>
      <c r="AD156" s="16">
        <f>IFERROR(__xludf.DUMMYFUNCTION("""COMPUTED_VALUE"""),0.0)</f>
        <v>0</v>
      </c>
      <c r="AE156" s="16">
        <f>IFERROR(__xludf.DUMMYFUNCTION("""COMPUTED_VALUE"""),0.0)</f>
        <v>0</v>
      </c>
      <c r="AF156" s="16">
        <f>IFERROR(__xludf.DUMMYFUNCTION("""COMPUTED_VALUE"""),0.0)</f>
        <v>0</v>
      </c>
      <c r="AG156" s="16">
        <f>IFERROR(__xludf.DUMMYFUNCTION("""COMPUTED_VALUE"""),0.0)</f>
        <v>0</v>
      </c>
      <c r="AH156" s="16">
        <f>IFERROR(__xludf.DUMMYFUNCTION("""COMPUTED_VALUE"""),0.0)</f>
        <v>0</v>
      </c>
    </row>
    <row r="157">
      <c r="A157" s="16" t="str">
        <f>IFERROR(__xludf.DUMMYFUNCTION("""COMPUTED_VALUE"""),"87b65acb9b6fcd4bc45f30d46f017fa847a0ce3c")</f>
        <v>87b65acb9b6fcd4bc45f30d46f017fa847a0ce3c</v>
      </c>
      <c r="B157" s="16" t="str">
        <f>IFERROR(__xludf.DUMMYFUNCTION("""COMPUTED_VALUE"""),"The Wife's Sweet Revenge")</f>
        <v>The Wife's Sweet Revenge</v>
      </c>
      <c r="C157" s="16" t="str">
        <f>IFERROR(__xludf.DUMMYFUNCTION("""COMPUTED_VALUE"""),"Romance")</f>
        <v>Romance</v>
      </c>
      <c r="D157" s="16">
        <f>IFERROR(__xludf.DUMMYFUNCTION("""COMPUTED_VALUE"""),330.0)</f>
        <v>330</v>
      </c>
      <c r="E157" s="16">
        <f>IFERROR(__xludf.DUMMYFUNCTION("""COMPUTED_VALUE"""),0.957575757575757)</f>
        <v>0.9575757576</v>
      </c>
      <c r="F157" s="16">
        <f>IFERROR(__xludf.DUMMYFUNCTION("""COMPUTED_VALUE"""),0.627272727272727)</f>
        <v>0.6272727273</v>
      </c>
      <c r="G157" s="16">
        <f>IFERROR(__xludf.DUMMYFUNCTION("""COMPUTED_VALUE"""),0.572727272727272)</f>
        <v>0.5727272727</v>
      </c>
      <c r="H157" s="16">
        <f>IFERROR(__xludf.DUMMYFUNCTION("""COMPUTED_VALUE"""),0.479495268138801)</f>
        <v>0.4794952681</v>
      </c>
      <c r="I157" s="16">
        <f>IFERROR(__xludf.DUMMYFUNCTION("""COMPUTED_VALUE"""),0.449180327868852)</f>
        <v>0.4491803279</v>
      </c>
      <c r="J157" s="16">
        <f>IFERROR(__xludf.DUMMYFUNCTION("""COMPUTED_VALUE"""),0.412322274881516)</f>
        <v>0.4123222749</v>
      </c>
      <c r="K157" s="16">
        <f>IFERROR(__xludf.DUMMYFUNCTION("""COMPUTED_VALUE"""),0.33076923076923)</f>
        <v>0.3307692308</v>
      </c>
      <c r="L157" s="16">
        <f>IFERROR(__xludf.DUMMYFUNCTION("""COMPUTED_VALUE"""),0.267441860465116)</f>
        <v>0.2674418605</v>
      </c>
      <c r="M157" s="16">
        <f>IFERROR(__xludf.DUMMYFUNCTION("""COMPUTED_VALUE"""),0.211267605633802)</f>
        <v>0.2112676056</v>
      </c>
      <c r="N157" s="16">
        <f>IFERROR(__xludf.DUMMYFUNCTION("""COMPUTED_VALUE"""),0.178571428571428)</f>
        <v>0.1785714286</v>
      </c>
      <c r="O157" s="16">
        <f>IFERROR(__xludf.DUMMYFUNCTION("""COMPUTED_VALUE"""),0.75)</f>
        <v>0.75</v>
      </c>
      <c r="P157" s="16">
        <f>IFERROR(__xludf.DUMMYFUNCTION("""COMPUTED_VALUE"""),0.0)</f>
        <v>0</v>
      </c>
      <c r="Q157" s="16">
        <f>IFERROR(__xludf.DUMMYFUNCTION("""COMPUTED_VALUE"""),0.0)</f>
        <v>0</v>
      </c>
      <c r="R157" s="16">
        <f>IFERROR(__xludf.DUMMYFUNCTION("""COMPUTED_VALUE"""),0.0)</f>
        <v>0</v>
      </c>
      <c r="S157" s="16">
        <f>IFERROR(__xludf.DUMMYFUNCTION("""COMPUTED_VALUE"""),0.0)</f>
        <v>0</v>
      </c>
      <c r="T157" s="16">
        <f>IFERROR(__xludf.DUMMYFUNCTION("""COMPUTED_VALUE"""),0.0)</f>
        <v>0</v>
      </c>
      <c r="U157" s="16">
        <f>IFERROR(__xludf.DUMMYFUNCTION("""COMPUTED_VALUE"""),0.0)</f>
        <v>0</v>
      </c>
      <c r="V157" s="16">
        <f>IFERROR(__xludf.DUMMYFUNCTION("""COMPUTED_VALUE"""),0.0)</f>
        <v>0</v>
      </c>
      <c r="W157" s="16">
        <f>IFERROR(__xludf.DUMMYFUNCTION("""COMPUTED_VALUE"""),0.0)</f>
        <v>0</v>
      </c>
      <c r="X157" s="16">
        <f>IFERROR(__xludf.DUMMYFUNCTION("""COMPUTED_VALUE"""),0.0)</f>
        <v>0</v>
      </c>
      <c r="Y157" s="16">
        <f>IFERROR(__xludf.DUMMYFUNCTION("""COMPUTED_VALUE"""),0.0)</f>
        <v>0</v>
      </c>
      <c r="Z157" s="16">
        <f>IFERROR(__xludf.DUMMYFUNCTION("""COMPUTED_VALUE"""),0.0)</f>
        <v>0</v>
      </c>
      <c r="AA157" s="16">
        <f>IFERROR(__xludf.DUMMYFUNCTION("""COMPUTED_VALUE"""),0.0)</f>
        <v>0</v>
      </c>
      <c r="AB157" s="16">
        <f>IFERROR(__xludf.DUMMYFUNCTION("""COMPUTED_VALUE"""),0.0)</f>
        <v>0</v>
      </c>
      <c r="AC157" s="16">
        <f>IFERROR(__xludf.DUMMYFUNCTION("""COMPUTED_VALUE"""),0.0)</f>
        <v>0</v>
      </c>
      <c r="AD157" s="16">
        <f>IFERROR(__xludf.DUMMYFUNCTION("""COMPUTED_VALUE"""),0.0)</f>
        <v>0</v>
      </c>
      <c r="AE157" s="16">
        <f>IFERROR(__xludf.DUMMYFUNCTION("""COMPUTED_VALUE"""),0.0)</f>
        <v>0</v>
      </c>
      <c r="AF157" s="16">
        <f>IFERROR(__xludf.DUMMYFUNCTION("""COMPUTED_VALUE"""),0.0)</f>
        <v>0</v>
      </c>
      <c r="AG157" s="16">
        <f>IFERROR(__xludf.DUMMYFUNCTION("""COMPUTED_VALUE"""),0.0)</f>
        <v>0</v>
      </c>
      <c r="AH157" s="16">
        <f>IFERROR(__xludf.DUMMYFUNCTION("""COMPUTED_VALUE"""),0.0)</f>
        <v>0</v>
      </c>
    </row>
    <row r="158">
      <c r="A158" s="16" t="str">
        <f>IFERROR(__xludf.DUMMYFUNCTION("""COMPUTED_VALUE"""),"8824fc43e4267c5a0e2b7acff644eae4b8b2222d")</f>
        <v>8824fc43e4267c5a0e2b7acff644eae4b8b2222d</v>
      </c>
      <c r="B158" s="16" t="str">
        <f>IFERROR(__xludf.DUMMYFUNCTION("""COMPUTED_VALUE"""),"Was It Only Lust?")</f>
        <v>Was It Only Lust?</v>
      </c>
      <c r="C158" s="16" t="str">
        <f>IFERROR(__xludf.DUMMYFUNCTION("""COMPUTED_VALUE"""),"Romance")</f>
        <v>Romance</v>
      </c>
      <c r="D158" s="16">
        <f>IFERROR(__xludf.DUMMYFUNCTION("""COMPUTED_VALUE"""),859.0)</f>
        <v>859</v>
      </c>
      <c r="E158" s="16">
        <f>IFERROR(__xludf.DUMMYFUNCTION("""COMPUTED_VALUE"""),0.969732246798603)</f>
        <v>0.9697322468</v>
      </c>
      <c r="F158" s="16">
        <f>IFERROR(__xludf.DUMMYFUNCTION("""COMPUTED_VALUE"""),0.564610011641443)</f>
        <v>0.5646100116</v>
      </c>
      <c r="G158" s="16">
        <f>IFERROR(__xludf.DUMMYFUNCTION("""COMPUTED_VALUE"""),0.49359720605355)</f>
        <v>0.4935972061</v>
      </c>
      <c r="H158" s="16">
        <f>IFERROR(__xludf.DUMMYFUNCTION("""COMPUTED_VALUE"""),0.455180442374854)</f>
        <v>0.4551804424</v>
      </c>
      <c r="I158" s="16">
        <f>IFERROR(__xludf.DUMMYFUNCTION("""COMPUTED_VALUE"""),0.426076833527357)</f>
        <v>0.4260768335</v>
      </c>
      <c r="J158" s="16">
        <f>IFERROR(__xludf.DUMMYFUNCTION("""COMPUTED_VALUE"""),0.426076833527357)</f>
        <v>0.4260768335</v>
      </c>
      <c r="K158" s="16">
        <f>IFERROR(__xludf.DUMMYFUNCTION("""COMPUTED_VALUE"""),0.39813736903376)</f>
        <v>0.398137369</v>
      </c>
      <c r="L158" s="16">
        <f>IFERROR(__xludf.DUMMYFUNCTION("""COMPUTED_VALUE"""),0.35831381733021)</f>
        <v>0.3583138173</v>
      </c>
      <c r="M158" s="16">
        <f>IFERROR(__xludf.DUMMYFUNCTION("""COMPUTED_VALUE"""),0.343601895734597)</f>
        <v>0.3436018957</v>
      </c>
      <c r="N158" s="16">
        <f>IFERROR(__xludf.DUMMYFUNCTION("""COMPUTED_VALUE"""),0.323040380047505)</f>
        <v>0.32304038</v>
      </c>
      <c r="O158" s="16">
        <f>IFERROR(__xludf.DUMMYFUNCTION("""COMPUTED_VALUE"""),0.215827338129496)</f>
        <v>0.2158273381</v>
      </c>
      <c r="P158" s="16">
        <f>IFERROR(__xludf.DUMMYFUNCTION("""COMPUTED_VALUE"""),0.136762860727728)</f>
        <v>0.1367628607</v>
      </c>
      <c r="Q158" s="16">
        <f>IFERROR(__xludf.DUMMYFUNCTION("""COMPUTED_VALUE"""),0.0787269681742043)</f>
        <v>0.07872696817</v>
      </c>
      <c r="R158" s="16">
        <f>IFERROR(__xludf.DUMMYFUNCTION("""COMPUTED_VALUE"""),0.0)</f>
        <v>0</v>
      </c>
      <c r="S158" s="16">
        <f>IFERROR(__xludf.DUMMYFUNCTION("""COMPUTED_VALUE"""),0.0)</f>
        <v>0</v>
      </c>
      <c r="T158" s="16">
        <f>IFERROR(__xludf.DUMMYFUNCTION("""COMPUTED_VALUE"""),0.0)</f>
        <v>0</v>
      </c>
      <c r="U158" s="16">
        <f>IFERROR(__xludf.DUMMYFUNCTION("""COMPUTED_VALUE"""),0.0)</f>
        <v>0</v>
      </c>
      <c r="V158" s="16">
        <f>IFERROR(__xludf.DUMMYFUNCTION("""COMPUTED_VALUE"""),0.0)</f>
        <v>0</v>
      </c>
      <c r="W158" s="16">
        <f>IFERROR(__xludf.DUMMYFUNCTION("""COMPUTED_VALUE"""),0.0)</f>
        <v>0</v>
      </c>
      <c r="X158" s="16">
        <f>IFERROR(__xludf.DUMMYFUNCTION("""COMPUTED_VALUE"""),0.0)</f>
        <v>0</v>
      </c>
      <c r="Y158" s="16">
        <f>IFERROR(__xludf.DUMMYFUNCTION("""COMPUTED_VALUE"""),0.0)</f>
        <v>0</v>
      </c>
      <c r="Z158" s="16">
        <f>IFERROR(__xludf.DUMMYFUNCTION("""COMPUTED_VALUE"""),0.0)</f>
        <v>0</v>
      </c>
      <c r="AA158" s="16">
        <f>IFERROR(__xludf.DUMMYFUNCTION("""COMPUTED_VALUE"""),0.0)</f>
        <v>0</v>
      </c>
      <c r="AB158" s="16">
        <f>IFERROR(__xludf.DUMMYFUNCTION("""COMPUTED_VALUE"""),0.0)</f>
        <v>0</v>
      </c>
      <c r="AC158" s="16">
        <f>IFERROR(__xludf.DUMMYFUNCTION("""COMPUTED_VALUE"""),0.0)</f>
        <v>0</v>
      </c>
      <c r="AD158" s="16">
        <f>IFERROR(__xludf.DUMMYFUNCTION("""COMPUTED_VALUE"""),0.0)</f>
        <v>0</v>
      </c>
      <c r="AE158" s="16">
        <f>IFERROR(__xludf.DUMMYFUNCTION("""COMPUTED_VALUE"""),0.0)</f>
        <v>0</v>
      </c>
      <c r="AF158" s="16">
        <f>IFERROR(__xludf.DUMMYFUNCTION("""COMPUTED_VALUE"""),0.0)</f>
        <v>0</v>
      </c>
      <c r="AG158" s="16">
        <f>IFERROR(__xludf.DUMMYFUNCTION("""COMPUTED_VALUE"""),0.0)</f>
        <v>0</v>
      </c>
      <c r="AH158" s="16">
        <f>IFERROR(__xludf.DUMMYFUNCTION("""COMPUTED_VALUE"""),0.0)</f>
        <v>0</v>
      </c>
    </row>
    <row r="159">
      <c r="A159" s="16" t="str">
        <f>IFERROR(__xludf.DUMMYFUNCTION("""COMPUTED_VALUE"""),"8aab13cef66595bf85428c05007cefe16b733ba5")</f>
        <v>8aab13cef66595bf85428c05007cefe16b733ba5</v>
      </c>
      <c r="B159" s="16" t="str">
        <f>IFERROR(__xludf.DUMMYFUNCTION("""COMPUTED_VALUE"""),"Reborn Heartbeat")</f>
        <v>Reborn Heartbeat</v>
      </c>
      <c r="C159" s="16" t="str">
        <f>IFERROR(__xludf.DUMMYFUNCTION("""COMPUTED_VALUE"""),"Romance")</f>
        <v>Romance</v>
      </c>
      <c r="D159" s="16">
        <f>IFERROR(__xludf.DUMMYFUNCTION("""COMPUTED_VALUE"""),2437.0)</f>
        <v>2437</v>
      </c>
      <c r="E159" s="16">
        <f>IFERROR(__xludf.DUMMYFUNCTION("""COMPUTED_VALUE"""),0.919573245794009)</f>
        <v>0.9195732458</v>
      </c>
      <c r="F159" s="16">
        <f>IFERROR(__xludf.DUMMYFUNCTION("""COMPUTED_VALUE"""),0.560525235945835)</f>
        <v>0.5605252359</v>
      </c>
      <c r="G159" s="16">
        <f>IFERROR(__xludf.DUMMYFUNCTION("""COMPUTED_VALUE"""),0.511284366023799)</f>
        <v>0.511284366</v>
      </c>
      <c r="H159" s="16">
        <f>IFERROR(__xludf.DUMMYFUNCTION("""COMPUTED_VALUE"""),0.484811165845648)</f>
        <v>0.4848111658</v>
      </c>
      <c r="I159" s="16">
        <f>IFERROR(__xludf.DUMMYFUNCTION("""COMPUTED_VALUE"""),0.470443349753694)</f>
        <v>0.4704433498</v>
      </c>
      <c r="J159" s="16">
        <f>IFERROR(__xludf.DUMMYFUNCTION("""COMPUTED_VALUE"""),0.446773530620632)</f>
        <v>0.4467735306</v>
      </c>
      <c r="K159" s="16">
        <f>IFERROR(__xludf.DUMMYFUNCTION("""COMPUTED_VALUE"""),0.437268613739201)</f>
        <v>0.4372686137</v>
      </c>
      <c r="L159" s="16">
        <f>IFERROR(__xludf.DUMMYFUNCTION("""COMPUTED_VALUE"""),0.430338004946413)</f>
        <v>0.4303380049</v>
      </c>
      <c r="M159" s="16">
        <f>IFERROR(__xludf.DUMMYFUNCTION("""COMPUTED_VALUE"""),0.413052457662123)</f>
        <v>0.4130524577</v>
      </c>
      <c r="N159" s="16">
        <f>IFERROR(__xludf.DUMMYFUNCTION("""COMPUTED_VALUE"""),0.411423841059602)</f>
        <v>0.4114238411</v>
      </c>
      <c r="O159" s="16">
        <f>IFERROR(__xludf.DUMMYFUNCTION("""COMPUTED_VALUE"""),0.396905060644082)</f>
        <v>0.3969050606</v>
      </c>
      <c r="P159" s="16">
        <f>IFERROR(__xludf.DUMMYFUNCTION("""COMPUTED_VALUE"""),0.261349172677131)</f>
        <v>0.2613491727</v>
      </c>
      <c r="Q159" s="16">
        <f>IFERROR(__xludf.DUMMYFUNCTION("""COMPUTED_VALUE"""),0.194705380017079)</f>
        <v>0.19470538</v>
      </c>
      <c r="R159" s="16">
        <f>IFERROR(__xludf.DUMMYFUNCTION("""COMPUTED_VALUE"""),0.0)</f>
        <v>0</v>
      </c>
      <c r="S159" s="16">
        <f>IFERROR(__xludf.DUMMYFUNCTION("""COMPUTED_VALUE"""),0.0)</f>
        <v>0</v>
      </c>
      <c r="T159" s="16">
        <f>IFERROR(__xludf.DUMMYFUNCTION("""COMPUTED_VALUE"""),0.0)</f>
        <v>0</v>
      </c>
      <c r="U159" s="16">
        <f>IFERROR(__xludf.DUMMYFUNCTION("""COMPUTED_VALUE"""),0.0)</f>
        <v>0</v>
      </c>
      <c r="V159" s="16">
        <f>IFERROR(__xludf.DUMMYFUNCTION("""COMPUTED_VALUE"""),0.0)</f>
        <v>0</v>
      </c>
      <c r="W159" s="16">
        <f>IFERROR(__xludf.DUMMYFUNCTION("""COMPUTED_VALUE"""),0.0)</f>
        <v>0</v>
      </c>
      <c r="X159" s="16">
        <f>IFERROR(__xludf.DUMMYFUNCTION("""COMPUTED_VALUE"""),0.0)</f>
        <v>0</v>
      </c>
      <c r="Y159" s="16">
        <f>IFERROR(__xludf.DUMMYFUNCTION("""COMPUTED_VALUE"""),0.0)</f>
        <v>0</v>
      </c>
      <c r="Z159" s="16">
        <f>IFERROR(__xludf.DUMMYFUNCTION("""COMPUTED_VALUE"""),0.0)</f>
        <v>0</v>
      </c>
      <c r="AA159" s="16">
        <f>IFERROR(__xludf.DUMMYFUNCTION("""COMPUTED_VALUE"""),0.0)</f>
        <v>0</v>
      </c>
      <c r="AB159" s="16">
        <f>IFERROR(__xludf.DUMMYFUNCTION("""COMPUTED_VALUE"""),0.0)</f>
        <v>0</v>
      </c>
      <c r="AC159" s="16">
        <f>IFERROR(__xludf.DUMMYFUNCTION("""COMPUTED_VALUE"""),0.0)</f>
        <v>0</v>
      </c>
      <c r="AD159" s="16">
        <f>IFERROR(__xludf.DUMMYFUNCTION("""COMPUTED_VALUE"""),0.0)</f>
        <v>0</v>
      </c>
      <c r="AE159" s="16">
        <f>IFERROR(__xludf.DUMMYFUNCTION("""COMPUTED_VALUE"""),0.0)</f>
        <v>0</v>
      </c>
      <c r="AF159" s="16">
        <f>IFERROR(__xludf.DUMMYFUNCTION("""COMPUTED_VALUE"""),0.0)</f>
        <v>0</v>
      </c>
      <c r="AG159" s="16">
        <f>IFERROR(__xludf.DUMMYFUNCTION("""COMPUTED_VALUE"""),0.0)</f>
        <v>0</v>
      </c>
      <c r="AH159" s="16">
        <f>IFERROR(__xludf.DUMMYFUNCTION("""COMPUTED_VALUE"""),0.0)</f>
        <v>0</v>
      </c>
    </row>
    <row r="160">
      <c r="A160" s="16" t="str">
        <f>IFERROR(__xludf.DUMMYFUNCTION("""COMPUTED_VALUE"""),"8b0fd7aa03d26e2de1586a0fe7c91505431575cc")</f>
        <v>8b0fd7aa03d26e2de1586a0fe7c91505431575cc</v>
      </c>
      <c r="B160" s="16" t="str">
        <f>IFERROR(__xludf.DUMMYFUNCTION("""COMPUTED_VALUE"""),"The Midnight Luna")</f>
        <v>The Midnight Luna</v>
      </c>
      <c r="C160" s="16" t="str">
        <f>IFERROR(__xludf.DUMMYFUNCTION("""COMPUTED_VALUE"""),"Romantasy")</f>
        <v>Romantasy</v>
      </c>
      <c r="D160" s="16">
        <f>IFERROR(__xludf.DUMMYFUNCTION("""COMPUTED_VALUE"""),1241.0)</f>
        <v>1241</v>
      </c>
      <c r="E160" s="16">
        <f>IFERROR(__xludf.DUMMYFUNCTION("""COMPUTED_VALUE"""),0.968573730862207)</f>
        <v>0.9685737309</v>
      </c>
      <c r="F160" s="16">
        <f>IFERROR(__xludf.DUMMYFUNCTION("""COMPUTED_VALUE"""),0.619661563255439)</f>
        <v>0.6196615633</v>
      </c>
      <c r="G160" s="16">
        <f>IFERROR(__xludf.DUMMYFUNCTION("""COMPUTED_VALUE"""),0.559226430298146)</f>
        <v>0.5592264303</v>
      </c>
      <c r="H160" s="16">
        <f>IFERROR(__xludf.DUMMYFUNCTION("""COMPUTED_VALUE"""),0.514516129032258)</f>
        <v>0.514516129</v>
      </c>
      <c r="I160" s="16">
        <f>IFERROR(__xludf.DUMMYFUNCTION("""COMPUTED_VALUE"""),0.490673154906731)</f>
        <v>0.4906731549</v>
      </c>
      <c r="J160" s="16">
        <f>IFERROR(__xludf.DUMMYFUNCTION("""COMPUTED_VALUE"""),0.473941368078175)</f>
        <v>0.4739413681</v>
      </c>
      <c r="K160" s="16">
        <f>IFERROR(__xludf.DUMMYFUNCTION("""COMPUTED_VALUE"""),0.457682826622843)</f>
        <v>0.4576828266</v>
      </c>
      <c r="L160" s="16">
        <f>IFERROR(__xludf.DUMMYFUNCTION("""COMPUTED_VALUE"""),0.43336127409891)</f>
        <v>0.4333612741</v>
      </c>
      <c r="M160" s="16">
        <f>IFERROR(__xludf.DUMMYFUNCTION("""COMPUTED_VALUE"""),0.422523285351397)</f>
        <v>0.4225232854</v>
      </c>
      <c r="N160" s="16">
        <f>IFERROR(__xludf.DUMMYFUNCTION("""COMPUTED_VALUE"""),0.416027280477408)</f>
        <v>0.4160272805</v>
      </c>
      <c r="O160" s="16">
        <f>IFERROR(__xludf.DUMMYFUNCTION("""COMPUTED_VALUE"""),0.372521246458923)</f>
        <v>0.3725212465</v>
      </c>
      <c r="P160" s="16">
        <f>IFERROR(__xludf.DUMMYFUNCTION("""COMPUTED_VALUE"""),0.303030303030303)</f>
        <v>0.303030303</v>
      </c>
      <c r="Q160" s="16">
        <f>IFERROR(__xludf.DUMMYFUNCTION("""COMPUTED_VALUE"""),0.0)</f>
        <v>0</v>
      </c>
      <c r="R160" s="16">
        <f>IFERROR(__xludf.DUMMYFUNCTION("""COMPUTED_VALUE"""),0.0)</f>
        <v>0</v>
      </c>
      <c r="S160" s="16">
        <f>IFERROR(__xludf.DUMMYFUNCTION("""COMPUTED_VALUE"""),0.0)</f>
        <v>0</v>
      </c>
      <c r="T160" s="16">
        <f>IFERROR(__xludf.DUMMYFUNCTION("""COMPUTED_VALUE"""),0.0)</f>
        <v>0</v>
      </c>
      <c r="U160" s="16">
        <f>IFERROR(__xludf.DUMMYFUNCTION("""COMPUTED_VALUE"""),0.0)</f>
        <v>0</v>
      </c>
      <c r="V160" s="16">
        <f>IFERROR(__xludf.DUMMYFUNCTION("""COMPUTED_VALUE"""),0.0)</f>
        <v>0</v>
      </c>
      <c r="W160" s="16">
        <f>IFERROR(__xludf.DUMMYFUNCTION("""COMPUTED_VALUE"""),0.0)</f>
        <v>0</v>
      </c>
      <c r="X160" s="16">
        <f>IFERROR(__xludf.DUMMYFUNCTION("""COMPUTED_VALUE"""),0.0)</f>
        <v>0</v>
      </c>
      <c r="Y160" s="16">
        <f>IFERROR(__xludf.DUMMYFUNCTION("""COMPUTED_VALUE"""),0.0)</f>
        <v>0</v>
      </c>
      <c r="Z160" s="16">
        <f>IFERROR(__xludf.DUMMYFUNCTION("""COMPUTED_VALUE"""),0.0)</f>
        <v>0</v>
      </c>
      <c r="AA160" s="16">
        <f>IFERROR(__xludf.DUMMYFUNCTION("""COMPUTED_VALUE"""),0.0)</f>
        <v>0</v>
      </c>
      <c r="AB160" s="16">
        <f>IFERROR(__xludf.DUMMYFUNCTION("""COMPUTED_VALUE"""),0.0)</f>
        <v>0</v>
      </c>
      <c r="AC160" s="16">
        <f>IFERROR(__xludf.DUMMYFUNCTION("""COMPUTED_VALUE"""),0.0)</f>
        <v>0</v>
      </c>
      <c r="AD160" s="16">
        <f>IFERROR(__xludf.DUMMYFUNCTION("""COMPUTED_VALUE"""),0.0)</f>
        <v>0</v>
      </c>
      <c r="AE160" s="16">
        <f>IFERROR(__xludf.DUMMYFUNCTION("""COMPUTED_VALUE"""),0.0)</f>
        <v>0</v>
      </c>
      <c r="AF160" s="16">
        <f>IFERROR(__xludf.DUMMYFUNCTION("""COMPUTED_VALUE"""),0.0)</f>
        <v>0</v>
      </c>
      <c r="AG160" s="16">
        <f>IFERROR(__xludf.DUMMYFUNCTION("""COMPUTED_VALUE"""),0.0)</f>
        <v>0</v>
      </c>
      <c r="AH160" s="16">
        <f>IFERROR(__xludf.DUMMYFUNCTION("""COMPUTED_VALUE"""),0.0)</f>
        <v>0</v>
      </c>
    </row>
    <row r="161">
      <c r="A161" s="16" t="str">
        <f>IFERROR(__xludf.DUMMYFUNCTION("""COMPUTED_VALUE"""),"8bba1c491698de2d4d33abe2f115e5d666e141b2")</f>
        <v>8bba1c491698de2d4d33abe2f115e5d666e141b2</v>
      </c>
      <c r="B161" s="16" t="str">
        <f>IFERROR(__xludf.DUMMYFUNCTION("""COMPUTED_VALUE"""),"Until He Remembers Me")</f>
        <v>Until He Remembers Me</v>
      </c>
      <c r="C161" s="16" t="str">
        <f>IFERROR(__xludf.DUMMYFUNCTION("""COMPUTED_VALUE"""),"Romance")</f>
        <v>Romance</v>
      </c>
      <c r="D161" s="16">
        <f>IFERROR(__xludf.DUMMYFUNCTION("""COMPUTED_VALUE"""),375.0)</f>
        <v>375</v>
      </c>
      <c r="E161" s="16">
        <f>IFERROR(__xludf.DUMMYFUNCTION("""COMPUTED_VALUE"""),0.962666666666666)</f>
        <v>0.9626666667</v>
      </c>
      <c r="F161" s="16">
        <f>IFERROR(__xludf.DUMMYFUNCTION("""COMPUTED_VALUE"""),0.488)</f>
        <v>0.488</v>
      </c>
      <c r="G161" s="16">
        <f>IFERROR(__xludf.DUMMYFUNCTION("""COMPUTED_VALUE"""),0.426666666666666)</f>
        <v>0.4266666667</v>
      </c>
      <c r="H161" s="16">
        <f>IFERROR(__xludf.DUMMYFUNCTION("""COMPUTED_VALUE"""),0.376)</f>
        <v>0.376</v>
      </c>
      <c r="I161" s="16">
        <f>IFERROR(__xludf.DUMMYFUNCTION("""COMPUTED_VALUE"""),0.352941176470588)</f>
        <v>0.3529411765</v>
      </c>
      <c r="J161" s="16">
        <f>IFERROR(__xludf.DUMMYFUNCTION("""COMPUTED_VALUE"""),0.319034852546916)</f>
        <v>0.3190348525</v>
      </c>
      <c r="K161" s="16">
        <f>IFERROR(__xludf.DUMMYFUNCTION("""COMPUTED_VALUE"""),0.300813008130081)</f>
        <v>0.3008130081</v>
      </c>
      <c r="L161" s="16">
        <f>IFERROR(__xludf.DUMMYFUNCTION("""COMPUTED_VALUE"""),0.284931506849315)</f>
        <v>0.2849315068</v>
      </c>
      <c r="M161" s="16">
        <f>IFERROR(__xludf.DUMMYFUNCTION("""COMPUTED_VALUE"""),0.256906077348066)</f>
        <v>0.2569060773</v>
      </c>
      <c r="N161" s="16">
        <f>IFERROR(__xludf.DUMMYFUNCTION("""COMPUTED_VALUE"""),0.248571428571428)</f>
        <v>0.2485714286</v>
      </c>
      <c r="O161" s="16">
        <f>IFERROR(__xludf.DUMMYFUNCTION("""COMPUTED_VALUE"""),0.192073170731707)</f>
        <v>0.1920731707</v>
      </c>
      <c r="P161" s="16">
        <f>IFERROR(__xludf.DUMMYFUNCTION("""COMPUTED_VALUE"""),0.133757961783439)</f>
        <v>0.1337579618</v>
      </c>
      <c r="Q161" s="16">
        <f>IFERROR(__xludf.DUMMYFUNCTION("""COMPUTED_VALUE"""),0.0)</f>
        <v>0</v>
      </c>
      <c r="R161" s="16">
        <f>IFERROR(__xludf.DUMMYFUNCTION("""COMPUTED_VALUE"""),0.0)</f>
        <v>0</v>
      </c>
      <c r="S161" s="16">
        <f>IFERROR(__xludf.DUMMYFUNCTION("""COMPUTED_VALUE"""),0.0)</f>
        <v>0</v>
      </c>
      <c r="T161" s="16">
        <f>IFERROR(__xludf.DUMMYFUNCTION("""COMPUTED_VALUE"""),0.0)</f>
        <v>0</v>
      </c>
      <c r="U161" s="16">
        <f>IFERROR(__xludf.DUMMYFUNCTION("""COMPUTED_VALUE"""),0.0)</f>
        <v>0</v>
      </c>
      <c r="V161" s="16">
        <f>IFERROR(__xludf.DUMMYFUNCTION("""COMPUTED_VALUE"""),0.0)</f>
        <v>0</v>
      </c>
      <c r="W161" s="16">
        <f>IFERROR(__xludf.DUMMYFUNCTION("""COMPUTED_VALUE"""),0.0)</f>
        <v>0</v>
      </c>
      <c r="X161" s="16">
        <f>IFERROR(__xludf.DUMMYFUNCTION("""COMPUTED_VALUE"""),0.0)</f>
        <v>0</v>
      </c>
      <c r="Y161" s="16">
        <f>IFERROR(__xludf.DUMMYFUNCTION("""COMPUTED_VALUE"""),0.0)</f>
        <v>0</v>
      </c>
      <c r="Z161" s="16">
        <f>IFERROR(__xludf.DUMMYFUNCTION("""COMPUTED_VALUE"""),0.0)</f>
        <v>0</v>
      </c>
      <c r="AA161" s="16">
        <f>IFERROR(__xludf.DUMMYFUNCTION("""COMPUTED_VALUE"""),0.0)</f>
        <v>0</v>
      </c>
      <c r="AB161" s="16">
        <f>IFERROR(__xludf.DUMMYFUNCTION("""COMPUTED_VALUE"""),0.0)</f>
        <v>0</v>
      </c>
      <c r="AC161" s="16">
        <f>IFERROR(__xludf.DUMMYFUNCTION("""COMPUTED_VALUE"""),0.0)</f>
        <v>0</v>
      </c>
      <c r="AD161" s="16">
        <f>IFERROR(__xludf.DUMMYFUNCTION("""COMPUTED_VALUE"""),0.0)</f>
        <v>0</v>
      </c>
      <c r="AE161" s="16">
        <f>IFERROR(__xludf.DUMMYFUNCTION("""COMPUTED_VALUE"""),0.0)</f>
        <v>0</v>
      </c>
      <c r="AF161" s="16">
        <f>IFERROR(__xludf.DUMMYFUNCTION("""COMPUTED_VALUE"""),0.0)</f>
        <v>0</v>
      </c>
      <c r="AG161" s="16">
        <f>IFERROR(__xludf.DUMMYFUNCTION("""COMPUTED_VALUE"""),0.0)</f>
        <v>0</v>
      </c>
      <c r="AH161" s="16">
        <f>IFERROR(__xludf.DUMMYFUNCTION("""COMPUTED_VALUE"""),0.0)</f>
        <v>0</v>
      </c>
    </row>
    <row r="162">
      <c r="A162" s="16" t="str">
        <f>IFERROR(__xludf.DUMMYFUNCTION("""COMPUTED_VALUE"""),"8bcd1b852cfa9d73ac3583317066946ad2b0abf7")</f>
        <v>8bcd1b852cfa9d73ac3583317066946ad2b0abf7</v>
      </c>
      <c r="B162" s="16" t="str">
        <f>IFERROR(__xludf.DUMMYFUNCTION("""COMPUTED_VALUE"""),"Heir to Draconic Dominion")</f>
        <v>Heir to Draconic Dominion</v>
      </c>
      <c r="C162" s="16" t="str">
        <f>IFERROR(__xludf.DUMMYFUNCTION("""COMPUTED_VALUE"""),"Fantasy")</f>
        <v>Fantasy</v>
      </c>
      <c r="D162" s="16">
        <f>IFERROR(__xludf.DUMMYFUNCTION("""COMPUTED_VALUE"""),272.0)</f>
        <v>272</v>
      </c>
      <c r="E162" s="16">
        <f>IFERROR(__xludf.DUMMYFUNCTION("""COMPUTED_VALUE"""),0.974264705882352)</f>
        <v>0.9742647059</v>
      </c>
      <c r="F162" s="16">
        <f>IFERROR(__xludf.DUMMYFUNCTION("""COMPUTED_VALUE"""),0.544117647058823)</f>
        <v>0.5441176471</v>
      </c>
      <c r="G162" s="16">
        <f>IFERROR(__xludf.DUMMYFUNCTION("""COMPUTED_VALUE"""),0.488970588235294)</f>
        <v>0.4889705882</v>
      </c>
      <c r="H162" s="16">
        <f>IFERROR(__xludf.DUMMYFUNCTION("""COMPUTED_VALUE"""),0.470588235294117)</f>
        <v>0.4705882353</v>
      </c>
      <c r="I162" s="16">
        <f>IFERROR(__xludf.DUMMYFUNCTION("""COMPUTED_VALUE"""),0.433823529411764)</f>
        <v>0.4338235294</v>
      </c>
      <c r="J162" s="16">
        <f>IFERROR(__xludf.DUMMYFUNCTION("""COMPUTED_VALUE"""),0.424354243542435)</f>
        <v>0.4243542435</v>
      </c>
      <c r="K162" s="16">
        <f>IFERROR(__xludf.DUMMYFUNCTION("""COMPUTED_VALUE"""),0.383763837638376)</f>
        <v>0.3837638376</v>
      </c>
      <c r="L162" s="16">
        <f>IFERROR(__xludf.DUMMYFUNCTION("""COMPUTED_VALUE"""),0.387453874538745)</f>
        <v>0.3874538745</v>
      </c>
      <c r="M162" s="16">
        <f>IFERROR(__xludf.DUMMYFUNCTION("""COMPUTED_VALUE"""),0.361623616236162)</f>
        <v>0.3616236162</v>
      </c>
      <c r="N162" s="16">
        <f>IFERROR(__xludf.DUMMYFUNCTION("""COMPUTED_VALUE"""),0.356877323420074)</f>
        <v>0.3568773234</v>
      </c>
      <c r="O162" s="16">
        <f>IFERROR(__xludf.DUMMYFUNCTION("""COMPUTED_VALUE"""),0.3130081300813)</f>
        <v>0.3130081301</v>
      </c>
      <c r="P162" s="16">
        <f>IFERROR(__xludf.DUMMYFUNCTION("""COMPUTED_VALUE"""),0.263636363636363)</f>
        <v>0.2636363636</v>
      </c>
      <c r="Q162" s="16">
        <f>IFERROR(__xludf.DUMMYFUNCTION("""COMPUTED_VALUE"""),0.149606299212598)</f>
        <v>0.1496062992</v>
      </c>
      <c r="R162" s="16">
        <f>IFERROR(__xludf.DUMMYFUNCTION("""COMPUTED_VALUE"""),0.5)</f>
        <v>0.5</v>
      </c>
      <c r="S162" s="16">
        <f>IFERROR(__xludf.DUMMYFUNCTION("""COMPUTED_VALUE"""),0.0)</f>
        <v>0</v>
      </c>
      <c r="T162" s="16">
        <f>IFERROR(__xludf.DUMMYFUNCTION("""COMPUTED_VALUE"""),0.0)</f>
        <v>0</v>
      </c>
      <c r="U162" s="16">
        <f>IFERROR(__xludf.DUMMYFUNCTION("""COMPUTED_VALUE"""),0.0)</f>
        <v>0</v>
      </c>
      <c r="V162" s="16">
        <f>IFERROR(__xludf.DUMMYFUNCTION("""COMPUTED_VALUE"""),0.0)</f>
        <v>0</v>
      </c>
      <c r="W162" s="16">
        <f>IFERROR(__xludf.DUMMYFUNCTION("""COMPUTED_VALUE"""),0.0)</f>
        <v>0</v>
      </c>
      <c r="X162" s="16">
        <f>IFERROR(__xludf.DUMMYFUNCTION("""COMPUTED_VALUE"""),0.0)</f>
        <v>0</v>
      </c>
      <c r="Y162" s="16">
        <f>IFERROR(__xludf.DUMMYFUNCTION("""COMPUTED_VALUE"""),0.0)</f>
        <v>0</v>
      </c>
      <c r="Z162" s="16">
        <f>IFERROR(__xludf.DUMMYFUNCTION("""COMPUTED_VALUE"""),0.0)</f>
        <v>0</v>
      </c>
      <c r="AA162" s="16">
        <f>IFERROR(__xludf.DUMMYFUNCTION("""COMPUTED_VALUE"""),0.0)</f>
        <v>0</v>
      </c>
      <c r="AB162" s="16">
        <f>IFERROR(__xludf.DUMMYFUNCTION("""COMPUTED_VALUE"""),0.0)</f>
        <v>0</v>
      </c>
      <c r="AC162" s="16">
        <f>IFERROR(__xludf.DUMMYFUNCTION("""COMPUTED_VALUE"""),0.0)</f>
        <v>0</v>
      </c>
      <c r="AD162" s="16">
        <f>IFERROR(__xludf.DUMMYFUNCTION("""COMPUTED_VALUE"""),0.0)</f>
        <v>0</v>
      </c>
      <c r="AE162" s="16">
        <f>IFERROR(__xludf.DUMMYFUNCTION("""COMPUTED_VALUE"""),0.0)</f>
        <v>0</v>
      </c>
      <c r="AF162" s="16">
        <f>IFERROR(__xludf.DUMMYFUNCTION("""COMPUTED_VALUE"""),0.0)</f>
        <v>0</v>
      </c>
      <c r="AG162" s="16">
        <f>IFERROR(__xludf.DUMMYFUNCTION("""COMPUTED_VALUE"""),0.0)</f>
        <v>0</v>
      </c>
      <c r="AH162" s="16">
        <f>IFERROR(__xludf.DUMMYFUNCTION("""COMPUTED_VALUE"""),0.0)</f>
        <v>0</v>
      </c>
    </row>
    <row r="163">
      <c r="A163" s="16" t="str">
        <f>IFERROR(__xludf.DUMMYFUNCTION("""COMPUTED_VALUE"""),"8e36a60de34dcee5a96156507eb902741b36cc77")</f>
        <v>8e36a60de34dcee5a96156507eb902741b36cc77</v>
      </c>
      <c r="B163" s="16" t="str">
        <f>IFERROR(__xludf.DUMMYFUNCTION("""COMPUTED_VALUE"""),"It's Crystal")</f>
        <v>It's Crystal</v>
      </c>
      <c r="C163" s="16" t="str">
        <f>IFERROR(__xludf.DUMMYFUNCTION("""COMPUTED_VALUE"""),"Romance")</f>
        <v>Romance</v>
      </c>
      <c r="D163" s="16">
        <f>IFERROR(__xludf.DUMMYFUNCTION("""COMPUTED_VALUE"""),830.0)</f>
        <v>830</v>
      </c>
      <c r="E163" s="16">
        <f>IFERROR(__xludf.DUMMYFUNCTION("""COMPUTED_VALUE"""),0.96144578313253)</f>
        <v>0.9614457831</v>
      </c>
      <c r="F163" s="16">
        <f>IFERROR(__xludf.DUMMYFUNCTION("""COMPUTED_VALUE"""),0.626506024096385)</f>
        <v>0.6265060241</v>
      </c>
      <c r="G163" s="16">
        <f>IFERROR(__xludf.DUMMYFUNCTION("""COMPUTED_VALUE"""),0.583132530120481)</f>
        <v>0.5831325301</v>
      </c>
      <c r="H163" s="16">
        <f>IFERROR(__xludf.DUMMYFUNCTION("""COMPUTED_VALUE"""),0.565060240963855)</f>
        <v>0.565060241</v>
      </c>
      <c r="I163" s="16">
        <f>IFERROR(__xludf.DUMMYFUNCTION("""COMPUTED_VALUE"""),0.562650602409638)</f>
        <v>0.5626506024</v>
      </c>
      <c r="J163" s="16">
        <f>IFERROR(__xludf.DUMMYFUNCTION("""COMPUTED_VALUE"""),0.539759036144578)</f>
        <v>0.5397590361</v>
      </c>
      <c r="K163" s="16">
        <f>IFERROR(__xludf.DUMMYFUNCTION("""COMPUTED_VALUE"""),0.522370012091898)</f>
        <v>0.5223700121</v>
      </c>
      <c r="L163" s="16">
        <f>IFERROR(__xludf.DUMMYFUNCTION("""COMPUTED_VALUE"""),0.492140266021765)</f>
        <v>0.492140266</v>
      </c>
      <c r="M163" s="16">
        <f>IFERROR(__xludf.DUMMYFUNCTION("""COMPUTED_VALUE"""),0.467956469165659)</f>
        <v>0.4679564692</v>
      </c>
      <c r="N163" s="16">
        <f>IFERROR(__xludf.DUMMYFUNCTION("""COMPUTED_VALUE"""),0.459492140266021)</f>
        <v>0.4594921403</v>
      </c>
      <c r="O163" s="16">
        <f>IFERROR(__xludf.DUMMYFUNCTION("""COMPUTED_VALUE"""),0.382173382173382)</f>
        <v>0.3821733822</v>
      </c>
      <c r="P163" s="16">
        <f>IFERROR(__xludf.DUMMYFUNCTION("""COMPUTED_VALUE"""),0.282367447595561)</f>
        <v>0.2823674476</v>
      </c>
      <c r="Q163" s="16">
        <f>IFERROR(__xludf.DUMMYFUNCTION("""COMPUTED_VALUE"""),0.160237388724035)</f>
        <v>0.1602373887</v>
      </c>
      <c r="R163" s="16">
        <f>IFERROR(__xludf.DUMMYFUNCTION("""COMPUTED_VALUE"""),0.131147540983606)</f>
        <v>0.131147541</v>
      </c>
      <c r="S163" s="16">
        <f>IFERROR(__xludf.DUMMYFUNCTION("""COMPUTED_VALUE"""),0.0)</f>
        <v>0</v>
      </c>
      <c r="T163" s="16">
        <f>IFERROR(__xludf.DUMMYFUNCTION("""COMPUTED_VALUE"""),0.0)</f>
        <v>0</v>
      </c>
      <c r="U163" s="16">
        <f>IFERROR(__xludf.DUMMYFUNCTION("""COMPUTED_VALUE"""),0.0)</f>
        <v>0</v>
      </c>
      <c r="V163" s="16">
        <f>IFERROR(__xludf.DUMMYFUNCTION("""COMPUTED_VALUE"""),0.0)</f>
        <v>0</v>
      </c>
      <c r="W163" s="16">
        <f>IFERROR(__xludf.DUMMYFUNCTION("""COMPUTED_VALUE"""),0.0)</f>
        <v>0</v>
      </c>
      <c r="X163" s="16">
        <f>IFERROR(__xludf.DUMMYFUNCTION("""COMPUTED_VALUE"""),0.0)</f>
        <v>0</v>
      </c>
      <c r="Y163" s="16">
        <f>IFERROR(__xludf.DUMMYFUNCTION("""COMPUTED_VALUE"""),0.0)</f>
        <v>0</v>
      </c>
      <c r="Z163" s="16">
        <f>IFERROR(__xludf.DUMMYFUNCTION("""COMPUTED_VALUE"""),0.0)</f>
        <v>0</v>
      </c>
      <c r="AA163" s="16">
        <f>IFERROR(__xludf.DUMMYFUNCTION("""COMPUTED_VALUE"""),0.0)</f>
        <v>0</v>
      </c>
      <c r="AB163" s="16">
        <f>IFERROR(__xludf.DUMMYFUNCTION("""COMPUTED_VALUE"""),0.0)</f>
        <v>0</v>
      </c>
      <c r="AC163" s="16">
        <f>IFERROR(__xludf.DUMMYFUNCTION("""COMPUTED_VALUE"""),0.0)</f>
        <v>0</v>
      </c>
      <c r="AD163" s="16">
        <f>IFERROR(__xludf.DUMMYFUNCTION("""COMPUTED_VALUE"""),0.0)</f>
        <v>0</v>
      </c>
      <c r="AE163" s="16">
        <f>IFERROR(__xludf.DUMMYFUNCTION("""COMPUTED_VALUE"""),0.0)</f>
        <v>0</v>
      </c>
      <c r="AF163" s="16">
        <f>IFERROR(__xludf.DUMMYFUNCTION("""COMPUTED_VALUE"""),0.0)</f>
        <v>0</v>
      </c>
      <c r="AG163" s="16">
        <f>IFERROR(__xludf.DUMMYFUNCTION("""COMPUTED_VALUE"""),0.0)</f>
        <v>0</v>
      </c>
      <c r="AH163" s="16">
        <f>IFERROR(__xludf.DUMMYFUNCTION("""COMPUTED_VALUE"""),0.0)</f>
        <v>0</v>
      </c>
    </row>
    <row r="164">
      <c r="A164" s="16" t="str">
        <f>IFERROR(__xludf.DUMMYFUNCTION("""COMPUTED_VALUE"""),"8e3c4698dede52f8548d10d283645c3e3f83c04a")</f>
        <v>8e3c4698dede52f8548d10d283645c3e3f83c04a</v>
      </c>
      <c r="B164" s="16" t="str">
        <f>IFERROR(__xludf.DUMMYFUNCTION("""COMPUTED_VALUE"""),"The Celestial God’s Heir")</f>
        <v>The Celestial God’s Heir</v>
      </c>
      <c r="C164" s="16" t="str">
        <f>IFERROR(__xludf.DUMMYFUNCTION("""COMPUTED_VALUE"""),"Fantasy")</f>
        <v>Fantasy</v>
      </c>
      <c r="D164" s="16">
        <f>IFERROR(__xludf.DUMMYFUNCTION("""COMPUTED_VALUE"""),20.0)</f>
        <v>20</v>
      </c>
      <c r="E164" s="16">
        <f>IFERROR(__xludf.DUMMYFUNCTION("""COMPUTED_VALUE"""),1.0)</f>
        <v>1</v>
      </c>
      <c r="F164" s="16">
        <f>IFERROR(__xludf.DUMMYFUNCTION("""COMPUTED_VALUE"""),0.55)</f>
        <v>0.55</v>
      </c>
      <c r="G164" s="16">
        <f>IFERROR(__xludf.DUMMYFUNCTION("""COMPUTED_VALUE"""),0.55)</f>
        <v>0.55</v>
      </c>
      <c r="H164" s="16">
        <f>IFERROR(__xludf.DUMMYFUNCTION("""COMPUTED_VALUE"""),0.55)</f>
        <v>0.55</v>
      </c>
      <c r="I164" s="16">
        <f>IFERROR(__xludf.DUMMYFUNCTION("""COMPUTED_VALUE"""),0.5)</f>
        <v>0.5</v>
      </c>
      <c r="J164" s="16">
        <f>IFERROR(__xludf.DUMMYFUNCTION("""COMPUTED_VALUE"""),0.421052631578947)</f>
        <v>0.4210526316</v>
      </c>
      <c r="K164" s="16">
        <f>IFERROR(__xludf.DUMMYFUNCTION("""COMPUTED_VALUE"""),0.421052631578947)</f>
        <v>0.4210526316</v>
      </c>
      <c r="L164" s="16">
        <f>IFERROR(__xludf.DUMMYFUNCTION("""COMPUTED_VALUE"""),0.421052631578947)</f>
        <v>0.4210526316</v>
      </c>
      <c r="M164" s="16">
        <f>IFERROR(__xludf.DUMMYFUNCTION("""COMPUTED_VALUE"""),0.421052631578947)</f>
        <v>0.4210526316</v>
      </c>
      <c r="N164" s="16">
        <f>IFERROR(__xludf.DUMMYFUNCTION("""COMPUTED_VALUE"""),0.421052631578947)</f>
        <v>0.4210526316</v>
      </c>
      <c r="O164" s="16">
        <f>IFERROR(__xludf.DUMMYFUNCTION("""COMPUTED_VALUE"""),0.2)</f>
        <v>0.2</v>
      </c>
      <c r="P164" s="16">
        <f>IFERROR(__xludf.DUMMYFUNCTION("""COMPUTED_VALUE"""),0.0)</f>
        <v>0</v>
      </c>
      <c r="Q164" s="16">
        <f>IFERROR(__xludf.DUMMYFUNCTION("""COMPUTED_VALUE"""),0.0)</f>
        <v>0</v>
      </c>
      <c r="R164" s="16">
        <f>IFERROR(__xludf.DUMMYFUNCTION("""COMPUTED_VALUE"""),0.0)</f>
        <v>0</v>
      </c>
      <c r="S164" s="16">
        <f>IFERROR(__xludf.DUMMYFUNCTION("""COMPUTED_VALUE"""),0.0)</f>
        <v>0</v>
      </c>
      <c r="T164" s="16">
        <f>IFERROR(__xludf.DUMMYFUNCTION("""COMPUTED_VALUE"""),0.0)</f>
        <v>0</v>
      </c>
      <c r="U164" s="16">
        <f>IFERROR(__xludf.DUMMYFUNCTION("""COMPUTED_VALUE"""),0.0)</f>
        <v>0</v>
      </c>
      <c r="V164" s="16">
        <f>IFERROR(__xludf.DUMMYFUNCTION("""COMPUTED_VALUE"""),0.0)</f>
        <v>0</v>
      </c>
      <c r="W164" s="16">
        <f>IFERROR(__xludf.DUMMYFUNCTION("""COMPUTED_VALUE"""),0.0)</f>
        <v>0</v>
      </c>
      <c r="X164" s="16">
        <f>IFERROR(__xludf.DUMMYFUNCTION("""COMPUTED_VALUE"""),0.0)</f>
        <v>0</v>
      </c>
      <c r="Y164" s="16">
        <f>IFERROR(__xludf.DUMMYFUNCTION("""COMPUTED_VALUE"""),0.0)</f>
        <v>0</v>
      </c>
      <c r="Z164" s="16">
        <f>IFERROR(__xludf.DUMMYFUNCTION("""COMPUTED_VALUE"""),0.0)</f>
        <v>0</v>
      </c>
      <c r="AA164" s="16">
        <f>IFERROR(__xludf.DUMMYFUNCTION("""COMPUTED_VALUE"""),0.0)</f>
        <v>0</v>
      </c>
      <c r="AB164" s="16">
        <f>IFERROR(__xludf.DUMMYFUNCTION("""COMPUTED_VALUE"""),0.0)</f>
        <v>0</v>
      </c>
      <c r="AC164" s="16">
        <f>IFERROR(__xludf.DUMMYFUNCTION("""COMPUTED_VALUE"""),0.0)</f>
        <v>0</v>
      </c>
      <c r="AD164" s="16">
        <f>IFERROR(__xludf.DUMMYFUNCTION("""COMPUTED_VALUE"""),0.0)</f>
        <v>0</v>
      </c>
      <c r="AE164" s="16">
        <f>IFERROR(__xludf.DUMMYFUNCTION("""COMPUTED_VALUE"""),0.0)</f>
        <v>0</v>
      </c>
      <c r="AF164" s="16">
        <f>IFERROR(__xludf.DUMMYFUNCTION("""COMPUTED_VALUE"""),0.0)</f>
        <v>0</v>
      </c>
      <c r="AG164" s="16">
        <f>IFERROR(__xludf.DUMMYFUNCTION("""COMPUTED_VALUE"""),0.0)</f>
        <v>0</v>
      </c>
      <c r="AH164" s="16">
        <f>IFERROR(__xludf.DUMMYFUNCTION("""COMPUTED_VALUE"""),0.0)</f>
        <v>0</v>
      </c>
    </row>
    <row r="165">
      <c r="A165" s="16" t="str">
        <f>IFERROR(__xludf.DUMMYFUNCTION("""COMPUTED_VALUE"""),"8f0fa62650413483426bef0ac7d66ca7627ab11f")</f>
        <v>8f0fa62650413483426bef0ac7d66ca7627ab11f</v>
      </c>
      <c r="B165" s="16" t="str">
        <f>IFERROR(__xludf.DUMMYFUNCTION("""COMPUTED_VALUE"""),"The Mind Reader: A Son-in-Law’s Revenge")</f>
        <v>The Mind Reader: A Son-in-Law’s Revenge</v>
      </c>
      <c r="C165" s="16" t="str">
        <f>IFERROR(__xludf.DUMMYFUNCTION("""COMPUTED_VALUE"""),"Drama")</f>
        <v>Drama</v>
      </c>
      <c r="D165" s="16">
        <f>IFERROR(__xludf.DUMMYFUNCTION("""COMPUTED_VALUE"""),357.0)</f>
        <v>357</v>
      </c>
      <c r="E165" s="16">
        <f>IFERROR(__xludf.DUMMYFUNCTION("""COMPUTED_VALUE"""),0.918767507002801)</f>
        <v>0.918767507</v>
      </c>
      <c r="F165" s="16">
        <f>IFERROR(__xludf.DUMMYFUNCTION("""COMPUTED_VALUE"""),0.568627450980392)</f>
        <v>0.568627451</v>
      </c>
      <c r="G165" s="16">
        <f>IFERROR(__xludf.DUMMYFUNCTION("""COMPUTED_VALUE"""),0.42296918767507)</f>
        <v>0.4229691877</v>
      </c>
      <c r="H165" s="16">
        <f>IFERROR(__xludf.DUMMYFUNCTION("""COMPUTED_VALUE"""),0.365439093484419)</f>
        <v>0.3654390935</v>
      </c>
      <c r="I165" s="16">
        <f>IFERROR(__xludf.DUMMYFUNCTION("""COMPUTED_VALUE"""),0.316091954022988)</f>
        <v>0.316091954</v>
      </c>
      <c r="J165" s="16">
        <f>IFERROR(__xludf.DUMMYFUNCTION("""COMPUTED_VALUE"""),0.289719626168224)</f>
        <v>0.2897196262</v>
      </c>
      <c r="K165" s="16">
        <f>IFERROR(__xludf.DUMMYFUNCTION("""COMPUTED_VALUE"""),0.259016393442622)</f>
        <v>0.2590163934</v>
      </c>
      <c r="L165" s="16">
        <f>IFERROR(__xludf.DUMMYFUNCTION("""COMPUTED_VALUE"""),0.244755244755244)</f>
        <v>0.2447552448</v>
      </c>
      <c r="M165" s="16">
        <f>IFERROR(__xludf.DUMMYFUNCTION("""COMPUTED_VALUE"""),0.230215827338129)</f>
        <v>0.2302158273</v>
      </c>
      <c r="N165" s="16">
        <f>IFERROR(__xludf.DUMMYFUNCTION("""COMPUTED_VALUE"""),0.211320754716981)</f>
        <v>0.2113207547</v>
      </c>
      <c r="O165" s="16">
        <f>IFERROR(__xludf.DUMMYFUNCTION("""COMPUTED_VALUE"""),0.188679245283018)</f>
        <v>0.1886792453</v>
      </c>
      <c r="P165" s="16">
        <f>IFERROR(__xludf.DUMMYFUNCTION("""COMPUTED_VALUE"""),0.154716981132075)</f>
        <v>0.1547169811</v>
      </c>
      <c r="Q165" s="16">
        <f>IFERROR(__xludf.DUMMYFUNCTION("""COMPUTED_VALUE"""),0.0570342205323193)</f>
        <v>0.05703422053</v>
      </c>
      <c r="R165" s="16">
        <f>IFERROR(__xludf.DUMMYFUNCTION("""COMPUTED_VALUE"""),0.0344827586206896)</f>
        <v>0.03448275862</v>
      </c>
      <c r="S165" s="16">
        <f>IFERROR(__xludf.DUMMYFUNCTION("""COMPUTED_VALUE"""),0.0)</f>
        <v>0</v>
      </c>
      <c r="T165" s="16">
        <f>IFERROR(__xludf.DUMMYFUNCTION("""COMPUTED_VALUE"""),0.0)</f>
        <v>0</v>
      </c>
      <c r="U165" s="16">
        <f>IFERROR(__xludf.DUMMYFUNCTION("""COMPUTED_VALUE"""),0.0)</f>
        <v>0</v>
      </c>
      <c r="V165" s="16">
        <f>IFERROR(__xludf.DUMMYFUNCTION("""COMPUTED_VALUE"""),0.0)</f>
        <v>0</v>
      </c>
      <c r="W165" s="16">
        <f>IFERROR(__xludf.DUMMYFUNCTION("""COMPUTED_VALUE"""),0.0)</f>
        <v>0</v>
      </c>
      <c r="X165" s="16">
        <f>IFERROR(__xludf.DUMMYFUNCTION("""COMPUTED_VALUE"""),0.0)</f>
        <v>0</v>
      </c>
      <c r="Y165" s="16">
        <f>IFERROR(__xludf.DUMMYFUNCTION("""COMPUTED_VALUE"""),0.0)</f>
        <v>0</v>
      </c>
      <c r="Z165" s="16">
        <f>IFERROR(__xludf.DUMMYFUNCTION("""COMPUTED_VALUE"""),0.0)</f>
        <v>0</v>
      </c>
      <c r="AA165" s="16">
        <f>IFERROR(__xludf.DUMMYFUNCTION("""COMPUTED_VALUE"""),0.0)</f>
        <v>0</v>
      </c>
      <c r="AB165" s="16">
        <f>IFERROR(__xludf.DUMMYFUNCTION("""COMPUTED_VALUE"""),0.0)</f>
        <v>0</v>
      </c>
      <c r="AC165" s="16">
        <f>IFERROR(__xludf.DUMMYFUNCTION("""COMPUTED_VALUE"""),0.0)</f>
        <v>0</v>
      </c>
      <c r="AD165" s="16">
        <f>IFERROR(__xludf.DUMMYFUNCTION("""COMPUTED_VALUE"""),0.0)</f>
        <v>0</v>
      </c>
      <c r="AE165" s="16">
        <f>IFERROR(__xludf.DUMMYFUNCTION("""COMPUTED_VALUE"""),0.0)</f>
        <v>0</v>
      </c>
      <c r="AF165" s="16">
        <f>IFERROR(__xludf.DUMMYFUNCTION("""COMPUTED_VALUE"""),0.0)</f>
        <v>0</v>
      </c>
      <c r="AG165" s="16">
        <f>IFERROR(__xludf.DUMMYFUNCTION("""COMPUTED_VALUE"""),0.0)</f>
        <v>0</v>
      </c>
      <c r="AH165" s="16">
        <f>IFERROR(__xludf.DUMMYFUNCTION("""COMPUTED_VALUE"""),0.0)</f>
        <v>0</v>
      </c>
    </row>
    <row r="166">
      <c r="A166" s="16" t="str">
        <f>IFERROR(__xludf.DUMMYFUNCTION("""COMPUTED_VALUE"""),"8f9097f70a41e0a3a637a3eb2b6551e036eb16b7")</f>
        <v>8f9097f70a41e0a3a637a3eb2b6551e036eb16b7</v>
      </c>
      <c r="B166" s="16" t="str">
        <f>IFERROR(__xludf.DUMMYFUNCTION("""COMPUTED_VALUE"""),"The Devine Root")</f>
        <v>The Devine Root</v>
      </c>
      <c r="C166" s="16" t="str">
        <f>IFERROR(__xludf.DUMMYFUNCTION("""COMPUTED_VALUE"""),"Fantasy")</f>
        <v>Fantasy</v>
      </c>
      <c r="D166" s="16">
        <f>IFERROR(__xludf.DUMMYFUNCTION("""COMPUTED_VALUE"""),53.0)</f>
        <v>53</v>
      </c>
      <c r="E166" s="16">
        <f>IFERROR(__xludf.DUMMYFUNCTION("""COMPUTED_VALUE"""),1.0)</f>
        <v>1</v>
      </c>
      <c r="F166" s="16">
        <f>IFERROR(__xludf.DUMMYFUNCTION("""COMPUTED_VALUE"""),0.396226415094339)</f>
        <v>0.3962264151</v>
      </c>
      <c r="G166" s="16">
        <f>IFERROR(__xludf.DUMMYFUNCTION("""COMPUTED_VALUE"""),0.320754716981132)</f>
        <v>0.320754717</v>
      </c>
      <c r="H166" s="16">
        <f>IFERROR(__xludf.DUMMYFUNCTION("""COMPUTED_VALUE"""),0.320754716981132)</f>
        <v>0.320754717</v>
      </c>
      <c r="I166" s="16">
        <f>IFERROR(__xludf.DUMMYFUNCTION("""COMPUTED_VALUE"""),0.264150943396226)</f>
        <v>0.2641509434</v>
      </c>
      <c r="J166" s="16">
        <f>IFERROR(__xludf.DUMMYFUNCTION("""COMPUTED_VALUE"""),0.25)</f>
        <v>0.25</v>
      </c>
      <c r="K166" s="16">
        <f>IFERROR(__xludf.DUMMYFUNCTION("""COMPUTED_VALUE"""),0.210526315789473)</f>
        <v>0.2105263158</v>
      </c>
      <c r="L166" s="16">
        <f>IFERROR(__xludf.DUMMYFUNCTION("""COMPUTED_VALUE"""),0.272727272727272)</f>
        <v>0.2727272727</v>
      </c>
      <c r="M166" s="16">
        <f>IFERROR(__xludf.DUMMYFUNCTION("""COMPUTED_VALUE"""),0.3)</f>
        <v>0.3</v>
      </c>
      <c r="N166" s="16">
        <f>IFERROR(__xludf.DUMMYFUNCTION("""COMPUTED_VALUE"""),0.3)</f>
        <v>0.3</v>
      </c>
      <c r="O166" s="16">
        <f>IFERROR(__xludf.DUMMYFUNCTION("""COMPUTED_VALUE"""),0.0)</f>
        <v>0</v>
      </c>
      <c r="P166" s="16">
        <f>IFERROR(__xludf.DUMMYFUNCTION("""COMPUTED_VALUE"""),0.0)</f>
        <v>0</v>
      </c>
      <c r="Q166" s="16">
        <f>IFERROR(__xludf.DUMMYFUNCTION("""COMPUTED_VALUE"""),0.0)</f>
        <v>0</v>
      </c>
      <c r="R166" s="16">
        <f>IFERROR(__xludf.DUMMYFUNCTION("""COMPUTED_VALUE"""),0.0)</f>
        <v>0</v>
      </c>
      <c r="S166" s="16">
        <f>IFERROR(__xludf.DUMMYFUNCTION("""COMPUTED_VALUE"""),0.0)</f>
        <v>0</v>
      </c>
      <c r="T166" s="16">
        <f>IFERROR(__xludf.DUMMYFUNCTION("""COMPUTED_VALUE"""),0.0)</f>
        <v>0</v>
      </c>
      <c r="U166" s="16">
        <f>IFERROR(__xludf.DUMMYFUNCTION("""COMPUTED_VALUE"""),0.0)</f>
        <v>0</v>
      </c>
      <c r="V166" s="16">
        <f>IFERROR(__xludf.DUMMYFUNCTION("""COMPUTED_VALUE"""),0.0)</f>
        <v>0</v>
      </c>
      <c r="W166" s="16">
        <f>IFERROR(__xludf.DUMMYFUNCTION("""COMPUTED_VALUE"""),0.0)</f>
        <v>0</v>
      </c>
      <c r="X166" s="16">
        <f>IFERROR(__xludf.DUMMYFUNCTION("""COMPUTED_VALUE"""),0.0)</f>
        <v>0</v>
      </c>
      <c r="Y166" s="16">
        <f>IFERROR(__xludf.DUMMYFUNCTION("""COMPUTED_VALUE"""),0.0)</f>
        <v>0</v>
      </c>
      <c r="Z166" s="16">
        <f>IFERROR(__xludf.DUMMYFUNCTION("""COMPUTED_VALUE"""),0.0)</f>
        <v>0</v>
      </c>
      <c r="AA166" s="16">
        <f>IFERROR(__xludf.DUMMYFUNCTION("""COMPUTED_VALUE"""),0.0)</f>
        <v>0</v>
      </c>
      <c r="AB166" s="16">
        <f>IFERROR(__xludf.DUMMYFUNCTION("""COMPUTED_VALUE"""),0.0)</f>
        <v>0</v>
      </c>
      <c r="AC166" s="16">
        <f>IFERROR(__xludf.DUMMYFUNCTION("""COMPUTED_VALUE"""),0.0)</f>
        <v>0</v>
      </c>
      <c r="AD166" s="16">
        <f>IFERROR(__xludf.DUMMYFUNCTION("""COMPUTED_VALUE"""),0.0)</f>
        <v>0</v>
      </c>
      <c r="AE166" s="16">
        <f>IFERROR(__xludf.DUMMYFUNCTION("""COMPUTED_VALUE"""),0.0)</f>
        <v>0</v>
      </c>
      <c r="AF166" s="16">
        <f>IFERROR(__xludf.DUMMYFUNCTION("""COMPUTED_VALUE"""),0.0)</f>
        <v>0</v>
      </c>
      <c r="AG166" s="16">
        <f>IFERROR(__xludf.DUMMYFUNCTION("""COMPUTED_VALUE"""),0.0)</f>
        <v>0</v>
      </c>
      <c r="AH166" s="16">
        <f>IFERROR(__xludf.DUMMYFUNCTION("""COMPUTED_VALUE"""),0.0)</f>
        <v>0</v>
      </c>
    </row>
    <row r="167">
      <c r="A167" s="16" t="str">
        <f>IFERROR(__xludf.DUMMYFUNCTION("""COMPUTED_VALUE"""),"8fc0fc1659f3b419e6fa13d9cb59b0e57bfec096")</f>
        <v>8fc0fc1659f3b419e6fa13d9cb59b0e57bfec096</v>
      </c>
      <c r="B167" s="16" t="str">
        <f>IFERROR(__xludf.DUMMYFUNCTION("""COMPUTED_VALUE"""),"The Exiled Heir")</f>
        <v>The Exiled Heir</v>
      </c>
      <c r="C167" s="16" t="str">
        <f>IFERROR(__xludf.DUMMYFUNCTION("""COMPUTED_VALUE"""),"Drama")</f>
        <v>Drama</v>
      </c>
      <c r="D167" s="16">
        <f>IFERROR(__xludf.DUMMYFUNCTION("""COMPUTED_VALUE"""),1934.0)</f>
        <v>1934</v>
      </c>
      <c r="E167" s="16">
        <f>IFERROR(__xludf.DUMMYFUNCTION("""COMPUTED_VALUE"""),0.9358841778697)</f>
        <v>0.9358841779</v>
      </c>
      <c r="F167" s="16">
        <f>IFERROR(__xludf.DUMMYFUNCTION("""COMPUTED_VALUE"""),0.58324715615305)</f>
        <v>0.5832471562</v>
      </c>
      <c r="G167" s="16">
        <f>IFERROR(__xludf.DUMMYFUNCTION("""COMPUTED_VALUE"""),0.509824198552223)</f>
        <v>0.5098241986</v>
      </c>
      <c r="H167" s="16">
        <f>IFERROR(__xludf.DUMMYFUNCTION("""COMPUTED_VALUE"""),0.475350285417747)</f>
        <v>0.4753502854</v>
      </c>
      <c r="I167" s="16">
        <f>IFERROR(__xludf.DUMMYFUNCTION("""COMPUTED_VALUE"""),0.428571428571428)</f>
        <v>0.4285714286</v>
      </c>
      <c r="J167" s="16">
        <f>IFERROR(__xludf.DUMMYFUNCTION("""COMPUTED_VALUE"""),0.401463669628855)</f>
        <v>0.4014636696</v>
      </c>
      <c r="K167" s="16">
        <f>IFERROR(__xludf.DUMMYFUNCTION("""COMPUTED_VALUE"""),0.371578947368421)</f>
        <v>0.3715789474</v>
      </c>
      <c r="L167" s="16">
        <f>IFERROR(__xludf.DUMMYFUNCTION("""COMPUTED_VALUE"""),0.356048600105652)</f>
        <v>0.3560486001</v>
      </c>
      <c r="M167" s="16">
        <f>IFERROR(__xludf.DUMMYFUNCTION("""COMPUTED_VALUE"""),0.346255974508762)</f>
        <v>0.3462559745</v>
      </c>
      <c r="N167" s="16">
        <f>IFERROR(__xludf.DUMMYFUNCTION("""COMPUTED_VALUE"""),0.335290977042178)</f>
        <v>0.335290977</v>
      </c>
      <c r="O167" s="16">
        <f>IFERROR(__xludf.DUMMYFUNCTION("""COMPUTED_VALUE"""),0.302388707926167)</f>
        <v>0.3023887079</v>
      </c>
      <c r="P167" s="16">
        <f>IFERROR(__xludf.DUMMYFUNCTION("""COMPUTED_VALUE"""),0.235587583148558)</f>
        <v>0.2355875831</v>
      </c>
      <c r="Q167" s="16">
        <f>IFERROR(__xludf.DUMMYFUNCTION("""COMPUTED_VALUE"""),0.153892576946288)</f>
        <v>0.1538925769</v>
      </c>
      <c r="R167" s="16">
        <f>IFERROR(__xludf.DUMMYFUNCTION("""COMPUTED_VALUE"""),0.114942528735632)</f>
        <v>0.1149425287</v>
      </c>
      <c r="S167" s="16">
        <f>IFERROR(__xludf.DUMMYFUNCTION("""COMPUTED_VALUE"""),0.0797101449275362)</f>
        <v>0.07971014493</v>
      </c>
      <c r="T167" s="16">
        <f>IFERROR(__xludf.DUMMYFUNCTION("""COMPUTED_VALUE"""),0.0565068493150684)</f>
        <v>0.05650684932</v>
      </c>
      <c r="U167" s="16">
        <f>IFERROR(__xludf.DUMMYFUNCTION("""COMPUTED_VALUE"""),0.0)</f>
        <v>0</v>
      </c>
      <c r="V167" s="16">
        <f>IFERROR(__xludf.DUMMYFUNCTION("""COMPUTED_VALUE"""),0.0)</f>
        <v>0</v>
      </c>
      <c r="W167" s="16">
        <f>IFERROR(__xludf.DUMMYFUNCTION("""COMPUTED_VALUE"""),0.0)</f>
        <v>0</v>
      </c>
      <c r="X167" s="16">
        <f>IFERROR(__xludf.DUMMYFUNCTION("""COMPUTED_VALUE"""),0.0)</f>
        <v>0</v>
      </c>
      <c r="Y167" s="16">
        <f>IFERROR(__xludf.DUMMYFUNCTION("""COMPUTED_VALUE"""),0.0)</f>
        <v>0</v>
      </c>
      <c r="Z167" s="16">
        <f>IFERROR(__xludf.DUMMYFUNCTION("""COMPUTED_VALUE"""),0.0)</f>
        <v>0</v>
      </c>
      <c r="AA167" s="16">
        <f>IFERROR(__xludf.DUMMYFUNCTION("""COMPUTED_VALUE"""),0.0)</f>
        <v>0</v>
      </c>
      <c r="AB167" s="16">
        <f>IFERROR(__xludf.DUMMYFUNCTION("""COMPUTED_VALUE"""),0.0)</f>
        <v>0</v>
      </c>
      <c r="AC167" s="16">
        <f>IFERROR(__xludf.DUMMYFUNCTION("""COMPUTED_VALUE"""),0.0)</f>
        <v>0</v>
      </c>
      <c r="AD167" s="16">
        <f>IFERROR(__xludf.DUMMYFUNCTION("""COMPUTED_VALUE"""),0.0)</f>
        <v>0</v>
      </c>
      <c r="AE167" s="16">
        <f>IFERROR(__xludf.DUMMYFUNCTION("""COMPUTED_VALUE"""),0.0)</f>
        <v>0</v>
      </c>
      <c r="AF167" s="16">
        <f>IFERROR(__xludf.DUMMYFUNCTION("""COMPUTED_VALUE"""),0.0)</f>
        <v>0</v>
      </c>
      <c r="AG167" s="16">
        <f>IFERROR(__xludf.DUMMYFUNCTION("""COMPUTED_VALUE"""),0.0)</f>
        <v>0</v>
      </c>
      <c r="AH167" s="16">
        <f>IFERROR(__xludf.DUMMYFUNCTION("""COMPUTED_VALUE"""),0.0)</f>
        <v>0</v>
      </c>
    </row>
    <row r="168">
      <c r="A168" s="16" t="str">
        <f>IFERROR(__xludf.DUMMYFUNCTION("""COMPUTED_VALUE"""),"9187815245dbab381e06e99b89e34db3f811e066")</f>
        <v>9187815245dbab381e06e99b89e34db3f811e066</v>
      </c>
      <c r="B168" s="16" t="str">
        <f>IFERROR(__xludf.DUMMYFUNCTION("""COMPUTED_VALUE"""),"Billionaire's Pursuit")</f>
        <v>Billionaire's Pursuit</v>
      </c>
      <c r="C168" s="16" t="str">
        <f>IFERROR(__xludf.DUMMYFUNCTION("""COMPUTED_VALUE"""),"Romance")</f>
        <v>Romance</v>
      </c>
      <c r="D168" s="16">
        <f>IFERROR(__xludf.DUMMYFUNCTION("""COMPUTED_VALUE"""),336.0)</f>
        <v>336</v>
      </c>
      <c r="E168" s="16">
        <f>IFERROR(__xludf.DUMMYFUNCTION("""COMPUTED_VALUE"""),0.928571428571428)</f>
        <v>0.9285714286</v>
      </c>
      <c r="F168" s="16">
        <f>IFERROR(__xludf.DUMMYFUNCTION("""COMPUTED_VALUE"""),0.449404761904761)</f>
        <v>0.4494047619</v>
      </c>
      <c r="G168" s="16">
        <f>IFERROR(__xludf.DUMMYFUNCTION("""COMPUTED_VALUE"""),0.369047619047619)</f>
        <v>0.369047619</v>
      </c>
      <c r="H168" s="16">
        <f>IFERROR(__xludf.DUMMYFUNCTION("""COMPUTED_VALUE"""),0.322388059701492)</f>
        <v>0.3223880597</v>
      </c>
      <c r="I168" s="16">
        <f>IFERROR(__xludf.DUMMYFUNCTION("""COMPUTED_VALUE"""),0.264264264264264)</f>
        <v>0.2642642643</v>
      </c>
      <c r="J168" s="16">
        <f>IFERROR(__xludf.DUMMYFUNCTION("""COMPUTED_VALUE"""),0.250773993808049)</f>
        <v>0.2507739938</v>
      </c>
      <c r="K168" s="16">
        <f>IFERROR(__xludf.DUMMYFUNCTION("""COMPUTED_VALUE"""),0.235849056603773)</f>
        <v>0.2358490566</v>
      </c>
      <c r="L168" s="16">
        <f>IFERROR(__xludf.DUMMYFUNCTION("""COMPUTED_VALUE"""),0.24025974025974)</f>
        <v>0.2402597403</v>
      </c>
      <c r="M168" s="16">
        <f>IFERROR(__xludf.DUMMYFUNCTION("""COMPUTED_VALUE"""),0.204081632653061)</f>
        <v>0.2040816327</v>
      </c>
      <c r="N168" s="16">
        <f>IFERROR(__xludf.DUMMYFUNCTION("""COMPUTED_VALUE"""),0.193661971830985)</f>
        <v>0.1936619718</v>
      </c>
      <c r="O168" s="16">
        <f>IFERROR(__xludf.DUMMYFUNCTION("""COMPUTED_VALUE"""),0.177358490566037)</f>
        <v>0.1773584906</v>
      </c>
      <c r="P168" s="16">
        <f>IFERROR(__xludf.DUMMYFUNCTION("""COMPUTED_VALUE"""),0.0801526717557251)</f>
        <v>0.08015267176</v>
      </c>
      <c r="Q168" s="16">
        <f>IFERROR(__xludf.DUMMYFUNCTION("""COMPUTED_VALUE"""),0.06)</f>
        <v>0.06</v>
      </c>
      <c r="R168" s="16">
        <f>IFERROR(__xludf.DUMMYFUNCTION("""COMPUTED_VALUE"""),0.0)</f>
        <v>0</v>
      </c>
      <c r="S168" s="16">
        <f>IFERROR(__xludf.DUMMYFUNCTION("""COMPUTED_VALUE"""),0.0)</f>
        <v>0</v>
      </c>
      <c r="T168" s="16">
        <f>IFERROR(__xludf.DUMMYFUNCTION("""COMPUTED_VALUE"""),0.0)</f>
        <v>0</v>
      </c>
      <c r="U168" s="16">
        <f>IFERROR(__xludf.DUMMYFUNCTION("""COMPUTED_VALUE"""),0.0)</f>
        <v>0</v>
      </c>
      <c r="V168" s="16">
        <f>IFERROR(__xludf.DUMMYFUNCTION("""COMPUTED_VALUE"""),0.0)</f>
        <v>0</v>
      </c>
      <c r="W168" s="16">
        <f>IFERROR(__xludf.DUMMYFUNCTION("""COMPUTED_VALUE"""),0.0)</f>
        <v>0</v>
      </c>
      <c r="X168" s="16">
        <f>IFERROR(__xludf.DUMMYFUNCTION("""COMPUTED_VALUE"""),0.0)</f>
        <v>0</v>
      </c>
      <c r="Y168" s="16">
        <f>IFERROR(__xludf.DUMMYFUNCTION("""COMPUTED_VALUE"""),0.0)</f>
        <v>0</v>
      </c>
      <c r="Z168" s="16">
        <f>IFERROR(__xludf.DUMMYFUNCTION("""COMPUTED_VALUE"""),0.0)</f>
        <v>0</v>
      </c>
      <c r="AA168" s="16">
        <f>IFERROR(__xludf.DUMMYFUNCTION("""COMPUTED_VALUE"""),0.0)</f>
        <v>0</v>
      </c>
      <c r="AB168" s="16">
        <f>IFERROR(__xludf.DUMMYFUNCTION("""COMPUTED_VALUE"""),0.0)</f>
        <v>0</v>
      </c>
      <c r="AC168" s="16">
        <f>IFERROR(__xludf.DUMMYFUNCTION("""COMPUTED_VALUE"""),0.0)</f>
        <v>0</v>
      </c>
      <c r="AD168" s="16">
        <f>IFERROR(__xludf.DUMMYFUNCTION("""COMPUTED_VALUE"""),0.0)</f>
        <v>0</v>
      </c>
      <c r="AE168" s="16">
        <f>IFERROR(__xludf.DUMMYFUNCTION("""COMPUTED_VALUE"""),0.0)</f>
        <v>0</v>
      </c>
      <c r="AF168" s="16">
        <f>IFERROR(__xludf.DUMMYFUNCTION("""COMPUTED_VALUE"""),0.0)</f>
        <v>0</v>
      </c>
      <c r="AG168" s="16">
        <f>IFERROR(__xludf.DUMMYFUNCTION("""COMPUTED_VALUE"""),0.0)</f>
        <v>0</v>
      </c>
      <c r="AH168" s="16">
        <f>IFERROR(__xludf.DUMMYFUNCTION("""COMPUTED_VALUE"""),0.0)</f>
        <v>0</v>
      </c>
    </row>
    <row r="169">
      <c r="A169" s="16" t="str">
        <f>IFERROR(__xludf.DUMMYFUNCTION("""COMPUTED_VALUE"""),"91df72ab8ef7c2a2797ba2a98264b6e4037cebc4")</f>
        <v>91df72ab8ef7c2a2797ba2a98264b6e4037cebc4</v>
      </c>
      <c r="B169" s="16" t="str">
        <f>IFERROR(__xludf.DUMMYFUNCTION("""COMPUTED_VALUE"""),"The Upgrade Gamer")</f>
        <v>The Upgrade Gamer</v>
      </c>
      <c r="C169" s="16" t="str">
        <f>IFERROR(__xludf.DUMMYFUNCTION("""COMPUTED_VALUE"""),"System and Superpower")</f>
        <v>System and Superpower</v>
      </c>
      <c r="D169" s="16">
        <f>IFERROR(__xludf.DUMMYFUNCTION("""COMPUTED_VALUE"""),9.0)</f>
        <v>9</v>
      </c>
      <c r="E169" s="16">
        <f>IFERROR(__xludf.DUMMYFUNCTION("""COMPUTED_VALUE"""),1.0)</f>
        <v>1</v>
      </c>
      <c r="F169" s="16">
        <f>IFERROR(__xludf.DUMMYFUNCTION("""COMPUTED_VALUE"""),0.777777777777777)</f>
        <v>0.7777777778</v>
      </c>
      <c r="G169" s="16">
        <f>IFERROR(__xludf.DUMMYFUNCTION("""COMPUTED_VALUE"""),0.888888888888888)</f>
        <v>0.8888888889</v>
      </c>
      <c r="H169" s="16">
        <f>IFERROR(__xludf.DUMMYFUNCTION("""COMPUTED_VALUE"""),0.777777777777777)</f>
        <v>0.7777777778</v>
      </c>
      <c r="I169" s="16">
        <f>IFERROR(__xludf.DUMMYFUNCTION("""COMPUTED_VALUE"""),0.777777777777777)</f>
        <v>0.7777777778</v>
      </c>
      <c r="J169" s="16">
        <f>IFERROR(__xludf.DUMMYFUNCTION("""COMPUTED_VALUE"""),0.555555555555555)</f>
        <v>0.5555555556</v>
      </c>
      <c r="K169" s="16">
        <f>IFERROR(__xludf.DUMMYFUNCTION("""COMPUTED_VALUE"""),0.555555555555555)</f>
        <v>0.5555555556</v>
      </c>
      <c r="L169" s="16">
        <f>IFERROR(__xludf.DUMMYFUNCTION("""COMPUTED_VALUE"""),0.555555555555555)</f>
        <v>0.5555555556</v>
      </c>
      <c r="M169" s="16">
        <f>IFERROR(__xludf.DUMMYFUNCTION("""COMPUTED_VALUE"""),0.444444444444444)</f>
        <v>0.4444444444</v>
      </c>
      <c r="N169" s="16">
        <f>IFERROR(__xludf.DUMMYFUNCTION("""COMPUTED_VALUE"""),0.444444444444444)</f>
        <v>0.4444444444</v>
      </c>
      <c r="O169" s="16">
        <f>IFERROR(__xludf.DUMMYFUNCTION("""COMPUTED_VALUE"""),0.111111111111111)</f>
        <v>0.1111111111</v>
      </c>
      <c r="P169" s="16">
        <f>IFERROR(__xludf.DUMMYFUNCTION("""COMPUTED_VALUE"""),0.0)</f>
        <v>0</v>
      </c>
      <c r="Q169" s="16">
        <f>IFERROR(__xludf.DUMMYFUNCTION("""COMPUTED_VALUE"""),0.0)</f>
        <v>0</v>
      </c>
      <c r="R169" s="16">
        <f>IFERROR(__xludf.DUMMYFUNCTION("""COMPUTED_VALUE"""),0.0)</f>
        <v>0</v>
      </c>
      <c r="S169" s="16">
        <f>IFERROR(__xludf.DUMMYFUNCTION("""COMPUTED_VALUE"""),0.0)</f>
        <v>0</v>
      </c>
      <c r="T169" s="16">
        <f>IFERROR(__xludf.DUMMYFUNCTION("""COMPUTED_VALUE"""),0.0)</f>
        <v>0</v>
      </c>
      <c r="U169" s="16">
        <f>IFERROR(__xludf.DUMMYFUNCTION("""COMPUTED_VALUE"""),0.0)</f>
        <v>0</v>
      </c>
      <c r="V169" s="16">
        <f>IFERROR(__xludf.DUMMYFUNCTION("""COMPUTED_VALUE"""),0.0)</f>
        <v>0</v>
      </c>
      <c r="W169" s="16">
        <f>IFERROR(__xludf.DUMMYFUNCTION("""COMPUTED_VALUE"""),0.0)</f>
        <v>0</v>
      </c>
      <c r="X169" s="16">
        <f>IFERROR(__xludf.DUMMYFUNCTION("""COMPUTED_VALUE"""),0.0)</f>
        <v>0</v>
      </c>
      <c r="Y169" s="16">
        <f>IFERROR(__xludf.DUMMYFUNCTION("""COMPUTED_VALUE"""),0.0)</f>
        <v>0</v>
      </c>
      <c r="Z169" s="16">
        <f>IFERROR(__xludf.DUMMYFUNCTION("""COMPUTED_VALUE"""),0.0)</f>
        <v>0</v>
      </c>
      <c r="AA169" s="16">
        <f>IFERROR(__xludf.DUMMYFUNCTION("""COMPUTED_VALUE"""),0.0)</f>
        <v>0</v>
      </c>
      <c r="AB169" s="16">
        <f>IFERROR(__xludf.DUMMYFUNCTION("""COMPUTED_VALUE"""),0.0)</f>
        <v>0</v>
      </c>
      <c r="AC169" s="16">
        <f>IFERROR(__xludf.DUMMYFUNCTION("""COMPUTED_VALUE"""),0.0)</f>
        <v>0</v>
      </c>
      <c r="AD169" s="16">
        <f>IFERROR(__xludf.DUMMYFUNCTION("""COMPUTED_VALUE"""),0.0)</f>
        <v>0</v>
      </c>
      <c r="AE169" s="16">
        <f>IFERROR(__xludf.DUMMYFUNCTION("""COMPUTED_VALUE"""),0.0)</f>
        <v>0</v>
      </c>
      <c r="AF169" s="16">
        <f>IFERROR(__xludf.DUMMYFUNCTION("""COMPUTED_VALUE"""),0.0)</f>
        <v>0</v>
      </c>
      <c r="AG169" s="16">
        <f>IFERROR(__xludf.DUMMYFUNCTION("""COMPUTED_VALUE"""),0.0)</f>
        <v>0</v>
      </c>
      <c r="AH169" s="16">
        <f>IFERROR(__xludf.DUMMYFUNCTION("""COMPUTED_VALUE"""),0.0)</f>
        <v>0</v>
      </c>
    </row>
    <row r="170">
      <c r="A170" s="16" t="str">
        <f>IFERROR(__xludf.DUMMYFUNCTION("""COMPUTED_VALUE"""),"9236a79ea4f06488372a41ebcc7a4f0fbfc7b1c3")</f>
        <v>9236a79ea4f06488372a41ebcc7a4f0fbfc7b1c3</v>
      </c>
      <c r="B170" s="16" t="str">
        <f>IFERROR(__xludf.DUMMYFUNCTION("""COMPUTED_VALUE"""),"King of Mercenaries")</f>
        <v>King of Mercenaries</v>
      </c>
      <c r="C170" s="16" t="str">
        <f>IFERROR(__xludf.DUMMYFUNCTION("""COMPUTED_VALUE"""),"Suspense or Thriller")</f>
        <v>Suspense or Thriller</v>
      </c>
      <c r="D170" s="16">
        <f>IFERROR(__xludf.DUMMYFUNCTION("""COMPUTED_VALUE"""),20.0)</f>
        <v>20</v>
      </c>
      <c r="E170" s="16">
        <f>IFERROR(__xludf.DUMMYFUNCTION("""COMPUTED_VALUE"""),1.0)</f>
        <v>1</v>
      </c>
      <c r="F170" s="16">
        <f>IFERROR(__xludf.DUMMYFUNCTION("""COMPUTED_VALUE"""),0.1)</f>
        <v>0.1</v>
      </c>
      <c r="G170" s="16">
        <f>IFERROR(__xludf.DUMMYFUNCTION("""COMPUTED_VALUE"""),0.15)</f>
        <v>0.15</v>
      </c>
      <c r="H170" s="16">
        <f>IFERROR(__xludf.DUMMYFUNCTION("""COMPUTED_VALUE"""),0.05)</f>
        <v>0.05</v>
      </c>
      <c r="I170" s="16">
        <f>IFERROR(__xludf.DUMMYFUNCTION("""COMPUTED_VALUE"""),0.0)</f>
        <v>0</v>
      </c>
      <c r="J170" s="16">
        <f>IFERROR(__xludf.DUMMYFUNCTION("""COMPUTED_VALUE"""),0.0)</f>
        <v>0</v>
      </c>
      <c r="K170" s="16">
        <f>IFERROR(__xludf.DUMMYFUNCTION("""COMPUTED_VALUE"""),0.0)</f>
        <v>0</v>
      </c>
      <c r="L170" s="16">
        <f>IFERROR(__xludf.DUMMYFUNCTION("""COMPUTED_VALUE"""),0.0)</f>
        <v>0</v>
      </c>
      <c r="M170" s="16">
        <f>IFERROR(__xludf.DUMMYFUNCTION("""COMPUTED_VALUE"""),0.0)</f>
        <v>0</v>
      </c>
      <c r="N170" s="16">
        <f>IFERROR(__xludf.DUMMYFUNCTION("""COMPUTED_VALUE"""),0.0)</f>
        <v>0</v>
      </c>
      <c r="O170" s="16">
        <f>IFERROR(__xludf.DUMMYFUNCTION("""COMPUTED_VALUE"""),0.0)</f>
        <v>0</v>
      </c>
      <c r="P170" s="16">
        <f>IFERROR(__xludf.DUMMYFUNCTION("""COMPUTED_VALUE"""),0.0)</f>
        <v>0</v>
      </c>
      <c r="Q170" s="16">
        <f>IFERROR(__xludf.DUMMYFUNCTION("""COMPUTED_VALUE"""),0.0)</f>
        <v>0</v>
      </c>
      <c r="R170" s="16">
        <f>IFERROR(__xludf.DUMMYFUNCTION("""COMPUTED_VALUE"""),0.0)</f>
        <v>0</v>
      </c>
      <c r="S170" s="16">
        <f>IFERROR(__xludf.DUMMYFUNCTION("""COMPUTED_VALUE"""),0.0)</f>
        <v>0</v>
      </c>
      <c r="T170" s="16">
        <f>IFERROR(__xludf.DUMMYFUNCTION("""COMPUTED_VALUE"""),0.0)</f>
        <v>0</v>
      </c>
      <c r="U170" s="16">
        <f>IFERROR(__xludf.DUMMYFUNCTION("""COMPUTED_VALUE"""),0.0)</f>
        <v>0</v>
      </c>
      <c r="V170" s="16">
        <f>IFERROR(__xludf.DUMMYFUNCTION("""COMPUTED_VALUE"""),0.0)</f>
        <v>0</v>
      </c>
      <c r="W170" s="16">
        <f>IFERROR(__xludf.DUMMYFUNCTION("""COMPUTED_VALUE"""),0.0)</f>
        <v>0</v>
      </c>
      <c r="X170" s="16">
        <f>IFERROR(__xludf.DUMMYFUNCTION("""COMPUTED_VALUE"""),0.0)</f>
        <v>0</v>
      </c>
      <c r="Y170" s="16">
        <f>IFERROR(__xludf.DUMMYFUNCTION("""COMPUTED_VALUE"""),0.0)</f>
        <v>0</v>
      </c>
      <c r="Z170" s="16">
        <f>IFERROR(__xludf.DUMMYFUNCTION("""COMPUTED_VALUE"""),0.0)</f>
        <v>0</v>
      </c>
      <c r="AA170" s="16">
        <f>IFERROR(__xludf.DUMMYFUNCTION("""COMPUTED_VALUE"""),0.0)</f>
        <v>0</v>
      </c>
      <c r="AB170" s="16">
        <f>IFERROR(__xludf.DUMMYFUNCTION("""COMPUTED_VALUE"""),0.0)</f>
        <v>0</v>
      </c>
      <c r="AC170" s="16">
        <f>IFERROR(__xludf.DUMMYFUNCTION("""COMPUTED_VALUE"""),0.0)</f>
        <v>0</v>
      </c>
      <c r="AD170" s="16">
        <f>IFERROR(__xludf.DUMMYFUNCTION("""COMPUTED_VALUE"""),0.0)</f>
        <v>0</v>
      </c>
      <c r="AE170" s="16">
        <f>IFERROR(__xludf.DUMMYFUNCTION("""COMPUTED_VALUE"""),0.0)</f>
        <v>0</v>
      </c>
      <c r="AF170" s="16">
        <f>IFERROR(__xludf.DUMMYFUNCTION("""COMPUTED_VALUE"""),0.0)</f>
        <v>0</v>
      </c>
      <c r="AG170" s="16">
        <f>IFERROR(__xludf.DUMMYFUNCTION("""COMPUTED_VALUE"""),0.0)</f>
        <v>0</v>
      </c>
      <c r="AH170" s="16">
        <f>IFERROR(__xludf.DUMMYFUNCTION("""COMPUTED_VALUE"""),0.0)</f>
        <v>0</v>
      </c>
    </row>
    <row r="171">
      <c r="A171" s="16" t="str">
        <f>IFERROR(__xludf.DUMMYFUNCTION("""COMPUTED_VALUE"""),"94d808231f41a64988f80a2739e6a748f1278c28")</f>
        <v>94d808231f41a64988f80a2739e6a748f1278c28</v>
      </c>
      <c r="B171" s="16" t="str">
        <f>IFERROR(__xludf.DUMMYFUNCTION("""COMPUTED_VALUE"""),"My Amazing Husband's Life")</f>
        <v>My Amazing Husband's Life</v>
      </c>
      <c r="C171" s="16" t="str">
        <f>IFERROR(__xludf.DUMMYFUNCTION("""COMPUTED_VALUE"""),"Drama")</f>
        <v>Drama</v>
      </c>
      <c r="D171" s="16">
        <f>IFERROR(__xludf.DUMMYFUNCTION("""COMPUTED_VALUE"""),128.0)</f>
        <v>128</v>
      </c>
      <c r="E171" s="16">
        <f>IFERROR(__xludf.DUMMYFUNCTION("""COMPUTED_VALUE"""),0.9375)</f>
        <v>0.9375</v>
      </c>
      <c r="F171" s="16">
        <f>IFERROR(__xludf.DUMMYFUNCTION("""COMPUTED_VALUE"""),0.46875)</f>
        <v>0.46875</v>
      </c>
      <c r="G171" s="16">
        <f>IFERROR(__xludf.DUMMYFUNCTION("""COMPUTED_VALUE"""),0.3828125)</f>
        <v>0.3828125</v>
      </c>
      <c r="H171" s="16">
        <f>IFERROR(__xludf.DUMMYFUNCTION("""COMPUTED_VALUE"""),0.3125)</f>
        <v>0.3125</v>
      </c>
      <c r="I171" s="16">
        <f>IFERROR(__xludf.DUMMYFUNCTION("""COMPUTED_VALUE"""),0.261904761904761)</f>
        <v>0.2619047619</v>
      </c>
      <c r="J171" s="16">
        <f>IFERROR(__xludf.DUMMYFUNCTION("""COMPUTED_VALUE"""),0.221311475409836)</f>
        <v>0.2213114754</v>
      </c>
      <c r="K171" s="16">
        <f>IFERROR(__xludf.DUMMYFUNCTION("""COMPUTED_VALUE"""),0.213675213675213)</f>
        <v>0.2136752137</v>
      </c>
      <c r="L171" s="16">
        <f>IFERROR(__xludf.DUMMYFUNCTION("""COMPUTED_VALUE"""),0.218181818181818)</f>
        <v>0.2181818182</v>
      </c>
      <c r="M171" s="16">
        <f>IFERROR(__xludf.DUMMYFUNCTION("""COMPUTED_VALUE"""),0.194444444444444)</f>
        <v>0.1944444444</v>
      </c>
      <c r="N171" s="16">
        <f>IFERROR(__xludf.DUMMYFUNCTION("""COMPUTED_VALUE"""),0.176470588235294)</f>
        <v>0.1764705882</v>
      </c>
      <c r="O171" s="16">
        <f>IFERROR(__xludf.DUMMYFUNCTION("""COMPUTED_VALUE"""),0.146666666666666)</f>
        <v>0.1466666667</v>
      </c>
      <c r="P171" s="16">
        <f>IFERROR(__xludf.DUMMYFUNCTION("""COMPUTED_VALUE"""),0.1)</f>
        <v>0.1</v>
      </c>
      <c r="Q171" s="16">
        <f>IFERROR(__xludf.DUMMYFUNCTION("""COMPUTED_VALUE"""),0.0)</f>
        <v>0</v>
      </c>
      <c r="R171" s="16">
        <f>IFERROR(__xludf.DUMMYFUNCTION("""COMPUTED_VALUE"""),0.0)</f>
        <v>0</v>
      </c>
      <c r="S171" s="16">
        <f>IFERROR(__xludf.DUMMYFUNCTION("""COMPUTED_VALUE"""),0.0)</f>
        <v>0</v>
      </c>
      <c r="T171" s="16">
        <f>IFERROR(__xludf.DUMMYFUNCTION("""COMPUTED_VALUE"""),0.0)</f>
        <v>0</v>
      </c>
      <c r="U171" s="16">
        <f>IFERROR(__xludf.DUMMYFUNCTION("""COMPUTED_VALUE"""),0.0)</f>
        <v>0</v>
      </c>
      <c r="V171" s="16">
        <f>IFERROR(__xludf.DUMMYFUNCTION("""COMPUTED_VALUE"""),0.0)</f>
        <v>0</v>
      </c>
      <c r="W171" s="16">
        <f>IFERROR(__xludf.DUMMYFUNCTION("""COMPUTED_VALUE"""),0.0)</f>
        <v>0</v>
      </c>
      <c r="X171" s="16">
        <f>IFERROR(__xludf.DUMMYFUNCTION("""COMPUTED_VALUE"""),0.0)</f>
        <v>0</v>
      </c>
      <c r="Y171" s="16">
        <f>IFERROR(__xludf.DUMMYFUNCTION("""COMPUTED_VALUE"""),0.0)</f>
        <v>0</v>
      </c>
      <c r="Z171" s="16">
        <f>IFERROR(__xludf.DUMMYFUNCTION("""COMPUTED_VALUE"""),0.0)</f>
        <v>0</v>
      </c>
      <c r="AA171" s="16">
        <f>IFERROR(__xludf.DUMMYFUNCTION("""COMPUTED_VALUE"""),0.0)</f>
        <v>0</v>
      </c>
      <c r="AB171" s="16">
        <f>IFERROR(__xludf.DUMMYFUNCTION("""COMPUTED_VALUE"""),0.0)</f>
        <v>0</v>
      </c>
      <c r="AC171" s="16">
        <f>IFERROR(__xludf.DUMMYFUNCTION("""COMPUTED_VALUE"""),0.0)</f>
        <v>0</v>
      </c>
      <c r="AD171" s="16">
        <f>IFERROR(__xludf.DUMMYFUNCTION("""COMPUTED_VALUE"""),0.0)</f>
        <v>0</v>
      </c>
      <c r="AE171" s="16">
        <f>IFERROR(__xludf.DUMMYFUNCTION("""COMPUTED_VALUE"""),0.0)</f>
        <v>0</v>
      </c>
      <c r="AF171" s="16">
        <f>IFERROR(__xludf.DUMMYFUNCTION("""COMPUTED_VALUE"""),0.0)</f>
        <v>0</v>
      </c>
      <c r="AG171" s="16">
        <f>IFERROR(__xludf.DUMMYFUNCTION("""COMPUTED_VALUE"""),0.0)</f>
        <v>0</v>
      </c>
      <c r="AH171" s="16">
        <f>IFERROR(__xludf.DUMMYFUNCTION("""COMPUTED_VALUE"""),0.0)</f>
        <v>0</v>
      </c>
    </row>
    <row r="172">
      <c r="A172" s="16" t="str">
        <f>IFERROR(__xludf.DUMMYFUNCTION("""COMPUTED_VALUE"""),"95cfee76565a1eb0481e08f4f0da75fa4a0cdb74")</f>
        <v>95cfee76565a1eb0481e08f4f0da75fa4a0cdb74</v>
      </c>
      <c r="B172" s="16" t="str">
        <f>IFERROR(__xludf.DUMMYFUNCTION("""COMPUTED_VALUE"""),"Revenge Called Athena")</f>
        <v>Revenge Called Athena</v>
      </c>
      <c r="C172" s="16" t="str">
        <f>IFERROR(__xludf.DUMMYFUNCTION("""COMPUTED_VALUE"""),"Drama")</f>
        <v>Drama</v>
      </c>
      <c r="D172" s="16">
        <f>IFERROR(__xludf.DUMMYFUNCTION("""COMPUTED_VALUE"""),1134.0)</f>
        <v>1134</v>
      </c>
      <c r="E172" s="16">
        <f>IFERROR(__xludf.DUMMYFUNCTION("""COMPUTED_VALUE"""),0.927689594356261)</f>
        <v>0.9276895944</v>
      </c>
      <c r="F172" s="16">
        <f>IFERROR(__xludf.DUMMYFUNCTION("""COMPUTED_VALUE"""),0.679012345679012)</f>
        <v>0.6790123457</v>
      </c>
      <c r="G172" s="16">
        <f>IFERROR(__xludf.DUMMYFUNCTION("""COMPUTED_VALUE"""),0.628747795414462)</f>
        <v>0.6287477954</v>
      </c>
      <c r="H172" s="16">
        <f>IFERROR(__xludf.DUMMYFUNCTION("""COMPUTED_VALUE"""),0.598939929328622)</f>
        <v>0.5989399293</v>
      </c>
      <c r="I172" s="16">
        <f>IFERROR(__xludf.DUMMYFUNCTION("""COMPUTED_VALUE"""),0.575971731448763)</f>
        <v>0.5759717314</v>
      </c>
      <c r="J172" s="16">
        <f>IFERROR(__xludf.DUMMYFUNCTION("""COMPUTED_VALUE"""),0.557029177718832)</f>
        <v>0.5570291777</v>
      </c>
      <c r="K172" s="16">
        <f>IFERROR(__xludf.DUMMYFUNCTION("""COMPUTED_VALUE"""),0.534100974313551)</f>
        <v>0.5341009743</v>
      </c>
      <c r="L172" s="16">
        <f>IFERROR(__xludf.DUMMYFUNCTION("""COMPUTED_VALUE"""),0.514640638864241)</f>
        <v>0.5146406389</v>
      </c>
      <c r="M172" s="16">
        <f>IFERROR(__xludf.DUMMYFUNCTION("""COMPUTED_VALUE"""),0.5)</f>
        <v>0.5</v>
      </c>
      <c r="N172" s="16">
        <f>IFERROR(__xludf.DUMMYFUNCTION("""COMPUTED_VALUE"""),0.494652406417112)</f>
        <v>0.4946524064</v>
      </c>
      <c r="O172" s="16">
        <f>IFERROR(__xludf.DUMMYFUNCTION("""COMPUTED_VALUE"""),0.444011684518013)</f>
        <v>0.4440116845</v>
      </c>
      <c r="P172" s="16">
        <f>IFERROR(__xludf.DUMMYFUNCTION("""COMPUTED_VALUE"""),0.369354838709677)</f>
        <v>0.3693548387</v>
      </c>
      <c r="Q172" s="16">
        <f>IFERROR(__xludf.DUMMYFUNCTION("""COMPUTED_VALUE"""),0.278145695364238)</f>
        <v>0.2781456954</v>
      </c>
      <c r="R172" s="16">
        <f>IFERROR(__xludf.DUMMYFUNCTION("""COMPUTED_VALUE"""),0.142857142857142)</f>
        <v>0.1428571429</v>
      </c>
      <c r="S172" s="16">
        <f>IFERROR(__xludf.DUMMYFUNCTION("""COMPUTED_VALUE"""),0.5)</f>
        <v>0.5</v>
      </c>
      <c r="T172" s="16">
        <f>IFERROR(__xludf.DUMMYFUNCTION("""COMPUTED_VALUE"""),0.0)</f>
        <v>0</v>
      </c>
      <c r="U172" s="16">
        <f>IFERROR(__xludf.DUMMYFUNCTION("""COMPUTED_VALUE"""),0.0)</f>
        <v>0</v>
      </c>
      <c r="V172" s="16">
        <f>IFERROR(__xludf.DUMMYFUNCTION("""COMPUTED_VALUE"""),0.0)</f>
        <v>0</v>
      </c>
      <c r="W172" s="16">
        <f>IFERROR(__xludf.DUMMYFUNCTION("""COMPUTED_VALUE"""),0.0)</f>
        <v>0</v>
      </c>
      <c r="X172" s="16">
        <f>IFERROR(__xludf.DUMMYFUNCTION("""COMPUTED_VALUE"""),0.0)</f>
        <v>0</v>
      </c>
      <c r="Y172" s="16">
        <f>IFERROR(__xludf.DUMMYFUNCTION("""COMPUTED_VALUE"""),0.0)</f>
        <v>0</v>
      </c>
      <c r="Z172" s="16">
        <f>IFERROR(__xludf.DUMMYFUNCTION("""COMPUTED_VALUE"""),0.0)</f>
        <v>0</v>
      </c>
      <c r="AA172" s="16">
        <f>IFERROR(__xludf.DUMMYFUNCTION("""COMPUTED_VALUE"""),0.0)</f>
        <v>0</v>
      </c>
      <c r="AB172" s="16">
        <f>IFERROR(__xludf.DUMMYFUNCTION("""COMPUTED_VALUE"""),0.0)</f>
        <v>0</v>
      </c>
      <c r="AC172" s="16">
        <f>IFERROR(__xludf.DUMMYFUNCTION("""COMPUTED_VALUE"""),0.0)</f>
        <v>0</v>
      </c>
      <c r="AD172" s="16">
        <f>IFERROR(__xludf.DUMMYFUNCTION("""COMPUTED_VALUE"""),0.0)</f>
        <v>0</v>
      </c>
      <c r="AE172" s="16">
        <f>IFERROR(__xludf.DUMMYFUNCTION("""COMPUTED_VALUE"""),0.0)</f>
        <v>0</v>
      </c>
      <c r="AF172" s="16">
        <f>IFERROR(__xludf.DUMMYFUNCTION("""COMPUTED_VALUE"""),0.0)</f>
        <v>0</v>
      </c>
      <c r="AG172" s="16">
        <f>IFERROR(__xludf.DUMMYFUNCTION("""COMPUTED_VALUE"""),0.0)</f>
        <v>0</v>
      </c>
      <c r="AH172" s="16">
        <f>IFERROR(__xludf.DUMMYFUNCTION("""COMPUTED_VALUE"""),0.0)</f>
        <v>0</v>
      </c>
    </row>
    <row r="173">
      <c r="A173" s="16" t="str">
        <f>IFERROR(__xludf.DUMMYFUNCTION("""COMPUTED_VALUE"""),"964c4dbd3e851f0d215e0fc68b9c364303676665")</f>
        <v>964c4dbd3e851f0d215e0fc68b9c364303676665</v>
      </c>
      <c r="B173" s="16" t="str">
        <f>IFERROR(__xludf.DUMMYFUNCTION("""COMPUTED_VALUE"""),"The Governor's Wife")</f>
        <v>The Governor's Wife</v>
      </c>
      <c r="C173" s="16" t="str">
        <f>IFERROR(__xludf.DUMMYFUNCTION("""COMPUTED_VALUE"""),"Romance")</f>
        <v>Romance</v>
      </c>
      <c r="D173" s="16">
        <f>IFERROR(__xludf.DUMMYFUNCTION("""COMPUTED_VALUE"""),413.0)</f>
        <v>413</v>
      </c>
      <c r="E173" s="16">
        <f>IFERROR(__xludf.DUMMYFUNCTION("""COMPUTED_VALUE"""),0.941888619854721)</f>
        <v>0.9418886199</v>
      </c>
      <c r="F173" s="16">
        <f>IFERROR(__xludf.DUMMYFUNCTION("""COMPUTED_VALUE"""),0.697336561743341)</f>
        <v>0.6973365617</v>
      </c>
      <c r="G173" s="16">
        <f>IFERROR(__xludf.DUMMYFUNCTION("""COMPUTED_VALUE"""),0.674757281553398)</f>
        <v>0.6747572816</v>
      </c>
      <c r="H173" s="16">
        <f>IFERROR(__xludf.DUMMYFUNCTION("""COMPUTED_VALUE"""),0.638141809290953)</f>
        <v>0.6381418093</v>
      </c>
      <c r="I173" s="16">
        <f>IFERROR(__xludf.DUMMYFUNCTION("""COMPUTED_VALUE"""),0.59)</f>
        <v>0.59</v>
      </c>
      <c r="J173" s="16">
        <f>IFERROR(__xludf.DUMMYFUNCTION("""COMPUTED_VALUE"""),0.524421593830334)</f>
        <v>0.5244215938</v>
      </c>
      <c r="K173" s="16">
        <f>IFERROR(__xludf.DUMMYFUNCTION("""COMPUTED_VALUE"""),0.490765171503957)</f>
        <v>0.4907651715</v>
      </c>
      <c r="L173" s="16">
        <f>IFERROR(__xludf.DUMMYFUNCTION("""COMPUTED_VALUE"""),0.453804347826087)</f>
        <v>0.4538043478</v>
      </c>
      <c r="M173" s="16">
        <f>IFERROR(__xludf.DUMMYFUNCTION("""COMPUTED_VALUE"""),0.426553672316384)</f>
        <v>0.4265536723</v>
      </c>
      <c r="N173" s="16">
        <f>IFERROR(__xludf.DUMMYFUNCTION("""COMPUTED_VALUE"""),0.365558912386706)</f>
        <v>0.3655589124</v>
      </c>
      <c r="O173" s="16">
        <f>IFERROR(__xludf.DUMMYFUNCTION("""COMPUTED_VALUE"""),0.271653543307086)</f>
        <v>0.2716535433</v>
      </c>
      <c r="P173" s="16">
        <f>IFERROR(__xludf.DUMMYFUNCTION("""COMPUTED_VALUE"""),0.172043010752688)</f>
        <v>0.1720430108</v>
      </c>
      <c r="Q173" s="16">
        <f>IFERROR(__xludf.DUMMYFUNCTION("""COMPUTED_VALUE"""),0.0)</f>
        <v>0</v>
      </c>
      <c r="R173" s="16">
        <f>IFERROR(__xludf.DUMMYFUNCTION("""COMPUTED_VALUE"""),0.0)</f>
        <v>0</v>
      </c>
      <c r="S173" s="16">
        <f>IFERROR(__xludf.DUMMYFUNCTION("""COMPUTED_VALUE"""),0.0)</f>
        <v>0</v>
      </c>
      <c r="T173" s="16">
        <f>IFERROR(__xludf.DUMMYFUNCTION("""COMPUTED_VALUE"""),0.0)</f>
        <v>0</v>
      </c>
      <c r="U173" s="16">
        <f>IFERROR(__xludf.DUMMYFUNCTION("""COMPUTED_VALUE"""),0.0)</f>
        <v>0</v>
      </c>
      <c r="V173" s="16">
        <f>IFERROR(__xludf.DUMMYFUNCTION("""COMPUTED_VALUE"""),0.0)</f>
        <v>0</v>
      </c>
      <c r="W173" s="16">
        <f>IFERROR(__xludf.DUMMYFUNCTION("""COMPUTED_VALUE"""),0.0)</f>
        <v>0</v>
      </c>
      <c r="X173" s="16">
        <f>IFERROR(__xludf.DUMMYFUNCTION("""COMPUTED_VALUE"""),0.0)</f>
        <v>0</v>
      </c>
      <c r="Y173" s="16">
        <f>IFERROR(__xludf.DUMMYFUNCTION("""COMPUTED_VALUE"""),0.0)</f>
        <v>0</v>
      </c>
      <c r="Z173" s="16">
        <f>IFERROR(__xludf.DUMMYFUNCTION("""COMPUTED_VALUE"""),0.0)</f>
        <v>0</v>
      </c>
      <c r="AA173" s="16">
        <f>IFERROR(__xludf.DUMMYFUNCTION("""COMPUTED_VALUE"""),0.0)</f>
        <v>0</v>
      </c>
      <c r="AB173" s="16">
        <f>IFERROR(__xludf.DUMMYFUNCTION("""COMPUTED_VALUE"""),0.0)</f>
        <v>0</v>
      </c>
      <c r="AC173" s="16">
        <f>IFERROR(__xludf.DUMMYFUNCTION("""COMPUTED_VALUE"""),0.0)</f>
        <v>0</v>
      </c>
      <c r="AD173" s="16">
        <f>IFERROR(__xludf.DUMMYFUNCTION("""COMPUTED_VALUE"""),0.0)</f>
        <v>0</v>
      </c>
      <c r="AE173" s="16">
        <f>IFERROR(__xludf.DUMMYFUNCTION("""COMPUTED_VALUE"""),0.0)</f>
        <v>0</v>
      </c>
      <c r="AF173" s="16">
        <f>IFERROR(__xludf.DUMMYFUNCTION("""COMPUTED_VALUE"""),0.0)</f>
        <v>0</v>
      </c>
      <c r="AG173" s="16">
        <f>IFERROR(__xludf.DUMMYFUNCTION("""COMPUTED_VALUE"""),0.0)</f>
        <v>0</v>
      </c>
      <c r="AH173" s="16">
        <f>IFERROR(__xludf.DUMMYFUNCTION("""COMPUTED_VALUE"""),0.0)</f>
        <v>0</v>
      </c>
    </row>
    <row r="174">
      <c r="A174" s="16" t="str">
        <f>IFERROR(__xludf.DUMMYFUNCTION("""COMPUTED_VALUE"""),"96f6721dc499b730f42b02d86e640d682f4f665d")</f>
        <v>96f6721dc499b730f42b02d86e640d682f4f665d</v>
      </c>
      <c r="B174" s="16" t="str">
        <f>IFERROR(__xludf.DUMMYFUNCTION("""COMPUTED_VALUE"""),"Last Witch of Swendel")</f>
        <v>Last Witch of Swendel</v>
      </c>
      <c r="C174" s="16" t="str">
        <f>IFERROR(__xludf.DUMMYFUNCTION("""COMPUTED_VALUE"""),"Romantasy")</f>
        <v>Romantasy</v>
      </c>
      <c r="D174" s="16">
        <f>IFERROR(__xludf.DUMMYFUNCTION("""COMPUTED_VALUE"""),2916.0)</f>
        <v>2916</v>
      </c>
      <c r="E174" s="16">
        <f>IFERROR(__xludf.DUMMYFUNCTION("""COMPUTED_VALUE"""),0.94718792866941)</f>
        <v>0.9471879287</v>
      </c>
      <c r="F174" s="16">
        <f>IFERROR(__xludf.DUMMYFUNCTION("""COMPUTED_VALUE"""),0.491769547325102)</f>
        <v>0.4917695473</v>
      </c>
      <c r="G174" s="16">
        <f>IFERROR(__xludf.DUMMYFUNCTION("""COMPUTED_VALUE"""),0.432441700960219)</f>
        <v>0.432441701</v>
      </c>
      <c r="H174" s="16">
        <f>IFERROR(__xludf.DUMMYFUNCTION("""COMPUTED_VALUE"""),0.394989704873026)</f>
        <v>0.3949897049</v>
      </c>
      <c r="I174" s="16">
        <f>IFERROR(__xludf.DUMMYFUNCTION("""COMPUTED_VALUE"""),0.370624571036376)</f>
        <v>0.370624571</v>
      </c>
      <c r="J174" s="16">
        <f>IFERROR(__xludf.DUMMYFUNCTION("""COMPUTED_VALUE"""),0.357142857142857)</f>
        <v>0.3571428571</v>
      </c>
      <c r="K174" s="16">
        <f>IFERROR(__xludf.DUMMYFUNCTION("""COMPUTED_VALUE"""),0.340893470790378)</f>
        <v>0.3408934708</v>
      </c>
      <c r="L174" s="16">
        <f>IFERROR(__xludf.DUMMYFUNCTION("""COMPUTED_VALUE"""),0.330006882312457)</f>
        <v>0.3300068823</v>
      </c>
      <c r="M174" s="16">
        <f>IFERROR(__xludf.DUMMYFUNCTION("""COMPUTED_VALUE"""),0.320027529249827)</f>
        <v>0.3200275292</v>
      </c>
      <c r="N174" s="16">
        <f>IFERROR(__xludf.DUMMYFUNCTION("""COMPUTED_VALUE"""),0.312779882879779)</f>
        <v>0.3127798829</v>
      </c>
      <c r="O174" s="16">
        <f>IFERROR(__xludf.DUMMYFUNCTION("""COMPUTED_VALUE"""),0.290846286701209)</f>
        <v>0.2908462867</v>
      </c>
      <c r="P174" s="16">
        <f>IFERROR(__xludf.DUMMYFUNCTION("""COMPUTED_VALUE"""),0.234331476323119)</f>
        <v>0.2343314763</v>
      </c>
      <c r="Q174" s="16">
        <f>IFERROR(__xludf.DUMMYFUNCTION("""COMPUTED_VALUE"""),0.195390070921985)</f>
        <v>0.1953900709</v>
      </c>
      <c r="R174" s="16">
        <f>IFERROR(__xludf.DUMMYFUNCTION("""COMPUTED_VALUE"""),0.144758735440931)</f>
        <v>0.1447587354</v>
      </c>
      <c r="S174" s="16">
        <f>IFERROR(__xludf.DUMMYFUNCTION("""COMPUTED_VALUE"""),0.106770833333333)</f>
        <v>0.1067708333</v>
      </c>
      <c r="T174" s="16">
        <f>IFERROR(__xludf.DUMMYFUNCTION("""COMPUTED_VALUE"""),0.0788675429726997)</f>
        <v>0.07886754297</v>
      </c>
      <c r="U174" s="16">
        <f>IFERROR(__xludf.DUMMYFUNCTION("""COMPUTED_VALUE"""),0.0601851851851851)</f>
        <v>0.06018518519</v>
      </c>
      <c r="V174" s="16">
        <f>IFERROR(__xludf.DUMMYFUNCTION("""COMPUTED_VALUE"""),0.0859375)</f>
        <v>0.0859375</v>
      </c>
      <c r="W174" s="16">
        <f>IFERROR(__xludf.DUMMYFUNCTION("""COMPUTED_VALUE"""),0.0793650793650793)</f>
        <v>0.07936507937</v>
      </c>
      <c r="X174" s="16">
        <f>IFERROR(__xludf.DUMMYFUNCTION("""COMPUTED_VALUE"""),0.0)</f>
        <v>0</v>
      </c>
      <c r="Y174" s="16">
        <f>IFERROR(__xludf.DUMMYFUNCTION("""COMPUTED_VALUE"""),0.0)</f>
        <v>0</v>
      </c>
      <c r="Z174" s="16">
        <f>IFERROR(__xludf.DUMMYFUNCTION("""COMPUTED_VALUE"""),0.0)</f>
        <v>0</v>
      </c>
      <c r="AA174" s="16">
        <f>IFERROR(__xludf.DUMMYFUNCTION("""COMPUTED_VALUE"""),0.0)</f>
        <v>0</v>
      </c>
      <c r="AB174" s="16">
        <f>IFERROR(__xludf.DUMMYFUNCTION("""COMPUTED_VALUE"""),0.0)</f>
        <v>0</v>
      </c>
      <c r="AC174" s="16">
        <f>IFERROR(__xludf.DUMMYFUNCTION("""COMPUTED_VALUE"""),0.0)</f>
        <v>0</v>
      </c>
      <c r="AD174" s="16">
        <f>IFERROR(__xludf.DUMMYFUNCTION("""COMPUTED_VALUE"""),0.0)</f>
        <v>0</v>
      </c>
      <c r="AE174" s="16">
        <f>IFERROR(__xludf.DUMMYFUNCTION("""COMPUTED_VALUE"""),0.0)</f>
        <v>0</v>
      </c>
      <c r="AF174" s="16">
        <f>IFERROR(__xludf.DUMMYFUNCTION("""COMPUTED_VALUE"""),0.0)</f>
        <v>0</v>
      </c>
      <c r="AG174" s="16">
        <f>IFERROR(__xludf.DUMMYFUNCTION("""COMPUTED_VALUE"""),0.0)</f>
        <v>0</v>
      </c>
      <c r="AH174" s="16">
        <f>IFERROR(__xludf.DUMMYFUNCTION("""COMPUTED_VALUE"""),0.0)</f>
        <v>0</v>
      </c>
    </row>
    <row r="175">
      <c r="A175" s="16" t="str">
        <f>IFERROR(__xludf.DUMMYFUNCTION("""COMPUTED_VALUE"""),"97bf3d3427830d8b1bc0c5929b0c0832cbf02a25")</f>
        <v>97bf3d3427830d8b1bc0c5929b0c0832cbf02a25</v>
      </c>
      <c r="B175" s="16" t="str">
        <f>IFERROR(__xludf.DUMMYFUNCTION("""COMPUTED_VALUE"""),"The Miraculous Physician")</f>
        <v>The Miraculous Physician</v>
      </c>
      <c r="C175" s="16" t="str">
        <f>IFERROR(__xludf.DUMMYFUNCTION("""COMPUTED_VALUE"""),"System and Superpower")</f>
        <v>System and Superpower</v>
      </c>
      <c r="D175" s="16">
        <f>IFERROR(__xludf.DUMMYFUNCTION("""COMPUTED_VALUE"""),95.0)</f>
        <v>95</v>
      </c>
      <c r="E175" s="16">
        <f>IFERROR(__xludf.DUMMYFUNCTION("""COMPUTED_VALUE"""),0.936842105263157)</f>
        <v>0.9368421053</v>
      </c>
      <c r="F175" s="16">
        <f>IFERROR(__xludf.DUMMYFUNCTION("""COMPUTED_VALUE"""),0.51578947368421)</f>
        <v>0.5157894737</v>
      </c>
      <c r="G175" s="16">
        <f>IFERROR(__xludf.DUMMYFUNCTION("""COMPUTED_VALUE"""),0.378947368421052)</f>
        <v>0.3789473684</v>
      </c>
      <c r="H175" s="16">
        <f>IFERROR(__xludf.DUMMYFUNCTION("""COMPUTED_VALUE"""),0.351063829787234)</f>
        <v>0.3510638298</v>
      </c>
      <c r="I175" s="16">
        <f>IFERROR(__xludf.DUMMYFUNCTION("""COMPUTED_VALUE"""),0.361702127659574)</f>
        <v>0.3617021277</v>
      </c>
      <c r="J175" s="16">
        <f>IFERROR(__xludf.DUMMYFUNCTION("""COMPUTED_VALUE"""),0.329670329670329)</f>
        <v>0.3296703297</v>
      </c>
      <c r="K175" s="16">
        <f>IFERROR(__xludf.DUMMYFUNCTION("""COMPUTED_VALUE"""),0.284090909090909)</f>
        <v>0.2840909091</v>
      </c>
      <c r="L175" s="16">
        <f>IFERROR(__xludf.DUMMYFUNCTION("""COMPUTED_VALUE"""),0.27906976744186)</f>
        <v>0.2790697674</v>
      </c>
      <c r="M175" s="16">
        <f>IFERROR(__xludf.DUMMYFUNCTION("""COMPUTED_VALUE"""),0.228915662650602)</f>
        <v>0.2289156627</v>
      </c>
      <c r="N175" s="16">
        <f>IFERROR(__xludf.DUMMYFUNCTION("""COMPUTED_VALUE"""),0.207317073170731)</f>
        <v>0.2073170732</v>
      </c>
      <c r="O175" s="16">
        <f>IFERROR(__xludf.DUMMYFUNCTION("""COMPUTED_VALUE"""),0.175438596491228)</f>
        <v>0.1754385965</v>
      </c>
      <c r="P175" s="16">
        <f>IFERROR(__xludf.DUMMYFUNCTION("""COMPUTED_VALUE"""),0.333333333333333)</f>
        <v>0.3333333333</v>
      </c>
      <c r="Q175" s="16">
        <f>IFERROR(__xludf.DUMMYFUNCTION("""COMPUTED_VALUE"""),0.0)</f>
        <v>0</v>
      </c>
      <c r="R175" s="16">
        <f>IFERROR(__xludf.DUMMYFUNCTION("""COMPUTED_VALUE"""),0.0)</f>
        <v>0</v>
      </c>
      <c r="S175" s="16">
        <f>IFERROR(__xludf.DUMMYFUNCTION("""COMPUTED_VALUE"""),0.0)</f>
        <v>0</v>
      </c>
      <c r="T175" s="16">
        <f>IFERROR(__xludf.DUMMYFUNCTION("""COMPUTED_VALUE"""),0.0)</f>
        <v>0</v>
      </c>
      <c r="U175" s="16">
        <f>IFERROR(__xludf.DUMMYFUNCTION("""COMPUTED_VALUE"""),0.0)</f>
        <v>0</v>
      </c>
      <c r="V175" s="16">
        <f>IFERROR(__xludf.DUMMYFUNCTION("""COMPUTED_VALUE"""),0.0)</f>
        <v>0</v>
      </c>
      <c r="W175" s="16">
        <f>IFERROR(__xludf.DUMMYFUNCTION("""COMPUTED_VALUE"""),0.0)</f>
        <v>0</v>
      </c>
      <c r="X175" s="16">
        <f>IFERROR(__xludf.DUMMYFUNCTION("""COMPUTED_VALUE"""),0.0)</f>
        <v>0</v>
      </c>
      <c r="Y175" s="16">
        <f>IFERROR(__xludf.DUMMYFUNCTION("""COMPUTED_VALUE"""),0.0)</f>
        <v>0</v>
      </c>
      <c r="Z175" s="16">
        <f>IFERROR(__xludf.DUMMYFUNCTION("""COMPUTED_VALUE"""),0.0)</f>
        <v>0</v>
      </c>
      <c r="AA175" s="16">
        <f>IFERROR(__xludf.DUMMYFUNCTION("""COMPUTED_VALUE"""),0.0)</f>
        <v>0</v>
      </c>
      <c r="AB175" s="16">
        <f>IFERROR(__xludf.DUMMYFUNCTION("""COMPUTED_VALUE"""),0.0)</f>
        <v>0</v>
      </c>
      <c r="AC175" s="16">
        <f>IFERROR(__xludf.DUMMYFUNCTION("""COMPUTED_VALUE"""),0.0)</f>
        <v>0</v>
      </c>
      <c r="AD175" s="16">
        <f>IFERROR(__xludf.DUMMYFUNCTION("""COMPUTED_VALUE"""),0.0)</f>
        <v>0</v>
      </c>
      <c r="AE175" s="16">
        <f>IFERROR(__xludf.DUMMYFUNCTION("""COMPUTED_VALUE"""),0.0)</f>
        <v>0</v>
      </c>
      <c r="AF175" s="16">
        <f>IFERROR(__xludf.DUMMYFUNCTION("""COMPUTED_VALUE"""),0.0)</f>
        <v>0</v>
      </c>
      <c r="AG175" s="16">
        <f>IFERROR(__xludf.DUMMYFUNCTION("""COMPUTED_VALUE"""),0.0)</f>
        <v>0</v>
      </c>
      <c r="AH175" s="16">
        <f>IFERROR(__xludf.DUMMYFUNCTION("""COMPUTED_VALUE"""),0.0)</f>
        <v>0</v>
      </c>
    </row>
    <row r="176">
      <c r="A176" s="16" t="str">
        <f>IFERROR(__xludf.DUMMYFUNCTION("""COMPUTED_VALUE"""),"97d2593a35303e42da5da630e9d8848fa086fc93")</f>
        <v>97d2593a35303e42da5da630e9d8848fa086fc93</v>
      </c>
      <c r="B176" s="16" t="str">
        <f>IFERROR(__xludf.DUMMYFUNCTION("""COMPUTED_VALUE"""),"Spying on My Rebel Alpha")</f>
        <v>Spying on My Rebel Alpha</v>
      </c>
      <c r="C176" s="16" t="str">
        <f>IFERROR(__xludf.DUMMYFUNCTION("""COMPUTED_VALUE"""),"Romantasy")</f>
        <v>Romantasy</v>
      </c>
      <c r="D176" s="16">
        <f>IFERROR(__xludf.DUMMYFUNCTION("""COMPUTED_VALUE"""),2124.0)</f>
        <v>2124</v>
      </c>
      <c r="E176" s="16">
        <f>IFERROR(__xludf.DUMMYFUNCTION("""COMPUTED_VALUE"""),0.96939736346516)</f>
        <v>0.9693973635</v>
      </c>
      <c r="F176" s="16">
        <f>IFERROR(__xludf.DUMMYFUNCTION("""COMPUTED_VALUE"""),0.465160075329566)</f>
        <v>0.4651600753</v>
      </c>
      <c r="G176" s="16">
        <f>IFERROR(__xludf.DUMMYFUNCTION("""COMPUTED_VALUE"""),0.393596986817325)</f>
        <v>0.3935969868</v>
      </c>
      <c r="H176" s="16">
        <f>IFERROR(__xludf.DUMMYFUNCTION("""COMPUTED_VALUE"""),0.357815442561205)</f>
        <v>0.3578154426</v>
      </c>
      <c r="I176" s="16">
        <f>IFERROR(__xludf.DUMMYFUNCTION("""COMPUTED_VALUE"""),0.327049952874646)</f>
        <v>0.3270499529</v>
      </c>
      <c r="J176" s="16">
        <f>IFERROR(__xludf.DUMMYFUNCTION("""COMPUTED_VALUE"""),0.304347826086956)</f>
        <v>0.3043478261</v>
      </c>
      <c r="K176" s="16">
        <f>IFERROR(__xludf.DUMMYFUNCTION("""COMPUTED_VALUE"""),0.2903073286052)</f>
        <v>0.2903073286</v>
      </c>
      <c r="L176" s="16">
        <f>IFERROR(__xludf.DUMMYFUNCTION("""COMPUTED_VALUE"""),0.277251184834123)</f>
        <v>0.2772511848</v>
      </c>
      <c r="M176" s="16">
        <f>IFERROR(__xludf.DUMMYFUNCTION("""COMPUTED_VALUE"""),0.265647396082178)</f>
        <v>0.2656473961</v>
      </c>
      <c r="N176" s="16">
        <f>IFERROR(__xludf.DUMMYFUNCTION("""COMPUTED_VALUE"""),0.26318335752298)</f>
        <v>0.2631833575</v>
      </c>
      <c r="O176" s="16">
        <f>IFERROR(__xludf.DUMMYFUNCTION("""COMPUTED_VALUE"""),0.227344159245678)</f>
        <v>0.2273441592</v>
      </c>
      <c r="P176" s="16">
        <f>IFERROR(__xludf.DUMMYFUNCTION("""COMPUTED_VALUE"""),0.178014766201804)</f>
        <v>0.1780147662</v>
      </c>
      <c r="Q176" s="16">
        <f>IFERROR(__xludf.DUMMYFUNCTION("""COMPUTED_VALUE"""),0.119658119658119)</f>
        <v>0.1196581197</v>
      </c>
      <c r="R176" s="16">
        <f>IFERROR(__xludf.DUMMYFUNCTION("""COMPUTED_VALUE"""),0.0)</f>
        <v>0</v>
      </c>
      <c r="S176" s="16">
        <f>IFERROR(__xludf.DUMMYFUNCTION("""COMPUTED_VALUE"""),0.0)</f>
        <v>0</v>
      </c>
      <c r="T176" s="16">
        <f>IFERROR(__xludf.DUMMYFUNCTION("""COMPUTED_VALUE"""),0.0)</f>
        <v>0</v>
      </c>
      <c r="U176" s="16">
        <f>IFERROR(__xludf.DUMMYFUNCTION("""COMPUTED_VALUE"""),0.0)</f>
        <v>0</v>
      </c>
      <c r="V176" s="16">
        <f>IFERROR(__xludf.DUMMYFUNCTION("""COMPUTED_VALUE"""),0.0)</f>
        <v>0</v>
      </c>
      <c r="W176" s="16">
        <f>IFERROR(__xludf.DUMMYFUNCTION("""COMPUTED_VALUE"""),0.0)</f>
        <v>0</v>
      </c>
      <c r="X176" s="16">
        <f>IFERROR(__xludf.DUMMYFUNCTION("""COMPUTED_VALUE"""),0.0)</f>
        <v>0</v>
      </c>
      <c r="Y176" s="16">
        <f>IFERROR(__xludf.DUMMYFUNCTION("""COMPUTED_VALUE"""),0.0)</f>
        <v>0</v>
      </c>
      <c r="Z176" s="16">
        <f>IFERROR(__xludf.DUMMYFUNCTION("""COMPUTED_VALUE"""),0.0)</f>
        <v>0</v>
      </c>
      <c r="AA176" s="16">
        <f>IFERROR(__xludf.DUMMYFUNCTION("""COMPUTED_VALUE"""),0.0)</f>
        <v>0</v>
      </c>
      <c r="AB176" s="16">
        <f>IFERROR(__xludf.DUMMYFUNCTION("""COMPUTED_VALUE"""),0.0)</f>
        <v>0</v>
      </c>
      <c r="AC176" s="16">
        <f>IFERROR(__xludf.DUMMYFUNCTION("""COMPUTED_VALUE"""),0.0)</f>
        <v>0</v>
      </c>
      <c r="AD176" s="16">
        <f>IFERROR(__xludf.DUMMYFUNCTION("""COMPUTED_VALUE"""),0.0)</f>
        <v>0</v>
      </c>
      <c r="AE176" s="16">
        <f>IFERROR(__xludf.DUMMYFUNCTION("""COMPUTED_VALUE"""),0.0)</f>
        <v>0</v>
      </c>
      <c r="AF176" s="16">
        <f>IFERROR(__xludf.DUMMYFUNCTION("""COMPUTED_VALUE"""),0.0)</f>
        <v>0</v>
      </c>
      <c r="AG176" s="16">
        <f>IFERROR(__xludf.DUMMYFUNCTION("""COMPUTED_VALUE"""),0.0)</f>
        <v>0</v>
      </c>
      <c r="AH176" s="16">
        <f>IFERROR(__xludf.DUMMYFUNCTION("""COMPUTED_VALUE"""),0.0)</f>
        <v>0</v>
      </c>
    </row>
    <row r="177">
      <c r="A177" s="16" t="str">
        <f>IFERROR(__xludf.DUMMYFUNCTION("""COMPUTED_VALUE"""),"9897c34ca7143cb319fd56943504e8f8be1550c2")</f>
        <v>9897c34ca7143cb319fd56943504e8f8be1550c2</v>
      </c>
      <c r="B177" s="16" t="str">
        <f>IFERROR(__xludf.DUMMYFUNCTION("""COMPUTED_VALUE"""),"Priced Royal Kiss")</f>
        <v>Priced Royal Kiss</v>
      </c>
      <c r="C177" s="16" t="str">
        <f>IFERROR(__xludf.DUMMYFUNCTION("""COMPUTED_VALUE"""),"Drama")</f>
        <v>Drama</v>
      </c>
      <c r="D177" s="16">
        <f>IFERROR(__xludf.DUMMYFUNCTION("""COMPUTED_VALUE"""),363.0)</f>
        <v>363</v>
      </c>
      <c r="E177" s="16">
        <f>IFERROR(__xludf.DUMMYFUNCTION("""COMPUTED_VALUE"""),0.944903581267217)</f>
        <v>0.9449035813</v>
      </c>
      <c r="F177" s="16">
        <f>IFERROR(__xludf.DUMMYFUNCTION("""COMPUTED_VALUE"""),0.534435261707988)</f>
        <v>0.5344352617</v>
      </c>
      <c r="G177" s="16">
        <f>IFERROR(__xludf.DUMMYFUNCTION("""COMPUTED_VALUE"""),0.479338842975206)</f>
        <v>0.479338843</v>
      </c>
      <c r="H177" s="16">
        <f>IFERROR(__xludf.DUMMYFUNCTION("""COMPUTED_VALUE"""),0.444751381215469)</f>
        <v>0.4447513812</v>
      </c>
      <c r="I177" s="16">
        <f>IFERROR(__xludf.DUMMYFUNCTION("""COMPUTED_VALUE"""),0.425)</f>
        <v>0.425</v>
      </c>
      <c r="J177" s="16">
        <f>IFERROR(__xludf.DUMMYFUNCTION("""COMPUTED_VALUE"""),0.397759103641456)</f>
        <v>0.3977591036</v>
      </c>
      <c r="K177" s="16">
        <f>IFERROR(__xludf.DUMMYFUNCTION("""COMPUTED_VALUE"""),0.388101983002832)</f>
        <v>0.388101983</v>
      </c>
      <c r="L177" s="16">
        <f>IFERROR(__xludf.DUMMYFUNCTION("""COMPUTED_VALUE"""),0.383522727272727)</f>
        <v>0.3835227273</v>
      </c>
      <c r="M177" s="16">
        <f>IFERROR(__xludf.DUMMYFUNCTION("""COMPUTED_VALUE"""),0.382183908045977)</f>
        <v>0.382183908</v>
      </c>
      <c r="N177" s="16">
        <f>IFERROR(__xludf.DUMMYFUNCTION("""COMPUTED_VALUE"""),0.369186046511627)</f>
        <v>0.3691860465</v>
      </c>
      <c r="O177" s="16">
        <f>IFERROR(__xludf.DUMMYFUNCTION("""COMPUTED_VALUE"""),0.32156862745098)</f>
        <v>0.3215686275</v>
      </c>
      <c r="P177" s="16">
        <f>IFERROR(__xludf.DUMMYFUNCTION("""COMPUTED_VALUE"""),0.274038461538461)</f>
        <v>0.2740384615</v>
      </c>
      <c r="Q177" s="16">
        <f>IFERROR(__xludf.DUMMYFUNCTION("""COMPUTED_VALUE"""),0.191011235955056)</f>
        <v>0.191011236</v>
      </c>
      <c r="R177" s="16">
        <f>IFERROR(__xludf.DUMMYFUNCTION("""COMPUTED_VALUE"""),0.151724137931034)</f>
        <v>0.1517241379</v>
      </c>
      <c r="S177" s="16">
        <f>IFERROR(__xludf.DUMMYFUNCTION("""COMPUTED_VALUE"""),0.127450980392156)</f>
        <v>0.1274509804</v>
      </c>
      <c r="T177" s="16">
        <f>IFERROR(__xludf.DUMMYFUNCTION("""COMPUTED_VALUE"""),0.0983606557377049)</f>
        <v>0.09836065574</v>
      </c>
      <c r="U177" s="16">
        <f>IFERROR(__xludf.DUMMYFUNCTION("""COMPUTED_VALUE"""),0.0416666666666666)</f>
        <v>0.04166666667</v>
      </c>
      <c r="V177" s="16">
        <f>IFERROR(__xludf.DUMMYFUNCTION("""COMPUTED_VALUE"""),0.0)</f>
        <v>0</v>
      </c>
      <c r="W177" s="16">
        <f>IFERROR(__xludf.DUMMYFUNCTION("""COMPUTED_VALUE"""),0.0)</f>
        <v>0</v>
      </c>
      <c r="X177" s="16">
        <f>IFERROR(__xludf.DUMMYFUNCTION("""COMPUTED_VALUE"""),0.0)</f>
        <v>0</v>
      </c>
      <c r="Y177" s="16">
        <f>IFERROR(__xludf.DUMMYFUNCTION("""COMPUTED_VALUE"""),0.0)</f>
        <v>0</v>
      </c>
      <c r="Z177" s="16">
        <f>IFERROR(__xludf.DUMMYFUNCTION("""COMPUTED_VALUE"""),0.0)</f>
        <v>0</v>
      </c>
      <c r="AA177" s="16">
        <f>IFERROR(__xludf.DUMMYFUNCTION("""COMPUTED_VALUE"""),0.0)</f>
        <v>0</v>
      </c>
      <c r="AB177" s="16">
        <f>IFERROR(__xludf.DUMMYFUNCTION("""COMPUTED_VALUE"""),0.0)</f>
        <v>0</v>
      </c>
      <c r="AC177" s="16">
        <f>IFERROR(__xludf.DUMMYFUNCTION("""COMPUTED_VALUE"""),0.0)</f>
        <v>0</v>
      </c>
      <c r="AD177" s="16">
        <f>IFERROR(__xludf.DUMMYFUNCTION("""COMPUTED_VALUE"""),0.0)</f>
        <v>0</v>
      </c>
      <c r="AE177" s="16">
        <f>IFERROR(__xludf.DUMMYFUNCTION("""COMPUTED_VALUE"""),0.0)</f>
        <v>0</v>
      </c>
      <c r="AF177" s="16">
        <f>IFERROR(__xludf.DUMMYFUNCTION("""COMPUTED_VALUE"""),0.0)</f>
        <v>0</v>
      </c>
      <c r="AG177" s="16">
        <f>IFERROR(__xludf.DUMMYFUNCTION("""COMPUTED_VALUE"""),0.0)</f>
        <v>0</v>
      </c>
      <c r="AH177" s="16">
        <f>IFERROR(__xludf.DUMMYFUNCTION("""COMPUTED_VALUE"""),0.0)</f>
        <v>0</v>
      </c>
    </row>
    <row r="178">
      <c r="A178" s="16" t="str">
        <f>IFERROR(__xludf.DUMMYFUNCTION("""COMPUTED_VALUE"""),"9b25cb8fec3919f6398cf69f6cec44382a44749e")</f>
        <v>9b25cb8fec3919f6398cf69f6cec44382a44749e</v>
      </c>
      <c r="B178" s="16" t="str">
        <f>IFERROR(__xludf.DUMMYFUNCTION("""COMPUTED_VALUE"""),"The Immortal's Mark")</f>
        <v>The Immortal's Mark</v>
      </c>
      <c r="C178" s="16" t="str">
        <f>IFERROR(__xludf.DUMMYFUNCTION("""COMPUTED_VALUE"""),"Romantasy")</f>
        <v>Romantasy</v>
      </c>
      <c r="D178" s="16">
        <f>IFERROR(__xludf.DUMMYFUNCTION("""COMPUTED_VALUE"""),2384.0)</f>
        <v>2384</v>
      </c>
      <c r="E178" s="16">
        <f>IFERROR(__xludf.DUMMYFUNCTION("""COMPUTED_VALUE"""),0.966862416107382)</f>
        <v>0.9668624161</v>
      </c>
      <c r="F178" s="16">
        <f>IFERROR(__xludf.DUMMYFUNCTION("""COMPUTED_VALUE"""),0.557885906040268)</f>
        <v>0.557885906</v>
      </c>
      <c r="G178" s="16">
        <f>IFERROR(__xludf.DUMMYFUNCTION("""COMPUTED_VALUE"""),0.4748322147651)</f>
        <v>0.4748322148</v>
      </c>
      <c r="H178" s="16">
        <f>IFERROR(__xludf.DUMMYFUNCTION("""COMPUTED_VALUE"""),0.404461279461279)</f>
        <v>0.4044612795</v>
      </c>
      <c r="I178" s="16">
        <f>IFERROR(__xludf.DUMMYFUNCTION("""COMPUTED_VALUE"""),0.364215894602634)</f>
        <v>0.3642158946</v>
      </c>
      <c r="J178" s="16">
        <f>IFERROR(__xludf.DUMMYFUNCTION("""COMPUTED_VALUE"""),0.334332191780821)</f>
        <v>0.3343321918</v>
      </c>
      <c r="K178" s="16">
        <f>IFERROR(__xludf.DUMMYFUNCTION("""COMPUTED_VALUE"""),0.310121107266436)</f>
        <v>0.3101211073</v>
      </c>
      <c r="L178" s="16">
        <f>IFERROR(__xludf.DUMMYFUNCTION("""COMPUTED_VALUE"""),0.295325469637396)</f>
        <v>0.2953254696</v>
      </c>
      <c r="M178" s="16">
        <f>IFERROR(__xludf.DUMMYFUNCTION("""COMPUTED_VALUE"""),0.281057268722466)</f>
        <v>0.2810572687</v>
      </c>
      <c r="N178" s="16">
        <f>IFERROR(__xludf.DUMMYFUNCTION("""COMPUTED_VALUE"""),0.264587973273942)</f>
        <v>0.2645879733</v>
      </c>
      <c r="O178" s="16">
        <f>IFERROR(__xludf.DUMMYFUNCTION("""COMPUTED_VALUE"""),0.233490566037735)</f>
        <v>0.233490566</v>
      </c>
      <c r="P178" s="16">
        <f>IFERROR(__xludf.DUMMYFUNCTION("""COMPUTED_VALUE"""),0.184430512016718)</f>
        <v>0.184430512</v>
      </c>
      <c r="Q178" s="16">
        <f>IFERROR(__xludf.DUMMYFUNCTION("""COMPUTED_VALUE"""),0.129359543436905)</f>
        <v>0.1293595434</v>
      </c>
      <c r="R178" s="16">
        <f>IFERROR(__xludf.DUMMYFUNCTION("""COMPUTED_VALUE"""),0.0974279033515198)</f>
        <v>0.09742790335</v>
      </c>
      <c r="S178" s="16">
        <f>IFERROR(__xludf.DUMMYFUNCTION("""COMPUTED_VALUE"""),0.0710321864594894)</f>
        <v>0.07103218646</v>
      </c>
      <c r="T178" s="16">
        <f>IFERROR(__xludf.DUMMYFUNCTION("""COMPUTED_VALUE"""),0.063063063063063)</f>
        <v>0.06306306306</v>
      </c>
      <c r="U178" s="16">
        <f>IFERROR(__xludf.DUMMYFUNCTION("""COMPUTED_VALUE"""),0.0683760683760683)</f>
        <v>0.06837606838</v>
      </c>
      <c r="V178" s="16">
        <f>IFERROR(__xludf.DUMMYFUNCTION("""COMPUTED_VALUE"""),0.0)</f>
        <v>0</v>
      </c>
      <c r="W178" s="16">
        <f>IFERROR(__xludf.DUMMYFUNCTION("""COMPUTED_VALUE"""),0.0)</f>
        <v>0</v>
      </c>
      <c r="X178" s="16">
        <f>IFERROR(__xludf.DUMMYFUNCTION("""COMPUTED_VALUE"""),0.0)</f>
        <v>0</v>
      </c>
      <c r="Y178" s="16">
        <f>IFERROR(__xludf.DUMMYFUNCTION("""COMPUTED_VALUE"""),0.0)</f>
        <v>0</v>
      </c>
      <c r="Z178" s="16">
        <f>IFERROR(__xludf.DUMMYFUNCTION("""COMPUTED_VALUE"""),0.0)</f>
        <v>0</v>
      </c>
      <c r="AA178" s="16">
        <f>IFERROR(__xludf.DUMMYFUNCTION("""COMPUTED_VALUE"""),0.0)</f>
        <v>0</v>
      </c>
      <c r="AB178" s="16">
        <f>IFERROR(__xludf.DUMMYFUNCTION("""COMPUTED_VALUE"""),0.0)</f>
        <v>0</v>
      </c>
      <c r="AC178" s="16">
        <f>IFERROR(__xludf.DUMMYFUNCTION("""COMPUTED_VALUE"""),0.0)</f>
        <v>0</v>
      </c>
      <c r="AD178" s="16">
        <f>IFERROR(__xludf.DUMMYFUNCTION("""COMPUTED_VALUE"""),0.0)</f>
        <v>0</v>
      </c>
      <c r="AE178" s="16">
        <f>IFERROR(__xludf.DUMMYFUNCTION("""COMPUTED_VALUE"""),0.0)</f>
        <v>0</v>
      </c>
      <c r="AF178" s="16">
        <f>IFERROR(__xludf.DUMMYFUNCTION("""COMPUTED_VALUE"""),0.0)</f>
        <v>0</v>
      </c>
      <c r="AG178" s="16">
        <f>IFERROR(__xludf.DUMMYFUNCTION("""COMPUTED_VALUE"""),0.0)</f>
        <v>0</v>
      </c>
      <c r="AH178" s="16">
        <f>IFERROR(__xludf.DUMMYFUNCTION("""COMPUTED_VALUE"""),0.0)</f>
        <v>0</v>
      </c>
    </row>
    <row r="179">
      <c r="A179" s="16" t="str">
        <f>IFERROR(__xludf.DUMMYFUNCTION("""COMPUTED_VALUE"""),"9c5a320e8591b0aad996347bc17f53479097ac00")</f>
        <v>9c5a320e8591b0aad996347bc17f53479097ac00</v>
      </c>
      <c r="B179" s="16" t="str">
        <f>IFERROR(__xludf.DUMMYFUNCTION("""COMPUTED_VALUE"""),"Dad's a Billionaire")</f>
        <v>Dad's a Billionaire</v>
      </c>
      <c r="C179" s="16" t="str">
        <f>IFERROR(__xludf.DUMMYFUNCTION("""COMPUTED_VALUE"""),"Romance")</f>
        <v>Romance</v>
      </c>
      <c r="D179" s="16">
        <f>IFERROR(__xludf.DUMMYFUNCTION("""COMPUTED_VALUE"""),277.0)</f>
        <v>277</v>
      </c>
      <c r="E179" s="16">
        <f>IFERROR(__xludf.DUMMYFUNCTION("""COMPUTED_VALUE"""),0.974729241877256)</f>
        <v>0.9747292419</v>
      </c>
      <c r="F179" s="16">
        <f>IFERROR(__xludf.DUMMYFUNCTION("""COMPUTED_VALUE"""),0.581227436823104)</f>
        <v>0.5812274368</v>
      </c>
      <c r="G179" s="16">
        <f>IFERROR(__xludf.DUMMYFUNCTION("""COMPUTED_VALUE"""),0.440433212996389)</f>
        <v>0.440433213</v>
      </c>
      <c r="H179" s="16">
        <f>IFERROR(__xludf.DUMMYFUNCTION("""COMPUTED_VALUE"""),0.397058823529411)</f>
        <v>0.3970588235</v>
      </c>
      <c r="I179" s="16">
        <f>IFERROR(__xludf.DUMMYFUNCTION("""COMPUTED_VALUE"""),0.339483394833948)</f>
        <v>0.3394833948</v>
      </c>
      <c r="J179" s="16">
        <f>IFERROR(__xludf.DUMMYFUNCTION("""COMPUTED_VALUE"""),0.328125)</f>
        <v>0.328125</v>
      </c>
      <c r="K179" s="16">
        <f>IFERROR(__xludf.DUMMYFUNCTION("""COMPUTED_VALUE"""),0.28395061728395)</f>
        <v>0.2839506173</v>
      </c>
      <c r="L179" s="16">
        <f>IFERROR(__xludf.DUMMYFUNCTION("""COMPUTED_VALUE"""),0.339805825242718)</f>
        <v>0.3398058252</v>
      </c>
      <c r="M179" s="16">
        <f>IFERROR(__xludf.DUMMYFUNCTION("""COMPUTED_VALUE"""),0.340314136125654)</f>
        <v>0.3403141361</v>
      </c>
      <c r="N179" s="16">
        <f>IFERROR(__xludf.DUMMYFUNCTION("""COMPUTED_VALUE"""),0.296511627906976)</f>
        <v>0.2965116279</v>
      </c>
      <c r="O179" s="16">
        <f>IFERROR(__xludf.DUMMYFUNCTION("""COMPUTED_VALUE"""),0.312056737588652)</f>
        <v>0.3120567376</v>
      </c>
      <c r="P179" s="16">
        <f>IFERROR(__xludf.DUMMYFUNCTION("""COMPUTED_VALUE"""),0.238095238095238)</f>
        <v>0.2380952381</v>
      </c>
      <c r="Q179" s="16">
        <f>IFERROR(__xludf.DUMMYFUNCTION("""COMPUTED_VALUE"""),0.0)</f>
        <v>0</v>
      </c>
      <c r="R179" s="16">
        <f>IFERROR(__xludf.DUMMYFUNCTION("""COMPUTED_VALUE"""),0.0)</f>
        <v>0</v>
      </c>
      <c r="S179" s="16">
        <f>IFERROR(__xludf.DUMMYFUNCTION("""COMPUTED_VALUE"""),0.0)</f>
        <v>0</v>
      </c>
      <c r="T179" s="16">
        <f>IFERROR(__xludf.DUMMYFUNCTION("""COMPUTED_VALUE"""),0.0)</f>
        <v>0</v>
      </c>
      <c r="U179" s="16">
        <f>IFERROR(__xludf.DUMMYFUNCTION("""COMPUTED_VALUE"""),0.0)</f>
        <v>0</v>
      </c>
      <c r="V179" s="16">
        <f>IFERROR(__xludf.DUMMYFUNCTION("""COMPUTED_VALUE"""),0.0)</f>
        <v>0</v>
      </c>
      <c r="W179" s="16">
        <f>IFERROR(__xludf.DUMMYFUNCTION("""COMPUTED_VALUE"""),0.0)</f>
        <v>0</v>
      </c>
      <c r="X179" s="16">
        <f>IFERROR(__xludf.DUMMYFUNCTION("""COMPUTED_VALUE"""),0.0)</f>
        <v>0</v>
      </c>
      <c r="Y179" s="16">
        <f>IFERROR(__xludf.DUMMYFUNCTION("""COMPUTED_VALUE"""),0.0)</f>
        <v>0</v>
      </c>
      <c r="Z179" s="16">
        <f>IFERROR(__xludf.DUMMYFUNCTION("""COMPUTED_VALUE"""),0.0)</f>
        <v>0</v>
      </c>
      <c r="AA179" s="16">
        <f>IFERROR(__xludf.DUMMYFUNCTION("""COMPUTED_VALUE"""),0.0)</f>
        <v>0</v>
      </c>
      <c r="AB179" s="16">
        <f>IFERROR(__xludf.DUMMYFUNCTION("""COMPUTED_VALUE"""),0.0)</f>
        <v>0</v>
      </c>
      <c r="AC179" s="16">
        <f>IFERROR(__xludf.DUMMYFUNCTION("""COMPUTED_VALUE"""),0.0)</f>
        <v>0</v>
      </c>
      <c r="AD179" s="16">
        <f>IFERROR(__xludf.DUMMYFUNCTION("""COMPUTED_VALUE"""),0.0)</f>
        <v>0</v>
      </c>
      <c r="AE179" s="16">
        <f>IFERROR(__xludf.DUMMYFUNCTION("""COMPUTED_VALUE"""),0.0)</f>
        <v>0</v>
      </c>
      <c r="AF179" s="16">
        <f>IFERROR(__xludf.DUMMYFUNCTION("""COMPUTED_VALUE"""),0.0)</f>
        <v>0</v>
      </c>
      <c r="AG179" s="16">
        <f>IFERROR(__xludf.DUMMYFUNCTION("""COMPUTED_VALUE"""),0.0)</f>
        <v>0</v>
      </c>
      <c r="AH179" s="16">
        <f>IFERROR(__xludf.DUMMYFUNCTION("""COMPUTED_VALUE"""),0.0)</f>
        <v>0</v>
      </c>
    </row>
    <row r="180">
      <c r="A180" s="16" t="str">
        <f>IFERROR(__xludf.DUMMYFUNCTION("""COMPUTED_VALUE"""),"9d3f3024e967ac2c104ada98aa10c481cd0f9e38")</f>
        <v>9d3f3024e967ac2c104ada98aa10c481cd0f9e38</v>
      </c>
      <c r="B180" s="16" t="str">
        <f>IFERROR(__xludf.DUMMYFUNCTION("""COMPUTED_VALUE"""),"The Wrong Mrs. Carter")</f>
        <v>The Wrong Mrs. Carter</v>
      </c>
      <c r="C180" s="16" t="str">
        <f>IFERROR(__xludf.DUMMYFUNCTION("""COMPUTED_VALUE"""),"Romance")</f>
        <v>Romance</v>
      </c>
      <c r="D180" s="16">
        <f>IFERROR(__xludf.DUMMYFUNCTION("""COMPUTED_VALUE"""),412.0)</f>
        <v>412</v>
      </c>
      <c r="E180" s="16">
        <f>IFERROR(__xludf.DUMMYFUNCTION("""COMPUTED_VALUE"""),0.944174757281553)</f>
        <v>0.9441747573</v>
      </c>
      <c r="F180" s="16">
        <f>IFERROR(__xludf.DUMMYFUNCTION("""COMPUTED_VALUE"""),0.645631067961165)</f>
        <v>0.645631068</v>
      </c>
      <c r="G180" s="16">
        <f>IFERROR(__xludf.DUMMYFUNCTION("""COMPUTED_VALUE"""),0.611650485436893)</f>
        <v>0.6116504854</v>
      </c>
      <c r="H180" s="16">
        <f>IFERROR(__xludf.DUMMYFUNCTION("""COMPUTED_VALUE"""),0.561881188118811)</f>
        <v>0.5618811881</v>
      </c>
      <c r="I180" s="16">
        <f>IFERROR(__xludf.DUMMYFUNCTION("""COMPUTED_VALUE"""),0.540051679586563)</f>
        <v>0.5400516796</v>
      </c>
      <c r="J180" s="16">
        <f>IFERROR(__xludf.DUMMYFUNCTION("""COMPUTED_VALUE"""),0.552380952380952)</f>
        <v>0.5523809524</v>
      </c>
      <c r="K180" s="16">
        <f>IFERROR(__xludf.DUMMYFUNCTION("""COMPUTED_VALUE"""),0.534722222222222)</f>
        <v>0.5347222222</v>
      </c>
      <c r="L180" s="16">
        <f>IFERROR(__xludf.DUMMYFUNCTION("""COMPUTED_VALUE"""),0.47008547008547)</f>
        <v>0.4700854701</v>
      </c>
      <c r="M180" s="16">
        <f>IFERROR(__xludf.DUMMYFUNCTION("""COMPUTED_VALUE"""),0.428571428571428)</f>
        <v>0.4285714286</v>
      </c>
      <c r="N180" s="16">
        <f>IFERROR(__xludf.DUMMYFUNCTION("""COMPUTED_VALUE"""),0.443850267379679)</f>
        <v>0.4438502674</v>
      </c>
      <c r="O180" s="16">
        <f>IFERROR(__xludf.DUMMYFUNCTION("""COMPUTED_VALUE"""),0.28415300546448)</f>
        <v>0.2841530055</v>
      </c>
      <c r="P180" s="16">
        <f>IFERROR(__xludf.DUMMYFUNCTION("""COMPUTED_VALUE"""),0.152542372881355)</f>
        <v>0.1525423729</v>
      </c>
      <c r="Q180" s="16">
        <f>IFERROR(__xludf.DUMMYFUNCTION("""COMPUTED_VALUE"""),0.08)</f>
        <v>0.08</v>
      </c>
      <c r="R180" s="16">
        <f>IFERROR(__xludf.DUMMYFUNCTION("""COMPUTED_VALUE"""),0.0)</f>
        <v>0</v>
      </c>
      <c r="S180" s="16">
        <f>IFERROR(__xludf.DUMMYFUNCTION("""COMPUTED_VALUE"""),0.0)</f>
        <v>0</v>
      </c>
      <c r="T180" s="16">
        <f>IFERROR(__xludf.DUMMYFUNCTION("""COMPUTED_VALUE"""),0.0)</f>
        <v>0</v>
      </c>
      <c r="U180" s="16">
        <f>IFERROR(__xludf.DUMMYFUNCTION("""COMPUTED_VALUE"""),0.0)</f>
        <v>0</v>
      </c>
      <c r="V180" s="16">
        <f>IFERROR(__xludf.DUMMYFUNCTION("""COMPUTED_VALUE"""),0.0)</f>
        <v>0</v>
      </c>
      <c r="W180" s="16">
        <f>IFERROR(__xludf.DUMMYFUNCTION("""COMPUTED_VALUE"""),0.0)</f>
        <v>0</v>
      </c>
      <c r="X180" s="16">
        <f>IFERROR(__xludf.DUMMYFUNCTION("""COMPUTED_VALUE"""),0.0)</f>
        <v>0</v>
      </c>
      <c r="Y180" s="16">
        <f>IFERROR(__xludf.DUMMYFUNCTION("""COMPUTED_VALUE"""),0.0)</f>
        <v>0</v>
      </c>
      <c r="Z180" s="16">
        <f>IFERROR(__xludf.DUMMYFUNCTION("""COMPUTED_VALUE"""),0.0)</f>
        <v>0</v>
      </c>
      <c r="AA180" s="16">
        <f>IFERROR(__xludf.DUMMYFUNCTION("""COMPUTED_VALUE"""),0.0)</f>
        <v>0</v>
      </c>
      <c r="AB180" s="16">
        <f>IFERROR(__xludf.DUMMYFUNCTION("""COMPUTED_VALUE"""),0.0)</f>
        <v>0</v>
      </c>
      <c r="AC180" s="16">
        <f>IFERROR(__xludf.DUMMYFUNCTION("""COMPUTED_VALUE"""),0.0)</f>
        <v>0</v>
      </c>
      <c r="AD180" s="16">
        <f>IFERROR(__xludf.DUMMYFUNCTION("""COMPUTED_VALUE"""),0.0)</f>
        <v>0</v>
      </c>
      <c r="AE180" s="16">
        <f>IFERROR(__xludf.DUMMYFUNCTION("""COMPUTED_VALUE"""),0.0)</f>
        <v>0</v>
      </c>
      <c r="AF180" s="16">
        <f>IFERROR(__xludf.DUMMYFUNCTION("""COMPUTED_VALUE"""),0.0)</f>
        <v>0</v>
      </c>
      <c r="AG180" s="16">
        <f>IFERROR(__xludf.DUMMYFUNCTION("""COMPUTED_VALUE"""),0.0)</f>
        <v>0</v>
      </c>
      <c r="AH180" s="16">
        <f>IFERROR(__xludf.DUMMYFUNCTION("""COMPUTED_VALUE"""),0.0)</f>
        <v>0</v>
      </c>
    </row>
    <row r="181">
      <c r="A181" s="16" t="str">
        <f>IFERROR(__xludf.DUMMYFUNCTION("""COMPUTED_VALUE"""),"9eb4932b6e7663416bee5ea2d2dd1b2ced5727be")</f>
        <v>9eb4932b6e7663416bee5ea2d2dd1b2ced5727be</v>
      </c>
      <c r="B181" s="16" t="str">
        <f>IFERROR(__xludf.DUMMYFUNCTION("""COMPUTED_VALUE"""),"Rise of the God Mage")</f>
        <v>Rise of the God Mage</v>
      </c>
      <c r="C181" s="16" t="str">
        <f>IFERROR(__xludf.DUMMYFUNCTION("""COMPUTED_VALUE"""),"Fantasy")</f>
        <v>Fantasy</v>
      </c>
      <c r="D181" s="16">
        <f>IFERROR(__xludf.DUMMYFUNCTION("""COMPUTED_VALUE"""),71.0)</f>
        <v>71</v>
      </c>
      <c r="E181" s="16">
        <f>IFERROR(__xludf.DUMMYFUNCTION("""COMPUTED_VALUE"""),0.985915492957746)</f>
        <v>0.985915493</v>
      </c>
      <c r="F181" s="16">
        <f>IFERROR(__xludf.DUMMYFUNCTION("""COMPUTED_VALUE"""),0.56338028169014)</f>
        <v>0.5633802817</v>
      </c>
      <c r="G181" s="16">
        <f>IFERROR(__xludf.DUMMYFUNCTION("""COMPUTED_VALUE"""),0.450704225352112)</f>
        <v>0.4507042254</v>
      </c>
      <c r="H181" s="16">
        <f>IFERROR(__xludf.DUMMYFUNCTION("""COMPUTED_VALUE"""),0.394366197183098)</f>
        <v>0.3943661972</v>
      </c>
      <c r="I181" s="16">
        <f>IFERROR(__xludf.DUMMYFUNCTION("""COMPUTED_VALUE"""),0.371428571428571)</f>
        <v>0.3714285714</v>
      </c>
      <c r="J181" s="16">
        <f>IFERROR(__xludf.DUMMYFUNCTION("""COMPUTED_VALUE"""),0.318840579710144)</f>
        <v>0.3188405797</v>
      </c>
      <c r="K181" s="16">
        <f>IFERROR(__xludf.DUMMYFUNCTION("""COMPUTED_VALUE"""),0.333333333333333)</f>
        <v>0.3333333333</v>
      </c>
      <c r="L181" s="16">
        <f>IFERROR(__xludf.DUMMYFUNCTION("""COMPUTED_VALUE"""),0.323529411764705)</f>
        <v>0.3235294118</v>
      </c>
      <c r="M181" s="16">
        <f>IFERROR(__xludf.DUMMYFUNCTION("""COMPUTED_VALUE"""),0.313432835820895)</f>
        <v>0.3134328358</v>
      </c>
      <c r="N181" s="16">
        <f>IFERROR(__xludf.DUMMYFUNCTION("""COMPUTED_VALUE"""),0.318181818181818)</f>
        <v>0.3181818182</v>
      </c>
      <c r="O181" s="16">
        <f>IFERROR(__xludf.DUMMYFUNCTION("""COMPUTED_VALUE"""),0.272727272727272)</f>
        <v>0.2727272727</v>
      </c>
      <c r="P181" s="16">
        <f>IFERROR(__xludf.DUMMYFUNCTION("""COMPUTED_VALUE"""),0.291666666666666)</f>
        <v>0.2916666667</v>
      </c>
      <c r="Q181" s="16">
        <f>IFERROR(__xludf.DUMMYFUNCTION("""COMPUTED_VALUE"""),0.0)</f>
        <v>0</v>
      </c>
      <c r="R181" s="16">
        <f>IFERROR(__xludf.DUMMYFUNCTION("""COMPUTED_VALUE"""),0.0)</f>
        <v>0</v>
      </c>
      <c r="S181" s="16">
        <f>IFERROR(__xludf.DUMMYFUNCTION("""COMPUTED_VALUE"""),0.0)</f>
        <v>0</v>
      </c>
      <c r="T181" s="16">
        <f>IFERROR(__xludf.DUMMYFUNCTION("""COMPUTED_VALUE"""),0.0)</f>
        <v>0</v>
      </c>
      <c r="U181" s="16">
        <f>IFERROR(__xludf.DUMMYFUNCTION("""COMPUTED_VALUE"""),0.0)</f>
        <v>0</v>
      </c>
      <c r="V181" s="16">
        <f>IFERROR(__xludf.DUMMYFUNCTION("""COMPUTED_VALUE"""),0.0)</f>
        <v>0</v>
      </c>
      <c r="W181" s="16">
        <f>IFERROR(__xludf.DUMMYFUNCTION("""COMPUTED_VALUE"""),0.0)</f>
        <v>0</v>
      </c>
      <c r="X181" s="16">
        <f>IFERROR(__xludf.DUMMYFUNCTION("""COMPUTED_VALUE"""),0.0)</f>
        <v>0</v>
      </c>
      <c r="Y181" s="16">
        <f>IFERROR(__xludf.DUMMYFUNCTION("""COMPUTED_VALUE"""),0.0)</f>
        <v>0</v>
      </c>
      <c r="Z181" s="16">
        <f>IFERROR(__xludf.DUMMYFUNCTION("""COMPUTED_VALUE"""),0.0)</f>
        <v>0</v>
      </c>
      <c r="AA181" s="16">
        <f>IFERROR(__xludf.DUMMYFUNCTION("""COMPUTED_VALUE"""),0.0)</f>
        <v>0</v>
      </c>
      <c r="AB181" s="16">
        <f>IFERROR(__xludf.DUMMYFUNCTION("""COMPUTED_VALUE"""),0.0)</f>
        <v>0</v>
      </c>
      <c r="AC181" s="16">
        <f>IFERROR(__xludf.DUMMYFUNCTION("""COMPUTED_VALUE"""),0.0)</f>
        <v>0</v>
      </c>
      <c r="AD181" s="16">
        <f>IFERROR(__xludf.DUMMYFUNCTION("""COMPUTED_VALUE"""),0.0)</f>
        <v>0</v>
      </c>
      <c r="AE181" s="16">
        <f>IFERROR(__xludf.DUMMYFUNCTION("""COMPUTED_VALUE"""),0.0)</f>
        <v>0</v>
      </c>
      <c r="AF181" s="16">
        <f>IFERROR(__xludf.DUMMYFUNCTION("""COMPUTED_VALUE"""),0.0)</f>
        <v>0</v>
      </c>
      <c r="AG181" s="16">
        <f>IFERROR(__xludf.DUMMYFUNCTION("""COMPUTED_VALUE"""),0.0)</f>
        <v>0</v>
      </c>
      <c r="AH181" s="16">
        <f>IFERROR(__xludf.DUMMYFUNCTION("""COMPUTED_VALUE"""),0.0)</f>
        <v>0</v>
      </c>
    </row>
    <row r="182">
      <c r="A182" s="16" t="str">
        <f>IFERROR(__xludf.DUMMYFUNCTION("""COMPUTED_VALUE"""),"9f288c1b7bcd6e6181338579ca44a178a5b21573")</f>
        <v>9f288c1b7bcd6e6181338579ca44a178a5b21573</v>
      </c>
      <c r="B182" s="16" t="str">
        <f>IFERROR(__xludf.DUMMYFUNCTION("""COMPUTED_VALUE"""),"Vows of Blood &amp; Diamonds")</f>
        <v>Vows of Blood &amp; Diamonds</v>
      </c>
      <c r="C182" s="16" t="str">
        <f>IFERROR(__xludf.DUMMYFUNCTION("""COMPUTED_VALUE"""),"Romance")</f>
        <v>Romance</v>
      </c>
      <c r="D182" s="16">
        <f>IFERROR(__xludf.DUMMYFUNCTION("""COMPUTED_VALUE"""),285.0)</f>
        <v>285</v>
      </c>
      <c r="E182" s="16">
        <f>IFERROR(__xludf.DUMMYFUNCTION("""COMPUTED_VALUE"""),0.975438596491228)</f>
        <v>0.9754385965</v>
      </c>
      <c r="F182" s="16">
        <f>IFERROR(__xludf.DUMMYFUNCTION("""COMPUTED_VALUE"""),0.389473684210526)</f>
        <v>0.3894736842</v>
      </c>
      <c r="G182" s="16">
        <f>IFERROR(__xludf.DUMMYFUNCTION("""COMPUTED_VALUE"""),0.319298245614035)</f>
        <v>0.3192982456</v>
      </c>
      <c r="H182" s="16">
        <f>IFERROR(__xludf.DUMMYFUNCTION("""COMPUTED_VALUE"""),0.30281690140845)</f>
        <v>0.3028169014</v>
      </c>
      <c r="I182" s="16">
        <f>IFERROR(__xludf.DUMMYFUNCTION("""COMPUTED_VALUE"""),0.285211267605633)</f>
        <v>0.2852112676</v>
      </c>
      <c r="J182" s="16">
        <f>IFERROR(__xludf.DUMMYFUNCTION("""COMPUTED_VALUE"""),0.254480286738351)</f>
        <v>0.2544802867</v>
      </c>
      <c r="K182" s="16">
        <f>IFERROR(__xludf.DUMMYFUNCTION("""COMPUTED_VALUE"""),0.222627737226277)</f>
        <v>0.2226277372</v>
      </c>
      <c r="L182" s="16">
        <f>IFERROR(__xludf.DUMMYFUNCTION("""COMPUTED_VALUE"""),0.207407407407407)</f>
        <v>0.2074074074</v>
      </c>
      <c r="M182" s="16">
        <f>IFERROR(__xludf.DUMMYFUNCTION("""COMPUTED_VALUE"""),0.206766917293233)</f>
        <v>0.2067669173</v>
      </c>
      <c r="N182" s="16">
        <f>IFERROR(__xludf.DUMMYFUNCTION("""COMPUTED_VALUE"""),0.18503937007874)</f>
        <v>0.1850393701</v>
      </c>
      <c r="O182" s="16">
        <f>IFERROR(__xludf.DUMMYFUNCTION("""COMPUTED_VALUE"""),0.150684931506849)</f>
        <v>0.1506849315</v>
      </c>
      <c r="P182" s="16">
        <f>IFERROR(__xludf.DUMMYFUNCTION("""COMPUTED_VALUE"""),0.144927536231884)</f>
        <v>0.1449275362</v>
      </c>
      <c r="Q182" s="16">
        <f>IFERROR(__xludf.DUMMYFUNCTION("""COMPUTED_VALUE"""),0.0833333333333333)</f>
        <v>0.08333333333</v>
      </c>
      <c r="R182" s="16">
        <f>IFERROR(__xludf.DUMMYFUNCTION("""COMPUTED_VALUE"""),0.0681818181818181)</f>
        <v>0.06818181818</v>
      </c>
      <c r="S182" s="16">
        <f>IFERROR(__xludf.DUMMYFUNCTION("""COMPUTED_VALUE"""),0.0909090909090909)</f>
        <v>0.09090909091</v>
      </c>
      <c r="T182" s="16">
        <f>IFERROR(__xludf.DUMMYFUNCTION("""COMPUTED_VALUE"""),0.0)</f>
        <v>0</v>
      </c>
      <c r="U182" s="16">
        <f>IFERROR(__xludf.DUMMYFUNCTION("""COMPUTED_VALUE"""),0.0)</f>
        <v>0</v>
      </c>
      <c r="V182" s="16">
        <f>IFERROR(__xludf.DUMMYFUNCTION("""COMPUTED_VALUE"""),0.0)</f>
        <v>0</v>
      </c>
      <c r="W182" s="16">
        <f>IFERROR(__xludf.DUMMYFUNCTION("""COMPUTED_VALUE"""),0.0)</f>
        <v>0</v>
      </c>
      <c r="X182" s="16">
        <f>IFERROR(__xludf.DUMMYFUNCTION("""COMPUTED_VALUE"""),0.0)</f>
        <v>0</v>
      </c>
      <c r="Y182" s="16">
        <f>IFERROR(__xludf.DUMMYFUNCTION("""COMPUTED_VALUE"""),0.0)</f>
        <v>0</v>
      </c>
      <c r="Z182" s="16">
        <f>IFERROR(__xludf.DUMMYFUNCTION("""COMPUTED_VALUE"""),0.0)</f>
        <v>0</v>
      </c>
      <c r="AA182" s="16">
        <f>IFERROR(__xludf.DUMMYFUNCTION("""COMPUTED_VALUE"""),0.0)</f>
        <v>0</v>
      </c>
      <c r="AB182" s="16">
        <f>IFERROR(__xludf.DUMMYFUNCTION("""COMPUTED_VALUE"""),0.0)</f>
        <v>0</v>
      </c>
      <c r="AC182" s="16">
        <f>IFERROR(__xludf.DUMMYFUNCTION("""COMPUTED_VALUE"""),0.0)</f>
        <v>0</v>
      </c>
      <c r="AD182" s="16">
        <f>IFERROR(__xludf.DUMMYFUNCTION("""COMPUTED_VALUE"""),0.0)</f>
        <v>0</v>
      </c>
      <c r="AE182" s="16">
        <f>IFERROR(__xludf.DUMMYFUNCTION("""COMPUTED_VALUE"""),0.0)</f>
        <v>0</v>
      </c>
      <c r="AF182" s="16">
        <f>IFERROR(__xludf.DUMMYFUNCTION("""COMPUTED_VALUE"""),0.0)</f>
        <v>0</v>
      </c>
      <c r="AG182" s="16">
        <f>IFERROR(__xludf.DUMMYFUNCTION("""COMPUTED_VALUE"""),0.0)</f>
        <v>0</v>
      </c>
      <c r="AH182" s="16">
        <f>IFERROR(__xludf.DUMMYFUNCTION("""COMPUTED_VALUE"""),0.0)</f>
        <v>0</v>
      </c>
    </row>
    <row r="183">
      <c r="A183" s="16" t="str">
        <f>IFERROR(__xludf.DUMMYFUNCTION("""COMPUTED_VALUE"""),"a028c06a528d6bc1425340cbedd71880abd4ad2b")</f>
        <v>a028c06a528d6bc1425340cbedd71880abd4ad2b</v>
      </c>
      <c r="B183" s="16" t="str">
        <f>IFERROR(__xludf.DUMMYFUNCTION("""COMPUTED_VALUE"""),"Rejected Luna's Secret")</f>
        <v>Rejected Luna's Secret</v>
      </c>
      <c r="C183" s="16" t="str">
        <f>IFERROR(__xludf.DUMMYFUNCTION("""COMPUTED_VALUE"""),"Romantasy")</f>
        <v>Romantasy</v>
      </c>
      <c r="D183" s="16">
        <f>IFERROR(__xludf.DUMMYFUNCTION("""COMPUTED_VALUE"""),590.0)</f>
        <v>590</v>
      </c>
      <c r="E183" s="16">
        <f>IFERROR(__xludf.DUMMYFUNCTION("""COMPUTED_VALUE"""),0.979661016949152)</f>
        <v>0.9796610169</v>
      </c>
      <c r="F183" s="16">
        <f>IFERROR(__xludf.DUMMYFUNCTION("""COMPUTED_VALUE"""),0.64516129032258)</f>
        <v>0.6451612903</v>
      </c>
      <c r="G183" s="16">
        <f>IFERROR(__xludf.DUMMYFUNCTION("""COMPUTED_VALUE"""),0.550084889643463)</f>
        <v>0.5500848896</v>
      </c>
      <c r="H183" s="16">
        <f>IFERROR(__xludf.DUMMYFUNCTION("""COMPUTED_VALUE"""),0.488095238095238)</f>
        <v>0.4880952381</v>
      </c>
      <c r="I183" s="16">
        <f>IFERROR(__xludf.DUMMYFUNCTION("""COMPUTED_VALUE"""),0.458633093525179)</f>
        <v>0.4586330935</v>
      </c>
      <c r="J183" s="16">
        <f>IFERROR(__xludf.DUMMYFUNCTION("""COMPUTED_VALUE"""),0.4)</f>
        <v>0.4</v>
      </c>
      <c r="K183" s="16">
        <f>IFERROR(__xludf.DUMMYFUNCTION("""COMPUTED_VALUE"""),0.349240780911062)</f>
        <v>0.3492407809</v>
      </c>
      <c r="L183" s="16">
        <f>IFERROR(__xludf.DUMMYFUNCTION("""COMPUTED_VALUE"""),0.313915857605178)</f>
        <v>0.3139158576</v>
      </c>
      <c r="M183" s="16">
        <f>IFERROR(__xludf.DUMMYFUNCTION("""COMPUTED_VALUE"""),0.290322580645161)</f>
        <v>0.2903225806</v>
      </c>
      <c r="N183" s="16">
        <f>IFERROR(__xludf.DUMMYFUNCTION("""COMPUTED_VALUE"""),0.280193236714975)</f>
        <v>0.2801932367</v>
      </c>
      <c r="O183" s="16">
        <f>IFERROR(__xludf.DUMMYFUNCTION("""COMPUTED_VALUE"""),0.22754491017964)</f>
        <v>0.2275449102</v>
      </c>
      <c r="P183" s="16">
        <f>IFERROR(__xludf.DUMMYFUNCTION("""COMPUTED_VALUE"""),0.0)</f>
        <v>0</v>
      </c>
      <c r="Q183" s="16">
        <f>IFERROR(__xludf.DUMMYFUNCTION("""COMPUTED_VALUE"""),0.0)</f>
        <v>0</v>
      </c>
      <c r="R183" s="16">
        <f>IFERROR(__xludf.DUMMYFUNCTION("""COMPUTED_VALUE"""),0.0)</f>
        <v>0</v>
      </c>
      <c r="S183" s="16">
        <f>IFERROR(__xludf.DUMMYFUNCTION("""COMPUTED_VALUE"""),0.0)</f>
        <v>0</v>
      </c>
      <c r="T183" s="16">
        <f>IFERROR(__xludf.DUMMYFUNCTION("""COMPUTED_VALUE"""),0.0)</f>
        <v>0</v>
      </c>
      <c r="U183" s="16">
        <f>IFERROR(__xludf.DUMMYFUNCTION("""COMPUTED_VALUE"""),0.0)</f>
        <v>0</v>
      </c>
      <c r="V183" s="16">
        <f>IFERROR(__xludf.DUMMYFUNCTION("""COMPUTED_VALUE"""),0.0)</f>
        <v>0</v>
      </c>
      <c r="W183" s="16">
        <f>IFERROR(__xludf.DUMMYFUNCTION("""COMPUTED_VALUE"""),0.0)</f>
        <v>0</v>
      </c>
      <c r="X183" s="16">
        <f>IFERROR(__xludf.DUMMYFUNCTION("""COMPUTED_VALUE"""),0.0)</f>
        <v>0</v>
      </c>
      <c r="Y183" s="16">
        <f>IFERROR(__xludf.DUMMYFUNCTION("""COMPUTED_VALUE"""),0.0)</f>
        <v>0</v>
      </c>
      <c r="Z183" s="16">
        <f>IFERROR(__xludf.DUMMYFUNCTION("""COMPUTED_VALUE"""),0.0)</f>
        <v>0</v>
      </c>
      <c r="AA183" s="16">
        <f>IFERROR(__xludf.DUMMYFUNCTION("""COMPUTED_VALUE"""),0.0)</f>
        <v>0</v>
      </c>
      <c r="AB183" s="16">
        <f>IFERROR(__xludf.DUMMYFUNCTION("""COMPUTED_VALUE"""),0.0)</f>
        <v>0</v>
      </c>
      <c r="AC183" s="16">
        <f>IFERROR(__xludf.DUMMYFUNCTION("""COMPUTED_VALUE"""),0.0)</f>
        <v>0</v>
      </c>
      <c r="AD183" s="16">
        <f>IFERROR(__xludf.DUMMYFUNCTION("""COMPUTED_VALUE"""),0.0)</f>
        <v>0</v>
      </c>
      <c r="AE183" s="16">
        <f>IFERROR(__xludf.DUMMYFUNCTION("""COMPUTED_VALUE"""),0.0)</f>
        <v>0</v>
      </c>
      <c r="AF183" s="16">
        <f>IFERROR(__xludf.DUMMYFUNCTION("""COMPUTED_VALUE"""),0.0)</f>
        <v>0</v>
      </c>
      <c r="AG183" s="16">
        <f>IFERROR(__xludf.DUMMYFUNCTION("""COMPUTED_VALUE"""),0.0)</f>
        <v>0</v>
      </c>
      <c r="AH183" s="16">
        <f>IFERROR(__xludf.DUMMYFUNCTION("""COMPUTED_VALUE"""),0.0)</f>
        <v>0</v>
      </c>
    </row>
    <row r="184">
      <c r="A184" s="16" t="str">
        <f>IFERROR(__xludf.DUMMYFUNCTION("""COMPUTED_VALUE"""),"a0f8c5bd5bdb02bdaa499febc39e36611127769b")</f>
        <v>a0f8c5bd5bdb02bdaa499febc39e36611127769b</v>
      </c>
      <c r="B184" s="16" t="str">
        <f>IFERROR(__xludf.DUMMYFUNCTION("""COMPUTED_VALUE"""),"The Wedding He Stole")</f>
        <v>The Wedding He Stole</v>
      </c>
      <c r="C184" s="16" t="str">
        <f>IFERROR(__xludf.DUMMYFUNCTION("""COMPUTED_VALUE"""),"Romance")</f>
        <v>Romance</v>
      </c>
      <c r="D184" s="16">
        <f>IFERROR(__xludf.DUMMYFUNCTION("""COMPUTED_VALUE"""),577.0)</f>
        <v>577</v>
      </c>
      <c r="E184" s="16">
        <f>IFERROR(__xludf.DUMMYFUNCTION("""COMPUTED_VALUE"""),0.944540727902946)</f>
        <v>0.9445407279</v>
      </c>
      <c r="F184" s="16">
        <f>IFERROR(__xludf.DUMMYFUNCTION("""COMPUTED_VALUE"""),0.679376083188908)</f>
        <v>0.6793760832</v>
      </c>
      <c r="G184" s="16">
        <f>IFERROR(__xludf.DUMMYFUNCTION("""COMPUTED_VALUE"""),0.651646447140381)</f>
        <v>0.6516464471</v>
      </c>
      <c r="H184" s="16">
        <f>IFERROR(__xludf.DUMMYFUNCTION("""COMPUTED_VALUE"""),0.623916811091854)</f>
        <v>0.6239168111</v>
      </c>
      <c r="I184" s="16">
        <f>IFERROR(__xludf.DUMMYFUNCTION("""COMPUTED_VALUE"""),0.571923743500866)</f>
        <v>0.5719237435</v>
      </c>
      <c r="J184" s="16">
        <f>IFERROR(__xludf.DUMMYFUNCTION("""COMPUTED_VALUE"""),0.466204506065857)</f>
        <v>0.4662045061</v>
      </c>
      <c r="K184" s="16">
        <f>IFERROR(__xludf.DUMMYFUNCTION("""COMPUTED_VALUE"""),0.424610051993067)</f>
        <v>0.424610052</v>
      </c>
      <c r="L184" s="16">
        <f>IFERROR(__xludf.DUMMYFUNCTION("""COMPUTED_VALUE"""),0.409407665505226)</f>
        <v>0.4094076655</v>
      </c>
      <c r="M184" s="16">
        <f>IFERROR(__xludf.DUMMYFUNCTION("""COMPUTED_VALUE"""),0.337979094076655)</f>
        <v>0.3379790941</v>
      </c>
      <c r="N184" s="16">
        <f>IFERROR(__xludf.DUMMYFUNCTION("""COMPUTED_VALUE"""),0.309440559440559)</f>
        <v>0.3094405594</v>
      </c>
      <c r="O184" s="16">
        <f>IFERROR(__xludf.DUMMYFUNCTION("""COMPUTED_VALUE"""),0.227353463587921)</f>
        <v>0.2273534636</v>
      </c>
      <c r="P184" s="16">
        <f>IFERROR(__xludf.DUMMYFUNCTION("""COMPUTED_VALUE"""),0.112050739957716)</f>
        <v>0.11205074</v>
      </c>
      <c r="Q184" s="16">
        <f>IFERROR(__xludf.DUMMYFUNCTION("""COMPUTED_VALUE"""),0.0)</f>
        <v>0</v>
      </c>
      <c r="R184" s="16">
        <f>IFERROR(__xludf.DUMMYFUNCTION("""COMPUTED_VALUE"""),0.0)</f>
        <v>0</v>
      </c>
      <c r="S184" s="16">
        <f>IFERROR(__xludf.DUMMYFUNCTION("""COMPUTED_VALUE"""),0.0)</f>
        <v>0</v>
      </c>
      <c r="T184" s="16">
        <f>IFERROR(__xludf.DUMMYFUNCTION("""COMPUTED_VALUE"""),0.0)</f>
        <v>0</v>
      </c>
      <c r="U184" s="16">
        <f>IFERROR(__xludf.DUMMYFUNCTION("""COMPUTED_VALUE"""),0.0)</f>
        <v>0</v>
      </c>
      <c r="V184" s="16">
        <f>IFERROR(__xludf.DUMMYFUNCTION("""COMPUTED_VALUE"""),0.0)</f>
        <v>0</v>
      </c>
      <c r="W184" s="16">
        <f>IFERROR(__xludf.DUMMYFUNCTION("""COMPUTED_VALUE"""),0.0)</f>
        <v>0</v>
      </c>
      <c r="X184" s="16">
        <f>IFERROR(__xludf.DUMMYFUNCTION("""COMPUTED_VALUE"""),0.0)</f>
        <v>0</v>
      </c>
      <c r="Y184" s="16">
        <f>IFERROR(__xludf.DUMMYFUNCTION("""COMPUTED_VALUE"""),0.0)</f>
        <v>0</v>
      </c>
      <c r="Z184" s="16">
        <f>IFERROR(__xludf.DUMMYFUNCTION("""COMPUTED_VALUE"""),0.0)</f>
        <v>0</v>
      </c>
      <c r="AA184" s="16">
        <f>IFERROR(__xludf.DUMMYFUNCTION("""COMPUTED_VALUE"""),0.0)</f>
        <v>0</v>
      </c>
      <c r="AB184" s="16">
        <f>IFERROR(__xludf.DUMMYFUNCTION("""COMPUTED_VALUE"""),0.0)</f>
        <v>0</v>
      </c>
      <c r="AC184" s="16">
        <f>IFERROR(__xludf.DUMMYFUNCTION("""COMPUTED_VALUE"""),0.0)</f>
        <v>0</v>
      </c>
      <c r="AD184" s="16">
        <f>IFERROR(__xludf.DUMMYFUNCTION("""COMPUTED_VALUE"""),0.0)</f>
        <v>0</v>
      </c>
      <c r="AE184" s="16">
        <f>IFERROR(__xludf.DUMMYFUNCTION("""COMPUTED_VALUE"""),0.0)</f>
        <v>0</v>
      </c>
      <c r="AF184" s="16">
        <f>IFERROR(__xludf.DUMMYFUNCTION("""COMPUTED_VALUE"""),0.0)</f>
        <v>0</v>
      </c>
      <c r="AG184" s="16">
        <f>IFERROR(__xludf.DUMMYFUNCTION("""COMPUTED_VALUE"""),0.0)</f>
        <v>0</v>
      </c>
      <c r="AH184" s="16">
        <f>IFERROR(__xludf.DUMMYFUNCTION("""COMPUTED_VALUE"""),0.0)</f>
        <v>0</v>
      </c>
    </row>
    <row r="185">
      <c r="A185" s="16" t="str">
        <f>IFERROR(__xludf.DUMMYFUNCTION("""COMPUTED_VALUE"""),"a177a4f320c3acde252f084dc28be041cb221596")</f>
        <v>a177a4f320c3acde252f084dc28be041cb221596</v>
      </c>
      <c r="B185" s="16" t="str">
        <f>IFERROR(__xludf.DUMMYFUNCTION("""COMPUTED_VALUE"""),"The Boy With No Magic")</f>
        <v>The Boy With No Magic</v>
      </c>
      <c r="C185" s="16" t="str">
        <f>IFERROR(__xludf.DUMMYFUNCTION("""COMPUTED_VALUE"""),"Fantasy")</f>
        <v>Fantasy</v>
      </c>
      <c r="D185" s="16">
        <f>IFERROR(__xludf.DUMMYFUNCTION("""COMPUTED_VALUE"""),99.0)</f>
        <v>99</v>
      </c>
      <c r="E185" s="16">
        <f>IFERROR(__xludf.DUMMYFUNCTION("""COMPUTED_VALUE"""),0.969696969696969)</f>
        <v>0.9696969697</v>
      </c>
      <c r="F185" s="16">
        <f>IFERROR(__xludf.DUMMYFUNCTION("""COMPUTED_VALUE"""),0.545454545454545)</f>
        <v>0.5454545455</v>
      </c>
      <c r="G185" s="16">
        <f>IFERROR(__xludf.DUMMYFUNCTION("""COMPUTED_VALUE"""),0.464646464646464)</f>
        <v>0.4646464646</v>
      </c>
      <c r="H185" s="16">
        <f>IFERROR(__xludf.DUMMYFUNCTION("""COMPUTED_VALUE"""),0.357142857142857)</f>
        <v>0.3571428571</v>
      </c>
      <c r="I185" s="16">
        <f>IFERROR(__xludf.DUMMYFUNCTION("""COMPUTED_VALUE"""),0.309278350515463)</f>
        <v>0.3092783505</v>
      </c>
      <c r="J185" s="16">
        <f>IFERROR(__xludf.DUMMYFUNCTION("""COMPUTED_VALUE"""),0.311827956989247)</f>
        <v>0.311827957</v>
      </c>
      <c r="K185" s="16">
        <f>IFERROR(__xludf.DUMMYFUNCTION("""COMPUTED_VALUE"""),0.311111111111111)</f>
        <v>0.3111111111</v>
      </c>
      <c r="L185" s="16">
        <f>IFERROR(__xludf.DUMMYFUNCTION("""COMPUTED_VALUE"""),0.295454545454545)</f>
        <v>0.2954545455</v>
      </c>
      <c r="M185" s="16">
        <f>IFERROR(__xludf.DUMMYFUNCTION("""COMPUTED_VALUE"""),0.275862068965517)</f>
        <v>0.275862069</v>
      </c>
      <c r="N185" s="16">
        <f>IFERROR(__xludf.DUMMYFUNCTION("""COMPUTED_VALUE"""),0.261904761904761)</f>
        <v>0.2619047619</v>
      </c>
      <c r="O185" s="16">
        <f>IFERROR(__xludf.DUMMYFUNCTION("""COMPUTED_VALUE"""),0.2375)</f>
        <v>0.2375</v>
      </c>
      <c r="P185" s="16">
        <f>IFERROR(__xludf.DUMMYFUNCTION("""COMPUTED_VALUE"""),0.17391304347826)</f>
        <v>0.1739130435</v>
      </c>
      <c r="Q185" s="16">
        <f>IFERROR(__xludf.DUMMYFUNCTION("""COMPUTED_VALUE"""),0.0)</f>
        <v>0</v>
      </c>
      <c r="R185" s="16">
        <f>IFERROR(__xludf.DUMMYFUNCTION("""COMPUTED_VALUE"""),0.0)</f>
        <v>0</v>
      </c>
      <c r="S185" s="16">
        <f>IFERROR(__xludf.DUMMYFUNCTION("""COMPUTED_VALUE"""),0.0)</f>
        <v>0</v>
      </c>
      <c r="T185" s="16">
        <f>IFERROR(__xludf.DUMMYFUNCTION("""COMPUTED_VALUE"""),0.0)</f>
        <v>0</v>
      </c>
      <c r="U185" s="16">
        <f>IFERROR(__xludf.DUMMYFUNCTION("""COMPUTED_VALUE"""),0.0)</f>
        <v>0</v>
      </c>
      <c r="V185" s="16">
        <f>IFERROR(__xludf.DUMMYFUNCTION("""COMPUTED_VALUE"""),0.0)</f>
        <v>0</v>
      </c>
      <c r="W185" s="16">
        <f>IFERROR(__xludf.DUMMYFUNCTION("""COMPUTED_VALUE"""),0.0)</f>
        <v>0</v>
      </c>
      <c r="X185" s="16">
        <f>IFERROR(__xludf.DUMMYFUNCTION("""COMPUTED_VALUE"""),0.0)</f>
        <v>0</v>
      </c>
      <c r="Y185" s="16">
        <f>IFERROR(__xludf.DUMMYFUNCTION("""COMPUTED_VALUE"""),0.0)</f>
        <v>0</v>
      </c>
      <c r="Z185" s="16">
        <f>IFERROR(__xludf.DUMMYFUNCTION("""COMPUTED_VALUE"""),0.0)</f>
        <v>0</v>
      </c>
      <c r="AA185" s="16">
        <f>IFERROR(__xludf.DUMMYFUNCTION("""COMPUTED_VALUE"""),0.0)</f>
        <v>0</v>
      </c>
      <c r="AB185" s="16">
        <f>IFERROR(__xludf.DUMMYFUNCTION("""COMPUTED_VALUE"""),0.0)</f>
        <v>0</v>
      </c>
      <c r="AC185" s="16">
        <f>IFERROR(__xludf.DUMMYFUNCTION("""COMPUTED_VALUE"""),0.0)</f>
        <v>0</v>
      </c>
      <c r="AD185" s="16">
        <f>IFERROR(__xludf.DUMMYFUNCTION("""COMPUTED_VALUE"""),0.0)</f>
        <v>0</v>
      </c>
      <c r="AE185" s="16">
        <f>IFERROR(__xludf.DUMMYFUNCTION("""COMPUTED_VALUE"""),0.0)</f>
        <v>0</v>
      </c>
      <c r="AF185" s="16">
        <f>IFERROR(__xludf.DUMMYFUNCTION("""COMPUTED_VALUE"""),0.0)</f>
        <v>0</v>
      </c>
      <c r="AG185" s="16">
        <f>IFERROR(__xludf.DUMMYFUNCTION("""COMPUTED_VALUE"""),0.0)</f>
        <v>0</v>
      </c>
      <c r="AH185" s="16">
        <f>IFERROR(__xludf.DUMMYFUNCTION("""COMPUTED_VALUE"""),0.0)</f>
        <v>0</v>
      </c>
    </row>
    <row r="186">
      <c r="A186" s="16" t="str">
        <f>IFERROR(__xludf.DUMMYFUNCTION("""COMPUTED_VALUE"""),"a20d15b2c087672afecf4c46baa7e9368a4cbb9f")</f>
        <v>a20d15b2c087672afecf4c46baa7e9368a4cbb9f</v>
      </c>
      <c r="B186" s="16" t="str">
        <f>IFERROR(__xludf.DUMMYFUNCTION("""COMPUTED_VALUE"""),"Secrets and Bloodline")</f>
        <v>Secrets and Bloodline</v>
      </c>
      <c r="C186" s="16" t="str">
        <f>IFERROR(__xludf.DUMMYFUNCTION("""COMPUTED_VALUE"""),"Romance")</f>
        <v>Romance</v>
      </c>
      <c r="D186" s="16">
        <f>IFERROR(__xludf.DUMMYFUNCTION("""COMPUTED_VALUE"""),142.0)</f>
        <v>142</v>
      </c>
      <c r="E186" s="16">
        <f>IFERROR(__xludf.DUMMYFUNCTION("""COMPUTED_VALUE"""),0.936619718309859)</f>
        <v>0.9366197183</v>
      </c>
      <c r="F186" s="16">
        <f>IFERROR(__xludf.DUMMYFUNCTION("""COMPUTED_VALUE"""),0.507042253521126)</f>
        <v>0.5070422535</v>
      </c>
      <c r="G186" s="16">
        <f>IFERROR(__xludf.DUMMYFUNCTION("""COMPUTED_VALUE"""),0.485915492957746)</f>
        <v>0.485915493</v>
      </c>
      <c r="H186" s="16">
        <f>IFERROR(__xludf.DUMMYFUNCTION("""COMPUTED_VALUE"""),0.375886524822695)</f>
        <v>0.3758865248</v>
      </c>
      <c r="I186" s="16">
        <f>IFERROR(__xludf.DUMMYFUNCTION("""COMPUTED_VALUE"""),0.355072463768115)</f>
        <v>0.3550724638</v>
      </c>
      <c r="J186" s="16">
        <f>IFERROR(__xludf.DUMMYFUNCTION("""COMPUTED_VALUE"""),0.295454545454545)</f>
        <v>0.2954545455</v>
      </c>
      <c r="K186" s="16">
        <f>IFERROR(__xludf.DUMMYFUNCTION("""COMPUTED_VALUE"""),0.2734375)</f>
        <v>0.2734375</v>
      </c>
      <c r="L186" s="16">
        <f>IFERROR(__xludf.DUMMYFUNCTION("""COMPUTED_VALUE"""),0.274193548387096)</f>
        <v>0.2741935484</v>
      </c>
      <c r="M186" s="16">
        <f>IFERROR(__xludf.DUMMYFUNCTION("""COMPUTED_VALUE"""),0.279661016949152)</f>
        <v>0.2796610169</v>
      </c>
      <c r="N186" s="16">
        <f>IFERROR(__xludf.DUMMYFUNCTION("""COMPUTED_VALUE"""),0.285714285714285)</f>
        <v>0.2857142857</v>
      </c>
      <c r="O186" s="16">
        <f>IFERROR(__xludf.DUMMYFUNCTION("""COMPUTED_VALUE"""),0.275862068965517)</f>
        <v>0.275862069</v>
      </c>
      <c r="P186" s="16">
        <f>IFERROR(__xludf.DUMMYFUNCTION("""COMPUTED_VALUE"""),0.304347826086956)</f>
        <v>0.3043478261</v>
      </c>
      <c r="Q186" s="16">
        <f>IFERROR(__xludf.DUMMYFUNCTION("""COMPUTED_VALUE"""),0.151515151515151)</f>
        <v>0.1515151515</v>
      </c>
      <c r="R186" s="16">
        <f>IFERROR(__xludf.DUMMYFUNCTION("""COMPUTED_VALUE"""),0.0)</f>
        <v>0</v>
      </c>
      <c r="S186" s="16">
        <f>IFERROR(__xludf.DUMMYFUNCTION("""COMPUTED_VALUE"""),0.0)</f>
        <v>0</v>
      </c>
      <c r="T186" s="16">
        <f>IFERROR(__xludf.DUMMYFUNCTION("""COMPUTED_VALUE"""),0.0)</f>
        <v>0</v>
      </c>
      <c r="U186" s="16">
        <f>IFERROR(__xludf.DUMMYFUNCTION("""COMPUTED_VALUE"""),0.0)</f>
        <v>0</v>
      </c>
      <c r="V186" s="16">
        <f>IFERROR(__xludf.DUMMYFUNCTION("""COMPUTED_VALUE"""),0.0)</f>
        <v>0</v>
      </c>
      <c r="W186" s="16">
        <f>IFERROR(__xludf.DUMMYFUNCTION("""COMPUTED_VALUE"""),0.0)</f>
        <v>0</v>
      </c>
      <c r="X186" s="16">
        <f>IFERROR(__xludf.DUMMYFUNCTION("""COMPUTED_VALUE"""),0.0)</f>
        <v>0</v>
      </c>
      <c r="Y186" s="16">
        <f>IFERROR(__xludf.DUMMYFUNCTION("""COMPUTED_VALUE"""),0.0)</f>
        <v>0</v>
      </c>
      <c r="Z186" s="16">
        <f>IFERROR(__xludf.DUMMYFUNCTION("""COMPUTED_VALUE"""),0.0)</f>
        <v>0</v>
      </c>
      <c r="AA186" s="16">
        <f>IFERROR(__xludf.DUMMYFUNCTION("""COMPUTED_VALUE"""),0.0)</f>
        <v>0</v>
      </c>
      <c r="AB186" s="16">
        <f>IFERROR(__xludf.DUMMYFUNCTION("""COMPUTED_VALUE"""),0.0)</f>
        <v>0</v>
      </c>
      <c r="AC186" s="16">
        <f>IFERROR(__xludf.DUMMYFUNCTION("""COMPUTED_VALUE"""),0.0)</f>
        <v>0</v>
      </c>
      <c r="AD186" s="16">
        <f>IFERROR(__xludf.DUMMYFUNCTION("""COMPUTED_VALUE"""),0.0)</f>
        <v>0</v>
      </c>
      <c r="AE186" s="16">
        <f>IFERROR(__xludf.DUMMYFUNCTION("""COMPUTED_VALUE"""),0.0)</f>
        <v>0</v>
      </c>
      <c r="AF186" s="16">
        <f>IFERROR(__xludf.DUMMYFUNCTION("""COMPUTED_VALUE"""),0.0)</f>
        <v>0</v>
      </c>
      <c r="AG186" s="16">
        <f>IFERROR(__xludf.DUMMYFUNCTION("""COMPUTED_VALUE"""),0.0)</f>
        <v>0</v>
      </c>
      <c r="AH186" s="16">
        <f>IFERROR(__xludf.DUMMYFUNCTION("""COMPUTED_VALUE"""),0.0)</f>
        <v>0</v>
      </c>
    </row>
    <row r="187">
      <c r="A187" s="16" t="str">
        <f>IFERROR(__xludf.DUMMYFUNCTION("""COMPUTED_VALUE"""),"a3d40a3745a853e245e802a317e3934318836a28")</f>
        <v>a3d40a3745a853e245e802a317e3934318836a28</v>
      </c>
      <c r="B187" s="16" t="str">
        <f>IFERROR(__xludf.DUMMYFUNCTION("""COMPUTED_VALUE"""),"The Amazing Idiot Man")</f>
        <v>The Amazing Idiot Man</v>
      </c>
      <c r="C187" s="16" t="str">
        <f>IFERROR(__xludf.DUMMYFUNCTION("""COMPUTED_VALUE"""),"Drama")</f>
        <v>Drama</v>
      </c>
      <c r="D187" s="16">
        <f>IFERROR(__xludf.DUMMYFUNCTION("""COMPUTED_VALUE"""),141.0)</f>
        <v>141</v>
      </c>
      <c r="E187" s="16">
        <f>IFERROR(__xludf.DUMMYFUNCTION("""COMPUTED_VALUE"""),0.936170212765957)</f>
        <v>0.9361702128</v>
      </c>
      <c r="F187" s="16">
        <f>IFERROR(__xludf.DUMMYFUNCTION("""COMPUTED_VALUE"""),0.425531914893617)</f>
        <v>0.4255319149</v>
      </c>
      <c r="G187" s="16">
        <f>IFERROR(__xludf.DUMMYFUNCTION("""COMPUTED_VALUE"""),0.382978723404255)</f>
        <v>0.3829787234</v>
      </c>
      <c r="H187" s="16">
        <f>IFERROR(__xludf.DUMMYFUNCTION("""COMPUTED_VALUE"""),0.347517730496453)</f>
        <v>0.3475177305</v>
      </c>
      <c r="I187" s="16">
        <f>IFERROR(__xludf.DUMMYFUNCTION("""COMPUTED_VALUE"""),0.319148936170212)</f>
        <v>0.3191489362</v>
      </c>
      <c r="J187" s="16">
        <f>IFERROR(__xludf.DUMMYFUNCTION("""COMPUTED_VALUE"""),0.312056737588652)</f>
        <v>0.3120567376</v>
      </c>
      <c r="K187" s="16">
        <f>IFERROR(__xludf.DUMMYFUNCTION("""COMPUTED_VALUE"""),0.297872340425531)</f>
        <v>0.2978723404</v>
      </c>
      <c r="L187" s="16">
        <f>IFERROR(__xludf.DUMMYFUNCTION("""COMPUTED_VALUE"""),0.3)</f>
        <v>0.3</v>
      </c>
      <c r="M187" s="16">
        <f>IFERROR(__xludf.DUMMYFUNCTION("""COMPUTED_VALUE"""),0.285714285714285)</f>
        <v>0.2857142857</v>
      </c>
      <c r="N187" s="16">
        <f>IFERROR(__xludf.DUMMYFUNCTION("""COMPUTED_VALUE"""),0.264285714285714)</f>
        <v>0.2642857143</v>
      </c>
      <c r="O187" s="16">
        <f>IFERROR(__xludf.DUMMYFUNCTION("""COMPUTED_VALUE"""),0.171428571428571)</f>
        <v>0.1714285714</v>
      </c>
      <c r="P187" s="16">
        <f>IFERROR(__xludf.DUMMYFUNCTION("""COMPUTED_VALUE"""),0.114503816793893)</f>
        <v>0.1145038168</v>
      </c>
      <c r="Q187" s="16">
        <f>IFERROR(__xludf.DUMMYFUNCTION("""COMPUTED_VALUE"""),0.25)</f>
        <v>0.25</v>
      </c>
      <c r="R187" s="16">
        <f>IFERROR(__xludf.DUMMYFUNCTION("""COMPUTED_VALUE"""),0.0)</f>
        <v>0</v>
      </c>
      <c r="S187" s="16">
        <f>IFERROR(__xludf.DUMMYFUNCTION("""COMPUTED_VALUE"""),0.0)</f>
        <v>0</v>
      </c>
      <c r="T187" s="16">
        <f>IFERROR(__xludf.DUMMYFUNCTION("""COMPUTED_VALUE"""),0.0)</f>
        <v>0</v>
      </c>
      <c r="U187" s="16">
        <f>IFERROR(__xludf.DUMMYFUNCTION("""COMPUTED_VALUE"""),0.0)</f>
        <v>0</v>
      </c>
      <c r="V187" s="16">
        <f>IFERROR(__xludf.DUMMYFUNCTION("""COMPUTED_VALUE"""),0.0)</f>
        <v>0</v>
      </c>
      <c r="W187" s="16">
        <f>IFERROR(__xludf.DUMMYFUNCTION("""COMPUTED_VALUE"""),0.0)</f>
        <v>0</v>
      </c>
      <c r="X187" s="16">
        <f>IFERROR(__xludf.DUMMYFUNCTION("""COMPUTED_VALUE"""),0.0)</f>
        <v>0</v>
      </c>
      <c r="Y187" s="16">
        <f>IFERROR(__xludf.DUMMYFUNCTION("""COMPUTED_VALUE"""),0.0)</f>
        <v>0</v>
      </c>
      <c r="Z187" s="16">
        <f>IFERROR(__xludf.DUMMYFUNCTION("""COMPUTED_VALUE"""),0.0)</f>
        <v>0</v>
      </c>
      <c r="AA187" s="16">
        <f>IFERROR(__xludf.DUMMYFUNCTION("""COMPUTED_VALUE"""),0.0)</f>
        <v>0</v>
      </c>
      <c r="AB187" s="16">
        <f>IFERROR(__xludf.DUMMYFUNCTION("""COMPUTED_VALUE"""),0.0)</f>
        <v>0</v>
      </c>
      <c r="AC187" s="16">
        <f>IFERROR(__xludf.DUMMYFUNCTION("""COMPUTED_VALUE"""),0.0)</f>
        <v>0</v>
      </c>
      <c r="AD187" s="16">
        <f>IFERROR(__xludf.DUMMYFUNCTION("""COMPUTED_VALUE"""),0.0)</f>
        <v>0</v>
      </c>
      <c r="AE187" s="16">
        <f>IFERROR(__xludf.DUMMYFUNCTION("""COMPUTED_VALUE"""),0.0)</f>
        <v>0</v>
      </c>
      <c r="AF187" s="16">
        <f>IFERROR(__xludf.DUMMYFUNCTION("""COMPUTED_VALUE"""),0.0)</f>
        <v>0</v>
      </c>
      <c r="AG187" s="16">
        <f>IFERROR(__xludf.DUMMYFUNCTION("""COMPUTED_VALUE"""),0.0)</f>
        <v>0</v>
      </c>
      <c r="AH187" s="16">
        <f>IFERROR(__xludf.DUMMYFUNCTION("""COMPUTED_VALUE"""),0.0)</f>
        <v>0</v>
      </c>
    </row>
    <row r="188">
      <c r="A188" s="16" t="str">
        <f>IFERROR(__xludf.DUMMYFUNCTION("""COMPUTED_VALUE"""),"a48f5e77f994307c8a39968302f28c62b0c654af")</f>
        <v>a48f5e77f994307c8a39968302f28c62b0c654af</v>
      </c>
      <c r="B188" s="16" t="str">
        <f>IFERROR(__xludf.DUMMYFUNCTION("""COMPUTED_VALUE"""),"Battle Master")</f>
        <v>Battle Master</v>
      </c>
      <c r="C188" s="16" t="str">
        <f>IFERROR(__xludf.DUMMYFUNCTION("""COMPUTED_VALUE"""),"Fantasy")</f>
        <v>Fantasy</v>
      </c>
      <c r="D188" s="16">
        <f>IFERROR(__xludf.DUMMYFUNCTION("""COMPUTED_VALUE"""),69.0)</f>
        <v>69</v>
      </c>
      <c r="E188" s="16">
        <f>IFERROR(__xludf.DUMMYFUNCTION("""COMPUTED_VALUE"""),0.985507246376811)</f>
        <v>0.9855072464</v>
      </c>
      <c r="F188" s="16">
        <f>IFERROR(__xludf.DUMMYFUNCTION("""COMPUTED_VALUE"""),0.550724637681159)</f>
        <v>0.5507246377</v>
      </c>
      <c r="G188" s="16">
        <f>IFERROR(__xludf.DUMMYFUNCTION("""COMPUTED_VALUE"""),0.550724637681159)</f>
        <v>0.5507246377</v>
      </c>
      <c r="H188" s="16">
        <f>IFERROR(__xludf.DUMMYFUNCTION("""COMPUTED_VALUE"""),0.492753623188405)</f>
        <v>0.4927536232</v>
      </c>
      <c r="I188" s="16">
        <f>IFERROR(__xludf.DUMMYFUNCTION("""COMPUTED_VALUE"""),0.469696969696969)</f>
        <v>0.4696969697</v>
      </c>
      <c r="J188" s="16">
        <f>IFERROR(__xludf.DUMMYFUNCTION("""COMPUTED_VALUE"""),0.442622950819672)</f>
        <v>0.4426229508</v>
      </c>
      <c r="K188" s="16">
        <f>IFERROR(__xludf.DUMMYFUNCTION("""COMPUTED_VALUE"""),0.38)</f>
        <v>0.38</v>
      </c>
      <c r="L188" s="16">
        <f>IFERROR(__xludf.DUMMYFUNCTION("""COMPUTED_VALUE"""),0.325)</f>
        <v>0.325</v>
      </c>
      <c r="M188" s="16">
        <f>IFERROR(__xludf.DUMMYFUNCTION("""COMPUTED_VALUE"""),0.228571428571428)</f>
        <v>0.2285714286</v>
      </c>
      <c r="N188" s="16">
        <f>IFERROR(__xludf.DUMMYFUNCTION("""COMPUTED_VALUE"""),0.227272727272727)</f>
        <v>0.2272727273</v>
      </c>
      <c r="O188" s="16">
        <f>IFERROR(__xludf.DUMMYFUNCTION("""COMPUTED_VALUE"""),0.166666666666666)</f>
        <v>0.1666666667</v>
      </c>
      <c r="P188" s="16">
        <f>IFERROR(__xludf.DUMMYFUNCTION("""COMPUTED_VALUE"""),0.0)</f>
        <v>0</v>
      </c>
      <c r="Q188" s="16">
        <f>IFERROR(__xludf.DUMMYFUNCTION("""COMPUTED_VALUE"""),0.0)</f>
        <v>0</v>
      </c>
      <c r="R188" s="16">
        <f>IFERROR(__xludf.DUMMYFUNCTION("""COMPUTED_VALUE"""),0.0)</f>
        <v>0</v>
      </c>
      <c r="S188" s="16">
        <f>IFERROR(__xludf.DUMMYFUNCTION("""COMPUTED_VALUE"""),0.0)</f>
        <v>0</v>
      </c>
      <c r="T188" s="16">
        <f>IFERROR(__xludf.DUMMYFUNCTION("""COMPUTED_VALUE"""),0.0)</f>
        <v>0</v>
      </c>
      <c r="U188" s="16">
        <f>IFERROR(__xludf.DUMMYFUNCTION("""COMPUTED_VALUE"""),0.0)</f>
        <v>0</v>
      </c>
      <c r="V188" s="16">
        <f>IFERROR(__xludf.DUMMYFUNCTION("""COMPUTED_VALUE"""),0.0)</f>
        <v>0</v>
      </c>
      <c r="W188" s="16">
        <f>IFERROR(__xludf.DUMMYFUNCTION("""COMPUTED_VALUE"""),0.0)</f>
        <v>0</v>
      </c>
      <c r="X188" s="16">
        <f>IFERROR(__xludf.DUMMYFUNCTION("""COMPUTED_VALUE"""),0.0)</f>
        <v>0</v>
      </c>
      <c r="Y188" s="16">
        <f>IFERROR(__xludf.DUMMYFUNCTION("""COMPUTED_VALUE"""),0.0)</f>
        <v>0</v>
      </c>
      <c r="Z188" s="16">
        <f>IFERROR(__xludf.DUMMYFUNCTION("""COMPUTED_VALUE"""),0.0)</f>
        <v>0</v>
      </c>
      <c r="AA188" s="16">
        <f>IFERROR(__xludf.DUMMYFUNCTION("""COMPUTED_VALUE"""),0.0)</f>
        <v>0</v>
      </c>
      <c r="AB188" s="16">
        <f>IFERROR(__xludf.DUMMYFUNCTION("""COMPUTED_VALUE"""),0.0)</f>
        <v>0</v>
      </c>
      <c r="AC188" s="16">
        <f>IFERROR(__xludf.DUMMYFUNCTION("""COMPUTED_VALUE"""),0.0)</f>
        <v>0</v>
      </c>
      <c r="AD188" s="16">
        <f>IFERROR(__xludf.DUMMYFUNCTION("""COMPUTED_VALUE"""),0.0)</f>
        <v>0</v>
      </c>
      <c r="AE188" s="16">
        <f>IFERROR(__xludf.DUMMYFUNCTION("""COMPUTED_VALUE"""),0.0)</f>
        <v>0</v>
      </c>
      <c r="AF188" s="16">
        <f>IFERROR(__xludf.DUMMYFUNCTION("""COMPUTED_VALUE"""),0.0)</f>
        <v>0</v>
      </c>
      <c r="AG188" s="16">
        <f>IFERROR(__xludf.DUMMYFUNCTION("""COMPUTED_VALUE"""),0.0)</f>
        <v>0</v>
      </c>
      <c r="AH188" s="16">
        <f>IFERROR(__xludf.DUMMYFUNCTION("""COMPUTED_VALUE"""),0.0)</f>
        <v>0</v>
      </c>
    </row>
    <row r="189">
      <c r="A189" s="16" t="str">
        <f>IFERROR(__xludf.DUMMYFUNCTION("""COMPUTED_VALUE"""),"a4dd4053a025d38e2c0410dbcf348862c41c4c5b")</f>
        <v>a4dd4053a025d38e2c0410dbcf348862c41c4c5b</v>
      </c>
      <c r="B189" s="16" t="str">
        <f>IFERROR(__xludf.DUMMYFUNCTION("""COMPUTED_VALUE"""),"Twin Betrayal, Enemy Love")</f>
        <v>Twin Betrayal, Enemy Love</v>
      </c>
      <c r="C189" s="16" t="str">
        <f>IFERROR(__xludf.DUMMYFUNCTION("""COMPUTED_VALUE"""),"Romance")</f>
        <v>Romance</v>
      </c>
      <c r="D189" s="16">
        <f>IFERROR(__xludf.DUMMYFUNCTION("""COMPUTED_VALUE"""),1046.0)</f>
        <v>1046</v>
      </c>
      <c r="E189" s="16">
        <f>IFERROR(__xludf.DUMMYFUNCTION("""COMPUTED_VALUE"""),0.941682600382409)</f>
        <v>0.9416826004</v>
      </c>
      <c r="F189" s="16">
        <f>IFERROR(__xludf.DUMMYFUNCTION("""COMPUTED_VALUE"""),0.568833652007648)</f>
        <v>0.568833652</v>
      </c>
      <c r="G189" s="16">
        <f>IFERROR(__xludf.DUMMYFUNCTION("""COMPUTED_VALUE"""),0.5)</f>
        <v>0.5</v>
      </c>
      <c r="H189" s="16">
        <f>IFERROR(__xludf.DUMMYFUNCTION("""COMPUTED_VALUE"""),0.47227533460803)</f>
        <v>0.4722753346</v>
      </c>
      <c r="I189" s="16">
        <f>IFERROR(__xludf.DUMMYFUNCTION("""COMPUTED_VALUE"""),0.457416267942583)</f>
        <v>0.4574162679</v>
      </c>
      <c r="J189" s="16">
        <f>IFERROR(__xludf.DUMMYFUNCTION("""COMPUTED_VALUE"""),0.413397129186602)</f>
        <v>0.4133971292</v>
      </c>
      <c r="K189" s="16">
        <f>IFERROR(__xludf.DUMMYFUNCTION("""COMPUTED_VALUE"""),0.385057471264367)</f>
        <v>0.3850574713</v>
      </c>
      <c r="L189" s="16">
        <f>IFERROR(__xludf.DUMMYFUNCTION("""COMPUTED_VALUE"""),0.367816091954023)</f>
        <v>0.367816092</v>
      </c>
      <c r="M189" s="16">
        <f>IFERROR(__xludf.DUMMYFUNCTION("""COMPUTED_VALUE"""),0.343240651965484)</f>
        <v>0.343240652</v>
      </c>
      <c r="N189" s="16">
        <f>IFERROR(__xludf.DUMMYFUNCTION("""COMPUTED_VALUE"""),0.310642377756471)</f>
        <v>0.3106423778</v>
      </c>
      <c r="O189" s="16">
        <f>IFERROR(__xludf.DUMMYFUNCTION("""COMPUTED_VALUE"""),0.275)</f>
        <v>0.275</v>
      </c>
      <c r="P189" s="16">
        <f>IFERROR(__xludf.DUMMYFUNCTION("""COMPUTED_VALUE"""),0.229941291585127)</f>
        <v>0.2299412916</v>
      </c>
      <c r="Q189" s="16">
        <f>IFERROR(__xludf.DUMMYFUNCTION("""COMPUTED_VALUE"""),0.186991869918699)</f>
        <v>0.1869918699</v>
      </c>
      <c r="R189" s="16">
        <f>IFERROR(__xludf.DUMMYFUNCTION("""COMPUTED_VALUE"""),0.110456553755522)</f>
        <v>0.1104565538</v>
      </c>
      <c r="S189" s="16">
        <f>IFERROR(__xludf.DUMMYFUNCTION("""COMPUTED_VALUE"""),0.0779220779220779)</f>
        <v>0.07792207792</v>
      </c>
      <c r="T189" s="16">
        <f>IFERROR(__xludf.DUMMYFUNCTION("""COMPUTED_VALUE"""),0.0)</f>
        <v>0</v>
      </c>
      <c r="U189" s="16">
        <f>IFERROR(__xludf.DUMMYFUNCTION("""COMPUTED_VALUE"""),0.0)</f>
        <v>0</v>
      </c>
      <c r="V189" s="16">
        <f>IFERROR(__xludf.DUMMYFUNCTION("""COMPUTED_VALUE"""),0.0)</f>
        <v>0</v>
      </c>
      <c r="W189" s="16">
        <f>IFERROR(__xludf.DUMMYFUNCTION("""COMPUTED_VALUE"""),0.0)</f>
        <v>0</v>
      </c>
      <c r="X189" s="16">
        <f>IFERROR(__xludf.DUMMYFUNCTION("""COMPUTED_VALUE"""),0.0)</f>
        <v>0</v>
      </c>
      <c r="Y189" s="16">
        <f>IFERROR(__xludf.DUMMYFUNCTION("""COMPUTED_VALUE"""),0.0)</f>
        <v>0</v>
      </c>
      <c r="Z189" s="16">
        <f>IFERROR(__xludf.DUMMYFUNCTION("""COMPUTED_VALUE"""),0.0)</f>
        <v>0</v>
      </c>
      <c r="AA189" s="16">
        <f>IFERROR(__xludf.DUMMYFUNCTION("""COMPUTED_VALUE"""),0.0)</f>
        <v>0</v>
      </c>
      <c r="AB189" s="16">
        <f>IFERROR(__xludf.DUMMYFUNCTION("""COMPUTED_VALUE"""),0.0)</f>
        <v>0</v>
      </c>
      <c r="AC189" s="16">
        <f>IFERROR(__xludf.DUMMYFUNCTION("""COMPUTED_VALUE"""),0.0)</f>
        <v>0</v>
      </c>
      <c r="AD189" s="16">
        <f>IFERROR(__xludf.DUMMYFUNCTION("""COMPUTED_VALUE"""),0.0)</f>
        <v>0</v>
      </c>
      <c r="AE189" s="16">
        <f>IFERROR(__xludf.DUMMYFUNCTION("""COMPUTED_VALUE"""),0.0)</f>
        <v>0</v>
      </c>
      <c r="AF189" s="16">
        <f>IFERROR(__xludf.DUMMYFUNCTION("""COMPUTED_VALUE"""),0.0)</f>
        <v>0</v>
      </c>
      <c r="AG189" s="16">
        <f>IFERROR(__xludf.DUMMYFUNCTION("""COMPUTED_VALUE"""),0.0)</f>
        <v>0</v>
      </c>
      <c r="AH189" s="16">
        <f>IFERROR(__xludf.DUMMYFUNCTION("""COMPUTED_VALUE"""),0.0)</f>
        <v>0</v>
      </c>
    </row>
    <row r="190">
      <c r="A190" s="16" t="str">
        <f>IFERROR(__xludf.DUMMYFUNCTION("""COMPUTED_VALUE"""),"a6268ee1800866a09bab6b47c61f885556992b45")</f>
        <v>a6268ee1800866a09bab6b47c61f885556992b45</v>
      </c>
      <c r="B190" s="16" t="str">
        <f>IFERROR(__xludf.DUMMYFUNCTION("""COMPUTED_VALUE"""),"The System Creation: Intergalactic Entry")</f>
        <v>The System Creation: Intergalactic Entry</v>
      </c>
      <c r="C190" s="16" t="str">
        <f>IFERROR(__xludf.DUMMYFUNCTION("""COMPUTED_VALUE"""),"System and Superpower")</f>
        <v>System and Superpower</v>
      </c>
      <c r="D190" s="16">
        <f>IFERROR(__xludf.DUMMYFUNCTION("""COMPUTED_VALUE"""),3547.0)</f>
        <v>3547</v>
      </c>
      <c r="E190" s="16">
        <f>IFERROR(__xludf.DUMMYFUNCTION("""COMPUTED_VALUE"""),0.924443191429376)</f>
        <v>0.9244431914</v>
      </c>
      <c r="F190" s="16">
        <f>IFERROR(__xludf.DUMMYFUNCTION("""COMPUTED_VALUE"""),0.354383986467437)</f>
        <v>0.3543839865</v>
      </c>
      <c r="G190" s="16">
        <f>IFERROR(__xludf.DUMMYFUNCTION("""COMPUTED_VALUE"""),0.290386241894558)</f>
        <v>0.2903862419</v>
      </c>
      <c r="H190" s="16">
        <f>IFERROR(__xludf.DUMMYFUNCTION("""COMPUTED_VALUE"""),0.254863264730758)</f>
        <v>0.2548632647</v>
      </c>
      <c r="I190" s="16">
        <f>IFERROR(__xludf.DUMMYFUNCTION("""COMPUTED_VALUE"""),0.236373905676362)</f>
        <v>0.2363739057</v>
      </c>
      <c r="J190" s="16">
        <f>IFERROR(__xludf.DUMMYFUNCTION("""COMPUTED_VALUE"""),0.218705849109918)</f>
        <v>0.2187058491</v>
      </c>
      <c r="K190" s="16">
        <f>IFERROR(__xludf.DUMMYFUNCTION("""COMPUTED_VALUE"""),0.206623266345881)</f>
        <v>0.2066232663</v>
      </c>
      <c r="L190" s="16">
        <f>IFERROR(__xludf.DUMMYFUNCTION("""COMPUTED_VALUE"""),0.1977304964539)</f>
        <v>0.1977304965</v>
      </c>
      <c r="M190" s="16">
        <f>IFERROR(__xludf.DUMMYFUNCTION("""COMPUTED_VALUE"""),0.186204938972466)</f>
        <v>0.186204939</v>
      </c>
      <c r="N190" s="16">
        <f>IFERROR(__xludf.DUMMYFUNCTION("""COMPUTED_VALUE"""),0.171209540034071)</f>
        <v>0.17120954</v>
      </c>
      <c r="O190" s="16">
        <f>IFERROR(__xludf.DUMMYFUNCTION("""COMPUTED_VALUE"""),0.157563625965112)</f>
        <v>0.157563626</v>
      </c>
      <c r="P190" s="16">
        <f>IFERROR(__xludf.DUMMYFUNCTION("""COMPUTED_VALUE"""),0.125936599423631)</f>
        <v>0.1259365994</v>
      </c>
      <c r="Q190" s="16">
        <f>IFERROR(__xludf.DUMMYFUNCTION("""COMPUTED_VALUE"""),0.100233781414377)</f>
        <v>0.1002337814</v>
      </c>
      <c r="R190" s="16">
        <f>IFERROR(__xludf.DUMMYFUNCTION("""COMPUTED_VALUE"""),0.0850439882697947)</f>
        <v>0.08504398827</v>
      </c>
      <c r="S190" s="16">
        <f>IFERROR(__xludf.DUMMYFUNCTION("""COMPUTED_VALUE"""),0.0727810650887574)</f>
        <v>0.07278106509</v>
      </c>
      <c r="T190" s="16">
        <f>IFERROR(__xludf.DUMMYFUNCTION("""COMPUTED_VALUE"""),0.0626491646778042)</f>
        <v>0.06264916468</v>
      </c>
      <c r="U190" s="16">
        <f>IFERROR(__xludf.DUMMYFUNCTION("""COMPUTED_VALUE"""),0.0590527577937649)</f>
        <v>0.05905275779</v>
      </c>
      <c r="V190" s="16">
        <f>IFERROR(__xludf.DUMMYFUNCTION("""COMPUTED_VALUE"""),0.0536953242835595)</f>
        <v>0.05369532428</v>
      </c>
      <c r="W190" s="16">
        <f>IFERROR(__xludf.DUMMYFUNCTION("""COMPUTED_VALUE"""),0.05183388905729)</f>
        <v>0.05183388906</v>
      </c>
      <c r="X190" s="16">
        <f>IFERROR(__xludf.DUMMYFUNCTION("""COMPUTED_VALUE"""),0.0494354592615196)</f>
        <v>0.04943545926</v>
      </c>
      <c r="Y190" s="16">
        <f>IFERROR(__xludf.DUMMYFUNCTION("""COMPUTED_VALUE"""),0.0429900545396214)</f>
        <v>0.04299005454</v>
      </c>
      <c r="Z190" s="16">
        <f>IFERROR(__xludf.DUMMYFUNCTION("""COMPUTED_VALUE"""),0.039057239057239)</f>
        <v>0.03905723906</v>
      </c>
      <c r="AA190" s="16">
        <f>IFERROR(__xludf.DUMMYFUNCTION("""COMPUTED_VALUE"""),0.0371669004207573)</f>
        <v>0.03716690042</v>
      </c>
      <c r="AB190" s="16">
        <f>IFERROR(__xludf.DUMMYFUNCTION("""COMPUTED_VALUE"""),0.037107156380159)</f>
        <v>0.03710715638</v>
      </c>
      <c r="AC190" s="16">
        <f>IFERROR(__xludf.DUMMYFUNCTION("""COMPUTED_VALUE"""),0.0351675630947455)</f>
        <v>0.03516756309</v>
      </c>
      <c r="AD190" s="16">
        <f>IFERROR(__xludf.DUMMYFUNCTION("""COMPUTED_VALUE"""),0.0316205533596837)</f>
        <v>0.03162055336</v>
      </c>
      <c r="AE190" s="16">
        <f>IFERROR(__xludf.DUMMYFUNCTION("""COMPUTED_VALUE"""),0.028324531925108)</f>
        <v>0.02832453193</v>
      </c>
      <c r="AF190" s="16">
        <f>IFERROR(__xludf.DUMMYFUNCTION("""COMPUTED_VALUE"""),0.0246659815005138)</f>
        <v>0.0246659815</v>
      </c>
      <c r="AG190" s="16">
        <f>IFERROR(__xludf.DUMMYFUNCTION("""COMPUTED_VALUE"""),0.0237966468361276)</f>
        <v>0.02379664684</v>
      </c>
      <c r="AH190" s="16">
        <f>IFERROR(__xludf.DUMMYFUNCTION("""COMPUTED_VALUE"""),0.019208381839348)</f>
        <v>0.01920838184</v>
      </c>
    </row>
    <row r="191">
      <c r="A191" s="16" t="str">
        <f>IFERROR(__xludf.DUMMYFUNCTION("""COMPUTED_VALUE"""),"a6f94887cb30090252bc97e34a7a53c7a6555b8d")</f>
        <v>a6f94887cb30090252bc97e34a7a53c7a6555b8d</v>
      </c>
      <c r="B191" s="16" t="str">
        <f>IFERROR(__xludf.DUMMYFUNCTION("""COMPUTED_VALUE"""),"A Surrogate Bride for a Paralyzed Ceo")</f>
        <v>A Surrogate Bride for a Paralyzed Ceo</v>
      </c>
      <c r="C191" s="16" t="str">
        <f>IFERROR(__xludf.DUMMYFUNCTION("""COMPUTED_VALUE"""),"Drama")</f>
        <v>Drama</v>
      </c>
      <c r="D191" s="16">
        <f>IFERROR(__xludf.DUMMYFUNCTION("""COMPUTED_VALUE"""),12880.0)</f>
        <v>12880</v>
      </c>
      <c r="E191" s="16">
        <f>IFERROR(__xludf.DUMMYFUNCTION("""COMPUTED_VALUE"""),0.841692546583851)</f>
        <v>0.8416925466</v>
      </c>
      <c r="F191" s="16">
        <f>IFERROR(__xludf.DUMMYFUNCTION("""COMPUTED_VALUE"""),0.494565217391304)</f>
        <v>0.4945652174</v>
      </c>
      <c r="G191" s="16">
        <f>IFERROR(__xludf.DUMMYFUNCTION("""COMPUTED_VALUE"""),0.443167701863354)</f>
        <v>0.4431677019</v>
      </c>
      <c r="H191" s="16">
        <f>IFERROR(__xludf.DUMMYFUNCTION("""COMPUTED_VALUE"""),0.407407407407407)</f>
        <v>0.4074074074</v>
      </c>
      <c r="I191" s="16">
        <f>IFERROR(__xludf.DUMMYFUNCTION("""COMPUTED_VALUE"""),0.391533980582524)</f>
        <v>0.3915339806</v>
      </c>
      <c r="J191" s="16">
        <f>IFERROR(__xludf.DUMMYFUNCTION("""COMPUTED_VALUE"""),0.373377884839536)</f>
        <v>0.3733778848</v>
      </c>
      <c r="K191" s="16">
        <f>IFERROR(__xludf.DUMMYFUNCTION("""COMPUTED_VALUE"""),0.357959405863597)</f>
        <v>0.3579594059</v>
      </c>
      <c r="L191" s="16">
        <f>IFERROR(__xludf.DUMMYFUNCTION("""COMPUTED_VALUE"""),0.342101167315175)</f>
        <v>0.3421011673</v>
      </c>
      <c r="M191" s="16">
        <f>IFERROR(__xludf.DUMMYFUNCTION("""COMPUTED_VALUE"""),0.329492369978199)</f>
        <v>0.32949237</v>
      </c>
      <c r="N191" s="16">
        <f>IFERROR(__xludf.DUMMYFUNCTION("""COMPUTED_VALUE"""),0.318454467554724)</f>
        <v>0.3184544676</v>
      </c>
      <c r="O191" s="16">
        <f>IFERROR(__xludf.DUMMYFUNCTION("""COMPUTED_VALUE"""),0.284364261168384)</f>
        <v>0.2843642612</v>
      </c>
      <c r="P191" s="16">
        <f>IFERROR(__xludf.DUMMYFUNCTION("""COMPUTED_VALUE"""),0.262902341608583)</f>
        <v>0.2629023416</v>
      </c>
      <c r="Q191" s="16">
        <f>IFERROR(__xludf.DUMMYFUNCTION("""COMPUTED_VALUE"""),0.22137344463695)</f>
        <v>0.2213734446</v>
      </c>
      <c r="R191" s="16">
        <f>IFERROR(__xludf.DUMMYFUNCTION("""COMPUTED_VALUE"""),0.19008133933507)</f>
        <v>0.1900813393</v>
      </c>
      <c r="S191" s="16">
        <f>IFERROR(__xludf.DUMMYFUNCTION("""COMPUTED_VALUE"""),0.1673792557403)</f>
        <v>0.1673792557</v>
      </c>
      <c r="T191" s="16">
        <f>IFERROR(__xludf.DUMMYFUNCTION("""COMPUTED_VALUE"""),0.143696878227023)</f>
        <v>0.1436968782</v>
      </c>
      <c r="U191" s="16">
        <f>IFERROR(__xludf.DUMMYFUNCTION("""COMPUTED_VALUE"""),0.130573502432798)</f>
        <v>0.1305735024</v>
      </c>
      <c r="V191" s="16">
        <f>IFERROR(__xludf.DUMMYFUNCTION("""COMPUTED_VALUE"""),0.116703676289168)</f>
        <v>0.1167036763</v>
      </c>
      <c r="W191" s="16">
        <f>IFERROR(__xludf.DUMMYFUNCTION("""COMPUTED_VALUE"""),0.107956600361663)</f>
        <v>0.1079566004</v>
      </c>
      <c r="X191" s="16">
        <f>IFERROR(__xludf.DUMMYFUNCTION("""COMPUTED_VALUE"""),0.102965010963866)</f>
        <v>0.102965011</v>
      </c>
      <c r="Y191" s="16">
        <f>IFERROR(__xludf.DUMMYFUNCTION("""COMPUTED_VALUE"""),0.0879965826569841)</f>
        <v>0.08799658266</v>
      </c>
      <c r="Z191" s="16">
        <f>IFERROR(__xludf.DUMMYFUNCTION("""COMPUTED_VALUE"""),0.0761501210653753)</f>
        <v>0.07615012107</v>
      </c>
      <c r="AA191" s="16">
        <f>IFERROR(__xludf.DUMMYFUNCTION("""COMPUTED_VALUE"""),0.0719245381894405)</f>
        <v>0.07192453819</v>
      </c>
      <c r="AB191" s="16">
        <f>IFERROR(__xludf.DUMMYFUNCTION("""COMPUTED_VALUE"""),0.0610587382160986)</f>
        <v>0.06105873822</v>
      </c>
      <c r="AC191" s="16">
        <f>IFERROR(__xludf.DUMMYFUNCTION("""COMPUTED_VALUE"""),0.0531378114159571)</f>
        <v>0.05313781142</v>
      </c>
      <c r="AD191" s="16">
        <f>IFERROR(__xludf.DUMMYFUNCTION("""COMPUTED_VALUE"""),0.0477798412966402)</f>
        <v>0.0477798413</v>
      </c>
      <c r="AE191" s="16">
        <f>IFERROR(__xludf.DUMMYFUNCTION("""COMPUTED_VALUE"""),0.0452682231331313)</f>
        <v>0.04526822313</v>
      </c>
      <c r="AF191" s="16">
        <f>IFERROR(__xludf.DUMMYFUNCTION("""COMPUTED_VALUE"""),0.0353009259259259)</f>
        <v>0.03530092593</v>
      </c>
      <c r="AG191" s="16">
        <f>IFERROR(__xludf.DUMMYFUNCTION("""COMPUTED_VALUE"""),0.0244800693240901)</f>
        <v>0.02448006932</v>
      </c>
      <c r="AH191" s="16">
        <f>IFERROR(__xludf.DUMMYFUNCTION("""COMPUTED_VALUE"""),0.0194292653309046)</f>
        <v>0.01942926533</v>
      </c>
    </row>
    <row r="192">
      <c r="A192" s="16" t="str">
        <f>IFERROR(__xludf.DUMMYFUNCTION("""COMPUTED_VALUE"""),"a830c3a71510f0594792edb43a5e99b9da02d7e7")</f>
        <v>a830c3a71510f0594792edb43a5e99b9da02d7e7</v>
      </c>
      <c r="B192" s="16" t="str">
        <f>IFERROR(__xludf.DUMMYFUNCTION("""COMPUTED_VALUE"""),"Married to a Dying Prince")</f>
        <v>Married to a Dying Prince</v>
      </c>
      <c r="C192" s="16" t="str">
        <f>IFERROR(__xludf.DUMMYFUNCTION("""COMPUTED_VALUE"""),"Romantasy")</f>
        <v>Romantasy</v>
      </c>
      <c r="D192" s="16">
        <f>IFERROR(__xludf.DUMMYFUNCTION("""COMPUTED_VALUE"""),640.0)</f>
        <v>640</v>
      </c>
      <c r="E192" s="16">
        <f>IFERROR(__xludf.DUMMYFUNCTION("""COMPUTED_VALUE"""),0.9625)</f>
        <v>0.9625</v>
      </c>
      <c r="F192" s="16">
        <f>IFERROR(__xludf.DUMMYFUNCTION("""COMPUTED_VALUE"""),0.5109375)</f>
        <v>0.5109375</v>
      </c>
      <c r="G192" s="16">
        <f>IFERROR(__xludf.DUMMYFUNCTION("""COMPUTED_VALUE"""),0.459375)</f>
        <v>0.459375</v>
      </c>
      <c r="H192" s="16">
        <f>IFERROR(__xludf.DUMMYFUNCTION("""COMPUTED_VALUE"""),0.4015625)</f>
        <v>0.4015625</v>
      </c>
      <c r="I192" s="16">
        <f>IFERROR(__xludf.DUMMYFUNCTION("""COMPUTED_VALUE"""),0.3921875)</f>
        <v>0.3921875</v>
      </c>
      <c r="J192" s="16">
        <f>IFERROR(__xludf.DUMMYFUNCTION("""COMPUTED_VALUE"""),0.378125)</f>
        <v>0.378125</v>
      </c>
      <c r="K192" s="16">
        <f>IFERROR(__xludf.DUMMYFUNCTION("""COMPUTED_VALUE"""),0.359937402190923)</f>
        <v>0.3599374022</v>
      </c>
      <c r="L192" s="16">
        <f>IFERROR(__xludf.DUMMYFUNCTION("""COMPUTED_VALUE"""),0.358372456964006)</f>
        <v>0.358372457</v>
      </c>
      <c r="M192" s="16">
        <f>IFERROR(__xludf.DUMMYFUNCTION("""COMPUTED_VALUE"""),0.342767295597484)</f>
        <v>0.3427672956</v>
      </c>
      <c r="N192" s="16">
        <f>IFERROR(__xludf.DUMMYFUNCTION("""COMPUTED_VALUE"""),0.331746031746031)</f>
        <v>0.3317460317</v>
      </c>
      <c r="O192" s="16">
        <f>IFERROR(__xludf.DUMMYFUNCTION("""COMPUTED_VALUE"""),0.310679611650485)</f>
        <v>0.3106796117</v>
      </c>
      <c r="P192" s="16">
        <f>IFERROR(__xludf.DUMMYFUNCTION("""COMPUTED_VALUE"""),0.254901960784313)</f>
        <v>0.2549019608</v>
      </c>
      <c r="Q192" s="16">
        <f>IFERROR(__xludf.DUMMYFUNCTION("""COMPUTED_VALUE"""),0.233830845771144)</f>
        <v>0.2338308458</v>
      </c>
      <c r="R192" s="16">
        <f>IFERROR(__xludf.DUMMYFUNCTION("""COMPUTED_VALUE"""),0.153452685421994)</f>
        <v>0.1534526854</v>
      </c>
      <c r="S192" s="16">
        <f>IFERROR(__xludf.DUMMYFUNCTION("""COMPUTED_VALUE"""),0.073170731707317)</f>
        <v>0.07317073171</v>
      </c>
      <c r="T192" s="16">
        <f>IFERROR(__xludf.DUMMYFUNCTION("""COMPUTED_VALUE"""),0.0)</f>
        <v>0</v>
      </c>
      <c r="U192" s="16">
        <f>IFERROR(__xludf.DUMMYFUNCTION("""COMPUTED_VALUE"""),0.0)</f>
        <v>0</v>
      </c>
      <c r="V192" s="16">
        <f>IFERROR(__xludf.DUMMYFUNCTION("""COMPUTED_VALUE"""),0.0)</f>
        <v>0</v>
      </c>
      <c r="W192" s="16">
        <f>IFERROR(__xludf.DUMMYFUNCTION("""COMPUTED_VALUE"""),0.0)</f>
        <v>0</v>
      </c>
      <c r="X192" s="16">
        <f>IFERROR(__xludf.DUMMYFUNCTION("""COMPUTED_VALUE"""),0.0)</f>
        <v>0</v>
      </c>
      <c r="Y192" s="16">
        <f>IFERROR(__xludf.DUMMYFUNCTION("""COMPUTED_VALUE"""),0.0)</f>
        <v>0</v>
      </c>
      <c r="Z192" s="16">
        <f>IFERROR(__xludf.DUMMYFUNCTION("""COMPUTED_VALUE"""),0.0)</f>
        <v>0</v>
      </c>
      <c r="AA192" s="16">
        <f>IFERROR(__xludf.DUMMYFUNCTION("""COMPUTED_VALUE"""),0.0)</f>
        <v>0</v>
      </c>
      <c r="AB192" s="16">
        <f>IFERROR(__xludf.DUMMYFUNCTION("""COMPUTED_VALUE"""),0.0)</f>
        <v>0</v>
      </c>
      <c r="AC192" s="16">
        <f>IFERROR(__xludf.DUMMYFUNCTION("""COMPUTED_VALUE"""),0.0)</f>
        <v>0</v>
      </c>
      <c r="AD192" s="16">
        <f>IFERROR(__xludf.DUMMYFUNCTION("""COMPUTED_VALUE"""),0.0)</f>
        <v>0</v>
      </c>
      <c r="AE192" s="16">
        <f>IFERROR(__xludf.DUMMYFUNCTION("""COMPUTED_VALUE"""),0.0)</f>
        <v>0</v>
      </c>
      <c r="AF192" s="16">
        <f>IFERROR(__xludf.DUMMYFUNCTION("""COMPUTED_VALUE"""),0.0)</f>
        <v>0</v>
      </c>
      <c r="AG192" s="16">
        <f>IFERROR(__xludf.DUMMYFUNCTION("""COMPUTED_VALUE"""),0.0)</f>
        <v>0</v>
      </c>
      <c r="AH192" s="16">
        <f>IFERROR(__xludf.DUMMYFUNCTION("""COMPUTED_VALUE"""),0.0)</f>
        <v>0</v>
      </c>
    </row>
    <row r="193">
      <c r="A193" s="16" t="str">
        <f>IFERROR(__xludf.DUMMYFUNCTION("""COMPUTED_VALUE"""),"a877c7bd8a3facfb24f79b876674d1437dd52fb5")</f>
        <v>a877c7bd8a3facfb24f79b876674d1437dd52fb5</v>
      </c>
      <c r="B193" s="16" t="str">
        <f>IFERROR(__xludf.DUMMYFUNCTION("""COMPUTED_VALUE"""),"Dragon System Awakening")</f>
        <v>Dragon System Awakening</v>
      </c>
      <c r="C193" s="16" t="str">
        <f>IFERROR(__xludf.DUMMYFUNCTION("""COMPUTED_VALUE"""),"System and Superpower")</f>
        <v>System and Superpower</v>
      </c>
      <c r="D193" s="16">
        <f>IFERROR(__xludf.DUMMYFUNCTION("""COMPUTED_VALUE"""),5137.0)</f>
        <v>5137</v>
      </c>
      <c r="E193" s="16">
        <f>IFERROR(__xludf.DUMMYFUNCTION("""COMPUTED_VALUE"""),0.944520147946272)</f>
        <v>0.9445201479</v>
      </c>
      <c r="F193" s="16">
        <f>IFERROR(__xludf.DUMMYFUNCTION("""COMPUTED_VALUE"""),0.497956005450652)</f>
        <v>0.4979560055</v>
      </c>
      <c r="G193" s="16">
        <f>IFERROR(__xludf.DUMMYFUNCTION("""COMPUTED_VALUE"""),0.428460190772824)</f>
        <v>0.4284601908</v>
      </c>
      <c r="H193" s="16">
        <f>IFERROR(__xludf.DUMMYFUNCTION("""COMPUTED_VALUE"""),0.397857838364167)</f>
        <v>0.3978578384</v>
      </c>
      <c r="I193" s="16">
        <f>IFERROR(__xludf.DUMMYFUNCTION("""COMPUTED_VALUE"""),0.367446393762183)</f>
        <v>0.3674463938</v>
      </c>
      <c r="J193" s="16">
        <f>IFERROR(__xludf.DUMMYFUNCTION("""COMPUTED_VALUE"""),0.346476673823931)</f>
        <v>0.3464766738</v>
      </c>
      <c r="K193" s="16">
        <f>IFERROR(__xludf.DUMMYFUNCTION("""COMPUTED_VALUE"""),0.330793278624462)</f>
        <v>0.3307932786</v>
      </c>
      <c r="L193" s="16">
        <f>IFERROR(__xludf.DUMMYFUNCTION("""COMPUTED_VALUE"""),0.318261890780974)</f>
        <v>0.3182618908</v>
      </c>
      <c r="M193" s="16">
        <f>IFERROR(__xludf.DUMMYFUNCTION("""COMPUTED_VALUE"""),0.304407443682664)</f>
        <v>0.3044074437</v>
      </c>
      <c r="N193" s="16">
        <f>IFERROR(__xludf.DUMMYFUNCTION("""COMPUTED_VALUE"""),0.293667908253283)</f>
        <v>0.2936679083</v>
      </c>
      <c r="O193" s="16">
        <f>IFERROR(__xludf.DUMMYFUNCTION("""COMPUTED_VALUE"""),0.257171117705242)</f>
        <v>0.2571711177</v>
      </c>
      <c r="P193" s="16">
        <f>IFERROR(__xludf.DUMMYFUNCTION("""COMPUTED_VALUE"""),0.211722488038277)</f>
        <v>0.211722488</v>
      </c>
      <c r="Q193" s="16">
        <f>IFERROR(__xludf.DUMMYFUNCTION("""COMPUTED_VALUE"""),0.157310302282541)</f>
        <v>0.1573103023</v>
      </c>
      <c r="R193" s="16">
        <f>IFERROR(__xludf.DUMMYFUNCTION("""COMPUTED_VALUE"""),0.134763590918558)</f>
        <v>0.1347635909</v>
      </c>
      <c r="S193" s="16">
        <f>IFERROR(__xludf.DUMMYFUNCTION("""COMPUTED_VALUE"""),0.115870153291253)</f>
        <v>0.1158701533</v>
      </c>
      <c r="T193" s="16">
        <f>IFERROR(__xludf.DUMMYFUNCTION("""COMPUTED_VALUE"""),0.111962286387743)</f>
        <v>0.1119622864</v>
      </c>
      <c r="U193" s="16">
        <f>IFERROR(__xludf.DUMMYFUNCTION("""COMPUTED_VALUE"""),0.105225225225225)</f>
        <v>0.1052252252</v>
      </c>
      <c r="V193" s="16">
        <f>IFERROR(__xludf.DUMMYFUNCTION("""COMPUTED_VALUE"""),0.090490155006284)</f>
        <v>0.09049015501</v>
      </c>
      <c r="W193" s="16">
        <f>IFERROR(__xludf.DUMMYFUNCTION("""COMPUTED_VALUE"""),0.0791505791505791)</f>
        <v>0.07915057915</v>
      </c>
      <c r="X193" s="16">
        <f>IFERROR(__xludf.DUMMYFUNCTION("""COMPUTED_VALUE"""),0.0713483146067415)</f>
        <v>0.07134831461</v>
      </c>
      <c r="Y193" s="16">
        <f>IFERROR(__xludf.DUMMYFUNCTION("""COMPUTED_VALUE"""),0.0473498233215547)</f>
        <v>0.04734982332</v>
      </c>
      <c r="Z193" s="16">
        <f>IFERROR(__xludf.DUMMYFUNCTION("""COMPUTED_VALUE"""),0.0458839406207827)</f>
        <v>0.04588394062</v>
      </c>
      <c r="AA193" s="16">
        <f>IFERROR(__xludf.DUMMYFUNCTION("""COMPUTED_VALUE"""),0.0375)</f>
        <v>0.0375</v>
      </c>
      <c r="AB193" s="16">
        <f>IFERROR(__xludf.DUMMYFUNCTION("""COMPUTED_VALUE"""),0.0)</f>
        <v>0</v>
      </c>
      <c r="AC193" s="16">
        <f>IFERROR(__xludf.DUMMYFUNCTION("""COMPUTED_VALUE"""),0.0)</f>
        <v>0</v>
      </c>
      <c r="AD193" s="16">
        <f>IFERROR(__xludf.DUMMYFUNCTION("""COMPUTED_VALUE"""),0.0)</f>
        <v>0</v>
      </c>
      <c r="AE193" s="16">
        <f>IFERROR(__xludf.DUMMYFUNCTION("""COMPUTED_VALUE"""),0.0)</f>
        <v>0</v>
      </c>
      <c r="AF193" s="16">
        <f>IFERROR(__xludf.DUMMYFUNCTION("""COMPUTED_VALUE"""),0.0)</f>
        <v>0</v>
      </c>
      <c r="AG193" s="16">
        <f>IFERROR(__xludf.DUMMYFUNCTION("""COMPUTED_VALUE"""),0.0)</f>
        <v>0</v>
      </c>
      <c r="AH193" s="16">
        <f>IFERROR(__xludf.DUMMYFUNCTION("""COMPUTED_VALUE"""),0.0)</f>
        <v>0</v>
      </c>
    </row>
    <row r="194">
      <c r="A194" s="16" t="str">
        <f>IFERROR(__xludf.DUMMYFUNCTION("""COMPUTED_VALUE"""),"a901618b218023453e7ca53e9fa1d9940b094e69")</f>
        <v>a901618b218023453e7ca53e9fa1d9940b094e69</v>
      </c>
      <c r="B194" s="16" t="str">
        <f>IFERROR(__xludf.DUMMYFUNCTION("""COMPUTED_VALUE"""),"The Devil's New Assistant")</f>
        <v>The Devil's New Assistant</v>
      </c>
      <c r="C194" s="16" t="str">
        <f>IFERROR(__xludf.DUMMYFUNCTION("""COMPUTED_VALUE"""),"Romance")</f>
        <v>Romance</v>
      </c>
      <c r="D194" s="16">
        <f>IFERROR(__xludf.DUMMYFUNCTION("""COMPUTED_VALUE"""),356.0)</f>
        <v>356</v>
      </c>
      <c r="E194" s="16">
        <f>IFERROR(__xludf.DUMMYFUNCTION("""COMPUTED_VALUE"""),0.941011235955056)</f>
        <v>0.941011236</v>
      </c>
      <c r="F194" s="16">
        <f>IFERROR(__xludf.DUMMYFUNCTION("""COMPUTED_VALUE"""),0.492957746478873)</f>
        <v>0.4929577465</v>
      </c>
      <c r="G194" s="16">
        <f>IFERROR(__xludf.DUMMYFUNCTION("""COMPUTED_VALUE"""),0.453521126760563)</f>
        <v>0.4535211268</v>
      </c>
      <c r="H194" s="16">
        <f>IFERROR(__xludf.DUMMYFUNCTION("""COMPUTED_VALUE"""),0.422413793103448)</f>
        <v>0.4224137931</v>
      </c>
      <c r="I194" s="16">
        <f>IFERROR(__xludf.DUMMYFUNCTION("""COMPUTED_VALUE"""),0.401197604790419)</f>
        <v>0.4011976048</v>
      </c>
      <c r="J194" s="16">
        <f>IFERROR(__xludf.DUMMYFUNCTION("""COMPUTED_VALUE"""),0.383838383838383)</f>
        <v>0.3838383838</v>
      </c>
      <c r="K194" s="16">
        <f>IFERROR(__xludf.DUMMYFUNCTION("""COMPUTED_VALUE"""),0.3690036900369)</f>
        <v>0.36900369</v>
      </c>
      <c r="L194" s="16">
        <f>IFERROR(__xludf.DUMMYFUNCTION("""COMPUTED_VALUE"""),0.343434343434343)</f>
        <v>0.3434343434</v>
      </c>
      <c r="M194" s="16">
        <f>IFERROR(__xludf.DUMMYFUNCTION("""COMPUTED_VALUE"""),0.322222222222222)</f>
        <v>0.3222222222</v>
      </c>
      <c r="N194" s="16">
        <f>IFERROR(__xludf.DUMMYFUNCTION("""COMPUTED_VALUE"""),0.2875)</f>
        <v>0.2875</v>
      </c>
      <c r="O194" s="16">
        <f>IFERROR(__xludf.DUMMYFUNCTION("""COMPUTED_VALUE"""),0.258064516129032)</f>
        <v>0.2580645161</v>
      </c>
      <c r="P194" s="16">
        <f>IFERROR(__xludf.DUMMYFUNCTION("""COMPUTED_VALUE"""),0.305882352941176)</f>
        <v>0.3058823529</v>
      </c>
      <c r="Q194" s="16">
        <f>IFERROR(__xludf.DUMMYFUNCTION("""COMPUTED_VALUE"""),0.0)</f>
        <v>0</v>
      </c>
      <c r="R194" s="16">
        <f>IFERROR(__xludf.DUMMYFUNCTION("""COMPUTED_VALUE"""),0.0)</f>
        <v>0</v>
      </c>
      <c r="S194" s="16">
        <f>IFERROR(__xludf.DUMMYFUNCTION("""COMPUTED_VALUE"""),0.0)</f>
        <v>0</v>
      </c>
      <c r="T194" s="16">
        <f>IFERROR(__xludf.DUMMYFUNCTION("""COMPUTED_VALUE"""),0.0)</f>
        <v>0</v>
      </c>
      <c r="U194" s="16">
        <f>IFERROR(__xludf.DUMMYFUNCTION("""COMPUTED_VALUE"""),0.0)</f>
        <v>0</v>
      </c>
      <c r="V194" s="16">
        <f>IFERROR(__xludf.DUMMYFUNCTION("""COMPUTED_VALUE"""),0.0)</f>
        <v>0</v>
      </c>
      <c r="W194" s="16">
        <f>IFERROR(__xludf.DUMMYFUNCTION("""COMPUTED_VALUE"""),0.0)</f>
        <v>0</v>
      </c>
      <c r="X194" s="16">
        <f>IFERROR(__xludf.DUMMYFUNCTION("""COMPUTED_VALUE"""),0.0)</f>
        <v>0</v>
      </c>
      <c r="Y194" s="16">
        <f>IFERROR(__xludf.DUMMYFUNCTION("""COMPUTED_VALUE"""),0.0)</f>
        <v>0</v>
      </c>
      <c r="Z194" s="16">
        <f>IFERROR(__xludf.DUMMYFUNCTION("""COMPUTED_VALUE"""),0.0)</f>
        <v>0</v>
      </c>
      <c r="AA194" s="16">
        <f>IFERROR(__xludf.DUMMYFUNCTION("""COMPUTED_VALUE"""),0.0)</f>
        <v>0</v>
      </c>
      <c r="AB194" s="16">
        <f>IFERROR(__xludf.DUMMYFUNCTION("""COMPUTED_VALUE"""),0.0)</f>
        <v>0</v>
      </c>
      <c r="AC194" s="16">
        <f>IFERROR(__xludf.DUMMYFUNCTION("""COMPUTED_VALUE"""),0.0)</f>
        <v>0</v>
      </c>
      <c r="AD194" s="16">
        <f>IFERROR(__xludf.DUMMYFUNCTION("""COMPUTED_VALUE"""),0.0)</f>
        <v>0</v>
      </c>
      <c r="AE194" s="16">
        <f>IFERROR(__xludf.DUMMYFUNCTION("""COMPUTED_VALUE"""),0.0)</f>
        <v>0</v>
      </c>
      <c r="AF194" s="16">
        <f>IFERROR(__xludf.DUMMYFUNCTION("""COMPUTED_VALUE"""),0.0)</f>
        <v>0</v>
      </c>
      <c r="AG194" s="16">
        <f>IFERROR(__xludf.DUMMYFUNCTION("""COMPUTED_VALUE"""),0.0)</f>
        <v>0</v>
      </c>
      <c r="AH194" s="16">
        <f>IFERROR(__xludf.DUMMYFUNCTION("""COMPUTED_VALUE"""),0.0)</f>
        <v>0</v>
      </c>
    </row>
    <row r="195">
      <c r="A195" s="16" t="str">
        <f>IFERROR(__xludf.DUMMYFUNCTION("""COMPUTED_VALUE"""),"a92aaf29dca1833b578f42a2abbcdab8db2ff12e")</f>
        <v>a92aaf29dca1833b578f42a2abbcdab8db2ff12e</v>
      </c>
      <c r="B195" s="16" t="str">
        <f>IFERROR(__xludf.DUMMYFUNCTION("""COMPUTED_VALUE"""),"Bought for the Ice Ceo")</f>
        <v>Bought for the Ice Ceo</v>
      </c>
      <c r="C195" s="16" t="str">
        <f>IFERROR(__xludf.DUMMYFUNCTION("""COMPUTED_VALUE"""),"Romance")</f>
        <v>Romance</v>
      </c>
      <c r="D195" s="16">
        <f>IFERROR(__xludf.DUMMYFUNCTION("""COMPUTED_VALUE"""),765.0)</f>
        <v>765</v>
      </c>
      <c r="E195" s="16">
        <f>IFERROR(__xludf.DUMMYFUNCTION("""COMPUTED_VALUE"""),0.959477124183006)</f>
        <v>0.9594771242</v>
      </c>
      <c r="F195" s="16">
        <f>IFERROR(__xludf.DUMMYFUNCTION("""COMPUTED_VALUE"""),0.671895424836601)</f>
        <v>0.6718954248</v>
      </c>
      <c r="G195" s="16">
        <f>IFERROR(__xludf.DUMMYFUNCTION("""COMPUTED_VALUE"""),0.611764705882353)</f>
        <v>0.6117647059</v>
      </c>
      <c r="H195" s="16">
        <f>IFERROR(__xludf.DUMMYFUNCTION("""COMPUTED_VALUE"""),0.556862745098039)</f>
        <v>0.5568627451</v>
      </c>
      <c r="I195" s="16">
        <f>IFERROR(__xludf.DUMMYFUNCTION("""COMPUTED_VALUE"""),0.518954248366013)</f>
        <v>0.5189542484</v>
      </c>
      <c r="J195" s="16">
        <f>IFERROR(__xludf.DUMMYFUNCTION("""COMPUTED_VALUE"""),0.490196078431372)</f>
        <v>0.4901960784</v>
      </c>
      <c r="K195" s="16">
        <f>IFERROR(__xludf.DUMMYFUNCTION("""COMPUTED_VALUE"""),0.475130890052356)</f>
        <v>0.4751308901</v>
      </c>
      <c r="L195" s="16">
        <f>IFERROR(__xludf.DUMMYFUNCTION("""COMPUTED_VALUE"""),0.44240837696335)</f>
        <v>0.442408377</v>
      </c>
      <c r="M195" s="16">
        <f>IFERROR(__xludf.DUMMYFUNCTION("""COMPUTED_VALUE"""),0.441370223978919)</f>
        <v>0.441370224</v>
      </c>
      <c r="N195" s="16">
        <f>IFERROR(__xludf.DUMMYFUNCTION("""COMPUTED_VALUE"""),0.418758256274768)</f>
        <v>0.4187582563</v>
      </c>
      <c r="O195" s="16">
        <f>IFERROR(__xludf.DUMMYFUNCTION("""COMPUTED_VALUE"""),0.360589812332439)</f>
        <v>0.3605898123</v>
      </c>
      <c r="P195" s="16">
        <f>IFERROR(__xludf.DUMMYFUNCTION("""COMPUTED_VALUE"""),0.239221140472878)</f>
        <v>0.2392211405</v>
      </c>
      <c r="Q195" s="16">
        <f>IFERROR(__xludf.DUMMYFUNCTION("""COMPUTED_VALUE"""),0.0959692898272552)</f>
        <v>0.09596928983</v>
      </c>
      <c r="R195" s="16">
        <f>IFERROR(__xludf.DUMMYFUNCTION("""COMPUTED_VALUE"""),0.0)</f>
        <v>0</v>
      </c>
      <c r="S195" s="16">
        <f>IFERROR(__xludf.DUMMYFUNCTION("""COMPUTED_VALUE"""),0.0)</f>
        <v>0</v>
      </c>
      <c r="T195" s="16">
        <f>IFERROR(__xludf.DUMMYFUNCTION("""COMPUTED_VALUE"""),0.0)</f>
        <v>0</v>
      </c>
      <c r="U195" s="16">
        <f>IFERROR(__xludf.DUMMYFUNCTION("""COMPUTED_VALUE"""),0.0)</f>
        <v>0</v>
      </c>
      <c r="V195" s="16">
        <f>IFERROR(__xludf.DUMMYFUNCTION("""COMPUTED_VALUE"""),0.0)</f>
        <v>0</v>
      </c>
      <c r="W195" s="16">
        <f>IFERROR(__xludf.DUMMYFUNCTION("""COMPUTED_VALUE"""),0.0)</f>
        <v>0</v>
      </c>
      <c r="X195" s="16">
        <f>IFERROR(__xludf.DUMMYFUNCTION("""COMPUTED_VALUE"""),0.0)</f>
        <v>0</v>
      </c>
      <c r="Y195" s="16">
        <f>IFERROR(__xludf.DUMMYFUNCTION("""COMPUTED_VALUE"""),0.0)</f>
        <v>0</v>
      </c>
      <c r="Z195" s="16">
        <f>IFERROR(__xludf.DUMMYFUNCTION("""COMPUTED_VALUE"""),0.0)</f>
        <v>0</v>
      </c>
      <c r="AA195" s="16">
        <f>IFERROR(__xludf.DUMMYFUNCTION("""COMPUTED_VALUE"""),0.0)</f>
        <v>0</v>
      </c>
      <c r="AB195" s="16">
        <f>IFERROR(__xludf.DUMMYFUNCTION("""COMPUTED_VALUE"""),0.0)</f>
        <v>0</v>
      </c>
      <c r="AC195" s="16">
        <f>IFERROR(__xludf.DUMMYFUNCTION("""COMPUTED_VALUE"""),0.0)</f>
        <v>0</v>
      </c>
      <c r="AD195" s="16">
        <f>IFERROR(__xludf.DUMMYFUNCTION("""COMPUTED_VALUE"""),0.0)</f>
        <v>0</v>
      </c>
      <c r="AE195" s="16">
        <f>IFERROR(__xludf.DUMMYFUNCTION("""COMPUTED_VALUE"""),0.0)</f>
        <v>0</v>
      </c>
      <c r="AF195" s="16">
        <f>IFERROR(__xludf.DUMMYFUNCTION("""COMPUTED_VALUE"""),0.0)</f>
        <v>0</v>
      </c>
      <c r="AG195" s="16">
        <f>IFERROR(__xludf.DUMMYFUNCTION("""COMPUTED_VALUE"""),0.0)</f>
        <v>0</v>
      </c>
      <c r="AH195" s="16">
        <f>IFERROR(__xludf.DUMMYFUNCTION("""COMPUTED_VALUE"""),0.0)</f>
        <v>0</v>
      </c>
    </row>
    <row r="196">
      <c r="A196" s="16" t="str">
        <f>IFERROR(__xludf.DUMMYFUNCTION("""COMPUTED_VALUE"""),"a978831eb87b7d63024465fa4df9a779feeaaf5a")</f>
        <v>a978831eb87b7d63024465fa4df9a779feeaaf5a</v>
      </c>
      <c r="B196" s="16" t="str">
        <f>IFERROR(__xludf.DUMMYFUNCTION("""COMPUTED_VALUE"""),"Extreme Medical Sage")</f>
        <v>Extreme Medical Sage</v>
      </c>
      <c r="C196" s="16" t="str">
        <f>IFERROR(__xludf.DUMMYFUNCTION("""COMPUTED_VALUE"""),"Fantasy")</f>
        <v>Fantasy</v>
      </c>
      <c r="D196" s="16">
        <f>IFERROR(__xludf.DUMMYFUNCTION("""COMPUTED_VALUE"""),172.0)</f>
        <v>172</v>
      </c>
      <c r="E196" s="16">
        <f>IFERROR(__xludf.DUMMYFUNCTION("""COMPUTED_VALUE"""),0.930232558139534)</f>
        <v>0.9302325581</v>
      </c>
      <c r="F196" s="16">
        <f>IFERROR(__xludf.DUMMYFUNCTION("""COMPUTED_VALUE"""),0.552325581395348)</f>
        <v>0.5523255814</v>
      </c>
      <c r="G196" s="16">
        <f>IFERROR(__xludf.DUMMYFUNCTION("""COMPUTED_VALUE"""),0.494186046511627)</f>
        <v>0.4941860465</v>
      </c>
      <c r="H196" s="16">
        <f>IFERROR(__xludf.DUMMYFUNCTION("""COMPUTED_VALUE"""),0.459302325581395)</f>
        <v>0.4593023256</v>
      </c>
      <c r="I196" s="16">
        <f>IFERROR(__xludf.DUMMYFUNCTION("""COMPUTED_VALUE"""),0.430232558139534)</f>
        <v>0.4302325581</v>
      </c>
      <c r="J196" s="16">
        <f>IFERROR(__xludf.DUMMYFUNCTION("""COMPUTED_VALUE"""),0.415204678362573)</f>
        <v>0.4152046784</v>
      </c>
      <c r="K196" s="16">
        <f>IFERROR(__xludf.DUMMYFUNCTION("""COMPUTED_VALUE"""),0.363095238095238)</f>
        <v>0.3630952381</v>
      </c>
      <c r="L196" s="16">
        <f>IFERROR(__xludf.DUMMYFUNCTION("""COMPUTED_VALUE"""),0.319277108433734)</f>
        <v>0.3192771084</v>
      </c>
      <c r="M196" s="16">
        <f>IFERROR(__xludf.DUMMYFUNCTION("""COMPUTED_VALUE"""),0.302469135802469)</f>
        <v>0.3024691358</v>
      </c>
      <c r="N196" s="16">
        <f>IFERROR(__xludf.DUMMYFUNCTION("""COMPUTED_VALUE"""),0.294871794871794)</f>
        <v>0.2948717949</v>
      </c>
      <c r="O196" s="16">
        <f>IFERROR(__xludf.DUMMYFUNCTION("""COMPUTED_VALUE"""),0.282442748091603)</f>
        <v>0.2824427481</v>
      </c>
      <c r="P196" s="16">
        <f>IFERROR(__xludf.DUMMYFUNCTION("""COMPUTED_VALUE"""),0.211009174311926)</f>
        <v>0.2110091743</v>
      </c>
      <c r="Q196" s="16">
        <f>IFERROR(__xludf.DUMMYFUNCTION("""COMPUTED_VALUE"""),0.0666666666666666)</f>
        <v>0.06666666667</v>
      </c>
      <c r="R196" s="16">
        <f>IFERROR(__xludf.DUMMYFUNCTION("""COMPUTED_VALUE"""),0.0666666666666666)</f>
        <v>0.06666666667</v>
      </c>
      <c r="S196" s="16">
        <f>IFERROR(__xludf.DUMMYFUNCTION("""COMPUTED_VALUE"""),0.0344827586206896)</f>
        <v>0.03448275862</v>
      </c>
      <c r="T196" s="16">
        <f>IFERROR(__xludf.DUMMYFUNCTION("""COMPUTED_VALUE"""),0.0384615384615384)</f>
        <v>0.03846153846</v>
      </c>
      <c r="U196" s="16">
        <f>IFERROR(__xludf.DUMMYFUNCTION("""COMPUTED_VALUE"""),0.0384615384615384)</f>
        <v>0.03846153846</v>
      </c>
      <c r="V196" s="16">
        <f>IFERROR(__xludf.DUMMYFUNCTION("""COMPUTED_VALUE"""),0.0416666666666666)</f>
        <v>0.04166666667</v>
      </c>
      <c r="W196" s="16">
        <f>IFERROR(__xludf.DUMMYFUNCTION("""COMPUTED_VALUE"""),0.0454545454545454)</f>
        <v>0.04545454545</v>
      </c>
      <c r="X196" s="16">
        <f>IFERROR(__xludf.DUMMYFUNCTION("""COMPUTED_VALUE"""),0.05)</f>
        <v>0.05</v>
      </c>
      <c r="Y196" s="16">
        <f>IFERROR(__xludf.DUMMYFUNCTION("""COMPUTED_VALUE"""),0.05)</f>
        <v>0.05</v>
      </c>
      <c r="Z196" s="16">
        <f>IFERROR(__xludf.DUMMYFUNCTION("""COMPUTED_VALUE"""),0.0526315789473684)</f>
        <v>0.05263157895</v>
      </c>
      <c r="AA196" s="16">
        <f>IFERROR(__xludf.DUMMYFUNCTION("""COMPUTED_VALUE"""),0.0588235294117647)</f>
        <v>0.05882352941</v>
      </c>
      <c r="AB196" s="16">
        <f>IFERROR(__xludf.DUMMYFUNCTION("""COMPUTED_VALUE"""),0.0833333333333333)</f>
        <v>0.08333333333</v>
      </c>
      <c r="AC196" s="16">
        <f>IFERROR(__xludf.DUMMYFUNCTION("""COMPUTED_VALUE"""),0.0833333333333333)</f>
        <v>0.08333333333</v>
      </c>
      <c r="AD196" s="16">
        <f>IFERROR(__xludf.DUMMYFUNCTION("""COMPUTED_VALUE"""),0.0909090909090909)</f>
        <v>0.09090909091</v>
      </c>
      <c r="AE196" s="16">
        <f>IFERROR(__xludf.DUMMYFUNCTION("""COMPUTED_VALUE"""),0.0909090909090909)</f>
        <v>0.09090909091</v>
      </c>
      <c r="AF196" s="16">
        <f>IFERROR(__xludf.DUMMYFUNCTION("""COMPUTED_VALUE"""),0.0909090909090909)</f>
        <v>0.09090909091</v>
      </c>
      <c r="AG196" s="16">
        <f>IFERROR(__xludf.DUMMYFUNCTION("""COMPUTED_VALUE"""),0.0909090909090909)</f>
        <v>0.09090909091</v>
      </c>
      <c r="AH196" s="16">
        <f>IFERROR(__xludf.DUMMYFUNCTION("""COMPUTED_VALUE"""),0.0909090909090909)</f>
        <v>0.09090909091</v>
      </c>
    </row>
    <row r="197">
      <c r="A197" s="16" t="str">
        <f>IFERROR(__xludf.DUMMYFUNCTION("""COMPUTED_VALUE"""),"a9dd2d51d9347ce1a50ee64d1a38a6c33539ebc1")</f>
        <v>a9dd2d51d9347ce1a50ee64d1a38a6c33539ebc1</v>
      </c>
      <c r="B197" s="16" t="str">
        <f>IFERROR(__xludf.DUMMYFUNCTION("""COMPUTED_VALUE"""),"Billionaires Love Me")</f>
        <v>Billionaires Love Me</v>
      </c>
      <c r="C197" s="16" t="str">
        <f>IFERROR(__xludf.DUMMYFUNCTION("""COMPUTED_VALUE"""),"Romance")</f>
        <v>Romance</v>
      </c>
      <c r="D197" s="16">
        <f>IFERROR(__xludf.DUMMYFUNCTION("""COMPUTED_VALUE"""),562.0)</f>
        <v>562</v>
      </c>
      <c r="E197" s="16">
        <f>IFERROR(__xludf.DUMMYFUNCTION("""COMPUTED_VALUE"""),0.959074733096085)</f>
        <v>0.9590747331</v>
      </c>
      <c r="F197" s="16">
        <f>IFERROR(__xludf.DUMMYFUNCTION("""COMPUTED_VALUE"""),0.626334519572953)</f>
        <v>0.6263345196</v>
      </c>
      <c r="G197" s="16">
        <f>IFERROR(__xludf.DUMMYFUNCTION("""COMPUTED_VALUE"""),0.487544483985765)</f>
        <v>0.487544484</v>
      </c>
      <c r="H197" s="16">
        <f>IFERROR(__xludf.DUMMYFUNCTION("""COMPUTED_VALUE"""),0.397504456327985)</f>
        <v>0.3975044563</v>
      </c>
      <c r="I197" s="16">
        <f>IFERROR(__xludf.DUMMYFUNCTION("""COMPUTED_VALUE"""),0.346428571428571)</f>
        <v>0.3464285714</v>
      </c>
      <c r="J197" s="16">
        <f>IFERROR(__xludf.DUMMYFUNCTION("""COMPUTED_VALUE"""),0.321364452423698)</f>
        <v>0.3213644524</v>
      </c>
      <c r="K197" s="16">
        <f>IFERROR(__xludf.DUMMYFUNCTION("""COMPUTED_VALUE"""),0.31638418079096)</f>
        <v>0.3163841808</v>
      </c>
      <c r="L197" s="16">
        <f>IFERROR(__xludf.DUMMYFUNCTION("""COMPUTED_VALUE"""),0.281368821292775)</f>
        <v>0.2813688213</v>
      </c>
      <c r="M197" s="16">
        <f>IFERROR(__xludf.DUMMYFUNCTION("""COMPUTED_VALUE"""),0.262548262548262)</f>
        <v>0.2625482625</v>
      </c>
      <c r="N197" s="16">
        <f>IFERROR(__xludf.DUMMYFUNCTION("""COMPUTED_VALUE"""),0.247139588100686)</f>
        <v>0.2471395881</v>
      </c>
      <c r="O197" s="16">
        <f>IFERROR(__xludf.DUMMYFUNCTION("""COMPUTED_VALUE"""),0.231552162849872)</f>
        <v>0.2315521628</v>
      </c>
      <c r="P197" s="16">
        <f>IFERROR(__xludf.DUMMYFUNCTION("""COMPUTED_VALUE"""),0.145833333333333)</f>
        <v>0.1458333333</v>
      </c>
      <c r="Q197" s="16">
        <f>IFERROR(__xludf.DUMMYFUNCTION("""COMPUTED_VALUE"""),0.108938547486033)</f>
        <v>0.1089385475</v>
      </c>
      <c r="R197" s="16">
        <f>IFERROR(__xludf.DUMMYFUNCTION("""COMPUTED_VALUE"""),0.0880503144654088)</f>
        <v>0.08805031447</v>
      </c>
      <c r="S197" s="16">
        <f>IFERROR(__xludf.DUMMYFUNCTION("""COMPUTED_VALUE"""),0.0)</f>
        <v>0</v>
      </c>
      <c r="T197" s="16">
        <f>IFERROR(__xludf.DUMMYFUNCTION("""COMPUTED_VALUE"""),0.0)</f>
        <v>0</v>
      </c>
      <c r="U197" s="16">
        <f>IFERROR(__xludf.DUMMYFUNCTION("""COMPUTED_VALUE"""),0.0)</f>
        <v>0</v>
      </c>
      <c r="V197" s="16">
        <f>IFERROR(__xludf.DUMMYFUNCTION("""COMPUTED_VALUE"""),0.0)</f>
        <v>0</v>
      </c>
      <c r="W197" s="16">
        <f>IFERROR(__xludf.DUMMYFUNCTION("""COMPUTED_VALUE"""),0.0)</f>
        <v>0</v>
      </c>
      <c r="X197" s="16">
        <f>IFERROR(__xludf.DUMMYFUNCTION("""COMPUTED_VALUE"""),0.0)</f>
        <v>0</v>
      </c>
      <c r="Y197" s="16">
        <f>IFERROR(__xludf.DUMMYFUNCTION("""COMPUTED_VALUE"""),0.0)</f>
        <v>0</v>
      </c>
      <c r="Z197" s="16">
        <f>IFERROR(__xludf.DUMMYFUNCTION("""COMPUTED_VALUE"""),0.0)</f>
        <v>0</v>
      </c>
      <c r="AA197" s="16">
        <f>IFERROR(__xludf.DUMMYFUNCTION("""COMPUTED_VALUE"""),0.0)</f>
        <v>0</v>
      </c>
      <c r="AB197" s="16">
        <f>IFERROR(__xludf.DUMMYFUNCTION("""COMPUTED_VALUE"""),0.0)</f>
        <v>0</v>
      </c>
      <c r="AC197" s="16">
        <f>IFERROR(__xludf.DUMMYFUNCTION("""COMPUTED_VALUE"""),0.0)</f>
        <v>0</v>
      </c>
      <c r="AD197" s="16">
        <f>IFERROR(__xludf.DUMMYFUNCTION("""COMPUTED_VALUE"""),0.0)</f>
        <v>0</v>
      </c>
      <c r="AE197" s="16">
        <f>IFERROR(__xludf.DUMMYFUNCTION("""COMPUTED_VALUE"""),0.0)</f>
        <v>0</v>
      </c>
      <c r="AF197" s="16">
        <f>IFERROR(__xludf.DUMMYFUNCTION("""COMPUTED_VALUE"""),0.0)</f>
        <v>0</v>
      </c>
      <c r="AG197" s="16">
        <f>IFERROR(__xludf.DUMMYFUNCTION("""COMPUTED_VALUE"""),0.0)</f>
        <v>0</v>
      </c>
      <c r="AH197" s="16">
        <f>IFERROR(__xludf.DUMMYFUNCTION("""COMPUTED_VALUE"""),0.0)</f>
        <v>0</v>
      </c>
    </row>
    <row r="198">
      <c r="A198" s="16" t="str">
        <f>IFERROR(__xludf.DUMMYFUNCTION("""COMPUTED_VALUE"""),"aaa698f296d8b031a8ae9b94897fb07edda92f97")</f>
        <v>aaa698f296d8b031a8ae9b94897fb07edda92f97</v>
      </c>
      <c r="B198" s="16" t="str">
        <f>IFERROR(__xludf.DUMMYFUNCTION("""COMPUTED_VALUE"""),"A Heart Divided")</f>
        <v>A Heart Divided</v>
      </c>
      <c r="C198" s="16" t="str">
        <f>IFERROR(__xludf.DUMMYFUNCTION("""COMPUTED_VALUE"""),"Romance")</f>
        <v>Romance</v>
      </c>
      <c r="D198" s="16">
        <f>IFERROR(__xludf.DUMMYFUNCTION("""COMPUTED_VALUE"""),208.0)</f>
        <v>208</v>
      </c>
      <c r="E198" s="16">
        <f>IFERROR(__xludf.DUMMYFUNCTION("""COMPUTED_VALUE"""),0.903846153846153)</f>
        <v>0.9038461538</v>
      </c>
      <c r="F198" s="16">
        <f>IFERROR(__xludf.DUMMYFUNCTION("""COMPUTED_VALUE"""),0.658653846153846)</f>
        <v>0.6586538462</v>
      </c>
      <c r="G198" s="16">
        <f>IFERROR(__xludf.DUMMYFUNCTION("""COMPUTED_VALUE"""),0.620192307692307)</f>
        <v>0.6201923077</v>
      </c>
      <c r="H198" s="16">
        <f>IFERROR(__xludf.DUMMYFUNCTION("""COMPUTED_VALUE"""),0.557692307692307)</f>
        <v>0.5576923077</v>
      </c>
      <c r="I198" s="16">
        <f>IFERROR(__xludf.DUMMYFUNCTION("""COMPUTED_VALUE"""),0.533653846153846)</f>
        <v>0.5336538462</v>
      </c>
      <c r="J198" s="16">
        <f>IFERROR(__xludf.DUMMYFUNCTION("""COMPUTED_VALUE"""),0.504807692307692)</f>
        <v>0.5048076923</v>
      </c>
      <c r="K198" s="16">
        <f>IFERROR(__xludf.DUMMYFUNCTION("""COMPUTED_VALUE"""),0.473429951690821)</f>
        <v>0.4734299517</v>
      </c>
      <c r="L198" s="16">
        <f>IFERROR(__xludf.DUMMYFUNCTION("""COMPUTED_VALUE"""),0.434782608695652)</f>
        <v>0.4347826087</v>
      </c>
      <c r="M198" s="16">
        <f>IFERROR(__xludf.DUMMYFUNCTION("""COMPUTED_VALUE"""),0.393203883495145)</f>
        <v>0.3932038835</v>
      </c>
      <c r="N198" s="16">
        <f>IFERROR(__xludf.DUMMYFUNCTION("""COMPUTED_VALUE"""),0.334951456310679)</f>
        <v>0.3349514563</v>
      </c>
      <c r="O198" s="16">
        <f>IFERROR(__xludf.DUMMYFUNCTION("""COMPUTED_VALUE"""),0.286407766990291)</f>
        <v>0.286407767</v>
      </c>
      <c r="P198" s="16">
        <f>IFERROR(__xludf.DUMMYFUNCTION("""COMPUTED_VALUE"""),0.17560975609756)</f>
        <v>0.1756097561</v>
      </c>
      <c r="Q198" s="16">
        <f>IFERROR(__xludf.DUMMYFUNCTION("""COMPUTED_VALUE"""),0.0792079207920792)</f>
        <v>0.07920792079</v>
      </c>
      <c r="R198" s="16">
        <f>IFERROR(__xludf.DUMMYFUNCTION("""COMPUTED_VALUE"""),0.0696517412935323)</f>
        <v>0.06965174129</v>
      </c>
      <c r="S198" s="16">
        <f>IFERROR(__xludf.DUMMYFUNCTION("""COMPUTED_VALUE"""),0.0)</f>
        <v>0</v>
      </c>
      <c r="T198" s="16">
        <f>IFERROR(__xludf.DUMMYFUNCTION("""COMPUTED_VALUE"""),0.0)</f>
        <v>0</v>
      </c>
      <c r="U198" s="16">
        <f>IFERROR(__xludf.DUMMYFUNCTION("""COMPUTED_VALUE"""),0.0)</f>
        <v>0</v>
      </c>
      <c r="V198" s="16">
        <f>IFERROR(__xludf.DUMMYFUNCTION("""COMPUTED_VALUE"""),0.0)</f>
        <v>0</v>
      </c>
      <c r="W198" s="16">
        <f>IFERROR(__xludf.DUMMYFUNCTION("""COMPUTED_VALUE"""),0.0)</f>
        <v>0</v>
      </c>
      <c r="X198" s="16">
        <f>IFERROR(__xludf.DUMMYFUNCTION("""COMPUTED_VALUE"""),0.0)</f>
        <v>0</v>
      </c>
      <c r="Y198" s="16">
        <f>IFERROR(__xludf.DUMMYFUNCTION("""COMPUTED_VALUE"""),0.0)</f>
        <v>0</v>
      </c>
      <c r="Z198" s="16">
        <f>IFERROR(__xludf.DUMMYFUNCTION("""COMPUTED_VALUE"""),0.0)</f>
        <v>0</v>
      </c>
      <c r="AA198" s="16">
        <f>IFERROR(__xludf.DUMMYFUNCTION("""COMPUTED_VALUE"""),0.0)</f>
        <v>0</v>
      </c>
      <c r="AB198" s="16">
        <f>IFERROR(__xludf.DUMMYFUNCTION("""COMPUTED_VALUE"""),0.0)</f>
        <v>0</v>
      </c>
      <c r="AC198" s="16">
        <f>IFERROR(__xludf.DUMMYFUNCTION("""COMPUTED_VALUE"""),0.0)</f>
        <v>0</v>
      </c>
      <c r="AD198" s="16">
        <f>IFERROR(__xludf.DUMMYFUNCTION("""COMPUTED_VALUE"""),0.0)</f>
        <v>0</v>
      </c>
      <c r="AE198" s="16">
        <f>IFERROR(__xludf.DUMMYFUNCTION("""COMPUTED_VALUE"""),0.0)</f>
        <v>0</v>
      </c>
      <c r="AF198" s="16">
        <f>IFERROR(__xludf.DUMMYFUNCTION("""COMPUTED_VALUE"""),0.0)</f>
        <v>0</v>
      </c>
      <c r="AG198" s="16">
        <f>IFERROR(__xludf.DUMMYFUNCTION("""COMPUTED_VALUE"""),0.0)</f>
        <v>0</v>
      </c>
      <c r="AH198" s="16">
        <f>IFERROR(__xludf.DUMMYFUNCTION("""COMPUTED_VALUE"""),0.0)</f>
        <v>0</v>
      </c>
    </row>
    <row r="199">
      <c r="A199" s="16" t="str">
        <f>IFERROR(__xludf.DUMMYFUNCTION("""COMPUTED_VALUE"""),"aab4996493c32f1ec5e010a7e9b25c3e280e1445")</f>
        <v>aab4996493c32f1ec5e010a7e9b25c3e280e1445</v>
      </c>
      <c r="B199" s="16" t="str">
        <f>IFERROR(__xludf.DUMMYFUNCTION("""COMPUTED_VALUE"""),"Love Forever")</f>
        <v>Love Forever</v>
      </c>
      <c r="C199" s="16" t="str">
        <f>IFERROR(__xludf.DUMMYFUNCTION("""COMPUTED_VALUE"""),"Romance")</f>
        <v>Romance</v>
      </c>
      <c r="D199" s="16">
        <f>IFERROR(__xludf.DUMMYFUNCTION("""COMPUTED_VALUE"""),115.0)</f>
        <v>115</v>
      </c>
      <c r="E199" s="16">
        <f>IFERROR(__xludf.DUMMYFUNCTION("""COMPUTED_VALUE"""),0.921739130434782)</f>
        <v>0.9217391304</v>
      </c>
      <c r="F199" s="16">
        <f>IFERROR(__xludf.DUMMYFUNCTION("""COMPUTED_VALUE"""),0.556521739130434)</f>
        <v>0.5565217391</v>
      </c>
      <c r="G199" s="16">
        <f>IFERROR(__xludf.DUMMYFUNCTION("""COMPUTED_VALUE"""),0.495652173913043)</f>
        <v>0.4956521739</v>
      </c>
      <c r="H199" s="16">
        <f>IFERROR(__xludf.DUMMYFUNCTION("""COMPUTED_VALUE"""),0.452173913043478)</f>
        <v>0.452173913</v>
      </c>
      <c r="I199" s="16">
        <f>IFERROR(__xludf.DUMMYFUNCTION("""COMPUTED_VALUE"""),0.417391304347826)</f>
        <v>0.4173913043</v>
      </c>
      <c r="J199" s="16">
        <f>IFERROR(__xludf.DUMMYFUNCTION("""COMPUTED_VALUE"""),0.391304347826087)</f>
        <v>0.3913043478</v>
      </c>
      <c r="K199" s="16">
        <f>IFERROR(__xludf.DUMMYFUNCTION("""COMPUTED_VALUE"""),0.382608695652173)</f>
        <v>0.3826086957</v>
      </c>
      <c r="L199" s="16">
        <f>IFERROR(__xludf.DUMMYFUNCTION("""COMPUTED_VALUE"""),0.382608695652173)</f>
        <v>0.3826086957</v>
      </c>
      <c r="M199" s="16">
        <f>IFERROR(__xludf.DUMMYFUNCTION("""COMPUTED_VALUE"""),0.391304347826087)</f>
        <v>0.3913043478</v>
      </c>
      <c r="N199" s="16">
        <f>IFERROR(__xludf.DUMMYFUNCTION("""COMPUTED_VALUE"""),0.321739130434782)</f>
        <v>0.3217391304</v>
      </c>
      <c r="O199" s="16">
        <f>IFERROR(__xludf.DUMMYFUNCTION("""COMPUTED_VALUE"""),0.333333333333333)</f>
        <v>0.3333333333</v>
      </c>
      <c r="P199" s="16">
        <f>IFERROR(__xludf.DUMMYFUNCTION("""COMPUTED_VALUE"""),0.210526315789473)</f>
        <v>0.2105263158</v>
      </c>
      <c r="Q199" s="16">
        <f>IFERROR(__xludf.DUMMYFUNCTION("""COMPUTED_VALUE"""),0.106194690265486)</f>
        <v>0.1061946903</v>
      </c>
      <c r="R199" s="16">
        <f>IFERROR(__xludf.DUMMYFUNCTION("""COMPUTED_VALUE"""),0.0714285714285714)</f>
        <v>0.07142857143</v>
      </c>
      <c r="S199" s="16">
        <f>IFERROR(__xludf.DUMMYFUNCTION("""COMPUTED_VALUE"""),0.0)</f>
        <v>0</v>
      </c>
      <c r="T199" s="16">
        <f>IFERROR(__xludf.DUMMYFUNCTION("""COMPUTED_VALUE"""),0.0)</f>
        <v>0</v>
      </c>
      <c r="U199" s="16">
        <f>IFERROR(__xludf.DUMMYFUNCTION("""COMPUTED_VALUE"""),0.0)</f>
        <v>0</v>
      </c>
      <c r="V199" s="16">
        <f>IFERROR(__xludf.DUMMYFUNCTION("""COMPUTED_VALUE"""),0.0)</f>
        <v>0</v>
      </c>
      <c r="W199" s="16">
        <f>IFERROR(__xludf.DUMMYFUNCTION("""COMPUTED_VALUE"""),0.0)</f>
        <v>0</v>
      </c>
      <c r="X199" s="16">
        <f>IFERROR(__xludf.DUMMYFUNCTION("""COMPUTED_VALUE"""),0.0)</f>
        <v>0</v>
      </c>
      <c r="Y199" s="16">
        <f>IFERROR(__xludf.DUMMYFUNCTION("""COMPUTED_VALUE"""),0.0)</f>
        <v>0</v>
      </c>
      <c r="Z199" s="16">
        <f>IFERROR(__xludf.DUMMYFUNCTION("""COMPUTED_VALUE"""),0.0)</f>
        <v>0</v>
      </c>
      <c r="AA199" s="16">
        <f>IFERROR(__xludf.DUMMYFUNCTION("""COMPUTED_VALUE"""),0.0)</f>
        <v>0</v>
      </c>
      <c r="AB199" s="16">
        <f>IFERROR(__xludf.DUMMYFUNCTION("""COMPUTED_VALUE"""),0.0)</f>
        <v>0</v>
      </c>
      <c r="AC199" s="16">
        <f>IFERROR(__xludf.DUMMYFUNCTION("""COMPUTED_VALUE"""),0.0)</f>
        <v>0</v>
      </c>
      <c r="AD199" s="16">
        <f>IFERROR(__xludf.DUMMYFUNCTION("""COMPUTED_VALUE"""),0.0)</f>
        <v>0</v>
      </c>
      <c r="AE199" s="16">
        <f>IFERROR(__xludf.DUMMYFUNCTION("""COMPUTED_VALUE"""),0.0)</f>
        <v>0</v>
      </c>
      <c r="AF199" s="16">
        <f>IFERROR(__xludf.DUMMYFUNCTION("""COMPUTED_VALUE"""),0.0)</f>
        <v>0</v>
      </c>
      <c r="AG199" s="16">
        <f>IFERROR(__xludf.DUMMYFUNCTION("""COMPUTED_VALUE"""),0.0)</f>
        <v>0</v>
      </c>
      <c r="AH199" s="16">
        <f>IFERROR(__xludf.DUMMYFUNCTION("""COMPUTED_VALUE"""),0.0)</f>
        <v>0</v>
      </c>
    </row>
    <row r="200">
      <c r="A200" s="16" t="str">
        <f>IFERROR(__xludf.DUMMYFUNCTION("""COMPUTED_VALUE"""),"ab0abb1b032efe35c0bd9be9cb6f80f8738dc1c9")</f>
        <v>ab0abb1b032efe35c0bd9be9cb6f80f8738dc1c9</v>
      </c>
      <c r="B200" s="16" t="str">
        <f>IFERROR(__xludf.DUMMYFUNCTION("""COMPUTED_VALUE"""),"Kaizen Aritoku Rise")</f>
        <v>Kaizen Aritoku Rise</v>
      </c>
      <c r="C200" s="16" t="str">
        <f>IFERROR(__xludf.DUMMYFUNCTION("""COMPUTED_VALUE"""),"System and Superpower")</f>
        <v>System and Superpower</v>
      </c>
      <c r="D200" s="16">
        <f>IFERROR(__xludf.DUMMYFUNCTION("""COMPUTED_VALUE"""),19.0)</f>
        <v>19</v>
      </c>
      <c r="E200" s="16">
        <f>IFERROR(__xludf.DUMMYFUNCTION("""COMPUTED_VALUE"""),0.947368421052631)</f>
        <v>0.9473684211</v>
      </c>
      <c r="F200" s="16">
        <f>IFERROR(__xludf.DUMMYFUNCTION("""COMPUTED_VALUE"""),0.631578947368421)</f>
        <v>0.6315789474</v>
      </c>
      <c r="G200" s="16">
        <f>IFERROR(__xludf.DUMMYFUNCTION("""COMPUTED_VALUE"""),0.473684210526315)</f>
        <v>0.4736842105</v>
      </c>
      <c r="H200" s="16">
        <f>IFERROR(__xludf.DUMMYFUNCTION("""COMPUTED_VALUE"""),0.368421052631578)</f>
        <v>0.3684210526</v>
      </c>
      <c r="I200" s="16">
        <f>IFERROR(__xludf.DUMMYFUNCTION("""COMPUTED_VALUE"""),0.263157894736842)</f>
        <v>0.2631578947</v>
      </c>
      <c r="J200" s="16">
        <f>IFERROR(__xludf.DUMMYFUNCTION("""COMPUTED_VALUE"""),0.210526315789473)</f>
        <v>0.2105263158</v>
      </c>
      <c r="K200" s="16">
        <f>IFERROR(__xludf.DUMMYFUNCTION("""COMPUTED_VALUE"""),0.210526315789473)</f>
        <v>0.2105263158</v>
      </c>
      <c r="L200" s="16">
        <f>IFERROR(__xludf.DUMMYFUNCTION("""COMPUTED_VALUE"""),0.157894736842105)</f>
        <v>0.1578947368</v>
      </c>
      <c r="M200" s="16">
        <f>IFERROR(__xludf.DUMMYFUNCTION("""COMPUTED_VALUE"""),0.157894736842105)</f>
        <v>0.1578947368</v>
      </c>
      <c r="N200" s="16">
        <f>IFERROR(__xludf.DUMMYFUNCTION("""COMPUTED_VALUE"""),0.210526315789473)</f>
        <v>0.2105263158</v>
      </c>
      <c r="O200" s="16">
        <f>IFERROR(__xludf.DUMMYFUNCTION("""COMPUTED_VALUE"""),0.0526315789473684)</f>
        <v>0.05263157895</v>
      </c>
      <c r="P200" s="16">
        <f>IFERROR(__xludf.DUMMYFUNCTION("""COMPUTED_VALUE"""),0.0526315789473684)</f>
        <v>0.05263157895</v>
      </c>
      <c r="Q200" s="16">
        <f>IFERROR(__xludf.DUMMYFUNCTION("""COMPUTED_VALUE"""),0.0)</f>
        <v>0</v>
      </c>
      <c r="R200" s="16">
        <f>IFERROR(__xludf.DUMMYFUNCTION("""COMPUTED_VALUE"""),0.0)</f>
        <v>0</v>
      </c>
      <c r="S200" s="16">
        <f>IFERROR(__xludf.DUMMYFUNCTION("""COMPUTED_VALUE"""),0.0)</f>
        <v>0</v>
      </c>
      <c r="T200" s="16">
        <f>IFERROR(__xludf.DUMMYFUNCTION("""COMPUTED_VALUE"""),0.0)</f>
        <v>0</v>
      </c>
      <c r="U200" s="16">
        <f>IFERROR(__xludf.DUMMYFUNCTION("""COMPUTED_VALUE"""),0.0)</f>
        <v>0</v>
      </c>
      <c r="V200" s="16">
        <f>IFERROR(__xludf.DUMMYFUNCTION("""COMPUTED_VALUE"""),0.0)</f>
        <v>0</v>
      </c>
      <c r="W200" s="16">
        <f>IFERROR(__xludf.DUMMYFUNCTION("""COMPUTED_VALUE"""),0.0)</f>
        <v>0</v>
      </c>
      <c r="X200" s="16">
        <f>IFERROR(__xludf.DUMMYFUNCTION("""COMPUTED_VALUE"""),0.0)</f>
        <v>0</v>
      </c>
      <c r="Y200" s="16">
        <f>IFERROR(__xludf.DUMMYFUNCTION("""COMPUTED_VALUE"""),0.0)</f>
        <v>0</v>
      </c>
      <c r="Z200" s="16">
        <f>IFERROR(__xludf.DUMMYFUNCTION("""COMPUTED_VALUE"""),0.0)</f>
        <v>0</v>
      </c>
      <c r="AA200" s="16">
        <f>IFERROR(__xludf.DUMMYFUNCTION("""COMPUTED_VALUE"""),0.0)</f>
        <v>0</v>
      </c>
      <c r="AB200" s="16">
        <f>IFERROR(__xludf.DUMMYFUNCTION("""COMPUTED_VALUE"""),0.0)</f>
        <v>0</v>
      </c>
      <c r="AC200" s="16">
        <f>IFERROR(__xludf.DUMMYFUNCTION("""COMPUTED_VALUE"""),0.0)</f>
        <v>0</v>
      </c>
      <c r="AD200" s="16">
        <f>IFERROR(__xludf.DUMMYFUNCTION("""COMPUTED_VALUE"""),0.0)</f>
        <v>0</v>
      </c>
      <c r="AE200" s="16">
        <f>IFERROR(__xludf.DUMMYFUNCTION("""COMPUTED_VALUE"""),0.0)</f>
        <v>0</v>
      </c>
      <c r="AF200" s="16">
        <f>IFERROR(__xludf.DUMMYFUNCTION("""COMPUTED_VALUE"""),0.0)</f>
        <v>0</v>
      </c>
      <c r="AG200" s="16">
        <f>IFERROR(__xludf.DUMMYFUNCTION("""COMPUTED_VALUE"""),0.0)</f>
        <v>0</v>
      </c>
      <c r="AH200" s="16">
        <f>IFERROR(__xludf.DUMMYFUNCTION("""COMPUTED_VALUE"""),0.0)</f>
        <v>0</v>
      </c>
    </row>
    <row r="201">
      <c r="A201" s="16" t="str">
        <f>IFERROR(__xludf.DUMMYFUNCTION("""COMPUTED_VALUE"""),"abe99e0d615e9d7ebbf5d941810842cf64a74c6c")</f>
        <v>abe99e0d615e9d7ebbf5d941810842cf64a74c6c</v>
      </c>
      <c r="B201" s="16" t="str">
        <f>IFERROR(__xludf.DUMMYFUNCTION("""COMPUTED_VALUE"""),"Forgetting You, Lily")</f>
        <v>Forgetting You, Lily</v>
      </c>
      <c r="C201" s="16" t="str">
        <f>IFERROR(__xludf.DUMMYFUNCTION("""COMPUTED_VALUE"""),"Romance")</f>
        <v>Romance</v>
      </c>
      <c r="D201" s="16">
        <f>IFERROR(__xludf.DUMMYFUNCTION("""COMPUTED_VALUE"""),300.0)</f>
        <v>300</v>
      </c>
      <c r="E201" s="16">
        <f>IFERROR(__xludf.DUMMYFUNCTION("""COMPUTED_VALUE"""),0.97)</f>
        <v>0.97</v>
      </c>
      <c r="F201" s="16">
        <f>IFERROR(__xludf.DUMMYFUNCTION("""COMPUTED_VALUE"""),0.543333333333333)</f>
        <v>0.5433333333</v>
      </c>
      <c r="G201" s="16">
        <f>IFERROR(__xludf.DUMMYFUNCTION("""COMPUTED_VALUE"""),0.433333333333333)</f>
        <v>0.4333333333</v>
      </c>
      <c r="H201" s="16">
        <f>IFERROR(__xludf.DUMMYFUNCTION("""COMPUTED_VALUE"""),0.381270903010033)</f>
        <v>0.381270903</v>
      </c>
      <c r="I201" s="16">
        <f>IFERROR(__xludf.DUMMYFUNCTION("""COMPUTED_VALUE"""),0.34228187919463)</f>
        <v>0.3422818792</v>
      </c>
      <c r="J201" s="16">
        <f>IFERROR(__xludf.DUMMYFUNCTION("""COMPUTED_VALUE"""),0.321554770318021)</f>
        <v>0.3215547703</v>
      </c>
      <c r="K201" s="16">
        <f>IFERROR(__xludf.DUMMYFUNCTION("""COMPUTED_VALUE"""),0.271062271062271)</f>
        <v>0.2710622711</v>
      </c>
      <c r="L201" s="16">
        <f>IFERROR(__xludf.DUMMYFUNCTION("""COMPUTED_VALUE"""),0.250936329588015)</f>
        <v>0.2509363296</v>
      </c>
      <c r="M201" s="16">
        <f>IFERROR(__xludf.DUMMYFUNCTION("""COMPUTED_VALUE"""),0.231939163498098)</f>
        <v>0.2319391635</v>
      </c>
      <c r="N201" s="16">
        <f>IFERROR(__xludf.DUMMYFUNCTION("""COMPUTED_VALUE"""),0.190661478599221)</f>
        <v>0.1906614786</v>
      </c>
      <c r="O201" s="16">
        <f>IFERROR(__xludf.DUMMYFUNCTION("""COMPUTED_VALUE"""),0.122641509433962)</f>
        <v>0.1226415094</v>
      </c>
      <c r="P201" s="16">
        <f>IFERROR(__xludf.DUMMYFUNCTION("""COMPUTED_VALUE"""),0.0921052631578947)</f>
        <v>0.09210526316</v>
      </c>
      <c r="Q201" s="16">
        <f>IFERROR(__xludf.DUMMYFUNCTION("""COMPUTED_VALUE"""),0.0)</f>
        <v>0</v>
      </c>
      <c r="R201" s="16">
        <f>IFERROR(__xludf.DUMMYFUNCTION("""COMPUTED_VALUE"""),0.0)</f>
        <v>0</v>
      </c>
      <c r="S201" s="16">
        <f>IFERROR(__xludf.DUMMYFUNCTION("""COMPUTED_VALUE"""),0.0)</f>
        <v>0</v>
      </c>
      <c r="T201" s="16">
        <f>IFERROR(__xludf.DUMMYFUNCTION("""COMPUTED_VALUE"""),0.0)</f>
        <v>0</v>
      </c>
      <c r="U201" s="16">
        <f>IFERROR(__xludf.DUMMYFUNCTION("""COMPUTED_VALUE"""),0.0)</f>
        <v>0</v>
      </c>
      <c r="V201" s="16">
        <f>IFERROR(__xludf.DUMMYFUNCTION("""COMPUTED_VALUE"""),0.0)</f>
        <v>0</v>
      </c>
      <c r="W201" s="16">
        <f>IFERROR(__xludf.DUMMYFUNCTION("""COMPUTED_VALUE"""),0.0)</f>
        <v>0</v>
      </c>
      <c r="X201" s="16">
        <f>IFERROR(__xludf.DUMMYFUNCTION("""COMPUTED_VALUE"""),0.0)</f>
        <v>0</v>
      </c>
      <c r="Y201" s="16">
        <f>IFERROR(__xludf.DUMMYFUNCTION("""COMPUTED_VALUE"""),0.0)</f>
        <v>0</v>
      </c>
      <c r="Z201" s="16">
        <f>IFERROR(__xludf.DUMMYFUNCTION("""COMPUTED_VALUE"""),0.0)</f>
        <v>0</v>
      </c>
      <c r="AA201" s="16">
        <f>IFERROR(__xludf.DUMMYFUNCTION("""COMPUTED_VALUE"""),0.0)</f>
        <v>0</v>
      </c>
      <c r="AB201" s="16">
        <f>IFERROR(__xludf.DUMMYFUNCTION("""COMPUTED_VALUE"""),0.0)</f>
        <v>0</v>
      </c>
      <c r="AC201" s="16">
        <f>IFERROR(__xludf.DUMMYFUNCTION("""COMPUTED_VALUE"""),0.0)</f>
        <v>0</v>
      </c>
      <c r="AD201" s="16">
        <f>IFERROR(__xludf.DUMMYFUNCTION("""COMPUTED_VALUE"""),0.0)</f>
        <v>0</v>
      </c>
      <c r="AE201" s="16">
        <f>IFERROR(__xludf.DUMMYFUNCTION("""COMPUTED_VALUE"""),0.0)</f>
        <v>0</v>
      </c>
      <c r="AF201" s="16">
        <f>IFERROR(__xludf.DUMMYFUNCTION("""COMPUTED_VALUE"""),0.0)</f>
        <v>0</v>
      </c>
      <c r="AG201" s="16">
        <f>IFERROR(__xludf.DUMMYFUNCTION("""COMPUTED_VALUE"""),0.0)</f>
        <v>0</v>
      </c>
      <c r="AH201" s="16">
        <f>IFERROR(__xludf.DUMMYFUNCTION("""COMPUTED_VALUE"""),0.0)</f>
        <v>0</v>
      </c>
    </row>
    <row r="202">
      <c r="A202" s="16" t="str">
        <f>IFERROR(__xludf.DUMMYFUNCTION("""COMPUTED_VALUE"""),"ac20da1af1ee60dd2020e8ff294c8c9dcf5be7ba")</f>
        <v>ac20da1af1ee60dd2020e8ff294c8c9dcf5be7ba</v>
      </c>
      <c r="B202" s="16" t="str">
        <f>IFERROR(__xludf.DUMMYFUNCTION("""COMPUTED_VALUE"""),"General Drake")</f>
        <v>General Drake</v>
      </c>
      <c r="C202" s="16" t="str">
        <f>IFERROR(__xludf.DUMMYFUNCTION("""COMPUTED_VALUE"""),"Suspense or Thriller")</f>
        <v>Suspense or Thriller</v>
      </c>
      <c r="D202" s="16">
        <f>IFERROR(__xludf.DUMMYFUNCTION("""COMPUTED_VALUE"""),96.0)</f>
        <v>96</v>
      </c>
      <c r="E202" s="16">
        <f>IFERROR(__xludf.DUMMYFUNCTION("""COMPUTED_VALUE"""),0.947916666666666)</f>
        <v>0.9479166667</v>
      </c>
      <c r="F202" s="16">
        <f>IFERROR(__xludf.DUMMYFUNCTION("""COMPUTED_VALUE"""),0.4375)</f>
        <v>0.4375</v>
      </c>
      <c r="G202" s="16">
        <f>IFERROR(__xludf.DUMMYFUNCTION("""COMPUTED_VALUE"""),0.354166666666666)</f>
        <v>0.3541666667</v>
      </c>
      <c r="H202" s="16">
        <f>IFERROR(__xludf.DUMMYFUNCTION("""COMPUTED_VALUE"""),0.322916666666666)</f>
        <v>0.3229166667</v>
      </c>
      <c r="I202" s="16">
        <f>IFERROR(__xludf.DUMMYFUNCTION("""COMPUTED_VALUE"""),0.291666666666666)</f>
        <v>0.2916666667</v>
      </c>
      <c r="J202" s="16">
        <f>IFERROR(__xludf.DUMMYFUNCTION("""COMPUTED_VALUE"""),0.270833333333333)</f>
        <v>0.2708333333</v>
      </c>
      <c r="K202" s="16">
        <f>IFERROR(__xludf.DUMMYFUNCTION("""COMPUTED_VALUE"""),0.260416666666666)</f>
        <v>0.2604166667</v>
      </c>
      <c r="L202" s="16">
        <f>IFERROR(__xludf.DUMMYFUNCTION("""COMPUTED_VALUE"""),0.231578947368421)</f>
        <v>0.2315789474</v>
      </c>
      <c r="M202" s="16">
        <f>IFERROR(__xludf.DUMMYFUNCTION("""COMPUTED_VALUE"""),0.2)</f>
        <v>0.2</v>
      </c>
      <c r="N202" s="16">
        <f>IFERROR(__xludf.DUMMYFUNCTION("""COMPUTED_VALUE"""),0.189473684210526)</f>
        <v>0.1894736842</v>
      </c>
      <c r="O202" s="16">
        <f>IFERROR(__xludf.DUMMYFUNCTION("""COMPUTED_VALUE"""),0.152173913043478)</f>
        <v>0.152173913</v>
      </c>
      <c r="P202" s="16">
        <f>IFERROR(__xludf.DUMMYFUNCTION("""COMPUTED_VALUE"""),0.0470588235294117)</f>
        <v>0.04705882353</v>
      </c>
      <c r="Q202" s="16">
        <f>IFERROR(__xludf.DUMMYFUNCTION("""COMPUTED_VALUE"""),0.0769230769230769)</f>
        <v>0.07692307692</v>
      </c>
      <c r="R202" s="16">
        <f>IFERROR(__xludf.DUMMYFUNCTION("""COMPUTED_VALUE"""),0.0)</f>
        <v>0</v>
      </c>
      <c r="S202" s="16">
        <f>IFERROR(__xludf.DUMMYFUNCTION("""COMPUTED_VALUE"""),0.0)</f>
        <v>0</v>
      </c>
      <c r="T202" s="16">
        <f>IFERROR(__xludf.DUMMYFUNCTION("""COMPUTED_VALUE"""),0.0)</f>
        <v>0</v>
      </c>
      <c r="U202" s="16">
        <f>IFERROR(__xludf.DUMMYFUNCTION("""COMPUTED_VALUE"""),0.0)</f>
        <v>0</v>
      </c>
      <c r="V202" s="16">
        <f>IFERROR(__xludf.DUMMYFUNCTION("""COMPUTED_VALUE"""),0.0)</f>
        <v>0</v>
      </c>
      <c r="W202" s="16">
        <f>IFERROR(__xludf.DUMMYFUNCTION("""COMPUTED_VALUE"""),0.0)</f>
        <v>0</v>
      </c>
      <c r="X202" s="16">
        <f>IFERROR(__xludf.DUMMYFUNCTION("""COMPUTED_VALUE"""),0.0)</f>
        <v>0</v>
      </c>
      <c r="Y202" s="16">
        <f>IFERROR(__xludf.DUMMYFUNCTION("""COMPUTED_VALUE"""),0.0)</f>
        <v>0</v>
      </c>
      <c r="Z202" s="16">
        <f>IFERROR(__xludf.DUMMYFUNCTION("""COMPUTED_VALUE"""),0.0)</f>
        <v>0</v>
      </c>
      <c r="AA202" s="16">
        <f>IFERROR(__xludf.DUMMYFUNCTION("""COMPUTED_VALUE"""),0.0)</f>
        <v>0</v>
      </c>
      <c r="AB202" s="16">
        <f>IFERROR(__xludf.DUMMYFUNCTION("""COMPUTED_VALUE"""),0.0)</f>
        <v>0</v>
      </c>
      <c r="AC202" s="16">
        <f>IFERROR(__xludf.DUMMYFUNCTION("""COMPUTED_VALUE"""),0.0)</f>
        <v>0</v>
      </c>
      <c r="AD202" s="16">
        <f>IFERROR(__xludf.DUMMYFUNCTION("""COMPUTED_VALUE"""),0.0)</f>
        <v>0</v>
      </c>
      <c r="AE202" s="16">
        <f>IFERROR(__xludf.DUMMYFUNCTION("""COMPUTED_VALUE"""),0.0)</f>
        <v>0</v>
      </c>
      <c r="AF202" s="16">
        <f>IFERROR(__xludf.DUMMYFUNCTION("""COMPUTED_VALUE"""),0.0)</f>
        <v>0</v>
      </c>
      <c r="AG202" s="16">
        <f>IFERROR(__xludf.DUMMYFUNCTION("""COMPUTED_VALUE"""),0.0)</f>
        <v>0</v>
      </c>
      <c r="AH202" s="16">
        <f>IFERROR(__xludf.DUMMYFUNCTION("""COMPUTED_VALUE"""),0.0)</f>
        <v>0</v>
      </c>
    </row>
    <row r="203">
      <c r="A203" s="16" t="str">
        <f>IFERROR(__xludf.DUMMYFUNCTION("""COMPUTED_VALUE"""),"ad2e8d85f798bb8f66e9add56b1e29d7018e06fb")</f>
        <v>ad2e8d85f798bb8f66e9add56b1e29d7018e06fb</v>
      </c>
      <c r="B203" s="16" t="str">
        <f>IFERROR(__xludf.DUMMYFUNCTION("""COMPUTED_VALUE"""),"Embezzling Simp Funds")</f>
        <v>Embezzling Simp Funds</v>
      </c>
      <c r="C203" s="16" t="str">
        <f>IFERROR(__xludf.DUMMYFUNCTION("""COMPUTED_VALUE"""),"System and Superpower")</f>
        <v>System and Superpower</v>
      </c>
      <c r="D203" s="16">
        <f>IFERROR(__xludf.DUMMYFUNCTION("""COMPUTED_VALUE"""),107.0)</f>
        <v>107</v>
      </c>
      <c r="E203" s="16">
        <f>IFERROR(__xludf.DUMMYFUNCTION("""COMPUTED_VALUE"""),0.981308411214953)</f>
        <v>0.9813084112</v>
      </c>
      <c r="F203" s="16">
        <f>IFERROR(__xludf.DUMMYFUNCTION("""COMPUTED_VALUE"""),0.485981308411214)</f>
        <v>0.4859813084</v>
      </c>
      <c r="G203" s="16">
        <f>IFERROR(__xludf.DUMMYFUNCTION("""COMPUTED_VALUE"""),0.420560747663551)</f>
        <v>0.4205607477</v>
      </c>
      <c r="H203" s="16">
        <f>IFERROR(__xludf.DUMMYFUNCTION("""COMPUTED_VALUE"""),0.355140186915887)</f>
        <v>0.3551401869</v>
      </c>
      <c r="I203" s="16">
        <f>IFERROR(__xludf.DUMMYFUNCTION("""COMPUTED_VALUE"""),0.327102803738317)</f>
        <v>0.3271028037</v>
      </c>
      <c r="J203" s="16">
        <f>IFERROR(__xludf.DUMMYFUNCTION("""COMPUTED_VALUE"""),0.308411214953271)</f>
        <v>0.308411215</v>
      </c>
      <c r="K203" s="16">
        <f>IFERROR(__xludf.DUMMYFUNCTION("""COMPUTED_VALUE"""),0.299065420560747)</f>
        <v>0.2990654206</v>
      </c>
      <c r="L203" s="16">
        <f>IFERROR(__xludf.DUMMYFUNCTION("""COMPUTED_VALUE"""),0.271028037383177)</f>
        <v>0.2710280374</v>
      </c>
      <c r="M203" s="16">
        <f>IFERROR(__xludf.DUMMYFUNCTION("""COMPUTED_VALUE"""),0.261682242990654)</f>
        <v>0.261682243</v>
      </c>
      <c r="N203" s="16">
        <f>IFERROR(__xludf.DUMMYFUNCTION("""COMPUTED_VALUE"""),0.261682242990654)</f>
        <v>0.261682243</v>
      </c>
      <c r="O203" s="16">
        <f>IFERROR(__xludf.DUMMYFUNCTION("""COMPUTED_VALUE"""),0.117647058823529)</f>
        <v>0.1176470588</v>
      </c>
      <c r="P203" s="16">
        <f>IFERROR(__xludf.DUMMYFUNCTION("""COMPUTED_VALUE"""),0.0555555555555555)</f>
        <v>0.05555555556</v>
      </c>
      <c r="Q203" s="16">
        <f>IFERROR(__xludf.DUMMYFUNCTION("""COMPUTED_VALUE"""),0.0652173913043478)</f>
        <v>0.0652173913</v>
      </c>
      <c r="R203" s="16">
        <f>IFERROR(__xludf.DUMMYFUNCTION("""COMPUTED_VALUE"""),0.0588235294117647)</f>
        <v>0.05882352941</v>
      </c>
      <c r="S203" s="16">
        <f>IFERROR(__xludf.DUMMYFUNCTION("""COMPUTED_VALUE"""),0.0588235294117647)</f>
        <v>0.05882352941</v>
      </c>
      <c r="T203" s="16">
        <f>IFERROR(__xludf.DUMMYFUNCTION("""COMPUTED_VALUE"""),0.0769230769230769)</f>
        <v>0.07692307692</v>
      </c>
      <c r="U203" s="16">
        <f>IFERROR(__xludf.DUMMYFUNCTION("""COMPUTED_VALUE"""),0.142857142857142)</f>
        <v>0.1428571429</v>
      </c>
      <c r="V203" s="16">
        <f>IFERROR(__xludf.DUMMYFUNCTION("""COMPUTED_VALUE"""),0.142857142857142)</f>
        <v>0.1428571429</v>
      </c>
      <c r="W203" s="16">
        <f>IFERROR(__xludf.DUMMYFUNCTION("""COMPUTED_VALUE"""),0.0)</f>
        <v>0</v>
      </c>
      <c r="X203" s="16">
        <f>IFERROR(__xludf.DUMMYFUNCTION("""COMPUTED_VALUE"""),0.0)</f>
        <v>0</v>
      </c>
      <c r="Y203" s="16">
        <f>IFERROR(__xludf.DUMMYFUNCTION("""COMPUTED_VALUE"""),0.0)</f>
        <v>0</v>
      </c>
      <c r="Z203" s="16">
        <f>IFERROR(__xludf.DUMMYFUNCTION("""COMPUTED_VALUE"""),0.0)</f>
        <v>0</v>
      </c>
      <c r="AA203" s="16">
        <f>IFERROR(__xludf.DUMMYFUNCTION("""COMPUTED_VALUE"""),0.0)</f>
        <v>0</v>
      </c>
      <c r="AB203" s="16">
        <f>IFERROR(__xludf.DUMMYFUNCTION("""COMPUTED_VALUE"""),0.0)</f>
        <v>0</v>
      </c>
      <c r="AC203" s="16">
        <f>IFERROR(__xludf.DUMMYFUNCTION("""COMPUTED_VALUE"""),0.0)</f>
        <v>0</v>
      </c>
      <c r="AD203" s="16">
        <f>IFERROR(__xludf.DUMMYFUNCTION("""COMPUTED_VALUE"""),0.0)</f>
        <v>0</v>
      </c>
      <c r="AE203" s="16">
        <f>IFERROR(__xludf.DUMMYFUNCTION("""COMPUTED_VALUE"""),0.0)</f>
        <v>0</v>
      </c>
      <c r="AF203" s="16">
        <f>IFERROR(__xludf.DUMMYFUNCTION("""COMPUTED_VALUE"""),0.0)</f>
        <v>0</v>
      </c>
      <c r="AG203" s="16">
        <f>IFERROR(__xludf.DUMMYFUNCTION("""COMPUTED_VALUE"""),0.0)</f>
        <v>0</v>
      </c>
      <c r="AH203" s="16">
        <f>IFERROR(__xludf.DUMMYFUNCTION("""COMPUTED_VALUE"""),0.0)</f>
        <v>0</v>
      </c>
    </row>
    <row r="204">
      <c r="A204" s="16" t="str">
        <f>IFERROR(__xludf.DUMMYFUNCTION("""COMPUTED_VALUE"""),"ad877b024bb7b2c30b52737ab2d9d8d49cc89f77")</f>
        <v>ad877b024bb7b2c30b52737ab2d9d8d49cc89f77</v>
      </c>
      <c r="B204" s="16" t="str">
        <f>IFERROR(__xludf.DUMMYFUNCTION("""COMPUTED_VALUE"""),"The Master at Heart Work ")</f>
        <v>The Master at Heart Work </v>
      </c>
      <c r="C204" s="16" t="str">
        <f>IFERROR(__xludf.DUMMYFUNCTION("""COMPUTED_VALUE"""),"System and Superpower")</f>
        <v>System and Superpower</v>
      </c>
      <c r="D204" s="16">
        <f>IFERROR(__xludf.DUMMYFUNCTION("""COMPUTED_VALUE"""),227.0)</f>
        <v>227</v>
      </c>
      <c r="E204" s="16">
        <f>IFERROR(__xludf.DUMMYFUNCTION("""COMPUTED_VALUE"""),0.929515418502202)</f>
        <v>0.9295154185</v>
      </c>
      <c r="F204" s="16">
        <f>IFERROR(__xludf.DUMMYFUNCTION("""COMPUTED_VALUE"""),0.497797356828193)</f>
        <v>0.4977973568</v>
      </c>
      <c r="G204" s="16">
        <f>IFERROR(__xludf.DUMMYFUNCTION("""COMPUTED_VALUE"""),0.436123348017621)</f>
        <v>0.436123348</v>
      </c>
      <c r="H204" s="16">
        <f>IFERROR(__xludf.DUMMYFUNCTION("""COMPUTED_VALUE"""),0.409691629955947)</f>
        <v>0.40969163</v>
      </c>
      <c r="I204" s="16">
        <f>IFERROR(__xludf.DUMMYFUNCTION("""COMPUTED_VALUE"""),0.37885462555066)</f>
        <v>0.3788546256</v>
      </c>
      <c r="J204" s="16">
        <f>IFERROR(__xludf.DUMMYFUNCTION("""COMPUTED_VALUE"""),0.365638766519823)</f>
        <v>0.3656387665</v>
      </c>
      <c r="K204" s="16">
        <f>IFERROR(__xludf.DUMMYFUNCTION("""COMPUTED_VALUE"""),0.334801762114537)</f>
        <v>0.3348017621</v>
      </c>
      <c r="L204" s="16">
        <f>IFERROR(__xludf.DUMMYFUNCTION("""COMPUTED_VALUE"""),0.331858407079646)</f>
        <v>0.3318584071</v>
      </c>
      <c r="M204" s="16">
        <f>IFERROR(__xludf.DUMMYFUNCTION("""COMPUTED_VALUE"""),0.309734513274336)</f>
        <v>0.3097345133</v>
      </c>
      <c r="N204" s="16">
        <f>IFERROR(__xludf.DUMMYFUNCTION("""COMPUTED_VALUE"""),0.293333333333333)</f>
        <v>0.2933333333</v>
      </c>
      <c r="O204" s="16">
        <f>IFERROR(__xludf.DUMMYFUNCTION("""COMPUTED_VALUE"""),0.226666666666666)</f>
        <v>0.2266666667</v>
      </c>
      <c r="P204" s="16">
        <f>IFERROR(__xludf.DUMMYFUNCTION("""COMPUTED_VALUE"""),0.136363636363636)</f>
        <v>0.1363636364</v>
      </c>
      <c r="Q204" s="16">
        <f>IFERROR(__xludf.DUMMYFUNCTION("""COMPUTED_VALUE"""),0.188034188034188)</f>
        <v>0.188034188</v>
      </c>
      <c r="R204" s="16">
        <f>IFERROR(__xludf.DUMMYFUNCTION("""COMPUTED_VALUE"""),0.173076923076923)</f>
        <v>0.1730769231</v>
      </c>
      <c r="S204" s="16">
        <f>IFERROR(__xludf.DUMMYFUNCTION("""COMPUTED_VALUE"""),0.153061224489795)</f>
        <v>0.1530612245</v>
      </c>
      <c r="T204" s="16">
        <f>IFERROR(__xludf.DUMMYFUNCTION("""COMPUTED_VALUE"""),0.0795454545454545)</f>
        <v>0.07954545455</v>
      </c>
      <c r="U204" s="16">
        <f>IFERROR(__xludf.DUMMYFUNCTION("""COMPUTED_VALUE"""),0.0606060606060606)</f>
        <v>0.06060606061</v>
      </c>
      <c r="V204" s="16">
        <f>IFERROR(__xludf.DUMMYFUNCTION("""COMPUTED_VALUE"""),0.0754716981132075)</f>
        <v>0.07547169811</v>
      </c>
      <c r="W204" s="16">
        <f>IFERROR(__xludf.DUMMYFUNCTION("""COMPUTED_VALUE"""),0.05)</f>
        <v>0.05</v>
      </c>
      <c r="X204" s="16">
        <f>IFERROR(__xludf.DUMMYFUNCTION("""COMPUTED_VALUE"""),0.111111111111111)</f>
        <v>0.1111111111</v>
      </c>
      <c r="Y204" s="16">
        <f>IFERROR(__xludf.DUMMYFUNCTION("""COMPUTED_VALUE"""),0.0)</f>
        <v>0</v>
      </c>
      <c r="Z204" s="16">
        <f>IFERROR(__xludf.DUMMYFUNCTION("""COMPUTED_VALUE"""),0.0)</f>
        <v>0</v>
      </c>
      <c r="AA204" s="16">
        <f>IFERROR(__xludf.DUMMYFUNCTION("""COMPUTED_VALUE"""),0.0)</f>
        <v>0</v>
      </c>
      <c r="AB204" s="16">
        <f>IFERROR(__xludf.DUMMYFUNCTION("""COMPUTED_VALUE"""),0.0)</f>
        <v>0</v>
      </c>
      <c r="AC204" s="16">
        <f>IFERROR(__xludf.DUMMYFUNCTION("""COMPUTED_VALUE"""),0.0)</f>
        <v>0</v>
      </c>
      <c r="AD204" s="16">
        <f>IFERROR(__xludf.DUMMYFUNCTION("""COMPUTED_VALUE"""),0.0)</f>
        <v>0</v>
      </c>
      <c r="AE204" s="16">
        <f>IFERROR(__xludf.DUMMYFUNCTION("""COMPUTED_VALUE"""),0.0)</f>
        <v>0</v>
      </c>
      <c r="AF204" s="16">
        <f>IFERROR(__xludf.DUMMYFUNCTION("""COMPUTED_VALUE"""),0.0)</f>
        <v>0</v>
      </c>
      <c r="AG204" s="16">
        <f>IFERROR(__xludf.DUMMYFUNCTION("""COMPUTED_VALUE"""),0.0)</f>
        <v>0</v>
      </c>
      <c r="AH204" s="16">
        <f>IFERROR(__xludf.DUMMYFUNCTION("""COMPUTED_VALUE"""),0.0)</f>
        <v>0</v>
      </c>
    </row>
    <row r="205">
      <c r="A205" s="16" t="str">
        <f>IFERROR(__xludf.DUMMYFUNCTION("""COMPUTED_VALUE"""),"adc7a92708ffd0f9326699e493a4bcd9e951553a")</f>
        <v>adc7a92708ffd0f9326699e493a4bcd9e951553a</v>
      </c>
      <c r="B205" s="16" t="str">
        <f>IFERROR(__xludf.DUMMYFUNCTION("""COMPUTED_VALUE"""),"The Strongest Cultivation")</f>
        <v>The Strongest Cultivation</v>
      </c>
      <c r="C205" s="16" t="str">
        <f>IFERROR(__xludf.DUMMYFUNCTION("""COMPUTED_VALUE"""),"Fantasy")</f>
        <v>Fantasy</v>
      </c>
      <c r="D205" s="16">
        <f>IFERROR(__xludf.DUMMYFUNCTION("""COMPUTED_VALUE"""),8.0)</f>
        <v>8</v>
      </c>
      <c r="E205" s="16">
        <f>IFERROR(__xludf.DUMMYFUNCTION("""COMPUTED_VALUE"""),1.0)</f>
        <v>1</v>
      </c>
      <c r="F205" s="16">
        <f>IFERROR(__xludf.DUMMYFUNCTION("""COMPUTED_VALUE"""),0.25)</f>
        <v>0.25</v>
      </c>
      <c r="G205" s="16">
        <f>IFERROR(__xludf.DUMMYFUNCTION("""COMPUTED_VALUE"""),0.25)</f>
        <v>0.25</v>
      </c>
      <c r="H205" s="16">
        <f>IFERROR(__xludf.DUMMYFUNCTION("""COMPUTED_VALUE"""),0.25)</f>
        <v>0.25</v>
      </c>
      <c r="I205" s="16">
        <f>IFERROR(__xludf.DUMMYFUNCTION("""COMPUTED_VALUE"""),0.285714285714285)</f>
        <v>0.2857142857</v>
      </c>
      <c r="J205" s="16">
        <f>IFERROR(__xludf.DUMMYFUNCTION("""COMPUTED_VALUE"""),0.285714285714285)</f>
        <v>0.2857142857</v>
      </c>
      <c r="K205" s="16">
        <f>IFERROR(__xludf.DUMMYFUNCTION("""COMPUTED_VALUE"""),0.285714285714285)</f>
        <v>0.2857142857</v>
      </c>
      <c r="L205" s="16">
        <f>IFERROR(__xludf.DUMMYFUNCTION("""COMPUTED_VALUE"""),0.285714285714285)</f>
        <v>0.2857142857</v>
      </c>
      <c r="M205" s="16">
        <f>IFERROR(__xludf.DUMMYFUNCTION("""COMPUTED_VALUE"""),0.285714285714285)</f>
        <v>0.2857142857</v>
      </c>
      <c r="N205" s="16">
        <f>IFERROR(__xludf.DUMMYFUNCTION("""COMPUTED_VALUE"""),0.285714285714285)</f>
        <v>0.2857142857</v>
      </c>
      <c r="O205" s="16">
        <f>IFERROR(__xludf.DUMMYFUNCTION("""COMPUTED_VALUE"""),0.0)</f>
        <v>0</v>
      </c>
      <c r="P205" s="16">
        <f>IFERROR(__xludf.DUMMYFUNCTION("""COMPUTED_VALUE"""),0.0)</f>
        <v>0</v>
      </c>
      <c r="Q205" s="16">
        <f>IFERROR(__xludf.DUMMYFUNCTION("""COMPUTED_VALUE"""),0.0)</f>
        <v>0</v>
      </c>
      <c r="R205" s="16">
        <f>IFERROR(__xludf.DUMMYFUNCTION("""COMPUTED_VALUE"""),0.0)</f>
        <v>0</v>
      </c>
      <c r="S205" s="16">
        <f>IFERROR(__xludf.DUMMYFUNCTION("""COMPUTED_VALUE"""),0.0)</f>
        <v>0</v>
      </c>
      <c r="T205" s="16">
        <f>IFERROR(__xludf.DUMMYFUNCTION("""COMPUTED_VALUE"""),0.0)</f>
        <v>0</v>
      </c>
      <c r="U205" s="16">
        <f>IFERROR(__xludf.DUMMYFUNCTION("""COMPUTED_VALUE"""),0.0)</f>
        <v>0</v>
      </c>
      <c r="V205" s="16">
        <f>IFERROR(__xludf.DUMMYFUNCTION("""COMPUTED_VALUE"""),0.0)</f>
        <v>0</v>
      </c>
      <c r="W205" s="16">
        <f>IFERROR(__xludf.DUMMYFUNCTION("""COMPUTED_VALUE"""),0.0)</f>
        <v>0</v>
      </c>
      <c r="X205" s="16">
        <f>IFERROR(__xludf.DUMMYFUNCTION("""COMPUTED_VALUE"""),0.0)</f>
        <v>0</v>
      </c>
      <c r="Y205" s="16">
        <f>IFERROR(__xludf.DUMMYFUNCTION("""COMPUTED_VALUE"""),0.0)</f>
        <v>0</v>
      </c>
      <c r="Z205" s="16">
        <f>IFERROR(__xludf.DUMMYFUNCTION("""COMPUTED_VALUE"""),0.0)</f>
        <v>0</v>
      </c>
      <c r="AA205" s="16">
        <f>IFERROR(__xludf.DUMMYFUNCTION("""COMPUTED_VALUE"""),0.0)</f>
        <v>0</v>
      </c>
      <c r="AB205" s="16">
        <f>IFERROR(__xludf.DUMMYFUNCTION("""COMPUTED_VALUE"""),0.0)</f>
        <v>0</v>
      </c>
      <c r="AC205" s="16">
        <f>IFERROR(__xludf.DUMMYFUNCTION("""COMPUTED_VALUE"""),0.0)</f>
        <v>0</v>
      </c>
      <c r="AD205" s="16">
        <f>IFERROR(__xludf.DUMMYFUNCTION("""COMPUTED_VALUE"""),0.0)</f>
        <v>0</v>
      </c>
      <c r="AE205" s="16">
        <f>IFERROR(__xludf.DUMMYFUNCTION("""COMPUTED_VALUE"""),0.0)</f>
        <v>0</v>
      </c>
      <c r="AF205" s="16">
        <f>IFERROR(__xludf.DUMMYFUNCTION("""COMPUTED_VALUE"""),0.0)</f>
        <v>0</v>
      </c>
      <c r="AG205" s="16">
        <f>IFERROR(__xludf.DUMMYFUNCTION("""COMPUTED_VALUE"""),0.0)</f>
        <v>0</v>
      </c>
      <c r="AH205" s="16">
        <f>IFERROR(__xludf.DUMMYFUNCTION("""COMPUTED_VALUE"""),0.0)</f>
        <v>0</v>
      </c>
    </row>
    <row r="206">
      <c r="A206" s="16" t="str">
        <f>IFERROR(__xludf.DUMMYFUNCTION("""COMPUTED_VALUE"""),"afc4914ba536580c6c21a79231a73b9e6dc67e1a")</f>
        <v>afc4914ba536580c6c21a79231a73b9e6dc67e1a</v>
      </c>
      <c r="B206" s="16" t="str">
        <f>IFERROR(__xludf.DUMMYFUNCTION("""COMPUTED_VALUE"""),"Her Cupid Curse")</f>
        <v>Her Cupid Curse</v>
      </c>
      <c r="C206" s="16" t="str">
        <f>IFERROR(__xludf.DUMMYFUNCTION("""COMPUTED_VALUE"""),"Romance")</f>
        <v>Romance</v>
      </c>
      <c r="D206" s="16">
        <f>IFERROR(__xludf.DUMMYFUNCTION("""COMPUTED_VALUE"""),570.0)</f>
        <v>570</v>
      </c>
      <c r="E206" s="16">
        <f>IFERROR(__xludf.DUMMYFUNCTION("""COMPUTED_VALUE"""),0.961403508771929)</f>
        <v>0.9614035088</v>
      </c>
      <c r="F206" s="16">
        <f>IFERROR(__xludf.DUMMYFUNCTION("""COMPUTED_VALUE"""),0.601754385964912)</f>
        <v>0.601754386</v>
      </c>
      <c r="G206" s="16">
        <f>IFERROR(__xludf.DUMMYFUNCTION("""COMPUTED_VALUE"""),0.545614035087719)</f>
        <v>0.5456140351</v>
      </c>
      <c r="H206" s="16">
        <f>IFERROR(__xludf.DUMMYFUNCTION("""COMPUTED_VALUE"""),0.483304042179261)</f>
        <v>0.4833040422</v>
      </c>
      <c r="I206" s="16">
        <f>IFERROR(__xludf.DUMMYFUNCTION("""COMPUTED_VALUE"""),0.453097345132743)</f>
        <v>0.4530973451</v>
      </c>
      <c r="J206" s="16">
        <f>IFERROR(__xludf.DUMMYFUNCTION("""COMPUTED_VALUE"""),0.423487544483985)</f>
        <v>0.4234875445</v>
      </c>
      <c r="K206" s="16">
        <f>IFERROR(__xludf.DUMMYFUNCTION("""COMPUTED_VALUE"""),0.423357664233576)</f>
        <v>0.4233576642</v>
      </c>
      <c r="L206" s="16">
        <f>IFERROR(__xludf.DUMMYFUNCTION("""COMPUTED_VALUE"""),0.395437262357414)</f>
        <v>0.3954372624</v>
      </c>
      <c r="M206" s="16">
        <f>IFERROR(__xludf.DUMMYFUNCTION("""COMPUTED_VALUE"""),0.385744234800838)</f>
        <v>0.3857442348</v>
      </c>
      <c r="N206" s="16">
        <f>IFERROR(__xludf.DUMMYFUNCTION("""COMPUTED_VALUE"""),0.368181818181818)</f>
        <v>0.3681818182</v>
      </c>
      <c r="O206" s="16">
        <f>IFERROR(__xludf.DUMMYFUNCTION("""COMPUTED_VALUE"""),0.282442748091603)</f>
        <v>0.2824427481</v>
      </c>
      <c r="P206" s="16">
        <f>IFERROR(__xludf.DUMMYFUNCTION("""COMPUTED_VALUE"""),0.153846153846153)</f>
        <v>0.1538461538</v>
      </c>
      <c r="Q206" s="16">
        <f>IFERROR(__xludf.DUMMYFUNCTION("""COMPUTED_VALUE"""),0.0)</f>
        <v>0</v>
      </c>
      <c r="R206" s="16">
        <f>IFERROR(__xludf.DUMMYFUNCTION("""COMPUTED_VALUE"""),0.0)</f>
        <v>0</v>
      </c>
      <c r="S206" s="16">
        <f>IFERROR(__xludf.DUMMYFUNCTION("""COMPUTED_VALUE"""),0.0)</f>
        <v>0</v>
      </c>
      <c r="T206" s="16">
        <f>IFERROR(__xludf.DUMMYFUNCTION("""COMPUTED_VALUE"""),0.0)</f>
        <v>0</v>
      </c>
      <c r="U206" s="16">
        <f>IFERROR(__xludf.DUMMYFUNCTION("""COMPUTED_VALUE"""),0.0)</f>
        <v>0</v>
      </c>
      <c r="V206" s="16">
        <f>IFERROR(__xludf.DUMMYFUNCTION("""COMPUTED_VALUE"""),0.0)</f>
        <v>0</v>
      </c>
      <c r="W206" s="16">
        <f>IFERROR(__xludf.DUMMYFUNCTION("""COMPUTED_VALUE"""),0.0)</f>
        <v>0</v>
      </c>
      <c r="X206" s="16">
        <f>IFERROR(__xludf.DUMMYFUNCTION("""COMPUTED_VALUE"""),0.0)</f>
        <v>0</v>
      </c>
      <c r="Y206" s="16">
        <f>IFERROR(__xludf.DUMMYFUNCTION("""COMPUTED_VALUE"""),0.0)</f>
        <v>0</v>
      </c>
      <c r="Z206" s="16">
        <f>IFERROR(__xludf.DUMMYFUNCTION("""COMPUTED_VALUE"""),0.0)</f>
        <v>0</v>
      </c>
      <c r="AA206" s="16">
        <f>IFERROR(__xludf.DUMMYFUNCTION("""COMPUTED_VALUE"""),0.0)</f>
        <v>0</v>
      </c>
      <c r="AB206" s="16">
        <f>IFERROR(__xludf.DUMMYFUNCTION("""COMPUTED_VALUE"""),0.0)</f>
        <v>0</v>
      </c>
      <c r="AC206" s="16">
        <f>IFERROR(__xludf.DUMMYFUNCTION("""COMPUTED_VALUE"""),0.0)</f>
        <v>0</v>
      </c>
      <c r="AD206" s="16">
        <f>IFERROR(__xludf.DUMMYFUNCTION("""COMPUTED_VALUE"""),0.0)</f>
        <v>0</v>
      </c>
      <c r="AE206" s="16">
        <f>IFERROR(__xludf.DUMMYFUNCTION("""COMPUTED_VALUE"""),0.0)</f>
        <v>0</v>
      </c>
      <c r="AF206" s="16">
        <f>IFERROR(__xludf.DUMMYFUNCTION("""COMPUTED_VALUE"""),0.0)</f>
        <v>0</v>
      </c>
      <c r="AG206" s="16">
        <f>IFERROR(__xludf.DUMMYFUNCTION("""COMPUTED_VALUE"""),0.0)</f>
        <v>0</v>
      </c>
      <c r="AH206" s="16">
        <f>IFERROR(__xludf.DUMMYFUNCTION("""COMPUTED_VALUE"""),0.0)</f>
        <v>0</v>
      </c>
    </row>
    <row r="207">
      <c r="A207" s="16" t="str">
        <f>IFERROR(__xludf.DUMMYFUNCTION("""COMPUTED_VALUE"""),"b035f182bb6d36439bba21081e89b0cb80ad7d57")</f>
        <v>b035f182bb6d36439bba21081e89b0cb80ad7d57</v>
      </c>
      <c r="B207" s="16" t="str">
        <f>IFERROR(__xludf.DUMMYFUNCTION("""COMPUTED_VALUE"""),"Glory After Loss")</f>
        <v>Glory After Loss</v>
      </c>
      <c r="C207" s="16" t="str">
        <f>IFERROR(__xludf.DUMMYFUNCTION("""COMPUTED_VALUE"""),"System and Superpower")</f>
        <v>System and Superpower</v>
      </c>
      <c r="D207" s="16">
        <f>IFERROR(__xludf.DUMMYFUNCTION("""COMPUTED_VALUE"""),120.0)</f>
        <v>120</v>
      </c>
      <c r="E207" s="16">
        <f>IFERROR(__xludf.DUMMYFUNCTION("""COMPUTED_VALUE"""),0.966666666666666)</f>
        <v>0.9666666667</v>
      </c>
      <c r="F207" s="16">
        <f>IFERROR(__xludf.DUMMYFUNCTION("""COMPUTED_VALUE"""),0.516666666666666)</f>
        <v>0.5166666667</v>
      </c>
      <c r="G207" s="16">
        <f>IFERROR(__xludf.DUMMYFUNCTION("""COMPUTED_VALUE"""),0.441666666666666)</f>
        <v>0.4416666667</v>
      </c>
      <c r="H207" s="16">
        <f>IFERROR(__xludf.DUMMYFUNCTION("""COMPUTED_VALUE"""),0.383333333333333)</f>
        <v>0.3833333333</v>
      </c>
      <c r="I207" s="16">
        <f>IFERROR(__xludf.DUMMYFUNCTION("""COMPUTED_VALUE"""),0.316666666666666)</f>
        <v>0.3166666667</v>
      </c>
      <c r="J207" s="16">
        <f>IFERROR(__xludf.DUMMYFUNCTION("""COMPUTED_VALUE"""),0.316666666666666)</f>
        <v>0.3166666667</v>
      </c>
      <c r="K207" s="16">
        <f>IFERROR(__xludf.DUMMYFUNCTION("""COMPUTED_VALUE"""),0.283333333333333)</f>
        <v>0.2833333333</v>
      </c>
      <c r="L207" s="16">
        <f>IFERROR(__xludf.DUMMYFUNCTION("""COMPUTED_VALUE"""),0.277310924369747)</f>
        <v>0.2773109244</v>
      </c>
      <c r="M207" s="16">
        <f>IFERROR(__xludf.DUMMYFUNCTION("""COMPUTED_VALUE"""),0.277310924369747)</f>
        <v>0.2773109244</v>
      </c>
      <c r="N207" s="16">
        <f>IFERROR(__xludf.DUMMYFUNCTION("""COMPUTED_VALUE"""),0.252100840336134)</f>
        <v>0.2521008403</v>
      </c>
      <c r="O207" s="16">
        <f>IFERROR(__xludf.DUMMYFUNCTION("""COMPUTED_VALUE"""),0.186440677966101)</f>
        <v>0.186440678</v>
      </c>
      <c r="P207" s="16">
        <f>IFERROR(__xludf.DUMMYFUNCTION("""COMPUTED_VALUE"""),0.153846153846153)</f>
        <v>0.1538461538</v>
      </c>
      <c r="Q207" s="16">
        <f>IFERROR(__xludf.DUMMYFUNCTION("""COMPUTED_VALUE"""),0.111111111111111)</f>
        <v>0.1111111111</v>
      </c>
      <c r="R207" s="16">
        <f>IFERROR(__xludf.DUMMYFUNCTION("""COMPUTED_VALUE"""),0.0)</f>
        <v>0</v>
      </c>
      <c r="S207" s="16">
        <f>IFERROR(__xludf.DUMMYFUNCTION("""COMPUTED_VALUE"""),0.0)</f>
        <v>0</v>
      </c>
      <c r="T207" s="16">
        <f>IFERROR(__xludf.DUMMYFUNCTION("""COMPUTED_VALUE"""),0.0)</f>
        <v>0</v>
      </c>
      <c r="U207" s="16">
        <f>IFERROR(__xludf.DUMMYFUNCTION("""COMPUTED_VALUE"""),0.0)</f>
        <v>0</v>
      </c>
      <c r="V207" s="16">
        <f>IFERROR(__xludf.DUMMYFUNCTION("""COMPUTED_VALUE"""),0.0)</f>
        <v>0</v>
      </c>
      <c r="W207" s="16">
        <f>IFERROR(__xludf.DUMMYFUNCTION("""COMPUTED_VALUE"""),0.0)</f>
        <v>0</v>
      </c>
      <c r="X207" s="16">
        <f>IFERROR(__xludf.DUMMYFUNCTION("""COMPUTED_VALUE"""),0.0)</f>
        <v>0</v>
      </c>
      <c r="Y207" s="16">
        <f>IFERROR(__xludf.DUMMYFUNCTION("""COMPUTED_VALUE"""),0.0)</f>
        <v>0</v>
      </c>
      <c r="Z207" s="16">
        <f>IFERROR(__xludf.DUMMYFUNCTION("""COMPUTED_VALUE"""),0.0)</f>
        <v>0</v>
      </c>
      <c r="AA207" s="16">
        <f>IFERROR(__xludf.DUMMYFUNCTION("""COMPUTED_VALUE"""),0.0)</f>
        <v>0</v>
      </c>
      <c r="AB207" s="16">
        <f>IFERROR(__xludf.DUMMYFUNCTION("""COMPUTED_VALUE"""),0.0)</f>
        <v>0</v>
      </c>
      <c r="AC207" s="16">
        <f>IFERROR(__xludf.DUMMYFUNCTION("""COMPUTED_VALUE"""),0.0)</f>
        <v>0</v>
      </c>
      <c r="AD207" s="16">
        <f>IFERROR(__xludf.DUMMYFUNCTION("""COMPUTED_VALUE"""),0.0)</f>
        <v>0</v>
      </c>
      <c r="AE207" s="16">
        <f>IFERROR(__xludf.DUMMYFUNCTION("""COMPUTED_VALUE"""),0.0)</f>
        <v>0</v>
      </c>
      <c r="AF207" s="16">
        <f>IFERROR(__xludf.DUMMYFUNCTION("""COMPUTED_VALUE"""),0.0)</f>
        <v>0</v>
      </c>
      <c r="AG207" s="16">
        <f>IFERROR(__xludf.DUMMYFUNCTION("""COMPUTED_VALUE"""),0.0)</f>
        <v>0</v>
      </c>
      <c r="AH207" s="16">
        <f>IFERROR(__xludf.DUMMYFUNCTION("""COMPUTED_VALUE"""),0.0)</f>
        <v>0</v>
      </c>
    </row>
    <row r="208">
      <c r="A208" s="16" t="str">
        <f>IFERROR(__xludf.DUMMYFUNCTION("""COMPUTED_VALUE"""),"b0cb1a15751b32389e6dc5643df14e64f65a78e6")</f>
        <v>b0cb1a15751b32389e6dc5643df14e64f65a78e6</v>
      </c>
      <c r="B208" s="16" t="str">
        <f>IFERROR(__xludf.DUMMYFUNCTION("""COMPUTED_VALUE"""),"Desire of the Billionaire")</f>
        <v>Desire of the Billionaire</v>
      </c>
      <c r="C208" s="16" t="str">
        <f>IFERROR(__xludf.DUMMYFUNCTION("""COMPUTED_VALUE"""),"Romance")</f>
        <v>Romance</v>
      </c>
      <c r="D208" s="16">
        <f>IFERROR(__xludf.DUMMYFUNCTION("""COMPUTED_VALUE"""),118.0)</f>
        <v>118</v>
      </c>
      <c r="E208" s="16">
        <f>IFERROR(__xludf.DUMMYFUNCTION("""COMPUTED_VALUE"""),0.97457627118644)</f>
        <v>0.9745762712</v>
      </c>
      <c r="F208" s="16">
        <f>IFERROR(__xludf.DUMMYFUNCTION("""COMPUTED_VALUE"""),0.584745762711864)</f>
        <v>0.5847457627</v>
      </c>
      <c r="G208" s="16">
        <f>IFERROR(__xludf.DUMMYFUNCTION("""COMPUTED_VALUE"""),0.567796610169491)</f>
        <v>0.5677966102</v>
      </c>
      <c r="H208" s="16">
        <f>IFERROR(__xludf.DUMMYFUNCTION("""COMPUTED_VALUE"""),0.525423728813559)</f>
        <v>0.5254237288</v>
      </c>
      <c r="I208" s="16">
        <f>IFERROR(__xludf.DUMMYFUNCTION("""COMPUTED_VALUE"""),0.478632478632478)</f>
        <v>0.4786324786</v>
      </c>
      <c r="J208" s="16">
        <f>IFERROR(__xludf.DUMMYFUNCTION("""COMPUTED_VALUE"""),0.469565217391304)</f>
        <v>0.4695652174</v>
      </c>
      <c r="K208" s="16">
        <f>IFERROR(__xludf.DUMMYFUNCTION("""COMPUTED_VALUE"""),0.375)</f>
        <v>0.375</v>
      </c>
      <c r="L208" s="16">
        <f>IFERROR(__xludf.DUMMYFUNCTION("""COMPUTED_VALUE"""),0.357894736842105)</f>
        <v>0.3578947368</v>
      </c>
      <c r="M208" s="16">
        <f>IFERROR(__xludf.DUMMYFUNCTION("""COMPUTED_VALUE"""),0.436170212765957)</f>
        <v>0.4361702128</v>
      </c>
      <c r="N208" s="16">
        <f>IFERROR(__xludf.DUMMYFUNCTION("""COMPUTED_VALUE"""),0.361702127659574)</f>
        <v>0.3617021277</v>
      </c>
      <c r="O208" s="16">
        <f>IFERROR(__xludf.DUMMYFUNCTION("""COMPUTED_VALUE"""),0.292134831460674)</f>
        <v>0.2921348315</v>
      </c>
      <c r="P208" s="16">
        <f>IFERROR(__xludf.DUMMYFUNCTION("""COMPUTED_VALUE"""),0.181818181818181)</f>
        <v>0.1818181818</v>
      </c>
      <c r="Q208" s="16">
        <f>IFERROR(__xludf.DUMMYFUNCTION("""COMPUTED_VALUE"""),0.142857142857142)</f>
        <v>0.1428571429</v>
      </c>
      <c r="R208" s="16">
        <f>IFERROR(__xludf.DUMMYFUNCTION("""COMPUTED_VALUE"""),0.0)</f>
        <v>0</v>
      </c>
      <c r="S208" s="16">
        <f>IFERROR(__xludf.DUMMYFUNCTION("""COMPUTED_VALUE"""),0.0)</f>
        <v>0</v>
      </c>
      <c r="T208" s="16">
        <f>IFERROR(__xludf.DUMMYFUNCTION("""COMPUTED_VALUE"""),0.0)</f>
        <v>0</v>
      </c>
      <c r="U208" s="16">
        <f>IFERROR(__xludf.DUMMYFUNCTION("""COMPUTED_VALUE"""),0.0)</f>
        <v>0</v>
      </c>
      <c r="V208" s="16">
        <f>IFERROR(__xludf.DUMMYFUNCTION("""COMPUTED_VALUE"""),0.0)</f>
        <v>0</v>
      </c>
      <c r="W208" s="16">
        <f>IFERROR(__xludf.DUMMYFUNCTION("""COMPUTED_VALUE"""),0.0)</f>
        <v>0</v>
      </c>
      <c r="X208" s="16">
        <f>IFERROR(__xludf.DUMMYFUNCTION("""COMPUTED_VALUE"""),0.0)</f>
        <v>0</v>
      </c>
      <c r="Y208" s="16">
        <f>IFERROR(__xludf.DUMMYFUNCTION("""COMPUTED_VALUE"""),0.0)</f>
        <v>0</v>
      </c>
      <c r="Z208" s="16">
        <f>IFERROR(__xludf.DUMMYFUNCTION("""COMPUTED_VALUE"""),0.0)</f>
        <v>0</v>
      </c>
      <c r="AA208" s="16">
        <f>IFERROR(__xludf.DUMMYFUNCTION("""COMPUTED_VALUE"""),0.0)</f>
        <v>0</v>
      </c>
      <c r="AB208" s="16">
        <f>IFERROR(__xludf.DUMMYFUNCTION("""COMPUTED_VALUE"""),0.0)</f>
        <v>0</v>
      </c>
      <c r="AC208" s="16">
        <f>IFERROR(__xludf.DUMMYFUNCTION("""COMPUTED_VALUE"""),0.0)</f>
        <v>0</v>
      </c>
      <c r="AD208" s="16">
        <f>IFERROR(__xludf.DUMMYFUNCTION("""COMPUTED_VALUE"""),0.0)</f>
        <v>0</v>
      </c>
      <c r="AE208" s="16">
        <f>IFERROR(__xludf.DUMMYFUNCTION("""COMPUTED_VALUE"""),0.0)</f>
        <v>0</v>
      </c>
      <c r="AF208" s="16">
        <f>IFERROR(__xludf.DUMMYFUNCTION("""COMPUTED_VALUE"""),0.0)</f>
        <v>0</v>
      </c>
      <c r="AG208" s="16">
        <f>IFERROR(__xludf.DUMMYFUNCTION("""COMPUTED_VALUE"""),0.0)</f>
        <v>0</v>
      </c>
      <c r="AH208" s="16">
        <f>IFERROR(__xludf.DUMMYFUNCTION("""COMPUTED_VALUE"""),0.0)</f>
        <v>0</v>
      </c>
    </row>
    <row r="209">
      <c r="A209" s="16" t="str">
        <f>IFERROR(__xludf.DUMMYFUNCTION("""COMPUTED_VALUE"""),"b164057dc6b8df1ba1289d383220147f237b7dfa")</f>
        <v>b164057dc6b8df1ba1289d383220147f237b7dfa</v>
      </c>
      <c r="B209" s="16" t="str">
        <f>IFERROR(__xludf.DUMMYFUNCTION("""COMPUTED_VALUE"""),"Rush Marriage")</f>
        <v>Rush Marriage</v>
      </c>
      <c r="C209" s="16" t="str">
        <f>IFERROR(__xludf.DUMMYFUNCTION("""COMPUTED_VALUE"""),"Romance")</f>
        <v>Romance</v>
      </c>
      <c r="D209" s="16">
        <f>IFERROR(__xludf.DUMMYFUNCTION("""COMPUTED_VALUE"""),1095.0)</f>
        <v>1095</v>
      </c>
      <c r="E209" s="16">
        <f>IFERROR(__xludf.DUMMYFUNCTION("""COMPUTED_VALUE"""),0.967123287671232)</f>
        <v>0.9671232877</v>
      </c>
      <c r="F209" s="16">
        <f>IFERROR(__xludf.DUMMYFUNCTION("""COMPUTED_VALUE"""),0.634703196347032)</f>
        <v>0.6347031963</v>
      </c>
      <c r="G209" s="16">
        <f>IFERROR(__xludf.DUMMYFUNCTION("""COMPUTED_VALUE"""),0.512328767123287)</f>
        <v>0.5123287671</v>
      </c>
      <c r="H209" s="16">
        <f>IFERROR(__xludf.DUMMYFUNCTION("""COMPUTED_VALUE"""),0.455707762557077)</f>
        <v>0.4557077626</v>
      </c>
      <c r="I209" s="16">
        <f>IFERROR(__xludf.DUMMYFUNCTION("""COMPUTED_VALUE"""),0.421917808219178)</f>
        <v>0.4219178082</v>
      </c>
      <c r="J209" s="16">
        <f>IFERROR(__xludf.DUMMYFUNCTION("""COMPUTED_VALUE"""),0.420860018298261)</f>
        <v>0.4208600183</v>
      </c>
      <c r="K209" s="16">
        <f>IFERROR(__xludf.DUMMYFUNCTION("""COMPUTED_VALUE"""),0.375114364135407)</f>
        <v>0.3751143641</v>
      </c>
      <c r="L209" s="16">
        <f>IFERROR(__xludf.DUMMYFUNCTION("""COMPUTED_VALUE"""),0.336080586080586)</f>
        <v>0.3360805861</v>
      </c>
      <c r="M209" s="16">
        <f>IFERROR(__xludf.DUMMYFUNCTION("""COMPUTED_VALUE"""),0.317140238313473)</f>
        <v>0.3171402383</v>
      </c>
      <c r="N209" s="16">
        <f>IFERROR(__xludf.DUMMYFUNCTION("""COMPUTED_VALUE"""),0.307621671258034)</f>
        <v>0.3076216713</v>
      </c>
      <c r="O209" s="16">
        <f>IFERROR(__xludf.DUMMYFUNCTION("""COMPUTED_VALUE"""),0.28690036900369)</f>
        <v>0.286900369</v>
      </c>
      <c r="P209" s="16">
        <f>IFERROR(__xludf.DUMMYFUNCTION("""COMPUTED_VALUE"""),0.204158790170132)</f>
        <v>0.2041587902</v>
      </c>
      <c r="Q209" s="16">
        <f>IFERROR(__xludf.DUMMYFUNCTION("""COMPUTED_VALUE"""),0.144319344933469)</f>
        <v>0.1443193449</v>
      </c>
      <c r="R209" s="16">
        <f>IFERROR(__xludf.DUMMYFUNCTION("""COMPUTED_VALUE"""),0.123287671232876)</f>
        <v>0.1232876712</v>
      </c>
      <c r="S209" s="16">
        <f>IFERROR(__xludf.DUMMYFUNCTION("""COMPUTED_VALUE"""),0.0925925925925925)</f>
        <v>0.09259259259</v>
      </c>
      <c r="T209" s="16">
        <f>IFERROR(__xludf.DUMMYFUNCTION("""COMPUTED_VALUE"""),0.0819209039548022)</f>
        <v>0.08192090395</v>
      </c>
      <c r="U209" s="16">
        <f>IFERROR(__xludf.DUMMYFUNCTION("""COMPUTED_VALUE"""),0.0586206896551724)</f>
        <v>0.05862068966</v>
      </c>
      <c r="V209" s="16">
        <f>IFERROR(__xludf.DUMMYFUNCTION("""COMPUTED_VALUE"""),0.037174721189591)</f>
        <v>0.03717472119</v>
      </c>
      <c r="W209" s="16">
        <f>IFERROR(__xludf.DUMMYFUNCTION("""COMPUTED_VALUE"""),0.0341880341880341)</f>
        <v>0.03418803419</v>
      </c>
      <c r="X209" s="16">
        <f>IFERROR(__xludf.DUMMYFUNCTION("""COMPUTED_VALUE"""),0.0112994350282485)</f>
        <v>0.01129943503</v>
      </c>
      <c r="Y209" s="16">
        <f>IFERROR(__xludf.DUMMYFUNCTION("""COMPUTED_VALUE"""),0.0119047619047619)</f>
        <v>0.0119047619</v>
      </c>
      <c r="Z209" s="16">
        <f>IFERROR(__xludf.DUMMYFUNCTION("""COMPUTED_VALUE"""),0.0121951219512195)</f>
        <v>0.01219512195</v>
      </c>
      <c r="AA209" s="16">
        <f>IFERROR(__xludf.DUMMYFUNCTION("""COMPUTED_VALUE"""),0.00671140939597315)</f>
        <v>0.006711409396</v>
      </c>
      <c r="AB209" s="16">
        <f>IFERROR(__xludf.DUMMYFUNCTION("""COMPUTED_VALUE"""),0.0)</f>
        <v>0</v>
      </c>
      <c r="AC209" s="16">
        <f>IFERROR(__xludf.DUMMYFUNCTION("""COMPUTED_VALUE"""),0.0)</f>
        <v>0</v>
      </c>
      <c r="AD209" s="16">
        <f>IFERROR(__xludf.DUMMYFUNCTION("""COMPUTED_VALUE"""),0.0)</f>
        <v>0</v>
      </c>
      <c r="AE209" s="16">
        <f>IFERROR(__xludf.DUMMYFUNCTION("""COMPUTED_VALUE"""),0.0)</f>
        <v>0</v>
      </c>
      <c r="AF209" s="16">
        <f>IFERROR(__xludf.DUMMYFUNCTION("""COMPUTED_VALUE"""),0.0)</f>
        <v>0</v>
      </c>
      <c r="AG209" s="16">
        <f>IFERROR(__xludf.DUMMYFUNCTION("""COMPUTED_VALUE"""),0.0)</f>
        <v>0</v>
      </c>
      <c r="AH209" s="16">
        <f>IFERROR(__xludf.DUMMYFUNCTION("""COMPUTED_VALUE"""),0.0)</f>
        <v>0</v>
      </c>
    </row>
    <row r="210">
      <c r="A210" s="16" t="str">
        <f>IFERROR(__xludf.DUMMYFUNCTION("""COMPUTED_VALUE"""),"b2e0e008665e30068057a1556346d5473a8ed579")</f>
        <v>b2e0e008665e30068057a1556346d5473a8ed579</v>
      </c>
      <c r="B210" s="16" t="str">
        <f>IFERROR(__xludf.DUMMYFUNCTION("""COMPUTED_VALUE"""),"Legend of Cursed Blood ")</f>
        <v>Legend of Cursed Blood </v>
      </c>
      <c r="C210" s="16" t="str">
        <f>IFERROR(__xludf.DUMMYFUNCTION("""COMPUTED_VALUE"""),"Fantasy")</f>
        <v>Fantasy</v>
      </c>
      <c r="D210" s="16">
        <f>IFERROR(__xludf.DUMMYFUNCTION("""COMPUTED_VALUE"""),173.0)</f>
        <v>173</v>
      </c>
      <c r="E210" s="16">
        <f>IFERROR(__xludf.DUMMYFUNCTION("""COMPUTED_VALUE"""),0.971098265895953)</f>
        <v>0.9710982659</v>
      </c>
      <c r="F210" s="16">
        <f>IFERROR(__xludf.DUMMYFUNCTION("""COMPUTED_VALUE"""),0.387283236994219)</f>
        <v>0.387283237</v>
      </c>
      <c r="G210" s="16">
        <f>IFERROR(__xludf.DUMMYFUNCTION("""COMPUTED_VALUE"""),0.329479768786127)</f>
        <v>0.3294797688</v>
      </c>
      <c r="H210" s="16">
        <f>IFERROR(__xludf.DUMMYFUNCTION("""COMPUTED_VALUE"""),0.277456647398843)</f>
        <v>0.2774566474</v>
      </c>
      <c r="I210" s="16">
        <f>IFERROR(__xludf.DUMMYFUNCTION("""COMPUTED_VALUE"""),0.244186046511627)</f>
        <v>0.2441860465</v>
      </c>
      <c r="J210" s="16">
        <f>IFERROR(__xludf.DUMMYFUNCTION("""COMPUTED_VALUE"""),0.188235294117647)</f>
        <v>0.1882352941</v>
      </c>
      <c r="K210" s="16">
        <f>IFERROR(__xludf.DUMMYFUNCTION("""COMPUTED_VALUE"""),0.153846153846153)</f>
        <v>0.1538461538</v>
      </c>
      <c r="L210" s="16">
        <f>IFERROR(__xludf.DUMMYFUNCTION("""COMPUTED_VALUE"""),0.152439024390243)</f>
        <v>0.1524390244</v>
      </c>
      <c r="M210" s="16">
        <f>IFERROR(__xludf.DUMMYFUNCTION("""COMPUTED_VALUE"""),0.135802469135802)</f>
        <v>0.1358024691</v>
      </c>
      <c r="N210" s="16">
        <f>IFERROR(__xludf.DUMMYFUNCTION("""COMPUTED_VALUE"""),0.105590062111801)</f>
        <v>0.1055900621</v>
      </c>
      <c r="O210" s="16">
        <f>IFERROR(__xludf.DUMMYFUNCTION("""COMPUTED_VALUE"""),0.1)</f>
        <v>0.1</v>
      </c>
      <c r="P210" s="16">
        <f>IFERROR(__xludf.DUMMYFUNCTION("""COMPUTED_VALUE"""),0.0610687022900763)</f>
        <v>0.06106870229</v>
      </c>
      <c r="Q210" s="16">
        <f>IFERROR(__xludf.DUMMYFUNCTION("""COMPUTED_VALUE"""),0.040650406504065)</f>
        <v>0.0406504065</v>
      </c>
      <c r="R210" s="16">
        <f>IFERROR(__xludf.DUMMYFUNCTION("""COMPUTED_VALUE"""),0.036697247706422)</f>
        <v>0.03669724771</v>
      </c>
      <c r="S210" s="16">
        <f>IFERROR(__xludf.DUMMYFUNCTION("""COMPUTED_VALUE"""),0.0421052631578947)</f>
        <v>0.04210526316</v>
      </c>
      <c r="T210" s="16">
        <f>IFERROR(__xludf.DUMMYFUNCTION("""COMPUTED_VALUE"""),0.024390243902439)</f>
        <v>0.0243902439</v>
      </c>
      <c r="U210" s="16">
        <f>IFERROR(__xludf.DUMMYFUNCTION("""COMPUTED_VALUE"""),0.0)</f>
        <v>0</v>
      </c>
      <c r="V210" s="16">
        <f>IFERROR(__xludf.DUMMYFUNCTION("""COMPUTED_VALUE"""),0.0)</f>
        <v>0</v>
      </c>
      <c r="W210" s="16">
        <f>IFERROR(__xludf.DUMMYFUNCTION("""COMPUTED_VALUE"""),0.0)</f>
        <v>0</v>
      </c>
      <c r="X210" s="16">
        <f>IFERROR(__xludf.DUMMYFUNCTION("""COMPUTED_VALUE"""),0.0)</f>
        <v>0</v>
      </c>
      <c r="Y210" s="16">
        <f>IFERROR(__xludf.DUMMYFUNCTION("""COMPUTED_VALUE"""),0.0)</f>
        <v>0</v>
      </c>
      <c r="Z210" s="16">
        <f>IFERROR(__xludf.DUMMYFUNCTION("""COMPUTED_VALUE"""),0.0)</f>
        <v>0</v>
      </c>
      <c r="AA210" s="16">
        <f>IFERROR(__xludf.DUMMYFUNCTION("""COMPUTED_VALUE"""),0.0)</f>
        <v>0</v>
      </c>
      <c r="AB210" s="16">
        <f>IFERROR(__xludf.DUMMYFUNCTION("""COMPUTED_VALUE"""),0.0)</f>
        <v>0</v>
      </c>
      <c r="AC210" s="16">
        <f>IFERROR(__xludf.DUMMYFUNCTION("""COMPUTED_VALUE"""),0.0)</f>
        <v>0</v>
      </c>
      <c r="AD210" s="16">
        <f>IFERROR(__xludf.DUMMYFUNCTION("""COMPUTED_VALUE"""),0.0)</f>
        <v>0</v>
      </c>
      <c r="AE210" s="16">
        <f>IFERROR(__xludf.DUMMYFUNCTION("""COMPUTED_VALUE"""),0.0)</f>
        <v>0</v>
      </c>
      <c r="AF210" s="16">
        <f>IFERROR(__xludf.DUMMYFUNCTION("""COMPUTED_VALUE"""),0.0)</f>
        <v>0</v>
      </c>
      <c r="AG210" s="16">
        <f>IFERROR(__xludf.DUMMYFUNCTION("""COMPUTED_VALUE"""),0.0)</f>
        <v>0</v>
      </c>
      <c r="AH210" s="16">
        <f>IFERROR(__xludf.DUMMYFUNCTION("""COMPUTED_VALUE"""),0.0)</f>
        <v>0</v>
      </c>
    </row>
    <row r="211">
      <c r="A211" s="16" t="str">
        <f>IFERROR(__xludf.DUMMYFUNCTION("""COMPUTED_VALUE"""),"b4357a596922bd37b47ec2573cd92ac18997c713")</f>
        <v>b4357a596922bd37b47ec2573cd92ac18997c713</v>
      </c>
      <c r="B211" s="16" t="str">
        <f>IFERROR(__xludf.DUMMYFUNCTION("""COMPUTED_VALUE"""),"Immortal Ascension")</f>
        <v>Immortal Ascension</v>
      </c>
      <c r="C211" s="16" t="str">
        <f>IFERROR(__xludf.DUMMYFUNCTION("""COMPUTED_VALUE"""),"System and Superpower")</f>
        <v>System and Superpower</v>
      </c>
      <c r="D211" s="16">
        <f>IFERROR(__xludf.DUMMYFUNCTION("""COMPUTED_VALUE"""),63.0)</f>
        <v>63</v>
      </c>
      <c r="E211" s="16">
        <f>IFERROR(__xludf.DUMMYFUNCTION("""COMPUTED_VALUE"""),1.0)</f>
        <v>1</v>
      </c>
      <c r="F211" s="16">
        <f>IFERROR(__xludf.DUMMYFUNCTION("""COMPUTED_VALUE"""),0.492063492063492)</f>
        <v>0.4920634921</v>
      </c>
      <c r="G211" s="16">
        <f>IFERROR(__xludf.DUMMYFUNCTION("""COMPUTED_VALUE"""),0.396825396825396)</f>
        <v>0.3968253968</v>
      </c>
      <c r="H211" s="16">
        <f>IFERROR(__xludf.DUMMYFUNCTION("""COMPUTED_VALUE"""),0.317460317460317)</f>
        <v>0.3174603175</v>
      </c>
      <c r="I211" s="16">
        <f>IFERROR(__xludf.DUMMYFUNCTION("""COMPUTED_VALUE"""),0.301587301587301)</f>
        <v>0.3015873016</v>
      </c>
      <c r="J211" s="16">
        <f>IFERROR(__xludf.DUMMYFUNCTION("""COMPUTED_VALUE"""),0.285714285714285)</f>
        <v>0.2857142857</v>
      </c>
      <c r="K211" s="16">
        <f>IFERROR(__xludf.DUMMYFUNCTION("""COMPUTED_VALUE"""),0.269841269841269)</f>
        <v>0.2698412698</v>
      </c>
      <c r="L211" s="16">
        <f>IFERROR(__xludf.DUMMYFUNCTION("""COMPUTED_VALUE"""),0.206349206349206)</f>
        <v>0.2063492063</v>
      </c>
      <c r="M211" s="16">
        <f>IFERROR(__xludf.DUMMYFUNCTION("""COMPUTED_VALUE"""),0.206349206349206)</f>
        <v>0.2063492063</v>
      </c>
      <c r="N211" s="16">
        <f>IFERROR(__xludf.DUMMYFUNCTION("""COMPUTED_VALUE"""),0.19047619047619)</f>
        <v>0.1904761905</v>
      </c>
      <c r="O211" s="16">
        <f>IFERROR(__xludf.DUMMYFUNCTION("""COMPUTED_VALUE"""),0.14516129032258)</f>
        <v>0.1451612903</v>
      </c>
      <c r="P211" s="16">
        <f>IFERROR(__xludf.DUMMYFUNCTION("""COMPUTED_VALUE"""),0.0338983050847457)</f>
        <v>0.03389830508</v>
      </c>
      <c r="Q211" s="16">
        <f>IFERROR(__xludf.DUMMYFUNCTION("""COMPUTED_VALUE"""),0.0204081632653061)</f>
        <v>0.02040816327</v>
      </c>
      <c r="R211" s="16">
        <f>IFERROR(__xludf.DUMMYFUNCTION("""COMPUTED_VALUE"""),0.0)</f>
        <v>0</v>
      </c>
      <c r="S211" s="16">
        <f>IFERROR(__xludf.DUMMYFUNCTION("""COMPUTED_VALUE"""),0.0)</f>
        <v>0</v>
      </c>
      <c r="T211" s="16">
        <f>IFERROR(__xludf.DUMMYFUNCTION("""COMPUTED_VALUE"""),0.0)</f>
        <v>0</v>
      </c>
      <c r="U211" s="16">
        <f>IFERROR(__xludf.DUMMYFUNCTION("""COMPUTED_VALUE"""),0.0)</f>
        <v>0</v>
      </c>
      <c r="V211" s="16">
        <f>IFERROR(__xludf.DUMMYFUNCTION("""COMPUTED_VALUE"""),0.0)</f>
        <v>0</v>
      </c>
      <c r="W211" s="16">
        <f>IFERROR(__xludf.DUMMYFUNCTION("""COMPUTED_VALUE"""),0.0)</f>
        <v>0</v>
      </c>
      <c r="X211" s="16">
        <f>IFERROR(__xludf.DUMMYFUNCTION("""COMPUTED_VALUE"""),0.0)</f>
        <v>0</v>
      </c>
      <c r="Y211" s="16">
        <f>IFERROR(__xludf.DUMMYFUNCTION("""COMPUTED_VALUE"""),0.0)</f>
        <v>0</v>
      </c>
      <c r="Z211" s="16">
        <f>IFERROR(__xludf.DUMMYFUNCTION("""COMPUTED_VALUE"""),0.0)</f>
        <v>0</v>
      </c>
      <c r="AA211" s="16">
        <f>IFERROR(__xludf.DUMMYFUNCTION("""COMPUTED_VALUE"""),0.0)</f>
        <v>0</v>
      </c>
      <c r="AB211" s="16">
        <f>IFERROR(__xludf.DUMMYFUNCTION("""COMPUTED_VALUE"""),0.0)</f>
        <v>0</v>
      </c>
      <c r="AC211" s="16">
        <f>IFERROR(__xludf.DUMMYFUNCTION("""COMPUTED_VALUE"""),0.0)</f>
        <v>0</v>
      </c>
      <c r="AD211" s="16">
        <f>IFERROR(__xludf.DUMMYFUNCTION("""COMPUTED_VALUE"""),0.0)</f>
        <v>0</v>
      </c>
      <c r="AE211" s="16">
        <f>IFERROR(__xludf.DUMMYFUNCTION("""COMPUTED_VALUE"""),0.0)</f>
        <v>0</v>
      </c>
      <c r="AF211" s="16">
        <f>IFERROR(__xludf.DUMMYFUNCTION("""COMPUTED_VALUE"""),0.0)</f>
        <v>0</v>
      </c>
      <c r="AG211" s="16">
        <f>IFERROR(__xludf.DUMMYFUNCTION("""COMPUTED_VALUE"""),0.0)</f>
        <v>0</v>
      </c>
      <c r="AH211" s="16">
        <f>IFERROR(__xludf.DUMMYFUNCTION("""COMPUTED_VALUE"""),0.0)</f>
        <v>0</v>
      </c>
    </row>
    <row r="212">
      <c r="A212" s="16" t="str">
        <f>IFERROR(__xludf.DUMMYFUNCTION("""COMPUTED_VALUE"""),"b4ba67822e15bf23c0044676b09f1aeb405d154f")</f>
        <v>b4ba67822e15bf23c0044676b09f1aeb405d154f</v>
      </c>
      <c r="B212" s="16" t="str">
        <f>IFERROR(__xludf.DUMMYFUNCTION("""COMPUTED_VALUE"""),"The Twin Affair")</f>
        <v>The Twin Affair</v>
      </c>
      <c r="C212" s="16" t="str">
        <f>IFERROR(__xludf.DUMMYFUNCTION("""COMPUTED_VALUE"""),"Romantasy")</f>
        <v>Romantasy</v>
      </c>
      <c r="D212" s="16">
        <f>IFERROR(__xludf.DUMMYFUNCTION("""COMPUTED_VALUE"""),2772.0)</f>
        <v>2772</v>
      </c>
      <c r="E212" s="16">
        <f>IFERROR(__xludf.DUMMYFUNCTION("""COMPUTED_VALUE"""),0.935064935064935)</f>
        <v>0.9350649351</v>
      </c>
      <c r="F212" s="16">
        <f>IFERROR(__xludf.DUMMYFUNCTION("""COMPUTED_VALUE"""),0.601370851370851)</f>
        <v>0.6013708514</v>
      </c>
      <c r="G212" s="16">
        <f>IFERROR(__xludf.DUMMYFUNCTION("""COMPUTED_VALUE"""),0.558080808080808)</f>
        <v>0.5580808081</v>
      </c>
      <c r="H212" s="16">
        <f>IFERROR(__xludf.DUMMYFUNCTION("""COMPUTED_VALUE"""),0.53066378066378)</f>
        <v>0.5306637807</v>
      </c>
      <c r="I212" s="16">
        <f>IFERROR(__xludf.DUMMYFUNCTION("""COMPUTED_VALUE"""),0.505954529050884)</f>
        <v>0.5059545291</v>
      </c>
      <c r="J212" s="16">
        <f>IFERROR(__xludf.DUMMYFUNCTION("""COMPUTED_VALUE"""),0.484115523465703)</f>
        <v>0.4841155235</v>
      </c>
      <c r="K212" s="16">
        <f>IFERROR(__xludf.DUMMYFUNCTION("""COMPUTED_VALUE"""),0.472563176895306)</f>
        <v>0.4725631769</v>
      </c>
      <c r="L212" s="16">
        <f>IFERROR(__xludf.DUMMYFUNCTION("""COMPUTED_VALUE"""),0.451624548736462)</f>
        <v>0.4516245487</v>
      </c>
      <c r="M212" s="16">
        <f>IFERROR(__xludf.DUMMYFUNCTION("""COMPUTED_VALUE"""),0.43754512635379)</f>
        <v>0.4375451264</v>
      </c>
      <c r="N212" s="16">
        <f>IFERROR(__xludf.DUMMYFUNCTION("""COMPUTED_VALUE"""),0.424548736462093)</f>
        <v>0.4245487365</v>
      </c>
      <c r="O212" s="16">
        <f>IFERROR(__xludf.DUMMYFUNCTION("""COMPUTED_VALUE"""),0.400505597688696)</f>
        <v>0.4005055977</v>
      </c>
      <c r="P212" s="16">
        <f>IFERROR(__xludf.DUMMYFUNCTION("""COMPUTED_VALUE"""),0.370169736366919)</f>
        <v>0.3701697364</v>
      </c>
      <c r="Q212" s="16">
        <f>IFERROR(__xludf.DUMMYFUNCTION("""COMPUTED_VALUE"""),0.239753355096118)</f>
        <v>0.2397533551</v>
      </c>
      <c r="R212" s="16">
        <f>IFERROR(__xludf.DUMMYFUNCTION("""COMPUTED_VALUE"""),0.20754716981132)</f>
        <v>0.2075471698</v>
      </c>
      <c r="S212" s="16">
        <f>IFERROR(__xludf.DUMMYFUNCTION("""COMPUTED_VALUE"""),0.0)</f>
        <v>0</v>
      </c>
      <c r="T212" s="16">
        <f>IFERROR(__xludf.DUMMYFUNCTION("""COMPUTED_VALUE"""),0.0)</f>
        <v>0</v>
      </c>
      <c r="U212" s="16">
        <f>IFERROR(__xludf.DUMMYFUNCTION("""COMPUTED_VALUE"""),0.0)</f>
        <v>0</v>
      </c>
      <c r="V212" s="16">
        <f>IFERROR(__xludf.DUMMYFUNCTION("""COMPUTED_VALUE"""),0.0)</f>
        <v>0</v>
      </c>
      <c r="W212" s="16">
        <f>IFERROR(__xludf.DUMMYFUNCTION("""COMPUTED_VALUE"""),0.0)</f>
        <v>0</v>
      </c>
      <c r="X212" s="16">
        <f>IFERROR(__xludf.DUMMYFUNCTION("""COMPUTED_VALUE"""),0.0)</f>
        <v>0</v>
      </c>
      <c r="Y212" s="16">
        <f>IFERROR(__xludf.DUMMYFUNCTION("""COMPUTED_VALUE"""),0.0)</f>
        <v>0</v>
      </c>
      <c r="Z212" s="16">
        <f>IFERROR(__xludf.DUMMYFUNCTION("""COMPUTED_VALUE"""),0.0)</f>
        <v>0</v>
      </c>
      <c r="AA212" s="16">
        <f>IFERROR(__xludf.DUMMYFUNCTION("""COMPUTED_VALUE"""),0.0)</f>
        <v>0</v>
      </c>
      <c r="AB212" s="16">
        <f>IFERROR(__xludf.DUMMYFUNCTION("""COMPUTED_VALUE"""),0.0)</f>
        <v>0</v>
      </c>
      <c r="AC212" s="16">
        <f>IFERROR(__xludf.DUMMYFUNCTION("""COMPUTED_VALUE"""),0.0)</f>
        <v>0</v>
      </c>
      <c r="AD212" s="16">
        <f>IFERROR(__xludf.DUMMYFUNCTION("""COMPUTED_VALUE"""),0.0)</f>
        <v>0</v>
      </c>
      <c r="AE212" s="16">
        <f>IFERROR(__xludf.DUMMYFUNCTION("""COMPUTED_VALUE"""),0.0)</f>
        <v>0</v>
      </c>
      <c r="AF212" s="16">
        <f>IFERROR(__xludf.DUMMYFUNCTION("""COMPUTED_VALUE"""),0.0)</f>
        <v>0</v>
      </c>
      <c r="AG212" s="16">
        <f>IFERROR(__xludf.DUMMYFUNCTION("""COMPUTED_VALUE"""),0.0)</f>
        <v>0</v>
      </c>
      <c r="AH212" s="16">
        <f>IFERROR(__xludf.DUMMYFUNCTION("""COMPUTED_VALUE"""),0.0)</f>
        <v>0</v>
      </c>
    </row>
    <row r="213">
      <c r="A213" s="16" t="str">
        <f>IFERROR(__xludf.DUMMYFUNCTION("""COMPUTED_VALUE"""),"b6ceacf9ec08a19cb30826c8277260c2339da0b3")</f>
        <v>b6ceacf9ec08a19cb30826c8277260c2339da0b3</v>
      </c>
      <c r="B213" s="16" t="str">
        <f>IFERROR(__xludf.DUMMYFUNCTION("""COMPUTED_VALUE"""),"Ruthless Betrayal ")</f>
        <v>Ruthless Betrayal </v>
      </c>
      <c r="C213" s="16" t="str">
        <f>IFERROR(__xludf.DUMMYFUNCTION("""COMPUTED_VALUE"""),"Romance")</f>
        <v>Romance</v>
      </c>
      <c r="D213" s="16">
        <f>IFERROR(__xludf.DUMMYFUNCTION("""COMPUTED_VALUE"""),502.0)</f>
        <v>502</v>
      </c>
      <c r="E213" s="16">
        <f>IFERROR(__xludf.DUMMYFUNCTION("""COMPUTED_VALUE"""),0.944223107569721)</f>
        <v>0.9442231076</v>
      </c>
      <c r="F213" s="16">
        <f>IFERROR(__xludf.DUMMYFUNCTION("""COMPUTED_VALUE"""),0.49800796812749)</f>
        <v>0.4980079681</v>
      </c>
      <c r="G213" s="16">
        <f>IFERROR(__xludf.DUMMYFUNCTION("""COMPUTED_VALUE"""),0.382470119521912)</f>
        <v>0.3824701195</v>
      </c>
      <c r="H213" s="16">
        <f>IFERROR(__xludf.DUMMYFUNCTION("""COMPUTED_VALUE"""),0.335329341317365)</f>
        <v>0.3353293413</v>
      </c>
      <c r="I213" s="16">
        <f>IFERROR(__xludf.DUMMYFUNCTION("""COMPUTED_VALUE"""),0.33066132264529)</f>
        <v>0.3306613226</v>
      </c>
      <c r="J213" s="16">
        <f>IFERROR(__xludf.DUMMYFUNCTION("""COMPUTED_VALUE"""),0.294117647058823)</f>
        <v>0.2941176471</v>
      </c>
      <c r="K213" s="16">
        <f>IFERROR(__xludf.DUMMYFUNCTION("""COMPUTED_VALUE"""),0.259713701431492)</f>
        <v>0.2597137014</v>
      </c>
      <c r="L213" s="16">
        <f>IFERROR(__xludf.DUMMYFUNCTION("""COMPUTED_VALUE"""),0.227272727272727)</f>
        <v>0.2272727273</v>
      </c>
      <c r="M213" s="16">
        <f>IFERROR(__xludf.DUMMYFUNCTION("""COMPUTED_VALUE"""),0.235416666666666)</f>
        <v>0.2354166667</v>
      </c>
      <c r="N213" s="16">
        <f>IFERROR(__xludf.DUMMYFUNCTION("""COMPUTED_VALUE"""),0.20886075949367)</f>
        <v>0.2088607595</v>
      </c>
      <c r="O213" s="16">
        <f>IFERROR(__xludf.DUMMYFUNCTION("""COMPUTED_VALUE"""),0.179824561403508)</f>
        <v>0.1798245614</v>
      </c>
      <c r="P213" s="16">
        <f>IFERROR(__xludf.DUMMYFUNCTION("""COMPUTED_VALUE"""),0.102625298329355)</f>
        <v>0.1026252983</v>
      </c>
      <c r="Q213" s="16">
        <f>IFERROR(__xludf.DUMMYFUNCTION("""COMPUTED_VALUE"""),0.0810055865921787)</f>
        <v>0.08100558659</v>
      </c>
      <c r="R213" s="16">
        <f>IFERROR(__xludf.DUMMYFUNCTION("""COMPUTED_VALUE"""),0.0)</f>
        <v>0</v>
      </c>
      <c r="S213" s="16">
        <f>IFERROR(__xludf.DUMMYFUNCTION("""COMPUTED_VALUE"""),0.0)</f>
        <v>0</v>
      </c>
      <c r="T213" s="16">
        <f>IFERROR(__xludf.DUMMYFUNCTION("""COMPUTED_VALUE"""),0.0)</f>
        <v>0</v>
      </c>
      <c r="U213" s="16">
        <f>IFERROR(__xludf.DUMMYFUNCTION("""COMPUTED_VALUE"""),0.0)</f>
        <v>0</v>
      </c>
      <c r="V213" s="16">
        <f>IFERROR(__xludf.DUMMYFUNCTION("""COMPUTED_VALUE"""),0.0)</f>
        <v>0</v>
      </c>
      <c r="W213" s="16">
        <f>IFERROR(__xludf.DUMMYFUNCTION("""COMPUTED_VALUE"""),0.0)</f>
        <v>0</v>
      </c>
      <c r="X213" s="16">
        <f>IFERROR(__xludf.DUMMYFUNCTION("""COMPUTED_VALUE"""),0.0)</f>
        <v>0</v>
      </c>
      <c r="Y213" s="16">
        <f>IFERROR(__xludf.DUMMYFUNCTION("""COMPUTED_VALUE"""),0.0)</f>
        <v>0</v>
      </c>
      <c r="Z213" s="16">
        <f>IFERROR(__xludf.DUMMYFUNCTION("""COMPUTED_VALUE"""),0.0)</f>
        <v>0</v>
      </c>
      <c r="AA213" s="16">
        <f>IFERROR(__xludf.DUMMYFUNCTION("""COMPUTED_VALUE"""),0.0)</f>
        <v>0</v>
      </c>
      <c r="AB213" s="16">
        <f>IFERROR(__xludf.DUMMYFUNCTION("""COMPUTED_VALUE"""),0.0)</f>
        <v>0</v>
      </c>
      <c r="AC213" s="16">
        <f>IFERROR(__xludf.DUMMYFUNCTION("""COMPUTED_VALUE"""),0.0)</f>
        <v>0</v>
      </c>
      <c r="AD213" s="16">
        <f>IFERROR(__xludf.DUMMYFUNCTION("""COMPUTED_VALUE"""),0.0)</f>
        <v>0</v>
      </c>
      <c r="AE213" s="16">
        <f>IFERROR(__xludf.DUMMYFUNCTION("""COMPUTED_VALUE"""),0.0)</f>
        <v>0</v>
      </c>
      <c r="AF213" s="16">
        <f>IFERROR(__xludf.DUMMYFUNCTION("""COMPUTED_VALUE"""),0.0)</f>
        <v>0</v>
      </c>
      <c r="AG213" s="16">
        <f>IFERROR(__xludf.DUMMYFUNCTION("""COMPUTED_VALUE"""),0.0)</f>
        <v>0</v>
      </c>
      <c r="AH213" s="16">
        <f>IFERROR(__xludf.DUMMYFUNCTION("""COMPUTED_VALUE"""),0.0)</f>
        <v>0</v>
      </c>
    </row>
    <row r="214">
      <c r="A214" s="16" t="str">
        <f>IFERROR(__xludf.DUMMYFUNCTION("""COMPUTED_VALUE"""),"b6dcffd8fcb56899f1036740aa43dcb9b648ffe5")</f>
        <v>b6dcffd8fcb56899f1036740aa43dcb9b648ffe5</v>
      </c>
      <c r="B214" s="16" t="str">
        <f>IFERROR(__xludf.DUMMYFUNCTION("""COMPUTED_VALUE"""),"His Zealous Years Ahead")</f>
        <v>His Zealous Years Ahead</v>
      </c>
      <c r="C214" s="16" t="str">
        <f>IFERROR(__xludf.DUMMYFUNCTION("""COMPUTED_VALUE"""),"Fantasy")</f>
        <v>Fantasy</v>
      </c>
      <c r="D214" s="16">
        <f>IFERROR(__xludf.DUMMYFUNCTION("""COMPUTED_VALUE"""),74.0)</f>
        <v>74</v>
      </c>
      <c r="E214" s="16">
        <f>IFERROR(__xludf.DUMMYFUNCTION("""COMPUTED_VALUE"""),0.972972972972973)</f>
        <v>0.972972973</v>
      </c>
      <c r="F214" s="16">
        <f>IFERROR(__xludf.DUMMYFUNCTION("""COMPUTED_VALUE"""),0.418918918918918)</f>
        <v>0.4189189189</v>
      </c>
      <c r="G214" s="16">
        <f>IFERROR(__xludf.DUMMYFUNCTION("""COMPUTED_VALUE"""),0.364864864864864)</f>
        <v>0.3648648649</v>
      </c>
      <c r="H214" s="16">
        <f>IFERROR(__xludf.DUMMYFUNCTION("""COMPUTED_VALUE"""),0.337837837837837)</f>
        <v>0.3378378378</v>
      </c>
      <c r="I214" s="16">
        <f>IFERROR(__xludf.DUMMYFUNCTION("""COMPUTED_VALUE"""),0.283783783783783)</f>
        <v>0.2837837838</v>
      </c>
      <c r="J214" s="16">
        <f>IFERROR(__xludf.DUMMYFUNCTION("""COMPUTED_VALUE"""),0.291666666666666)</f>
        <v>0.2916666667</v>
      </c>
      <c r="K214" s="16">
        <f>IFERROR(__xludf.DUMMYFUNCTION("""COMPUTED_VALUE"""),0.304347826086956)</f>
        <v>0.3043478261</v>
      </c>
      <c r="L214" s="16">
        <f>IFERROR(__xludf.DUMMYFUNCTION("""COMPUTED_VALUE"""),0.260869565217391)</f>
        <v>0.2608695652</v>
      </c>
      <c r="M214" s="16">
        <f>IFERROR(__xludf.DUMMYFUNCTION("""COMPUTED_VALUE"""),0.17391304347826)</f>
        <v>0.1739130435</v>
      </c>
      <c r="N214" s="16">
        <f>IFERROR(__xludf.DUMMYFUNCTION("""COMPUTED_VALUE"""),0.149253731343283)</f>
        <v>0.1492537313</v>
      </c>
      <c r="O214" s="16">
        <f>IFERROR(__xludf.DUMMYFUNCTION("""COMPUTED_VALUE"""),0.163636363636363)</f>
        <v>0.1636363636</v>
      </c>
      <c r="P214" s="16">
        <f>IFERROR(__xludf.DUMMYFUNCTION("""COMPUTED_VALUE"""),0.171428571428571)</f>
        <v>0.1714285714</v>
      </c>
      <c r="Q214" s="16">
        <f>IFERROR(__xludf.DUMMYFUNCTION("""COMPUTED_VALUE"""),0.0)</f>
        <v>0</v>
      </c>
      <c r="R214" s="16">
        <f>IFERROR(__xludf.DUMMYFUNCTION("""COMPUTED_VALUE"""),0.0)</f>
        <v>0</v>
      </c>
      <c r="S214" s="16">
        <f>IFERROR(__xludf.DUMMYFUNCTION("""COMPUTED_VALUE"""),0.0)</f>
        <v>0</v>
      </c>
      <c r="T214" s="16">
        <f>IFERROR(__xludf.DUMMYFUNCTION("""COMPUTED_VALUE"""),0.0)</f>
        <v>0</v>
      </c>
      <c r="U214" s="16">
        <f>IFERROR(__xludf.DUMMYFUNCTION("""COMPUTED_VALUE"""),0.0)</f>
        <v>0</v>
      </c>
      <c r="V214" s="16">
        <f>IFERROR(__xludf.DUMMYFUNCTION("""COMPUTED_VALUE"""),0.0)</f>
        <v>0</v>
      </c>
      <c r="W214" s="16">
        <f>IFERROR(__xludf.DUMMYFUNCTION("""COMPUTED_VALUE"""),0.0)</f>
        <v>0</v>
      </c>
      <c r="X214" s="16">
        <f>IFERROR(__xludf.DUMMYFUNCTION("""COMPUTED_VALUE"""),0.0)</f>
        <v>0</v>
      </c>
      <c r="Y214" s="16">
        <f>IFERROR(__xludf.DUMMYFUNCTION("""COMPUTED_VALUE"""),0.0)</f>
        <v>0</v>
      </c>
      <c r="Z214" s="16">
        <f>IFERROR(__xludf.DUMMYFUNCTION("""COMPUTED_VALUE"""),0.0)</f>
        <v>0</v>
      </c>
      <c r="AA214" s="16">
        <f>IFERROR(__xludf.DUMMYFUNCTION("""COMPUTED_VALUE"""),0.0)</f>
        <v>0</v>
      </c>
      <c r="AB214" s="16">
        <f>IFERROR(__xludf.DUMMYFUNCTION("""COMPUTED_VALUE"""),0.0)</f>
        <v>0</v>
      </c>
      <c r="AC214" s="16">
        <f>IFERROR(__xludf.DUMMYFUNCTION("""COMPUTED_VALUE"""),0.0)</f>
        <v>0</v>
      </c>
      <c r="AD214" s="16">
        <f>IFERROR(__xludf.DUMMYFUNCTION("""COMPUTED_VALUE"""),0.0)</f>
        <v>0</v>
      </c>
      <c r="AE214" s="16">
        <f>IFERROR(__xludf.DUMMYFUNCTION("""COMPUTED_VALUE"""),0.0)</f>
        <v>0</v>
      </c>
      <c r="AF214" s="16">
        <f>IFERROR(__xludf.DUMMYFUNCTION("""COMPUTED_VALUE"""),0.0)</f>
        <v>0</v>
      </c>
      <c r="AG214" s="16">
        <f>IFERROR(__xludf.DUMMYFUNCTION("""COMPUTED_VALUE"""),0.0)</f>
        <v>0</v>
      </c>
      <c r="AH214" s="16">
        <f>IFERROR(__xludf.DUMMYFUNCTION("""COMPUTED_VALUE"""),0.0)</f>
        <v>0</v>
      </c>
    </row>
    <row r="215">
      <c r="A215" s="16" t="str">
        <f>IFERROR(__xludf.DUMMYFUNCTION("""COMPUTED_VALUE"""),"b7410aeb19f92f7df4ccab821b5a28bfd7d73027")</f>
        <v>b7410aeb19f92f7df4ccab821b5a28bfd7d73027</v>
      </c>
      <c r="B215" s="16" t="str">
        <f>IFERROR(__xludf.DUMMYFUNCTION("""COMPUTED_VALUE"""),"Alpha Regulus")</f>
        <v>Alpha Regulus</v>
      </c>
      <c r="C215" s="16" t="str">
        <f>IFERROR(__xludf.DUMMYFUNCTION("""COMPUTED_VALUE"""),"Romantasy")</f>
        <v>Romantasy</v>
      </c>
      <c r="D215" s="16">
        <f>IFERROR(__xludf.DUMMYFUNCTION("""COMPUTED_VALUE"""),1314.0)</f>
        <v>1314</v>
      </c>
      <c r="E215" s="16">
        <f>IFERROR(__xludf.DUMMYFUNCTION("""COMPUTED_VALUE"""),0.971841704718417)</f>
        <v>0.9718417047</v>
      </c>
      <c r="F215" s="16">
        <f>IFERROR(__xludf.DUMMYFUNCTION("""COMPUTED_VALUE"""),0.482496194824961)</f>
        <v>0.4824961948</v>
      </c>
      <c r="G215" s="16">
        <f>IFERROR(__xludf.DUMMYFUNCTION("""COMPUTED_VALUE"""),0.376712328767123)</f>
        <v>0.3767123288</v>
      </c>
      <c r="H215" s="16">
        <f>IFERROR(__xludf.DUMMYFUNCTION("""COMPUTED_VALUE"""),0.318873668188736)</f>
        <v>0.3188736682</v>
      </c>
      <c r="I215" s="16">
        <f>IFERROR(__xludf.DUMMYFUNCTION("""COMPUTED_VALUE"""),0.266362252663622)</f>
        <v>0.2663622527</v>
      </c>
      <c r="J215" s="16">
        <f>IFERROR(__xludf.DUMMYFUNCTION("""COMPUTED_VALUE"""),0.244292237442922)</f>
        <v>0.2442922374</v>
      </c>
      <c r="K215" s="16">
        <f>IFERROR(__xludf.DUMMYFUNCTION("""COMPUTED_VALUE"""),0.226027397260273)</f>
        <v>0.2260273973</v>
      </c>
      <c r="L215" s="16">
        <f>IFERROR(__xludf.DUMMYFUNCTION("""COMPUTED_VALUE"""),0.196646341463414)</f>
        <v>0.1966463415</v>
      </c>
      <c r="M215" s="16">
        <f>IFERROR(__xludf.DUMMYFUNCTION("""COMPUTED_VALUE"""),0.181540808543096)</f>
        <v>0.1815408085</v>
      </c>
      <c r="N215" s="16">
        <f>IFERROR(__xludf.DUMMYFUNCTION("""COMPUTED_VALUE"""),0.170992366412213)</f>
        <v>0.1709923664</v>
      </c>
      <c r="O215" s="16">
        <f>IFERROR(__xludf.DUMMYFUNCTION("""COMPUTED_VALUE"""),0.128165771297006)</f>
        <v>0.1281657713</v>
      </c>
      <c r="P215" s="16">
        <f>IFERROR(__xludf.DUMMYFUNCTION("""COMPUTED_VALUE"""),0.103653355989804)</f>
        <v>0.103653356</v>
      </c>
      <c r="Q215" s="16">
        <f>IFERROR(__xludf.DUMMYFUNCTION("""COMPUTED_VALUE"""),0.0894988066825775)</f>
        <v>0.08949880668</v>
      </c>
      <c r="R215" s="16">
        <f>IFERROR(__xludf.DUMMYFUNCTION("""COMPUTED_VALUE"""),0.0667475728155339)</f>
        <v>0.06674757282</v>
      </c>
      <c r="S215" s="16">
        <f>IFERROR(__xludf.DUMMYFUNCTION("""COMPUTED_VALUE"""),0.0613079019073569)</f>
        <v>0.06130790191</v>
      </c>
      <c r="T215" s="16">
        <f>IFERROR(__xludf.DUMMYFUNCTION("""COMPUTED_VALUE"""),0.0556438791732909)</f>
        <v>0.05564387917</v>
      </c>
      <c r="U215" s="16">
        <f>IFERROR(__xludf.DUMMYFUNCTION("""COMPUTED_VALUE"""),0.0412541254125412)</f>
        <v>0.04125412541</v>
      </c>
      <c r="V215" s="16">
        <f>IFERROR(__xludf.DUMMYFUNCTION("""COMPUTED_VALUE"""),0.0292096219931271)</f>
        <v>0.02920962199</v>
      </c>
      <c r="W215" s="16">
        <f>IFERROR(__xludf.DUMMYFUNCTION("""COMPUTED_VALUE"""),0.0291970802919708)</f>
        <v>0.02919708029</v>
      </c>
      <c r="X215" s="16">
        <f>IFERROR(__xludf.DUMMYFUNCTION("""COMPUTED_VALUE"""),0.0272373540856031)</f>
        <v>0.02723735409</v>
      </c>
      <c r="Y215" s="16">
        <f>IFERROR(__xludf.DUMMYFUNCTION("""COMPUTED_VALUE"""),0.111111111111111)</f>
        <v>0.1111111111</v>
      </c>
      <c r="Z215" s="16">
        <f>IFERROR(__xludf.DUMMYFUNCTION("""COMPUTED_VALUE"""),0.0)</f>
        <v>0</v>
      </c>
      <c r="AA215" s="16">
        <f>IFERROR(__xludf.DUMMYFUNCTION("""COMPUTED_VALUE"""),0.0)</f>
        <v>0</v>
      </c>
      <c r="AB215" s="16">
        <f>IFERROR(__xludf.DUMMYFUNCTION("""COMPUTED_VALUE"""),0.0)</f>
        <v>0</v>
      </c>
      <c r="AC215" s="16">
        <f>IFERROR(__xludf.DUMMYFUNCTION("""COMPUTED_VALUE"""),0.0)</f>
        <v>0</v>
      </c>
      <c r="AD215" s="16">
        <f>IFERROR(__xludf.DUMMYFUNCTION("""COMPUTED_VALUE"""),0.0)</f>
        <v>0</v>
      </c>
      <c r="AE215" s="16">
        <f>IFERROR(__xludf.DUMMYFUNCTION("""COMPUTED_VALUE"""),0.0)</f>
        <v>0</v>
      </c>
      <c r="AF215" s="16">
        <f>IFERROR(__xludf.DUMMYFUNCTION("""COMPUTED_VALUE"""),0.0)</f>
        <v>0</v>
      </c>
      <c r="AG215" s="16">
        <f>IFERROR(__xludf.DUMMYFUNCTION("""COMPUTED_VALUE"""),0.0)</f>
        <v>0</v>
      </c>
      <c r="AH215" s="16">
        <f>IFERROR(__xludf.DUMMYFUNCTION("""COMPUTED_VALUE"""),0.0)</f>
        <v>0</v>
      </c>
    </row>
    <row r="216">
      <c r="A216" s="16" t="str">
        <f>IFERROR(__xludf.DUMMYFUNCTION("""COMPUTED_VALUE"""),"b7e62e1ec65efcef334c2161afd00edf7b5a2b09")</f>
        <v>b7e62e1ec65efcef334c2161afd00edf7b5a2b09</v>
      </c>
      <c r="B216" s="16" t="str">
        <f>IFERROR(__xludf.DUMMYFUNCTION("""COMPUTED_VALUE"""),"Thrones and Passion")</f>
        <v>Thrones and Passion</v>
      </c>
      <c r="C216" s="16" t="str">
        <f>IFERROR(__xludf.DUMMYFUNCTION("""COMPUTED_VALUE"""),"Romance")</f>
        <v>Romance</v>
      </c>
      <c r="D216" s="16">
        <f>IFERROR(__xludf.DUMMYFUNCTION("""COMPUTED_VALUE"""),1057.0)</f>
        <v>1057</v>
      </c>
      <c r="E216" s="16">
        <f>IFERROR(__xludf.DUMMYFUNCTION("""COMPUTED_VALUE"""),0.97918637653737)</f>
        <v>0.9791863765</v>
      </c>
      <c r="F216" s="16">
        <f>IFERROR(__xludf.DUMMYFUNCTION("""COMPUTED_VALUE"""),0.438978240302743)</f>
        <v>0.4389782403</v>
      </c>
      <c r="G216" s="16">
        <f>IFERROR(__xludf.DUMMYFUNCTION("""COMPUTED_VALUE"""),0.359508041627246)</f>
        <v>0.3595080416</v>
      </c>
      <c r="H216" s="16">
        <f>IFERROR(__xludf.DUMMYFUNCTION("""COMPUTED_VALUE"""),0.329857819905213)</f>
        <v>0.3298578199</v>
      </c>
      <c r="I216" s="16">
        <f>IFERROR(__xludf.DUMMYFUNCTION("""COMPUTED_VALUE"""),0.309248554913294)</f>
        <v>0.3092485549</v>
      </c>
      <c r="J216" s="16">
        <f>IFERROR(__xludf.DUMMYFUNCTION("""COMPUTED_VALUE"""),0.292443572129538)</f>
        <v>0.2924435721</v>
      </c>
      <c r="K216" s="16">
        <f>IFERROR(__xludf.DUMMYFUNCTION("""COMPUTED_VALUE"""),0.278165503489531)</f>
        <v>0.2781655035</v>
      </c>
      <c r="L216" s="16">
        <f>IFERROR(__xludf.DUMMYFUNCTION("""COMPUTED_VALUE"""),0.272051009564293)</f>
        <v>0.2720510096</v>
      </c>
      <c r="M216" s="16">
        <f>IFERROR(__xludf.DUMMYFUNCTION("""COMPUTED_VALUE"""),0.253246753246753)</f>
        <v>0.2532467532</v>
      </c>
      <c r="N216" s="16">
        <f>IFERROR(__xludf.DUMMYFUNCTION("""COMPUTED_VALUE"""),0.234042553191489)</f>
        <v>0.2340425532</v>
      </c>
      <c r="O216" s="16">
        <f>IFERROR(__xludf.DUMMYFUNCTION("""COMPUTED_VALUE"""),0.203576341127922)</f>
        <v>0.2035763411</v>
      </c>
      <c r="P216" s="16">
        <f>IFERROR(__xludf.DUMMYFUNCTION("""COMPUTED_VALUE"""),0.200477326968973)</f>
        <v>0.200477327</v>
      </c>
      <c r="Q216" s="16">
        <f>IFERROR(__xludf.DUMMYFUNCTION("""COMPUTED_VALUE"""),0.171052631578947)</f>
        <v>0.1710526316</v>
      </c>
      <c r="R216" s="16">
        <f>IFERROR(__xludf.DUMMYFUNCTION("""COMPUTED_VALUE"""),0.0)</f>
        <v>0</v>
      </c>
      <c r="S216" s="16">
        <f>IFERROR(__xludf.DUMMYFUNCTION("""COMPUTED_VALUE"""),0.0)</f>
        <v>0</v>
      </c>
      <c r="T216" s="16">
        <f>IFERROR(__xludf.DUMMYFUNCTION("""COMPUTED_VALUE"""),0.0)</f>
        <v>0</v>
      </c>
      <c r="U216" s="16">
        <f>IFERROR(__xludf.DUMMYFUNCTION("""COMPUTED_VALUE"""),0.0)</f>
        <v>0</v>
      </c>
      <c r="V216" s="16">
        <f>IFERROR(__xludf.DUMMYFUNCTION("""COMPUTED_VALUE"""),0.0)</f>
        <v>0</v>
      </c>
      <c r="W216" s="16">
        <f>IFERROR(__xludf.DUMMYFUNCTION("""COMPUTED_VALUE"""),0.0)</f>
        <v>0</v>
      </c>
      <c r="X216" s="16">
        <f>IFERROR(__xludf.DUMMYFUNCTION("""COMPUTED_VALUE"""),0.0)</f>
        <v>0</v>
      </c>
      <c r="Y216" s="16">
        <f>IFERROR(__xludf.DUMMYFUNCTION("""COMPUTED_VALUE"""),0.0)</f>
        <v>0</v>
      </c>
      <c r="Z216" s="16">
        <f>IFERROR(__xludf.DUMMYFUNCTION("""COMPUTED_VALUE"""),0.0)</f>
        <v>0</v>
      </c>
      <c r="AA216" s="16">
        <f>IFERROR(__xludf.DUMMYFUNCTION("""COMPUTED_VALUE"""),0.0)</f>
        <v>0</v>
      </c>
      <c r="AB216" s="16">
        <f>IFERROR(__xludf.DUMMYFUNCTION("""COMPUTED_VALUE"""),0.0)</f>
        <v>0</v>
      </c>
      <c r="AC216" s="16">
        <f>IFERROR(__xludf.DUMMYFUNCTION("""COMPUTED_VALUE"""),0.0)</f>
        <v>0</v>
      </c>
      <c r="AD216" s="16">
        <f>IFERROR(__xludf.DUMMYFUNCTION("""COMPUTED_VALUE"""),0.0)</f>
        <v>0</v>
      </c>
      <c r="AE216" s="16">
        <f>IFERROR(__xludf.DUMMYFUNCTION("""COMPUTED_VALUE"""),0.0)</f>
        <v>0</v>
      </c>
      <c r="AF216" s="16">
        <f>IFERROR(__xludf.DUMMYFUNCTION("""COMPUTED_VALUE"""),0.0)</f>
        <v>0</v>
      </c>
      <c r="AG216" s="16">
        <f>IFERROR(__xludf.DUMMYFUNCTION("""COMPUTED_VALUE"""),0.0)</f>
        <v>0</v>
      </c>
      <c r="AH216" s="16">
        <f>IFERROR(__xludf.DUMMYFUNCTION("""COMPUTED_VALUE"""),0.0)</f>
        <v>0</v>
      </c>
    </row>
    <row r="217">
      <c r="A217" s="16" t="str">
        <f>IFERROR(__xludf.DUMMYFUNCTION("""COMPUTED_VALUE"""),"b9a354d5a24377ec29b0e331be59b7128bbe93a1")</f>
        <v>b9a354d5a24377ec29b0e331be59b7128bbe93a1</v>
      </c>
      <c r="B217" s="16" t="str">
        <f>IFERROR(__xludf.DUMMYFUNCTION("""COMPUTED_VALUE"""),"The Heir They Feared")</f>
        <v>The Heir They Feared</v>
      </c>
      <c r="C217" s="16" t="str">
        <f>IFERROR(__xludf.DUMMYFUNCTION("""COMPUTED_VALUE"""),"Drama")</f>
        <v>Drama</v>
      </c>
      <c r="D217" s="16">
        <f>IFERROR(__xludf.DUMMYFUNCTION("""COMPUTED_VALUE"""),12.0)</f>
        <v>12</v>
      </c>
      <c r="E217" s="16">
        <f>IFERROR(__xludf.DUMMYFUNCTION("""COMPUTED_VALUE"""),1.0)</f>
        <v>1</v>
      </c>
      <c r="F217" s="16">
        <f>IFERROR(__xludf.DUMMYFUNCTION("""COMPUTED_VALUE"""),0.75)</f>
        <v>0.75</v>
      </c>
      <c r="G217" s="16">
        <f>IFERROR(__xludf.DUMMYFUNCTION("""COMPUTED_VALUE"""),0.75)</f>
        <v>0.75</v>
      </c>
      <c r="H217" s="16">
        <f>IFERROR(__xludf.DUMMYFUNCTION("""COMPUTED_VALUE"""),0.666666666666666)</f>
        <v>0.6666666667</v>
      </c>
      <c r="I217" s="16">
        <f>IFERROR(__xludf.DUMMYFUNCTION("""COMPUTED_VALUE"""),0.666666666666666)</f>
        <v>0.6666666667</v>
      </c>
      <c r="J217" s="16">
        <f>IFERROR(__xludf.DUMMYFUNCTION("""COMPUTED_VALUE"""),0.583333333333333)</f>
        <v>0.5833333333</v>
      </c>
      <c r="K217" s="16">
        <f>IFERROR(__xludf.DUMMYFUNCTION("""COMPUTED_VALUE"""),0.583333333333333)</f>
        <v>0.5833333333</v>
      </c>
      <c r="L217" s="16">
        <f>IFERROR(__xludf.DUMMYFUNCTION("""COMPUTED_VALUE"""),0.6)</f>
        <v>0.6</v>
      </c>
      <c r="M217" s="16">
        <f>IFERROR(__xludf.DUMMYFUNCTION("""COMPUTED_VALUE"""),0.428571428571428)</f>
        <v>0.4285714286</v>
      </c>
      <c r="N217" s="16">
        <f>IFERROR(__xludf.DUMMYFUNCTION("""COMPUTED_VALUE"""),0.166666666666666)</f>
        <v>0.1666666667</v>
      </c>
      <c r="O217" s="16">
        <f>IFERROR(__xludf.DUMMYFUNCTION("""COMPUTED_VALUE"""),0.0)</f>
        <v>0</v>
      </c>
      <c r="P217" s="16">
        <f>IFERROR(__xludf.DUMMYFUNCTION("""COMPUTED_VALUE"""),0.0)</f>
        <v>0</v>
      </c>
      <c r="Q217" s="16">
        <f>IFERROR(__xludf.DUMMYFUNCTION("""COMPUTED_VALUE"""),0.0)</f>
        <v>0</v>
      </c>
      <c r="R217" s="16">
        <f>IFERROR(__xludf.DUMMYFUNCTION("""COMPUTED_VALUE"""),0.0)</f>
        <v>0</v>
      </c>
      <c r="S217" s="16">
        <f>IFERROR(__xludf.DUMMYFUNCTION("""COMPUTED_VALUE"""),0.0)</f>
        <v>0</v>
      </c>
      <c r="T217" s="16">
        <f>IFERROR(__xludf.DUMMYFUNCTION("""COMPUTED_VALUE"""),0.0)</f>
        <v>0</v>
      </c>
      <c r="U217" s="16">
        <f>IFERROR(__xludf.DUMMYFUNCTION("""COMPUTED_VALUE"""),0.0)</f>
        <v>0</v>
      </c>
      <c r="V217" s="16">
        <f>IFERROR(__xludf.DUMMYFUNCTION("""COMPUTED_VALUE"""),0.0)</f>
        <v>0</v>
      </c>
      <c r="W217" s="16">
        <f>IFERROR(__xludf.DUMMYFUNCTION("""COMPUTED_VALUE"""),0.0)</f>
        <v>0</v>
      </c>
      <c r="X217" s="16">
        <f>IFERROR(__xludf.DUMMYFUNCTION("""COMPUTED_VALUE"""),0.0)</f>
        <v>0</v>
      </c>
      <c r="Y217" s="16">
        <f>IFERROR(__xludf.DUMMYFUNCTION("""COMPUTED_VALUE"""),0.0)</f>
        <v>0</v>
      </c>
      <c r="Z217" s="16">
        <f>IFERROR(__xludf.DUMMYFUNCTION("""COMPUTED_VALUE"""),0.0)</f>
        <v>0</v>
      </c>
      <c r="AA217" s="16">
        <f>IFERROR(__xludf.DUMMYFUNCTION("""COMPUTED_VALUE"""),0.0)</f>
        <v>0</v>
      </c>
      <c r="AB217" s="16">
        <f>IFERROR(__xludf.DUMMYFUNCTION("""COMPUTED_VALUE"""),0.0)</f>
        <v>0</v>
      </c>
      <c r="AC217" s="16">
        <f>IFERROR(__xludf.DUMMYFUNCTION("""COMPUTED_VALUE"""),0.0)</f>
        <v>0</v>
      </c>
      <c r="AD217" s="16">
        <f>IFERROR(__xludf.DUMMYFUNCTION("""COMPUTED_VALUE"""),0.0)</f>
        <v>0</v>
      </c>
      <c r="AE217" s="16">
        <f>IFERROR(__xludf.DUMMYFUNCTION("""COMPUTED_VALUE"""),0.0)</f>
        <v>0</v>
      </c>
      <c r="AF217" s="16">
        <f>IFERROR(__xludf.DUMMYFUNCTION("""COMPUTED_VALUE"""),0.0)</f>
        <v>0</v>
      </c>
      <c r="AG217" s="16">
        <f>IFERROR(__xludf.DUMMYFUNCTION("""COMPUTED_VALUE"""),0.0)</f>
        <v>0</v>
      </c>
      <c r="AH217" s="16">
        <f>IFERROR(__xludf.DUMMYFUNCTION("""COMPUTED_VALUE"""),0.0)</f>
        <v>0</v>
      </c>
    </row>
    <row r="218">
      <c r="A218" s="16" t="str">
        <f>IFERROR(__xludf.DUMMYFUNCTION("""COMPUTED_VALUE"""),"ba0633322d2e3b1f5dc385fdef11110ad663eca3")</f>
        <v>ba0633322d2e3b1f5dc385fdef11110ad663eca3</v>
      </c>
      <c r="B218" s="16" t="str">
        <f>IFERROR(__xludf.DUMMYFUNCTION("""COMPUTED_VALUE"""),"Fated Billionaire Love")</f>
        <v>Fated Billionaire Love</v>
      </c>
      <c r="C218" s="16" t="str">
        <f>IFERROR(__xludf.DUMMYFUNCTION("""COMPUTED_VALUE"""),"Romance")</f>
        <v>Romance</v>
      </c>
      <c r="D218" s="16">
        <f>IFERROR(__xludf.DUMMYFUNCTION("""COMPUTED_VALUE"""),317.0)</f>
        <v>317</v>
      </c>
      <c r="E218" s="16">
        <f>IFERROR(__xludf.DUMMYFUNCTION("""COMPUTED_VALUE"""),0.952681388012618)</f>
        <v>0.952681388</v>
      </c>
      <c r="F218" s="16">
        <f>IFERROR(__xludf.DUMMYFUNCTION("""COMPUTED_VALUE"""),0.662460567823343)</f>
        <v>0.6624605678</v>
      </c>
      <c r="G218" s="16">
        <f>IFERROR(__xludf.DUMMYFUNCTION("""COMPUTED_VALUE"""),0.52365930599369)</f>
        <v>0.523659306</v>
      </c>
      <c r="H218" s="16">
        <f>IFERROR(__xludf.DUMMYFUNCTION("""COMPUTED_VALUE"""),0.439873417721519)</f>
        <v>0.4398734177</v>
      </c>
      <c r="I218" s="16">
        <f>IFERROR(__xludf.DUMMYFUNCTION("""COMPUTED_VALUE"""),0.384126984126984)</f>
        <v>0.3841269841</v>
      </c>
      <c r="J218" s="16">
        <f>IFERROR(__xludf.DUMMYFUNCTION("""COMPUTED_VALUE"""),0.349206349206349)</f>
        <v>0.3492063492</v>
      </c>
      <c r="K218" s="16">
        <f>IFERROR(__xludf.DUMMYFUNCTION("""COMPUTED_VALUE"""),0.323809523809523)</f>
        <v>0.3238095238</v>
      </c>
      <c r="L218" s="16">
        <f>IFERROR(__xludf.DUMMYFUNCTION("""COMPUTED_VALUE"""),0.285714285714285)</f>
        <v>0.2857142857</v>
      </c>
      <c r="M218" s="16">
        <f>IFERROR(__xludf.DUMMYFUNCTION("""COMPUTED_VALUE"""),0.282539682539682)</f>
        <v>0.2825396825</v>
      </c>
      <c r="N218" s="16">
        <f>IFERROR(__xludf.DUMMYFUNCTION("""COMPUTED_VALUE"""),0.280254777070063)</f>
        <v>0.2802547771</v>
      </c>
      <c r="O218" s="16">
        <f>IFERROR(__xludf.DUMMYFUNCTION("""COMPUTED_VALUE"""),0.231511254019292)</f>
        <v>0.231511254</v>
      </c>
      <c r="P218" s="16">
        <f>IFERROR(__xludf.DUMMYFUNCTION("""COMPUTED_VALUE"""),0.184818481848184)</f>
        <v>0.1848184818</v>
      </c>
      <c r="Q218" s="16">
        <f>IFERROR(__xludf.DUMMYFUNCTION("""COMPUTED_VALUE"""),0.111111111111111)</f>
        <v>0.1111111111</v>
      </c>
      <c r="R218" s="16">
        <f>IFERROR(__xludf.DUMMYFUNCTION("""COMPUTED_VALUE"""),0.0)</f>
        <v>0</v>
      </c>
      <c r="S218" s="16">
        <f>IFERROR(__xludf.DUMMYFUNCTION("""COMPUTED_VALUE"""),0.0)</f>
        <v>0</v>
      </c>
      <c r="T218" s="16">
        <f>IFERROR(__xludf.DUMMYFUNCTION("""COMPUTED_VALUE"""),0.0)</f>
        <v>0</v>
      </c>
      <c r="U218" s="16">
        <f>IFERROR(__xludf.DUMMYFUNCTION("""COMPUTED_VALUE"""),0.0)</f>
        <v>0</v>
      </c>
      <c r="V218" s="16">
        <f>IFERROR(__xludf.DUMMYFUNCTION("""COMPUTED_VALUE"""),0.0)</f>
        <v>0</v>
      </c>
      <c r="W218" s="16">
        <f>IFERROR(__xludf.DUMMYFUNCTION("""COMPUTED_VALUE"""),0.0)</f>
        <v>0</v>
      </c>
      <c r="X218" s="16">
        <f>IFERROR(__xludf.DUMMYFUNCTION("""COMPUTED_VALUE"""),0.0)</f>
        <v>0</v>
      </c>
      <c r="Y218" s="16">
        <f>IFERROR(__xludf.DUMMYFUNCTION("""COMPUTED_VALUE"""),0.0)</f>
        <v>0</v>
      </c>
      <c r="Z218" s="16">
        <f>IFERROR(__xludf.DUMMYFUNCTION("""COMPUTED_VALUE"""),0.0)</f>
        <v>0</v>
      </c>
      <c r="AA218" s="16">
        <f>IFERROR(__xludf.DUMMYFUNCTION("""COMPUTED_VALUE"""),0.0)</f>
        <v>0</v>
      </c>
      <c r="AB218" s="16">
        <f>IFERROR(__xludf.DUMMYFUNCTION("""COMPUTED_VALUE"""),0.0)</f>
        <v>0</v>
      </c>
      <c r="AC218" s="16">
        <f>IFERROR(__xludf.DUMMYFUNCTION("""COMPUTED_VALUE"""),0.0)</f>
        <v>0</v>
      </c>
      <c r="AD218" s="16">
        <f>IFERROR(__xludf.DUMMYFUNCTION("""COMPUTED_VALUE"""),0.0)</f>
        <v>0</v>
      </c>
      <c r="AE218" s="16">
        <f>IFERROR(__xludf.DUMMYFUNCTION("""COMPUTED_VALUE"""),0.0)</f>
        <v>0</v>
      </c>
      <c r="AF218" s="16">
        <f>IFERROR(__xludf.DUMMYFUNCTION("""COMPUTED_VALUE"""),0.0)</f>
        <v>0</v>
      </c>
      <c r="AG218" s="16">
        <f>IFERROR(__xludf.DUMMYFUNCTION("""COMPUTED_VALUE"""),0.0)</f>
        <v>0</v>
      </c>
      <c r="AH218" s="16">
        <f>IFERROR(__xludf.DUMMYFUNCTION("""COMPUTED_VALUE"""),0.0)</f>
        <v>0</v>
      </c>
    </row>
    <row r="219">
      <c r="A219" s="16" t="str">
        <f>IFERROR(__xludf.DUMMYFUNCTION("""COMPUTED_VALUE"""),"ba1065d04424754ef65327a97989402f6a123e5a")</f>
        <v>ba1065d04424754ef65327a97989402f6a123e5a</v>
      </c>
      <c r="B219" s="16" t="str">
        <f>IFERROR(__xludf.DUMMYFUNCTION("""COMPUTED_VALUE"""),"Yours by Accident")</f>
        <v>Yours by Accident</v>
      </c>
      <c r="C219" s="16" t="str">
        <f>IFERROR(__xludf.DUMMYFUNCTION("""COMPUTED_VALUE"""),"Romance")</f>
        <v>Romance</v>
      </c>
      <c r="D219" s="16">
        <f>IFERROR(__xludf.DUMMYFUNCTION("""COMPUTED_VALUE"""),410.0)</f>
        <v>410</v>
      </c>
      <c r="E219" s="16">
        <f>IFERROR(__xludf.DUMMYFUNCTION("""COMPUTED_VALUE"""),0.968292682926829)</f>
        <v>0.9682926829</v>
      </c>
      <c r="F219" s="16">
        <f>IFERROR(__xludf.DUMMYFUNCTION("""COMPUTED_VALUE"""),0.556097560975609)</f>
        <v>0.556097561</v>
      </c>
      <c r="G219" s="16">
        <f>IFERROR(__xludf.DUMMYFUNCTION("""COMPUTED_VALUE"""),0.465853658536585)</f>
        <v>0.4658536585</v>
      </c>
      <c r="H219" s="16">
        <f>IFERROR(__xludf.DUMMYFUNCTION("""COMPUTED_VALUE"""),0.422982885085574)</f>
        <v>0.4229828851</v>
      </c>
      <c r="I219" s="16">
        <f>IFERROR(__xludf.DUMMYFUNCTION("""COMPUTED_VALUE"""),0.333333333333333)</f>
        <v>0.3333333333</v>
      </c>
      <c r="J219" s="16">
        <f>IFERROR(__xludf.DUMMYFUNCTION("""COMPUTED_VALUE"""),0.297029702970297)</f>
        <v>0.297029703</v>
      </c>
      <c r="K219" s="16">
        <f>IFERROR(__xludf.DUMMYFUNCTION("""COMPUTED_VALUE"""),0.265)</f>
        <v>0.265</v>
      </c>
      <c r="L219" s="16">
        <f>IFERROR(__xludf.DUMMYFUNCTION("""COMPUTED_VALUE"""),0.244274809160305)</f>
        <v>0.2442748092</v>
      </c>
      <c r="M219" s="16">
        <f>IFERROR(__xludf.DUMMYFUNCTION("""COMPUTED_VALUE"""),0.22680412371134)</f>
        <v>0.2268041237</v>
      </c>
      <c r="N219" s="16">
        <f>IFERROR(__xludf.DUMMYFUNCTION("""COMPUTED_VALUE"""),0.214099216710182)</f>
        <v>0.2140992167</v>
      </c>
      <c r="O219" s="16">
        <f>IFERROR(__xludf.DUMMYFUNCTION("""COMPUTED_VALUE"""),0.181818181818181)</f>
        <v>0.1818181818</v>
      </c>
      <c r="P219" s="16">
        <f>IFERROR(__xludf.DUMMYFUNCTION("""COMPUTED_VALUE"""),0.0930232558139534)</f>
        <v>0.09302325581</v>
      </c>
      <c r="Q219" s="16">
        <f>IFERROR(__xludf.DUMMYFUNCTION("""COMPUTED_VALUE"""),0.072)</f>
        <v>0.072</v>
      </c>
      <c r="R219" s="16">
        <f>IFERROR(__xludf.DUMMYFUNCTION("""COMPUTED_VALUE"""),0.0389610389610389)</f>
        <v>0.03896103896</v>
      </c>
      <c r="S219" s="16">
        <f>IFERROR(__xludf.DUMMYFUNCTION("""COMPUTED_VALUE"""),0.0225225225225225)</f>
        <v>0.02252252252</v>
      </c>
      <c r="T219" s="16">
        <f>IFERROR(__xludf.DUMMYFUNCTION("""COMPUTED_VALUE"""),0.00512820512820512)</f>
        <v>0.005128205128</v>
      </c>
      <c r="U219" s="16">
        <f>IFERROR(__xludf.DUMMYFUNCTION("""COMPUTED_VALUE"""),0.0)</f>
        <v>0</v>
      </c>
      <c r="V219" s="16">
        <f>IFERROR(__xludf.DUMMYFUNCTION("""COMPUTED_VALUE"""),0.0)</f>
        <v>0</v>
      </c>
      <c r="W219" s="16">
        <f>IFERROR(__xludf.DUMMYFUNCTION("""COMPUTED_VALUE"""),0.0)</f>
        <v>0</v>
      </c>
      <c r="X219" s="16">
        <f>IFERROR(__xludf.DUMMYFUNCTION("""COMPUTED_VALUE"""),0.0)</f>
        <v>0</v>
      </c>
      <c r="Y219" s="16">
        <f>IFERROR(__xludf.DUMMYFUNCTION("""COMPUTED_VALUE"""),0.0)</f>
        <v>0</v>
      </c>
      <c r="Z219" s="16">
        <f>IFERROR(__xludf.DUMMYFUNCTION("""COMPUTED_VALUE"""),0.0)</f>
        <v>0</v>
      </c>
      <c r="AA219" s="16">
        <f>IFERROR(__xludf.DUMMYFUNCTION("""COMPUTED_VALUE"""),0.0)</f>
        <v>0</v>
      </c>
      <c r="AB219" s="16">
        <f>IFERROR(__xludf.DUMMYFUNCTION("""COMPUTED_VALUE"""),0.0)</f>
        <v>0</v>
      </c>
      <c r="AC219" s="16">
        <f>IFERROR(__xludf.DUMMYFUNCTION("""COMPUTED_VALUE"""),0.0)</f>
        <v>0</v>
      </c>
      <c r="AD219" s="16">
        <f>IFERROR(__xludf.DUMMYFUNCTION("""COMPUTED_VALUE"""),0.0)</f>
        <v>0</v>
      </c>
      <c r="AE219" s="16">
        <f>IFERROR(__xludf.DUMMYFUNCTION("""COMPUTED_VALUE"""),0.0)</f>
        <v>0</v>
      </c>
      <c r="AF219" s="16">
        <f>IFERROR(__xludf.DUMMYFUNCTION("""COMPUTED_VALUE"""),0.0)</f>
        <v>0</v>
      </c>
      <c r="AG219" s="16">
        <f>IFERROR(__xludf.DUMMYFUNCTION("""COMPUTED_VALUE"""),0.0)</f>
        <v>0</v>
      </c>
      <c r="AH219" s="16">
        <f>IFERROR(__xludf.DUMMYFUNCTION("""COMPUTED_VALUE"""),0.0)</f>
        <v>0</v>
      </c>
    </row>
    <row r="220">
      <c r="A220" s="16" t="str">
        <f>IFERROR(__xludf.DUMMYFUNCTION("""COMPUTED_VALUE"""),"bb2f281964ff5fb7528074b3b2b73409bbf91d2a")</f>
        <v>bb2f281964ff5fb7528074b3b2b73409bbf91d2a</v>
      </c>
      <c r="B220" s="16" t="str">
        <f>IFERROR(__xludf.DUMMYFUNCTION("""COMPUTED_VALUE"""),"My Money Minting System")</f>
        <v>My Money Minting System</v>
      </c>
      <c r="C220" s="16" t="str">
        <f>IFERROR(__xludf.DUMMYFUNCTION("""COMPUTED_VALUE"""),"System and Superpower")</f>
        <v>System and Superpower</v>
      </c>
      <c r="D220" s="16">
        <f>IFERROR(__xludf.DUMMYFUNCTION("""COMPUTED_VALUE"""),140.0)</f>
        <v>140</v>
      </c>
      <c r="E220" s="16">
        <f>IFERROR(__xludf.DUMMYFUNCTION("""COMPUTED_VALUE"""),0.957142857142857)</f>
        <v>0.9571428571</v>
      </c>
      <c r="F220" s="16">
        <f>IFERROR(__xludf.DUMMYFUNCTION("""COMPUTED_VALUE"""),0.7)</f>
        <v>0.7</v>
      </c>
      <c r="G220" s="16">
        <f>IFERROR(__xludf.DUMMYFUNCTION("""COMPUTED_VALUE"""),0.557142857142857)</f>
        <v>0.5571428571</v>
      </c>
      <c r="H220" s="16">
        <f>IFERROR(__xludf.DUMMYFUNCTION("""COMPUTED_VALUE"""),0.456521739130434)</f>
        <v>0.4565217391</v>
      </c>
      <c r="I220" s="16">
        <f>IFERROR(__xludf.DUMMYFUNCTION("""COMPUTED_VALUE"""),0.394160583941605)</f>
        <v>0.3941605839</v>
      </c>
      <c r="J220" s="16">
        <f>IFERROR(__xludf.DUMMYFUNCTION("""COMPUTED_VALUE"""),0.350746268656716)</f>
        <v>0.3507462687</v>
      </c>
      <c r="K220" s="16">
        <f>IFERROR(__xludf.DUMMYFUNCTION("""COMPUTED_VALUE"""),0.2734375)</f>
        <v>0.2734375</v>
      </c>
      <c r="L220" s="16">
        <f>IFERROR(__xludf.DUMMYFUNCTION("""COMPUTED_VALUE"""),0.226890756302521)</f>
        <v>0.2268907563</v>
      </c>
      <c r="M220" s="16">
        <f>IFERROR(__xludf.DUMMYFUNCTION("""COMPUTED_VALUE"""),0.23728813559322)</f>
        <v>0.2372881356</v>
      </c>
      <c r="N220" s="16">
        <f>IFERROR(__xludf.DUMMYFUNCTION("""COMPUTED_VALUE"""),0.259615384615384)</f>
        <v>0.2596153846</v>
      </c>
      <c r="O220" s="16">
        <f>IFERROR(__xludf.DUMMYFUNCTION("""COMPUTED_VALUE"""),0.149425287356321)</f>
        <v>0.1494252874</v>
      </c>
      <c r="P220" s="16">
        <f>IFERROR(__xludf.DUMMYFUNCTION("""COMPUTED_VALUE"""),0.0735294117647058)</f>
        <v>0.07352941176</v>
      </c>
      <c r="Q220" s="16">
        <f>IFERROR(__xludf.DUMMYFUNCTION("""COMPUTED_VALUE"""),0.0294117647058823)</f>
        <v>0.02941176471</v>
      </c>
      <c r="R220" s="16">
        <f>IFERROR(__xludf.DUMMYFUNCTION("""COMPUTED_VALUE"""),0.0)</f>
        <v>0</v>
      </c>
      <c r="S220" s="16">
        <f>IFERROR(__xludf.DUMMYFUNCTION("""COMPUTED_VALUE"""),0.0)</f>
        <v>0</v>
      </c>
      <c r="T220" s="16">
        <f>IFERROR(__xludf.DUMMYFUNCTION("""COMPUTED_VALUE"""),0.0)</f>
        <v>0</v>
      </c>
      <c r="U220" s="16">
        <f>IFERROR(__xludf.DUMMYFUNCTION("""COMPUTED_VALUE"""),0.0)</f>
        <v>0</v>
      </c>
      <c r="V220" s="16">
        <f>IFERROR(__xludf.DUMMYFUNCTION("""COMPUTED_VALUE"""),0.0)</f>
        <v>0</v>
      </c>
      <c r="W220" s="16">
        <f>IFERROR(__xludf.DUMMYFUNCTION("""COMPUTED_VALUE"""),0.0)</f>
        <v>0</v>
      </c>
      <c r="X220" s="16">
        <f>IFERROR(__xludf.DUMMYFUNCTION("""COMPUTED_VALUE"""),0.0)</f>
        <v>0</v>
      </c>
      <c r="Y220" s="16">
        <f>IFERROR(__xludf.DUMMYFUNCTION("""COMPUTED_VALUE"""),0.0)</f>
        <v>0</v>
      </c>
      <c r="Z220" s="16">
        <f>IFERROR(__xludf.DUMMYFUNCTION("""COMPUTED_VALUE"""),0.0)</f>
        <v>0</v>
      </c>
      <c r="AA220" s="16">
        <f>IFERROR(__xludf.DUMMYFUNCTION("""COMPUTED_VALUE"""),0.0)</f>
        <v>0</v>
      </c>
      <c r="AB220" s="16">
        <f>IFERROR(__xludf.DUMMYFUNCTION("""COMPUTED_VALUE"""),0.0)</f>
        <v>0</v>
      </c>
      <c r="AC220" s="16">
        <f>IFERROR(__xludf.DUMMYFUNCTION("""COMPUTED_VALUE"""),0.0)</f>
        <v>0</v>
      </c>
      <c r="AD220" s="16">
        <f>IFERROR(__xludf.DUMMYFUNCTION("""COMPUTED_VALUE"""),0.0)</f>
        <v>0</v>
      </c>
      <c r="AE220" s="16">
        <f>IFERROR(__xludf.DUMMYFUNCTION("""COMPUTED_VALUE"""),0.0)</f>
        <v>0</v>
      </c>
      <c r="AF220" s="16">
        <f>IFERROR(__xludf.DUMMYFUNCTION("""COMPUTED_VALUE"""),0.0)</f>
        <v>0</v>
      </c>
      <c r="AG220" s="16">
        <f>IFERROR(__xludf.DUMMYFUNCTION("""COMPUTED_VALUE"""),0.0)</f>
        <v>0</v>
      </c>
      <c r="AH220" s="16">
        <f>IFERROR(__xludf.DUMMYFUNCTION("""COMPUTED_VALUE"""),0.0)</f>
        <v>0</v>
      </c>
    </row>
    <row r="221">
      <c r="A221" s="16" t="str">
        <f>IFERROR(__xludf.DUMMYFUNCTION("""COMPUTED_VALUE"""),"bb8bdc13e3c19f2845f457b91284273ad6ddf8f2")</f>
        <v>bb8bdc13e3c19f2845f457b91284273ad6ddf8f2</v>
      </c>
      <c r="B221" s="16" t="str">
        <f>IFERROR(__xludf.DUMMYFUNCTION("""COMPUTED_VALUE"""),"His Four Little Rascals")</f>
        <v>His Four Little Rascals</v>
      </c>
      <c r="C221" s="16" t="str">
        <f>IFERROR(__xludf.DUMMYFUNCTION("""COMPUTED_VALUE"""),"Romance")</f>
        <v>Romance</v>
      </c>
      <c r="D221" s="16">
        <f>IFERROR(__xludf.DUMMYFUNCTION("""COMPUTED_VALUE"""),18327.0)</f>
        <v>18327</v>
      </c>
      <c r="E221" s="16">
        <f>IFERROR(__xludf.DUMMYFUNCTION("""COMPUTED_VALUE"""),0.922846074098324)</f>
        <v>0.9228460741</v>
      </c>
      <c r="F221" s="16">
        <f>IFERROR(__xludf.DUMMYFUNCTION("""COMPUTED_VALUE"""),0.480002182572161)</f>
        <v>0.4800021826</v>
      </c>
      <c r="G221" s="16">
        <f>IFERROR(__xludf.DUMMYFUNCTION("""COMPUTED_VALUE"""),0.399083319692257)</f>
        <v>0.3990833197</v>
      </c>
      <c r="H221" s="16">
        <f>IFERROR(__xludf.DUMMYFUNCTION("""COMPUTED_VALUE"""),0.377169049437957)</f>
        <v>0.3771690494</v>
      </c>
      <c r="I221" s="16">
        <f>IFERROR(__xludf.DUMMYFUNCTION("""COMPUTED_VALUE"""),0.361700966209945)</f>
        <v>0.3617009662</v>
      </c>
      <c r="J221" s="16">
        <f>IFERROR(__xludf.DUMMYFUNCTION("""COMPUTED_VALUE"""),0.345857681175249)</f>
        <v>0.3458576812</v>
      </c>
      <c r="K221" s="16">
        <f>IFERROR(__xludf.DUMMYFUNCTION("""COMPUTED_VALUE"""),0.335336210192822)</f>
        <v>0.3353362102</v>
      </c>
      <c r="L221" s="16">
        <f>IFERROR(__xludf.DUMMYFUNCTION("""COMPUTED_VALUE"""),0.329999453462316)</f>
        <v>0.3299994535</v>
      </c>
      <c r="M221" s="16">
        <f>IFERROR(__xludf.DUMMYFUNCTION("""COMPUTED_VALUE"""),0.320378266098174)</f>
        <v>0.3203782661</v>
      </c>
      <c r="N221" s="16">
        <f>IFERROR(__xludf.DUMMYFUNCTION("""COMPUTED_VALUE"""),0.315029534018814)</f>
        <v>0.315029534</v>
      </c>
      <c r="O221" s="16">
        <f>IFERROR(__xludf.DUMMYFUNCTION("""COMPUTED_VALUE"""),0.297555616588849)</f>
        <v>0.2975556166</v>
      </c>
      <c r="P221" s="16">
        <f>IFERROR(__xludf.DUMMYFUNCTION("""COMPUTED_VALUE"""),0.263940315004144)</f>
        <v>0.263940315</v>
      </c>
      <c r="Q221" s="16">
        <f>IFERROR(__xludf.DUMMYFUNCTION("""COMPUTED_VALUE"""),0.215710306406685)</f>
        <v>0.2157103064</v>
      </c>
      <c r="R221" s="16">
        <f>IFERROR(__xludf.DUMMYFUNCTION("""COMPUTED_VALUE"""),0.159888989578613)</f>
        <v>0.1598889896</v>
      </c>
      <c r="S221" s="16">
        <f>IFERROR(__xludf.DUMMYFUNCTION("""COMPUTED_VALUE"""),0.132932330827067)</f>
        <v>0.1329323308</v>
      </c>
      <c r="T221" s="16">
        <f>IFERROR(__xludf.DUMMYFUNCTION("""COMPUTED_VALUE"""),0.109661964333244)</f>
        <v>0.1096619643</v>
      </c>
      <c r="U221" s="16">
        <f>IFERROR(__xludf.DUMMYFUNCTION("""COMPUTED_VALUE"""),0.0959461574581311)</f>
        <v>0.09594615746</v>
      </c>
      <c r="V221" s="16">
        <f>IFERROR(__xludf.DUMMYFUNCTION("""COMPUTED_VALUE"""),0.0971622455274521)</f>
        <v>0.09716224553</v>
      </c>
      <c r="W221" s="16">
        <f>IFERROR(__xludf.DUMMYFUNCTION("""COMPUTED_VALUE"""),0.0927438731379144)</f>
        <v>0.09274387314</v>
      </c>
      <c r="X221" s="16">
        <f>IFERROR(__xludf.DUMMYFUNCTION("""COMPUTED_VALUE"""),0.0849582172701949)</f>
        <v>0.08495821727</v>
      </c>
      <c r="Y221" s="16">
        <f>IFERROR(__xludf.DUMMYFUNCTION("""COMPUTED_VALUE"""),0.0605095541401273)</f>
        <v>0.06050955414</v>
      </c>
      <c r="Z221" s="16">
        <f>IFERROR(__xludf.DUMMYFUNCTION("""COMPUTED_VALUE"""),0.0390946502057613)</f>
        <v>0.03909465021</v>
      </c>
      <c r="AA221" s="16">
        <f>IFERROR(__xludf.DUMMYFUNCTION("""COMPUTED_VALUE"""),0.0307692307692307)</f>
        <v>0.03076923077</v>
      </c>
      <c r="AB221" s="16">
        <f>IFERROR(__xludf.DUMMYFUNCTION("""COMPUTED_VALUE"""),0.0307692307692307)</f>
        <v>0.03076923077</v>
      </c>
      <c r="AC221" s="16">
        <f>IFERROR(__xludf.DUMMYFUNCTION("""COMPUTED_VALUE"""),0.0)</f>
        <v>0</v>
      </c>
      <c r="AD221" s="16">
        <f>IFERROR(__xludf.DUMMYFUNCTION("""COMPUTED_VALUE"""),0.0)</f>
        <v>0</v>
      </c>
      <c r="AE221" s="16">
        <f>IFERROR(__xludf.DUMMYFUNCTION("""COMPUTED_VALUE"""),0.0)</f>
        <v>0</v>
      </c>
      <c r="AF221" s="16">
        <f>IFERROR(__xludf.DUMMYFUNCTION("""COMPUTED_VALUE"""),0.0)</f>
        <v>0</v>
      </c>
      <c r="AG221" s="16">
        <f>IFERROR(__xludf.DUMMYFUNCTION("""COMPUTED_VALUE"""),0.0)</f>
        <v>0</v>
      </c>
      <c r="AH221" s="16">
        <f>IFERROR(__xludf.DUMMYFUNCTION("""COMPUTED_VALUE"""),0.0)</f>
        <v>0</v>
      </c>
    </row>
    <row r="222">
      <c r="A222" s="16" t="str">
        <f>IFERROR(__xludf.DUMMYFUNCTION("""COMPUTED_VALUE"""),"bbaf98e4e43fc8963698d00c4a338957fb765b85")</f>
        <v>bbaf98e4e43fc8963698d00c4a338957fb765b85</v>
      </c>
      <c r="B222" s="16" t="str">
        <f>IFERROR(__xludf.DUMMYFUNCTION("""COMPUTED_VALUE"""),"Artifact Spirit System")</f>
        <v>Artifact Spirit System</v>
      </c>
      <c r="C222" s="16" t="str">
        <f>IFERROR(__xludf.DUMMYFUNCTION("""COMPUTED_VALUE"""),"System and Superpower")</f>
        <v>System and Superpower</v>
      </c>
      <c r="D222" s="16">
        <f>IFERROR(__xludf.DUMMYFUNCTION("""COMPUTED_VALUE"""),610.0)</f>
        <v>610</v>
      </c>
      <c r="E222" s="16">
        <f>IFERROR(__xludf.DUMMYFUNCTION("""COMPUTED_VALUE"""),0.959016393442622)</f>
        <v>0.9590163934</v>
      </c>
      <c r="F222" s="16">
        <f>IFERROR(__xludf.DUMMYFUNCTION("""COMPUTED_VALUE"""),0.495081967213114)</f>
        <v>0.4950819672</v>
      </c>
      <c r="G222" s="16">
        <f>IFERROR(__xludf.DUMMYFUNCTION("""COMPUTED_VALUE"""),0.41639344262295)</f>
        <v>0.4163934426</v>
      </c>
      <c r="H222" s="16">
        <f>IFERROR(__xludf.DUMMYFUNCTION("""COMPUTED_VALUE"""),0.363036303630363)</f>
        <v>0.3630363036</v>
      </c>
      <c r="I222" s="16">
        <f>IFERROR(__xludf.DUMMYFUNCTION("""COMPUTED_VALUE"""),0.338842975206611)</f>
        <v>0.3388429752</v>
      </c>
      <c r="J222" s="16">
        <f>IFERROR(__xludf.DUMMYFUNCTION("""COMPUTED_VALUE"""),0.295492487479131)</f>
        <v>0.2954924875</v>
      </c>
      <c r="K222" s="16">
        <f>IFERROR(__xludf.DUMMYFUNCTION("""COMPUTED_VALUE"""),0.270868824531516)</f>
        <v>0.2708688245</v>
      </c>
      <c r="L222" s="16">
        <f>IFERROR(__xludf.DUMMYFUNCTION("""COMPUTED_VALUE"""),0.258232235701906)</f>
        <v>0.2582322357</v>
      </c>
      <c r="M222" s="16">
        <f>IFERROR(__xludf.DUMMYFUNCTION("""COMPUTED_VALUE"""),0.249563699825479)</f>
        <v>0.2495636998</v>
      </c>
      <c r="N222" s="16">
        <f>IFERROR(__xludf.DUMMYFUNCTION("""COMPUTED_VALUE"""),0.234567901234567)</f>
        <v>0.2345679012</v>
      </c>
      <c r="O222" s="16">
        <f>IFERROR(__xludf.DUMMYFUNCTION("""COMPUTED_VALUE"""),0.221579961464354)</f>
        <v>0.2215799615</v>
      </c>
      <c r="P222" s="16">
        <f>IFERROR(__xludf.DUMMYFUNCTION("""COMPUTED_VALUE"""),0.209677419354838)</f>
        <v>0.2096774194</v>
      </c>
      <c r="Q222" s="16">
        <f>IFERROR(__xludf.DUMMYFUNCTION("""COMPUTED_VALUE"""),0.146153846153846)</f>
        <v>0.1461538462</v>
      </c>
      <c r="R222" s="16">
        <f>IFERROR(__xludf.DUMMYFUNCTION("""COMPUTED_VALUE"""),0.137931034482758)</f>
        <v>0.1379310345</v>
      </c>
      <c r="S222" s="16">
        <f>IFERROR(__xludf.DUMMYFUNCTION("""COMPUTED_VALUE"""),0.0)</f>
        <v>0</v>
      </c>
      <c r="T222" s="16">
        <f>IFERROR(__xludf.DUMMYFUNCTION("""COMPUTED_VALUE"""),0.0)</f>
        <v>0</v>
      </c>
      <c r="U222" s="16">
        <f>IFERROR(__xludf.DUMMYFUNCTION("""COMPUTED_VALUE"""),0.0)</f>
        <v>0</v>
      </c>
      <c r="V222" s="16">
        <f>IFERROR(__xludf.DUMMYFUNCTION("""COMPUTED_VALUE"""),0.0)</f>
        <v>0</v>
      </c>
      <c r="W222" s="16">
        <f>IFERROR(__xludf.DUMMYFUNCTION("""COMPUTED_VALUE"""),0.0)</f>
        <v>0</v>
      </c>
      <c r="X222" s="16">
        <f>IFERROR(__xludf.DUMMYFUNCTION("""COMPUTED_VALUE"""),0.0)</f>
        <v>0</v>
      </c>
      <c r="Y222" s="16">
        <f>IFERROR(__xludf.DUMMYFUNCTION("""COMPUTED_VALUE"""),0.0)</f>
        <v>0</v>
      </c>
      <c r="Z222" s="16">
        <f>IFERROR(__xludf.DUMMYFUNCTION("""COMPUTED_VALUE"""),0.0)</f>
        <v>0</v>
      </c>
      <c r="AA222" s="16">
        <f>IFERROR(__xludf.DUMMYFUNCTION("""COMPUTED_VALUE"""),0.0)</f>
        <v>0</v>
      </c>
      <c r="AB222" s="16">
        <f>IFERROR(__xludf.DUMMYFUNCTION("""COMPUTED_VALUE"""),0.0)</f>
        <v>0</v>
      </c>
      <c r="AC222" s="16">
        <f>IFERROR(__xludf.DUMMYFUNCTION("""COMPUTED_VALUE"""),0.0)</f>
        <v>0</v>
      </c>
      <c r="AD222" s="16">
        <f>IFERROR(__xludf.DUMMYFUNCTION("""COMPUTED_VALUE"""),0.0)</f>
        <v>0</v>
      </c>
      <c r="AE222" s="16">
        <f>IFERROR(__xludf.DUMMYFUNCTION("""COMPUTED_VALUE"""),0.0)</f>
        <v>0</v>
      </c>
      <c r="AF222" s="16">
        <f>IFERROR(__xludf.DUMMYFUNCTION("""COMPUTED_VALUE"""),0.0)</f>
        <v>0</v>
      </c>
      <c r="AG222" s="16">
        <f>IFERROR(__xludf.DUMMYFUNCTION("""COMPUTED_VALUE"""),0.0)</f>
        <v>0</v>
      </c>
      <c r="AH222" s="16">
        <f>IFERROR(__xludf.DUMMYFUNCTION("""COMPUTED_VALUE"""),0.0)</f>
        <v>0</v>
      </c>
    </row>
    <row r="223">
      <c r="A223" s="16" t="str">
        <f>IFERROR(__xludf.DUMMYFUNCTION("""COMPUTED_VALUE"""),"be6caef02859b458c7e726aab639c65f41c8e1be")</f>
        <v>be6caef02859b458c7e726aab639c65f41c8e1be</v>
      </c>
      <c r="B223" s="16" t="str">
        <f>IFERROR(__xludf.DUMMYFUNCTION("""COMPUTED_VALUE"""),"Natural Godly Martial Art")</f>
        <v>Natural Godly Martial Art</v>
      </c>
      <c r="C223" s="16" t="str">
        <f>IFERROR(__xludf.DUMMYFUNCTION("""COMPUTED_VALUE"""),"Fantasy")</f>
        <v>Fantasy</v>
      </c>
      <c r="D223" s="16">
        <f>IFERROR(__xludf.DUMMYFUNCTION("""COMPUTED_VALUE"""),61.0)</f>
        <v>61</v>
      </c>
      <c r="E223" s="16">
        <f>IFERROR(__xludf.DUMMYFUNCTION("""COMPUTED_VALUE"""),0.983606557377049)</f>
        <v>0.9836065574</v>
      </c>
      <c r="F223" s="16">
        <f>IFERROR(__xludf.DUMMYFUNCTION("""COMPUTED_VALUE"""),0.459016393442622)</f>
        <v>0.4590163934</v>
      </c>
      <c r="G223" s="16">
        <f>IFERROR(__xludf.DUMMYFUNCTION("""COMPUTED_VALUE"""),0.344262295081967)</f>
        <v>0.3442622951</v>
      </c>
      <c r="H223" s="16">
        <f>IFERROR(__xludf.DUMMYFUNCTION("""COMPUTED_VALUE"""),0.295081967213114)</f>
        <v>0.2950819672</v>
      </c>
      <c r="I223" s="16">
        <f>IFERROR(__xludf.DUMMYFUNCTION("""COMPUTED_VALUE"""),0.21311475409836)</f>
        <v>0.2131147541</v>
      </c>
      <c r="J223" s="16">
        <f>IFERROR(__xludf.DUMMYFUNCTION("""COMPUTED_VALUE"""),0.166666666666666)</f>
        <v>0.1666666667</v>
      </c>
      <c r="K223" s="16">
        <f>IFERROR(__xludf.DUMMYFUNCTION("""COMPUTED_VALUE"""),0.175438596491228)</f>
        <v>0.1754385965</v>
      </c>
      <c r="L223" s="16">
        <f>IFERROR(__xludf.DUMMYFUNCTION("""COMPUTED_VALUE"""),0.148148148148148)</f>
        <v>0.1481481481</v>
      </c>
      <c r="M223" s="16">
        <f>IFERROR(__xludf.DUMMYFUNCTION("""COMPUTED_VALUE"""),0.117647058823529)</f>
        <v>0.1176470588</v>
      </c>
      <c r="N223" s="16">
        <f>IFERROR(__xludf.DUMMYFUNCTION("""COMPUTED_VALUE"""),0.0816326530612244)</f>
        <v>0.08163265306</v>
      </c>
      <c r="O223" s="16">
        <f>IFERROR(__xludf.DUMMYFUNCTION("""COMPUTED_VALUE"""),0.037037037037037)</f>
        <v>0.03703703704</v>
      </c>
      <c r="P223" s="16">
        <f>IFERROR(__xludf.DUMMYFUNCTION("""COMPUTED_VALUE"""),0.0)</f>
        <v>0</v>
      </c>
      <c r="Q223" s="16">
        <f>IFERROR(__xludf.DUMMYFUNCTION("""COMPUTED_VALUE"""),0.0)</f>
        <v>0</v>
      </c>
      <c r="R223" s="16">
        <f>IFERROR(__xludf.DUMMYFUNCTION("""COMPUTED_VALUE"""),0.0)</f>
        <v>0</v>
      </c>
      <c r="S223" s="16">
        <f>IFERROR(__xludf.DUMMYFUNCTION("""COMPUTED_VALUE"""),0.0)</f>
        <v>0</v>
      </c>
      <c r="T223" s="16">
        <f>IFERROR(__xludf.DUMMYFUNCTION("""COMPUTED_VALUE"""),0.0)</f>
        <v>0</v>
      </c>
      <c r="U223" s="16">
        <f>IFERROR(__xludf.DUMMYFUNCTION("""COMPUTED_VALUE"""),0.0)</f>
        <v>0</v>
      </c>
      <c r="V223" s="16">
        <f>IFERROR(__xludf.DUMMYFUNCTION("""COMPUTED_VALUE"""),0.0)</f>
        <v>0</v>
      </c>
      <c r="W223" s="16">
        <f>IFERROR(__xludf.DUMMYFUNCTION("""COMPUTED_VALUE"""),0.0)</f>
        <v>0</v>
      </c>
      <c r="X223" s="16">
        <f>IFERROR(__xludf.DUMMYFUNCTION("""COMPUTED_VALUE"""),0.0)</f>
        <v>0</v>
      </c>
      <c r="Y223" s="16">
        <f>IFERROR(__xludf.DUMMYFUNCTION("""COMPUTED_VALUE"""),0.0)</f>
        <v>0</v>
      </c>
      <c r="Z223" s="16">
        <f>IFERROR(__xludf.DUMMYFUNCTION("""COMPUTED_VALUE"""),0.0)</f>
        <v>0</v>
      </c>
      <c r="AA223" s="16">
        <f>IFERROR(__xludf.DUMMYFUNCTION("""COMPUTED_VALUE"""),0.0)</f>
        <v>0</v>
      </c>
      <c r="AB223" s="16">
        <f>IFERROR(__xludf.DUMMYFUNCTION("""COMPUTED_VALUE"""),0.0)</f>
        <v>0</v>
      </c>
      <c r="AC223" s="16">
        <f>IFERROR(__xludf.DUMMYFUNCTION("""COMPUTED_VALUE"""),0.0)</f>
        <v>0</v>
      </c>
      <c r="AD223" s="16">
        <f>IFERROR(__xludf.DUMMYFUNCTION("""COMPUTED_VALUE"""),0.0)</f>
        <v>0</v>
      </c>
      <c r="AE223" s="16">
        <f>IFERROR(__xludf.DUMMYFUNCTION("""COMPUTED_VALUE"""),0.0)</f>
        <v>0</v>
      </c>
      <c r="AF223" s="16">
        <f>IFERROR(__xludf.DUMMYFUNCTION("""COMPUTED_VALUE"""),0.0)</f>
        <v>0</v>
      </c>
      <c r="AG223" s="16">
        <f>IFERROR(__xludf.DUMMYFUNCTION("""COMPUTED_VALUE"""),0.0)</f>
        <v>0</v>
      </c>
      <c r="AH223" s="16">
        <f>IFERROR(__xludf.DUMMYFUNCTION("""COMPUTED_VALUE"""),0.0)</f>
        <v>0</v>
      </c>
    </row>
    <row r="224">
      <c r="A224" s="16" t="str">
        <f>IFERROR(__xludf.DUMMYFUNCTION("""COMPUTED_VALUE"""),"bf3632f1f9e1f3a7b864a989bb8f495a629a43cb")</f>
        <v>bf3632f1f9e1f3a7b864a989bb8f495a629a43cb</v>
      </c>
      <c r="B224" s="16" t="str">
        <f>IFERROR(__xludf.DUMMYFUNCTION("""COMPUTED_VALUE"""),"Her Secret Twins")</f>
        <v>Her Secret Twins</v>
      </c>
      <c r="C224" s="16" t="str">
        <f>IFERROR(__xludf.DUMMYFUNCTION("""COMPUTED_VALUE"""),"Romance")</f>
        <v>Romance</v>
      </c>
      <c r="D224" s="16">
        <f>IFERROR(__xludf.DUMMYFUNCTION("""COMPUTED_VALUE"""),3301.0)</f>
        <v>3301</v>
      </c>
      <c r="E224" s="16">
        <f>IFERROR(__xludf.DUMMYFUNCTION("""COMPUTED_VALUE"""),0.902453801878218)</f>
        <v>0.9024538019</v>
      </c>
      <c r="F224" s="16">
        <f>IFERROR(__xludf.DUMMYFUNCTION("""COMPUTED_VALUE"""),0.715237806725234)</f>
        <v>0.7152378067</v>
      </c>
      <c r="G224" s="16">
        <f>IFERROR(__xludf.DUMMYFUNCTION("""COMPUTED_VALUE"""),0.663132384126022)</f>
        <v>0.6631323841</v>
      </c>
      <c r="H224" s="16">
        <f>IFERROR(__xludf.DUMMYFUNCTION("""COMPUTED_VALUE"""),0.626173886700999)</f>
        <v>0.6261738867</v>
      </c>
      <c r="I224" s="16">
        <f>IFERROR(__xludf.DUMMYFUNCTION("""COMPUTED_VALUE"""),0.600484995453167)</f>
        <v>0.6004849955</v>
      </c>
      <c r="J224" s="16">
        <f>IFERROR(__xludf.DUMMYFUNCTION("""COMPUTED_VALUE"""),0.583131067961165)</f>
        <v>0.583131068</v>
      </c>
      <c r="K224" s="16">
        <f>IFERROR(__xludf.DUMMYFUNCTION("""COMPUTED_VALUE"""),0.568567961165048)</f>
        <v>0.5685679612</v>
      </c>
      <c r="L224" s="16">
        <f>IFERROR(__xludf.DUMMYFUNCTION("""COMPUTED_VALUE"""),0.554644808743169)</f>
        <v>0.5546448087</v>
      </c>
      <c r="M224" s="16">
        <f>IFERROR(__xludf.DUMMYFUNCTION("""COMPUTED_VALUE"""),0.543603767851716)</f>
        <v>0.5436037679</v>
      </c>
      <c r="N224" s="16">
        <f>IFERROR(__xludf.DUMMYFUNCTION("""COMPUTED_VALUE"""),0.535953686776355)</f>
        <v>0.5359536868</v>
      </c>
      <c r="O224" s="16">
        <f>IFERROR(__xludf.DUMMYFUNCTION("""COMPUTED_VALUE"""),0.495107033639143)</f>
        <v>0.4951070336</v>
      </c>
      <c r="P224" s="16">
        <f>IFERROR(__xludf.DUMMYFUNCTION("""COMPUTED_VALUE"""),0.478006767148569)</f>
        <v>0.4780067671</v>
      </c>
      <c r="Q224" s="16">
        <f>IFERROR(__xludf.DUMMYFUNCTION("""COMPUTED_VALUE"""),0.379495268138801)</f>
        <v>0.3794952681</v>
      </c>
      <c r="R224" s="16">
        <f>IFERROR(__xludf.DUMMYFUNCTION("""COMPUTED_VALUE"""),0.324510140941904)</f>
        <v>0.3245101409</v>
      </c>
      <c r="S224" s="16">
        <f>IFERROR(__xludf.DUMMYFUNCTION("""COMPUTED_VALUE"""),0.25691699604743)</f>
        <v>0.256916996</v>
      </c>
      <c r="T224" s="16">
        <f>IFERROR(__xludf.DUMMYFUNCTION("""COMPUTED_VALUE"""),0.194444444444444)</f>
        <v>0.1944444444</v>
      </c>
      <c r="U224" s="16">
        <f>IFERROR(__xludf.DUMMYFUNCTION("""COMPUTED_VALUE"""),0.153846153846153)</f>
        <v>0.1538461538</v>
      </c>
      <c r="V224" s="16">
        <f>IFERROR(__xludf.DUMMYFUNCTION("""COMPUTED_VALUE"""),0.135464231354642)</f>
        <v>0.1354642314</v>
      </c>
      <c r="W224" s="16">
        <f>IFERROR(__xludf.DUMMYFUNCTION("""COMPUTED_VALUE"""),0.0939226519337016)</f>
        <v>0.09392265193</v>
      </c>
      <c r="X224" s="16">
        <f>IFERROR(__xludf.DUMMYFUNCTION("""COMPUTED_VALUE"""),0.0952380952380952)</f>
        <v>0.09523809524</v>
      </c>
      <c r="Y224" s="16">
        <f>IFERROR(__xludf.DUMMYFUNCTION("""COMPUTED_VALUE"""),0.0939086294416243)</f>
        <v>0.09390862944</v>
      </c>
      <c r="Z224" s="16">
        <f>IFERROR(__xludf.DUMMYFUNCTION("""COMPUTED_VALUE"""),0.0758620689655172)</f>
        <v>0.07586206897</v>
      </c>
      <c r="AA224" s="16">
        <f>IFERROR(__xludf.DUMMYFUNCTION("""COMPUTED_VALUE"""),0.055813953488372)</f>
        <v>0.05581395349</v>
      </c>
      <c r="AB224" s="16">
        <f>IFERROR(__xludf.DUMMYFUNCTION("""COMPUTED_VALUE"""),0.0406976744186046)</f>
        <v>0.04069767442</v>
      </c>
      <c r="AC224" s="16">
        <f>IFERROR(__xludf.DUMMYFUNCTION("""COMPUTED_VALUE"""),0.0219780219780219)</f>
        <v>0.02197802198</v>
      </c>
      <c r="AD224" s="16">
        <f>IFERROR(__xludf.DUMMYFUNCTION("""COMPUTED_VALUE"""),0.0384615384615384)</f>
        <v>0.03846153846</v>
      </c>
      <c r="AE224" s="16">
        <f>IFERROR(__xludf.DUMMYFUNCTION("""COMPUTED_VALUE"""),0.0)</f>
        <v>0</v>
      </c>
      <c r="AF224" s="16">
        <f>IFERROR(__xludf.DUMMYFUNCTION("""COMPUTED_VALUE"""),0.0)</f>
        <v>0</v>
      </c>
      <c r="AG224" s="16">
        <f>IFERROR(__xludf.DUMMYFUNCTION("""COMPUTED_VALUE"""),0.0)</f>
        <v>0</v>
      </c>
      <c r="AH224" s="16">
        <f>IFERROR(__xludf.DUMMYFUNCTION("""COMPUTED_VALUE"""),0.0)</f>
        <v>0</v>
      </c>
    </row>
    <row r="225">
      <c r="A225" s="16" t="str">
        <f>IFERROR(__xludf.DUMMYFUNCTION("""COMPUTED_VALUE"""),"c04c6d5eb020135b9855b7b2290092294bd33d99")</f>
        <v>c04c6d5eb020135b9855b7b2290092294bd33d99</v>
      </c>
      <c r="B225" s="16" t="str">
        <f>IFERROR(__xludf.DUMMYFUNCTION("""COMPUTED_VALUE"""),"My Crimson Bite")</f>
        <v>My Crimson Bite</v>
      </c>
      <c r="C225" s="16" t="str">
        <f>IFERROR(__xludf.DUMMYFUNCTION("""COMPUTED_VALUE"""),"Romantasy")</f>
        <v>Romantasy</v>
      </c>
      <c r="D225" s="16">
        <f>IFERROR(__xludf.DUMMYFUNCTION("""COMPUTED_VALUE"""),363.0)</f>
        <v>363</v>
      </c>
      <c r="E225" s="16">
        <f>IFERROR(__xludf.DUMMYFUNCTION("""COMPUTED_VALUE"""),0.988980716253443)</f>
        <v>0.9889807163</v>
      </c>
      <c r="F225" s="16">
        <f>IFERROR(__xludf.DUMMYFUNCTION("""COMPUTED_VALUE"""),0.526170798898071)</f>
        <v>0.5261707989</v>
      </c>
      <c r="G225" s="16">
        <f>IFERROR(__xludf.DUMMYFUNCTION("""COMPUTED_VALUE"""),0.443526170798898)</f>
        <v>0.4435261708</v>
      </c>
      <c r="H225" s="16">
        <f>IFERROR(__xludf.DUMMYFUNCTION("""COMPUTED_VALUE"""),0.406077348066298)</f>
        <v>0.4060773481</v>
      </c>
      <c r="I225" s="16">
        <f>IFERROR(__xludf.DUMMYFUNCTION("""COMPUTED_VALUE"""),0.386111111111111)</f>
        <v>0.3861111111</v>
      </c>
      <c r="J225" s="16">
        <f>IFERROR(__xludf.DUMMYFUNCTION("""COMPUTED_VALUE"""),0.367977528089887)</f>
        <v>0.3679775281</v>
      </c>
      <c r="K225" s="16">
        <f>IFERROR(__xludf.DUMMYFUNCTION("""COMPUTED_VALUE"""),0.349710982658959)</f>
        <v>0.3497109827</v>
      </c>
      <c r="L225" s="16">
        <f>IFERROR(__xludf.DUMMYFUNCTION("""COMPUTED_VALUE"""),0.328358208955223)</f>
        <v>0.328358209</v>
      </c>
      <c r="M225" s="16">
        <f>IFERROR(__xludf.DUMMYFUNCTION("""COMPUTED_VALUE"""),0.29940119760479)</f>
        <v>0.2994011976</v>
      </c>
      <c r="N225" s="16">
        <f>IFERROR(__xludf.DUMMYFUNCTION("""COMPUTED_VALUE"""),0.289634146341463)</f>
        <v>0.2896341463</v>
      </c>
      <c r="O225" s="16">
        <f>IFERROR(__xludf.DUMMYFUNCTION("""COMPUTED_VALUE"""),0.241496598639455)</f>
        <v>0.2414965986</v>
      </c>
      <c r="P225" s="16">
        <f>IFERROR(__xludf.DUMMYFUNCTION("""COMPUTED_VALUE"""),0.174216027874564)</f>
        <v>0.1742160279</v>
      </c>
      <c r="Q225" s="16">
        <f>IFERROR(__xludf.DUMMYFUNCTION("""COMPUTED_VALUE"""),0.100775193798449)</f>
        <v>0.1007751938</v>
      </c>
      <c r="R225" s="16">
        <f>IFERROR(__xludf.DUMMYFUNCTION("""COMPUTED_VALUE"""),0.0)</f>
        <v>0</v>
      </c>
      <c r="S225" s="16">
        <f>IFERROR(__xludf.DUMMYFUNCTION("""COMPUTED_VALUE"""),0.0)</f>
        <v>0</v>
      </c>
      <c r="T225" s="16">
        <f>IFERROR(__xludf.DUMMYFUNCTION("""COMPUTED_VALUE"""),0.0)</f>
        <v>0</v>
      </c>
      <c r="U225" s="16">
        <f>IFERROR(__xludf.DUMMYFUNCTION("""COMPUTED_VALUE"""),0.0)</f>
        <v>0</v>
      </c>
      <c r="V225" s="16">
        <f>IFERROR(__xludf.DUMMYFUNCTION("""COMPUTED_VALUE"""),0.0)</f>
        <v>0</v>
      </c>
      <c r="W225" s="16">
        <f>IFERROR(__xludf.DUMMYFUNCTION("""COMPUTED_VALUE"""),0.0)</f>
        <v>0</v>
      </c>
      <c r="X225" s="16">
        <f>IFERROR(__xludf.DUMMYFUNCTION("""COMPUTED_VALUE"""),0.0)</f>
        <v>0</v>
      </c>
      <c r="Y225" s="16">
        <f>IFERROR(__xludf.DUMMYFUNCTION("""COMPUTED_VALUE"""),0.0)</f>
        <v>0</v>
      </c>
      <c r="Z225" s="16">
        <f>IFERROR(__xludf.DUMMYFUNCTION("""COMPUTED_VALUE"""),0.0)</f>
        <v>0</v>
      </c>
      <c r="AA225" s="16">
        <f>IFERROR(__xludf.DUMMYFUNCTION("""COMPUTED_VALUE"""),0.0)</f>
        <v>0</v>
      </c>
      <c r="AB225" s="16">
        <f>IFERROR(__xludf.DUMMYFUNCTION("""COMPUTED_VALUE"""),0.0)</f>
        <v>0</v>
      </c>
      <c r="AC225" s="16">
        <f>IFERROR(__xludf.DUMMYFUNCTION("""COMPUTED_VALUE"""),0.0)</f>
        <v>0</v>
      </c>
      <c r="AD225" s="16">
        <f>IFERROR(__xludf.DUMMYFUNCTION("""COMPUTED_VALUE"""),0.0)</f>
        <v>0</v>
      </c>
      <c r="AE225" s="16">
        <f>IFERROR(__xludf.DUMMYFUNCTION("""COMPUTED_VALUE"""),0.0)</f>
        <v>0</v>
      </c>
      <c r="AF225" s="16">
        <f>IFERROR(__xludf.DUMMYFUNCTION("""COMPUTED_VALUE"""),0.0)</f>
        <v>0</v>
      </c>
      <c r="AG225" s="16">
        <f>IFERROR(__xludf.DUMMYFUNCTION("""COMPUTED_VALUE"""),0.0)</f>
        <v>0</v>
      </c>
      <c r="AH225" s="16">
        <f>IFERROR(__xludf.DUMMYFUNCTION("""COMPUTED_VALUE"""),0.0)</f>
        <v>0</v>
      </c>
    </row>
    <row r="226">
      <c r="A226" s="16" t="str">
        <f>IFERROR(__xludf.DUMMYFUNCTION("""COMPUTED_VALUE"""),"c2045ffb46d0538ca44af5ee011be0b36e81c395")</f>
        <v>c2045ffb46d0538ca44af5ee011be0b36e81c395</v>
      </c>
      <c r="B226" s="16" t="str">
        <f>IFERROR(__xludf.DUMMYFUNCTION("""COMPUTED_VALUE"""),"A Marriage of Ashes")</f>
        <v>A Marriage of Ashes</v>
      </c>
      <c r="C226" s="16" t="str">
        <f>IFERROR(__xludf.DUMMYFUNCTION("""COMPUTED_VALUE"""),"Romance")</f>
        <v>Romance</v>
      </c>
      <c r="D226" s="16">
        <f>IFERROR(__xludf.DUMMYFUNCTION("""COMPUTED_VALUE"""),592.0)</f>
        <v>592</v>
      </c>
      <c r="E226" s="16">
        <f>IFERROR(__xludf.DUMMYFUNCTION("""COMPUTED_VALUE"""),0.981418918918919)</f>
        <v>0.9814189189</v>
      </c>
      <c r="F226" s="16">
        <f>IFERROR(__xludf.DUMMYFUNCTION("""COMPUTED_VALUE"""),0.283783783783783)</f>
        <v>0.2837837838</v>
      </c>
      <c r="G226" s="16">
        <f>IFERROR(__xludf.DUMMYFUNCTION("""COMPUTED_VALUE"""),0.195945945945945)</f>
        <v>0.1959459459</v>
      </c>
      <c r="H226" s="16">
        <f>IFERROR(__xludf.DUMMYFUNCTION("""COMPUTED_VALUE"""),0.157094594594594)</f>
        <v>0.1570945946</v>
      </c>
      <c r="I226" s="16">
        <f>IFERROR(__xludf.DUMMYFUNCTION("""COMPUTED_VALUE"""),0.146959459459459)</f>
        <v>0.1469594595</v>
      </c>
      <c r="J226" s="16">
        <f>IFERROR(__xludf.DUMMYFUNCTION("""COMPUTED_VALUE"""),0.128378378378378)</f>
        <v>0.1283783784</v>
      </c>
      <c r="K226" s="16">
        <f>IFERROR(__xludf.DUMMYFUNCTION("""COMPUTED_VALUE"""),0.111675126903553)</f>
        <v>0.1116751269</v>
      </c>
      <c r="L226" s="16">
        <f>IFERROR(__xludf.DUMMYFUNCTION("""COMPUTED_VALUE"""),0.10321489001692)</f>
        <v>0.10321489</v>
      </c>
      <c r="M226" s="16">
        <f>IFERROR(__xludf.DUMMYFUNCTION("""COMPUTED_VALUE"""),0.0998307952622673)</f>
        <v>0.09983079526</v>
      </c>
      <c r="N226" s="16">
        <f>IFERROR(__xludf.DUMMYFUNCTION("""COMPUTED_VALUE"""),0.0796610169491525)</f>
        <v>0.07966101695</v>
      </c>
      <c r="O226" s="16">
        <f>IFERROR(__xludf.DUMMYFUNCTION("""COMPUTED_VALUE"""),0.0150093808630394)</f>
        <v>0.01500938086</v>
      </c>
      <c r="P226" s="16">
        <f>IFERROR(__xludf.DUMMYFUNCTION("""COMPUTED_VALUE"""),0.0)</f>
        <v>0</v>
      </c>
      <c r="Q226" s="16">
        <f>IFERROR(__xludf.DUMMYFUNCTION("""COMPUTED_VALUE"""),0.0)</f>
        <v>0</v>
      </c>
      <c r="R226" s="16">
        <f>IFERROR(__xludf.DUMMYFUNCTION("""COMPUTED_VALUE"""),0.0)</f>
        <v>0</v>
      </c>
      <c r="S226" s="16">
        <f>IFERROR(__xludf.DUMMYFUNCTION("""COMPUTED_VALUE"""),0.0)</f>
        <v>0</v>
      </c>
      <c r="T226" s="16">
        <f>IFERROR(__xludf.DUMMYFUNCTION("""COMPUTED_VALUE"""),0.0)</f>
        <v>0</v>
      </c>
      <c r="U226" s="16">
        <f>IFERROR(__xludf.DUMMYFUNCTION("""COMPUTED_VALUE"""),0.0)</f>
        <v>0</v>
      </c>
      <c r="V226" s="16">
        <f>IFERROR(__xludf.DUMMYFUNCTION("""COMPUTED_VALUE"""),0.0)</f>
        <v>0</v>
      </c>
      <c r="W226" s="16">
        <f>IFERROR(__xludf.DUMMYFUNCTION("""COMPUTED_VALUE"""),0.0)</f>
        <v>0</v>
      </c>
      <c r="X226" s="16">
        <f>IFERROR(__xludf.DUMMYFUNCTION("""COMPUTED_VALUE"""),0.0)</f>
        <v>0</v>
      </c>
      <c r="Y226" s="16">
        <f>IFERROR(__xludf.DUMMYFUNCTION("""COMPUTED_VALUE"""),0.0)</f>
        <v>0</v>
      </c>
      <c r="Z226" s="16">
        <f>IFERROR(__xludf.DUMMYFUNCTION("""COMPUTED_VALUE"""),0.0)</f>
        <v>0</v>
      </c>
      <c r="AA226" s="16">
        <f>IFERROR(__xludf.DUMMYFUNCTION("""COMPUTED_VALUE"""),0.0)</f>
        <v>0</v>
      </c>
      <c r="AB226" s="16">
        <f>IFERROR(__xludf.DUMMYFUNCTION("""COMPUTED_VALUE"""),0.0)</f>
        <v>0</v>
      </c>
      <c r="AC226" s="16">
        <f>IFERROR(__xludf.DUMMYFUNCTION("""COMPUTED_VALUE"""),0.0)</f>
        <v>0</v>
      </c>
      <c r="AD226" s="16">
        <f>IFERROR(__xludf.DUMMYFUNCTION("""COMPUTED_VALUE"""),0.0)</f>
        <v>0</v>
      </c>
      <c r="AE226" s="16">
        <f>IFERROR(__xludf.DUMMYFUNCTION("""COMPUTED_VALUE"""),0.0)</f>
        <v>0</v>
      </c>
      <c r="AF226" s="16">
        <f>IFERROR(__xludf.DUMMYFUNCTION("""COMPUTED_VALUE"""),0.0)</f>
        <v>0</v>
      </c>
      <c r="AG226" s="16">
        <f>IFERROR(__xludf.DUMMYFUNCTION("""COMPUTED_VALUE"""),0.0)</f>
        <v>0</v>
      </c>
      <c r="AH226" s="16">
        <f>IFERROR(__xludf.DUMMYFUNCTION("""COMPUTED_VALUE"""),0.0)</f>
        <v>0</v>
      </c>
    </row>
    <row r="227">
      <c r="A227" s="16" t="str">
        <f>IFERROR(__xludf.DUMMYFUNCTION("""COMPUTED_VALUE"""),"c4463ba00f6c126612324139644418680a50dd75")</f>
        <v>c4463ba00f6c126612324139644418680a50dd75</v>
      </c>
      <c r="B227" s="16" t="str">
        <f>IFERROR(__xludf.DUMMYFUNCTION("""COMPUTED_VALUE"""),"Bloodstar")</f>
        <v>Bloodstar</v>
      </c>
      <c r="C227" s="16" t="str">
        <f>IFERROR(__xludf.DUMMYFUNCTION("""COMPUTED_VALUE"""),"System and Superpower")</f>
        <v>System and Superpower</v>
      </c>
      <c r="D227" s="16">
        <f>IFERROR(__xludf.DUMMYFUNCTION("""COMPUTED_VALUE"""),28.0)</f>
        <v>28</v>
      </c>
      <c r="E227" s="16">
        <f>IFERROR(__xludf.DUMMYFUNCTION("""COMPUTED_VALUE"""),1.0)</f>
        <v>1</v>
      </c>
      <c r="F227" s="16">
        <f>IFERROR(__xludf.DUMMYFUNCTION("""COMPUTED_VALUE"""),0.785714285714285)</f>
        <v>0.7857142857</v>
      </c>
      <c r="G227" s="16">
        <f>IFERROR(__xludf.DUMMYFUNCTION("""COMPUTED_VALUE"""),0.607142857142857)</f>
        <v>0.6071428571</v>
      </c>
      <c r="H227" s="16">
        <f>IFERROR(__xludf.DUMMYFUNCTION("""COMPUTED_VALUE"""),0.392857142857142)</f>
        <v>0.3928571429</v>
      </c>
      <c r="I227" s="16">
        <f>IFERROR(__xludf.DUMMYFUNCTION("""COMPUTED_VALUE"""),0.357142857142857)</f>
        <v>0.3571428571</v>
      </c>
      <c r="J227" s="16">
        <f>IFERROR(__xludf.DUMMYFUNCTION("""COMPUTED_VALUE"""),0.357142857142857)</f>
        <v>0.3571428571</v>
      </c>
      <c r="K227" s="16">
        <f>IFERROR(__xludf.DUMMYFUNCTION("""COMPUTED_VALUE"""),0.321428571428571)</f>
        <v>0.3214285714</v>
      </c>
      <c r="L227" s="16">
        <f>IFERROR(__xludf.DUMMYFUNCTION("""COMPUTED_VALUE"""),0.285714285714285)</f>
        <v>0.2857142857</v>
      </c>
      <c r="M227" s="16">
        <f>IFERROR(__xludf.DUMMYFUNCTION("""COMPUTED_VALUE"""),0.25)</f>
        <v>0.25</v>
      </c>
      <c r="N227" s="16">
        <f>IFERROR(__xludf.DUMMYFUNCTION("""COMPUTED_VALUE"""),0.285714285714285)</f>
        <v>0.2857142857</v>
      </c>
      <c r="O227" s="16">
        <f>IFERROR(__xludf.DUMMYFUNCTION("""COMPUTED_VALUE"""),0.25)</f>
        <v>0.25</v>
      </c>
      <c r="P227" s="16">
        <f>IFERROR(__xludf.DUMMYFUNCTION("""COMPUTED_VALUE"""),0.210526315789473)</f>
        <v>0.2105263158</v>
      </c>
      <c r="Q227" s="16">
        <f>IFERROR(__xludf.DUMMYFUNCTION("""COMPUTED_VALUE"""),0.0)</f>
        <v>0</v>
      </c>
      <c r="R227" s="16">
        <f>IFERROR(__xludf.DUMMYFUNCTION("""COMPUTED_VALUE"""),0.0)</f>
        <v>0</v>
      </c>
      <c r="S227" s="16">
        <f>IFERROR(__xludf.DUMMYFUNCTION("""COMPUTED_VALUE"""),0.0)</f>
        <v>0</v>
      </c>
      <c r="T227" s="16">
        <f>IFERROR(__xludf.DUMMYFUNCTION("""COMPUTED_VALUE"""),0.0)</f>
        <v>0</v>
      </c>
      <c r="U227" s="16">
        <f>IFERROR(__xludf.DUMMYFUNCTION("""COMPUTED_VALUE"""),0.0)</f>
        <v>0</v>
      </c>
      <c r="V227" s="16">
        <f>IFERROR(__xludf.DUMMYFUNCTION("""COMPUTED_VALUE"""),0.0)</f>
        <v>0</v>
      </c>
      <c r="W227" s="16">
        <f>IFERROR(__xludf.DUMMYFUNCTION("""COMPUTED_VALUE"""),0.0)</f>
        <v>0</v>
      </c>
      <c r="X227" s="16">
        <f>IFERROR(__xludf.DUMMYFUNCTION("""COMPUTED_VALUE"""),0.0)</f>
        <v>0</v>
      </c>
      <c r="Y227" s="16">
        <f>IFERROR(__xludf.DUMMYFUNCTION("""COMPUTED_VALUE"""),0.0)</f>
        <v>0</v>
      </c>
      <c r="Z227" s="16">
        <f>IFERROR(__xludf.DUMMYFUNCTION("""COMPUTED_VALUE"""),0.0)</f>
        <v>0</v>
      </c>
      <c r="AA227" s="16">
        <f>IFERROR(__xludf.DUMMYFUNCTION("""COMPUTED_VALUE"""),0.0)</f>
        <v>0</v>
      </c>
      <c r="AB227" s="16">
        <f>IFERROR(__xludf.DUMMYFUNCTION("""COMPUTED_VALUE"""),0.0)</f>
        <v>0</v>
      </c>
      <c r="AC227" s="16">
        <f>IFERROR(__xludf.DUMMYFUNCTION("""COMPUTED_VALUE"""),0.0)</f>
        <v>0</v>
      </c>
      <c r="AD227" s="16">
        <f>IFERROR(__xludf.DUMMYFUNCTION("""COMPUTED_VALUE"""),0.0)</f>
        <v>0</v>
      </c>
      <c r="AE227" s="16">
        <f>IFERROR(__xludf.DUMMYFUNCTION("""COMPUTED_VALUE"""),0.0)</f>
        <v>0</v>
      </c>
      <c r="AF227" s="16">
        <f>IFERROR(__xludf.DUMMYFUNCTION("""COMPUTED_VALUE"""),0.0)</f>
        <v>0</v>
      </c>
      <c r="AG227" s="16">
        <f>IFERROR(__xludf.DUMMYFUNCTION("""COMPUTED_VALUE"""),0.0)</f>
        <v>0</v>
      </c>
      <c r="AH227" s="16">
        <f>IFERROR(__xludf.DUMMYFUNCTION("""COMPUTED_VALUE"""),0.0)</f>
        <v>0</v>
      </c>
    </row>
    <row r="228">
      <c r="A228" s="16" t="str">
        <f>IFERROR(__xludf.DUMMYFUNCTION("""COMPUTED_VALUE"""),"c6590012d529ed8d9e5750565fe5d91ddd1144d5")</f>
        <v>c6590012d529ed8d9e5750565fe5d91ddd1144d5</v>
      </c>
      <c r="B228" s="16" t="str">
        <f>IFERROR(__xludf.DUMMYFUNCTION("""COMPUTED_VALUE"""),"Rise of Charles Atticus")</f>
        <v>Rise of Charles Atticus</v>
      </c>
      <c r="C228" s="16" t="str">
        <f>IFERROR(__xludf.DUMMYFUNCTION("""COMPUTED_VALUE"""),"Fantasy")</f>
        <v>Fantasy</v>
      </c>
      <c r="D228" s="16">
        <f>IFERROR(__xludf.DUMMYFUNCTION("""COMPUTED_VALUE"""),140.0)</f>
        <v>140</v>
      </c>
      <c r="E228" s="16">
        <f>IFERROR(__xludf.DUMMYFUNCTION("""COMPUTED_VALUE"""),0.95)</f>
        <v>0.95</v>
      </c>
      <c r="F228" s="16">
        <f>IFERROR(__xludf.DUMMYFUNCTION("""COMPUTED_VALUE"""),0.642857142857142)</f>
        <v>0.6428571429</v>
      </c>
      <c r="G228" s="16">
        <f>IFERROR(__xludf.DUMMYFUNCTION("""COMPUTED_VALUE"""),0.55)</f>
        <v>0.55</v>
      </c>
      <c r="H228" s="16">
        <f>IFERROR(__xludf.DUMMYFUNCTION("""COMPUTED_VALUE"""),0.5)</f>
        <v>0.5</v>
      </c>
      <c r="I228" s="16">
        <f>IFERROR(__xludf.DUMMYFUNCTION("""COMPUTED_VALUE"""),0.485294117647058)</f>
        <v>0.4852941176</v>
      </c>
      <c r="J228" s="16">
        <f>IFERROR(__xludf.DUMMYFUNCTION("""COMPUTED_VALUE"""),0.442748091603053)</f>
        <v>0.4427480916</v>
      </c>
      <c r="K228" s="16">
        <f>IFERROR(__xludf.DUMMYFUNCTION("""COMPUTED_VALUE"""),0.38095238095238)</f>
        <v>0.380952381</v>
      </c>
      <c r="L228" s="16">
        <f>IFERROR(__xludf.DUMMYFUNCTION("""COMPUTED_VALUE"""),0.323809523809523)</f>
        <v>0.3238095238</v>
      </c>
      <c r="M228" s="16">
        <f>IFERROR(__xludf.DUMMYFUNCTION("""COMPUTED_VALUE"""),0.33695652173913)</f>
        <v>0.3369565217</v>
      </c>
      <c r="N228" s="16">
        <f>IFERROR(__xludf.DUMMYFUNCTION("""COMPUTED_VALUE"""),0.333333333333333)</f>
        <v>0.3333333333</v>
      </c>
      <c r="O228" s="16">
        <f>IFERROR(__xludf.DUMMYFUNCTION("""COMPUTED_VALUE"""),0.666666666666666)</f>
        <v>0.6666666667</v>
      </c>
      <c r="P228" s="16">
        <f>IFERROR(__xludf.DUMMYFUNCTION("""COMPUTED_VALUE"""),0.0)</f>
        <v>0</v>
      </c>
      <c r="Q228" s="16">
        <f>IFERROR(__xludf.DUMMYFUNCTION("""COMPUTED_VALUE"""),0.0)</f>
        <v>0</v>
      </c>
      <c r="R228" s="16">
        <f>IFERROR(__xludf.DUMMYFUNCTION("""COMPUTED_VALUE"""),0.0)</f>
        <v>0</v>
      </c>
      <c r="S228" s="16">
        <f>IFERROR(__xludf.DUMMYFUNCTION("""COMPUTED_VALUE"""),0.0)</f>
        <v>0</v>
      </c>
      <c r="T228" s="16">
        <f>IFERROR(__xludf.DUMMYFUNCTION("""COMPUTED_VALUE"""),0.0)</f>
        <v>0</v>
      </c>
      <c r="U228" s="16">
        <f>IFERROR(__xludf.DUMMYFUNCTION("""COMPUTED_VALUE"""),0.0)</f>
        <v>0</v>
      </c>
      <c r="V228" s="16">
        <f>IFERROR(__xludf.DUMMYFUNCTION("""COMPUTED_VALUE"""),0.0)</f>
        <v>0</v>
      </c>
      <c r="W228" s="16">
        <f>IFERROR(__xludf.DUMMYFUNCTION("""COMPUTED_VALUE"""),0.0)</f>
        <v>0</v>
      </c>
      <c r="X228" s="16">
        <f>IFERROR(__xludf.DUMMYFUNCTION("""COMPUTED_VALUE"""),0.0)</f>
        <v>0</v>
      </c>
      <c r="Y228" s="16">
        <f>IFERROR(__xludf.DUMMYFUNCTION("""COMPUTED_VALUE"""),0.0)</f>
        <v>0</v>
      </c>
      <c r="Z228" s="16">
        <f>IFERROR(__xludf.DUMMYFUNCTION("""COMPUTED_VALUE"""),0.0)</f>
        <v>0</v>
      </c>
      <c r="AA228" s="16">
        <f>IFERROR(__xludf.DUMMYFUNCTION("""COMPUTED_VALUE"""),0.0)</f>
        <v>0</v>
      </c>
      <c r="AB228" s="16">
        <f>IFERROR(__xludf.DUMMYFUNCTION("""COMPUTED_VALUE"""),0.0)</f>
        <v>0</v>
      </c>
      <c r="AC228" s="16">
        <f>IFERROR(__xludf.DUMMYFUNCTION("""COMPUTED_VALUE"""),0.0)</f>
        <v>0</v>
      </c>
      <c r="AD228" s="16">
        <f>IFERROR(__xludf.DUMMYFUNCTION("""COMPUTED_VALUE"""),0.0)</f>
        <v>0</v>
      </c>
      <c r="AE228" s="16">
        <f>IFERROR(__xludf.DUMMYFUNCTION("""COMPUTED_VALUE"""),0.0)</f>
        <v>0</v>
      </c>
      <c r="AF228" s="16">
        <f>IFERROR(__xludf.DUMMYFUNCTION("""COMPUTED_VALUE"""),0.0)</f>
        <v>0</v>
      </c>
      <c r="AG228" s="16">
        <f>IFERROR(__xludf.DUMMYFUNCTION("""COMPUTED_VALUE"""),0.0)</f>
        <v>0</v>
      </c>
      <c r="AH228" s="16">
        <f>IFERROR(__xludf.DUMMYFUNCTION("""COMPUTED_VALUE"""),0.0)</f>
        <v>0</v>
      </c>
    </row>
    <row r="229">
      <c r="A229" s="16" t="str">
        <f>IFERROR(__xludf.DUMMYFUNCTION("""COMPUTED_VALUE"""),"c66d5521f195754d722c7e3daab2da20a027dd0c")</f>
        <v>c66d5521f195754d722c7e3daab2da20a027dd0c</v>
      </c>
      <c r="B229" s="16" t="str">
        <f>IFERROR(__xludf.DUMMYFUNCTION("""COMPUTED_VALUE"""),"Ceo's Heartbreaker")</f>
        <v>Ceo's Heartbreaker</v>
      </c>
      <c r="C229" s="16" t="str">
        <f>IFERROR(__xludf.DUMMYFUNCTION("""COMPUTED_VALUE"""),"Romance")</f>
        <v>Romance</v>
      </c>
      <c r="D229" s="16">
        <f>IFERROR(__xludf.DUMMYFUNCTION("""COMPUTED_VALUE"""),223.0)</f>
        <v>223</v>
      </c>
      <c r="E229" s="16">
        <f>IFERROR(__xludf.DUMMYFUNCTION("""COMPUTED_VALUE"""),0.937219730941704)</f>
        <v>0.9372197309</v>
      </c>
      <c r="F229" s="16">
        <f>IFERROR(__xludf.DUMMYFUNCTION("""COMPUTED_VALUE"""),0.618834080717488)</f>
        <v>0.6188340807</v>
      </c>
      <c r="G229" s="16">
        <f>IFERROR(__xludf.DUMMYFUNCTION("""COMPUTED_VALUE"""),0.475336322869955)</f>
        <v>0.4753363229</v>
      </c>
      <c r="H229" s="16">
        <f>IFERROR(__xludf.DUMMYFUNCTION("""COMPUTED_VALUE"""),0.443946188340807)</f>
        <v>0.4439461883</v>
      </c>
      <c r="I229" s="16">
        <f>IFERROR(__xludf.DUMMYFUNCTION("""COMPUTED_VALUE"""),0.349775784753363)</f>
        <v>0.3497757848</v>
      </c>
      <c r="J229" s="16">
        <f>IFERROR(__xludf.DUMMYFUNCTION("""COMPUTED_VALUE"""),0.35)</f>
        <v>0.35</v>
      </c>
      <c r="K229" s="16">
        <f>IFERROR(__xludf.DUMMYFUNCTION("""COMPUTED_VALUE"""),0.308755760368663)</f>
        <v>0.3087557604</v>
      </c>
      <c r="L229" s="16">
        <f>IFERROR(__xludf.DUMMYFUNCTION("""COMPUTED_VALUE"""),0.287037037037037)</f>
        <v>0.287037037</v>
      </c>
      <c r="M229" s="16">
        <f>IFERROR(__xludf.DUMMYFUNCTION("""COMPUTED_VALUE"""),0.273584905660377)</f>
        <v>0.2735849057</v>
      </c>
      <c r="N229" s="16">
        <f>IFERROR(__xludf.DUMMYFUNCTION("""COMPUTED_VALUE"""),0.271844660194174)</f>
        <v>0.2718446602</v>
      </c>
      <c r="O229" s="16">
        <f>IFERROR(__xludf.DUMMYFUNCTION("""COMPUTED_VALUE"""),0.260115606936416)</f>
        <v>0.2601156069</v>
      </c>
      <c r="P229" s="16">
        <f>IFERROR(__xludf.DUMMYFUNCTION("""COMPUTED_VALUE"""),0.191666666666666)</f>
        <v>0.1916666667</v>
      </c>
      <c r="Q229" s="16">
        <f>IFERROR(__xludf.DUMMYFUNCTION("""COMPUTED_VALUE"""),0.0847457627118644)</f>
        <v>0.08474576271</v>
      </c>
      <c r="R229" s="16">
        <f>IFERROR(__xludf.DUMMYFUNCTION("""COMPUTED_VALUE"""),0.0)</f>
        <v>0</v>
      </c>
      <c r="S229" s="16">
        <f>IFERROR(__xludf.DUMMYFUNCTION("""COMPUTED_VALUE"""),0.0)</f>
        <v>0</v>
      </c>
      <c r="T229" s="16">
        <f>IFERROR(__xludf.DUMMYFUNCTION("""COMPUTED_VALUE"""),0.0)</f>
        <v>0</v>
      </c>
      <c r="U229" s="16">
        <f>IFERROR(__xludf.DUMMYFUNCTION("""COMPUTED_VALUE"""),0.0)</f>
        <v>0</v>
      </c>
      <c r="V229" s="16">
        <f>IFERROR(__xludf.DUMMYFUNCTION("""COMPUTED_VALUE"""),0.0)</f>
        <v>0</v>
      </c>
      <c r="W229" s="16">
        <f>IFERROR(__xludf.DUMMYFUNCTION("""COMPUTED_VALUE"""),0.0)</f>
        <v>0</v>
      </c>
      <c r="X229" s="16">
        <f>IFERROR(__xludf.DUMMYFUNCTION("""COMPUTED_VALUE"""),0.0)</f>
        <v>0</v>
      </c>
      <c r="Y229" s="16">
        <f>IFERROR(__xludf.DUMMYFUNCTION("""COMPUTED_VALUE"""),0.0)</f>
        <v>0</v>
      </c>
      <c r="Z229" s="16">
        <f>IFERROR(__xludf.DUMMYFUNCTION("""COMPUTED_VALUE"""),0.0)</f>
        <v>0</v>
      </c>
      <c r="AA229" s="16">
        <f>IFERROR(__xludf.DUMMYFUNCTION("""COMPUTED_VALUE"""),0.0)</f>
        <v>0</v>
      </c>
      <c r="AB229" s="16">
        <f>IFERROR(__xludf.DUMMYFUNCTION("""COMPUTED_VALUE"""),0.0)</f>
        <v>0</v>
      </c>
      <c r="AC229" s="16">
        <f>IFERROR(__xludf.DUMMYFUNCTION("""COMPUTED_VALUE"""),0.0)</f>
        <v>0</v>
      </c>
      <c r="AD229" s="16">
        <f>IFERROR(__xludf.DUMMYFUNCTION("""COMPUTED_VALUE"""),0.0)</f>
        <v>0</v>
      </c>
      <c r="AE229" s="16">
        <f>IFERROR(__xludf.DUMMYFUNCTION("""COMPUTED_VALUE"""),0.0)</f>
        <v>0</v>
      </c>
      <c r="AF229" s="16">
        <f>IFERROR(__xludf.DUMMYFUNCTION("""COMPUTED_VALUE"""),0.0)</f>
        <v>0</v>
      </c>
      <c r="AG229" s="16">
        <f>IFERROR(__xludf.DUMMYFUNCTION("""COMPUTED_VALUE"""),0.0)</f>
        <v>0</v>
      </c>
      <c r="AH229" s="16">
        <f>IFERROR(__xludf.DUMMYFUNCTION("""COMPUTED_VALUE"""),0.0)</f>
        <v>0</v>
      </c>
    </row>
    <row r="230">
      <c r="A230" s="16" t="str">
        <f>IFERROR(__xludf.DUMMYFUNCTION("""COMPUTED_VALUE"""),"c6786de3c05a64c2f4c13acbe0e61d8d4e111aad")</f>
        <v>c6786de3c05a64c2f4c13acbe0e61d8d4e111aad</v>
      </c>
      <c r="B230" s="16" t="str">
        <f>IFERROR(__xludf.DUMMYFUNCTION("""COMPUTED_VALUE"""),"Mr. Kane's Reluctant Wife")</f>
        <v>Mr. Kane's Reluctant Wife</v>
      </c>
      <c r="C230" s="16" t="str">
        <f>IFERROR(__xludf.DUMMYFUNCTION("""COMPUTED_VALUE"""),"Romance")</f>
        <v>Romance</v>
      </c>
      <c r="D230" s="16">
        <f>IFERROR(__xludf.DUMMYFUNCTION("""COMPUTED_VALUE"""),886.0)</f>
        <v>886</v>
      </c>
      <c r="E230" s="16">
        <f>IFERROR(__xludf.DUMMYFUNCTION("""COMPUTED_VALUE"""),0.952595936794582)</f>
        <v>0.9525959368</v>
      </c>
      <c r="F230" s="16">
        <f>IFERROR(__xludf.DUMMYFUNCTION("""COMPUTED_VALUE"""),0.580135440180586)</f>
        <v>0.5801354402</v>
      </c>
      <c r="G230" s="16">
        <f>IFERROR(__xludf.DUMMYFUNCTION("""COMPUTED_VALUE"""),0.519187358916478)</f>
        <v>0.5191873589</v>
      </c>
      <c r="H230" s="16">
        <f>IFERROR(__xludf.DUMMYFUNCTION("""COMPUTED_VALUE"""),0.501694915254237)</f>
        <v>0.5016949153</v>
      </c>
      <c r="I230" s="16">
        <f>IFERROR(__xludf.DUMMYFUNCTION("""COMPUTED_VALUE"""),0.461538461538461)</f>
        <v>0.4615384615</v>
      </c>
      <c r="J230" s="16">
        <f>IFERROR(__xludf.DUMMYFUNCTION("""COMPUTED_VALUE"""),0.448471121177802)</f>
        <v>0.4484711212</v>
      </c>
      <c r="K230" s="16">
        <f>IFERROR(__xludf.DUMMYFUNCTION("""COMPUTED_VALUE"""),0.434881087202718)</f>
        <v>0.4348810872</v>
      </c>
      <c r="L230" s="16">
        <f>IFERROR(__xludf.DUMMYFUNCTION("""COMPUTED_VALUE"""),0.428571428571428)</f>
        <v>0.4285714286</v>
      </c>
      <c r="M230" s="16">
        <f>IFERROR(__xludf.DUMMYFUNCTION("""COMPUTED_VALUE"""),0.426303854875283)</f>
        <v>0.4263038549</v>
      </c>
      <c r="N230" s="16">
        <f>IFERROR(__xludf.DUMMYFUNCTION("""COMPUTED_VALUE"""),0.413636363636363)</f>
        <v>0.4136363636</v>
      </c>
      <c r="O230" s="16">
        <f>IFERROR(__xludf.DUMMYFUNCTION("""COMPUTED_VALUE"""),0.394009216589861)</f>
        <v>0.3940092166</v>
      </c>
      <c r="P230" s="16">
        <f>IFERROR(__xludf.DUMMYFUNCTION("""COMPUTED_VALUE"""),0.299450549450549)</f>
        <v>0.2994505495</v>
      </c>
      <c r="Q230" s="16">
        <f>IFERROR(__xludf.DUMMYFUNCTION("""COMPUTED_VALUE"""),0.204633204633204)</f>
        <v>0.2046332046</v>
      </c>
      <c r="R230" s="16">
        <f>IFERROR(__xludf.DUMMYFUNCTION("""COMPUTED_VALUE"""),0.0)</f>
        <v>0</v>
      </c>
      <c r="S230" s="16">
        <f>IFERROR(__xludf.DUMMYFUNCTION("""COMPUTED_VALUE"""),0.0)</f>
        <v>0</v>
      </c>
      <c r="T230" s="16">
        <f>IFERROR(__xludf.DUMMYFUNCTION("""COMPUTED_VALUE"""),0.0)</f>
        <v>0</v>
      </c>
      <c r="U230" s="16">
        <f>IFERROR(__xludf.DUMMYFUNCTION("""COMPUTED_VALUE"""),0.0)</f>
        <v>0</v>
      </c>
      <c r="V230" s="16">
        <f>IFERROR(__xludf.DUMMYFUNCTION("""COMPUTED_VALUE"""),0.0)</f>
        <v>0</v>
      </c>
      <c r="W230" s="16">
        <f>IFERROR(__xludf.DUMMYFUNCTION("""COMPUTED_VALUE"""),0.0)</f>
        <v>0</v>
      </c>
      <c r="X230" s="16">
        <f>IFERROR(__xludf.DUMMYFUNCTION("""COMPUTED_VALUE"""),0.0)</f>
        <v>0</v>
      </c>
      <c r="Y230" s="16">
        <f>IFERROR(__xludf.DUMMYFUNCTION("""COMPUTED_VALUE"""),0.0)</f>
        <v>0</v>
      </c>
      <c r="Z230" s="16">
        <f>IFERROR(__xludf.DUMMYFUNCTION("""COMPUTED_VALUE"""),0.0)</f>
        <v>0</v>
      </c>
      <c r="AA230" s="16">
        <f>IFERROR(__xludf.DUMMYFUNCTION("""COMPUTED_VALUE"""),0.0)</f>
        <v>0</v>
      </c>
      <c r="AB230" s="16">
        <f>IFERROR(__xludf.DUMMYFUNCTION("""COMPUTED_VALUE"""),0.0)</f>
        <v>0</v>
      </c>
      <c r="AC230" s="16">
        <f>IFERROR(__xludf.DUMMYFUNCTION("""COMPUTED_VALUE"""),0.0)</f>
        <v>0</v>
      </c>
      <c r="AD230" s="16">
        <f>IFERROR(__xludf.DUMMYFUNCTION("""COMPUTED_VALUE"""),0.0)</f>
        <v>0</v>
      </c>
      <c r="AE230" s="16">
        <f>IFERROR(__xludf.DUMMYFUNCTION("""COMPUTED_VALUE"""),0.0)</f>
        <v>0</v>
      </c>
      <c r="AF230" s="16">
        <f>IFERROR(__xludf.DUMMYFUNCTION("""COMPUTED_VALUE"""),0.0)</f>
        <v>0</v>
      </c>
      <c r="AG230" s="16">
        <f>IFERROR(__xludf.DUMMYFUNCTION("""COMPUTED_VALUE"""),0.0)</f>
        <v>0</v>
      </c>
      <c r="AH230" s="16">
        <f>IFERROR(__xludf.DUMMYFUNCTION("""COMPUTED_VALUE"""),0.0)</f>
        <v>0</v>
      </c>
    </row>
    <row r="231">
      <c r="A231" s="16" t="str">
        <f>IFERROR(__xludf.DUMMYFUNCTION("""COMPUTED_VALUE"""),"c8219b2f9d80ce631da27b15849041dbb194dc76")</f>
        <v>c8219b2f9d80ce631da27b15849041dbb194dc76</v>
      </c>
      <c r="B231" s="16" t="str">
        <f>IFERROR(__xludf.DUMMYFUNCTION("""COMPUTED_VALUE"""),"The Fire God's Heir")</f>
        <v>The Fire God's Heir</v>
      </c>
      <c r="C231" s="16" t="str">
        <f>IFERROR(__xludf.DUMMYFUNCTION("""COMPUTED_VALUE"""),"Romantasy")</f>
        <v>Romantasy</v>
      </c>
      <c r="D231" s="16">
        <f>IFERROR(__xludf.DUMMYFUNCTION("""COMPUTED_VALUE"""),178.0)</f>
        <v>178</v>
      </c>
      <c r="E231" s="16">
        <f>IFERROR(__xludf.DUMMYFUNCTION("""COMPUTED_VALUE"""),0.96629213483146)</f>
        <v>0.9662921348</v>
      </c>
      <c r="F231" s="16">
        <f>IFERROR(__xludf.DUMMYFUNCTION("""COMPUTED_VALUE"""),0.550561797752809)</f>
        <v>0.5505617978</v>
      </c>
      <c r="G231" s="16">
        <f>IFERROR(__xludf.DUMMYFUNCTION("""COMPUTED_VALUE"""),0.505617977528089)</f>
        <v>0.5056179775</v>
      </c>
      <c r="H231" s="16">
        <f>IFERROR(__xludf.DUMMYFUNCTION("""COMPUTED_VALUE"""),0.357954545454545)</f>
        <v>0.3579545455</v>
      </c>
      <c r="I231" s="16">
        <f>IFERROR(__xludf.DUMMYFUNCTION("""COMPUTED_VALUE"""),0.268571428571428)</f>
        <v>0.2685714286</v>
      </c>
      <c r="J231" s="16">
        <f>IFERROR(__xludf.DUMMYFUNCTION("""COMPUTED_VALUE"""),0.25)</f>
        <v>0.25</v>
      </c>
      <c r="K231" s="16">
        <f>IFERROR(__xludf.DUMMYFUNCTION("""COMPUTED_VALUE"""),0.23030303030303)</f>
        <v>0.2303030303</v>
      </c>
      <c r="L231" s="16">
        <f>IFERROR(__xludf.DUMMYFUNCTION("""COMPUTED_VALUE"""),0.24375)</f>
        <v>0.24375</v>
      </c>
      <c r="M231" s="16">
        <f>IFERROR(__xludf.DUMMYFUNCTION("""COMPUTED_VALUE"""),0.213836477987421)</f>
        <v>0.213836478</v>
      </c>
      <c r="N231" s="16">
        <f>IFERROR(__xludf.DUMMYFUNCTION("""COMPUTED_VALUE"""),0.194805194805194)</f>
        <v>0.1948051948</v>
      </c>
      <c r="O231" s="16">
        <f>IFERROR(__xludf.DUMMYFUNCTION("""COMPUTED_VALUE"""),0.161764705882352)</f>
        <v>0.1617647059</v>
      </c>
      <c r="P231" s="16">
        <f>IFERROR(__xludf.DUMMYFUNCTION("""COMPUTED_VALUE"""),0.0769230769230769)</f>
        <v>0.07692307692</v>
      </c>
      <c r="Q231" s="16">
        <f>IFERROR(__xludf.DUMMYFUNCTION("""COMPUTED_VALUE"""),0.0707070707070707)</f>
        <v>0.07070707071</v>
      </c>
      <c r="R231" s="16">
        <f>IFERROR(__xludf.DUMMYFUNCTION("""COMPUTED_VALUE"""),0.0)</f>
        <v>0</v>
      </c>
      <c r="S231" s="16">
        <f>IFERROR(__xludf.DUMMYFUNCTION("""COMPUTED_VALUE"""),0.0)</f>
        <v>0</v>
      </c>
      <c r="T231" s="16">
        <f>IFERROR(__xludf.DUMMYFUNCTION("""COMPUTED_VALUE"""),0.0)</f>
        <v>0</v>
      </c>
      <c r="U231" s="16">
        <f>IFERROR(__xludf.DUMMYFUNCTION("""COMPUTED_VALUE"""),0.0)</f>
        <v>0</v>
      </c>
      <c r="V231" s="16">
        <f>IFERROR(__xludf.DUMMYFUNCTION("""COMPUTED_VALUE"""),0.0)</f>
        <v>0</v>
      </c>
      <c r="W231" s="16">
        <f>IFERROR(__xludf.DUMMYFUNCTION("""COMPUTED_VALUE"""),0.0)</f>
        <v>0</v>
      </c>
      <c r="X231" s="16">
        <f>IFERROR(__xludf.DUMMYFUNCTION("""COMPUTED_VALUE"""),0.0)</f>
        <v>0</v>
      </c>
      <c r="Y231" s="16">
        <f>IFERROR(__xludf.DUMMYFUNCTION("""COMPUTED_VALUE"""),0.0)</f>
        <v>0</v>
      </c>
      <c r="Z231" s="16">
        <f>IFERROR(__xludf.DUMMYFUNCTION("""COMPUTED_VALUE"""),0.0)</f>
        <v>0</v>
      </c>
      <c r="AA231" s="16">
        <f>IFERROR(__xludf.DUMMYFUNCTION("""COMPUTED_VALUE"""),0.0)</f>
        <v>0</v>
      </c>
      <c r="AB231" s="16">
        <f>IFERROR(__xludf.DUMMYFUNCTION("""COMPUTED_VALUE"""),0.0)</f>
        <v>0</v>
      </c>
      <c r="AC231" s="16">
        <f>IFERROR(__xludf.DUMMYFUNCTION("""COMPUTED_VALUE"""),0.0)</f>
        <v>0</v>
      </c>
      <c r="AD231" s="16">
        <f>IFERROR(__xludf.DUMMYFUNCTION("""COMPUTED_VALUE"""),0.0)</f>
        <v>0</v>
      </c>
      <c r="AE231" s="16">
        <f>IFERROR(__xludf.DUMMYFUNCTION("""COMPUTED_VALUE"""),0.0)</f>
        <v>0</v>
      </c>
      <c r="AF231" s="16">
        <f>IFERROR(__xludf.DUMMYFUNCTION("""COMPUTED_VALUE"""),0.0)</f>
        <v>0</v>
      </c>
      <c r="AG231" s="16">
        <f>IFERROR(__xludf.DUMMYFUNCTION("""COMPUTED_VALUE"""),0.0)</f>
        <v>0</v>
      </c>
      <c r="AH231" s="16">
        <f>IFERROR(__xludf.DUMMYFUNCTION("""COMPUTED_VALUE"""),0.0)</f>
        <v>0</v>
      </c>
    </row>
    <row r="232">
      <c r="A232" s="16" t="str">
        <f>IFERROR(__xludf.DUMMYFUNCTION("""COMPUTED_VALUE"""),"c9fd6d447c06b151ec4563d30a1e1685e71bd29d")</f>
        <v>c9fd6d447c06b151ec4563d30a1e1685e71bd29d</v>
      </c>
      <c r="B232" s="16" t="str">
        <f>IFERROR(__xludf.DUMMYFUNCTION("""COMPUTED_VALUE"""),"Void Evolution System")</f>
        <v>Void Evolution System</v>
      </c>
      <c r="C232" s="16" t="str">
        <f>IFERROR(__xludf.DUMMYFUNCTION("""COMPUTED_VALUE"""),"Fantasy")</f>
        <v>Fantasy</v>
      </c>
      <c r="D232" s="16">
        <f>IFERROR(__xludf.DUMMYFUNCTION("""COMPUTED_VALUE"""),48.0)</f>
        <v>48</v>
      </c>
      <c r="E232" s="16">
        <f>IFERROR(__xludf.DUMMYFUNCTION("""COMPUTED_VALUE"""),0.979166666666666)</f>
        <v>0.9791666667</v>
      </c>
      <c r="F232" s="16">
        <f>IFERROR(__xludf.DUMMYFUNCTION("""COMPUTED_VALUE"""),0.729166666666666)</f>
        <v>0.7291666667</v>
      </c>
      <c r="G232" s="16">
        <f>IFERROR(__xludf.DUMMYFUNCTION("""COMPUTED_VALUE"""),0.645833333333333)</f>
        <v>0.6458333333</v>
      </c>
      <c r="H232" s="16">
        <f>IFERROR(__xludf.DUMMYFUNCTION("""COMPUTED_VALUE"""),0.520833333333333)</f>
        <v>0.5208333333</v>
      </c>
      <c r="I232" s="16">
        <f>IFERROR(__xludf.DUMMYFUNCTION("""COMPUTED_VALUE"""),0.520833333333333)</f>
        <v>0.5208333333</v>
      </c>
      <c r="J232" s="16">
        <f>IFERROR(__xludf.DUMMYFUNCTION("""COMPUTED_VALUE"""),0.5)</f>
        <v>0.5</v>
      </c>
      <c r="K232" s="16">
        <f>IFERROR(__xludf.DUMMYFUNCTION("""COMPUTED_VALUE"""),0.425531914893617)</f>
        <v>0.4255319149</v>
      </c>
      <c r="L232" s="16">
        <f>IFERROR(__xludf.DUMMYFUNCTION("""COMPUTED_VALUE"""),0.434782608695652)</f>
        <v>0.4347826087</v>
      </c>
      <c r="M232" s="16">
        <f>IFERROR(__xludf.DUMMYFUNCTION("""COMPUTED_VALUE"""),0.413043478260869)</f>
        <v>0.4130434783</v>
      </c>
      <c r="N232" s="16">
        <f>IFERROR(__xludf.DUMMYFUNCTION("""COMPUTED_VALUE"""),0.4)</f>
        <v>0.4</v>
      </c>
      <c r="O232" s="16">
        <f>IFERROR(__xludf.DUMMYFUNCTION("""COMPUTED_VALUE"""),0.289473684210526)</f>
        <v>0.2894736842</v>
      </c>
      <c r="P232" s="16">
        <f>IFERROR(__xludf.DUMMYFUNCTION("""COMPUTED_VALUE"""),0.0)</f>
        <v>0</v>
      </c>
      <c r="Q232" s="16">
        <f>IFERROR(__xludf.DUMMYFUNCTION("""COMPUTED_VALUE"""),0.0)</f>
        <v>0</v>
      </c>
      <c r="R232" s="16">
        <f>IFERROR(__xludf.DUMMYFUNCTION("""COMPUTED_VALUE"""),0.0)</f>
        <v>0</v>
      </c>
      <c r="S232" s="16">
        <f>IFERROR(__xludf.DUMMYFUNCTION("""COMPUTED_VALUE"""),0.0)</f>
        <v>0</v>
      </c>
      <c r="T232" s="16">
        <f>IFERROR(__xludf.DUMMYFUNCTION("""COMPUTED_VALUE"""),0.0)</f>
        <v>0</v>
      </c>
      <c r="U232" s="16">
        <f>IFERROR(__xludf.DUMMYFUNCTION("""COMPUTED_VALUE"""),0.0)</f>
        <v>0</v>
      </c>
      <c r="V232" s="16">
        <f>IFERROR(__xludf.DUMMYFUNCTION("""COMPUTED_VALUE"""),0.0)</f>
        <v>0</v>
      </c>
      <c r="W232" s="16">
        <f>IFERROR(__xludf.DUMMYFUNCTION("""COMPUTED_VALUE"""),0.0)</f>
        <v>0</v>
      </c>
      <c r="X232" s="16">
        <f>IFERROR(__xludf.DUMMYFUNCTION("""COMPUTED_VALUE"""),0.0)</f>
        <v>0</v>
      </c>
      <c r="Y232" s="16">
        <f>IFERROR(__xludf.DUMMYFUNCTION("""COMPUTED_VALUE"""),0.0)</f>
        <v>0</v>
      </c>
      <c r="Z232" s="16">
        <f>IFERROR(__xludf.DUMMYFUNCTION("""COMPUTED_VALUE"""),0.0)</f>
        <v>0</v>
      </c>
      <c r="AA232" s="16">
        <f>IFERROR(__xludf.DUMMYFUNCTION("""COMPUTED_VALUE"""),0.0)</f>
        <v>0</v>
      </c>
      <c r="AB232" s="16">
        <f>IFERROR(__xludf.DUMMYFUNCTION("""COMPUTED_VALUE"""),0.0)</f>
        <v>0</v>
      </c>
      <c r="AC232" s="16">
        <f>IFERROR(__xludf.DUMMYFUNCTION("""COMPUTED_VALUE"""),0.0)</f>
        <v>0</v>
      </c>
      <c r="AD232" s="16">
        <f>IFERROR(__xludf.DUMMYFUNCTION("""COMPUTED_VALUE"""),0.0)</f>
        <v>0</v>
      </c>
      <c r="AE232" s="16">
        <f>IFERROR(__xludf.DUMMYFUNCTION("""COMPUTED_VALUE"""),0.0)</f>
        <v>0</v>
      </c>
      <c r="AF232" s="16">
        <f>IFERROR(__xludf.DUMMYFUNCTION("""COMPUTED_VALUE"""),0.0)</f>
        <v>0</v>
      </c>
      <c r="AG232" s="16">
        <f>IFERROR(__xludf.DUMMYFUNCTION("""COMPUTED_VALUE"""),0.0)</f>
        <v>0</v>
      </c>
      <c r="AH232" s="16">
        <f>IFERROR(__xludf.DUMMYFUNCTION("""COMPUTED_VALUE"""),0.0)</f>
        <v>0</v>
      </c>
    </row>
    <row r="233">
      <c r="A233" s="16" t="str">
        <f>IFERROR(__xludf.DUMMYFUNCTION("""COMPUTED_VALUE"""),"cae77d999ed2205a1ab04a54470de972ddd8bc69")</f>
        <v>cae77d999ed2205a1ab04a54470de972ddd8bc69</v>
      </c>
      <c r="B233" s="16" t="str">
        <f>IFERROR(__xludf.DUMMYFUNCTION("""COMPUTED_VALUE"""),"Atlas of My Heart")</f>
        <v>Atlas of My Heart</v>
      </c>
      <c r="C233" s="16" t="str">
        <f>IFERROR(__xludf.DUMMYFUNCTION("""COMPUTED_VALUE"""),"Romance")</f>
        <v>Romance</v>
      </c>
      <c r="D233" s="16">
        <f>IFERROR(__xludf.DUMMYFUNCTION("""COMPUTED_VALUE"""),1164.0)</f>
        <v>1164</v>
      </c>
      <c r="E233" s="16">
        <f>IFERROR(__xludf.DUMMYFUNCTION("""COMPUTED_VALUE"""),0.948453608247422)</f>
        <v>0.9484536082</v>
      </c>
      <c r="F233" s="16">
        <f>IFERROR(__xludf.DUMMYFUNCTION("""COMPUTED_VALUE"""),0.588993981083405)</f>
        <v>0.5889939811</v>
      </c>
      <c r="G233" s="16">
        <f>IFERROR(__xludf.DUMMYFUNCTION("""COMPUTED_VALUE"""),0.515047291487532)</f>
        <v>0.5150472915</v>
      </c>
      <c r="H233" s="16">
        <f>IFERROR(__xludf.DUMMYFUNCTION("""COMPUTED_VALUE"""),0.450473729543496)</f>
        <v>0.4504737295</v>
      </c>
      <c r="I233" s="16">
        <f>IFERROR(__xludf.DUMMYFUNCTION("""COMPUTED_VALUE"""),0.396893874029335)</f>
        <v>0.396893874</v>
      </c>
      <c r="J233" s="16">
        <f>IFERROR(__xludf.DUMMYFUNCTION("""COMPUTED_VALUE"""),0.348013816925734)</f>
        <v>0.3480138169</v>
      </c>
      <c r="K233" s="16">
        <f>IFERROR(__xludf.DUMMYFUNCTION("""COMPUTED_VALUE"""),0.332755632582322)</f>
        <v>0.3327556326</v>
      </c>
      <c r="L233" s="16">
        <f>IFERROR(__xludf.DUMMYFUNCTION("""COMPUTED_VALUE"""),0.300608166811468)</f>
        <v>0.3006081668</v>
      </c>
      <c r="M233" s="16">
        <f>IFERROR(__xludf.DUMMYFUNCTION("""COMPUTED_VALUE"""),0.285340314136125)</f>
        <v>0.2853403141</v>
      </c>
      <c r="N233" s="16">
        <f>IFERROR(__xludf.DUMMYFUNCTION("""COMPUTED_VALUE"""),0.268826619964973)</f>
        <v>0.26882662</v>
      </c>
      <c r="O233" s="16">
        <f>IFERROR(__xludf.DUMMYFUNCTION("""COMPUTED_VALUE"""),0.231663685152057)</f>
        <v>0.2316636852</v>
      </c>
      <c r="P233" s="16">
        <f>IFERROR(__xludf.DUMMYFUNCTION("""COMPUTED_VALUE"""),0.200371057513914)</f>
        <v>0.2003710575</v>
      </c>
      <c r="Q233" s="16">
        <f>IFERROR(__xludf.DUMMYFUNCTION("""COMPUTED_VALUE"""),0.130434782608695)</f>
        <v>0.1304347826</v>
      </c>
      <c r="R233" s="16">
        <f>IFERROR(__xludf.DUMMYFUNCTION("""COMPUTED_VALUE"""),0.0)</f>
        <v>0</v>
      </c>
      <c r="S233" s="16">
        <f>IFERROR(__xludf.DUMMYFUNCTION("""COMPUTED_VALUE"""),0.0)</f>
        <v>0</v>
      </c>
      <c r="T233" s="16">
        <f>IFERROR(__xludf.DUMMYFUNCTION("""COMPUTED_VALUE"""),0.0)</f>
        <v>0</v>
      </c>
      <c r="U233" s="16">
        <f>IFERROR(__xludf.DUMMYFUNCTION("""COMPUTED_VALUE"""),0.0)</f>
        <v>0</v>
      </c>
      <c r="V233" s="16">
        <f>IFERROR(__xludf.DUMMYFUNCTION("""COMPUTED_VALUE"""),0.0)</f>
        <v>0</v>
      </c>
      <c r="W233" s="16">
        <f>IFERROR(__xludf.DUMMYFUNCTION("""COMPUTED_VALUE"""),0.0)</f>
        <v>0</v>
      </c>
      <c r="X233" s="16">
        <f>IFERROR(__xludf.DUMMYFUNCTION("""COMPUTED_VALUE"""),0.0)</f>
        <v>0</v>
      </c>
      <c r="Y233" s="16">
        <f>IFERROR(__xludf.DUMMYFUNCTION("""COMPUTED_VALUE"""),0.0)</f>
        <v>0</v>
      </c>
      <c r="Z233" s="16">
        <f>IFERROR(__xludf.DUMMYFUNCTION("""COMPUTED_VALUE"""),0.0)</f>
        <v>0</v>
      </c>
      <c r="AA233" s="16">
        <f>IFERROR(__xludf.DUMMYFUNCTION("""COMPUTED_VALUE"""),0.0)</f>
        <v>0</v>
      </c>
      <c r="AB233" s="16">
        <f>IFERROR(__xludf.DUMMYFUNCTION("""COMPUTED_VALUE"""),0.0)</f>
        <v>0</v>
      </c>
      <c r="AC233" s="16">
        <f>IFERROR(__xludf.DUMMYFUNCTION("""COMPUTED_VALUE"""),0.0)</f>
        <v>0</v>
      </c>
      <c r="AD233" s="16">
        <f>IFERROR(__xludf.DUMMYFUNCTION("""COMPUTED_VALUE"""),0.0)</f>
        <v>0</v>
      </c>
      <c r="AE233" s="16">
        <f>IFERROR(__xludf.DUMMYFUNCTION("""COMPUTED_VALUE"""),0.0)</f>
        <v>0</v>
      </c>
      <c r="AF233" s="16">
        <f>IFERROR(__xludf.DUMMYFUNCTION("""COMPUTED_VALUE"""),0.0)</f>
        <v>0</v>
      </c>
      <c r="AG233" s="16">
        <f>IFERROR(__xludf.DUMMYFUNCTION("""COMPUTED_VALUE"""),0.0)</f>
        <v>0</v>
      </c>
      <c r="AH233" s="16">
        <f>IFERROR(__xludf.DUMMYFUNCTION("""COMPUTED_VALUE"""),0.0)</f>
        <v>0</v>
      </c>
    </row>
    <row r="234">
      <c r="A234" s="16" t="str">
        <f>IFERROR(__xludf.DUMMYFUNCTION("""COMPUTED_VALUE"""),"cc5ecb3fc21c174557bddcfbc36d821c915d89ed")</f>
        <v>cc5ecb3fc21c174557bddcfbc36d821c915d89ed</v>
      </c>
      <c r="B234" s="16" t="str">
        <f>IFERROR(__xludf.DUMMYFUNCTION("""COMPUTED_VALUE"""),"My Lovely Intruder")</f>
        <v>My Lovely Intruder</v>
      </c>
      <c r="C234" s="16" t="str">
        <f>IFERROR(__xludf.DUMMYFUNCTION("""COMPUTED_VALUE"""),"Romantasy")</f>
        <v>Romantasy</v>
      </c>
      <c r="D234" s="16">
        <f>IFERROR(__xludf.DUMMYFUNCTION("""COMPUTED_VALUE"""),314.0)</f>
        <v>314</v>
      </c>
      <c r="E234" s="16">
        <f>IFERROR(__xludf.DUMMYFUNCTION("""COMPUTED_VALUE"""),0.97452229299363)</f>
        <v>0.974522293</v>
      </c>
      <c r="F234" s="16">
        <f>IFERROR(__xludf.DUMMYFUNCTION("""COMPUTED_VALUE"""),0.523961661341853)</f>
        <v>0.5239616613</v>
      </c>
      <c r="G234" s="16">
        <f>IFERROR(__xludf.DUMMYFUNCTION("""COMPUTED_VALUE"""),0.432692307692307)</f>
        <v>0.4326923077</v>
      </c>
      <c r="H234" s="16">
        <f>IFERROR(__xludf.DUMMYFUNCTION("""COMPUTED_VALUE"""),0.381410256410256)</f>
        <v>0.3814102564</v>
      </c>
      <c r="I234" s="16">
        <f>IFERROR(__xludf.DUMMYFUNCTION("""COMPUTED_VALUE"""),0.340836012861736)</f>
        <v>0.3408360129</v>
      </c>
      <c r="J234" s="16">
        <f>IFERROR(__xludf.DUMMYFUNCTION("""COMPUTED_VALUE"""),0.309677419354838)</f>
        <v>0.3096774194</v>
      </c>
      <c r="K234" s="16">
        <f>IFERROR(__xludf.DUMMYFUNCTION("""COMPUTED_VALUE"""),0.294117647058823)</f>
        <v>0.2941176471</v>
      </c>
      <c r="L234" s="16">
        <f>IFERROR(__xludf.DUMMYFUNCTION("""COMPUTED_VALUE"""),0.268211920529801)</f>
        <v>0.2682119205</v>
      </c>
      <c r="M234" s="16">
        <f>IFERROR(__xludf.DUMMYFUNCTION("""COMPUTED_VALUE"""),0.262458471760797)</f>
        <v>0.2624584718</v>
      </c>
      <c r="N234" s="16">
        <f>IFERROR(__xludf.DUMMYFUNCTION("""COMPUTED_VALUE"""),0.253378378378378)</f>
        <v>0.2533783784</v>
      </c>
      <c r="O234" s="16">
        <f>IFERROR(__xludf.DUMMYFUNCTION("""COMPUTED_VALUE"""),0.200757575757575)</f>
        <v>0.2007575758</v>
      </c>
      <c r="P234" s="16">
        <f>IFERROR(__xludf.DUMMYFUNCTION("""COMPUTED_VALUE"""),0.186567164179104)</f>
        <v>0.1865671642</v>
      </c>
      <c r="Q234" s="16">
        <f>IFERROR(__xludf.DUMMYFUNCTION("""COMPUTED_VALUE"""),0.131782945736434)</f>
        <v>0.1317829457</v>
      </c>
      <c r="R234" s="16">
        <f>IFERROR(__xludf.DUMMYFUNCTION("""COMPUTED_VALUE"""),0.126050420168067)</f>
        <v>0.1260504202</v>
      </c>
      <c r="S234" s="16">
        <f>IFERROR(__xludf.DUMMYFUNCTION("""COMPUTED_VALUE"""),0.0923076923076923)</f>
        <v>0.09230769231</v>
      </c>
      <c r="T234" s="16">
        <f>IFERROR(__xludf.DUMMYFUNCTION("""COMPUTED_VALUE"""),0.111111111111111)</f>
        <v>0.1111111111</v>
      </c>
      <c r="U234" s="16">
        <f>IFERROR(__xludf.DUMMYFUNCTION("""COMPUTED_VALUE"""),0.0)</f>
        <v>0</v>
      </c>
      <c r="V234" s="16">
        <f>IFERROR(__xludf.DUMMYFUNCTION("""COMPUTED_VALUE"""),0.0)</f>
        <v>0</v>
      </c>
      <c r="W234" s="16">
        <f>IFERROR(__xludf.DUMMYFUNCTION("""COMPUTED_VALUE"""),0.0)</f>
        <v>0</v>
      </c>
      <c r="X234" s="16">
        <f>IFERROR(__xludf.DUMMYFUNCTION("""COMPUTED_VALUE"""),0.0)</f>
        <v>0</v>
      </c>
      <c r="Y234" s="16">
        <f>IFERROR(__xludf.DUMMYFUNCTION("""COMPUTED_VALUE"""),0.0)</f>
        <v>0</v>
      </c>
      <c r="Z234" s="16">
        <f>IFERROR(__xludf.DUMMYFUNCTION("""COMPUTED_VALUE"""),0.0)</f>
        <v>0</v>
      </c>
      <c r="AA234" s="16">
        <f>IFERROR(__xludf.DUMMYFUNCTION("""COMPUTED_VALUE"""),0.0)</f>
        <v>0</v>
      </c>
      <c r="AB234" s="16">
        <f>IFERROR(__xludf.DUMMYFUNCTION("""COMPUTED_VALUE"""),0.0)</f>
        <v>0</v>
      </c>
      <c r="AC234" s="16">
        <f>IFERROR(__xludf.DUMMYFUNCTION("""COMPUTED_VALUE"""),0.0)</f>
        <v>0</v>
      </c>
      <c r="AD234" s="16">
        <f>IFERROR(__xludf.DUMMYFUNCTION("""COMPUTED_VALUE"""),0.0)</f>
        <v>0</v>
      </c>
      <c r="AE234" s="16">
        <f>IFERROR(__xludf.DUMMYFUNCTION("""COMPUTED_VALUE"""),0.0)</f>
        <v>0</v>
      </c>
      <c r="AF234" s="16">
        <f>IFERROR(__xludf.DUMMYFUNCTION("""COMPUTED_VALUE"""),0.0)</f>
        <v>0</v>
      </c>
      <c r="AG234" s="16">
        <f>IFERROR(__xludf.DUMMYFUNCTION("""COMPUTED_VALUE"""),0.0)</f>
        <v>0</v>
      </c>
      <c r="AH234" s="16">
        <f>IFERROR(__xludf.DUMMYFUNCTION("""COMPUTED_VALUE"""),0.0)</f>
        <v>0</v>
      </c>
    </row>
    <row r="235">
      <c r="A235" s="16" t="str">
        <f>IFERROR(__xludf.DUMMYFUNCTION("""COMPUTED_VALUE"""),"cce017649e6098a735e72b5dbfed27f3c95bad78")</f>
        <v>cce017649e6098a735e72b5dbfed27f3c95bad78</v>
      </c>
      <c r="B235" s="16" t="str">
        <f>IFERROR(__xludf.DUMMYFUNCTION("""COMPUTED_VALUE"""),"Between Love and Betrayal")</f>
        <v>Between Love and Betrayal</v>
      </c>
      <c r="C235" s="16" t="str">
        <f>IFERROR(__xludf.DUMMYFUNCTION("""COMPUTED_VALUE"""),"Romance")</f>
        <v>Romance</v>
      </c>
      <c r="D235" s="16">
        <f>IFERROR(__xludf.DUMMYFUNCTION("""COMPUTED_VALUE"""),772.0)</f>
        <v>772</v>
      </c>
      <c r="E235" s="16">
        <f>IFERROR(__xludf.DUMMYFUNCTION("""COMPUTED_VALUE"""),0.972797927461139)</f>
        <v>0.9727979275</v>
      </c>
      <c r="F235" s="16">
        <f>IFERROR(__xludf.DUMMYFUNCTION("""COMPUTED_VALUE"""),0.529792746113989)</f>
        <v>0.5297927461</v>
      </c>
      <c r="G235" s="16">
        <f>IFERROR(__xludf.DUMMYFUNCTION("""COMPUTED_VALUE"""),0.474093264248704)</f>
        <v>0.4740932642</v>
      </c>
      <c r="H235" s="16">
        <f>IFERROR(__xludf.DUMMYFUNCTION("""COMPUTED_VALUE"""),0.428756476683937)</f>
        <v>0.4287564767</v>
      </c>
      <c r="I235" s="16">
        <f>IFERROR(__xludf.DUMMYFUNCTION("""COMPUTED_VALUE"""),0.387808041504539)</f>
        <v>0.3878080415</v>
      </c>
      <c r="J235" s="16">
        <f>IFERROR(__xludf.DUMMYFUNCTION("""COMPUTED_VALUE"""),0.368352788586251)</f>
        <v>0.3683527886</v>
      </c>
      <c r="K235" s="16">
        <f>IFERROR(__xludf.DUMMYFUNCTION("""COMPUTED_VALUE"""),0.355382619974059)</f>
        <v>0.35538262</v>
      </c>
      <c r="L235" s="16">
        <f>IFERROR(__xludf.DUMMYFUNCTION("""COMPUTED_VALUE"""),0.330299089726918)</f>
        <v>0.3302990897</v>
      </c>
      <c r="M235" s="16">
        <f>IFERROR(__xludf.DUMMYFUNCTION("""COMPUTED_VALUE"""),0.3203125)</f>
        <v>0.3203125</v>
      </c>
      <c r="N235" s="16">
        <f>IFERROR(__xludf.DUMMYFUNCTION("""COMPUTED_VALUE"""),0.314211212516297)</f>
        <v>0.3142112125</v>
      </c>
      <c r="O235" s="16">
        <f>IFERROR(__xludf.DUMMYFUNCTION("""COMPUTED_VALUE"""),0.281944444444444)</f>
        <v>0.2819444444</v>
      </c>
      <c r="P235" s="16">
        <f>IFERROR(__xludf.DUMMYFUNCTION("""COMPUTED_VALUE"""),0.239234449760765)</f>
        <v>0.2392344498</v>
      </c>
      <c r="Q235" s="16">
        <f>IFERROR(__xludf.DUMMYFUNCTION("""COMPUTED_VALUE"""),0.25)</f>
        <v>0.25</v>
      </c>
      <c r="R235" s="16">
        <f>IFERROR(__xludf.DUMMYFUNCTION("""COMPUTED_VALUE"""),0.173076923076923)</f>
        <v>0.1730769231</v>
      </c>
      <c r="S235" s="16">
        <f>IFERROR(__xludf.DUMMYFUNCTION("""COMPUTED_VALUE"""),0.0)</f>
        <v>0</v>
      </c>
      <c r="T235" s="16">
        <f>IFERROR(__xludf.DUMMYFUNCTION("""COMPUTED_VALUE"""),0.0)</f>
        <v>0</v>
      </c>
      <c r="U235" s="16">
        <f>IFERROR(__xludf.DUMMYFUNCTION("""COMPUTED_VALUE"""),0.0)</f>
        <v>0</v>
      </c>
      <c r="V235" s="16">
        <f>IFERROR(__xludf.DUMMYFUNCTION("""COMPUTED_VALUE"""),0.0)</f>
        <v>0</v>
      </c>
      <c r="W235" s="16">
        <f>IFERROR(__xludf.DUMMYFUNCTION("""COMPUTED_VALUE"""),0.0)</f>
        <v>0</v>
      </c>
      <c r="X235" s="16">
        <f>IFERROR(__xludf.DUMMYFUNCTION("""COMPUTED_VALUE"""),0.0)</f>
        <v>0</v>
      </c>
      <c r="Y235" s="16">
        <f>IFERROR(__xludf.DUMMYFUNCTION("""COMPUTED_VALUE"""),0.0)</f>
        <v>0</v>
      </c>
      <c r="Z235" s="16">
        <f>IFERROR(__xludf.DUMMYFUNCTION("""COMPUTED_VALUE"""),0.0)</f>
        <v>0</v>
      </c>
      <c r="AA235" s="16">
        <f>IFERROR(__xludf.DUMMYFUNCTION("""COMPUTED_VALUE"""),0.0)</f>
        <v>0</v>
      </c>
      <c r="AB235" s="16">
        <f>IFERROR(__xludf.DUMMYFUNCTION("""COMPUTED_VALUE"""),0.0)</f>
        <v>0</v>
      </c>
      <c r="AC235" s="16">
        <f>IFERROR(__xludf.DUMMYFUNCTION("""COMPUTED_VALUE"""),0.0)</f>
        <v>0</v>
      </c>
      <c r="AD235" s="16">
        <f>IFERROR(__xludf.DUMMYFUNCTION("""COMPUTED_VALUE"""),0.0)</f>
        <v>0</v>
      </c>
      <c r="AE235" s="16">
        <f>IFERROR(__xludf.DUMMYFUNCTION("""COMPUTED_VALUE"""),0.0)</f>
        <v>0</v>
      </c>
      <c r="AF235" s="16">
        <f>IFERROR(__xludf.DUMMYFUNCTION("""COMPUTED_VALUE"""),0.0)</f>
        <v>0</v>
      </c>
      <c r="AG235" s="16">
        <f>IFERROR(__xludf.DUMMYFUNCTION("""COMPUTED_VALUE"""),0.0)</f>
        <v>0</v>
      </c>
      <c r="AH235" s="16">
        <f>IFERROR(__xludf.DUMMYFUNCTION("""COMPUTED_VALUE"""),0.0)</f>
        <v>0</v>
      </c>
    </row>
    <row r="236">
      <c r="A236" s="16" t="str">
        <f>IFERROR(__xludf.DUMMYFUNCTION("""COMPUTED_VALUE"""),"cdb3a84d505dbefdca86cae60d3db90f949368f1")</f>
        <v>cdb3a84d505dbefdca86cae60d3db90f949368f1</v>
      </c>
      <c r="B236" s="16" t="str">
        <f>IFERROR(__xludf.DUMMYFUNCTION("""COMPUTED_VALUE"""),"Amulet of the Gods")</f>
        <v>Amulet of the Gods</v>
      </c>
      <c r="C236" s="16" t="str">
        <f>IFERROR(__xludf.DUMMYFUNCTION("""COMPUTED_VALUE"""),"System and Superpower")</f>
        <v>System and Superpower</v>
      </c>
      <c r="D236" s="16">
        <f>IFERROR(__xludf.DUMMYFUNCTION("""COMPUTED_VALUE"""),2537.0)</f>
        <v>2537</v>
      </c>
      <c r="E236" s="16">
        <f>IFERROR(__xludf.DUMMYFUNCTION("""COMPUTED_VALUE"""),0.950335041387465)</f>
        <v>0.9503350414</v>
      </c>
      <c r="F236" s="16">
        <f>IFERROR(__xludf.DUMMYFUNCTION("""COMPUTED_VALUE"""),0.441072132439889)</f>
        <v>0.4410721324</v>
      </c>
      <c r="G236" s="16">
        <f>IFERROR(__xludf.DUMMYFUNCTION("""COMPUTED_VALUE"""),0.375246353961371)</f>
        <v>0.375246354</v>
      </c>
      <c r="H236" s="16">
        <f>IFERROR(__xludf.DUMMYFUNCTION("""COMPUTED_VALUE"""),0.326885116462692)</f>
        <v>0.3268851165</v>
      </c>
      <c r="I236" s="16">
        <f>IFERROR(__xludf.DUMMYFUNCTION("""COMPUTED_VALUE"""),0.306413301662707)</f>
        <v>0.3064133017</v>
      </c>
      <c r="J236" s="16">
        <f>IFERROR(__xludf.DUMMYFUNCTION("""COMPUTED_VALUE"""),0.282091917591125)</f>
        <v>0.2820919176</v>
      </c>
      <c r="K236" s="16">
        <f>IFERROR(__xludf.DUMMYFUNCTION("""COMPUTED_VALUE"""),0.265817747711898)</f>
        <v>0.2658177477</v>
      </c>
      <c r="L236" s="16">
        <f>IFERROR(__xludf.DUMMYFUNCTION("""COMPUTED_VALUE"""),0.254196642685851)</f>
        <v>0.2541966427</v>
      </c>
      <c r="M236" s="16">
        <f>IFERROR(__xludf.DUMMYFUNCTION("""COMPUTED_VALUE"""),0.245987158908507)</f>
        <v>0.2459871589</v>
      </c>
      <c r="N236" s="16">
        <f>IFERROR(__xludf.DUMMYFUNCTION("""COMPUTED_VALUE"""),0.236217303822937)</f>
        <v>0.2362173038</v>
      </c>
      <c r="O236" s="16">
        <f>IFERROR(__xludf.DUMMYFUNCTION("""COMPUTED_VALUE"""),0.220304151253596)</f>
        <v>0.2203041513</v>
      </c>
      <c r="P236" s="16">
        <f>IFERROR(__xludf.DUMMYFUNCTION("""COMPUTED_VALUE"""),0.185247275775356)</f>
        <v>0.1852472758</v>
      </c>
      <c r="Q236" s="16">
        <f>IFERROR(__xludf.DUMMYFUNCTION("""COMPUTED_VALUE"""),0.121539792387543)</f>
        <v>0.1215397924</v>
      </c>
      <c r="R236" s="16">
        <f>IFERROR(__xludf.DUMMYFUNCTION("""COMPUTED_VALUE"""),0.0848455125061304)</f>
        <v>0.08484551251</v>
      </c>
      <c r="S236" s="16">
        <f>IFERROR(__xludf.DUMMYFUNCTION("""COMPUTED_VALUE"""),0.0570913461538461)</f>
        <v>0.05709134615</v>
      </c>
      <c r="T236" s="16">
        <f>IFERROR(__xludf.DUMMYFUNCTION("""COMPUTED_VALUE"""),0.0547063555913113)</f>
        <v>0.05470635559</v>
      </c>
      <c r="U236" s="16">
        <f>IFERROR(__xludf.DUMMYFUNCTION("""COMPUTED_VALUE"""),0.0459317585301837)</f>
        <v>0.04593175853</v>
      </c>
      <c r="V236" s="16">
        <f>IFERROR(__xludf.DUMMYFUNCTION("""COMPUTED_VALUE"""),0.0283687943262411)</f>
        <v>0.02836879433</v>
      </c>
      <c r="W236" s="16">
        <f>IFERROR(__xludf.DUMMYFUNCTION("""COMPUTED_VALUE"""),0.0465116279069767)</f>
        <v>0.04651162791</v>
      </c>
      <c r="X236" s="16">
        <f>IFERROR(__xludf.DUMMYFUNCTION("""COMPUTED_VALUE"""),0.0306122448979591)</f>
        <v>0.0306122449</v>
      </c>
      <c r="Y236" s="16">
        <f>IFERROR(__xludf.DUMMYFUNCTION("""COMPUTED_VALUE"""),0.0303030303030303)</f>
        <v>0.0303030303</v>
      </c>
      <c r="Z236" s="16">
        <f>IFERROR(__xludf.DUMMYFUNCTION("""COMPUTED_VALUE"""),0.0)</f>
        <v>0</v>
      </c>
      <c r="AA236" s="16">
        <f>IFERROR(__xludf.DUMMYFUNCTION("""COMPUTED_VALUE"""),0.0)</f>
        <v>0</v>
      </c>
      <c r="AB236" s="16">
        <f>IFERROR(__xludf.DUMMYFUNCTION("""COMPUTED_VALUE"""),0.0)</f>
        <v>0</v>
      </c>
      <c r="AC236" s="16">
        <f>IFERROR(__xludf.DUMMYFUNCTION("""COMPUTED_VALUE"""),0.0)</f>
        <v>0</v>
      </c>
      <c r="AD236" s="16">
        <f>IFERROR(__xludf.DUMMYFUNCTION("""COMPUTED_VALUE"""),0.0)</f>
        <v>0</v>
      </c>
      <c r="AE236" s="16">
        <f>IFERROR(__xludf.DUMMYFUNCTION("""COMPUTED_VALUE"""),0.0)</f>
        <v>0</v>
      </c>
      <c r="AF236" s="16">
        <f>IFERROR(__xludf.DUMMYFUNCTION("""COMPUTED_VALUE"""),0.0)</f>
        <v>0</v>
      </c>
      <c r="AG236" s="16">
        <f>IFERROR(__xludf.DUMMYFUNCTION("""COMPUTED_VALUE"""),0.0)</f>
        <v>0</v>
      </c>
      <c r="AH236" s="16">
        <f>IFERROR(__xludf.DUMMYFUNCTION("""COMPUTED_VALUE"""),0.0)</f>
        <v>0</v>
      </c>
    </row>
    <row r="237">
      <c r="A237" s="16" t="str">
        <f>IFERROR(__xludf.DUMMYFUNCTION("""COMPUTED_VALUE"""),"cec33b3e9f3607e7d8ae32858f0e715a91e937c4")</f>
        <v>cec33b3e9f3607e7d8ae32858f0e715a91e937c4</v>
      </c>
      <c r="B237" s="16" t="str">
        <f>IFERROR(__xludf.DUMMYFUNCTION("""COMPUTED_VALUE"""),"From Squalor to Moneybag")</f>
        <v>From Squalor to Moneybag</v>
      </c>
      <c r="C237" s="16" t="str">
        <f>IFERROR(__xludf.DUMMYFUNCTION("""COMPUTED_VALUE"""),"Drama")</f>
        <v>Drama</v>
      </c>
      <c r="D237" s="16">
        <f>IFERROR(__xludf.DUMMYFUNCTION("""COMPUTED_VALUE"""),182.0)</f>
        <v>182</v>
      </c>
      <c r="E237" s="16">
        <f>IFERROR(__xludf.DUMMYFUNCTION("""COMPUTED_VALUE"""),0.901098901098901)</f>
        <v>0.9010989011</v>
      </c>
      <c r="F237" s="16">
        <f>IFERROR(__xludf.DUMMYFUNCTION("""COMPUTED_VALUE"""),0.609890109890109)</f>
        <v>0.6098901099</v>
      </c>
      <c r="G237" s="16">
        <f>IFERROR(__xludf.DUMMYFUNCTION("""COMPUTED_VALUE"""),0.604395604395604)</f>
        <v>0.6043956044</v>
      </c>
      <c r="H237" s="16">
        <f>IFERROR(__xludf.DUMMYFUNCTION("""COMPUTED_VALUE"""),0.582417582417582)</f>
        <v>0.5824175824</v>
      </c>
      <c r="I237" s="16">
        <f>IFERROR(__xludf.DUMMYFUNCTION("""COMPUTED_VALUE"""),0.469273743016759)</f>
        <v>0.469273743</v>
      </c>
      <c r="J237" s="16">
        <f>IFERROR(__xludf.DUMMYFUNCTION("""COMPUTED_VALUE"""),0.369318181818181)</f>
        <v>0.3693181818</v>
      </c>
      <c r="K237" s="16">
        <f>IFERROR(__xludf.DUMMYFUNCTION("""COMPUTED_VALUE"""),0.316091954022988)</f>
        <v>0.316091954</v>
      </c>
      <c r="L237" s="16">
        <f>IFERROR(__xludf.DUMMYFUNCTION("""COMPUTED_VALUE"""),0.281437125748503)</f>
        <v>0.2814371257</v>
      </c>
      <c r="M237" s="16">
        <f>IFERROR(__xludf.DUMMYFUNCTION("""COMPUTED_VALUE"""),0.260869565217391)</f>
        <v>0.2608695652</v>
      </c>
      <c r="N237" s="16">
        <f>IFERROR(__xludf.DUMMYFUNCTION("""COMPUTED_VALUE"""),0.233766233766233)</f>
        <v>0.2337662338</v>
      </c>
      <c r="O237" s="16">
        <f>IFERROR(__xludf.DUMMYFUNCTION("""COMPUTED_VALUE"""),0.110294117647058)</f>
        <v>0.1102941176</v>
      </c>
      <c r="P237" s="16">
        <f>IFERROR(__xludf.DUMMYFUNCTION("""COMPUTED_VALUE"""),0.032520325203252)</f>
        <v>0.0325203252</v>
      </c>
      <c r="Q237" s="16">
        <f>IFERROR(__xludf.DUMMYFUNCTION("""COMPUTED_VALUE"""),0.024793388429752)</f>
        <v>0.02479338843</v>
      </c>
      <c r="R237" s="16">
        <f>IFERROR(__xludf.DUMMYFUNCTION("""COMPUTED_VALUE"""),0.0306122448979591)</f>
        <v>0.0306122449</v>
      </c>
      <c r="S237" s="16">
        <f>IFERROR(__xludf.DUMMYFUNCTION("""COMPUTED_VALUE"""),0.0)</f>
        <v>0</v>
      </c>
      <c r="T237" s="16">
        <f>IFERROR(__xludf.DUMMYFUNCTION("""COMPUTED_VALUE"""),0.0)</f>
        <v>0</v>
      </c>
      <c r="U237" s="16">
        <f>IFERROR(__xludf.DUMMYFUNCTION("""COMPUTED_VALUE"""),0.0)</f>
        <v>0</v>
      </c>
      <c r="V237" s="16">
        <f>IFERROR(__xludf.DUMMYFUNCTION("""COMPUTED_VALUE"""),0.0)</f>
        <v>0</v>
      </c>
      <c r="W237" s="16">
        <f>IFERROR(__xludf.DUMMYFUNCTION("""COMPUTED_VALUE"""),0.0)</f>
        <v>0</v>
      </c>
      <c r="X237" s="16">
        <f>IFERROR(__xludf.DUMMYFUNCTION("""COMPUTED_VALUE"""),0.0)</f>
        <v>0</v>
      </c>
      <c r="Y237" s="16">
        <f>IFERROR(__xludf.DUMMYFUNCTION("""COMPUTED_VALUE"""),0.0)</f>
        <v>0</v>
      </c>
      <c r="Z237" s="16">
        <f>IFERROR(__xludf.DUMMYFUNCTION("""COMPUTED_VALUE"""),0.0)</f>
        <v>0</v>
      </c>
      <c r="AA237" s="16">
        <f>IFERROR(__xludf.DUMMYFUNCTION("""COMPUTED_VALUE"""),0.0)</f>
        <v>0</v>
      </c>
      <c r="AB237" s="16">
        <f>IFERROR(__xludf.DUMMYFUNCTION("""COMPUTED_VALUE"""),0.0)</f>
        <v>0</v>
      </c>
      <c r="AC237" s="16">
        <f>IFERROR(__xludf.DUMMYFUNCTION("""COMPUTED_VALUE"""),0.0)</f>
        <v>0</v>
      </c>
      <c r="AD237" s="16">
        <f>IFERROR(__xludf.DUMMYFUNCTION("""COMPUTED_VALUE"""),0.0)</f>
        <v>0</v>
      </c>
      <c r="AE237" s="16">
        <f>IFERROR(__xludf.DUMMYFUNCTION("""COMPUTED_VALUE"""),0.0)</f>
        <v>0</v>
      </c>
      <c r="AF237" s="16">
        <f>IFERROR(__xludf.DUMMYFUNCTION("""COMPUTED_VALUE"""),0.0)</f>
        <v>0</v>
      </c>
      <c r="AG237" s="16">
        <f>IFERROR(__xludf.DUMMYFUNCTION("""COMPUTED_VALUE"""),0.0)</f>
        <v>0</v>
      </c>
      <c r="AH237" s="16">
        <f>IFERROR(__xludf.DUMMYFUNCTION("""COMPUTED_VALUE"""),0.0)</f>
        <v>0</v>
      </c>
    </row>
    <row r="238">
      <c r="A238" s="16" t="str">
        <f>IFERROR(__xludf.DUMMYFUNCTION("""COMPUTED_VALUE"""),"d133f7ba8a5ba951d72c084eb86804696be7458b")</f>
        <v>d133f7ba8a5ba951d72c084eb86804696be7458b</v>
      </c>
      <c r="B238" s="16" t="str">
        <f>IFERROR(__xludf.DUMMYFUNCTION("""COMPUTED_VALUE"""),"Speaking for the Dead")</f>
        <v>Speaking for the Dead</v>
      </c>
      <c r="C238" s="16" t="str">
        <f>IFERROR(__xludf.DUMMYFUNCTION("""COMPUTED_VALUE"""),"Fantasy")</f>
        <v>Fantasy</v>
      </c>
      <c r="D238" s="16">
        <f>IFERROR(__xludf.DUMMYFUNCTION("""COMPUTED_VALUE"""),1.0)</f>
        <v>1</v>
      </c>
      <c r="E238" s="16">
        <f>IFERROR(__xludf.DUMMYFUNCTION("""COMPUTED_VALUE"""),1.0)</f>
        <v>1</v>
      </c>
      <c r="F238" s="16">
        <f>IFERROR(__xludf.DUMMYFUNCTION("""COMPUTED_VALUE"""),0.0)</f>
        <v>0</v>
      </c>
      <c r="G238" s="16">
        <f>IFERROR(__xludf.DUMMYFUNCTION("""COMPUTED_VALUE"""),0.0)</f>
        <v>0</v>
      </c>
      <c r="H238" s="16">
        <f>IFERROR(__xludf.DUMMYFUNCTION("""COMPUTED_VALUE"""),0.0)</f>
        <v>0</v>
      </c>
      <c r="I238" s="16">
        <f>IFERROR(__xludf.DUMMYFUNCTION("""COMPUTED_VALUE"""),0.0)</f>
        <v>0</v>
      </c>
      <c r="J238" s="16">
        <f>IFERROR(__xludf.DUMMYFUNCTION("""COMPUTED_VALUE"""),0.0)</f>
        <v>0</v>
      </c>
      <c r="K238" s="16">
        <f>IFERROR(__xludf.DUMMYFUNCTION("""COMPUTED_VALUE"""),0.0)</f>
        <v>0</v>
      </c>
      <c r="L238" s="16">
        <f>IFERROR(__xludf.DUMMYFUNCTION("""COMPUTED_VALUE"""),0.0)</f>
        <v>0</v>
      </c>
      <c r="M238" s="16">
        <f>IFERROR(__xludf.DUMMYFUNCTION("""COMPUTED_VALUE"""),0.0)</f>
        <v>0</v>
      </c>
      <c r="N238" s="16">
        <f>IFERROR(__xludf.DUMMYFUNCTION("""COMPUTED_VALUE"""),0.0)</f>
        <v>0</v>
      </c>
      <c r="O238" s="16">
        <f>IFERROR(__xludf.DUMMYFUNCTION("""COMPUTED_VALUE"""),0.0)</f>
        <v>0</v>
      </c>
      <c r="P238" s="16">
        <f>IFERROR(__xludf.DUMMYFUNCTION("""COMPUTED_VALUE"""),0.0)</f>
        <v>0</v>
      </c>
      <c r="Q238" s="16">
        <f>IFERROR(__xludf.DUMMYFUNCTION("""COMPUTED_VALUE"""),0.0)</f>
        <v>0</v>
      </c>
      <c r="R238" s="16">
        <f>IFERROR(__xludf.DUMMYFUNCTION("""COMPUTED_VALUE"""),0.0)</f>
        <v>0</v>
      </c>
      <c r="S238" s="16">
        <f>IFERROR(__xludf.DUMMYFUNCTION("""COMPUTED_VALUE"""),0.0)</f>
        <v>0</v>
      </c>
      <c r="T238" s="16">
        <f>IFERROR(__xludf.DUMMYFUNCTION("""COMPUTED_VALUE"""),0.0)</f>
        <v>0</v>
      </c>
      <c r="U238" s="16">
        <f>IFERROR(__xludf.DUMMYFUNCTION("""COMPUTED_VALUE"""),0.0)</f>
        <v>0</v>
      </c>
      <c r="V238" s="16">
        <f>IFERROR(__xludf.DUMMYFUNCTION("""COMPUTED_VALUE"""),0.0)</f>
        <v>0</v>
      </c>
      <c r="W238" s="16">
        <f>IFERROR(__xludf.DUMMYFUNCTION("""COMPUTED_VALUE"""),0.0)</f>
        <v>0</v>
      </c>
      <c r="X238" s="16">
        <f>IFERROR(__xludf.DUMMYFUNCTION("""COMPUTED_VALUE"""),0.0)</f>
        <v>0</v>
      </c>
      <c r="Y238" s="16">
        <f>IFERROR(__xludf.DUMMYFUNCTION("""COMPUTED_VALUE"""),0.0)</f>
        <v>0</v>
      </c>
      <c r="Z238" s="16">
        <f>IFERROR(__xludf.DUMMYFUNCTION("""COMPUTED_VALUE"""),0.0)</f>
        <v>0</v>
      </c>
      <c r="AA238" s="16">
        <f>IFERROR(__xludf.DUMMYFUNCTION("""COMPUTED_VALUE"""),0.0)</f>
        <v>0</v>
      </c>
      <c r="AB238" s="16">
        <f>IFERROR(__xludf.DUMMYFUNCTION("""COMPUTED_VALUE"""),0.0)</f>
        <v>0</v>
      </c>
      <c r="AC238" s="16">
        <f>IFERROR(__xludf.DUMMYFUNCTION("""COMPUTED_VALUE"""),0.0)</f>
        <v>0</v>
      </c>
      <c r="AD238" s="16">
        <f>IFERROR(__xludf.DUMMYFUNCTION("""COMPUTED_VALUE"""),0.0)</f>
        <v>0</v>
      </c>
      <c r="AE238" s="16">
        <f>IFERROR(__xludf.DUMMYFUNCTION("""COMPUTED_VALUE"""),0.0)</f>
        <v>0</v>
      </c>
      <c r="AF238" s="16">
        <f>IFERROR(__xludf.DUMMYFUNCTION("""COMPUTED_VALUE"""),0.0)</f>
        <v>0</v>
      </c>
      <c r="AG238" s="16">
        <f>IFERROR(__xludf.DUMMYFUNCTION("""COMPUTED_VALUE"""),0.0)</f>
        <v>0</v>
      </c>
      <c r="AH238" s="16">
        <f>IFERROR(__xludf.DUMMYFUNCTION("""COMPUTED_VALUE"""),0.0)</f>
        <v>0</v>
      </c>
    </row>
    <row r="239">
      <c r="A239" s="16" t="str">
        <f>IFERROR(__xludf.DUMMYFUNCTION("""COMPUTED_VALUE"""),"d2aaef61d998c9f90c2df15eafe1acd784549269")</f>
        <v>d2aaef61d998c9f90c2df15eafe1acd784549269</v>
      </c>
      <c r="B239" s="16" t="str">
        <f>IFERROR(__xludf.DUMMYFUNCTION("""COMPUTED_VALUE"""),"Alpha Braxton")</f>
        <v>Alpha Braxton</v>
      </c>
      <c r="C239" s="16" t="str">
        <f>IFERROR(__xludf.DUMMYFUNCTION("""COMPUTED_VALUE"""),"Romantasy")</f>
        <v>Romantasy</v>
      </c>
      <c r="D239" s="16">
        <f>IFERROR(__xludf.DUMMYFUNCTION("""COMPUTED_VALUE"""),3841.0)</f>
        <v>3841</v>
      </c>
      <c r="E239" s="16">
        <f>IFERROR(__xludf.DUMMYFUNCTION("""COMPUTED_VALUE"""),0.96250976308253)</f>
        <v>0.9625097631</v>
      </c>
      <c r="F239" s="16">
        <f>IFERROR(__xludf.DUMMYFUNCTION("""COMPUTED_VALUE"""),0.654777401718302)</f>
        <v>0.6547774017</v>
      </c>
      <c r="G239" s="16">
        <f>IFERROR(__xludf.DUMMYFUNCTION("""COMPUTED_VALUE"""),0.581098672220775)</f>
        <v>0.5810986722</v>
      </c>
      <c r="H239" s="16">
        <f>IFERROR(__xludf.DUMMYFUNCTION("""COMPUTED_VALUE"""),0.539963551158552)</f>
        <v>0.5399635512</v>
      </c>
      <c r="I239" s="16">
        <f>IFERROR(__xludf.DUMMYFUNCTION("""COMPUTED_VALUE"""),0.504689942678478)</f>
        <v>0.5046899427</v>
      </c>
      <c r="J239" s="16">
        <f>IFERROR(__xludf.DUMMYFUNCTION("""COMPUTED_VALUE"""),0.472627737226277)</f>
        <v>0.4726277372</v>
      </c>
      <c r="K239" s="16">
        <f>IFERROR(__xludf.DUMMYFUNCTION("""COMPUTED_VALUE"""),0.452051215050953)</f>
        <v>0.4520512151</v>
      </c>
      <c r="L239" s="16">
        <f>IFERROR(__xludf.DUMMYFUNCTION("""COMPUTED_VALUE"""),0.444531658817373)</f>
        <v>0.4445316588</v>
      </c>
      <c r="M239" s="16">
        <f>IFERROR(__xludf.DUMMYFUNCTION("""COMPUTED_VALUE"""),0.427898455901596)</f>
        <v>0.4278984559</v>
      </c>
      <c r="N239" s="16">
        <f>IFERROR(__xludf.DUMMYFUNCTION("""COMPUTED_VALUE"""),0.423972781994242)</f>
        <v>0.423972782</v>
      </c>
      <c r="O239" s="16">
        <f>IFERROR(__xludf.DUMMYFUNCTION("""COMPUTED_VALUE"""),0.36042216358839)</f>
        <v>0.3604221636</v>
      </c>
      <c r="P239" s="16">
        <f>IFERROR(__xludf.DUMMYFUNCTION("""COMPUTED_VALUE"""),0.337319923892362)</f>
        <v>0.3373199239</v>
      </c>
      <c r="Q239" s="16">
        <f>IFERROR(__xludf.DUMMYFUNCTION("""COMPUTED_VALUE"""),0.2248322147651)</f>
        <v>0.2248322148</v>
      </c>
      <c r="R239" s="16">
        <f>IFERROR(__xludf.DUMMYFUNCTION("""COMPUTED_VALUE"""),0.122807017543859)</f>
        <v>0.1228070175</v>
      </c>
      <c r="S239" s="16">
        <f>IFERROR(__xludf.DUMMYFUNCTION("""COMPUTED_VALUE"""),0.111111111111111)</f>
        <v>0.1111111111</v>
      </c>
      <c r="T239" s="16">
        <f>IFERROR(__xludf.DUMMYFUNCTION("""COMPUTED_VALUE"""),0.0)</f>
        <v>0</v>
      </c>
      <c r="U239" s="16">
        <f>IFERROR(__xludf.DUMMYFUNCTION("""COMPUTED_VALUE"""),0.0)</f>
        <v>0</v>
      </c>
      <c r="V239" s="16">
        <f>IFERROR(__xludf.DUMMYFUNCTION("""COMPUTED_VALUE"""),0.0)</f>
        <v>0</v>
      </c>
      <c r="W239" s="16">
        <f>IFERROR(__xludf.DUMMYFUNCTION("""COMPUTED_VALUE"""),0.0)</f>
        <v>0</v>
      </c>
      <c r="X239" s="16">
        <f>IFERROR(__xludf.DUMMYFUNCTION("""COMPUTED_VALUE"""),0.0)</f>
        <v>0</v>
      </c>
      <c r="Y239" s="16">
        <f>IFERROR(__xludf.DUMMYFUNCTION("""COMPUTED_VALUE"""),0.0)</f>
        <v>0</v>
      </c>
      <c r="Z239" s="16">
        <f>IFERROR(__xludf.DUMMYFUNCTION("""COMPUTED_VALUE"""),0.0)</f>
        <v>0</v>
      </c>
      <c r="AA239" s="16">
        <f>IFERROR(__xludf.DUMMYFUNCTION("""COMPUTED_VALUE"""),0.0)</f>
        <v>0</v>
      </c>
      <c r="AB239" s="16">
        <f>IFERROR(__xludf.DUMMYFUNCTION("""COMPUTED_VALUE"""),0.0)</f>
        <v>0</v>
      </c>
      <c r="AC239" s="16">
        <f>IFERROR(__xludf.DUMMYFUNCTION("""COMPUTED_VALUE"""),0.0)</f>
        <v>0</v>
      </c>
      <c r="AD239" s="16">
        <f>IFERROR(__xludf.DUMMYFUNCTION("""COMPUTED_VALUE"""),0.0)</f>
        <v>0</v>
      </c>
      <c r="AE239" s="16">
        <f>IFERROR(__xludf.DUMMYFUNCTION("""COMPUTED_VALUE"""),0.0)</f>
        <v>0</v>
      </c>
      <c r="AF239" s="16">
        <f>IFERROR(__xludf.DUMMYFUNCTION("""COMPUTED_VALUE"""),0.0)</f>
        <v>0</v>
      </c>
      <c r="AG239" s="16">
        <f>IFERROR(__xludf.DUMMYFUNCTION("""COMPUTED_VALUE"""),0.0)</f>
        <v>0</v>
      </c>
      <c r="AH239" s="16">
        <f>IFERROR(__xludf.DUMMYFUNCTION("""COMPUTED_VALUE"""),0.0)</f>
        <v>0</v>
      </c>
    </row>
    <row r="240">
      <c r="A240" s="16" t="str">
        <f>IFERROR(__xludf.DUMMYFUNCTION("""COMPUTED_VALUE"""),"d3866fc3c89b4f6e7425ea92decf796ef97098db")</f>
        <v>d3866fc3c89b4f6e7425ea92decf796ef97098db</v>
      </c>
      <c r="B240" s="16" t="str">
        <f>IFERROR(__xludf.DUMMYFUNCTION("""COMPUTED_VALUE"""),"The Billionaire's Twins")</f>
        <v>The Billionaire's Twins</v>
      </c>
      <c r="C240" s="16" t="str">
        <f>IFERROR(__xludf.DUMMYFUNCTION("""COMPUTED_VALUE"""),"Romance")</f>
        <v>Romance</v>
      </c>
      <c r="D240" s="16">
        <f>IFERROR(__xludf.DUMMYFUNCTION("""COMPUTED_VALUE"""),905.0)</f>
        <v>905</v>
      </c>
      <c r="E240" s="16">
        <f>IFERROR(__xludf.DUMMYFUNCTION("""COMPUTED_VALUE"""),0.9646408839779)</f>
        <v>0.964640884</v>
      </c>
      <c r="F240" s="16">
        <f>IFERROR(__xludf.DUMMYFUNCTION("""COMPUTED_VALUE"""),0.651933701657458)</f>
        <v>0.6519337017</v>
      </c>
      <c r="G240" s="16">
        <f>IFERROR(__xludf.DUMMYFUNCTION("""COMPUTED_VALUE"""),0.607734806629834)</f>
        <v>0.6077348066</v>
      </c>
      <c r="H240" s="16">
        <f>IFERROR(__xludf.DUMMYFUNCTION("""COMPUTED_VALUE"""),0.555309734513274)</f>
        <v>0.5553097345</v>
      </c>
      <c r="I240" s="16">
        <f>IFERROR(__xludf.DUMMYFUNCTION("""COMPUTED_VALUE"""),0.529867256637168)</f>
        <v>0.5298672566</v>
      </c>
      <c r="J240" s="16">
        <f>IFERROR(__xludf.DUMMYFUNCTION("""COMPUTED_VALUE"""),0.512820512820512)</f>
        <v>0.5128205128</v>
      </c>
      <c r="K240" s="16">
        <f>IFERROR(__xludf.DUMMYFUNCTION("""COMPUTED_VALUE"""),0.47982062780269)</f>
        <v>0.4798206278</v>
      </c>
      <c r="L240" s="16">
        <f>IFERROR(__xludf.DUMMYFUNCTION("""COMPUTED_VALUE"""),0.462669683257918)</f>
        <v>0.4626696833</v>
      </c>
      <c r="M240" s="16">
        <f>IFERROR(__xludf.DUMMYFUNCTION("""COMPUTED_VALUE"""),0.445330296127562)</f>
        <v>0.4453302961</v>
      </c>
      <c r="N240" s="16">
        <f>IFERROR(__xludf.DUMMYFUNCTION("""COMPUTED_VALUE"""),0.415990730011587)</f>
        <v>0.41599073</v>
      </c>
      <c r="O240" s="16">
        <f>IFERROR(__xludf.DUMMYFUNCTION("""COMPUTED_VALUE"""),0.320529801324503)</f>
        <v>0.3205298013</v>
      </c>
      <c r="P240" s="16">
        <f>IFERROR(__xludf.DUMMYFUNCTION("""COMPUTED_VALUE"""),0.158371040723981)</f>
        <v>0.1583710407</v>
      </c>
      <c r="Q240" s="16">
        <f>IFERROR(__xludf.DUMMYFUNCTION("""COMPUTED_VALUE"""),0.0616438356164383)</f>
        <v>0.06164383562</v>
      </c>
      <c r="R240" s="16">
        <f>IFERROR(__xludf.DUMMYFUNCTION("""COMPUTED_VALUE"""),0.0681818181818181)</f>
        <v>0.06818181818</v>
      </c>
      <c r="S240" s="16">
        <f>IFERROR(__xludf.DUMMYFUNCTION("""COMPUTED_VALUE"""),0.0277777777777777)</f>
        <v>0.02777777778</v>
      </c>
      <c r="T240" s="16">
        <f>IFERROR(__xludf.DUMMYFUNCTION("""COMPUTED_VALUE"""),0.0)</f>
        <v>0</v>
      </c>
      <c r="U240" s="16">
        <f>IFERROR(__xludf.DUMMYFUNCTION("""COMPUTED_VALUE"""),0.0)</f>
        <v>0</v>
      </c>
      <c r="V240" s="16">
        <f>IFERROR(__xludf.DUMMYFUNCTION("""COMPUTED_VALUE"""),0.0)</f>
        <v>0</v>
      </c>
      <c r="W240" s="16">
        <f>IFERROR(__xludf.DUMMYFUNCTION("""COMPUTED_VALUE"""),0.0)</f>
        <v>0</v>
      </c>
      <c r="X240" s="16">
        <f>IFERROR(__xludf.DUMMYFUNCTION("""COMPUTED_VALUE"""),0.0)</f>
        <v>0</v>
      </c>
      <c r="Y240" s="16">
        <f>IFERROR(__xludf.DUMMYFUNCTION("""COMPUTED_VALUE"""),0.0)</f>
        <v>0</v>
      </c>
      <c r="Z240" s="16">
        <f>IFERROR(__xludf.DUMMYFUNCTION("""COMPUTED_VALUE"""),0.0)</f>
        <v>0</v>
      </c>
      <c r="AA240" s="16">
        <f>IFERROR(__xludf.DUMMYFUNCTION("""COMPUTED_VALUE"""),0.0)</f>
        <v>0</v>
      </c>
      <c r="AB240" s="16">
        <f>IFERROR(__xludf.DUMMYFUNCTION("""COMPUTED_VALUE"""),0.0)</f>
        <v>0</v>
      </c>
      <c r="AC240" s="16">
        <f>IFERROR(__xludf.DUMMYFUNCTION("""COMPUTED_VALUE"""),0.0)</f>
        <v>0</v>
      </c>
      <c r="AD240" s="16">
        <f>IFERROR(__xludf.DUMMYFUNCTION("""COMPUTED_VALUE"""),0.0)</f>
        <v>0</v>
      </c>
      <c r="AE240" s="16">
        <f>IFERROR(__xludf.DUMMYFUNCTION("""COMPUTED_VALUE"""),0.0)</f>
        <v>0</v>
      </c>
      <c r="AF240" s="16">
        <f>IFERROR(__xludf.DUMMYFUNCTION("""COMPUTED_VALUE"""),0.0)</f>
        <v>0</v>
      </c>
      <c r="AG240" s="16">
        <f>IFERROR(__xludf.DUMMYFUNCTION("""COMPUTED_VALUE"""),0.0)</f>
        <v>0</v>
      </c>
      <c r="AH240" s="16">
        <f>IFERROR(__xludf.DUMMYFUNCTION("""COMPUTED_VALUE"""),0.0)</f>
        <v>0</v>
      </c>
    </row>
    <row r="241">
      <c r="A241" s="16" t="str">
        <f>IFERROR(__xludf.DUMMYFUNCTION("""COMPUTED_VALUE"""),"d419897471d8bc8312abf495d27412e669ccf6d0")</f>
        <v>d419897471d8bc8312abf495d27412e669ccf6d0</v>
      </c>
      <c r="B241" s="16" t="str">
        <f>IFERROR(__xludf.DUMMYFUNCTION("""COMPUTED_VALUE"""),"His Borrowed Wife")</f>
        <v>His Borrowed Wife</v>
      </c>
      <c r="C241" s="16" t="str">
        <f>IFERROR(__xludf.DUMMYFUNCTION("""COMPUTED_VALUE"""),"Romance")</f>
        <v>Romance</v>
      </c>
      <c r="D241" s="16">
        <f>IFERROR(__xludf.DUMMYFUNCTION("""COMPUTED_VALUE"""),3677.0)</f>
        <v>3677</v>
      </c>
      <c r="E241" s="16">
        <f>IFERROR(__xludf.DUMMYFUNCTION("""COMPUTED_VALUE"""),0.960565678542289)</f>
        <v>0.9605656785</v>
      </c>
      <c r="F241" s="16">
        <f>IFERROR(__xludf.DUMMYFUNCTION("""COMPUTED_VALUE"""),0.500407941256459)</f>
        <v>0.5004079413</v>
      </c>
      <c r="G241" s="16">
        <f>IFERROR(__xludf.DUMMYFUNCTION("""COMPUTED_VALUE"""),0.441392439488713)</f>
        <v>0.4413924395</v>
      </c>
      <c r="H241" s="16">
        <f>IFERROR(__xludf.DUMMYFUNCTION("""COMPUTED_VALUE"""),0.399618632525197)</f>
        <v>0.3996186325</v>
      </c>
      <c r="I241" s="16">
        <f>IFERROR(__xludf.DUMMYFUNCTION("""COMPUTED_VALUE"""),0.377291381668946)</f>
        <v>0.3772913817</v>
      </c>
      <c r="J241" s="16">
        <f>IFERROR(__xludf.DUMMYFUNCTION("""COMPUTED_VALUE"""),0.36067384700359)</f>
        <v>0.360673847</v>
      </c>
      <c r="K241" s="16">
        <f>IFERROR(__xludf.DUMMYFUNCTION("""COMPUTED_VALUE"""),0.346659211629857)</f>
        <v>0.3466592116</v>
      </c>
      <c r="L241" s="16">
        <f>IFERROR(__xludf.DUMMYFUNCTION("""COMPUTED_VALUE"""),0.338176638176638)</f>
        <v>0.3381766382</v>
      </c>
      <c r="M241" s="16">
        <f>IFERROR(__xludf.DUMMYFUNCTION("""COMPUTED_VALUE"""),0.327403156384505)</f>
        <v>0.3274031564</v>
      </c>
      <c r="N241" s="16">
        <f>IFERROR(__xludf.DUMMYFUNCTION("""COMPUTED_VALUE"""),0.317759721416134)</f>
        <v>0.3177597214</v>
      </c>
      <c r="O241" s="16">
        <f>IFERROR(__xludf.DUMMYFUNCTION("""COMPUTED_VALUE"""),0.298737295965506)</f>
        <v>0.298737296</v>
      </c>
      <c r="P241" s="16">
        <f>IFERROR(__xludf.DUMMYFUNCTION("""COMPUTED_VALUE"""),0.268249780123131)</f>
        <v>0.2682497801</v>
      </c>
      <c r="Q241" s="16">
        <f>IFERROR(__xludf.DUMMYFUNCTION("""COMPUTED_VALUE"""),0.190058479532163)</f>
        <v>0.1900584795</v>
      </c>
      <c r="R241" s="16">
        <f>IFERROR(__xludf.DUMMYFUNCTION("""COMPUTED_VALUE"""),0.0)</f>
        <v>0</v>
      </c>
      <c r="S241" s="16">
        <f>IFERROR(__xludf.DUMMYFUNCTION("""COMPUTED_VALUE"""),0.0)</f>
        <v>0</v>
      </c>
      <c r="T241" s="16">
        <f>IFERROR(__xludf.DUMMYFUNCTION("""COMPUTED_VALUE"""),0.0)</f>
        <v>0</v>
      </c>
      <c r="U241" s="16">
        <f>IFERROR(__xludf.DUMMYFUNCTION("""COMPUTED_VALUE"""),0.0)</f>
        <v>0</v>
      </c>
      <c r="V241" s="16">
        <f>IFERROR(__xludf.DUMMYFUNCTION("""COMPUTED_VALUE"""),0.0)</f>
        <v>0</v>
      </c>
      <c r="W241" s="16">
        <f>IFERROR(__xludf.DUMMYFUNCTION("""COMPUTED_VALUE"""),0.0)</f>
        <v>0</v>
      </c>
      <c r="X241" s="16">
        <f>IFERROR(__xludf.DUMMYFUNCTION("""COMPUTED_VALUE"""),0.0)</f>
        <v>0</v>
      </c>
      <c r="Y241" s="16">
        <f>IFERROR(__xludf.DUMMYFUNCTION("""COMPUTED_VALUE"""),0.0)</f>
        <v>0</v>
      </c>
      <c r="Z241" s="16">
        <f>IFERROR(__xludf.DUMMYFUNCTION("""COMPUTED_VALUE"""),0.0)</f>
        <v>0</v>
      </c>
      <c r="AA241" s="16">
        <f>IFERROR(__xludf.DUMMYFUNCTION("""COMPUTED_VALUE"""),0.0)</f>
        <v>0</v>
      </c>
      <c r="AB241" s="16">
        <f>IFERROR(__xludf.DUMMYFUNCTION("""COMPUTED_VALUE"""),0.0)</f>
        <v>0</v>
      </c>
      <c r="AC241" s="16">
        <f>IFERROR(__xludf.DUMMYFUNCTION("""COMPUTED_VALUE"""),0.0)</f>
        <v>0</v>
      </c>
      <c r="AD241" s="16">
        <f>IFERROR(__xludf.DUMMYFUNCTION("""COMPUTED_VALUE"""),0.0)</f>
        <v>0</v>
      </c>
      <c r="AE241" s="16">
        <f>IFERROR(__xludf.DUMMYFUNCTION("""COMPUTED_VALUE"""),0.0)</f>
        <v>0</v>
      </c>
      <c r="AF241" s="16">
        <f>IFERROR(__xludf.DUMMYFUNCTION("""COMPUTED_VALUE"""),0.0)</f>
        <v>0</v>
      </c>
      <c r="AG241" s="16">
        <f>IFERROR(__xludf.DUMMYFUNCTION("""COMPUTED_VALUE"""),0.0)</f>
        <v>0</v>
      </c>
      <c r="AH241" s="16">
        <f>IFERROR(__xludf.DUMMYFUNCTION("""COMPUTED_VALUE"""),0.0)</f>
        <v>0</v>
      </c>
    </row>
    <row r="242">
      <c r="A242" s="16" t="str">
        <f>IFERROR(__xludf.DUMMYFUNCTION("""COMPUTED_VALUE"""),"d4bf13e8bbfcd2fa5b75aa042e47479d3a06188b")</f>
        <v>d4bf13e8bbfcd2fa5b75aa042e47479d3a06188b</v>
      </c>
      <c r="B242" s="16" t="str">
        <f>IFERROR(__xludf.DUMMYFUNCTION("""COMPUTED_VALUE"""),"Undead Tamer's Necro Pets")</f>
        <v>Undead Tamer's Necro Pets</v>
      </c>
      <c r="C242" s="16" t="str">
        <f>IFERROR(__xludf.DUMMYFUNCTION("""COMPUTED_VALUE"""),"Fantasy")</f>
        <v>Fantasy</v>
      </c>
      <c r="D242" s="16">
        <f>IFERROR(__xludf.DUMMYFUNCTION("""COMPUTED_VALUE"""),188.0)</f>
        <v>188</v>
      </c>
      <c r="E242" s="16">
        <f>IFERROR(__xludf.DUMMYFUNCTION("""COMPUTED_VALUE"""),0.978723404255319)</f>
        <v>0.9787234043</v>
      </c>
      <c r="F242" s="16">
        <f>IFERROR(__xludf.DUMMYFUNCTION("""COMPUTED_VALUE"""),0.398936170212765)</f>
        <v>0.3989361702</v>
      </c>
      <c r="G242" s="16">
        <f>IFERROR(__xludf.DUMMYFUNCTION("""COMPUTED_VALUE"""),0.351063829787234)</f>
        <v>0.3510638298</v>
      </c>
      <c r="H242" s="16">
        <f>IFERROR(__xludf.DUMMYFUNCTION("""COMPUTED_VALUE"""),0.297872340425531)</f>
        <v>0.2978723404</v>
      </c>
      <c r="I242" s="16">
        <f>IFERROR(__xludf.DUMMYFUNCTION("""COMPUTED_VALUE"""),0.283422459893048)</f>
        <v>0.2834224599</v>
      </c>
      <c r="J242" s="16">
        <f>IFERROR(__xludf.DUMMYFUNCTION("""COMPUTED_VALUE"""),0.27807486631016)</f>
        <v>0.2780748663</v>
      </c>
      <c r="K242" s="16">
        <f>IFERROR(__xludf.DUMMYFUNCTION("""COMPUTED_VALUE"""),0.262032085561497)</f>
        <v>0.2620320856</v>
      </c>
      <c r="L242" s="16">
        <f>IFERROR(__xludf.DUMMYFUNCTION("""COMPUTED_VALUE"""),0.259668508287292)</f>
        <v>0.2596685083</v>
      </c>
      <c r="M242" s="16">
        <f>IFERROR(__xludf.DUMMYFUNCTION("""COMPUTED_VALUE"""),0.252808988764044)</f>
        <v>0.2528089888</v>
      </c>
      <c r="N242" s="16">
        <f>IFERROR(__xludf.DUMMYFUNCTION("""COMPUTED_VALUE"""),0.260355029585798)</f>
        <v>0.2603550296</v>
      </c>
      <c r="O242" s="16">
        <f>IFERROR(__xludf.DUMMYFUNCTION("""COMPUTED_VALUE"""),0.234482758620689)</f>
        <v>0.2344827586</v>
      </c>
      <c r="P242" s="16">
        <f>IFERROR(__xludf.DUMMYFUNCTION("""COMPUTED_VALUE"""),0.133333333333333)</f>
        <v>0.1333333333</v>
      </c>
      <c r="Q242" s="16">
        <f>IFERROR(__xludf.DUMMYFUNCTION("""COMPUTED_VALUE"""),0.0)</f>
        <v>0</v>
      </c>
      <c r="R242" s="16">
        <f>IFERROR(__xludf.DUMMYFUNCTION("""COMPUTED_VALUE"""),0.0)</f>
        <v>0</v>
      </c>
      <c r="S242" s="16">
        <f>IFERROR(__xludf.DUMMYFUNCTION("""COMPUTED_VALUE"""),0.0)</f>
        <v>0</v>
      </c>
      <c r="T242" s="16">
        <f>IFERROR(__xludf.DUMMYFUNCTION("""COMPUTED_VALUE"""),0.0)</f>
        <v>0</v>
      </c>
      <c r="U242" s="16">
        <f>IFERROR(__xludf.DUMMYFUNCTION("""COMPUTED_VALUE"""),0.0)</f>
        <v>0</v>
      </c>
      <c r="V242" s="16">
        <f>IFERROR(__xludf.DUMMYFUNCTION("""COMPUTED_VALUE"""),0.0)</f>
        <v>0</v>
      </c>
      <c r="W242" s="16">
        <f>IFERROR(__xludf.DUMMYFUNCTION("""COMPUTED_VALUE"""),0.0)</f>
        <v>0</v>
      </c>
      <c r="X242" s="16">
        <f>IFERROR(__xludf.DUMMYFUNCTION("""COMPUTED_VALUE"""),0.0)</f>
        <v>0</v>
      </c>
      <c r="Y242" s="16">
        <f>IFERROR(__xludf.DUMMYFUNCTION("""COMPUTED_VALUE"""),0.0)</f>
        <v>0</v>
      </c>
      <c r="Z242" s="16">
        <f>IFERROR(__xludf.DUMMYFUNCTION("""COMPUTED_VALUE"""),0.0)</f>
        <v>0</v>
      </c>
      <c r="AA242" s="16">
        <f>IFERROR(__xludf.DUMMYFUNCTION("""COMPUTED_VALUE"""),0.0)</f>
        <v>0</v>
      </c>
      <c r="AB242" s="16">
        <f>IFERROR(__xludf.DUMMYFUNCTION("""COMPUTED_VALUE"""),0.0)</f>
        <v>0</v>
      </c>
      <c r="AC242" s="16">
        <f>IFERROR(__xludf.DUMMYFUNCTION("""COMPUTED_VALUE"""),0.0)</f>
        <v>0</v>
      </c>
      <c r="AD242" s="16">
        <f>IFERROR(__xludf.DUMMYFUNCTION("""COMPUTED_VALUE"""),0.0)</f>
        <v>0</v>
      </c>
      <c r="AE242" s="16">
        <f>IFERROR(__xludf.DUMMYFUNCTION("""COMPUTED_VALUE"""),0.0)</f>
        <v>0</v>
      </c>
      <c r="AF242" s="16">
        <f>IFERROR(__xludf.DUMMYFUNCTION("""COMPUTED_VALUE"""),0.0)</f>
        <v>0</v>
      </c>
      <c r="AG242" s="16">
        <f>IFERROR(__xludf.DUMMYFUNCTION("""COMPUTED_VALUE"""),0.0)</f>
        <v>0</v>
      </c>
      <c r="AH242" s="16">
        <f>IFERROR(__xludf.DUMMYFUNCTION("""COMPUTED_VALUE"""),0.0)</f>
        <v>0</v>
      </c>
    </row>
    <row r="243">
      <c r="A243" s="16" t="str">
        <f>IFERROR(__xludf.DUMMYFUNCTION("""COMPUTED_VALUE"""),"d687598bacfd959af85400d722a39d5e62aad513")</f>
        <v>d687598bacfd959af85400d722a39d5e62aad513</v>
      </c>
      <c r="B243" s="16" t="str">
        <f>IFERROR(__xludf.DUMMYFUNCTION("""COMPUTED_VALUE"""),"Unexpectedly Mine")</f>
        <v>Unexpectedly Mine</v>
      </c>
      <c r="C243" s="16" t="str">
        <f>IFERROR(__xludf.DUMMYFUNCTION("""COMPUTED_VALUE"""),"Romance")</f>
        <v>Romance</v>
      </c>
      <c r="D243" s="16">
        <f>IFERROR(__xludf.DUMMYFUNCTION("""COMPUTED_VALUE"""),18676.0)</f>
        <v>18676</v>
      </c>
      <c r="E243" s="16">
        <f>IFERROR(__xludf.DUMMYFUNCTION("""COMPUTED_VALUE"""),0.920914542728635)</f>
        <v>0.9209145427</v>
      </c>
      <c r="F243" s="16">
        <f>IFERROR(__xludf.DUMMYFUNCTION("""COMPUTED_VALUE"""),0.511565645748554)</f>
        <v>0.5115656457</v>
      </c>
      <c r="G243" s="16">
        <f>IFERROR(__xludf.DUMMYFUNCTION("""COMPUTED_VALUE"""),0.454808310130649)</f>
        <v>0.4548083101</v>
      </c>
      <c r="H243" s="16">
        <f>IFERROR(__xludf.DUMMYFUNCTION("""COMPUTED_VALUE"""),0.427377892030848)</f>
        <v>0.427377892</v>
      </c>
      <c r="I243" s="16">
        <f>IFERROR(__xludf.DUMMYFUNCTION("""COMPUTED_VALUE"""),0.406837790043406)</f>
        <v>0.40683779</v>
      </c>
      <c r="J243" s="16">
        <f>IFERROR(__xludf.DUMMYFUNCTION("""COMPUTED_VALUE"""),0.387786832511258)</f>
        <v>0.3877868325</v>
      </c>
      <c r="K243" s="16">
        <f>IFERROR(__xludf.DUMMYFUNCTION("""COMPUTED_VALUE"""),0.371922107183091)</f>
        <v>0.3719221072</v>
      </c>
      <c r="L243" s="16">
        <f>IFERROR(__xludf.DUMMYFUNCTION("""COMPUTED_VALUE"""),0.352018900343642)</f>
        <v>0.3520189003</v>
      </c>
      <c r="M243" s="16">
        <f>IFERROR(__xludf.DUMMYFUNCTION("""COMPUTED_VALUE"""),0.343609022556391)</f>
        <v>0.3436090226</v>
      </c>
      <c r="N243" s="16">
        <f>IFERROR(__xludf.DUMMYFUNCTION("""COMPUTED_VALUE"""),0.334443847393874)</f>
        <v>0.3344438474</v>
      </c>
      <c r="O243" s="16">
        <f>IFERROR(__xludf.DUMMYFUNCTION("""COMPUTED_VALUE"""),0.290757208299649)</f>
        <v>0.2907572083</v>
      </c>
      <c r="P243" s="16">
        <f>IFERROR(__xludf.DUMMYFUNCTION("""COMPUTED_VALUE"""),0.264596273291925)</f>
        <v>0.2645962733</v>
      </c>
      <c r="Q243" s="16">
        <f>IFERROR(__xludf.DUMMYFUNCTION("""COMPUTED_VALUE"""),0.215458832457043)</f>
        <v>0.2154588325</v>
      </c>
      <c r="R243" s="16">
        <f>IFERROR(__xludf.DUMMYFUNCTION("""COMPUTED_VALUE"""),0.188876202903278)</f>
        <v>0.1888762029</v>
      </c>
      <c r="S243" s="16">
        <f>IFERROR(__xludf.DUMMYFUNCTION("""COMPUTED_VALUE"""),0.150386380101424)</f>
        <v>0.1503863801</v>
      </c>
      <c r="T243" s="16">
        <f>IFERROR(__xludf.DUMMYFUNCTION("""COMPUTED_VALUE"""),0.13055538044506)</f>
        <v>0.1305553804</v>
      </c>
      <c r="U243" s="16">
        <f>IFERROR(__xludf.DUMMYFUNCTION("""COMPUTED_VALUE"""),0.121538461538461)</f>
        <v>0.1215384615</v>
      </c>
      <c r="V243" s="16">
        <f>IFERROR(__xludf.DUMMYFUNCTION("""COMPUTED_VALUE"""),0.104595015576323)</f>
        <v>0.1045950156</v>
      </c>
      <c r="W243" s="16">
        <f>IFERROR(__xludf.DUMMYFUNCTION("""COMPUTED_VALUE"""),0.0821482349004517)</f>
        <v>0.0821482349</v>
      </c>
      <c r="X243" s="16">
        <f>IFERROR(__xludf.DUMMYFUNCTION("""COMPUTED_VALUE"""),0.0623450230251505)</f>
        <v>0.06234502303</v>
      </c>
      <c r="Y243" s="16">
        <f>IFERROR(__xludf.DUMMYFUNCTION("""COMPUTED_VALUE"""),0.0498424520194786)</f>
        <v>0.04984245202</v>
      </c>
      <c r="Z243" s="16">
        <f>IFERROR(__xludf.DUMMYFUNCTION("""COMPUTED_VALUE"""),0.036902432205759)</f>
        <v>0.03690243221</v>
      </c>
      <c r="AA243" s="16">
        <f>IFERROR(__xludf.DUMMYFUNCTION("""COMPUTED_VALUE"""),0.0300179211469534)</f>
        <v>0.03001792115</v>
      </c>
      <c r="AB243" s="16">
        <f>IFERROR(__xludf.DUMMYFUNCTION("""COMPUTED_VALUE"""),0.0464135021097046)</f>
        <v>0.04641350211</v>
      </c>
      <c r="AC243" s="16">
        <f>IFERROR(__xludf.DUMMYFUNCTION("""COMPUTED_VALUE"""),0.0)</f>
        <v>0</v>
      </c>
      <c r="AD243" s="16">
        <f>IFERROR(__xludf.DUMMYFUNCTION("""COMPUTED_VALUE"""),0.0)</f>
        <v>0</v>
      </c>
      <c r="AE243" s="16">
        <f>IFERROR(__xludf.DUMMYFUNCTION("""COMPUTED_VALUE"""),0.0)</f>
        <v>0</v>
      </c>
      <c r="AF243" s="16">
        <f>IFERROR(__xludf.DUMMYFUNCTION("""COMPUTED_VALUE"""),0.0)</f>
        <v>0</v>
      </c>
      <c r="AG243" s="16">
        <f>IFERROR(__xludf.DUMMYFUNCTION("""COMPUTED_VALUE"""),0.0)</f>
        <v>0</v>
      </c>
      <c r="AH243" s="16">
        <f>IFERROR(__xludf.DUMMYFUNCTION("""COMPUTED_VALUE"""),0.0)</f>
        <v>0</v>
      </c>
    </row>
    <row r="244">
      <c r="A244" s="16" t="str">
        <f>IFERROR(__xludf.DUMMYFUNCTION("""COMPUTED_VALUE"""),"d6ecb3540b1fdba82ccfa1fa9d0dbaa8fe59424c")</f>
        <v>d6ecb3540b1fdba82ccfa1fa9d0dbaa8fe59424c</v>
      </c>
      <c r="B244" s="16" t="str">
        <f>IFERROR(__xludf.DUMMYFUNCTION("""COMPUTED_VALUE"""),"Among the Undead")</f>
        <v>Among the Undead</v>
      </c>
      <c r="C244" s="16" t="str">
        <f>IFERROR(__xludf.DUMMYFUNCTION("""COMPUTED_VALUE"""),"Suspense or Thriller")</f>
        <v>Suspense or Thriller</v>
      </c>
      <c r="D244" s="16">
        <f>IFERROR(__xludf.DUMMYFUNCTION("""COMPUTED_VALUE"""),218.0)</f>
        <v>218</v>
      </c>
      <c r="E244" s="16">
        <f>IFERROR(__xludf.DUMMYFUNCTION("""COMPUTED_VALUE"""),0.931192660550458)</f>
        <v>0.9311926606</v>
      </c>
      <c r="F244" s="16">
        <f>IFERROR(__xludf.DUMMYFUNCTION("""COMPUTED_VALUE"""),0.495412844036697)</f>
        <v>0.495412844</v>
      </c>
      <c r="G244" s="16">
        <f>IFERROR(__xludf.DUMMYFUNCTION("""COMPUTED_VALUE"""),0.403669724770642)</f>
        <v>0.4036697248</v>
      </c>
      <c r="H244" s="16">
        <f>IFERROR(__xludf.DUMMYFUNCTION("""COMPUTED_VALUE"""),0.321100917431192)</f>
        <v>0.3211009174</v>
      </c>
      <c r="I244" s="16">
        <f>IFERROR(__xludf.DUMMYFUNCTION("""COMPUTED_VALUE"""),0.298165137614678)</f>
        <v>0.2981651376</v>
      </c>
      <c r="J244" s="16">
        <f>IFERROR(__xludf.DUMMYFUNCTION("""COMPUTED_VALUE"""),0.267281105990783)</f>
        <v>0.267281106</v>
      </c>
      <c r="K244" s="16">
        <f>IFERROR(__xludf.DUMMYFUNCTION("""COMPUTED_VALUE"""),0.223255813953488)</f>
        <v>0.223255814</v>
      </c>
      <c r="L244" s="16">
        <f>IFERROR(__xludf.DUMMYFUNCTION("""COMPUTED_VALUE"""),0.210280373831775)</f>
        <v>0.2102803738</v>
      </c>
      <c r="M244" s="16">
        <f>IFERROR(__xludf.DUMMYFUNCTION("""COMPUTED_VALUE"""),0.20754716981132)</f>
        <v>0.2075471698</v>
      </c>
      <c r="N244" s="16">
        <f>IFERROR(__xludf.DUMMYFUNCTION("""COMPUTED_VALUE"""),0.215311004784689)</f>
        <v>0.2153110048</v>
      </c>
      <c r="O244" s="16">
        <f>IFERROR(__xludf.DUMMYFUNCTION("""COMPUTED_VALUE"""),0.164948453608247)</f>
        <v>0.1649484536</v>
      </c>
      <c r="P244" s="16">
        <f>IFERROR(__xludf.DUMMYFUNCTION("""COMPUTED_VALUE"""),0.151515151515151)</f>
        <v>0.1515151515</v>
      </c>
      <c r="Q244" s="16">
        <f>IFERROR(__xludf.DUMMYFUNCTION("""COMPUTED_VALUE"""),0.126213592233009)</f>
        <v>0.1262135922</v>
      </c>
      <c r="R244" s="16">
        <f>IFERROR(__xludf.DUMMYFUNCTION("""COMPUTED_VALUE"""),0.108910891089108)</f>
        <v>0.1089108911</v>
      </c>
      <c r="S244" s="16">
        <f>IFERROR(__xludf.DUMMYFUNCTION("""COMPUTED_VALUE"""),0.0543478260869565)</f>
        <v>0.05434782609</v>
      </c>
      <c r="T244" s="16">
        <f>IFERROR(__xludf.DUMMYFUNCTION("""COMPUTED_VALUE"""),0.057471264367816)</f>
        <v>0.05747126437</v>
      </c>
      <c r="U244" s="16">
        <f>IFERROR(__xludf.DUMMYFUNCTION("""COMPUTED_VALUE"""),0.0263157894736842)</f>
        <v>0.02631578947</v>
      </c>
      <c r="V244" s="16">
        <f>IFERROR(__xludf.DUMMYFUNCTION("""COMPUTED_VALUE"""),0.0)</f>
        <v>0</v>
      </c>
      <c r="W244" s="16">
        <f>IFERROR(__xludf.DUMMYFUNCTION("""COMPUTED_VALUE"""),0.0)</f>
        <v>0</v>
      </c>
      <c r="X244" s="16">
        <f>IFERROR(__xludf.DUMMYFUNCTION("""COMPUTED_VALUE"""),0.0)</f>
        <v>0</v>
      </c>
      <c r="Y244" s="16">
        <f>IFERROR(__xludf.DUMMYFUNCTION("""COMPUTED_VALUE"""),0.0)</f>
        <v>0</v>
      </c>
      <c r="Z244" s="16">
        <f>IFERROR(__xludf.DUMMYFUNCTION("""COMPUTED_VALUE"""),0.0)</f>
        <v>0</v>
      </c>
      <c r="AA244" s="16">
        <f>IFERROR(__xludf.DUMMYFUNCTION("""COMPUTED_VALUE"""),0.0)</f>
        <v>0</v>
      </c>
      <c r="AB244" s="16">
        <f>IFERROR(__xludf.DUMMYFUNCTION("""COMPUTED_VALUE"""),0.0)</f>
        <v>0</v>
      </c>
      <c r="AC244" s="16">
        <f>IFERROR(__xludf.DUMMYFUNCTION("""COMPUTED_VALUE"""),0.0)</f>
        <v>0</v>
      </c>
      <c r="AD244" s="16">
        <f>IFERROR(__xludf.DUMMYFUNCTION("""COMPUTED_VALUE"""),0.0)</f>
        <v>0</v>
      </c>
      <c r="AE244" s="16">
        <f>IFERROR(__xludf.DUMMYFUNCTION("""COMPUTED_VALUE"""),0.0)</f>
        <v>0</v>
      </c>
      <c r="AF244" s="16">
        <f>IFERROR(__xludf.DUMMYFUNCTION("""COMPUTED_VALUE"""),0.0)</f>
        <v>0</v>
      </c>
      <c r="AG244" s="16">
        <f>IFERROR(__xludf.DUMMYFUNCTION("""COMPUTED_VALUE"""),0.0)</f>
        <v>0</v>
      </c>
      <c r="AH244" s="16">
        <f>IFERROR(__xludf.DUMMYFUNCTION("""COMPUTED_VALUE"""),0.0)</f>
        <v>0</v>
      </c>
    </row>
    <row r="245">
      <c r="A245" s="16" t="str">
        <f>IFERROR(__xludf.DUMMYFUNCTION("""COMPUTED_VALUE"""),"d71fc923d0820825aefcf4bf75b7743891f7feac")</f>
        <v>d71fc923d0820825aefcf4bf75b7743891f7feac</v>
      </c>
      <c r="B245" s="16" t="str">
        <f>IFERROR(__xludf.DUMMYFUNCTION("""COMPUTED_VALUE"""),"Only One Race")</f>
        <v>Only One Race</v>
      </c>
      <c r="C245" s="16" t="str">
        <f>IFERROR(__xludf.DUMMYFUNCTION("""COMPUTED_VALUE"""),"Fantasy")</f>
        <v>Fantasy</v>
      </c>
      <c r="D245" s="16">
        <f>IFERROR(__xludf.DUMMYFUNCTION("""COMPUTED_VALUE"""),250.0)</f>
        <v>250</v>
      </c>
      <c r="E245" s="16">
        <f>IFERROR(__xludf.DUMMYFUNCTION("""COMPUTED_VALUE"""),0.968)</f>
        <v>0.968</v>
      </c>
      <c r="F245" s="16">
        <f>IFERROR(__xludf.DUMMYFUNCTION("""COMPUTED_VALUE"""),0.324)</f>
        <v>0.324</v>
      </c>
      <c r="G245" s="16">
        <f>IFERROR(__xludf.DUMMYFUNCTION("""COMPUTED_VALUE"""),0.256)</f>
        <v>0.256</v>
      </c>
      <c r="H245" s="16">
        <f>IFERROR(__xludf.DUMMYFUNCTION("""COMPUTED_VALUE"""),0.240963855421686)</f>
        <v>0.2409638554</v>
      </c>
      <c r="I245" s="16">
        <f>IFERROR(__xludf.DUMMYFUNCTION("""COMPUTED_VALUE"""),0.224899598393574)</f>
        <v>0.2248995984</v>
      </c>
      <c r="J245" s="16">
        <f>IFERROR(__xludf.DUMMYFUNCTION("""COMPUTED_VALUE"""),0.193548387096774)</f>
        <v>0.1935483871</v>
      </c>
      <c r="K245" s="16">
        <f>IFERROR(__xludf.DUMMYFUNCTION("""COMPUTED_VALUE"""),0.191056910569105)</f>
        <v>0.1910569106</v>
      </c>
      <c r="L245" s="16">
        <f>IFERROR(__xludf.DUMMYFUNCTION("""COMPUTED_VALUE"""),0.192468619246861)</f>
        <v>0.1924686192</v>
      </c>
      <c r="M245" s="16">
        <f>IFERROR(__xludf.DUMMYFUNCTION("""COMPUTED_VALUE"""),0.175965665236051)</f>
        <v>0.1759656652</v>
      </c>
      <c r="N245" s="16">
        <f>IFERROR(__xludf.DUMMYFUNCTION("""COMPUTED_VALUE"""),0.171052631578947)</f>
        <v>0.1710526316</v>
      </c>
      <c r="O245" s="16">
        <f>IFERROR(__xludf.DUMMYFUNCTION("""COMPUTED_VALUE"""),0.12807881773399)</f>
        <v>0.1280788177</v>
      </c>
      <c r="P245" s="16">
        <f>IFERROR(__xludf.DUMMYFUNCTION("""COMPUTED_VALUE"""),0.0632911392405063)</f>
        <v>0.06329113924</v>
      </c>
      <c r="Q245" s="16">
        <f>IFERROR(__xludf.DUMMYFUNCTION("""COMPUTED_VALUE"""),0.057471264367816)</f>
        <v>0.05747126437</v>
      </c>
      <c r="R245" s="16">
        <f>IFERROR(__xludf.DUMMYFUNCTION("""COMPUTED_VALUE"""),0.0666666666666666)</f>
        <v>0.06666666667</v>
      </c>
      <c r="S245" s="16">
        <f>IFERROR(__xludf.DUMMYFUNCTION("""COMPUTED_VALUE"""),0.0)</f>
        <v>0</v>
      </c>
      <c r="T245" s="16">
        <f>IFERROR(__xludf.DUMMYFUNCTION("""COMPUTED_VALUE"""),0.0)</f>
        <v>0</v>
      </c>
      <c r="U245" s="16">
        <f>IFERROR(__xludf.DUMMYFUNCTION("""COMPUTED_VALUE"""),0.0)</f>
        <v>0</v>
      </c>
      <c r="V245" s="16">
        <f>IFERROR(__xludf.DUMMYFUNCTION("""COMPUTED_VALUE"""),0.0)</f>
        <v>0</v>
      </c>
      <c r="W245" s="16">
        <f>IFERROR(__xludf.DUMMYFUNCTION("""COMPUTED_VALUE"""),0.0)</f>
        <v>0</v>
      </c>
      <c r="X245" s="16">
        <f>IFERROR(__xludf.DUMMYFUNCTION("""COMPUTED_VALUE"""),0.0)</f>
        <v>0</v>
      </c>
      <c r="Y245" s="16">
        <f>IFERROR(__xludf.DUMMYFUNCTION("""COMPUTED_VALUE"""),0.0)</f>
        <v>0</v>
      </c>
      <c r="Z245" s="16">
        <f>IFERROR(__xludf.DUMMYFUNCTION("""COMPUTED_VALUE"""),0.0)</f>
        <v>0</v>
      </c>
      <c r="AA245" s="16">
        <f>IFERROR(__xludf.DUMMYFUNCTION("""COMPUTED_VALUE"""),0.0)</f>
        <v>0</v>
      </c>
      <c r="AB245" s="16">
        <f>IFERROR(__xludf.DUMMYFUNCTION("""COMPUTED_VALUE"""),0.0)</f>
        <v>0</v>
      </c>
      <c r="AC245" s="16">
        <f>IFERROR(__xludf.DUMMYFUNCTION("""COMPUTED_VALUE"""),0.0)</f>
        <v>0</v>
      </c>
      <c r="AD245" s="16">
        <f>IFERROR(__xludf.DUMMYFUNCTION("""COMPUTED_VALUE"""),0.0)</f>
        <v>0</v>
      </c>
      <c r="AE245" s="16">
        <f>IFERROR(__xludf.DUMMYFUNCTION("""COMPUTED_VALUE"""),0.0)</f>
        <v>0</v>
      </c>
      <c r="AF245" s="16">
        <f>IFERROR(__xludf.DUMMYFUNCTION("""COMPUTED_VALUE"""),0.0)</f>
        <v>0</v>
      </c>
      <c r="AG245" s="16">
        <f>IFERROR(__xludf.DUMMYFUNCTION("""COMPUTED_VALUE"""),0.0)</f>
        <v>0</v>
      </c>
      <c r="AH245" s="16">
        <f>IFERROR(__xludf.DUMMYFUNCTION("""COMPUTED_VALUE"""),0.0)</f>
        <v>0</v>
      </c>
    </row>
    <row r="246">
      <c r="A246" s="16" t="str">
        <f>IFERROR(__xludf.DUMMYFUNCTION("""COMPUTED_VALUE"""),"da2b63280d328cd78ef9102ea4f7f131a3ff6369")</f>
        <v>da2b63280d328cd78ef9102ea4f7f131a3ff6369</v>
      </c>
      <c r="B246" s="16" t="str">
        <f>IFERROR(__xludf.DUMMYFUNCTION("""COMPUTED_VALUE"""),"I Returned for Revenge")</f>
        <v>I Returned for Revenge</v>
      </c>
      <c r="C246" s="16" t="str">
        <f>IFERROR(__xludf.DUMMYFUNCTION("""COMPUTED_VALUE"""),"Romance")</f>
        <v>Romance</v>
      </c>
      <c r="D246" s="16">
        <f>IFERROR(__xludf.DUMMYFUNCTION("""COMPUTED_VALUE"""),603.0)</f>
        <v>603</v>
      </c>
      <c r="E246" s="16">
        <f>IFERROR(__xludf.DUMMYFUNCTION("""COMPUTED_VALUE"""),0.958540630182421)</f>
        <v>0.9585406302</v>
      </c>
      <c r="F246" s="16">
        <f>IFERROR(__xludf.DUMMYFUNCTION("""COMPUTED_VALUE"""),0.681592039800995)</f>
        <v>0.6815920398</v>
      </c>
      <c r="G246" s="16">
        <f>IFERROR(__xludf.DUMMYFUNCTION("""COMPUTED_VALUE"""),0.611940298507462)</f>
        <v>0.6119402985</v>
      </c>
      <c r="H246" s="16">
        <f>IFERROR(__xludf.DUMMYFUNCTION("""COMPUTED_VALUE"""),0.578073089700996)</f>
        <v>0.5780730897</v>
      </c>
      <c r="I246" s="16">
        <f>IFERROR(__xludf.DUMMYFUNCTION("""COMPUTED_VALUE"""),0.55813953488372)</f>
        <v>0.5581395349</v>
      </c>
      <c r="J246" s="16">
        <f>IFERROR(__xludf.DUMMYFUNCTION("""COMPUTED_VALUE"""),0.535773710482529)</f>
        <v>0.5357737105</v>
      </c>
      <c r="K246" s="16">
        <f>IFERROR(__xludf.DUMMYFUNCTION("""COMPUTED_VALUE"""),0.508361204013377)</f>
        <v>0.508361204</v>
      </c>
      <c r="L246" s="16">
        <f>IFERROR(__xludf.DUMMYFUNCTION("""COMPUTED_VALUE"""),0.472222222222222)</f>
        <v>0.4722222222</v>
      </c>
      <c r="M246" s="16">
        <f>IFERROR(__xludf.DUMMYFUNCTION("""COMPUTED_VALUE"""),0.477112676056338)</f>
        <v>0.4771126761</v>
      </c>
      <c r="N246" s="16">
        <f>IFERROR(__xludf.DUMMYFUNCTION("""COMPUTED_VALUE"""),0.451438848920863)</f>
        <v>0.4514388489</v>
      </c>
      <c r="O246" s="16">
        <f>IFERROR(__xludf.DUMMYFUNCTION("""COMPUTED_VALUE"""),0.247844827586206)</f>
        <v>0.2478448276</v>
      </c>
      <c r="P246" s="16">
        <f>IFERROR(__xludf.DUMMYFUNCTION("""COMPUTED_VALUE"""),0.137931034482758)</f>
        <v>0.1379310345</v>
      </c>
      <c r="Q246" s="16">
        <f>IFERROR(__xludf.DUMMYFUNCTION("""COMPUTED_VALUE"""),0.0495049504950495)</f>
        <v>0.0495049505</v>
      </c>
      <c r="R246" s="16">
        <f>IFERROR(__xludf.DUMMYFUNCTION("""COMPUTED_VALUE"""),0.032258064516129)</f>
        <v>0.03225806452</v>
      </c>
      <c r="S246" s="16">
        <f>IFERROR(__xludf.DUMMYFUNCTION("""COMPUTED_VALUE"""),0.0)</f>
        <v>0</v>
      </c>
      <c r="T246" s="16">
        <f>IFERROR(__xludf.DUMMYFUNCTION("""COMPUTED_VALUE"""),0.0)</f>
        <v>0</v>
      </c>
      <c r="U246" s="16">
        <f>IFERROR(__xludf.DUMMYFUNCTION("""COMPUTED_VALUE"""),0.0)</f>
        <v>0</v>
      </c>
      <c r="V246" s="16">
        <f>IFERROR(__xludf.DUMMYFUNCTION("""COMPUTED_VALUE"""),0.0)</f>
        <v>0</v>
      </c>
      <c r="W246" s="16">
        <f>IFERROR(__xludf.DUMMYFUNCTION("""COMPUTED_VALUE"""),0.0)</f>
        <v>0</v>
      </c>
      <c r="X246" s="16">
        <f>IFERROR(__xludf.DUMMYFUNCTION("""COMPUTED_VALUE"""),0.0)</f>
        <v>0</v>
      </c>
      <c r="Y246" s="16">
        <f>IFERROR(__xludf.DUMMYFUNCTION("""COMPUTED_VALUE"""),0.0)</f>
        <v>0</v>
      </c>
      <c r="Z246" s="16">
        <f>IFERROR(__xludf.DUMMYFUNCTION("""COMPUTED_VALUE"""),0.0)</f>
        <v>0</v>
      </c>
      <c r="AA246" s="16">
        <f>IFERROR(__xludf.DUMMYFUNCTION("""COMPUTED_VALUE"""),0.0)</f>
        <v>0</v>
      </c>
      <c r="AB246" s="16">
        <f>IFERROR(__xludf.DUMMYFUNCTION("""COMPUTED_VALUE"""),0.0)</f>
        <v>0</v>
      </c>
      <c r="AC246" s="16">
        <f>IFERROR(__xludf.DUMMYFUNCTION("""COMPUTED_VALUE"""),0.0)</f>
        <v>0</v>
      </c>
      <c r="AD246" s="16">
        <f>IFERROR(__xludf.DUMMYFUNCTION("""COMPUTED_VALUE"""),0.0)</f>
        <v>0</v>
      </c>
      <c r="AE246" s="16">
        <f>IFERROR(__xludf.DUMMYFUNCTION("""COMPUTED_VALUE"""),0.0)</f>
        <v>0</v>
      </c>
      <c r="AF246" s="16">
        <f>IFERROR(__xludf.DUMMYFUNCTION("""COMPUTED_VALUE"""),0.0)</f>
        <v>0</v>
      </c>
      <c r="AG246" s="16">
        <f>IFERROR(__xludf.DUMMYFUNCTION("""COMPUTED_VALUE"""),0.0)</f>
        <v>0</v>
      </c>
      <c r="AH246" s="16">
        <f>IFERROR(__xludf.DUMMYFUNCTION("""COMPUTED_VALUE"""),0.0)</f>
        <v>0</v>
      </c>
    </row>
    <row r="247">
      <c r="A247" s="16" t="str">
        <f>IFERROR(__xludf.DUMMYFUNCTION("""COMPUTED_VALUE"""),"da5271db73c1f23560f26da633ebffb91df9abd6")</f>
        <v>da5271db73c1f23560f26da633ebffb91df9abd6</v>
      </c>
      <c r="B247" s="16" t="str">
        <f>IFERROR(__xludf.DUMMYFUNCTION("""COMPUTED_VALUE"""),"Sold to the Alpha King")</f>
        <v>Sold to the Alpha King</v>
      </c>
      <c r="C247" s="16" t="str">
        <f>IFERROR(__xludf.DUMMYFUNCTION("""COMPUTED_VALUE"""),"Romance")</f>
        <v>Romance</v>
      </c>
      <c r="D247" s="16">
        <f>IFERROR(__xludf.DUMMYFUNCTION("""COMPUTED_VALUE"""),388.0)</f>
        <v>388</v>
      </c>
      <c r="E247" s="16">
        <f>IFERROR(__xludf.DUMMYFUNCTION("""COMPUTED_VALUE"""),0.979381443298969)</f>
        <v>0.9793814433</v>
      </c>
      <c r="F247" s="16">
        <f>IFERROR(__xludf.DUMMYFUNCTION("""COMPUTED_VALUE"""),0.595360824742268)</f>
        <v>0.5953608247</v>
      </c>
      <c r="G247" s="16">
        <f>IFERROR(__xludf.DUMMYFUNCTION("""COMPUTED_VALUE"""),0.458762886597938)</f>
        <v>0.4587628866</v>
      </c>
      <c r="H247" s="16">
        <f>IFERROR(__xludf.DUMMYFUNCTION("""COMPUTED_VALUE"""),0.401041666666666)</f>
        <v>0.4010416667</v>
      </c>
      <c r="I247" s="16">
        <f>IFERROR(__xludf.DUMMYFUNCTION("""COMPUTED_VALUE"""),0.343832020997375)</f>
        <v>0.343832021</v>
      </c>
      <c r="J247" s="16">
        <f>IFERROR(__xludf.DUMMYFUNCTION("""COMPUTED_VALUE"""),0.304347826086956)</f>
        <v>0.3043478261</v>
      </c>
      <c r="K247" s="16">
        <f>IFERROR(__xludf.DUMMYFUNCTION("""COMPUTED_VALUE"""),0.275568181818181)</f>
        <v>0.2755681818</v>
      </c>
      <c r="L247" s="16">
        <f>IFERROR(__xludf.DUMMYFUNCTION("""COMPUTED_VALUE"""),0.248520710059171)</f>
        <v>0.2485207101</v>
      </c>
      <c r="M247" s="16">
        <f>IFERROR(__xludf.DUMMYFUNCTION("""COMPUTED_VALUE"""),0.233128834355828)</f>
        <v>0.2331288344</v>
      </c>
      <c r="N247" s="16">
        <f>IFERROR(__xludf.DUMMYFUNCTION("""COMPUTED_VALUE"""),0.222222222222222)</f>
        <v>0.2222222222</v>
      </c>
      <c r="O247" s="16">
        <f>IFERROR(__xludf.DUMMYFUNCTION("""COMPUTED_VALUE"""),0.148648648648648)</f>
        <v>0.1486486486</v>
      </c>
      <c r="P247" s="16">
        <f>IFERROR(__xludf.DUMMYFUNCTION("""COMPUTED_VALUE"""),0.137254901960784)</f>
        <v>0.137254902</v>
      </c>
      <c r="Q247" s="16">
        <f>IFERROR(__xludf.DUMMYFUNCTION("""COMPUTED_VALUE"""),0.0)</f>
        <v>0</v>
      </c>
      <c r="R247" s="16">
        <f>IFERROR(__xludf.DUMMYFUNCTION("""COMPUTED_VALUE"""),0.0)</f>
        <v>0</v>
      </c>
      <c r="S247" s="16">
        <f>IFERROR(__xludf.DUMMYFUNCTION("""COMPUTED_VALUE"""),0.0)</f>
        <v>0</v>
      </c>
      <c r="T247" s="16">
        <f>IFERROR(__xludf.DUMMYFUNCTION("""COMPUTED_VALUE"""),0.0)</f>
        <v>0</v>
      </c>
      <c r="U247" s="16">
        <f>IFERROR(__xludf.DUMMYFUNCTION("""COMPUTED_VALUE"""),0.0)</f>
        <v>0</v>
      </c>
      <c r="V247" s="16">
        <f>IFERROR(__xludf.DUMMYFUNCTION("""COMPUTED_VALUE"""),0.0)</f>
        <v>0</v>
      </c>
      <c r="W247" s="16">
        <f>IFERROR(__xludf.DUMMYFUNCTION("""COMPUTED_VALUE"""),0.0)</f>
        <v>0</v>
      </c>
      <c r="X247" s="16">
        <f>IFERROR(__xludf.DUMMYFUNCTION("""COMPUTED_VALUE"""),0.0)</f>
        <v>0</v>
      </c>
      <c r="Y247" s="16">
        <f>IFERROR(__xludf.DUMMYFUNCTION("""COMPUTED_VALUE"""),0.0)</f>
        <v>0</v>
      </c>
      <c r="Z247" s="16">
        <f>IFERROR(__xludf.DUMMYFUNCTION("""COMPUTED_VALUE"""),0.0)</f>
        <v>0</v>
      </c>
      <c r="AA247" s="16">
        <f>IFERROR(__xludf.DUMMYFUNCTION("""COMPUTED_VALUE"""),0.0)</f>
        <v>0</v>
      </c>
      <c r="AB247" s="16">
        <f>IFERROR(__xludf.DUMMYFUNCTION("""COMPUTED_VALUE"""),0.0)</f>
        <v>0</v>
      </c>
      <c r="AC247" s="16">
        <f>IFERROR(__xludf.DUMMYFUNCTION("""COMPUTED_VALUE"""),0.0)</f>
        <v>0</v>
      </c>
      <c r="AD247" s="16">
        <f>IFERROR(__xludf.DUMMYFUNCTION("""COMPUTED_VALUE"""),0.0)</f>
        <v>0</v>
      </c>
      <c r="AE247" s="16">
        <f>IFERROR(__xludf.DUMMYFUNCTION("""COMPUTED_VALUE"""),0.0)</f>
        <v>0</v>
      </c>
      <c r="AF247" s="16">
        <f>IFERROR(__xludf.DUMMYFUNCTION("""COMPUTED_VALUE"""),0.0)</f>
        <v>0</v>
      </c>
      <c r="AG247" s="16">
        <f>IFERROR(__xludf.DUMMYFUNCTION("""COMPUTED_VALUE"""),0.0)</f>
        <v>0</v>
      </c>
      <c r="AH247" s="16">
        <f>IFERROR(__xludf.DUMMYFUNCTION("""COMPUTED_VALUE"""),0.0)</f>
        <v>0</v>
      </c>
    </row>
    <row r="248">
      <c r="A248" s="16" t="str">
        <f>IFERROR(__xludf.DUMMYFUNCTION("""COMPUTED_VALUE"""),"da8d32c5473daa3dc16575cdcd79a118bb445ffb")</f>
        <v>da8d32c5473daa3dc16575cdcd79a118bb445ffb</v>
      </c>
      <c r="B248" s="16" t="str">
        <f>IFERROR(__xludf.DUMMYFUNCTION("""COMPUTED_VALUE"""),"Bold Step Against Hoffman")</f>
        <v>Bold Step Against Hoffman</v>
      </c>
      <c r="C248" s="16" t="str">
        <f>IFERROR(__xludf.DUMMYFUNCTION("""COMPUTED_VALUE"""),"Romance")</f>
        <v>Romance</v>
      </c>
      <c r="D248" s="16">
        <f>IFERROR(__xludf.DUMMYFUNCTION("""COMPUTED_VALUE"""),917.0)</f>
        <v>917</v>
      </c>
      <c r="E248" s="16">
        <f>IFERROR(__xludf.DUMMYFUNCTION("""COMPUTED_VALUE"""),0.973827699018538)</f>
        <v>0.973827699</v>
      </c>
      <c r="F248" s="16">
        <f>IFERROR(__xludf.DUMMYFUNCTION("""COMPUTED_VALUE"""),0.501635768811341)</f>
        <v>0.5016357688</v>
      </c>
      <c r="G248" s="16">
        <f>IFERROR(__xludf.DUMMYFUNCTION("""COMPUTED_VALUE"""),0.417666303162486)</f>
        <v>0.4176663032</v>
      </c>
      <c r="H248" s="16">
        <f>IFERROR(__xludf.DUMMYFUNCTION("""COMPUTED_VALUE"""),0.352235550708833)</f>
        <v>0.3522355507</v>
      </c>
      <c r="I248" s="16">
        <f>IFERROR(__xludf.DUMMYFUNCTION("""COMPUTED_VALUE"""),0.308871851040525)</f>
        <v>0.308871851</v>
      </c>
      <c r="J248" s="16">
        <f>IFERROR(__xludf.DUMMYFUNCTION("""COMPUTED_VALUE"""),0.279689234184239)</f>
        <v>0.2796892342</v>
      </c>
      <c r="K248" s="16">
        <f>IFERROR(__xludf.DUMMYFUNCTION("""COMPUTED_VALUE"""),0.274356103023516)</f>
        <v>0.274356103</v>
      </c>
      <c r="L248" s="16">
        <f>IFERROR(__xludf.DUMMYFUNCTION("""COMPUTED_VALUE"""),0.244067796610169)</f>
        <v>0.2440677966</v>
      </c>
      <c r="M248" s="16">
        <f>IFERROR(__xludf.DUMMYFUNCTION("""COMPUTED_VALUE"""),0.24259681093394)</f>
        <v>0.2425968109</v>
      </c>
      <c r="N248" s="16">
        <f>IFERROR(__xludf.DUMMYFUNCTION("""COMPUTED_VALUE"""),0.235772357723577)</f>
        <v>0.2357723577</v>
      </c>
      <c r="O248" s="16">
        <f>IFERROR(__xludf.DUMMYFUNCTION("""COMPUTED_VALUE"""),0.181710213776722)</f>
        <v>0.1817102138</v>
      </c>
      <c r="P248" s="16">
        <f>IFERROR(__xludf.DUMMYFUNCTION("""COMPUTED_VALUE"""),0.136363636363636)</f>
        <v>0.1363636364</v>
      </c>
      <c r="Q248" s="16">
        <f>IFERROR(__xludf.DUMMYFUNCTION("""COMPUTED_VALUE"""),0.127483443708609)</f>
        <v>0.1274834437</v>
      </c>
      <c r="R248" s="16">
        <f>IFERROR(__xludf.DUMMYFUNCTION("""COMPUTED_VALUE"""),0.110915492957746)</f>
        <v>0.110915493</v>
      </c>
      <c r="S248" s="16">
        <f>IFERROR(__xludf.DUMMYFUNCTION("""COMPUTED_VALUE"""),0.106741573033707)</f>
        <v>0.106741573</v>
      </c>
      <c r="T248" s="16">
        <f>IFERROR(__xludf.DUMMYFUNCTION("""COMPUTED_VALUE"""),0.0155440414507772)</f>
        <v>0.01554404145</v>
      </c>
      <c r="U248" s="16">
        <f>IFERROR(__xludf.DUMMYFUNCTION("""COMPUTED_VALUE"""),0.0112359550561797)</f>
        <v>0.01123595506</v>
      </c>
      <c r="V248" s="16">
        <f>IFERROR(__xludf.DUMMYFUNCTION("""COMPUTED_VALUE"""),0.0)</f>
        <v>0</v>
      </c>
      <c r="W248" s="16">
        <f>IFERROR(__xludf.DUMMYFUNCTION("""COMPUTED_VALUE"""),0.0)</f>
        <v>0</v>
      </c>
      <c r="X248" s="16">
        <f>IFERROR(__xludf.DUMMYFUNCTION("""COMPUTED_VALUE"""),0.0)</f>
        <v>0</v>
      </c>
      <c r="Y248" s="16">
        <f>IFERROR(__xludf.DUMMYFUNCTION("""COMPUTED_VALUE"""),0.0)</f>
        <v>0</v>
      </c>
      <c r="Z248" s="16">
        <f>IFERROR(__xludf.DUMMYFUNCTION("""COMPUTED_VALUE"""),0.0)</f>
        <v>0</v>
      </c>
      <c r="AA248" s="16">
        <f>IFERROR(__xludf.DUMMYFUNCTION("""COMPUTED_VALUE"""),0.0)</f>
        <v>0</v>
      </c>
      <c r="AB248" s="16">
        <f>IFERROR(__xludf.DUMMYFUNCTION("""COMPUTED_VALUE"""),0.0)</f>
        <v>0</v>
      </c>
      <c r="AC248" s="16">
        <f>IFERROR(__xludf.DUMMYFUNCTION("""COMPUTED_VALUE"""),0.0)</f>
        <v>0</v>
      </c>
      <c r="AD248" s="16">
        <f>IFERROR(__xludf.DUMMYFUNCTION("""COMPUTED_VALUE"""),0.0)</f>
        <v>0</v>
      </c>
      <c r="AE248" s="16">
        <f>IFERROR(__xludf.DUMMYFUNCTION("""COMPUTED_VALUE"""),0.0)</f>
        <v>0</v>
      </c>
      <c r="AF248" s="16">
        <f>IFERROR(__xludf.DUMMYFUNCTION("""COMPUTED_VALUE"""),0.0)</f>
        <v>0</v>
      </c>
      <c r="AG248" s="16">
        <f>IFERROR(__xludf.DUMMYFUNCTION("""COMPUTED_VALUE"""),0.0)</f>
        <v>0</v>
      </c>
      <c r="AH248" s="16">
        <f>IFERROR(__xludf.DUMMYFUNCTION("""COMPUTED_VALUE"""),0.0)</f>
        <v>0</v>
      </c>
    </row>
    <row r="249">
      <c r="A249" s="16" t="str">
        <f>IFERROR(__xludf.DUMMYFUNCTION("""COMPUTED_VALUE"""),"daa40d9ff542ace7e27440803ddf4307bbd54bdd")</f>
        <v>daa40d9ff542ace7e27440803ddf4307bbd54bdd</v>
      </c>
      <c r="B249" s="16" t="str">
        <f>IFERROR(__xludf.DUMMYFUNCTION("""COMPUTED_VALUE"""),"Villain's Harem")</f>
        <v>Villain's Harem</v>
      </c>
      <c r="C249" s="16" t="str">
        <f>IFERROR(__xludf.DUMMYFUNCTION("""COMPUTED_VALUE"""),"Romantasy")</f>
        <v>Romantasy</v>
      </c>
      <c r="D249" s="16">
        <f>IFERROR(__xludf.DUMMYFUNCTION("""COMPUTED_VALUE"""),125.0)</f>
        <v>125</v>
      </c>
      <c r="E249" s="16">
        <f>IFERROR(__xludf.DUMMYFUNCTION("""COMPUTED_VALUE"""),0.968)</f>
        <v>0.968</v>
      </c>
      <c r="F249" s="16">
        <f>IFERROR(__xludf.DUMMYFUNCTION("""COMPUTED_VALUE"""),0.576)</f>
        <v>0.576</v>
      </c>
      <c r="G249" s="16">
        <f>IFERROR(__xludf.DUMMYFUNCTION("""COMPUTED_VALUE"""),0.52)</f>
        <v>0.52</v>
      </c>
      <c r="H249" s="16">
        <f>IFERROR(__xludf.DUMMYFUNCTION("""COMPUTED_VALUE"""),0.48)</f>
        <v>0.48</v>
      </c>
      <c r="I249" s="16">
        <f>IFERROR(__xludf.DUMMYFUNCTION("""COMPUTED_VALUE"""),0.368)</f>
        <v>0.368</v>
      </c>
      <c r="J249" s="16">
        <f>IFERROR(__xludf.DUMMYFUNCTION("""COMPUTED_VALUE"""),0.362903225806451)</f>
        <v>0.3629032258</v>
      </c>
      <c r="K249" s="16">
        <f>IFERROR(__xludf.DUMMYFUNCTION("""COMPUTED_VALUE"""),0.314516129032258)</f>
        <v>0.314516129</v>
      </c>
      <c r="L249" s="16">
        <f>IFERROR(__xludf.DUMMYFUNCTION("""COMPUTED_VALUE"""),0.24390243902439)</f>
        <v>0.243902439</v>
      </c>
      <c r="M249" s="16">
        <f>IFERROR(__xludf.DUMMYFUNCTION("""COMPUTED_VALUE"""),0.252032520325203)</f>
        <v>0.2520325203</v>
      </c>
      <c r="N249" s="16">
        <f>IFERROR(__xludf.DUMMYFUNCTION("""COMPUTED_VALUE"""),0.260162601626016)</f>
        <v>0.2601626016</v>
      </c>
      <c r="O249" s="16">
        <f>IFERROR(__xludf.DUMMYFUNCTION("""COMPUTED_VALUE"""),0.222222222222222)</f>
        <v>0.2222222222</v>
      </c>
      <c r="P249" s="16">
        <f>IFERROR(__xludf.DUMMYFUNCTION("""COMPUTED_VALUE"""),0.074074074074074)</f>
        <v>0.07407407407</v>
      </c>
      <c r="Q249" s="16">
        <f>IFERROR(__xludf.DUMMYFUNCTION("""COMPUTED_VALUE"""),0.0)</f>
        <v>0</v>
      </c>
      <c r="R249" s="16">
        <f>IFERROR(__xludf.DUMMYFUNCTION("""COMPUTED_VALUE"""),0.0)</f>
        <v>0</v>
      </c>
      <c r="S249" s="16">
        <f>IFERROR(__xludf.DUMMYFUNCTION("""COMPUTED_VALUE"""),0.0)</f>
        <v>0</v>
      </c>
      <c r="T249" s="16">
        <f>IFERROR(__xludf.DUMMYFUNCTION("""COMPUTED_VALUE"""),0.0)</f>
        <v>0</v>
      </c>
      <c r="U249" s="16">
        <f>IFERROR(__xludf.DUMMYFUNCTION("""COMPUTED_VALUE"""),0.0)</f>
        <v>0</v>
      </c>
      <c r="V249" s="16">
        <f>IFERROR(__xludf.DUMMYFUNCTION("""COMPUTED_VALUE"""),0.0)</f>
        <v>0</v>
      </c>
      <c r="W249" s="16">
        <f>IFERROR(__xludf.DUMMYFUNCTION("""COMPUTED_VALUE"""),0.0)</f>
        <v>0</v>
      </c>
      <c r="X249" s="16">
        <f>IFERROR(__xludf.DUMMYFUNCTION("""COMPUTED_VALUE"""),0.0)</f>
        <v>0</v>
      </c>
      <c r="Y249" s="16">
        <f>IFERROR(__xludf.DUMMYFUNCTION("""COMPUTED_VALUE"""),0.0)</f>
        <v>0</v>
      </c>
      <c r="Z249" s="16">
        <f>IFERROR(__xludf.DUMMYFUNCTION("""COMPUTED_VALUE"""),0.0)</f>
        <v>0</v>
      </c>
      <c r="AA249" s="16">
        <f>IFERROR(__xludf.DUMMYFUNCTION("""COMPUTED_VALUE"""),0.0)</f>
        <v>0</v>
      </c>
      <c r="AB249" s="16">
        <f>IFERROR(__xludf.DUMMYFUNCTION("""COMPUTED_VALUE"""),0.0)</f>
        <v>0</v>
      </c>
      <c r="AC249" s="16">
        <f>IFERROR(__xludf.DUMMYFUNCTION("""COMPUTED_VALUE"""),0.0)</f>
        <v>0</v>
      </c>
      <c r="AD249" s="16">
        <f>IFERROR(__xludf.DUMMYFUNCTION("""COMPUTED_VALUE"""),0.0)</f>
        <v>0</v>
      </c>
      <c r="AE249" s="16">
        <f>IFERROR(__xludf.DUMMYFUNCTION("""COMPUTED_VALUE"""),0.0)</f>
        <v>0</v>
      </c>
      <c r="AF249" s="16">
        <f>IFERROR(__xludf.DUMMYFUNCTION("""COMPUTED_VALUE"""),0.0)</f>
        <v>0</v>
      </c>
      <c r="AG249" s="16">
        <f>IFERROR(__xludf.DUMMYFUNCTION("""COMPUTED_VALUE"""),0.0)</f>
        <v>0</v>
      </c>
      <c r="AH249" s="16">
        <f>IFERROR(__xludf.DUMMYFUNCTION("""COMPUTED_VALUE"""),0.0)</f>
        <v>0</v>
      </c>
    </row>
    <row r="250">
      <c r="A250" s="16" t="str">
        <f>IFERROR(__xludf.DUMMYFUNCTION("""COMPUTED_VALUE"""),"dad95a0b094d015746c47d42ff879a3a2c85f7e4")</f>
        <v>dad95a0b094d015746c47d42ff879a3a2c85f7e4</v>
      </c>
      <c r="B250" s="16" t="str">
        <f>IFERROR(__xludf.DUMMYFUNCTION("""COMPUTED_VALUE"""),"She Was Never Ordinary")</f>
        <v>She Was Never Ordinary</v>
      </c>
      <c r="C250" s="16" t="str">
        <f>IFERROR(__xludf.DUMMYFUNCTION("""COMPUTED_VALUE"""),"Romance")</f>
        <v>Romance</v>
      </c>
      <c r="D250" s="16">
        <f>IFERROR(__xludf.DUMMYFUNCTION("""COMPUTED_VALUE"""),59.0)</f>
        <v>59</v>
      </c>
      <c r="E250" s="16">
        <f>IFERROR(__xludf.DUMMYFUNCTION("""COMPUTED_VALUE"""),0.949152542372881)</f>
        <v>0.9491525424</v>
      </c>
      <c r="F250" s="16">
        <f>IFERROR(__xludf.DUMMYFUNCTION("""COMPUTED_VALUE"""),0.440677966101694)</f>
        <v>0.4406779661</v>
      </c>
      <c r="G250" s="16">
        <f>IFERROR(__xludf.DUMMYFUNCTION("""COMPUTED_VALUE"""),0.372881355932203)</f>
        <v>0.3728813559</v>
      </c>
      <c r="H250" s="16">
        <f>IFERROR(__xludf.DUMMYFUNCTION("""COMPUTED_VALUE"""),0.327586206896551)</f>
        <v>0.3275862069</v>
      </c>
      <c r="I250" s="16">
        <f>IFERROR(__xludf.DUMMYFUNCTION("""COMPUTED_VALUE"""),0.277777777777777)</f>
        <v>0.2777777778</v>
      </c>
      <c r="J250" s="16">
        <f>IFERROR(__xludf.DUMMYFUNCTION("""COMPUTED_VALUE"""),0.222222222222222)</f>
        <v>0.2222222222</v>
      </c>
      <c r="K250" s="16">
        <f>IFERROR(__xludf.DUMMYFUNCTION("""COMPUTED_VALUE"""),0.188679245283018)</f>
        <v>0.1886792453</v>
      </c>
      <c r="L250" s="16">
        <f>IFERROR(__xludf.DUMMYFUNCTION("""COMPUTED_VALUE"""),0.173076923076923)</f>
        <v>0.1730769231</v>
      </c>
      <c r="M250" s="16">
        <f>IFERROR(__xludf.DUMMYFUNCTION("""COMPUTED_VALUE"""),0.173076923076923)</f>
        <v>0.1730769231</v>
      </c>
      <c r="N250" s="16">
        <f>IFERROR(__xludf.DUMMYFUNCTION("""COMPUTED_VALUE"""),0.204081632653061)</f>
        <v>0.2040816327</v>
      </c>
      <c r="O250" s="16">
        <f>IFERROR(__xludf.DUMMYFUNCTION("""COMPUTED_VALUE"""),0.0)</f>
        <v>0</v>
      </c>
      <c r="P250" s="16">
        <f>IFERROR(__xludf.DUMMYFUNCTION("""COMPUTED_VALUE"""),0.0)</f>
        <v>0</v>
      </c>
      <c r="Q250" s="16">
        <f>IFERROR(__xludf.DUMMYFUNCTION("""COMPUTED_VALUE"""),0.0)</f>
        <v>0</v>
      </c>
      <c r="R250" s="16">
        <f>IFERROR(__xludf.DUMMYFUNCTION("""COMPUTED_VALUE"""),0.0)</f>
        <v>0</v>
      </c>
      <c r="S250" s="16">
        <f>IFERROR(__xludf.DUMMYFUNCTION("""COMPUTED_VALUE"""),0.0)</f>
        <v>0</v>
      </c>
      <c r="T250" s="16">
        <f>IFERROR(__xludf.DUMMYFUNCTION("""COMPUTED_VALUE"""),0.0)</f>
        <v>0</v>
      </c>
      <c r="U250" s="16">
        <f>IFERROR(__xludf.DUMMYFUNCTION("""COMPUTED_VALUE"""),0.0)</f>
        <v>0</v>
      </c>
      <c r="V250" s="16">
        <f>IFERROR(__xludf.DUMMYFUNCTION("""COMPUTED_VALUE"""),0.0)</f>
        <v>0</v>
      </c>
      <c r="W250" s="16">
        <f>IFERROR(__xludf.DUMMYFUNCTION("""COMPUTED_VALUE"""),0.0)</f>
        <v>0</v>
      </c>
      <c r="X250" s="16">
        <f>IFERROR(__xludf.DUMMYFUNCTION("""COMPUTED_VALUE"""),0.0)</f>
        <v>0</v>
      </c>
      <c r="Y250" s="16">
        <f>IFERROR(__xludf.DUMMYFUNCTION("""COMPUTED_VALUE"""),0.0)</f>
        <v>0</v>
      </c>
      <c r="Z250" s="16">
        <f>IFERROR(__xludf.DUMMYFUNCTION("""COMPUTED_VALUE"""),0.0)</f>
        <v>0</v>
      </c>
      <c r="AA250" s="16">
        <f>IFERROR(__xludf.DUMMYFUNCTION("""COMPUTED_VALUE"""),0.0)</f>
        <v>0</v>
      </c>
      <c r="AB250" s="16">
        <f>IFERROR(__xludf.DUMMYFUNCTION("""COMPUTED_VALUE"""),0.0)</f>
        <v>0</v>
      </c>
      <c r="AC250" s="16">
        <f>IFERROR(__xludf.DUMMYFUNCTION("""COMPUTED_VALUE"""),0.0)</f>
        <v>0</v>
      </c>
      <c r="AD250" s="16">
        <f>IFERROR(__xludf.DUMMYFUNCTION("""COMPUTED_VALUE"""),0.0)</f>
        <v>0</v>
      </c>
      <c r="AE250" s="16">
        <f>IFERROR(__xludf.DUMMYFUNCTION("""COMPUTED_VALUE"""),0.0)</f>
        <v>0</v>
      </c>
      <c r="AF250" s="16">
        <f>IFERROR(__xludf.DUMMYFUNCTION("""COMPUTED_VALUE"""),0.0)</f>
        <v>0</v>
      </c>
      <c r="AG250" s="16">
        <f>IFERROR(__xludf.DUMMYFUNCTION("""COMPUTED_VALUE"""),0.0)</f>
        <v>0</v>
      </c>
      <c r="AH250" s="16">
        <f>IFERROR(__xludf.DUMMYFUNCTION("""COMPUTED_VALUE"""),0.0)</f>
        <v>0</v>
      </c>
    </row>
    <row r="251">
      <c r="A251" s="16" t="str">
        <f>IFERROR(__xludf.DUMMYFUNCTION("""COMPUTED_VALUE"""),"db982055d0205f85b154941a9a5fdcae32a88a7c")</f>
        <v>db982055d0205f85b154941a9a5fdcae32a88a7c</v>
      </c>
      <c r="B251" s="16" t="str">
        <f>IFERROR(__xludf.DUMMYFUNCTION("""COMPUTED_VALUE"""),"Re:system - Rebooted")</f>
        <v>Re:system - Rebooted</v>
      </c>
      <c r="C251" s="16" t="str">
        <f>IFERROR(__xludf.DUMMYFUNCTION("""COMPUTED_VALUE"""),"Fantasy")</f>
        <v>Fantasy</v>
      </c>
      <c r="D251" s="16">
        <f>IFERROR(__xludf.DUMMYFUNCTION("""COMPUTED_VALUE"""),44.0)</f>
        <v>44</v>
      </c>
      <c r="E251" s="16">
        <f>IFERROR(__xludf.DUMMYFUNCTION("""COMPUTED_VALUE"""),0.977272727272727)</f>
        <v>0.9772727273</v>
      </c>
      <c r="F251" s="16">
        <f>IFERROR(__xludf.DUMMYFUNCTION("""COMPUTED_VALUE"""),0.59090909090909)</f>
        <v>0.5909090909</v>
      </c>
      <c r="G251" s="16">
        <f>IFERROR(__xludf.DUMMYFUNCTION("""COMPUTED_VALUE"""),0.522727272727272)</f>
        <v>0.5227272727</v>
      </c>
      <c r="H251" s="16">
        <f>IFERROR(__xludf.DUMMYFUNCTION("""COMPUTED_VALUE"""),0.477272727272727)</f>
        <v>0.4772727273</v>
      </c>
      <c r="I251" s="16">
        <f>IFERROR(__xludf.DUMMYFUNCTION("""COMPUTED_VALUE"""),0.488372093023255)</f>
        <v>0.488372093</v>
      </c>
      <c r="J251" s="16">
        <f>IFERROR(__xludf.DUMMYFUNCTION("""COMPUTED_VALUE"""),0.441860465116279)</f>
        <v>0.4418604651</v>
      </c>
      <c r="K251" s="16">
        <f>IFERROR(__xludf.DUMMYFUNCTION("""COMPUTED_VALUE"""),0.41860465116279)</f>
        <v>0.4186046512</v>
      </c>
      <c r="L251" s="16">
        <f>IFERROR(__xludf.DUMMYFUNCTION("""COMPUTED_VALUE"""),0.41860465116279)</f>
        <v>0.4186046512</v>
      </c>
      <c r="M251" s="16">
        <f>IFERROR(__xludf.DUMMYFUNCTION("""COMPUTED_VALUE"""),0.372093023255813)</f>
        <v>0.3720930233</v>
      </c>
      <c r="N251" s="16">
        <f>IFERROR(__xludf.DUMMYFUNCTION("""COMPUTED_VALUE"""),0.38095238095238)</f>
        <v>0.380952381</v>
      </c>
      <c r="O251" s="16">
        <f>IFERROR(__xludf.DUMMYFUNCTION("""COMPUTED_VALUE"""),0.24)</f>
        <v>0.24</v>
      </c>
      <c r="P251" s="16">
        <f>IFERROR(__xludf.DUMMYFUNCTION("""COMPUTED_VALUE"""),0.0)</f>
        <v>0</v>
      </c>
      <c r="Q251" s="16">
        <f>IFERROR(__xludf.DUMMYFUNCTION("""COMPUTED_VALUE"""),0.0)</f>
        <v>0</v>
      </c>
      <c r="R251" s="16">
        <f>IFERROR(__xludf.DUMMYFUNCTION("""COMPUTED_VALUE"""),0.0)</f>
        <v>0</v>
      </c>
      <c r="S251" s="16">
        <f>IFERROR(__xludf.DUMMYFUNCTION("""COMPUTED_VALUE"""),0.0)</f>
        <v>0</v>
      </c>
      <c r="T251" s="16">
        <f>IFERROR(__xludf.DUMMYFUNCTION("""COMPUTED_VALUE"""),0.0)</f>
        <v>0</v>
      </c>
      <c r="U251" s="16">
        <f>IFERROR(__xludf.DUMMYFUNCTION("""COMPUTED_VALUE"""),0.0)</f>
        <v>0</v>
      </c>
      <c r="V251" s="16">
        <f>IFERROR(__xludf.DUMMYFUNCTION("""COMPUTED_VALUE"""),0.0)</f>
        <v>0</v>
      </c>
      <c r="W251" s="16">
        <f>IFERROR(__xludf.DUMMYFUNCTION("""COMPUTED_VALUE"""),0.0)</f>
        <v>0</v>
      </c>
      <c r="X251" s="16">
        <f>IFERROR(__xludf.DUMMYFUNCTION("""COMPUTED_VALUE"""),0.0)</f>
        <v>0</v>
      </c>
      <c r="Y251" s="16">
        <f>IFERROR(__xludf.DUMMYFUNCTION("""COMPUTED_VALUE"""),0.0)</f>
        <v>0</v>
      </c>
      <c r="Z251" s="16">
        <f>IFERROR(__xludf.DUMMYFUNCTION("""COMPUTED_VALUE"""),0.0)</f>
        <v>0</v>
      </c>
      <c r="AA251" s="16">
        <f>IFERROR(__xludf.DUMMYFUNCTION("""COMPUTED_VALUE"""),0.0)</f>
        <v>0</v>
      </c>
      <c r="AB251" s="16">
        <f>IFERROR(__xludf.DUMMYFUNCTION("""COMPUTED_VALUE"""),0.0)</f>
        <v>0</v>
      </c>
      <c r="AC251" s="16">
        <f>IFERROR(__xludf.DUMMYFUNCTION("""COMPUTED_VALUE"""),0.0)</f>
        <v>0</v>
      </c>
      <c r="AD251" s="16">
        <f>IFERROR(__xludf.DUMMYFUNCTION("""COMPUTED_VALUE"""),0.0)</f>
        <v>0</v>
      </c>
      <c r="AE251" s="16">
        <f>IFERROR(__xludf.DUMMYFUNCTION("""COMPUTED_VALUE"""),0.0)</f>
        <v>0</v>
      </c>
      <c r="AF251" s="16">
        <f>IFERROR(__xludf.DUMMYFUNCTION("""COMPUTED_VALUE"""),0.0)</f>
        <v>0</v>
      </c>
      <c r="AG251" s="16">
        <f>IFERROR(__xludf.DUMMYFUNCTION("""COMPUTED_VALUE"""),0.0)</f>
        <v>0</v>
      </c>
      <c r="AH251" s="16">
        <f>IFERROR(__xludf.DUMMYFUNCTION("""COMPUTED_VALUE"""),0.0)</f>
        <v>0</v>
      </c>
    </row>
    <row r="252">
      <c r="A252" s="16" t="str">
        <f>IFERROR(__xludf.DUMMYFUNCTION("""COMPUTED_VALUE"""),"dd0d8528366c7c3ca887a6491de9193ad2b5cea1")</f>
        <v>dd0d8528366c7c3ca887a6491de9193ad2b5cea1</v>
      </c>
      <c r="B252" s="16" t="str">
        <f>IFERROR(__xludf.DUMMYFUNCTION("""COMPUTED_VALUE"""),"Sovereign of All Beasts")</f>
        <v>Sovereign of All Beasts</v>
      </c>
      <c r="C252" s="16" t="str">
        <f>IFERROR(__xludf.DUMMYFUNCTION("""COMPUTED_VALUE"""),"Fantasy")</f>
        <v>Fantasy</v>
      </c>
      <c r="D252" s="16">
        <f>IFERROR(__xludf.DUMMYFUNCTION("""COMPUTED_VALUE"""),17.0)</f>
        <v>17</v>
      </c>
      <c r="E252" s="16">
        <f>IFERROR(__xludf.DUMMYFUNCTION("""COMPUTED_VALUE"""),1.0)</f>
        <v>1</v>
      </c>
      <c r="F252" s="16">
        <f>IFERROR(__xludf.DUMMYFUNCTION("""COMPUTED_VALUE"""),0.823529411764705)</f>
        <v>0.8235294118</v>
      </c>
      <c r="G252" s="16">
        <f>IFERROR(__xludf.DUMMYFUNCTION("""COMPUTED_VALUE"""),0.705882352941176)</f>
        <v>0.7058823529</v>
      </c>
      <c r="H252" s="16">
        <f>IFERROR(__xludf.DUMMYFUNCTION("""COMPUTED_VALUE"""),0.411764705882352)</f>
        <v>0.4117647059</v>
      </c>
      <c r="I252" s="16">
        <f>IFERROR(__xludf.DUMMYFUNCTION("""COMPUTED_VALUE"""),0.411764705882352)</f>
        <v>0.4117647059</v>
      </c>
      <c r="J252" s="16">
        <f>IFERROR(__xludf.DUMMYFUNCTION("""COMPUTED_VALUE"""),0.352941176470588)</f>
        <v>0.3529411765</v>
      </c>
      <c r="K252" s="16">
        <f>IFERROR(__xludf.DUMMYFUNCTION("""COMPUTED_VALUE"""),0.266666666666666)</f>
        <v>0.2666666667</v>
      </c>
      <c r="L252" s="16">
        <f>IFERROR(__xludf.DUMMYFUNCTION("""COMPUTED_VALUE"""),0.0833333333333333)</f>
        <v>0.08333333333</v>
      </c>
      <c r="M252" s="16">
        <f>IFERROR(__xludf.DUMMYFUNCTION("""COMPUTED_VALUE"""),0.1)</f>
        <v>0.1</v>
      </c>
      <c r="N252" s="16">
        <f>IFERROR(__xludf.DUMMYFUNCTION("""COMPUTED_VALUE"""),0.0)</f>
        <v>0</v>
      </c>
      <c r="O252" s="16">
        <f>IFERROR(__xludf.DUMMYFUNCTION("""COMPUTED_VALUE"""),0.0)</f>
        <v>0</v>
      </c>
      <c r="P252" s="16">
        <f>IFERROR(__xludf.DUMMYFUNCTION("""COMPUTED_VALUE"""),0.0)</f>
        <v>0</v>
      </c>
      <c r="Q252" s="16">
        <f>IFERROR(__xludf.DUMMYFUNCTION("""COMPUTED_VALUE"""),0.0)</f>
        <v>0</v>
      </c>
      <c r="R252" s="16">
        <f>IFERROR(__xludf.DUMMYFUNCTION("""COMPUTED_VALUE"""),0.0)</f>
        <v>0</v>
      </c>
      <c r="S252" s="16">
        <f>IFERROR(__xludf.DUMMYFUNCTION("""COMPUTED_VALUE"""),0.0)</f>
        <v>0</v>
      </c>
      <c r="T252" s="16">
        <f>IFERROR(__xludf.DUMMYFUNCTION("""COMPUTED_VALUE"""),0.0)</f>
        <v>0</v>
      </c>
      <c r="U252" s="16">
        <f>IFERROR(__xludf.DUMMYFUNCTION("""COMPUTED_VALUE"""),0.0)</f>
        <v>0</v>
      </c>
      <c r="V252" s="16">
        <f>IFERROR(__xludf.DUMMYFUNCTION("""COMPUTED_VALUE"""),0.0)</f>
        <v>0</v>
      </c>
      <c r="W252" s="16">
        <f>IFERROR(__xludf.DUMMYFUNCTION("""COMPUTED_VALUE"""),0.0)</f>
        <v>0</v>
      </c>
      <c r="X252" s="16">
        <f>IFERROR(__xludf.DUMMYFUNCTION("""COMPUTED_VALUE"""),0.0)</f>
        <v>0</v>
      </c>
      <c r="Y252" s="16">
        <f>IFERROR(__xludf.DUMMYFUNCTION("""COMPUTED_VALUE"""),0.0)</f>
        <v>0</v>
      </c>
      <c r="Z252" s="16">
        <f>IFERROR(__xludf.DUMMYFUNCTION("""COMPUTED_VALUE"""),0.0)</f>
        <v>0</v>
      </c>
      <c r="AA252" s="16">
        <f>IFERROR(__xludf.DUMMYFUNCTION("""COMPUTED_VALUE"""),0.0)</f>
        <v>0</v>
      </c>
      <c r="AB252" s="16">
        <f>IFERROR(__xludf.DUMMYFUNCTION("""COMPUTED_VALUE"""),0.0)</f>
        <v>0</v>
      </c>
      <c r="AC252" s="16">
        <f>IFERROR(__xludf.DUMMYFUNCTION("""COMPUTED_VALUE"""),0.0)</f>
        <v>0</v>
      </c>
      <c r="AD252" s="16">
        <f>IFERROR(__xludf.DUMMYFUNCTION("""COMPUTED_VALUE"""),0.0)</f>
        <v>0</v>
      </c>
      <c r="AE252" s="16">
        <f>IFERROR(__xludf.DUMMYFUNCTION("""COMPUTED_VALUE"""),0.0)</f>
        <v>0</v>
      </c>
      <c r="AF252" s="16">
        <f>IFERROR(__xludf.DUMMYFUNCTION("""COMPUTED_VALUE"""),0.0)</f>
        <v>0</v>
      </c>
      <c r="AG252" s="16">
        <f>IFERROR(__xludf.DUMMYFUNCTION("""COMPUTED_VALUE"""),0.0)</f>
        <v>0</v>
      </c>
      <c r="AH252" s="16">
        <f>IFERROR(__xludf.DUMMYFUNCTION("""COMPUTED_VALUE"""),0.0)</f>
        <v>0</v>
      </c>
    </row>
    <row r="253">
      <c r="A253" s="16" t="str">
        <f>IFERROR(__xludf.DUMMYFUNCTION("""COMPUTED_VALUE"""),"ddcfd794c1c386caa644e2b1d2379bfcd4efb154")</f>
        <v>ddcfd794c1c386caa644e2b1d2379bfcd4efb154</v>
      </c>
      <c r="B253" s="16" t="str">
        <f>IFERROR(__xludf.DUMMYFUNCTION("""COMPUTED_VALUE"""),"Tycoons Love Swindled")</f>
        <v>Tycoons Love Swindled</v>
      </c>
      <c r="C253" s="16" t="str">
        <f>IFERROR(__xludf.DUMMYFUNCTION("""COMPUTED_VALUE"""),"Drama")</f>
        <v>Drama</v>
      </c>
      <c r="D253" s="16">
        <f>IFERROR(__xludf.DUMMYFUNCTION("""COMPUTED_VALUE"""),108.0)</f>
        <v>108</v>
      </c>
      <c r="E253" s="16">
        <f>IFERROR(__xludf.DUMMYFUNCTION("""COMPUTED_VALUE"""),0.879629629629629)</f>
        <v>0.8796296296</v>
      </c>
      <c r="F253" s="16">
        <f>IFERROR(__xludf.DUMMYFUNCTION("""COMPUTED_VALUE"""),0.462962962962962)</f>
        <v>0.462962963</v>
      </c>
      <c r="G253" s="16">
        <f>IFERROR(__xludf.DUMMYFUNCTION("""COMPUTED_VALUE"""),0.37037037037037)</f>
        <v>0.3703703704</v>
      </c>
      <c r="H253" s="16">
        <f>IFERROR(__xludf.DUMMYFUNCTION("""COMPUTED_VALUE"""),0.342592592592592)</f>
        <v>0.3425925926</v>
      </c>
      <c r="I253" s="16">
        <f>IFERROR(__xludf.DUMMYFUNCTION("""COMPUTED_VALUE"""),0.361111111111111)</f>
        <v>0.3611111111</v>
      </c>
      <c r="J253" s="16">
        <f>IFERROR(__xludf.DUMMYFUNCTION("""COMPUTED_VALUE"""),0.330188679245283)</f>
        <v>0.3301886792</v>
      </c>
      <c r="K253" s="16">
        <f>IFERROR(__xludf.DUMMYFUNCTION("""COMPUTED_VALUE"""),0.269230769230769)</f>
        <v>0.2692307692</v>
      </c>
      <c r="L253" s="16">
        <f>IFERROR(__xludf.DUMMYFUNCTION("""COMPUTED_VALUE"""),0.284313725490196)</f>
        <v>0.2843137255</v>
      </c>
      <c r="M253" s="16">
        <f>IFERROR(__xludf.DUMMYFUNCTION("""COMPUTED_VALUE"""),0.232323232323232)</f>
        <v>0.2323232323</v>
      </c>
      <c r="N253" s="16">
        <f>IFERROR(__xludf.DUMMYFUNCTION("""COMPUTED_VALUE"""),0.252631578947368)</f>
        <v>0.2526315789</v>
      </c>
      <c r="O253" s="16">
        <f>IFERROR(__xludf.DUMMYFUNCTION("""COMPUTED_VALUE"""),0.296296296296296)</f>
        <v>0.2962962963</v>
      </c>
      <c r="P253" s="16">
        <f>IFERROR(__xludf.DUMMYFUNCTION("""COMPUTED_VALUE"""),0.107692307692307)</f>
        <v>0.1076923077</v>
      </c>
      <c r="Q253" s="16">
        <f>IFERROR(__xludf.DUMMYFUNCTION("""COMPUTED_VALUE"""),0.0192307692307692)</f>
        <v>0.01923076923</v>
      </c>
      <c r="R253" s="16">
        <f>IFERROR(__xludf.DUMMYFUNCTION("""COMPUTED_VALUE"""),0.0232558139534883)</f>
        <v>0.02325581395</v>
      </c>
      <c r="S253" s="16">
        <f>IFERROR(__xludf.DUMMYFUNCTION("""COMPUTED_VALUE"""),0.0)</f>
        <v>0</v>
      </c>
      <c r="T253" s="16">
        <f>IFERROR(__xludf.DUMMYFUNCTION("""COMPUTED_VALUE"""),0.0)</f>
        <v>0</v>
      </c>
      <c r="U253" s="16">
        <f>IFERROR(__xludf.DUMMYFUNCTION("""COMPUTED_VALUE"""),0.0)</f>
        <v>0</v>
      </c>
      <c r="V253" s="16">
        <f>IFERROR(__xludf.DUMMYFUNCTION("""COMPUTED_VALUE"""),0.0)</f>
        <v>0</v>
      </c>
      <c r="W253" s="16">
        <f>IFERROR(__xludf.DUMMYFUNCTION("""COMPUTED_VALUE"""),0.0)</f>
        <v>0</v>
      </c>
      <c r="X253" s="16">
        <f>IFERROR(__xludf.DUMMYFUNCTION("""COMPUTED_VALUE"""),0.0)</f>
        <v>0</v>
      </c>
      <c r="Y253" s="16">
        <f>IFERROR(__xludf.DUMMYFUNCTION("""COMPUTED_VALUE"""),0.0)</f>
        <v>0</v>
      </c>
      <c r="Z253" s="16">
        <f>IFERROR(__xludf.DUMMYFUNCTION("""COMPUTED_VALUE"""),0.0)</f>
        <v>0</v>
      </c>
      <c r="AA253" s="16">
        <f>IFERROR(__xludf.DUMMYFUNCTION("""COMPUTED_VALUE"""),0.0)</f>
        <v>0</v>
      </c>
      <c r="AB253" s="16">
        <f>IFERROR(__xludf.DUMMYFUNCTION("""COMPUTED_VALUE"""),0.0)</f>
        <v>0</v>
      </c>
      <c r="AC253" s="16">
        <f>IFERROR(__xludf.DUMMYFUNCTION("""COMPUTED_VALUE"""),0.0)</f>
        <v>0</v>
      </c>
      <c r="AD253" s="16">
        <f>IFERROR(__xludf.DUMMYFUNCTION("""COMPUTED_VALUE"""),0.0)</f>
        <v>0</v>
      </c>
      <c r="AE253" s="16">
        <f>IFERROR(__xludf.DUMMYFUNCTION("""COMPUTED_VALUE"""),0.0)</f>
        <v>0</v>
      </c>
      <c r="AF253" s="16">
        <f>IFERROR(__xludf.DUMMYFUNCTION("""COMPUTED_VALUE"""),0.0)</f>
        <v>0</v>
      </c>
      <c r="AG253" s="16">
        <f>IFERROR(__xludf.DUMMYFUNCTION("""COMPUTED_VALUE"""),0.0)</f>
        <v>0</v>
      </c>
      <c r="AH253" s="16">
        <f>IFERROR(__xludf.DUMMYFUNCTION("""COMPUTED_VALUE"""),0.0)</f>
        <v>0</v>
      </c>
    </row>
    <row r="254">
      <c r="A254" s="16" t="str">
        <f>IFERROR(__xludf.DUMMYFUNCTION("""COMPUTED_VALUE"""),"de862851ca66c0ec5a982ecfe58d14472093a185")</f>
        <v>de862851ca66c0ec5a982ecfe58d14472093a185</v>
      </c>
      <c r="B254" s="16" t="str">
        <f>IFERROR(__xludf.DUMMYFUNCTION("""COMPUTED_VALUE"""),"From Trash to a Legend")</f>
        <v>From Trash to a Legend</v>
      </c>
      <c r="C254" s="16" t="str">
        <f>IFERROR(__xludf.DUMMYFUNCTION("""COMPUTED_VALUE"""),"System and Superpower")</f>
        <v>System and Superpower</v>
      </c>
      <c r="D254" s="16">
        <f>IFERROR(__xludf.DUMMYFUNCTION("""COMPUTED_VALUE"""),87.0)</f>
        <v>87</v>
      </c>
      <c r="E254" s="16">
        <f>IFERROR(__xludf.DUMMYFUNCTION("""COMPUTED_VALUE"""),0.954022988505747)</f>
        <v>0.9540229885</v>
      </c>
      <c r="F254" s="16">
        <f>IFERROR(__xludf.DUMMYFUNCTION("""COMPUTED_VALUE"""),0.655172413793103)</f>
        <v>0.6551724138</v>
      </c>
      <c r="G254" s="16">
        <f>IFERROR(__xludf.DUMMYFUNCTION("""COMPUTED_VALUE"""),0.60919540229885)</f>
        <v>0.6091954023</v>
      </c>
      <c r="H254" s="16">
        <f>IFERROR(__xludf.DUMMYFUNCTION("""COMPUTED_VALUE"""),0.597701149425287)</f>
        <v>0.5977011494</v>
      </c>
      <c r="I254" s="16">
        <f>IFERROR(__xludf.DUMMYFUNCTION("""COMPUTED_VALUE"""),0.540229885057471)</f>
        <v>0.5402298851</v>
      </c>
      <c r="J254" s="16">
        <f>IFERROR(__xludf.DUMMYFUNCTION("""COMPUTED_VALUE"""),0.540229885057471)</f>
        <v>0.5402298851</v>
      </c>
      <c r="K254" s="16">
        <f>IFERROR(__xludf.DUMMYFUNCTION("""COMPUTED_VALUE"""),0.494252873563218)</f>
        <v>0.4942528736</v>
      </c>
      <c r="L254" s="16">
        <f>IFERROR(__xludf.DUMMYFUNCTION("""COMPUTED_VALUE"""),0.482758620689655)</f>
        <v>0.4827586207</v>
      </c>
      <c r="M254" s="16">
        <f>IFERROR(__xludf.DUMMYFUNCTION("""COMPUTED_VALUE"""),0.459770114942528)</f>
        <v>0.4597701149</v>
      </c>
      <c r="N254" s="16">
        <f>IFERROR(__xludf.DUMMYFUNCTION("""COMPUTED_VALUE"""),0.476744186046511)</f>
        <v>0.476744186</v>
      </c>
      <c r="O254" s="16">
        <f>IFERROR(__xludf.DUMMYFUNCTION("""COMPUTED_VALUE"""),0.32)</f>
        <v>0.32</v>
      </c>
      <c r="P254" s="16">
        <f>IFERROR(__xludf.DUMMYFUNCTION("""COMPUTED_VALUE"""),0.291666666666666)</f>
        <v>0.2916666667</v>
      </c>
      <c r="Q254" s="16">
        <f>IFERROR(__xludf.DUMMYFUNCTION("""COMPUTED_VALUE"""),0.0)</f>
        <v>0</v>
      </c>
      <c r="R254" s="16">
        <f>IFERROR(__xludf.DUMMYFUNCTION("""COMPUTED_VALUE"""),0.0)</f>
        <v>0</v>
      </c>
      <c r="S254" s="16">
        <f>IFERROR(__xludf.DUMMYFUNCTION("""COMPUTED_VALUE"""),0.0)</f>
        <v>0</v>
      </c>
      <c r="T254" s="16">
        <f>IFERROR(__xludf.DUMMYFUNCTION("""COMPUTED_VALUE"""),0.0)</f>
        <v>0</v>
      </c>
      <c r="U254" s="16">
        <f>IFERROR(__xludf.DUMMYFUNCTION("""COMPUTED_VALUE"""),0.0)</f>
        <v>0</v>
      </c>
      <c r="V254" s="16">
        <f>IFERROR(__xludf.DUMMYFUNCTION("""COMPUTED_VALUE"""),0.0)</f>
        <v>0</v>
      </c>
      <c r="W254" s="16">
        <f>IFERROR(__xludf.DUMMYFUNCTION("""COMPUTED_VALUE"""),0.0)</f>
        <v>0</v>
      </c>
      <c r="X254" s="16">
        <f>IFERROR(__xludf.DUMMYFUNCTION("""COMPUTED_VALUE"""),0.0)</f>
        <v>0</v>
      </c>
      <c r="Y254" s="16">
        <f>IFERROR(__xludf.DUMMYFUNCTION("""COMPUTED_VALUE"""),0.0)</f>
        <v>0</v>
      </c>
      <c r="Z254" s="16">
        <f>IFERROR(__xludf.DUMMYFUNCTION("""COMPUTED_VALUE"""),0.0)</f>
        <v>0</v>
      </c>
      <c r="AA254" s="16">
        <f>IFERROR(__xludf.DUMMYFUNCTION("""COMPUTED_VALUE"""),0.0)</f>
        <v>0</v>
      </c>
      <c r="AB254" s="16">
        <f>IFERROR(__xludf.DUMMYFUNCTION("""COMPUTED_VALUE"""),0.0)</f>
        <v>0</v>
      </c>
      <c r="AC254" s="16">
        <f>IFERROR(__xludf.DUMMYFUNCTION("""COMPUTED_VALUE"""),0.0)</f>
        <v>0</v>
      </c>
      <c r="AD254" s="16">
        <f>IFERROR(__xludf.DUMMYFUNCTION("""COMPUTED_VALUE"""),0.0)</f>
        <v>0</v>
      </c>
      <c r="AE254" s="16">
        <f>IFERROR(__xludf.DUMMYFUNCTION("""COMPUTED_VALUE"""),0.0)</f>
        <v>0</v>
      </c>
      <c r="AF254" s="16">
        <f>IFERROR(__xludf.DUMMYFUNCTION("""COMPUTED_VALUE"""),0.0)</f>
        <v>0</v>
      </c>
      <c r="AG254" s="16">
        <f>IFERROR(__xludf.DUMMYFUNCTION("""COMPUTED_VALUE"""),0.0)</f>
        <v>0</v>
      </c>
      <c r="AH254" s="16">
        <f>IFERROR(__xludf.DUMMYFUNCTION("""COMPUTED_VALUE"""),0.0)</f>
        <v>0</v>
      </c>
    </row>
    <row r="255">
      <c r="A255" s="16" t="str">
        <f>IFERROR(__xludf.DUMMYFUNCTION("""COMPUTED_VALUE"""),"df497806d02c2dcc2e8f8e790fcc3fb9e72f8166")</f>
        <v>df497806d02c2dcc2e8f8e790fcc3fb9e72f8166</v>
      </c>
      <c r="B255" s="16" t="str">
        <f>IFERROR(__xludf.DUMMYFUNCTION("""COMPUTED_VALUE"""),"Never Letting You Go")</f>
        <v>Never Letting You Go</v>
      </c>
      <c r="C255" s="16" t="str">
        <f>IFERROR(__xludf.DUMMYFUNCTION("""COMPUTED_VALUE"""),"Romance")</f>
        <v>Romance</v>
      </c>
      <c r="D255" s="16">
        <f>IFERROR(__xludf.DUMMYFUNCTION("""COMPUTED_VALUE"""),361.0)</f>
        <v>361</v>
      </c>
      <c r="E255" s="16">
        <f>IFERROR(__xludf.DUMMYFUNCTION("""COMPUTED_VALUE"""),0.96398891966759)</f>
        <v>0.9639889197</v>
      </c>
      <c r="F255" s="16">
        <f>IFERROR(__xludf.DUMMYFUNCTION("""COMPUTED_VALUE"""),0.498614958448753)</f>
        <v>0.4986149584</v>
      </c>
      <c r="G255" s="16">
        <f>IFERROR(__xludf.DUMMYFUNCTION("""COMPUTED_VALUE"""),0.443213296398891)</f>
        <v>0.4432132964</v>
      </c>
      <c r="H255" s="16">
        <f>IFERROR(__xludf.DUMMYFUNCTION("""COMPUTED_VALUE"""),0.384401114206128)</f>
        <v>0.3844011142</v>
      </c>
      <c r="I255" s="16">
        <f>IFERROR(__xludf.DUMMYFUNCTION("""COMPUTED_VALUE"""),0.3268156424581)</f>
        <v>0.3268156425</v>
      </c>
      <c r="J255" s="16">
        <f>IFERROR(__xludf.DUMMYFUNCTION("""COMPUTED_VALUE"""),0.314606741573033)</f>
        <v>0.3146067416</v>
      </c>
      <c r="K255" s="16">
        <f>IFERROR(__xludf.DUMMYFUNCTION("""COMPUTED_VALUE"""),0.28)</f>
        <v>0.28</v>
      </c>
      <c r="L255" s="16">
        <f>IFERROR(__xludf.DUMMYFUNCTION("""COMPUTED_VALUE"""),0.255882352941176)</f>
        <v>0.2558823529</v>
      </c>
      <c r="M255" s="16">
        <f>IFERROR(__xludf.DUMMYFUNCTION("""COMPUTED_VALUE"""),0.244712990936555)</f>
        <v>0.2447129909</v>
      </c>
      <c r="N255" s="16">
        <f>IFERROR(__xludf.DUMMYFUNCTION("""COMPUTED_VALUE"""),0.23125)</f>
        <v>0.23125</v>
      </c>
      <c r="O255" s="16">
        <f>IFERROR(__xludf.DUMMYFUNCTION("""COMPUTED_VALUE"""),0.20242914979757)</f>
        <v>0.2024291498</v>
      </c>
      <c r="P255" s="16">
        <f>IFERROR(__xludf.DUMMYFUNCTION("""COMPUTED_VALUE"""),0.12087912087912)</f>
        <v>0.1208791209</v>
      </c>
      <c r="Q255" s="16">
        <f>IFERROR(__xludf.DUMMYFUNCTION("""COMPUTED_VALUE"""),0.074074074074074)</f>
        <v>0.07407407407</v>
      </c>
      <c r="R255" s="16">
        <f>IFERROR(__xludf.DUMMYFUNCTION("""COMPUTED_VALUE"""),0.0)</f>
        <v>0</v>
      </c>
      <c r="S255" s="16">
        <f>IFERROR(__xludf.DUMMYFUNCTION("""COMPUTED_VALUE"""),0.0)</f>
        <v>0</v>
      </c>
      <c r="T255" s="16">
        <f>IFERROR(__xludf.DUMMYFUNCTION("""COMPUTED_VALUE"""),0.0)</f>
        <v>0</v>
      </c>
      <c r="U255" s="16">
        <f>IFERROR(__xludf.DUMMYFUNCTION("""COMPUTED_VALUE"""),0.0)</f>
        <v>0</v>
      </c>
      <c r="V255" s="16">
        <f>IFERROR(__xludf.DUMMYFUNCTION("""COMPUTED_VALUE"""),0.0)</f>
        <v>0</v>
      </c>
      <c r="W255" s="16">
        <f>IFERROR(__xludf.DUMMYFUNCTION("""COMPUTED_VALUE"""),0.0)</f>
        <v>0</v>
      </c>
      <c r="X255" s="16">
        <f>IFERROR(__xludf.DUMMYFUNCTION("""COMPUTED_VALUE"""),0.0)</f>
        <v>0</v>
      </c>
      <c r="Y255" s="16">
        <f>IFERROR(__xludf.DUMMYFUNCTION("""COMPUTED_VALUE"""),0.0)</f>
        <v>0</v>
      </c>
      <c r="Z255" s="16">
        <f>IFERROR(__xludf.DUMMYFUNCTION("""COMPUTED_VALUE"""),0.0)</f>
        <v>0</v>
      </c>
      <c r="AA255" s="16">
        <f>IFERROR(__xludf.DUMMYFUNCTION("""COMPUTED_VALUE"""),0.0)</f>
        <v>0</v>
      </c>
      <c r="AB255" s="16">
        <f>IFERROR(__xludf.DUMMYFUNCTION("""COMPUTED_VALUE"""),0.0)</f>
        <v>0</v>
      </c>
      <c r="AC255" s="16">
        <f>IFERROR(__xludf.DUMMYFUNCTION("""COMPUTED_VALUE"""),0.0)</f>
        <v>0</v>
      </c>
      <c r="AD255" s="16">
        <f>IFERROR(__xludf.DUMMYFUNCTION("""COMPUTED_VALUE"""),0.0)</f>
        <v>0</v>
      </c>
      <c r="AE255" s="16">
        <f>IFERROR(__xludf.DUMMYFUNCTION("""COMPUTED_VALUE"""),0.0)</f>
        <v>0</v>
      </c>
      <c r="AF255" s="16">
        <f>IFERROR(__xludf.DUMMYFUNCTION("""COMPUTED_VALUE"""),0.0)</f>
        <v>0</v>
      </c>
      <c r="AG255" s="16">
        <f>IFERROR(__xludf.DUMMYFUNCTION("""COMPUTED_VALUE"""),0.0)</f>
        <v>0</v>
      </c>
      <c r="AH255" s="16">
        <f>IFERROR(__xludf.DUMMYFUNCTION("""COMPUTED_VALUE"""),0.0)</f>
        <v>0</v>
      </c>
    </row>
    <row r="256">
      <c r="A256" s="16" t="str">
        <f>IFERROR(__xludf.DUMMYFUNCTION("""COMPUTED_VALUE"""),"e0cc4d535444616635b899b0d8d7d34e8dde5fa7")</f>
        <v>e0cc4d535444616635b899b0d8d7d34e8dde5fa7</v>
      </c>
      <c r="B256" s="16" t="str">
        <f>IFERROR(__xludf.DUMMYFUNCTION("""COMPUTED_VALUE"""),"Fated Bond")</f>
        <v>Fated Bond</v>
      </c>
      <c r="C256" s="16" t="str">
        <f>IFERROR(__xludf.DUMMYFUNCTION("""COMPUTED_VALUE"""),"Romantasy")</f>
        <v>Romantasy</v>
      </c>
      <c r="D256" s="16">
        <f>IFERROR(__xludf.DUMMYFUNCTION("""COMPUTED_VALUE"""),4440.0)</f>
        <v>4440</v>
      </c>
      <c r="E256" s="16">
        <f>IFERROR(__xludf.DUMMYFUNCTION("""COMPUTED_VALUE"""),0.954504504504504)</f>
        <v>0.9545045045</v>
      </c>
      <c r="F256" s="16">
        <f>IFERROR(__xludf.DUMMYFUNCTION("""COMPUTED_VALUE"""),0.442792792792792)</f>
        <v>0.4427927928</v>
      </c>
      <c r="G256" s="16">
        <f>IFERROR(__xludf.DUMMYFUNCTION("""COMPUTED_VALUE"""),0.375225225225225)</f>
        <v>0.3752252252</v>
      </c>
      <c r="H256" s="16">
        <f>IFERROR(__xludf.DUMMYFUNCTION("""COMPUTED_VALUE"""),0.338063063063063)</f>
        <v>0.3380630631</v>
      </c>
      <c r="I256" s="16">
        <f>IFERROR(__xludf.DUMMYFUNCTION("""COMPUTED_VALUE"""),0.320559062218214)</f>
        <v>0.3205590622</v>
      </c>
      <c r="J256" s="16">
        <f>IFERROR(__xludf.DUMMYFUNCTION("""COMPUTED_VALUE"""),0.302886783942264)</f>
        <v>0.3028867839</v>
      </c>
      <c r="K256" s="16">
        <f>IFERROR(__xludf.DUMMYFUNCTION("""COMPUTED_VALUE"""),0.287037037037037)</f>
        <v>0.287037037</v>
      </c>
      <c r="L256" s="16">
        <f>IFERROR(__xludf.DUMMYFUNCTION("""COMPUTED_VALUE"""),0.279348563673377)</f>
        <v>0.2793485637</v>
      </c>
      <c r="M256" s="16">
        <f>IFERROR(__xludf.DUMMYFUNCTION("""COMPUTED_VALUE"""),0.272232304900181)</f>
        <v>0.2722323049</v>
      </c>
      <c r="N256" s="16">
        <f>IFERROR(__xludf.DUMMYFUNCTION("""COMPUTED_VALUE"""),0.267243341679945)</f>
        <v>0.2672433417</v>
      </c>
      <c r="O256" s="16">
        <f>IFERROR(__xludf.DUMMYFUNCTION("""COMPUTED_VALUE"""),0.257318224740321)</f>
        <v>0.2573182247</v>
      </c>
      <c r="P256" s="16">
        <f>IFERROR(__xludf.DUMMYFUNCTION("""COMPUTED_VALUE"""),0.21865520728008)</f>
        <v>0.2186552073</v>
      </c>
      <c r="Q256" s="16">
        <f>IFERROR(__xludf.DUMMYFUNCTION("""COMPUTED_VALUE"""),0.192605331040412)</f>
        <v>0.192605331</v>
      </c>
      <c r="R256" s="16">
        <f>IFERROR(__xludf.DUMMYFUNCTION("""COMPUTED_VALUE"""),0.146571213262999)</f>
        <v>0.1465712133</v>
      </c>
      <c r="S256" s="16">
        <f>IFERROR(__xludf.DUMMYFUNCTION("""COMPUTED_VALUE"""),0.100369458128078)</f>
        <v>0.1003694581</v>
      </c>
      <c r="T256" s="16">
        <f>IFERROR(__xludf.DUMMYFUNCTION("""COMPUTED_VALUE"""),0.0746855345911949)</f>
        <v>0.07468553459</v>
      </c>
      <c r="U256" s="16">
        <f>IFERROR(__xludf.DUMMYFUNCTION("""COMPUTED_VALUE"""),0.0500963391136801)</f>
        <v>0.05009633911</v>
      </c>
      <c r="V256" s="16">
        <f>IFERROR(__xludf.DUMMYFUNCTION("""COMPUTED_VALUE"""),0.0414394765539803)</f>
        <v>0.04143947655</v>
      </c>
      <c r="W256" s="16">
        <f>IFERROR(__xludf.DUMMYFUNCTION("""COMPUTED_VALUE"""),0.0242038216560509)</f>
        <v>0.02420382166</v>
      </c>
      <c r="X256" s="16">
        <f>IFERROR(__xludf.DUMMYFUNCTION("""COMPUTED_VALUE"""),0.0061823802163833)</f>
        <v>0.006182380216</v>
      </c>
      <c r="Y256" s="16">
        <f>IFERROR(__xludf.DUMMYFUNCTION("""COMPUTED_VALUE"""),0.016)</f>
        <v>0.016</v>
      </c>
      <c r="Z256" s="16">
        <f>IFERROR(__xludf.DUMMYFUNCTION("""COMPUTED_VALUE"""),0.0)</f>
        <v>0</v>
      </c>
      <c r="AA256" s="16">
        <f>IFERROR(__xludf.DUMMYFUNCTION("""COMPUTED_VALUE"""),0.0)</f>
        <v>0</v>
      </c>
      <c r="AB256" s="16">
        <f>IFERROR(__xludf.DUMMYFUNCTION("""COMPUTED_VALUE"""),0.0)</f>
        <v>0</v>
      </c>
      <c r="AC256" s="16">
        <f>IFERROR(__xludf.DUMMYFUNCTION("""COMPUTED_VALUE"""),0.0)</f>
        <v>0</v>
      </c>
      <c r="AD256" s="16">
        <f>IFERROR(__xludf.DUMMYFUNCTION("""COMPUTED_VALUE"""),0.0)</f>
        <v>0</v>
      </c>
      <c r="AE256" s="16">
        <f>IFERROR(__xludf.DUMMYFUNCTION("""COMPUTED_VALUE"""),0.0)</f>
        <v>0</v>
      </c>
      <c r="AF256" s="16">
        <f>IFERROR(__xludf.DUMMYFUNCTION("""COMPUTED_VALUE"""),0.0)</f>
        <v>0</v>
      </c>
      <c r="AG256" s="16">
        <f>IFERROR(__xludf.DUMMYFUNCTION("""COMPUTED_VALUE"""),0.0)</f>
        <v>0</v>
      </c>
      <c r="AH256" s="16">
        <f>IFERROR(__xludf.DUMMYFUNCTION("""COMPUTED_VALUE"""),0.0)</f>
        <v>0</v>
      </c>
    </row>
    <row r="257">
      <c r="A257" s="16" t="str">
        <f>IFERROR(__xludf.DUMMYFUNCTION("""COMPUTED_VALUE"""),"e0df7c51c42acc2ebb07fef0853244b617b34a0a")</f>
        <v>e0df7c51c42acc2ebb07fef0853244b617b34a0a</v>
      </c>
      <c r="B257" s="16" t="str">
        <f>IFERROR(__xludf.DUMMYFUNCTION("""COMPUTED_VALUE"""),"Hunted by the Alpha")</f>
        <v>Hunted by the Alpha</v>
      </c>
      <c r="C257" s="16" t="str">
        <f>IFERROR(__xludf.DUMMYFUNCTION("""COMPUTED_VALUE"""),"Romantasy")</f>
        <v>Romantasy</v>
      </c>
      <c r="D257" s="16">
        <f>IFERROR(__xludf.DUMMYFUNCTION("""COMPUTED_VALUE"""),3978.0)</f>
        <v>3978</v>
      </c>
      <c r="E257" s="16">
        <f>IFERROR(__xludf.DUMMYFUNCTION("""COMPUTED_VALUE"""),0.974358974358974)</f>
        <v>0.9743589744</v>
      </c>
      <c r="F257" s="16">
        <f>IFERROR(__xludf.DUMMYFUNCTION("""COMPUTED_VALUE"""),0.437405731523378)</f>
        <v>0.4374057315</v>
      </c>
      <c r="G257" s="16">
        <f>IFERROR(__xludf.DUMMYFUNCTION("""COMPUTED_VALUE"""),0.369532428355957)</f>
        <v>0.3695324284</v>
      </c>
      <c r="H257" s="16">
        <f>IFERROR(__xludf.DUMMYFUNCTION("""COMPUTED_VALUE"""),0.342224458983392)</f>
        <v>0.342224459</v>
      </c>
      <c r="I257" s="16">
        <f>IFERROR(__xludf.DUMMYFUNCTION("""COMPUTED_VALUE"""),0.321401562893874)</f>
        <v>0.3214015629</v>
      </c>
      <c r="J257" s="16">
        <f>IFERROR(__xludf.DUMMYFUNCTION("""COMPUTED_VALUE"""),0.302448876546326)</f>
        <v>0.3024488765</v>
      </c>
      <c r="K257" s="16">
        <f>IFERROR(__xludf.DUMMYFUNCTION("""COMPUTED_VALUE"""),0.278481012658227)</f>
        <v>0.2784810127</v>
      </c>
      <c r="L257" s="16">
        <f>IFERROR(__xludf.DUMMYFUNCTION("""COMPUTED_VALUE"""),0.257548845470692)</f>
        <v>0.2575488455</v>
      </c>
      <c r="M257" s="16">
        <f>IFERROR(__xludf.DUMMYFUNCTION("""COMPUTED_VALUE"""),0.254081632653061)</f>
        <v>0.2540816327</v>
      </c>
      <c r="N257" s="16">
        <f>IFERROR(__xludf.DUMMYFUNCTION("""COMPUTED_VALUE"""),0.241593378168649)</f>
        <v>0.2415933782</v>
      </c>
      <c r="O257" s="16">
        <f>IFERROR(__xludf.DUMMYFUNCTION("""COMPUTED_VALUE"""),0.207738095238095)</f>
        <v>0.2077380952</v>
      </c>
      <c r="P257" s="16">
        <f>IFERROR(__xludf.DUMMYFUNCTION("""COMPUTED_VALUE"""),0.169172932330827)</f>
        <v>0.1691729323</v>
      </c>
      <c r="Q257" s="16">
        <f>IFERROR(__xludf.DUMMYFUNCTION("""COMPUTED_VALUE"""),0.111913357400722)</f>
        <v>0.1119133574</v>
      </c>
      <c r="R257" s="16">
        <f>IFERROR(__xludf.DUMMYFUNCTION("""COMPUTED_VALUE"""),0.0)</f>
        <v>0</v>
      </c>
      <c r="S257" s="16">
        <f>IFERROR(__xludf.DUMMYFUNCTION("""COMPUTED_VALUE"""),0.0)</f>
        <v>0</v>
      </c>
      <c r="T257" s="16">
        <f>IFERROR(__xludf.DUMMYFUNCTION("""COMPUTED_VALUE"""),0.0)</f>
        <v>0</v>
      </c>
      <c r="U257" s="16">
        <f>IFERROR(__xludf.DUMMYFUNCTION("""COMPUTED_VALUE"""),0.0)</f>
        <v>0</v>
      </c>
      <c r="V257" s="16">
        <f>IFERROR(__xludf.DUMMYFUNCTION("""COMPUTED_VALUE"""),0.0)</f>
        <v>0</v>
      </c>
      <c r="W257" s="16">
        <f>IFERROR(__xludf.DUMMYFUNCTION("""COMPUTED_VALUE"""),0.0)</f>
        <v>0</v>
      </c>
      <c r="X257" s="16">
        <f>IFERROR(__xludf.DUMMYFUNCTION("""COMPUTED_VALUE"""),0.0)</f>
        <v>0</v>
      </c>
      <c r="Y257" s="16">
        <f>IFERROR(__xludf.DUMMYFUNCTION("""COMPUTED_VALUE"""),0.0)</f>
        <v>0</v>
      </c>
      <c r="Z257" s="16">
        <f>IFERROR(__xludf.DUMMYFUNCTION("""COMPUTED_VALUE"""),0.0)</f>
        <v>0</v>
      </c>
      <c r="AA257" s="16">
        <f>IFERROR(__xludf.DUMMYFUNCTION("""COMPUTED_VALUE"""),0.0)</f>
        <v>0</v>
      </c>
      <c r="AB257" s="16">
        <f>IFERROR(__xludf.DUMMYFUNCTION("""COMPUTED_VALUE"""),0.0)</f>
        <v>0</v>
      </c>
      <c r="AC257" s="16">
        <f>IFERROR(__xludf.DUMMYFUNCTION("""COMPUTED_VALUE"""),0.0)</f>
        <v>0</v>
      </c>
      <c r="AD257" s="16">
        <f>IFERROR(__xludf.DUMMYFUNCTION("""COMPUTED_VALUE"""),0.0)</f>
        <v>0</v>
      </c>
      <c r="AE257" s="16">
        <f>IFERROR(__xludf.DUMMYFUNCTION("""COMPUTED_VALUE"""),0.0)</f>
        <v>0</v>
      </c>
      <c r="AF257" s="16">
        <f>IFERROR(__xludf.DUMMYFUNCTION("""COMPUTED_VALUE"""),0.0)</f>
        <v>0</v>
      </c>
      <c r="AG257" s="16">
        <f>IFERROR(__xludf.DUMMYFUNCTION("""COMPUTED_VALUE"""),0.0)</f>
        <v>0</v>
      </c>
      <c r="AH257" s="16">
        <f>IFERROR(__xludf.DUMMYFUNCTION("""COMPUTED_VALUE"""),0.0)</f>
        <v>0</v>
      </c>
    </row>
    <row r="258">
      <c r="A258" s="16" t="str">
        <f>IFERROR(__xludf.DUMMYFUNCTION("""COMPUTED_VALUE"""),"e168f716089521f9d1fe95769f273458c64e2ba9")</f>
        <v>e168f716089521f9d1fe95769f273458c64e2ba9</v>
      </c>
      <c r="B258" s="16" t="str">
        <f>IFERROR(__xludf.DUMMYFUNCTION("""COMPUTED_VALUE"""),"My Young Bodyguard")</f>
        <v>My Young Bodyguard</v>
      </c>
      <c r="C258" s="16" t="str">
        <f>IFERROR(__xludf.DUMMYFUNCTION("""COMPUTED_VALUE"""),"Drama")</f>
        <v>Drama</v>
      </c>
      <c r="D258" s="16">
        <f>IFERROR(__xludf.DUMMYFUNCTION("""COMPUTED_VALUE"""),172.0)</f>
        <v>172</v>
      </c>
      <c r="E258" s="16">
        <f>IFERROR(__xludf.DUMMYFUNCTION("""COMPUTED_VALUE"""),0.976744186046511)</f>
        <v>0.976744186</v>
      </c>
      <c r="F258" s="16">
        <f>IFERROR(__xludf.DUMMYFUNCTION("""COMPUTED_VALUE"""),0.377906976744186)</f>
        <v>0.3779069767</v>
      </c>
      <c r="G258" s="16">
        <f>IFERROR(__xludf.DUMMYFUNCTION("""COMPUTED_VALUE"""),0.302325581395348)</f>
        <v>0.3023255814</v>
      </c>
      <c r="H258" s="16">
        <f>IFERROR(__xludf.DUMMYFUNCTION("""COMPUTED_VALUE"""),0.267441860465116)</f>
        <v>0.2674418605</v>
      </c>
      <c r="I258" s="16">
        <f>IFERROR(__xludf.DUMMYFUNCTION("""COMPUTED_VALUE"""),0.245614035087719)</f>
        <v>0.2456140351</v>
      </c>
      <c r="J258" s="16">
        <f>IFERROR(__xludf.DUMMYFUNCTION("""COMPUTED_VALUE"""),0.239766081871345)</f>
        <v>0.2397660819</v>
      </c>
      <c r="K258" s="16">
        <f>IFERROR(__xludf.DUMMYFUNCTION("""COMPUTED_VALUE"""),0.216374269005847)</f>
        <v>0.216374269</v>
      </c>
      <c r="L258" s="16">
        <f>IFERROR(__xludf.DUMMYFUNCTION("""COMPUTED_VALUE"""),0.202380952380952)</f>
        <v>0.2023809524</v>
      </c>
      <c r="M258" s="16">
        <f>IFERROR(__xludf.DUMMYFUNCTION("""COMPUTED_VALUE"""),0.179640718562874)</f>
        <v>0.1796407186</v>
      </c>
      <c r="N258" s="16">
        <f>IFERROR(__xludf.DUMMYFUNCTION("""COMPUTED_VALUE"""),0.153374233128834)</f>
        <v>0.1533742331</v>
      </c>
      <c r="O258" s="16">
        <f>IFERROR(__xludf.DUMMYFUNCTION("""COMPUTED_VALUE"""),0.130434782608695)</f>
        <v>0.1304347826</v>
      </c>
      <c r="P258" s="16">
        <f>IFERROR(__xludf.DUMMYFUNCTION("""COMPUTED_VALUE"""),0.0982142857142857)</f>
        <v>0.09821428571</v>
      </c>
      <c r="Q258" s="16">
        <f>IFERROR(__xludf.DUMMYFUNCTION("""COMPUTED_VALUE"""),0.0909090909090909)</f>
        <v>0.09090909091</v>
      </c>
      <c r="R258" s="16">
        <f>IFERROR(__xludf.DUMMYFUNCTION("""COMPUTED_VALUE"""),0.0)</f>
        <v>0</v>
      </c>
      <c r="S258" s="16">
        <f>IFERROR(__xludf.DUMMYFUNCTION("""COMPUTED_VALUE"""),0.0)</f>
        <v>0</v>
      </c>
      <c r="T258" s="16">
        <f>IFERROR(__xludf.DUMMYFUNCTION("""COMPUTED_VALUE"""),0.0)</f>
        <v>0</v>
      </c>
      <c r="U258" s="16">
        <f>IFERROR(__xludf.DUMMYFUNCTION("""COMPUTED_VALUE"""),0.0)</f>
        <v>0</v>
      </c>
      <c r="V258" s="16">
        <f>IFERROR(__xludf.DUMMYFUNCTION("""COMPUTED_VALUE"""),0.0)</f>
        <v>0</v>
      </c>
      <c r="W258" s="16">
        <f>IFERROR(__xludf.DUMMYFUNCTION("""COMPUTED_VALUE"""),0.0)</f>
        <v>0</v>
      </c>
      <c r="X258" s="16">
        <f>IFERROR(__xludf.DUMMYFUNCTION("""COMPUTED_VALUE"""),0.0)</f>
        <v>0</v>
      </c>
      <c r="Y258" s="16">
        <f>IFERROR(__xludf.DUMMYFUNCTION("""COMPUTED_VALUE"""),0.0)</f>
        <v>0</v>
      </c>
      <c r="Z258" s="16">
        <f>IFERROR(__xludf.DUMMYFUNCTION("""COMPUTED_VALUE"""),0.0)</f>
        <v>0</v>
      </c>
      <c r="AA258" s="16">
        <f>IFERROR(__xludf.DUMMYFUNCTION("""COMPUTED_VALUE"""),0.0)</f>
        <v>0</v>
      </c>
      <c r="AB258" s="16">
        <f>IFERROR(__xludf.DUMMYFUNCTION("""COMPUTED_VALUE"""),0.0)</f>
        <v>0</v>
      </c>
      <c r="AC258" s="16">
        <f>IFERROR(__xludf.DUMMYFUNCTION("""COMPUTED_VALUE"""),0.0)</f>
        <v>0</v>
      </c>
      <c r="AD258" s="16">
        <f>IFERROR(__xludf.DUMMYFUNCTION("""COMPUTED_VALUE"""),0.0)</f>
        <v>0</v>
      </c>
      <c r="AE258" s="16">
        <f>IFERROR(__xludf.DUMMYFUNCTION("""COMPUTED_VALUE"""),0.0)</f>
        <v>0</v>
      </c>
      <c r="AF258" s="16">
        <f>IFERROR(__xludf.DUMMYFUNCTION("""COMPUTED_VALUE"""),0.0)</f>
        <v>0</v>
      </c>
      <c r="AG258" s="16">
        <f>IFERROR(__xludf.DUMMYFUNCTION("""COMPUTED_VALUE"""),0.0)</f>
        <v>0</v>
      </c>
      <c r="AH258" s="16">
        <f>IFERROR(__xludf.DUMMYFUNCTION("""COMPUTED_VALUE"""),0.0)</f>
        <v>0</v>
      </c>
    </row>
    <row r="259">
      <c r="A259" s="16" t="str">
        <f>IFERROR(__xludf.DUMMYFUNCTION("""COMPUTED_VALUE"""),"e1e025613df0bb24a28711b19cbefdbc254e0c21")</f>
        <v>e1e025613df0bb24a28711b19cbefdbc254e0c21</v>
      </c>
      <c r="B259" s="16" t="str">
        <f>IFERROR(__xludf.DUMMYFUNCTION("""COMPUTED_VALUE"""),"The Ceo Hidden Bride")</f>
        <v>The Ceo Hidden Bride</v>
      </c>
      <c r="C259" s="16" t="str">
        <f>IFERROR(__xludf.DUMMYFUNCTION("""COMPUTED_VALUE"""),"Romance")</f>
        <v>Romance</v>
      </c>
      <c r="D259" s="16">
        <f>IFERROR(__xludf.DUMMYFUNCTION("""COMPUTED_VALUE"""),875.0)</f>
        <v>875</v>
      </c>
      <c r="E259" s="16">
        <f>IFERROR(__xludf.DUMMYFUNCTION("""COMPUTED_VALUE"""),0.968)</f>
        <v>0.968</v>
      </c>
      <c r="F259" s="16">
        <f>IFERROR(__xludf.DUMMYFUNCTION("""COMPUTED_VALUE"""),0.554285714285714)</f>
        <v>0.5542857143</v>
      </c>
      <c r="G259" s="16">
        <f>IFERROR(__xludf.DUMMYFUNCTION("""COMPUTED_VALUE"""),0.458285714285714)</f>
        <v>0.4582857143</v>
      </c>
      <c r="H259" s="16">
        <f>IFERROR(__xludf.DUMMYFUNCTION("""COMPUTED_VALUE"""),0.416666666666666)</f>
        <v>0.4166666667</v>
      </c>
      <c r="I259" s="16">
        <f>IFERROR(__xludf.DUMMYFUNCTION("""COMPUTED_VALUE"""),0.382730455075845)</f>
        <v>0.3827304551</v>
      </c>
      <c r="J259" s="16">
        <f>IFERROR(__xludf.DUMMYFUNCTION("""COMPUTED_VALUE"""),0.342682926829268)</f>
        <v>0.3426829268</v>
      </c>
      <c r="K259" s="16">
        <f>IFERROR(__xludf.DUMMYFUNCTION("""COMPUTED_VALUE"""),0.346354166666666)</f>
        <v>0.3463541667</v>
      </c>
      <c r="L259" s="16">
        <f>IFERROR(__xludf.DUMMYFUNCTION("""COMPUTED_VALUE"""),0.323809523809523)</f>
        <v>0.3238095238</v>
      </c>
      <c r="M259" s="16">
        <f>IFERROR(__xludf.DUMMYFUNCTION("""COMPUTED_VALUE"""),0.308437067773167)</f>
        <v>0.3084370678</v>
      </c>
      <c r="N259" s="16">
        <f>IFERROR(__xludf.DUMMYFUNCTION("""COMPUTED_VALUE"""),0.30379746835443)</f>
        <v>0.3037974684</v>
      </c>
      <c r="O259" s="16">
        <f>IFERROR(__xludf.DUMMYFUNCTION("""COMPUTED_VALUE"""),0.252144082332761)</f>
        <v>0.2521440823</v>
      </c>
      <c r="P259" s="16">
        <f>IFERROR(__xludf.DUMMYFUNCTION("""COMPUTED_VALUE"""),0.19774011299435)</f>
        <v>0.197740113</v>
      </c>
      <c r="Q259" s="16">
        <f>IFERROR(__xludf.DUMMYFUNCTION("""COMPUTED_VALUE"""),0.0)</f>
        <v>0</v>
      </c>
      <c r="R259" s="16">
        <f>IFERROR(__xludf.DUMMYFUNCTION("""COMPUTED_VALUE"""),0.0)</f>
        <v>0</v>
      </c>
      <c r="S259" s="16">
        <f>IFERROR(__xludf.DUMMYFUNCTION("""COMPUTED_VALUE"""),0.0)</f>
        <v>0</v>
      </c>
      <c r="T259" s="16">
        <f>IFERROR(__xludf.DUMMYFUNCTION("""COMPUTED_VALUE"""),0.0)</f>
        <v>0</v>
      </c>
      <c r="U259" s="16">
        <f>IFERROR(__xludf.DUMMYFUNCTION("""COMPUTED_VALUE"""),0.0)</f>
        <v>0</v>
      </c>
      <c r="V259" s="16">
        <f>IFERROR(__xludf.DUMMYFUNCTION("""COMPUTED_VALUE"""),0.0)</f>
        <v>0</v>
      </c>
      <c r="W259" s="16">
        <f>IFERROR(__xludf.DUMMYFUNCTION("""COMPUTED_VALUE"""),0.0)</f>
        <v>0</v>
      </c>
      <c r="X259" s="16">
        <f>IFERROR(__xludf.DUMMYFUNCTION("""COMPUTED_VALUE"""),0.0)</f>
        <v>0</v>
      </c>
      <c r="Y259" s="16">
        <f>IFERROR(__xludf.DUMMYFUNCTION("""COMPUTED_VALUE"""),0.0)</f>
        <v>0</v>
      </c>
      <c r="Z259" s="16">
        <f>IFERROR(__xludf.DUMMYFUNCTION("""COMPUTED_VALUE"""),0.0)</f>
        <v>0</v>
      </c>
      <c r="AA259" s="16">
        <f>IFERROR(__xludf.DUMMYFUNCTION("""COMPUTED_VALUE"""),0.0)</f>
        <v>0</v>
      </c>
      <c r="AB259" s="16">
        <f>IFERROR(__xludf.DUMMYFUNCTION("""COMPUTED_VALUE"""),0.0)</f>
        <v>0</v>
      </c>
      <c r="AC259" s="16">
        <f>IFERROR(__xludf.DUMMYFUNCTION("""COMPUTED_VALUE"""),0.0)</f>
        <v>0</v>
      </c>
      <c r="AD259" s="16">
        <f>IFERROR(__xludf.DUMMYFUNCTION("""COMPUTED_VALUE"""),0.0)</f>
        <v>0</v>
      </c>
      <c r="AE259" s="16">
        <f>IFERROR(__xludf.DUMMYFUNCTION("""COMPUTED_VALUE"""),0.0)</f>
        <v>0</v>
      </c>
      <c r="AF259" s="16">
        <f>IFERROR(__xludf.DUMMYFUNCTION("""COMPUTED_VALUE"""),0.0)</f>
        <v>0</v>
      </c>
      <c r="AG259" s="16">
        <f>IFERROR(__xludf.DUMMYFUNCTION("""COMPUTED_VALUE"""),0.0)</f>
        <v>0</v>
      </c>
      <c r="AH259" s="16">
        <f>IFERROR(__xludf.DUMMYFUNCTION("""COMPUTED_VALUE"""),0.0)</f>
        <v>0</v>
      </c>
    </row>
    <row r="260">
      <c r="A260" s="16" t="str">
        <f>IFERROR(__xludf.DUMMYFUNCTION("""COMPUTED_VALUE"""),"e2f077e58449b7e3e415bd16eb5bb755606936b6")</f>
        <v>e2f077e58449b7e3e415bd16eb5bb755606936b6</v>
      </c>
      <c r="B260" s="16" t="str">
        <f>IFERROR(__xludf.DUMMYFUNCTION("""COMPUTED_VALUE"""),"Powerless Heir to Throne")</f>
        <v>Powerless Heir to Throne</v>
      </c>
      <c r="C260" s="16" t="str">
        <f>IFERROR(__xludf.DUMMYFUNCTION("""COMPUTED_VALUE"""),"System and Superpower")</f>
        <v>System and Superpower</v>
      </c>
      <c r="D260" s="16">
        <f>IFERROR(__xludf.DUMMYFUNCTION("""COMPUTED_VALUE"""),185.0)</f>
        <v>185</v>
      </c>
      <c r="E260" s="16">
        <f>IFERROR(__xludf.DUMMYFUNCTION("""COMPUTED_VALUE"""),0.967567567567567)</f>
        <v>0.9675675676</v>
      </c>
      <c r="F260" s="16">
        <f>IFERROR(__xludf.DUMMYFUNCTION("""COMPUTED_VALUE"""),0.551351351351351)</f>
        <v>0.5513513514</v>
      </c>
      <c r="G260" s="16">
        <f>IFERROR(__xludf.DUMMYFUNCTION("""COMPUTED_VALUE"""),0.502702702702702)</f>
        <v>0.5027027027</v>
      </c>
      <c r="H260" s="16">
        <f>IFERROR(__xludf.DUMMYFUNCTION("""COMPUTED_VALUE"""),0.459459459459459)</f>
        <v>0.4594594595</v>
      </c>
      <c r="I260" s="16">
        <f>IFERROR(__xludf.DUMMYFUNCTION("""COMPUTED_VALUE"""),0.413043478260869)</f>
        <v>0.4130434783</v>
      </c>
      <c r="J260" s="16">
        <f>IFERROR(__xludf.DUMMYFUNCTION("""COMPUTED_VALUE"""),0.366120218579235)</f>
        <v>0.3661202186</v>
      </c>
      <c r="K260" s="16">
        <f>IFERROR(__xludf.DUMMYFUNCTION("""COMPUTED_VALUE"""),0.349726775956284)</f>
        <v>0.349726776</v>
      </c>
      <c r="L260" s="16">
        <f>IFERROR(__xludf.DUMMYFUNCTION("""COMPUTED_VALUE"""),0.311475409836065)</f>
        <v>0.3114754098</v>
      </c>
      <c r="M260" s="16">
        <f>IFERROR(__xludf.DUMMYFUNCTION("""COMPUTED_VALUE"""),0.296703296703296)</f>
        <v>0.2967032967</v>
      </c>
      <c r="N260" s="16">
        <f>IFERROR(__xludf.DUMMYFUNCTION("""COMPUTED_VALUE"""),0.296703296703296)</f>
        <v>0.2967032967</v>
      </c>
      <c r="O260" s="16">
        <f>IFERROR(__xludf.DUMMYFUNCTION("""COMPUTED_VALUE"""),0.228571428571428)</f>
        <v>0.2285714286</v>
      </c>
      <c r="P260" s="16">
        <f>IFERROR(__xludf.DUMMYFUNCTION("""COMPUTED_VALUE"""),0.198757763975155)</f>
        <v>0.198757764</v>
      </c>
      <c r="Q260" s="16">
        <f>IFERROR(__xludf.DUMMYFUNCTION("""COMPUTED_VALUE"""),0.116788321167883)</f>
        <v>0.1167883212</v>
      </c>
      <c r="R260" s="16">
        <f>IFERROR(__xludf.DUMMYFUNCTION("""COMPUTED_VALUE"""),0.112068965517241)</f>
        <v>0.1120689655</v>
      </c>
      <c r="S260" s="16">
        <f>IFERROR(__xludf.DUMMYFUNCTION("""COMPUTED_VALUE"""),0.0609756097560975)</f>
        <v>0.06097560976</v>
      </c>
      <c r="T260" s="16">
        <f>IFERROR(__xludf.DUMMYFUNCTION("""COMPUTED_VALUE"""),0.05)</f>
        <v>0.05</v>
      </c>
      <c r="U260" s="16">
        <f>IFERROR(__xludf.DUMMYFUNCTION("""COMPUTED_VALUE"""),0.0)</f>
        <v>0</v>
      </c>
      <c r="V260" s="16">
        <f>IFERROR(__xludf.DUMMYFUNCTION("""COMPUTED_VALUE"""),0.0)</f>
        <v>0</v>
      </c>
      <c r="W260" s="16">
        <f>IFERROR(__xludf.DUMMYFUNCTION("""COMPUTED_VALUE"""),0.0)</f>
        <v>0</v>
      </c>
      <c r="X260" s="16">
        <f>IFERROR(__xludf.DUMMYFUNCTION("""COMPUTED_VALUE"""),0.0)</f>
        <v>0</v>
      </c>
      <c r="Y260" s="16">
        <f>IFERROR(__xludf.DUMMYFUNCTION("""COMPUTED_VALUE"""),0.0)</f>
        <v>0</v>
      </c>
      <c r="Z260" s="16">
        <f>IFERROR(__xludf.DUMMYFUNCTION("""COMPUTED_VALUE"""),0.0)</f>
        <v>0</v>
      </c>
      <c r="AA260" s="16">
        <f>IFERROR(__xludf.DUMMYFUNCTION("""COMPUTED_VALUE"""),0.0)</f>
        <v>0</v>
      </c>
      <c r="AB260" s="16">
        <f>IFERROR(__xludf.DUMMYFUNCTION("""COMPUTED_VALUE"""),0.0)</f>
        <v>0</v>
      </c>
      <c r="AC260" s="16">
        <f>IFERROR(__xludf.DUMMYFUNCTION("""COMPUTED_VALUE"""),0.0)</f>
        <v>0</v>
      </c>
      <c r="AD260" s="16">
        <f>IFERROR(__xludf.DUMMYFUNCTION("""COMPUTED_VALUE"""),0.0)</f>
        <v>0</v>
      </c>
      <c r="AE260" s="16">
        <f>IFERROR(__xludf.DUMMYFUNCTION("""COMPUTED_VALUE"""),0.0)</f>
        <v>0</v>
      </c>
      <c r="AF260" s="16">
        <f>IFERROR(__xludf.DUMMYFUNCTION("""COMPUTED_VALUE"""),0.0)</f>
        <v>0</v>
      </c>
      <c r="AG260" s="16">
        <f>IFERROR(__xludf.DUMMYFUNCTION("""COMPUTED_VALUE"""),0.0)</f>
        <v>0</v>
      </c>
      <c r="AH260" s="16">
        <f>IFERROR(__xludf.DUMMYFUNCTION("""COMPUTED_VALUE"""),0.0)</f>
        <v>0</v>
      </c>
    </row>
    <row r="261">
      <c r="A261" s="16" t="str">
        <f>IFERROR(__xludf.DUMMYFUNCTION("""COMPUTED_VALUE"""),"e3ea22ad9a736918a7619bfed3abf1f862c9bdb2")</f>
        <v>e3ea22ad9a736918a7619bfed3abf1f862c9bdb2</v>
      </c>
      <c r="B261" s="16" t="str">
        <f>IFERROR(__xludf.DUMMYFUNCTION("""COMPUTED_VALUE"""),"The Empress's Cold Return")</f>
        <v>The Empress's Cold Return</v>
      </c>
      <c r="C261" s="16" t="str">
        <f>IFERROR(__xludf.DUMMYFUNCTION("""COMPUTED_VALUE"""),"Drama")</f>
        <v>Drama</v>
      </c>
      <c r="D261" s="16">
        <f>IFERROR(__xludf.DUMMYFUNCTION("""COMPUTED_VALUE"""),760.0)</f>
        <v>760</v>
      </c>
      <c r="E261" s="16">
        <f>IFERROR(__xludf.DUMMYFUNCTION("""COMPUTED_VALUE"""),0.96578947368421)</f>
        <v>0.9657894737</v>
      </c>
      <c r="F261" s="16">
        <f>IFERROR(__xludf.DUMMYFUNCTION("""COMPUTED_VALUE"""),0.552631578947368)</f>
        <v>0.5526315789</v>
      </c>
      <c r="G261" s="16">
        <f>IFERROR(__xludf.DUMMYFUNCTION("""COMPUTED_VALUE"""),0.448684210526315)</f>
        <v>0.4486842105</v>
      </c>
      <c r="H261" s="16">
        <f>IFERROR(__xludf.DUMMYFUNCTION("""COMPUTED_VALUE"""),0.402631578947368)</f>
        <v>0.4026315789</v>
      </c>
      <c r="I261" s="16">
        <f>IFERROR(__xludf.DUMMYFUNCTION("""COMPUTED_VALUE"""),0.371052631578947)</f>
        <v>0.3710526316</v>
      </c>
      <c r="J261" s="16">
        <f>IFERROR(__xludf.DUMMYFUNCTION("""COMPUTED_VALUE"""),0.353947368421052)</f>
        <v>0.3539473684</v>
      </c>
      <c r="K261" s="16">
        <f>IFERROR(__xludf.DUMMYFUNCTION("""COMPUTED_VALUE"""),0.319736842105263)</f>
        <v>0.3197368421</v>
      </c>
      <c r="L261" s="16">
        <f>IFERROR(__xludf.DUMMYFUNCTION("""COMPUTED_VALUE"""),0.320158102766798)</f>
        <v>0.3201581028</v>
      </c>
      <c r="M261" s="16">
        <f>IFERROR(__xludf.DUMMYFUNCTION("""COMPUTED_VALUE"""),0.285902503293807)</f>
        <v>0.2859025033</v>
      </c>
      <c r="N261" s="16">
        <f>IFERROR(__xludf.DUMMYFUNCTION("""COMPUTED_VALUE"""),0.276679841897233)</f>
        <v>0.2766798419</v>
      </c>
      <c r="O261" s="16">
        <f>IFERROR(__xludf.DUMMYFUNCTION("""COMPUTED_VALUE"""),0.230053191489361)</f>
        <v>0.2300531915</v>
      </c>
      <c r="P261" s="16">
        <f>IFERROR(__xludf.DUMMYFUNCTION("""COMPUTED_VALUE"""),0.173453996983408)</f>
        <v>0.173453997</v>
      </c>
      <c r="Q261" s="16">
        <f>IFERROR(__xludf.DUMMYFUNCTION("""COMPUTED_VALUE"""),0.0732177263969171)</f>
        <v>0.0732177264</v>
      </c>
      <c r="R261" s="16">
        <f>IFERROR(__xludf.DUMMYFUNCTION("""COMPUTED_VALUE"""),0.04)</f>
        <v>0.04</v>
      </c>
      <c r="S261" s="16">
        <f>IFERROR(__xludf.DUMMYFUNCTION("""COMPUTED_VALUE"""),0.0)</f>
        <v>0</v>
      </c>
      <c r="T261" s="16">
        <f>IFERROR(__xludf.DUMMYFUNCTION("""COMPUTED_VALUE"""),0.0)</f>
        <v>0</v>
      </c>
      <c r="U261" s="16">
        <f>IFERROR(__xludf.DUMMYFUNCTION("""COMPUTED_VALUE"""),0.0)</f>
        <v>0</v>
      </c>
      <c r="V261" s="16">
        <f>IFERROR(__xludf.DUMMYFUNCTION("""COMPUTED_VALUE"""),0.0)</f>
        <v>0</v>
      </c>
      <c r="W261" s="16">
        <f>IFERROR(__xludf.DUMMYFUNCTION("""COMPUTED_VALUE"""),0.0)</f>
        <v>0</v>
      </c>
      <c r="X261" s="16">
        <f>IFERROR(__xludf.DUMMYFUNCTION("""COMPUTED_VALUE"""),0.0)</f>
        <v>0</v>
      </c>
      <c r="Y261" s="16">
        <f>IFERROR(__xludf.DUMMYFUNCTION("""COMPUTED_VALUE"""),0.0)</f>
        <v>0</v>
      </c>
      <c r="Z261" s="16">
        <f>IFERROR(__xludf.DUMMYFUNCTION("""COMPUTED_VALUE"""),0.0)</f>
        <v>0</v>
      </c>
      <c r="AA261" s="16">
        <f>IFERROR(__xludf.DUMMYFUNCTION("""COMPUTED_VALUE"""),0.0)</f>
        <v>0</v>
      </c>
      <c r="AB261" s="16">
        <f>IFERROR(__xludf.DUMMYFUNCTION("""COMPUTED_VALUE"""),0.0)</f>
        <v>0</v>
      </c>
      <c r="AC261" s="16">
        <f>IFERROR(__xludf.DUMMYFUNCTION("""COMPUTED_VALUE"""),0.0)</f>
        <v>0</v>
      </c>
      <c r="AD261" s="16">
        <f>IFERROR(__xludf.DUMMYFUNCTION("""COMPUTED_VALUE"""),0.0)</f>
        <v>0</v>
      </c>
      <c r="AE261" s="16">
        <f>IFERROR(__xludf.DUMMYFUNCTION("""COMPUTED_VALUE"""),0.0)</f>
        <v>0</v>
      </c>
      <c r="AF261" s="16">
        <f>IFERROR(__xludf.DUMMYFUNCTION("""COMPUTED_VALUE"""),0.0)</f>
        <v>0</v>
      </c>
      <c r="AG261" s="16">
        <f>IFERROR(__xludf.DUMMYFUNCTION("""COMPUTED_VALUE"""),0.0)</f>
        <v>0</v>
      </c>
      <c r="AH261" s="16">
        <f>IFERROR(__xludf.DUMMYFUNCTION("""COMPUTED_VALUE"""),0.0)</f>
        <v>0</v>
      </c>
    </row>
    <row r="262">
      <c r="A262" s="16" t="str">
        <f>IFERROR(__xludf.DUMMYFUNCTION("""COMPUTED_VALUE"""),"e40505b31ca87f2f6b736e3f18b3e9f46e21cd04")</f>
        <v>e40505b31ca87f2f6b736e3f18b3e9f46e21cd04</v>
      </c>
      <c r="B262" s="16" t="str">
        <f>IFERROR(__xludf.DUMMYFUNCTION("""COMPUTED_VALUE"""),"My Dragonic System")</f>
        <v>My Dragonic System</v>
      </c>
      <c r="C262" s="16" t="str">
        <f>IFERROR(__xludf.DUMMYFUNCTION("""COMPUTED_VALUE"""),"System and Superpower")</f>
        <v>System and Superpower</v>
      </c>
      <c r="D262" s="16">
        <f>IFERROR(__xludf.DUMMYFUNCTION("""COMPUTED_VALUE"""),5049.0)</f>
        <v>5049</v>
      </c>
      <c r="E262" s="16">
        <f>IFERROR(__xludf.DUMMYFUNCTION("""COMPUTED_VALUE"""),0.938403644285997)</f>
        <v>0.9384036443</v>
      </c>
      <c r="F262" s="16">
        <f>IFERROR(__xludf.DUMMYFUNCTION("""COMPUTED_VALUE"""),0.499702911467617)</f>
        <v>0.4997029115</v>
      </c>
      <c r="G262" s="16">
        <f>IFERROR(__xludf.DUMMYFUNCTION("""COMPUTED_VALUE"""),0.445236680530798)</f>
        <v>0.4452366805</v>
      </c>
      <c r="H262" s="16">
        <f>IFERROR(__xludf.DUMMYFUNCTION("""COMPUTED_VALUE"""),0.408838684106222)</f>
        <v>0.4088386841</v>
      </c>
      <c r="I262" s="16">
        <f>IFERROR(__xludf.DUMMYFUNCTION("""COMPUTED_VALUE"""),0.389759872990672)</f>
        <v>0.389759873</v>
      </c>
      <c r="J262" s="16">
        <f>IFERROR(__xludf.DUMMYFUNCTION("""COMPUTED_VALUE"""),0.369928400954653)</f>
        <v>0.369928401</v>
      </c>
      <c r="K262" s="16">
        <f>IFERROR(__xludf.DUMMYFUNCTION("""COMPUTED_VALUE"""),0.349481658692185)</f>
        <v>0.3494816587</v>
      </c>
      <c r="L262" s="16">
        <f>IFERROR(__xludf.DUMMYFUNCTION("""COMPUTED_VALUE"""),0.340586943501696)</f>
        <v>0.3405869435</v>
      </c>
      <c r="M262" s="16">
        <f>IFERROR(__xludf.DUMMYFUNCTION("""COMPUTED_VALUE"""),0.322438339683176)</f>
        <v>0.3224383397</v>
      </c>
      <c r="N262" s="16">
        <f>IFERROR(__xludf.DUMMYFUNCTION("""COMPUTED_VALUE"""),0.308110283759307)</f>
        <v>0.3081102838</v>
      </c>
      <c r="O262" s="16">
        <f>IFERROR(__xludf.DUMMYFUNCTION("""COMPUTED_VALUE"""),0.282537739698082)</f>
        <v>0.2825377397</v>
      </c>
      <c r="P262" s="16">
        <f>IFERROR(__xludf.DUMMYFUNCTION("""COMPUTED_VALUE"""),0.227486128894579)</f>
        <v>0.2274861289</v>
      </c>
      <c r="Q262" s="16">
        <f>IFERROR(__xludf.DUMMYFUNCTION("""COMPUTED_VALUE"""),0.164719358533791)</f>
        <v>0.1647193585</v>
      </c>
      <c r="R262" s="16">
        <f>IFERROR(__xludf.DUMMYFUNCTION("""COMPUTED_VALUE"""),0.132380195922689)</f>
        <v>0.1323801959</v>
      </c>
      <c r="S262" s="16">
        <f>IFERROR(__xludf.DUMMYFUNCTION("""COMPUTED_VALUE"""),0.112917023096663)</f>
        <v>0.1129170231</v>
      </c>
      <c r="T262" s="16">
        <f>IFERROR(__xludf.DUMMYFUNCTION("""COMPUTED_VALUE"""),0.085580304806565)</f>
        <v>0.08558030481</v>
      </c>
      <c r="U262" s="16">
        <f>IFERROR(__xludf.DUMMYFUNCTION("""COMPUTED_VALUE"""),0.0675105485232067)</f>
        <v>0.06751054852</v>
      </c>
      <c r="V262" s="16">
        <f>IFERROR(__xludf.DUMMYFUNCTION("""COMPUTED_VALUE"""),0.0)</f>
        <v>0</v>
      </c>
      <c r="W262" s="16">
        <f>IFERROR(__xludf.DUMMYFUNCTION("""COMPUTED_VALUE"""),0.0)</f>
        <v>0</v>
      </c>
      <c r="X262" s="16">
        <f>IFERROR(__xludf.DUMMYFUNCTION("""COMPUTED_VALUE"""),0.0)</f>
        <v>0</v>
      </c>
      <c r="Y262" s="16">
        <f>IFERROR(__xludf.DUMMYFUNCTION("""COMPUTED_VALUE"""),0.0)</f>
        <v>0</v>
      </c>
      <c r="Z262" s="16">
        <f>IFERROR(__xludf.DUMMYFUNCTION("""COMPUTED_VALUE"""),0.0)</f>
        <v>0</v>
      </c>
      <c r="AA262" s="16">
        <f>IFERROR(__xludf.DUMMYFUNCTION("""COMPUTED_VALUE"""),0.0)</f>
        <v>0</v>
      </c>
      <c r="AB262" s="16">
        <f>IFERROR(__xludf.DUMMYFUNCTION("""COMPUTED_VALUE"""),0.0)</f>
        <v>0</v>
      </c>
      <c r="AC262" s="16">
        <f>IFERROR(__xludf.DUMMYFUNCTION("""COMPUTED_VALUE"""),0.0)</f>
        <v>0</v>
      </c>
      <c r="AD262" s="16">
        <f>IFERROR(__xludf.DUMMYFUNCTION("""COMPUTED_VALUE"""),0.0)</f>
        <v>0</v>
      </c>
      <c r="AE262" s="16">
        <f>IFERROR(__xludf.DUMMYFUNCTION("""COMPUTED_VALUE"""),0.0)</f>
        <v>0</v>
      </c>
      <c r="AF262" s="16">
        <f>IFERROR(__xludf.DUMMYFUNCTION("""COMPUTED_VALUE"""),0.0)</f>
        <v>0</v>
      </c>
      <c r="AG262" s="16">
        <f>IFERROR(__xludf.DUMMYFUNCTION("""COMPUTED_VALUE"""),0.0)</f>
        <v>0</v>
      </c>
      <c r="AH262" s="16">
        <f>IFERROR(__xludf.DUMMYFUNCTION("""COMPUTED_VALUE"""),0.0)</f>
        <v>0</v>
      </c>
    </row>
    <row r="263">
      <c r="A263" s="16" t="str">
        <f>IFERROR(__xludf.DUMMYFUNCTION("""COMPUTED_VALUE"""),"e5b71f4b40481cb15ce33532df56be566352534e")</f>
        <v>e5b71f4b40481cb15ce33532df56be566352534e</v>
      </c>
      <c r="B263" s="16" t="str">
        <f>IFERROR(__xludf.DUMMYFUNCTION("""COMPUTED_VALUE"""),"Rewind and Rise")</f>
        <v>Rewind and Rise</v>
      </c>
      <c r="C263" s="16" t="str">
        <f>IFERROR(__xludf.DUMMYFUNCTION("""COMPUTED_VALUE"""),"Romantasy")</f>
        <v>Romantasy</v>
      </c>
      <c r="D263" s="16">
        <f>IFERROR(__xludf.DUMMYFUNCTION("""COMPUTED_VALUE"""),134.0)</f>
        <v>134</v>
      </c>
      <c r="E263" s="16">
        <f>IFERROR(__xludf.DUMMYFUNCTION("""COMPUTED_VALUE"""),0.985074626865671)</f>
        <v>0.9850746269</v>
      </c>
      <c r="F263" s="16">
        <f>IFERROR(__xludf.DUMMYFUNCTION("""COMPUTED_VALUE"""),0.716417910447761)</f>
        <v>0.7164179104</v>
      </c>
      <c r="G263" s="16">
        <f>IFERROR(__xludf.DUMMYFUNCTION("""COMPUTED_VALUE"""),0.626865671641791)</f>
        <v>0.6268656716</v>
      </c>
      <c r="H263" s="16">
        <f>IFERROR(__xludf.DUMMYFUNCTION("""COMPUTED_VALUE"""),0.553030303030303)</f>
        <v>0.553030303</v>
      </c>
      <c r="I263" s="16">
        <f>IFERROR(__xludf.DUMMYFUNCTION("""COMPUTED_VALUE"""),0.53076923076923)</f>
        <v>0.5307692308</v>
      </c>
      <c r="J263" s="16">
        <f>IFERROR(__xludf.DUMMYFUNCTION("""COMPUTED_VALUE"""),0.476190476190476)</f>
        <v>0.4761904762</v>
      </c>
      <c r="K263" s="16">
        <f>IFERROR(__xludf.DUMMYFUNCTION("""COMPUTED_VALUE"""),0.487179487179487)</f>
        <v>0.4871794872</v>
      </c>
      <c r="L263" s="16">
        <f>IFERROR(__xludf.DUMMYFUNCTION("""COMPUTED_VALUE"""),0.452631578947368)</f>
        <v>0.4526315789</v>
      </c>
      <c r="M263" s="16">
        <f>IFERROR(__xludf.DUMMYFUNCTION("""COMPUTED_VALUE"""),0.457446808510638)</f>
        <v>0.4574468085</v>
      </c>
      <c r="N263" s="16">
        <f>IFERROR(__xludf.DUMMYFUNCTION("""COMPUTED_VALUE"""),0.472527472527472)</f>
        <v>0.4725274725</v>
      </c>
      <c r="O263" s="16">
        <f>IFERROR(__xludf.DUMMYFUNCTION("""COMPUTED_VALUE"""),0.365079365079365)</f>
        <v>0.3650793651</v>
      </c>
      <c r="P263" s="16">
        <f>IFERROR(__xludf.DUMMYFUNCTION("""COMPUTED_VALUE"""),0.333333333333333)</f>
        <v>0.3333333333</v>
      </c>
      <c r="Q263" s="16">
        <f>IFERROR(__xludf.DUMMYFUNCTION("""COMPUTED_VALUE"""),0.0)</f>
        <v>0</v>
      </c>
      <c r="R263" s="16">
        <f>IFERROR(__xludf.DUMMYFUNCTION("""COMPUTED_VALUE"""),0.0)</f>
        <v>0</v>
      </c>
      <c r="S263" s="16">
        <f>IFERROR(__xludf.DUMMYFUNCTION("""COMPUTED_VALUE"""),0.0)</f>
        <v>0</v>
      </c>
      <c r="T263" s="16">
        <f>IFERROR(__xludf.DUMMYFUNCTION("""COMPUTED_VALUE"""),0.0)</f>
        <v>0</v>
      </c>
      <c r="U263" s="16">
        <f>IFERROR(__xludf.DUMMYFUNCTION("""COMPUTED_VALUE"""),0.0)</f>
        <v>0</v>
      </c>
      <c r="V263" s="16">
        <f>IFERROR(__xludf.DUMMYFUNCTION("""COMPUTED_VALUE"""),0.0)</f>
        <v>0</v>
      </c>
      <c r="W263" s="16">
        <f>IFERROR(__xludf.DUMMYFUNCTION("""COMPUTED_VALUE"""),0.0)</f>
        <v>0</v>
      </c>
      <c r="X263" s="16">
        <f>IFERROR(__xludf.DUMMYFUNCTION("""COMPUTED_VALUE"""),0.0)</f>
        <v>0</v>
      </c>
      <c r="Y263" s="16">
        <f>IFERROR(__xludf.DUMMYFUNCTION("""COMPUTED_VALUE"""),0.0)</f>
        <v>0</v>
      </c>
      <c r="Z263" s="16">
        <f>IFERROR(__xludf.DUMMYFUNCTION("""COMPUTED_VALUE"""),0.0)</f>
        <v>0</v>
      </c>
      <c r="AA263" s="16">
        <f>IFERROR(__xludf.DUMMYFUNCTION("""COMPUTED_VALUE"""),0.0)</f>
        <v>0</v>
      </c>
      <c r="AB263" s="16">
        <f>IFERROR(__xludf.DUMMYFUNCTION("""COMPUTED_VALUE"""),0.0)</f>
        <v>0</v>
      </c>
      <c r="AC263" s="16">
        <f>IFERROR(__xludf.DUMMYFUNCTION("""COMPUTED_VALUE"""),0.0)</f>
        <v>0</v>
      </c>
      <c r="AD263" s="16">
        <f>IFERROR(__xludf.DUMMYFUNCTION("""COMPUTED_VALUE"""),0.0)</f>
        <v>0</v>
      </c>
      <c r="AE263" s="16">
        <f>IFERROR(__xludf.DUMMYFUNCTION("""COMPUTED_VALUE"""),0.0)</f>
        <v>0</v>
      </c>
      <c r="AF263" s="16">
        <f>IFERROR(__xludf.DUMMYFUNCTION("""COMPUTED_VALUE"""),0.0)</f>
        <v>0</v>
      </c>
      <c r="AG263" s="16">
        <f>IFERROR(__xludf.DUMMYFUNCTION("""COMPUTED_VALUE"""),0.0)</f>
        <v>0</v>
      </c>
      <c r="AH263" s="16">
        <f>IFERROR(__xludf.DUMMYFUNCTION("""COMPUTED_VALUE"""),0.0)</f>
        <v>0</v>
      </c>
    </row>
    <row r="264">
      <c r="A264" s="16" t="str">
        <f>IFERROR(__xludf.DUMMYFUNCTION("""COMPUTED_VALUE"""),"e79ceb682265a42fb44c988f861c20672776f19d")</f>
        <v>e79ceb682265a42fb44c988f861c20672776f19d</v>
      </c>
      <c r="B264" s="16" t="str">
        <f>IFERROR(__xludf.DUMMYFUNCTION("""COMPUTED_VALUE"""),"Faction of Unity: Wyrmara")</f>
        <v>Faction of Unity: Wyrmara</v>
      </c>
      <c r="C264" s="16" t="str">
        <f>IFERROR(__xludf.DUMMYFUNCTION("""COMPUTED_VALUE"""),"Fantasy")</f>
        <v>Fantasy</v>
      </c>
      <c r="D264" s="16">
        <f>IFERROR(__xludf.DUMMYFUNCTION("""COMPUTED_VALUE"""),61.0)</f>
        <v>61</v>
      </c>
      <c r="E264" s="16">
        <f>IFERROR(__xludf.DUMMYFUNCTION("""COMPUTED_VALUE"""),0.950819672131147)</f>
        <v>0.9508196721</v>
      </c>
      <c r="F264" s="16">
        <f>IFERROR(__xludf.DUMMYFUNCTION("""COMPUTED_VALUE"""),0.311475409836065)</f>
        <v>0.3114754098</v>
      </c>
      <c r="G264" s="16">
        <f>IFERROR(__xludf.DUMMYFUNCTION("""COMPUTED_VALUE"""),0.278688524590163)</f>
        <v>0.2786885246</v>
      </c>
      <c r="H264" s="16">
        <f>IFERROR(__xludf.DUMMYFUNCTION("""COMPUTED_VALUE"""),0.278688524590163)</f>
        <v>0.2786885246</v>
      </c>
      <c r="I264" s="16">
        <f>IFERROR(__xludf.DUMMYFUNCTION("""COMPUTED_VALUE"""),0.196721311475409)</f>
        <v>0.1967213115</v>
      </c>
      <c r="J264" s="16">
        <f>IFERROR(__xludf.DUMMYFUNCTION("""COMPUTED_VALUE"""),0.196721311475409)</f>
        <v>0.1967213115</v>
      </c>
      <c r="K264" s="16">
        <f>IFERROR(__xludf.DUMMYFUNCTION("""COMPUTED_VALUE"""),0.180327868852459)</f>
        <v>0.1803278689</v>
      </c>
      <c r="L264" s="16">
        <f>IFERROR(__xludf.DUMMYFUNCTION("""COMPUTED_VALUE"""),0.180327868852459)</f>
        <v>0.1803278689</v>
      </c>
      <c r="M264" s="16">
        <f>IFERROR(__xludf.DUMMYFUNCTION("""COMPUTED_VALUE"""),0.163934426229508)</f>
        <v>0.1639344262</v>
      </c>
      <c r="N264" s="16">
        <f>IFERROR(__xludf.DUMMYFUNCTION("""COMPUTED_VALUE"""),0.163934426229508)</f>
        <v>0.1639344262</v>
      </c>
      <c r="O264" s="16">
        <f>IFERROR(__xludf.DUMMYFUNCTION("""COMPUTED_VALUE"""),0.116666666666666)</f>
        <v>0.1166666667</v>
      </c>
      <c r="P264" s="16">
        <f>IFERROR(__xludf.DUMMYFUNCTION("""COMPUTED_VALUE"""),0.117647058823529)</f>
        <v>0.1176470588</v>
      </c>
      <c r="Q264" s="16">
        <f>IFERROR(__xludf.DUMMYFUNCTION("""COMPUTED_VALUE"""),0.0)</f>
        <v>0</v>
      </c>
      <c r="R264" s="16">
        <f>IFERROR(__xludf.DUMMYFUNCTION("""COMPUTED_VALUE"""),0.0)</f>
        <v>0</v>
      </c>
      <c r="S264" s="16">
        <f>IFERROR(__xludf.DUMMYFUNCTION("""COMPUTED_VALUE"""),0.0)</f>
        <v>0</v>
      </c>
      <c r="T264" s="16">
        <f>IFERROR(__xludf.DUMMYFUNCTION("""COMPUTED_VALUE"""),0.0)</f>
        <v>0</v>
      </c>
      <c r="U264" s="16">
        <f>IFERROR(__xludf.DUMMYFUNCTION("""COMPUTED_VALUE"""),0.0)</f>
        <v>0</v>
      </c>
      <c r="V264" s="16">
        <f>IFERROR(__xludf.DUMMYFUNCTION("""COMPUTED_VALUE"""),0.0)</f>
        <v>0</v>
      </c>
      <c r="W264" s="16">
        <f>IFERROR(__xludf.DUMMYFUNCTION("""COMPUTED_VALUE"""),0.0)</f>
        <v>0</v>
      </c>
      <c r="X264" s="16">
        <f>IFERROR(__xludf.DUMMYFUNCTION("""COMPUTED_VALUE"""),0.0)</f>
        <v>0</v>
      </c>
      <c r="Y264" s="16">
        <f>IFERROR(__xludf.DUMMYFUNCTION("""COMPUTED_VALUE"""),0.0)</f>
        <v>0</v>
      </c>
      <c r="Z264" s="16">
        <f>IFERROR(__xludf.DUMMYFUNCTION("""COMPUTED_VALUE"""),0.0)</f>
        <v>0</v>
      </c>
      <c r="AA264" s="16">
        <f>IFERROR(__xludf.DUMMYFUNCTION("""COMPUTED_VALUE"""),0.0)</f>
        <v>0</v>
      </c>
      <c r="AB264" s="16">
        <f>IFERROR(__xludf.DUMMYFUNCTION("""COMPUTED_VALUE"""),0.0)</f>
        <v>0</v>
      </c>
      <c r="AC264" s="16">
        <f>IFERROR(__xludf.DUMMYFUNCTION("""COMPUTED_VALUE"""),0.0)</f>
        <v>0</v>
      </c>
      <c r="AD264" s="16">
        <f>IFERROR(__xludf.DUMMYFUNCTION("""COMPUTED_VALUE"""),0.0)</f>
        <v>0</v>
      </c>
      <c r="AE264" s="16">
        <f>IFERROR(__xludf.DUMMYFUNCTION("""COMPUTED_VALUE"""),0.0)</f>
        <v>0</v>
      </c>
      <c r="AF264" s="16">
        <f>IFERROR(__xludf.DUMMYFUNCTION("""COMPUTED_VALUE"""),0.0)</f>
        <v>0</v>
      </c>
      <c r="AG264" s="16">
        <f>IFERROR(__xludf.DUMMYFUNCTION("""COMPUTED_VALUE"""),0.0)</f>
        <v>0</v>
      </c>
      <c r="AH264" s="16">
        <f>IFERROR(__xludf.DUMMYFUNCTION("""COMPUTED_VALUE"""),0.0)</f>
        <v>0</v>
      </c>
    </row>
    <row r="265">
      <c r="A265" s="16" t="str">
        <f>IFERROR(__xludf.DUMMYFUNCTION("""COMPUTED_VALUE"""),"e7a3ee79841762542e0eb645666b039c707001f5")</f>
        <v>e7a3ee79841762542e0eb645666b039c707001f5</v>
      </c>
      <c r="B265" s="16" t="str">
        <f>IFERROR(__xludf.DUMMYFUNCTION("""COMPUTED_VALUE"""),"Masked Prince's Princess")</f>
        <v>Masked Prince's Princess</v>
      </c>
      <c r="C265" s="16" t="str">
        <f>IFERROR(__xludf.DUMMYFUNCTION("""COMPUTED_VALUE"""),"Romance")</f>
        <v>Romance</v>
      </c>
      <c r="D265" s="16">
        <f>IFERROR(__xludf.DUMMYFUNCTION("""COMPUTED_VALUE"""),1236.0)</f>
        <v>1236</v>
      </c>
      <c r="E265" s="16">
        <f>IFERROR(__xludf.DUMMYFUNCTION("""COMPUTED_VALUE"""),0.961165048543689)</f>
        <v>0.9611650485</v>
      </c>
      <c r="F265" s="16">
        <f>IFERROR(__xludf.DUMMYFUNCTION("""COMPUTED_VALUE"""),0.536407766990291)</f>
        <v>0.536407767</v>
      </c>
      <c r="G265" s="16">
        <f>IFERROR(__xludf.DUMMYFUNCTION("""COMPUTED_VALUE"""),0.472491909385113)</f>
        <v>0.4724919094</v>
      </c>
      <c r="H265" s="16">
        <f>IFERROR(__xludf.DUMMYFUNCTION("""COMPUTED_VALUE"""),0.435523114355231)</f>
        <v>0.4355231144</v>
      </c>
      <c r="I265" s="16">
        <f>IFERROR(__xludf.DUMMYFUNCTION("""COMPUTED_VALUE"""),0.400489396411093)</f>
        <v>0.4004893964</v>
      </c>
      <c r="J265" s="16">
        <f>IFERROR(__xludf.DUMMYFUNCTION("""COMPUTED_VALUE"""),0.383539094650205)</f>
        <v>0.3835390947</v>
      </c>
      <c r="K265" s="16">
        <f>IFERROR(__xludf.DUMMYFUNCTION("""COMPUTED_VALUE"""),0.376460767946577)</f>
        <v>0.3764607679</v>
      </c>
      <c r="L265" s="16">
        <f>IFERROR(__xludf.DUMMYFUNCTION("""COMPUTED_VALUE"""),0.360738255033557)</f>
        <v>0.360738255</v>
      </c>
      <c r="M265" s="16">
        <f>IFERROR(__xludf.DUMMYFUNCTION("""COMPUTED_VALUE"""),0.347093513058129)</f>
        <v>0.3470935131</v>
      </c>
      <c r="N265" s="16">
        <f>IFERROR(__xludf.DUMMYFUNCTION("""COMPUTED_VALUE"""),0.334465195246179)</f>
        <v>0.3344651952</v>
      </c>
      <c r="O265" s="16">
        <f>IFERROR(__xludf.DUMMYFUNCTION("""COMPUTED_VALUE"""),0.304042179261862)</f>
        <v>0.3040421793</v>
      </c>
      <c r="P265" s="16">
        <f>IFERROR(__xludf.DUMMYFUNCTION("""COMPUTED_VALUE"""),0.268932038834951)</f>
        <v>0.2689320388</v>
      </c>
      <c r="Q265" s="16">
        <f>IFERROR(__xludf.DUMMYFUNCTION("""COMPUTED_VALUE"""),0.222803347280334)</f>
        <v>0.2228033473</v>
      </c>
      <c r="R265" s="16">
        <f>IFERROR(__xludf.DUMMYFUNCTION("""COMPUTED_VALUE"""),0.192805755395683)</f>
        <v>0.1928057554</v>
      </c>
      <c r="S265" s="16">
        <f>IFERROR(__xludf.DUMMYFUNCTION("""COMPUTED_VALUE"""),0.136363636363636)</f>
        <v>0.1363636364</v>
      </c>
      <c r="T265" s="16">
        <f>IFERROR(__xludf.DUMMYFUNCTION("""COMPUTED_VALUE"""),0.1)</f>
        <v>0.1</v>
      </c>
      <c r="U265" s="16">
        <f>IFERROR(__xludf.DUMMYFUNCTION("""COMPUTED_VALUE"""),0.0)</f>
        <v>0</v>
      </c>
      <c r="V265" s="16">
        <f>IFERROR(__xludf.DUMMYFUNCTION("""COMPUTED_VALUE"""),0.0)</f>
        <v>0</v>
      </c>
      <c r="W265" s="16">
        <f>IFERROR(__xludf.DUMMYFUNCTION("""COMPUTED_VALUE"""),0.0)</f>
        <v>0</v>
      </c>
      <c r="X265" s="16">
        <f>IFERROR(__xludf.DUMMYFUNCTION("""COMPUTED_VALUE"""),0.0)</f>
        <v>0</v>
      </c>
      <c r="Y265" s="16">
        <f>IFERROR(__xludf.DUMMYFUNCTION("""COMPUTED_VALUE"""),0.0)</f>
        <v>0</v>
      </c>
      <c r="Z265" s="16">
        <f>IFERROR(__xludf.DUMMYFUNCTION("""COMPUTED_VALUE"""),0.0)</f>
        <v>0</v>
      </c>
      <c r="AA265" s="16">
        <f>IFERROR(__xludf.DUMMYFUNCTION("""COMPUTED_VALUE"""),0.0)</f>
        <v>0</v>
      </c>
      <c r="AB265" s="16">
        <f>IFERROR(__xludf.DUMMYFUNCTION("""COMPUTED_VALUE"""),0.0)</f>
        <v>0</v>
      </c>
      <c r="AC265" s="16">
        <f>IFERROR(__xludf.DUMMYFUNCTION("""COMPUTED_VALUE"""),0.0)</f>
        <v>0</v>
      </c>
      <c r="AD265" s="16">
        <f>IFERROR(__xludf.DUMMYFUNCTION("""COMPUTED_VALUE"""),0.0)</f>
        <v>0</v>
      </c>
      <c r="AE265" s="16">
        <f>IFERROR(__xludf.DUMMYFUNCTION("""COMPUTED_VALUE"""),0.0)</f>
        <v>0</v>
      </c>
      <c r="AF265" s="16">
        <f>IFERROR(__xludf.DUMMYFUNCTION("""COMPUTED_VALUE"""),0.0)</f>
        <v>0</v>
      </c>
      <c r="AG265" s="16">
        <f>IFERROR(__xludf.DUMMYFUNCTION("""COMPUTED_VALUE"""),0.0)</f>
        <v>0</v>
      </c>
      <c r="AH265" s="16">
        <f>IFERROR(__xludf.DUMMYFUNCTION("""COMPUTED_VALUE"""),0.0)</f>
        <v>0</v>
      </c>
    </row>
    <row r="266">
      <c r="A266" s="16" t="str">
        <f>IFERROR(__xludf.DUMMYFUNCTION("""COMPUTED_VALUE"""),"e835267a1c9909e759d530cea3d17b5999d86761")</f>
        <v>e835267a1c9909e759d530cea3d17b5999d86761</v>
      </c>
      <c r="B266" s="16" t="str">
        <f>IFERROR(__xludf.DUMMYFUNCTION("""COMPUTED_VALUE"""),"Her Lightness System")</f>
        <v>Her Lightness System</v>
      </c>
      <c r="C266" s="16" t="str">
        <f>IFERROR(__xludf.DUMMYFUNCTION("""COMPUTED_VALUE"""),"System and Superpower")</f>
        <v>System and Superpower</v>
      </c>
      <c r="D266" s="16">
        <f>IFERROR(__xludf.DUMMYFUNCTION("""COMPUTED_VALUE"""),165.0)</f>
        <v>165</v>
      </c>
      <c r="E266" s="16">
        <f>IFERROR(__xludf.DUMMYFUNCTION("""COMPUTED_VALUE"""),0.927272727272727)</f>
        <v>0.9272727273</v>
      </c>
      <c r="F266" s="16">
        <f>IFERROR(__xludf.DUMMYFUNCTION("""COMPUTED_VALUE"""),0.587878787878787)</f>
        <v>0.5878787879</v>
      </c>
      <c r="G266" s="16">
        <f>IFERROR(__xludf.DUMMYFUNCTION("""COMPUTED_VALUE"""),0.569696969696969)</f>
        <v>0.5696969697</v>
      </c>
      <c r="H266" s="16">
        <f>IFERROR(__xludf.DUMMYFUNCTION("""COMPUTED_VALUE"""),0.545454545454545)</f>
        <v>0.5454545455</v>
      </c>
      <c r="I266" s="16">
        <f>IFERROR(__xludf.DUMMYFUNCTION("""COMPUTED_VALUE"""),0.496932515337423)</f>
        <v>0.4969325153</v>
      </c>
      <c r="J266" s="16">
        <f>IFERROR(__xludf.DUMMYFUNCTION("""COMPUTED_VALUE"""),0.468354430379746)</f>
        <v>0.4683544304</v>
      </c>
      <c r="K266" s="16">
        <f>IFERROR(__xludf.DUMMYFUNCTION("""COMPUTED_VALUE"""),0.448717948717948)</f>
        <v>0.4487179487</v>
      </c>
      <c r="L266" s="16">
        <f>IFERROR(__xludf.DUMMYFUNCTION("""COMPUTED_VALUE"""),0.390728476821192)</f>
        <v>0.3907284768</v>
      </c>
      <c r="M266" s="16">
        <f>IFERROR(__xludf.DUMMYFUNCTION("""COMPUTED_VALUE"""),0.347222222222222)</f>
        <v>0.3472222222</v>
      </c>
      <c r="N266" s="16">
        <f>IFERROR(__xludf.DUMMYFUNCTION("""COMPUTED_VALUE"""),0.375)</f>
        <v>0.375</v>
      </c>
      <c r="O266" s="16">
        <f>IFERROR(__xludf.DUMMYFUNCTION("""COMPUTED_VALUE"""),0.352459016393442)</f>
        <v>0.3524590164</v>
      </c>
      <c r="P266" s="16">
        <f>IFERROR(__xludf.DUMMYFUNCTION("""COMPUTED_VALUE"""),0.209090909090909)</f>
        <v>0.2090909091</v>
      </c>
      <c r="Q266" s="16">
        <f>IFERROR(__xludf.DUMMYFUNCTION("""COMPUTED_VALUE"""),0.108910891089108)</f>
        <v>0.1089108911</v>
      </c>
      <c r="R266" s="16">
        <f>IFERROR(__xludf.DUMMYFUNCTION("""COMPUTED_VALUE"""),0.0597014925373134)</f>
        <v>0.05970149254</v>
      </c>
      <c r="S266" s="16">
        <f>IFERROR(__xludf.DUMMYFUNCTION("""COMPUTED_VALUE"""),0.0)</f>
        <v>0</v>
      </c>
      <c r="T266" s="16">
        <f>IFERROR(__xludf.DUMMYFUNCTION("""COMPUTED_VALUE"""),0.0)</f>
        <v>0</v>
      </c>
      <c r="U266" s="16">
        <f>IFERROR(__xludf.DUMMYFUNCTION("""COMPUTED_VALUE"""),0.0)</f>
        <v>0</v>
      </c>
      <c r="V266" s="16">
        <f>IFERROR(__xludf.DUMMYFUNCTION("""COMPUTED_VALUE"""),0.0)</f>
        <v>0</v>
      </c>
      <c r="W266" s="16">
        <f>IFERROR(__xludf.DUMMYFUNCTION("""COMPUTED_VALUE"""),0.0)</f>
        <v>0</v>
      </c>
      <c r="X266" s="16">
        <f>IFERROR(__xludf.DUMMYFUNCTION("""COMPUTED_VALUE"""),0.0)</f>
        <v>0</v>
      </c>
      <c r="Y266" s="16">
        <f>IFERROR(__xludf.DUMMYFUNCTION("""COMPUTED_VALUE"""),0.0)</f>
        <v>0</v>
      </c>
      <c r="Z266" s="16">
        <f>IFERROR(__xludf.DUMMYFUNCTION("""COMPUTED_VALUE"""),0.0)</f>
        <v>0</v>
      </c>
      <c r="AA266" s="16">
        <f>IFERROR(__xludf.DUMMYFUNCTION("""COMPUTED_VALUE"""),0.0)</f>
        <v>0</v>
      </c>
      <c r="AB266" s="16">
        <f>IFERROR(__xludf.DUMMYFUNCTION("""COMPUTED_VALUE"""),0.0)</f>
        <v>0</v>
      </c>
      <c r="AC266" s="16">
        <f>IFERROR(__xludf.DUMMYFUNCTION("""COMPUTED_VALUE"""),0.0)</f>
        <v>0</v>
      </c>
      <c r="AD266" s="16">
        <f>IFERROR(__xludf.DUMMYFUNCTION("""COMPUTED_VALUE"""),0.0)</f>
        <v>0</v>
      </c>
      <c r="AE266" s="16">
        <f>IFERROR(__xludf.DUMMYFUNCTION("""COMPUTED_VALUE"""),0.0)</f>
        <v>0</v>
      </c>
      <c r="AF266" s="16">
        <f>IFERROR(__xludf.DUMMYFUNCTION("""COMPUTED_VALUE"""),0.0)</f>
        <v>0</v>
      </c>
      <c r="AG266" s="16">
        <f>IFERROR(__xludf.DUMMYFUNCTION("""COMPUTED_VALUE"""),0.0)</f>
        <v>0</v>
      </c>
      <c r="AH266" s="16">
        <f>IFERROR(__xludf.DUMMYFUNCTION("""COMPUTED_VALUE"""),0.0)</f>
        <v>0</v>
      </c>
    </row>
    <row r="267">
      <c r="A267" s="16" t="str">
        <f>IFERROR(__xludf.DUMMYFUNCTION("""COMPUTED_VALUE"""),"e83bb9290a73242b13db9a4453b23f1b0ca9fed0")</f>
        <v>e83bb9290a73242b13db9a4453b23f1b0ca9fed0</v>
      </c>
      <c r="B267" s="16" t="str">
        <f>IFERROR(__xludf.DUMMYFUNCTION("""COMPUTED_VALUE"""),"The Baby He Denied")</f>
        <v>The Baby He Denied</v>
      </c>
      <c r="C267" s="16" t="str">
        <f>IFERROR(__xludf.DUMMYFUNCTION("""COMPUTED_VALUE"""),"Romance")</f>
        <v>Romance</v>
      </c>
      <c r="D267" s="16">
        <f>IFERROR(__xludf.DUMMYFUNCTION("""COMPUTED_VALUE"""),1946.0)</f>
        <v>1946</v>
      </c>
      <c r="E267" s="16">
        <f>IFERROR(__xludf.DUMMYFUNCTION("""COMPUTED_VALUE"""),0.95940390544707)</f>
        <v>0.9594039054</v>
      </c>
      <c r="F267" s="16">
        <f>IFERROR(__xludf.DUMMYFUNCTION("""COMPUTED_VALUE"""),0.720452209660842)</f>
        <v>0.7204522097</v>
      </c>
      <c r="G267" s="16">
        <f>IFERROR(__xludf.DUMMYFUNCTION("""COMPUTED_VALUE"""),0.659301130524152)</f>
        <v>0.6593011305</v>
      </c>
      <c r="H267" s="16">
        <f>IFERROR(__xludf.DUMMYFUNCTION("""COMPUTED_VALUE"""),0.585604113110539)</f>
        <v>0.5856041131</v>
      </c>
      <c r="I267" s="16">
        <f>IFERROR(__xludf.DUMMYFUNCTION("""COMPUTED_VALUE"""),0.575398867730313)</f>
        <v>0.5753988677</v>
      </c>
      <c r="J267" s="16">
        <f>IFERROR(__xludf.DUMMYFUNCTION("""COMPUTED_VALUE"""),0.53707518022657)</f>
        <v>0.5370751802</v>
      </c>
      <c r="K267" s="16">
        <f>IFERROR(__xludf.DUMMYFUNCTION("""COMPUTED_VALUE"""),0.500772797527048)</f>
        <v>0.5007727975</v>
      </c>
      <c r="L267" s="16">
        <f>IFERROR(__xludf.DUMMYFUNCTION("""COMPUTED_VALUE"""),0.445708376421923)</f>
        <v>0.4457083764</v>
      </c>
      <c r="M267" s="16">
        <f>IFERROR(__xludf.DUMMYFUNCTION("""COMPUTED_VALUE"""),0.419555095706156)</f>
        <v>0.4195550957</v>
      </c>
      <c r="N267" s="16">
        <f>IFERROR(__xludf.DUMMYFUNCTION("""COMPUTED_VALUE"""),0.389549922400413)</f>
        <v>0.3895499224</v>
      </c>
      <c r="O267" s="16">
        <f>IFERROR(__xludf.DUMMYFUNCTION("""COMPUTED_VALUE"""),0.316971279373368)</f>
        <v>0.3169712794</v>
      </c>
      <c r="P267" s="16">
        <f>IFERROR(__xludf.DUMMYFUNCTION("""COMPUTED_VALUE"""),0.2602010644589)</f>
        <v>0.2602010645</v>
      </c>
      <c r="Q267" s="16">
        <f>IFERROR(__xludf.DUMMYFUNCTION("""COMPUTED_VALUE"""),0.11231884057971)</f>
        <v>0.1123188406</v>
      </c>
      <c r="R267" s="16">
        <f>IFERROR(__xludf.DUMMYFUNCTION("""COMPUTED_VALUE"""),0.074074074074074)</f>
        <v>0.07407407407</v>
      </c>
      <c r="S267" s="16">
        <f>IFERROR(__xludf.DUMMYFUNCTION("""COMPUTED_VALUE"""),0.0909090909090909)</f>
        <v>0.09090909091</v>
      </c>
      <c r="T267" s="16">
        <f>IFERROR(__xludf.DUMMYFUNCTION("""COMPUTED_VALUE"""),0.125)</f>
        <v>0.125</v>
      </c>
      <c r="U267" s="16">
        <f>IFERROR(__xludf.DUMMYFUNCTION("""COMPUTED_VALUE"""),0.166666666666666)</f>
        <v>0.1666666667</v>
      </c>
      <c r="V267" s="16">
        <f>IFERROR(__xludf.DUMMYFUNCTION("""COMPUTED_VALUE"""),0.0)</f>
        <v>0</v>
      </c>
      <c r="W267" s="16">
        <f>IFERROR(__xludf.DUMMYFUNCTION("""COMPUTED_VALUE"""),0.0)</f>
        <v>0</v>
      </c>
      <c r="X267" s="16">
        <f>IFERROR(__xludf.DUMMYFUNCTION("""COMPUTED_VALUE"""),0.0)</f>
        <v>0</v>
      </c>
      <c r="Y267" s="16">
        <f>IFERROR(__xludf.DUMMYFUNCTION("""COMPUTED_VALUE"""),0.0)</f>
        <v>0</v>
      </c>
      <c r="Z267" s="16">
        <f>IFERROR(__xludf.DUMMYFUNCTION("""COMPUTED_VALUE"""),0.0)</f>
        <v>0</v>
      </c>
      <c r="AA267" s="16">
        <f>IFERROR(__xludf.DUMMYFUNCTION("""COMPUTED_VALUE"""),0.0)</f>
        <v>0</v>
      </c>
      <c r="AB267" s="16">
        <f>IFERROR(__xludf.DUMMYFUNCTION("""COMPUTED_VALUE"""),0.0)</f>
        <v>0</v>
      </c>
      <c r="AC267" s="16">
        <f>IFERROR(__xludf.DUMMYFUNCTION("""COMPUTED_VALUE"""),0.0)</f>
        <v>0</v>
      </c>
      <c r="AD267" s="16">
        <f>IFERROR(__xludf.DUMMYFUNCTION("""COMPUTED_VALUE"""),0.0)</f>
        <v>0</v>
      </c>
      <c r="AE267" s="16">
        <f>IFERROR(__xludf.DUMMYFUNCTION("""COMPUTED_VALUE"""),0.0)</f>
        <v>0</v>
      </c>
      <c r="AF267" s="16">
        <f>IFERROR(__xludf.DUMMYFUNCTION("""COMPUTED_VALUE"""),0.0)</f>
        <v>0</v>
      </c>
      <c r="AG267" s="16">
        <f>IFERROR(__xludf.DUMMYFUNCTION("""COMPUTED_VALUE"""),0.0)</f>
        <v>0</v>
      </c>
      <c r="AH267" s="16">
        <f>IFERROR(__xludf.DUMMYFUNCTION("""COMPUTED_VALUE"""),0.0)</f>
        <v>0</v>
      </c>
    </row>
    <row r="268">
      <c r="A268" s="16" t="str">
        <f>IFERROR(__xludf.DUMMYFUNCTION("""COMPUTED_VALUE"""),"e8df3cfef87feac45c4c024f9cbd7254cfc15952")</f>
        <v>e8df3cfef87feac45c4c024f9cbd7254cfc15952</v>
      </c>
      <c r="B268" s="16" t="str">
        <f>IFERROR(__xludf.DUMMYFUNCTION("""COMPUTED_VALUE"""),"Between Wolves and Lies")</f>
        <v>Between Wolves and Lies</v>
      </c>
      <c r="C268" s="16" t="str">
        <f>IFERROR(__xludf.DUMMYFUNCTION("""COMPUTED_VALUE"""),"Romantasy")</f>
        <v>Romantasy</v>
      </c>
      <c r="D268" s="16">
        <f>IFERROR(__xludf.DUMMYFUNCTION("""COMPUTED_VALUE"""),571.0)</f>
        <v>571</v>
      </c>
      <c r="E268" s="16">
        <f>IFERROR(__xludf.DUMMYFUNCTION("""COMPUTED_VALUE"""),0.987740805604203)</f>
        <v>0.9877408056</v>
      </c>
      <c r="F268" s="16">
        <f>IFERROR(__xludf.DUMMYFUNCTION("""COMPUTED_VALUE"""),0.532399299474606)</f>
        <v>0.5323992995</v>
      </c>
      <c r="G268" s="16">
        <f>IFERROR(__xludf.DUMMYFUNCTION("""COMPUTED_VALUE"""),0.46584938704028)</f>
        <v>0.465849387</v>
      </c>
      <c r="H268" s="16">
        <f>IFERROR(__xludf.DUMMYFUNCTION("""COMPUTED_VALUE"""),0.395796847635726)</f>
        <v>0.3957968476</v>
      </c>
      <c r="I268" s="16">
        <f>IFERROR(__xludf.DUMMYFUNCTION("""COMPUTED_VALUE"""),0.346760070052539)</f>
        <v>0.3467600701</v>
      </c>
      <c r="J268" s="16">
        <f>IFERROR(__xludf.DUMMYFUNCTION("""COMPUTED_VALUE"""),0.325744308231173)</f>
        <v>0.3257443082</v>
      </c>
      <c r="K268" s="16">
        <f>IFERROR(__xludf.DUMMYFUNCTION("""COMPUTED_VALUE"""),0.295971978984238)</f>
        <v>0.295971979</v>
      </c>
      <c r="L268" s="16">
        <f>IFERROR(__xludf.DUMMYFUNCTION("""COMPUTED_VALUE"""),0.262697022767075)</f>
        <v>0.2626970228</v>
      </c>
      <c r="M268" s="16">
        <f>IFERROR(__xludf.DUMMYFUNCTION("""COMPUTED_VALUE"""),0.24693520140105)</f>
        <v>0.2469352014</v>
      </c>
      <c r="N268" s="16">
        <f>IFERROR(__xludf.DUMMYFUNCTION("""COMPUTED_VALUE"""),0.215411558669001)</f>
        <v>0.2154115587</v>
      </c>
      <c r="O268" s="16">
        <f>IFERROR(__xludf.DUMMYFUNCTION("""COMPUTED_VALUE"""),0.147110332749562)</f>
        <v>0.1471103327</v>
      </c>
      <c r="P268" s="16">
        <f>IFERROR(__xludf.DUMMYFUNCTION("""COMPUTED_VALUE"""),0.0598591549295774)</f>
        <v>0.05985915493</v>
      </c>
      <c r="Q268" s="16">
        <f>IFERROR(__xludf.DUMMYFUNCTION("""COMPUTED_VALUE"""),0.032051282051282)</f>
        <v>0.03205128205</v>
      </c>
      <c r="R268" s="16">
        <f>IFERROR(__xludf.DUMMYFUNCTION("""COMPUTED_VALUE"""),0.00518134715025906)</f>
        <v>0.00518134715</v>
      </c>
      <c r="S268" s="16">
        <f>IFERROR(__xludf.DUMMYFUNCTION("""COMPUTED_VALUE"""),0.0)</f>
        <v>0</v>
      </c>
      <c r="T268" s="16">
        <f>IFERROR(__xludf.DUMMYFUNCTION("""COMPUTED_VALUE"""),0.0)</f>
        <v>0</v>
      </c>
      <c r="U268" s="16">
        <f>IFERROR(__xludf.DUMMYFUNCTION("""COMPUTED_VALUE"""),0.0)</f>
        <v>0</v>
      </c>
      <c r="V268" s="16">
        <f>IFERROR(__xludf.DUMMYFUNCTION("""COMPUTED_VALUE"""),0.0)</f>
        <v>0</v>
      </c>
      <c r="W268" s="16">
        <f>IFERROR(__xludf.DUMMYFUNCTION("""COMPUTED_VALUE"""),0.0)</f>
        <v>0</v>
      </c>
      <c r="X268" s="16">
        <f>IFERROR(__xludf.DUMMYFUNCTION("""COMPUTED_VALUE"""),0.0)</f>
        <v>0</v>
      </c>
      <c r="Y268" s="16">
        <f>IFERROR(__xludf.DUMMYFUNCTION("""COMPUTED_VALUE"""),0.0)</f>
        <v>0</v>
      </c>
      <c r="Z268" s="16">
        <f>IFERROR(__xludf.DUMMYFUNCTION("""COMPUTED_VALUE"""),0.0)</f>
        <v>0</v>
      </c>
      <c r="AA268" s="16">
        <f>IFERROR(__xludf.DUMMYFUNCTION("""COMPUTED_VALUE"""),0.0)</f>
        <v>0</v>
      </c>
      <c r="AB268" s="16">
        <f>IFERROR(__xludf.DUMMYFUNCTION("""COMPUTED_VALUE"""),0.0)</f>
        <v>0</v>
      </c>
      <c r="AC268" s="16">
        <f>IFERROR(__xludf.DUMMYFUNCTION("""COMPUTED_VALUE"""),0.0)</f>
        <v>0</v>
      </c>
      <c r="AD268" s="16">
        <f>IFERROR(__xludf.DUMMYFUNCTION("""COMPUTED_VALUE"""),0.0)</f>
        <v>0</v>
      </c>
      <c r="AE268" s="16">
        <f>IFERROR(__xludf.DUMMYFUNCTION("""COMPUTED_VALUE"""),0.0)</f>
        <v>0</v>
      </c>
      <c r="AF268" s="16">
        <f>IFERROR(__xludf.DUMMYFUNCTION("""COMPUTED_VALUE"""),0.0)</f>
        <v>0</v>
      </c>
      <c r="AG268" s="16">
        <f>IFERROR(__xludf.DUMMYFUNCTION("""COMPUTED_VALUE"""),0.0)</f>
        <v>0</v>
      </c>
      <c r="AH268" s="16">
        <f>IFERROR(__xludf.DUMMYFUNCTION("""COMPUTED_VALUE"""),0.0)</f>
        <v>0</v>
      </c>
    </row>
    <row r="269">
      <c r="A269" s="16" t="str">
        <f>IFERROR(__xludf.DUMMYFUNCTION("""COMPUTED_VALUE"""),"ea92bb1897e9689085dd845e7e6258c8a6350447")</f>
        <v>ea92bb1897e9689085dd845e7e6258c8a6350447</v>
      </c>
      <c r="B269" s="16" t="str">
        <f>IFERROR(__xludf.DUMMYFUNCTION("""COMPUTED_VALUE"""),"The Apocalypse Baby")</f>
        <v>The Apocalypse Baby</v>
      </c>
      <c r="C269" s="16" t="str">
        <f>IFERROR(__xludf.DUMMYFUNCTION("""COMPUTED_VALUE"""),"System and Superpower")</f>
        <v>System and Superpower</v>
      </c>
      <c r="D269" s="16">
        <f>IFERROR(__xludf.DUMMYFUNCTION("""COMPUTED_VALUE"""),4.0)</f>
        <v>4</v>
      </c>
      <c r="E269" s="16">
        <f>IFERROR(__xludf.DUMMYFUNCTION("""COMPUTED_VALUE"""),1.0)</f>
        <v>1</v>
      </c>
      <c r="F269" s="16">
        <f>IFERROR(__xludf.DUMMYFUNCTION("""COMPUTED_VALUE"""),1.0)</f>
        <v>1</v>
      </c>
      <c r="G269" s="16">
        <f>IFERROR(__xludf.DUMMYFUNCTION("""COMPUTED_VALUE"""),0.75)</f>
        <v>0.75</v>
      </c>
      <c r="H269" s="16">
        <f>IFERROR(__xludf.DUMMYFUNCTION("""COMPUTED_VALUE"""),0.75)</f>
        <v>0.75</v>
      </c>
      <c r="I269" s="16">
        <f>IFERROR(__xludf.DUMMYFUNCTION("""COMPUTED_VALUE"""),0.0)</f>
        <v>0</v>
      </c>
      <c r="J269" s="16">
        <f>IFERROR(__xludf.DUMMYFUNCTION("""COMPUTED_VALUE"""),0.0)</f>
        <v>0</v>
      </c>
      <c r="K269" s="16">
        <f>IFERROR(__xludf.DUMMYFUNCTION("""COMPUTED_VALUE"""),0.0)</f>
        <v>0</v>
      </c>
      <c r="L269" s="16">
        <f>IFERROR(__xludf.DUMMYFUNCTION("""COMPUTED_VALUE"""),0.0)</f>
        <v>0</v>
      </c>
      <c r="M269" s="16">
        <f>IFERROR(__xludf.DUMMYFUNCTION("""COMPUTED_VALUE"""),0.0)</f>
        <v>0</v>
      </c>
      <c r="N269" s="16">
        <f>IFERROR(__xludf.DUMMYFUNCTION("""COMPUTED_VALUE"""),0.0)</f>
        <v>0</v>
      </c>
      <c r="O269" s="16">
        <f>IFERROR(__xludf.DUMMYFUNCTION("""COMPUTED_VALUE"""),0.0)</f>
        <v>0</v>
      </c>
      <c r="P269" s="16">
        <f>IFERROR(__xludf.DUMMYFUNCTION("""COMPUTED_VALUE"""),0.0)</f>
        <v>0</v>
      </c>
      <c r="Q269" s="16">
        <f>IFERROR(__xludf.DUMMYFUNCTION("""COMPUTED_VALUE"""),0.0)</f>
        <v>0</v>
      </c>
      <c r="R269" s="16">
        <f>IFERROR(__xludf.DUMMYFUNCTION("""COMPUTED_VALUE"""),0.0)</f>
        <v>0</v>
      </c>
      <c r="S269" s="16">
        <f>IFERROR(__xludf.DUMMYFUNCTION("""COMPUTED_VALUE"""),0.0)</f>
        <v>0</v>
      </c>
      <c r="T269" s="16">
        <f>IFERROR(__xludf.DUMMYFUNCTION("""COMPUTED_VALUE"""),0.0)</f>
        <v>0</v>
      </c>
      <c r="U269" s="16">
        <f>IFERROR(__xludf.DUMMYFUNCTION("""COMPUTED_VALUE"""),0.0)</f>
        <v>0</v>
      </c>
      <c r="V269" s="16">
        <f>IFERROR(__xludf.DUMMYFUNCTION("""COMPUTED_VALUE"""),0.0)</f>
        <v>0</v>
      </c>
      <c r="W269" s="16">
        <f>IFERROR(__xludf.DUMMYFUNCTION("""COMPUTED_VALUE"""),0.0)</f>
        <v>0</v>
      </c>
      <c r="X269" s="16">
        <f>IFERROR(__xludf.DUMMYFUNCTION("""COMPUTED_VALUE"""),0.0)</f>
        <v>0</v>
      </c>
      <c r="Y269" s="16">
        <f>IFERROR(__xludf.DUMMYFUNCTION("""COMPUTED_VALUE"""),0.0)</f>
        <v>0</v>
      </c>
      <c r="Z269" s="16">
        <f>IFERROR(__xludf.DUMMYFUNCTION("""COMPUTED_VALUE"""),0.0)</f>
        <v>0</v>
      </c>
      <c r="AA269" s="16">
        <f>IFERROR(__xludf.DUMMYFUNCTION("""COMPUTED_VALUE"""),0.0)</f>
        <v>0</v>
      </c>
      <c r="AB269" s="16">
        <f>IFERROR(__xludf.DUMMYFUNCTION("""COMPUTED_VALUE"""),0.0)</f>
        <v>0</v>
      </c>
      <c r="AC269" s="16">
        <f>IFERROR(__xludf.DUMMYFUNCTION("""COMPUTED_VALUE"""),0.0)</f>
        <v>0</v>
      </c>
      <c r="AD269" s="16">
        <f>IFERROR(__xludf.DUMMYFUNCTION("""COMPUTED_VALUE"""),0.0)</f>
        <v>0</v>
      </c>
      <c r="AE269" s="16">
        <f>IFERROR(__xludf.DUMMYFUNCTION("""COMPUTED_VALUE"""),0.0)</f>
        <v>0</v>
      </c>
      <c r="AF269" s="16">
        <f>IFERROR(__xludf.DUMMYFUNCTION("""COMPUTED_VALUE"""),0.0)</f>
        <v>0</v>
      </c>
      <c r="AG269" s="16">
        <f>IFERROR(__xludf.DUMMYFUNCTION("""COMPUTED_VALUE"""),0.0)</f>
        <v>0</v>
      </c>
      <c r="AH269" s="16">
        <f>IFERROR(__xludf.DUMMYFUNCTION("""COMPUTED_VALUE"""),0.0)</f>
        <v>0</v>
      </c>
    </row>
    <row r="270">
      <c r="A270" s="16" t="str">
        <f>IFERROR(__xludf.DUMMYFUNCTION("""COMPUTED_VALUE"""),"ed37d82285cfdcacdd3008ef7825d877fd575b57")</f>
        <v>ed37d82285cfdcacdd3008ef7825d877fd575b57</v>
      </c>
      <c r="B270" s="16" t="str">
        <f>IFERROR(__xludf.DUMMYFUNCTION("""COMPUTED_VALUE"""),"Charade")</f>
        <v>Charade</v>
      </c>
      <c r="C270" s="16" t="str">
        <f>IFERROR(__xludf.DUMMYFUNCTION("""COMPUTED_VALUE"""),"Fantasy")</f>
        <v>Fantasy</v>
      </c>
      <c r="D270" s="16">
        <f>IFERROR(__xludf.DUMMYFUNCTION("""COMPUTED_VALUE"""),19.0)</f>
        <v>19</v>
      </c>
      <c r="E270" s="16">
        <f>IFERROR(__xludf.DUMMYFUNCTION("""COMPUTED_VALUE"""),1.0)</f>
        <v>1</v>
      </c>
      <c r="F270" s="16">
        <f>IFERROR(__xludf.DUMMYFUNCTION("""COMPUTED_VALUE"""),0.31578947368421)</f>
        <v>0.3157894737</v>
      </c>
      <c r="G270" s="16">
        <f>IFERROR(__xludf.DUMMYFUNCTION("""COMPUTED_VALUE"""),0.31578947368421)</f>
        <v>0.3157894737</v>
      </c>
      <c r="H270" s="16">
        <f>IFERROR(__xludf.DUMMYFUNCTION("""COMPUTED_VALUE"""),0.263157894736842)</f>
        <v>0.2631578947</v>
      </c>
      <c r="I270" s="16">
        <f>IFERROR(__xludf.DUMMYFUNCTION("""COMPUTED_VALUE"""),0.263157894736842)</f>
        <v>0.2631578947</v>
      </c>
      <c r="J270" s="16">
        <f>IFERROR(__xludf.DUMMYFUNCTION("""COMPUTED_VALUE"""),0.210526315789473)</f>
        <v>0.2105263158</v>
      </c>
      <c r="K270" s="16">
        <f>IFERROR(__xludf.DUMMYFUNCTION("""COMPUTED_VALUE"""),0.210526315789473)</f>
        <v>0.2105263158</v>
      </c>
      <c r="L270" s="16">
        <f>IFERROR(__xludf.DUMMYFUNCTION("""COMPUTED_VALUE"""),0.105263157894736)</f>
        <v>0.1052631579</v>
      </c>
      <c r="M270" s="16">
        <f>IFERROR(__xludf.DUMMYFUNCTION("""COMPUTED_VALUE"""),0.105263157894736)</f>
        <v>0.1052631579</v>
      </c>
      <c r="N270" s="16">
        <f>IFERROR(__xludf.DUMMYFUNCTION("""COMPUTED_VALUE"""),0.157894736842105)</f>
        <v>0.1578947368</v>
      </c>
      <c r="O270" s="16">
        <f>IFERROR(__xludf.DUMMYFUNCTION("""COMPUTED_VALUE"""),0.105263157894736)</f>
        <v>0.1052631579</v>
      </c>
      <c r="P270" s="16">
        <f>IFERROR(__xludf.DUMMYFUNCTION("""COMPUTED_VALUE"""),0.0555555555555555)</f>
        <v>0.05555555556</v>
      </c>
      <c r="Q270" s="16">
        <f>IFERROR(__xludf.DUMMYFUNCTION("""COMPUTED_VALUE"""),0.0)</f>
        <v>0</v>
      </c>
      <c r="R270" s="16">
        <f>IFERROR(__xludf.DUMMYFUNCTION("""COMPUTED_VALUE"""),0.0)</f>
        <v>0</v>
      </c>
      <c r="S270" s="16">
        <f>IFERROR(__xludf.DUMMYFUNCTION("""COMPUTED_VALUE"""),0.0)</f>
        <v>0</v>
      </c>
      <c r="T270" s="16">
        <f>IFERROR(__xludf.DUMMYFUNCTION("""COMPUTED_VALUE"""),0.0)</f>
        <v>0</v>
      </c>
      <c r="U270" s="16">
        <f>IFERROR(__xludf.DUMMYFUNCTION("""COMPUTED_VALUE"""),0.0)</f>
        <v>0</v>
      </c>
      <c r="V270" s="16">
        <f>IFERROR(__xludf.DUMMYFUNCTION("""COMPUTED_VALUE"""),0.0)</f>
        <v>0</v>
      </c>
      <c r="W270" s="16">
        <f>IFERROR(__xludf.DUMMYFUNCTION("""COMPUTED_VALUE"""),0.0)</f>
        <v>0</v>
      </c>
      <c r="X270" s="16">
        <f>IFERROR(__xludf.DUMMYFUNCTION("""COMPUTED_VALUE"""),0.0)</f>
        <v>0</v>
      </c>
      <c r="Y270" s="16">
        <f>IFERROR(__xludf.DUMMYFUNCTION("""COMPUTED_VALUE"""),0.0)</f>
        <v>0</v>
      </c>
      <c r="Z270" s="16">
        <f>IFERROR(__xludf.DUMMYFUNCTION("""COMPUTED_VALUE"""),0.0)</f>
        <v>0</v>
      </c>
      <c r="AA270" s="16">
        <f>IFERROR(__xludf.DUMMYFUNCTION("""COMPUTED_VALUE"""),0.0)</f>
        <v>0</v>
      </c>
      <c r="AB270" s="16">
        <f>IFERROR(__xludf.DUMMYFUNCTION("""COMPUTED_VALUE"""),0.0)</f>
        <v>0</v>
      </c>
      <c r="AC270" s="16">
        <f>IFERROR(__xludf.DUMMYFUNCTION("""COMPUTED_VALUE"""),0.0)</f>
        <v>0</v>
      </c>
      <c r="AD270" s="16">
        <f>IFERROR(__xludf.DUMMYFUNCTION("""COMPUTED_VALUE"""),0.0)</f>
        <v>0</v>
      </c>
      <c r="AE270" s="16">
        <f>IFERROR(__xludf.DUMMYFUNCTION("""COMPUTED_VALUE"""),0.0)</f>
        <v>0</v>
      </c>
      <c r="AF270" s="16">
        <f>IFERROR(__xludf.DUMMYFUNCTION("""COMPUTED_VALUE"""),0.0)</f>
        <v>0</v>
      </c>
      <c r="AG270" s="16">
        <f>IFERROR(__xludf.DUMMYFUNCTION("""COMPUTED_VALUE"""),0.0)</f>
        <v>0</v>
      </c>
      <c r="AH270" s="16">
        <f>IFERROR(__xludf.DUMMYFUNCTION("""COMPUTED_VALUE"""),0.0)</f>
        <v>0</v>
      </c>
    </row>
    <row r="271">
      <c r="A271" s="16" t="str">
        <f>IFERROR(__xludf.DUMMYFUNCTION("""COMPUTED_VALUE"""),"ee2e216e3dceba69118e501b055c3b7b9a0335a3")</f>
        <v>ee2e216e3dceba69118e501b055c3b7b9a0335a3</v>
      </c>
      <c r="B271" s="16" t="str">
        <f>IFERROR(__xludf.DUMMYFUNCTION("""COMPUTED_VALUE"""),"Kyan's System Awakening")</f>
        <v>Kyan's System Awakening</v>
      </c>
      <c r="C271" s="16" t="str">
        <f>IFERROR(__xludf.DUMMYFUNCTION("""COMPUTED_VALUE"""),"Fantasy")</f>
        <v>Fantasy</v>
      </c>
      <c r="D271" s="16">
        <f>IFERROR(__xludf.DUMMYFUNCTION("""COMPUTED_VALUE"""),553.0)</f>
        <v>553</v>
      </c>
      <c r="E271" s="16">
        <f>IFERROR(__xludf.DUMMYFUNCTION("""COMPUTED_VALUE"""),0.952983725135623)</f>
        <v>0.9529837251</v>
      </c>
      <c r="F271" s="16">
        <f>IFERROR(__xludf.DUMMYFUNCTION("""COMPUTED_VALUE"""),0.529837251356238)</f>
        <v>0.5298372514</v>
      </c>
      <c r="G271" s="16">
        <f>IFERROR(__xludf.DUMMYFUNCTION("""COMPUTED_VALUE"""),0.466546112115732)</f>
        <v>0.4665461121</v>
      </c>
      <c r="H271" s="16">
        <f>IFERROR(__xludf.DUMMYFUNCTION("""COMPUTED_VALUE"""),0.447272727272727)</f>
        <v>0.4472727273</v>
      </c>
      <c r="I271" s="16">
        <f>IFERROR(__xludf.DUMMYFUNCTION("""COMPUTED_VALUE"""),0.43992606284658)</f>
        <v>0.4399260628</v>
      </c>
      <c r="J271" s="16">
        <f>IFERROR(__xludf.DUMMYFUNCTION("""COMPUTED_VALUE"""),0.418691588785046)</f>
        <v>0.4186915888</v>
      </c>
      <c r="K271" s="16">
        <f>IFERROR(__xludf.DUMMYFUNCTION("""COMPUTED_VALUE"""),0.394339622641509)</f>
        <v>0.3943396226</v>
      </c>
      <c r="L271" s="16">
        <f>IFERROR(__xludf.DUMMYFUNCTION("""COMPUTED_VALUE"""),0.379770992366412)</f>
        <v>0.3797709924</v>
      </c>
      <c r="M271" s="16">
        <f>IFERROR(__xludf.DUMMYFUNCTION("""COMPUTED_VALUE"""),0.36504854368932)</f>
        <v>0.3650485437</v>
      </c>
      <c r="N271" s="16">
        <f>IFERROR(__xludf.DUMMYFUNCTION("""COMPUTED_VALUE"""),0.353876739562624)</f>
        <v>0.3538767396</v>
      </c>
      <c r="O271" s="16">
        <f>IFERROR(__xludf.DUMMYFUNCTION("""COMPUTED_VALUE"""),0.321814254859611)</f>
        <v>0.3218142549</v>
      </c>
      <c r="P271" s="16">
        <f>IFERROR(__xludf.DUMMYFUNCTION("""COMPUTED_VALUE"""),0.260355029585798)</f>
        <v>0.2603550296</v>
      </c>
      <c r="Q271" s="16">
        <f>IFERROR(__xludf.DUMMYFUNCTION("""COMPUTED_VALUE"""),0.158590308370044)</f>
        <v>0.1585903084</v>
      </c>
      <c r="R271" s="16">
        <f>IFERROR(__xludf.DUMMYFUNCTION("""COMPUTED_VALUE"""),0.114285714285714)</f>
        <v>0.1142857143</v>
      </c>
      <c r="S271" s="16">
        <f>IFERROR(__xludf.DUMMYFUNCTION("""COMPUTED_VALUE"""),0.078125)</f>
        <v>0.078125</v>
      </c>
      <c r="T271" s="16">
        <f>IFERROR(__xludf.DUMMYFUNCTION("""COMPUTED_VALUE"""),0.0208333333333333)</f>
        <v>0.02083333333</v>
      </c>
      <c r="U271" s="16">
        <f>IFERROR(__xludf.DUMMYFUNCTION("""COMPUTED_VALUE"""),0.0)</f>
        <v>0</v>
      </c>
      <c r="V271" s="16">
        <f>IFERROR(__xludf.DUMMYFUNCTION("""COMPUTED_VALUE"""),0.0)</f>
        <v>0</v>
      </c>
      <c r="W271" s="16">
        <f>IFERROR(__xludf.DUMMYFUNCTION("""COMPUTED_VALUE"""),0.0)</f>
        <v>0</v>
      </c>
      <c r="X271" s="16">
        <f>IFERROR(__xludf.DUMMYFUNCTION("""COMPUTED_VALUE"""),0.0)</f>
        <v>0</v>
      </c>
      <c r="Y271" s="16">
        <f>IFERROR(__xludf.DUMMYFUNCTION("""COMPUTED_VALUE"""),0.0)</f>
        <v>0</v>
      </c>
      <c r="Z271" s="16">
        <f>IFERROR(__xludf.DUMMYFUNCTION("""COMPUTED_VALUE"""),0.0)</f>
        <v>0</v>
      </c>
      <c r="AA271" s="16">
        <f>IFERROR(__xludf.DUMMYFUNCTION("""COMPUTED_VALUE"""),0.0)</f>
        <v>0</v>
      </c>
      <c r="AB271" s="16">
        <f>IFERROR(__xludf.DUMMYFUNCTION("""COMPUTED_VALUE"""),0.0)</f>
        <v>0</v>
      </c>
      <c r="AC271" s="16">
        <f>IFERROR(__xludf.DUMMYFUNCTION("""COMPUTED_VALUE"""),0.0)</f>
        <v>0</v>
      </c>
      <c r="AD271" s="16">
        <f>IFERROR(__xludf.DUMMYFUNCTION("""COMPUTED_VALUE"""),0.0)</f>
        <v>0</v>
      </c>
      <c r="AE271" s="16">
        <f>IFERROR(__xludf.DUMMYFUNCTION("""COMPUTED_VALUE"""),0.0)</f>
        <v>0</v>
      </c>
      <c r="AF271" s="16">
        <f>IFERROR(__xludf.DUMMYFUNCTION("""COMPUTED_VALUE"""),0.0)</f>
        <v>0</v>
      </c>
      <c r="AG271" s="16">
        <f>IFERROR(__xludf.DUMMYFUNCTION("""COMPUTED_VALUE"""),0.0)</f>
        <v>0</v>
      </c>
      <c r="AH271" s="16">
        <f>IFERROR(__xludf.DUMMYFUNCTION("""COMPUTED_VALUE"""),0.0)</f>
        <v>0</v>
      </c>
    </row>
    <row r="272">
      <c r="A272" s="16" t="str">
        <f>IFERROR(__xludf.DUMMYFUNCTION("""COMPUTED_VALUE"""),"ef47552b570f8fc4cc243b88fae469ea12c31df0")</f>
        <v>ef47552b570f8fc4cc243b88fae469ea12c31df0</v>
      </c>
      <c r="B272" s="16" t="str">
        <f>IFERROR(__xludf.DUMMYFUNCTION("""COMPUTED_VALUE"""),"Mated to Enemy’s Luna")</f>
        <v>Mated to Enemy’s Luna</v>
      </c>
      <c r="C272" s="16" t="str">
        <f>IFERROR(__xludf.DUMMYFUNCTION("""COMPUTED_VALUE"""),"Romantasy")</f>
        <v>Romantasy</v>
      </c>
      <c r="D272" s="16">
        <f>IFERROR(__xludf.DUMMYFUNCTION("""COMPUTED_VALUE"""),557.0)</f>
        <v>557</v>
      </c>
      <c r="E272" s="16">
        <f>IFERROR(__xludf.DUMMYFUNCTION("""COMPUTED_VALUE"""),0.949730700179533)</f>
        <v>0.9497307002</v>
      </c>
      <c r="F272" s="16">
        <f>IFERROR(__xludf.DUMMYFUNCTION("""COMPUTED_VALUE"""),0.648114901256732)</f>
        <v>0.6481149013</v>
      </c>
      <c r="G272" s="16">
        <f>IFERROR(__xludf.DUMMYFUNCTION("""COMPUTED_VALUE"""),0.597845601436265)</f>
        <v>0.5978456014</v>
      </c>
      <c r="H272" s="16">
        <f>IFERROR(__xludf.DUMMYFUNCTION("""COMPUTED_VALUE"""),0.570915619389587)</f>
        <v>0.5709156194</v>
      </c>
      <c r="I272" s="16">
        <f>IFERROR(__xludf.DUMMYFUNCTION("""COMPUTED_VALUE"""),0.52064631956912)</f>
        <v>0.5206463196</v>
      </c>
      <c r="J272" s="16">
        <f>IFERROR(__xludf.DUMMYFUNCTION("""COMPUTED_VALUE"""),0.477558348294434)</f>
        <v>0.4775583483</v>
      </c>
      <c r="K272" s="16">
        <f>IFERROR(__xludf.DUMMYFUNCTION("""COMPUTED_VALUE"""),0.440647482014388)</f>
        <v>0.440647482</v>
      </c>
      <c r="L272" s="16">
        <f>IFERROR(__xludf.DUMMYFUNCTION("""COMPUTED_VALUE"""),0.429856115107913)</f>
        <v>0.4298561151</v>
      </c>
      <c r="M272" s="16">
        <f>IFERROR(__xludf.DUMMYFUNCTION("""COMPUTED_VALUE"""),0.433453237410071)</f>
        <v>0.4334532374</v>
      </c>
      <c r="N272" s="16">
        <f>IFERROR(__xludf.DUMMYFUNCTION("""COMPUTED_VALUE"""),0.426258992805755)</f>
        <v>0.4262589928</v>
      </c>
      <c r="O272" s="16">
        <f>IFERROR(__xludf.DUMMYFUNCTION("""COMPUTED_VALUE"""),0.339805825242718)</f>
        <v>0.3398058252</v>
      </c>
      <c r="P272" s="16">
        <f>IFERROR(__xludf.DUMMYFUNCTION("""COMPUTED_VALUE"""),0.26008064516129)</f>
        <v>0.2600806452</v>
      </c>
      <c r="Q272" s="16">
        <f>IFERROR(__xludf.DUMMYFUNCTION("""COMPUTED_VALUE"""),0.0921409214092141)</f>
        <v>0.09214092141</v>
      </c>
      <c r="R272" s="16">
        <f>IFERROR(__xludf.DUMMYFUNCTION("""COMPUTED_VALUE"""),0.0949720670391061)</f>
        <v>0.09497206704</v>
      </c>
      <c r="S272" s="16">
        <f>IFERROR(__xludf.DUMMYFUNCTION("""COMPUTED_VALUE"""),0.0206185567010309)</f>
        <v>0.0206185567</v>
      </c>
      <c r="T272" s="16">
        <f>IFERROR(__xludf.DUMMYFUNCTION("""COMPUTED_VALUE"""),0.048780487804878)</f>
        <v>0.0487804878</v>
      </c>
      <c r="U272" s="16">
        <f>IFERROR(__xludf.DUMMYFUNCTION("""COMPUTED_VALUE"""),0.0)</f>
        <v>0</v>
      </c>
      <c r="V272" s="16">
        <f>IFERROR(__xludf.DUMMYFUNCTION("""COMPUTED_VALUE"""),0.0)</f>
        <v>0</v>
      </c>
      <c r="W272" s="16">
        <f>IFERROR(__xludf.DUMMYFUNCTION("""COMPUTED_VALUE"""),0.0)</f>
        <v>0</v>
      </c>
      <c r="X272" s="16">
        <f>IFERROR(__xludf.DUMMYFUNCTION("""COMPUTED_VALUE"""),0.0)</f>
        <v>0</v>
      </c>
      <c r="Y272" s="16">
        <f>IFERROR(__xludf.DUMMYFUNCTION("""COMPUTED_VALUE"""),0.0)</f>
        <v>0</v>
      </c>
      <c r="Z272" s="16">
        <f>IFERROR(__xludf.DUMMYFUNCTION("""COMPUTED_VALUE"""),0.0)</f>
        <v>0</v>
      </c>
      <c r="AA272" s="16">
        <f>IFERROR(__xludf.DUMMYFUNCTION("""COMPUTED_VALUE"""),0.0)</f>
        <v>0</v>
      </c>
      <c r="AB272" s="16">
        <f>IFERROR(__xludf.DUMMYFUNCTION("""COMPUTED_VALUE"""),0.0)</f>
        <v>0</v>
      </c>
      <c r="AC272" s="16">
        <f>IFERROR(__xludf.DUMMYFUNCTION("""COMPUTED_VALUE"""),0.0)</f>
        <v>0</v>
      </c>
      <c r="AD272" s="16">
        <f>IFERROR(__xludf.DUMMYFUNCTION("""COMPUTED_VALUE"""),0.0)</f>
        <v>0</v>
      </c>
      <c r="AE272" s="16">
        <f>IFERROR(__xludf.DUMMYFUNCTION("""COMPUTED_VALUE"""),0.0)</f>
        <v>0</v>
      </c>
      <c r="AF272" s="16">
        <f>IFERROR(__xludf.DUMMYFUNCTION("""COMPUTED_VALUE"""),0.0)</f>
        <v>0</v>
      </c>
      <c r="AG272" s="16">
        <f>IFERROR(__xludf.DUMMYFUNCTION("""COMPUTED_VALUE"""),0.0)</f>
        <v>0</v>
      </c>
      <c r="AH272" s="16">
        <f>IFERROR(__xludf.DUMMYFUNCTION("""COMPUTED_VALUE"""),0.0)</f>
        <v>0</v>
      </c>
    </row>
    <row r="273">
      <c r="A273" s="16" t="str">
        <f>IFERROR(__xludf.DUMMYFUNCTION("""COMPUTED_VALUE"""),"ef90fb4b8d0ce9719b044885fe4e0b7e925433a8")</f>
        <v>ef90fb4b8d0ce9719b044885fe4e0b7e925433a8</v>
      </c>
      <c r="B273" s="16" t="str">
        <f>IFERROR(__xludf.DUMMYFUNCTION("""COMPUTED_VALUE"""),"The Sovereign Prince")</f>
        <v>The Sovereign Prince</v>
      </c>
      <c r="C273" s="16" t="str">
        <f>IFERROR(__xludf.DUMMYFUNCTION("""COMPUTED_VALUE"""),"Fantasy")</f>
        <v>Fantasy</v>
      </c>
      <c r="D273" s="16">
        <f>IFERROR(__xludf.DUMMYFUNCTION("""COMPUTED_VALUE"""),94.0)</f>
        <v>94</v>
      </c>
      <c r="E273" s="16">
        <f>IFERROR(__xludf.DUMMYFUNCTION("""COMPUTED_VALUE"""),0.978723404255319)</f>
        <v>0.9787234043</v>
      </c>
      <c r="F273" s="16">
        <f>IFERROR(__xludf.DUMMYFUNCTION("""COMPUTED_VALUE"""),0.468085106382978)</f>
        <v>0.4680851064</v>
      </c>
      <c r="G273" s="16">
        <f>IFERROR(__xludf.DUMMYFUNCTION("""COMPUTED_VALUE"""),0.361702127659574)</f>
        <v>0.3617021277</v>
      </c>
      <c r="H273" s="16">
        <f>IFERROR(__xludf.DUMMYFUNCTION("""COMPUTED_VALUE"""),0.326086956521739)</f>
        <v>0.3260869565</v>
      </c>
      <c r="I273" s="16">
        <f>IFERROR(__xludf.DUMMYFUNCTION("""COMPUTED_VALUE"""),0.304347826086956)</f>
        <v>0.3043478261</v>
      </c>
      <c r="J273" s="16">
        <f>IFERROR(__xludf.DUMMYFUNCTION("""COMPUTED_VALUE"""),0.274725274725274)</f>
        <v>0.2747252747</v>
      </c>
      <c r="K273" s="16">
        <f>IFERROR(__xludf.DUMMYFUNCTION("""COMPUTED_VALUE"""),0.235955056179775)</f>
        <v>0.2359550562</v>
      </c>
      <c r="L273" s="16">
        <f>IFERROR(__xludf.DUMMYFUNCTION("""COMPUTED_VALUE"""),0.213483146067415)</f>
        <v>0.2134831461</v>
      </c>
      <c r="M273" s="16">
        <f>IFERROR(__xludf.DUMMYFUNCTION("""COMPUTED_VALUE"""),0.206896551724137)</f>
        <v>0.2068965517</v>
      </c>
      <c r="N273" s="16">
        <f>IFERROR(__xludf.DUMMYFUNCTION("""COMPUTED_VALUE"""),0.176470588235294)</f>
        <v>0.1764705882</v>
      </c>
      <c r="O273" s="16">
        <f>IFERROR(__xludf.DUMMYFUNCTION("""COMPUTED_VALUE"""),0.208955223880597)</f>
        <v>0.2089552239</v>
      </c>
      <c r="P273" s="16">
        <f>IFERROR(__xludf.DUMMYFUNCTION("""COMPUTED_VALUE"""),0.162162162162162)</f>
        <v>0.1621621622</v>
      </c>
      <c r="Q273" s="16">
        <f>IFERROR(__xludf.DUMMYFUNCTION("""COMPUTED_VALUE"""),0.0)</f>
        <v>0</v>
      </c>
      <c r="R273" s="16">
        <f>IFERROR(__xludf.DUMMYFUNCTION("""COMPUTED_VALUE"""),0.0)</f>
        <v>0</v>
      </c>
      <c r="S273" s="16">
        <f>IFERROR(__xludf.DUMMYFUNCTION("""COMPUTED_VALUE"""),0.0)</f>
        <v>0</v>
      </c>
      <c r="T273" s="16">
        <f>IFERROR(__xludf.DUMMYFUNCTION("""COMPUTED_VALUE"""),0.0)</f>
        <v>0</v>
      </c>
      <c r="U273" s="16">
        <f>IFERROR(__xludf.DUMMYFUNCTION("""COMPUTED_VALUE"""),0.0)</f>
        <v>0</v>
      </c>
      <c r="V273" s="16">
        <f>IFERROR(__xludf.DUMMYFUNCTION("""COMPUTED_VALUE"""),0.0)</f>
        <v>0</v>
      </c>
      <c r="W273" s="16">
        <f>IFERROR(__xludf.DUMMYFUNCTION("""COMPUTED_VALUE"""),0.0)</f>
        <v>0</v>
      </c>
      <c r="X273" s="16">
        <f>IFERROR(__xludf.DUMMYFUNCTION("""COMPUTED_VALUE"""),0.0)</f>
        <v>0</v>
      </c>
      <c r="Y273" s="16">
        <f>IFERROR(__xludf.DUMMYFUNCTION("""COMPUTED_VALUE"""),0.0)</f>
        <v>0</v>
      </c>
      <c r="Z273" s="16">
        <f>IFERROR(__xludf.DUMMYFUNCTION("""COMPUTED_VALUE"""),0.0)</f>
        <v>0</v>
      </c>
      <c r="AA273" s="16">
        <f>IFERROR(__xludf.DUMMYFUNCTION("""COMPUTED_VALUE"""),0.0)</f>
        <v>0</v>
      </c>
      <c r="AB273" s="16">
        <f>IFERROR(__xludf.DUMMYFUNCTION("""COMPUTED_VALUE"""),0.0)</f>
        <v>0</v>
      </c>
      <c r="AC273" s="16">
        <f>IFERROR(__xludf.DUMMYFUNCTION("""COMPUTED_VALUE"""),0.0)</f>
        <v>0</v>
      </c>
      <c r="AD273" s="16">
        <f>IFERROR(__xludf.DUMMYFUNCTION("""COMPUTED_VALUE"""),0.0)</f>
        <v>0</v>
      </c>
      <c r="AE273" s="16">
        <f>IFERROR(__xludf.DUMMYFUNCTION("""COMPUTED_VALUE"""),0.0)</f>
        <v>0</v>
      </c>
      <c r="AF273" s="16">
        <f>IFERROR(__xludf.DUMMYFUNCTION("""COMPUTED_VALUE"""),0.0)</f>
        <v>0</v>
      </c>
      <c r="AG273" s="16">
        <f>IFERROR(__xludf.DUMMYFUNCTION("""COMPUTED_VALUE"""),0.0)</f>
        <v>0</v>
      </c>
      <c r="AH273" s="16">
        <f>IFERROR(__xludf.DUMMYFUNCTION("""COMPUTED_VALUE"""),0.0)</f>
        <v>0</v>
      </c>
    </row>
    <row r="274">
      <c r="A274" s="16" t="str">
        <f>IFERROR(__xludf.DUMMYFUNCTION("""COMPUTED_VALUE"""),"efc5ab9117a97ffce6537344dcb0416ed5ff0dc1")</f>
        <v>efc5ab9117a97ffce6537344dcb0416ed5ff0dc1</v>
      </c>
      <c r="B274" s="16" t="str">
        <f>IFERROR(__xludf.DUMMYFUNCTION("""COMPUTED_VALUE"""),"Imperial Clan Descends")</f>
        <v>Imperial Clan Descends</v>
      </c>
      <c r="C274" s="16" t="str">
        <f>IFERROR(__xludf.DUMMYFUNCTION("""COMPUTED_VALUE"""),"Drama")</f>
        <v>Drama</v>
      </c>
      <c r="D274" s="16">
        <f>IFERROR(__xludf.DUMMYFUNCTION("""COMPUTED_VALUE"""),23.0)</f>
        <v>23</v>
      </c>
      <c r="E274" s="16">
        <f>IFERROR(__xludf.DUMMYFUNCTION("""COMPUTED_VALUE"""),0.956521739130434)</f>
        <v>0.9565217391</v>
      </c>
      <c r="F274" s="16">
        <f>IFERROR(__xludf.DUMMYFUNCTION("""COMPUTED_VALUE"""),0.608695652173913)</f>
        <v>0.6086956522</v>
      </c>
      <c r="G274" s="16">
        <f>IFERROR(__xludf.DUMMYFUNCTION("""COMPUTED_VALUE"""),0.391304347826087)</f>
        <v>0.3913043478</v>
      </c>
      <c r="H274" s="16">
        <f>IFERROR(__xludf.DUMMYFUNCTION("""COMPUTED_VALUE"""),0.391304347826087)</f>
        <v>0.3913043478</v>
      </c>
      <c r="I274" s="16">
        <f>IFERROR(__xludf.DUMMYFUNCTION("""COMPUTED_VALUE"""),0.318181818181818)</f>
        <v>0.3181818182</v>
      </c>
      <c r="J274" s="16">
        <f>IFERROR(__xludf.DUMMYFUNCTION("""COMPUTED_VALUE"""),0.285714285714285)</f>
        <v>0.2857142857</v>
      </c>
      <c r="K274" s="16">
        <f>IFERROR(__xludf.DUMMYFUNCTION("""COMPUTED_VALUE"""),0.25)</f>
        <v>0.25</v>
      </c>
      <c r="L274" s="16">
        <f>IFERROR(__xludf.DUMMYFUNCTION("""COMPUTED_VALUE"""),0.263157894736842)</f>
        <v>0.2631578947</v>
      </c>
      <c r="M274" s="16">
        <f>IFERROR(__xludf.DUMMYFUNCTION("""COMPUTED_VALUE"""),0.25)</f>
        <v>0.25</v>
      </c>
      <c r="N274" s="16">
        <f>IFERROR(__xludf.DUMMYFUNCTION("""COMPUTED_VALUE"""),0.2)</f>
        <v>0.2</v>
      </c>
      <c r="O274" s="16">
        <f>IFERROR(__xludf.DUMMYFUNCTION("""COMPUTED_VALUE"""),0.125)</f>
        <v>0.125</v>
      </c>
      <c r="P274" s="16">
        <f>IFERROR(__xludf.DUMMYFUNCTION("""COMPUTED_VALUE"""),0.285714285714285)</f>
        <v>0.2857142857</v>
      </c>
      <c r="Q274" s="16">
        <f>IFERROR(__xludf.DUMMYFUNCTION("""COMPUTED_VALUE"""),0.0)</f>
        <v>0</v>
      </c>
      <c r="R274" s="16">
        <f>IFERROR(__xludf.DUMMYFUNCTION("""COMPUTED_VALUE"""),0.0)</f>
        <v>0</v>
      </c>
      <c r="S274" s="16">
        <f>IFERROR(__xludf.DUMMYFUNCTION("""COMPUTED_VALUE"""),0.0)</f>
        <v>0</v>
      </c>
      <c r="T274" s="16">
        <f>IFERROR(__xludf.DUMMYFUNCTION("""COMPUTED_VALUE"""),0.0)</f>
        <v>0</v>
      </c>
      <c r="U274" s="16">
        <f>IFERROR(__xludf.DUMMYFUNCTION("""COMPUTED_VALUE"""),0.0)</f>
        <v>0</v>
      </c>
      <c r="V274" s="16">
        <f>IFERROR(__xludf.DUMMYFUNCTION("""COMPUTED_VALUE"""),0.0)</f>
        <v>0</v>
      </c>
      <c r="W274" s="16">
        <f>IFERROR(__xludf.DUMMYFUNCTION("""COMPUTED_VALUE"""),0.0)</f>
        <v>0</v>
      </c>
      <c r="X274" s="16">
        <f>IFERROR(__xludf.DUMMYFUNCTION("""COMPUTED_VALUE"""),0.0)</f>
        <v>0</v>
      </c>
      <c r="Y274" s="16">
        <f>IFERROR(__xludf.DUMMYFUNCTION("""COMPUTED_VALUE"""),0.0)</f>
        <v>0</v>
      </c>
      <c r="Z274" s="16">
        <f>IFERROR(__xludf.DUMMYFUNCTION("""COMPUTED_VALUE"""),0.0)</f>
        <v>0</v>
      </c>
      <c r="AA274" s="16">
        <f>IFERROR(__xludf.DUMMYFUNCTION("""COMPUTED_VALUE"""),0.0)</f>
        <v>0</v>
      </c>
      <c r="AB274" s="16">
        <f>IFERROR(__xludf.DUMMYFUNCTION("""COMPUTED_VALUE"""),0.0)</f>
        <v>0</v>
      </c>
      <c r="AC274" s="16">
        <f>IFERROR(__xludf.DUMMYFUNCTION("""COMPUTED_VALUE"""),0.0)</f>
        <v>0</v>
      </c>
      <c r="AD274" s="16">
        <f>IFERROR(__xludf.DUMMYFUNCTION("""COMPUTED_VALUE"""),0.0)</f>
        <v>0</v>
      </c>
      <c r="AE274" s="16">
        <f>IFERROR(__xludf.DUMMYFUNCTION("""COMPUTED_VALUE"""),0.0)</f>
        <v>0</v>
      </c>
      <c r="AF274" s="16">
        <f>IFERROR(__xludf.DUMMYFUNCTION("""COMPUTED_VALUE"""),0.0)</f>
        <v>0</v>
      </c>
      <c r="AG274" s="16">
        <f>IFERROR(__xludf.DUMMYFUNCTION("""COMPUTED_VALUE"""),0.0)</f>
        <v>0</v>
      </c>
      <c r="AH274" s="16">
        <f>IFERROR(__xludf.DUMMYFUNCTION("""COMPUTED_VALUE"""),0.0)</f>
        <v>0</v>
      </c>
    </row>
    <row r="275">
      <c r="A275" s="16" t="str">
        <f>IFERROR(__xludf.DUMMYFUNCTION("""COMPUTED_VALUE"""),"f06451dc56081680609a77b52825c3da76e8ae66")</f>
        <v>f06451dc56081680609a77b52825c3da76e8ae66</v>
      </c>
      <c r="B275" s="16" t="str">
        <f>IFERROR(__xludf.DUMMYFUNCTION("""COMPUTED_VALUE"""),"Her Exit, His Regret")</f>
        <v>Her Exit, His Regret</v>
      </c>
      <c r="C275" s="16" t="str">
        <f>IFERROR(__xludf.DUMMYFUNCTION("""COMPUTED_VALUE"""),"Romance")</f>
        <v>Romance</v>
      </c>
      <c r="D275" s="16">
        <f>IFERROR(__xludf.DUMMYFUNCTION("""COMPUTED_VALUE"""),990.0)</f>
        <v>990</v>
      </c>
      <c r="E275" s="16">
        <f>IFERROR(__xludf.DUMMYFUNCTION("""COMPUTED_VALUE"""),0.956565656565656)</f>
        <v>0.9565656566</v>
      </c>
      <c r="F275" s="16">
        <f>IFERROR(__xludf.DUMMYFUNCTION("""COMPUTED_VALUE"""),0.641414141414141)</f>
        <v>0.6414141414</v>
      </c>
      <c r="G275" s="16">
        <f>IFERROR(__xludf.DUMMYFUNCTION("""COMPUTED_VALUE"""),0.564646464646464)</f>
        <v>0.5646464646</v>
      </c>
      <c r="H275" s="16">
        <f>IFERROR(__xludf.DUMMYFUNCTION("""COMPUTED_VALUE"""),0.495959595959595)</f>
        <v>0.495959596</v>
      </c>
      <c r="I275" s="16">
        <f>IFERROR(__xludf.DUMMYFUNCTION("""COMPUTED_VALUE"""),0.431313131313131)</f>
        <v>0.4313131313</v>
      </c>
      <c r="J275" s="16">
        <f>IFERROR(__xludf.DUMMYFUNCTION("""COMPUTED_VALUE"""),0.40080971659919)</f>
        <v>0.4008097166</v>
      </c>
      <c r="K275" s="16">
        <f>IFERROR(__xludf.DUMMYFUNCTION("""COMPUTED_VALUE"""),0.397773279352226)</f>
        <v>0.3977732794</v>
      </c>
      <c r="L275" s="16">
        <f>IFERROR(__xludf.DUMMYFUNCTION("""COMPUTED_VALUE"""),0.328708644610458)</f>
        <v>0.3287086446</v>
      </c>
      <c r="M275" s="16">
        <f>IFERROR(__xludf.DUMMYFUNCTION("""COMPUTED_VALUE"""),0.298826040554962)</f>
        <v>0.2988260406</v>
      </c>
      <c r="N275" s="16">
        <f>IFERROR(__xludf.DUMMYFUNCTION("""COMPUTED_VALUE"""),0.287086446104589)</f>
        <v>0.2870864461</v>
      </c>
      <c r="O275" s="16">
        <f>IFERROR(__xludf.DUMMYFUNCTION("""COMPUTED_VALUE"""),0.251354279523293)</f>
        <v>0.2513542795</v>
      </c>
      <c r="P275" s="16">
        <f>IFERROR(__xludf.DUMMYFUNCTION("""COMPUTED_VALUE"""),0.170403587443946)</f>
        <v>0.1704035874</v>
      </c>
      <c r="Q275" s="16">
        <f>IFERROR(__xludf.DUMMYFUNCTION("""COMPUTED_VALUE"""),0.102880658436214)</f>
        <v>0.1028806584</v>
      </c>
      <c r="R275" s="16">
        <f>IFERROR(__xludf.DUMMYFUNCTION("""COMPUTED_VALUE"""),0.16)</f>
        <v>0.16</v>
      </c>
      <c r="S275" s="16">
        <f>IFERROR(__xludf.DUMMYFUNCTION("""COMPUTED_VALUE"""),0.0)</f>
        <v>0</v>
      </c>
      <c r="T275" s="16">
        <f>IFERROR(__xludf.DUMMYFUNCTION("""COMPUTED_VALUE"""),0.0)</f>
        <v>0</v>
      </c>
      <c r="U275" s="16">
        <f>IFERROR(__xludf.DUMMYFUNCTION("""COMPUTED_VALUE"""),0.0)</f>
        <v>0</v>
      </c>
      <c r="V275" s="16">
        <f>IFERROR(__xludf.DUMMYFUNCTION("""COMPUTED_VALUE"""),0.0)</f>
        <v>0</v>
      </c>
      <c r="W275" s="16">
        <f>IFERROR(__xludf.DUMMYFUNCTION("""COMPUTED_VALUE"""),0.0)</f>
        <v>0</v>
      </c>
      <c r="X275" s="16">
        <f>IFERROR(__xludf.DUMMYFUNCTION("""COMPUTED_VALUE"""),0.0)</f>
        <v>0</v>
      </c>
      <c r="Y275" s="16">
        <f>IFERROR(__xludf.DUMMYFUNCTION("""COMPUTED_VALUE"""),0.0)</f>
        <v>0</v>
      </c>
      <c r="Z275" s="16">
        <f>IFERROR(__xludf.DUMMYFUNCTION("""COMPUTED_VALUE"""),0.0)</f>
        <v>0</v>
      </c>
      <c r="AA275" s="16">
        <f>IFERROR(__xludf.DUMMYFUNCTION("""COMPUTED_VALUE"""),0.0)</f>
        <v>0</v>
      </c>
      <c r="AB275" s="16">
        <f>IFERROR(__xludf.DUMMYFUNCTION("""COMPUTED_VALUE"""),0.0)</f>
        <v>0</v>
      </c>
      <c r="AC275" s="16">
        <f>IFERROR(__xludf.DUMMYFUNCTION("""COMPUTED_VALUE"""),0.0)</f>
        <v>0</v>
      </c>
      <c r="AD275" s="16">
        <f>IFERROR(__xludf.DUMMYFUNCTION("""COMPUTED_VALUE"""),0.0)</f>
        <v>0</v>
      </c>
      <c r="AE275" s="16">
        <f>IFERROR(__xludf.DUMMYFUNCTION("""COMPUTED_VALUE"""),0.0)</f>
        <v>0</v>
      </c>
      <c r="AF275" s="16">
        <f>IFERROR(__xludf.DUMMYFUNCTION("""COMPUTED_VALUE"""),0.0)</f>
        <v>0</v>
      </c>
      <c r="AG275" s="16">
        <f>IFERROR(__xludf.DUMMYFUNCTION("""COMPUTED_VALUE"""),0.0)</f>
        <v>0</v>
      </c>
      <c r="AH275" s="16">
        <f>IFERROR(__xludf.DUMMYFUNCTION("""COMPUTED_VALUE"""),0.0)</f>
        <v>0</v>
      </c>
    </row>
    <row r="276">
      <c r="A276" s="16" t="str">
        <f>IFERROR(__xludf.DUMMYFUNCTION("""COMPUTED_VALUE"""),"f11e794eecc64915145ae97085e04201646abfe3")</f>
        <v>f11e794eecc64915145ae97085e04201646abfe3</v>
      </c>
      <c r="B276" s="16" t="str">
        <f>IFERROR(__xludf.DUMMYFUNCTION("""COMPUTED_VALUE"""),"Almost His Bride ")</f>
        <v>Almost His Bride </v>
      </c>
      <c r="C276" s="16" t="str">
        <f>IFERROR(__xludf.DUMMYFUNCTION("""COMPUTED_VALUE"""),"Romance")</f>
        <v>Romance</v>
      </c>
      <c r="D276" s="16">
        <f>IFERROR(__xludf.DUMMYFUNCTION("""COMPUTED_VALUE"""),198.0)</f>
        <v>198</v>
      </c>
      <c r="E276" s="16">
        <f>IFERROR(__xludf.DUMMYFUNCTION("""COMPUTED_VALUE"""),0.974747474747474)</f>
        <v>0.9747474747</v>
      </c>
      <c r="F276" s="16">
        <f>IFERROR(__xludf.DUMMYFUNCTION("""COMPUTED_VALUE"""),0.651515151515151)</f>
        <v>0.6515151515</v>
      </c>
      <c r="G276" s="16">
        <f>IFERROR(__xludf.DUMMYFUNCTION("""COMPUTED_VALUE"""),0.631313131313131)</f>
        <v>0.6313131313</v>
      </c>
      <c r="H276" s="16">
        <f>IFERROR(__xludf.DUMMYFUNCTION("""COMPUTED_VALUE"""),0.595959595959595)</f>
        <v>0.595959596</v>
      </c>
      <c r="I276" s="16">
        <f>IFERROR(__xludf.DUMMYFUNCTION("""COMPUTED_VALUE"""),0.565656565656565)</f>
        <v>0.5656565657</v>
      </c>
      <c r="J276" s="16">
        <f>IFERROR(__xludf.DUMMYFUNCTION("""COMPUTED_VALUE"""),0.57070707070707)</f>
        <v>0.5707070707</v>
      </c>
      <c r="K276" s="16">
        <f>IFERROR(__xludf.DUMMYFUNCTION("""COMPUTED_VALUE"""),0.545454545454545)</f>
        <v>0.5454545455</v>
      </c>
      <c r="L276" s="16">
        <f>IFERROR(__xludf.DUMMYFUNCTION("""COMPUTED_VALUE"""),0.53030303030303)</f>
        <v>0.5303030303</v>
      </c>
      <c r="M276" s="16">
        <f>IFERROR(__xludf.DUMMYFUNCTION("""COMPUTED_VALUE"""),0.489898989898989)</f>
        <v>0.4898989899</v>
      </c>
      <c r="N276" s="16">
        <f>IFERROR(__xludf.DUMMYFUNCTION("""COMPUTED_VALUE"""),0.55050505050505)</f>
        <v>0.5505050505</v>
      </c>
      <c r="O276" s="16">
        <f>IFERROR(__xludf.DUMMYFUNCTION("""COMPUTED_VALUE"""),0.317880794701986)</f>
        <v>0.3178807947</v>
      </c>
      <c r="P276" s="16">
        <f>IFERROR(__xludf.DUMMYFUNCTION("""COMPUTED_VALUE"""),0.211920529801324)</f>
        <v>0.2119205298</v>
      </c>
      <c r="Q276" s="16">
        <f>IFERROR(__xludf.DUMMYFUNCTION("""COMPUTED_VALUE"""),0.0901639344262295)</f>
        <v>0.09016393443</v>
      </c>
      <c r="R276" s="16">
        <f>IFERROR(__xludf.DUMMYFUNCTION("""COMPUTED_VALUE"""),0.0384615384615384)</f>
        <v>0.03846153846</v>
      </c>
      <c r="S276" s="16">
        <f>IFERROR(__xludf.DUMMYFUNCTION("""COMPUTED_VALUE"""),0.0)</f>
        <v>0</v>
      </c>
      <c r="T276" s="16">
        <f>IFERROR(__xludf.DUMMYFUNCTION("""COMPUTED_VALUE"""),0.0)</f>
        <v>0</v>
      </c>
      <c r="U276" s="16">
        <f>IFERROR(__xludf.DUMMYFUNCTION("""COMPUTED_VALUE"""),0.0)</f>
        <v>0</v>
      </c>
      <c r="V276" s="16">
        <f>IFERROR(__xludf.DUMMYFUNCTION("""COMPUTED_VALUE"""),0.0)</f>
        <v>0</v>
      </c>
      <c r="W276" s="16">
        <f>IFERROR(__xludf.DUMMYFUNCTION("""COMPUTED_VALUE"""),0.0)</f>
        <v>0</v>
      </c>
      <c r="X276" s="16">
        <f>IFERROR(__xludf.DUMMYFUNCTION("""COMPUTED_VALUE"""),0.0)</f>
        <v>0</v>
      </c>
      <c r="Y276" s="16">
        <f>IFERROR(__xludf.DUMMYFUNCTION("""COMPUTED_VALUE"""),0.0)</f>
        <v>0</v>
      </c>
      <c r="Z276" s="16">
        <f>IFERROR(__xludf.DUMMYFUNCTION("""COMPUTED_VALUE"""),0.0)</f>
        <v>0</v>
      </c>
      <c r="AA276" s="16">
        <f>IFERROR(__xludf.DUMMYFUNCTION("""COMPUTED_VALUE"""),0.0)</f>
        <v>0</v>
      </c>
      <c r="AB276" s="16">
        <f>IFERROR(__xludf.DUMMYFUNCTION("""COMPUTED_VALUE"""),0.0)</f>
        <v>0</v>
      </c>
      <c r="AC276" s="16">
        <f>IFERROR(__xludf.DUMMYFUNCTION("""COMPUTED_VALUE"""),0.0)</f>
        <v>0</v>
      </c>
      <c r="AD276" s="16">
        <f>IFERROR(__xludf.DUMMYFUNCTION("""COMPUTED_VALUE"""),0.0)</f>
        <v>0</v>
      </c>
      <c r="AE276" s="16">
        <f>IFERROR(__xludf.DUMMYFUNCTION("""COMPUTED_VALUE"""),0.0)</f>
        <v>0</v>
      </c>
      <c r="AF276" s="16">
        <f>IFERROR(__xludf.DUMMYFUNCTION("""COMPUTED_VALUE"""),0.0)</f>
        <v>0</v>
      </c>
      <c r="AG276" s="16">
        <f>IFERROR(__xludf.DUMMYFUNCTION("""COMPUTED_VALUE"""),0.0)</f>
        <v>0</v>
      </c>
      <c r="AH276" s="16">
        <f>IFERROR(__xludf.DUMMYFUNCTION("""COMPUTED_VALUE"""),0.0)</f>
        <v>0</v>
      </c>
    </row>
    <row r="277">
      <c r="A277" s="16" t="str">
        <f>IFERROR(__xludf.DUMMYFUNCTION("""COMPUTED_VALUE"""),"f16d45e2702863e71bf480a3e2490ded19c4cbd9")</f>
        <v>f16d45e2702863e71bf480a3e2490ded19c4cbd9</v>
      </c>
      <c r="B277" s="16" t="str">
        <f>IFERROR(__xludf.DUMMYFUNCTION("""COMPUTED_VALUE"""),"Supreme Sword Cultivator")</f>
        <v>Supreme Sword Cultivator</v>
      </c>
      <c r="C277" s="16" t="str">
        <f>IFERROR(__xludf.DUMMYFUNCTION("""COMPUTED_VALUE"""),"Fantasy")</f>
        <v>Fantasy</v>
      </c>
      <c r="D277" s="16">
        <f>IFERROR(__xludf.DUMMYFUNCTION("""COMPUTED_VALUE"""),101.0)</f>
        <v>101</v>
      </c>
      <c r="E277" s="16">
        <f>IFERROR(__xludf.DUMMYFUNCTION("""COMPUTED_VALUE"""),0.96039603960396)</f>
        <v>0.9603960396</v>
      </c>
      <c r="F277" s="16">
        <f>IFERROR(__xludf.DUMMYFUNCTION("""COMPUTED_VALUE"""),0.603960396039603)</f>
        <v>0.603960396</v>
      </c>
      <c r="G277" s="16">
        <f>IFERROR(__xludf.DUMMYFUNCTION("""COMPUTED_VALUE"""),0.584158415841584)</f>
        <v>0.5841584158</v>
      </c>
      <c r="H277" s="16">
        <f>IFERROR(__xludf.DUMMYFUNCTION("""COMPUTED_VALUE"""),0.554455445544554)</f>
        <v>0.5544554455</v>
      </c>
      <c r="I277" s="16">
        <f>IFERROR(__xludf.DUMMYFUNCTION("""COMPUTED_VALUE"""),0.534653465346534)</f>
        <v>0.5346534653</v>
      </c>
      <c r="J277" s="16">
        <f>IFERROR(__xludf.DUMMYFUNCTION("""COMPUTED_VALUE"""),0.504950495049505)</f>
        <v>0.504950495</v>
      </c>
      <c r="K277" s="16">
        <f>IFERROR(__xludf.DUMMYFUNCTION("""COMPUTED_VALUE"""),0.485148514851485)</f>
        <v>0.4851485149</v>
      </c>
      <c r="L277" s="16">
        <f>IFERROR(__xludf.DUMMYFUNCTION("""COMPUTED_VALUE"""),0.49)</f>
        <v>0.49</v>
      </c>
      <c r="M277" s="16">
        <f>IFERROR(__xludf.DUMMYFUNCTION("""COMPUTED_VALUE"""),0.49)</f>
        <v>0.49</v>
      </c>
      <c r="N277" s="16">
        <f>IFERROR(__xludf.DUMMYFUNCTION("""COMPUTED_VALUE"""),0.46)</f>
        <v>0.46</v>
      </c>
      <c r="O277" s="16">
        <f>IFERROR(__xludf.DUMMYFUNCTION("""COMPUTED_VALUE"""),0.373737373737373)</f>
        <v>0.3737373737</v>
      </c>
      <c r="P277" s="16">
        <f>IFERROR(__xludf.DUMMYFUNCTION("""COMPUTED_VALUE"""),0.326530612244897)</f>
        <v>0.3265306122</v>
      </c>
      <c r="Q277" s="16">
        <f>IFERROR(__xludf.DUMMYFUNCTION("""COMPUTED_VALUE"""),0.273809523809523)</f>
        <v>0.2738095238</v>
      </c>
      <c r="R277" s="16">
        <f>IFERROR(__xludf.DUMMYFUNCTION("""COMPUTED_VALUE"""),0.179487179487179)</f>
        <v>0.1794871795</v>
      </c>
      <c r="S277" s="16">
        <f>IFERROR(__xludf.DUMMYFUNCTION("""COMPUTED_VALUE"""),0.144736842105263)</f>
        <v>0.1447368421</v>
      </c>
      <c r="T277" s="16">
        <f>IFERROR(__xludf.DUMMYFUNCTION("""COMPUTED_VALUE"""),0.081967213114754)</f>
        <v>0.08196721311</v>
      </c>
      <c r="U277" s="16">
        <f>IFERROR(__xludf.DUMMYFUNCTION("""COMPUTED_VALUE"""),0.0377358490566037)</f>
        <v>0.03773584906</v>
      </c>
      <c r="V277" s="16">
        <f>IFERROR(__xludf.DUMMYFUNCTION("""COMPUTED_VALUE"""),0.0)</f>
        <v>0</v>
      </c>
      <c r="W277" s="16">
        <f>IFERROR(__xludf.DUMMYFUNCTION("""COMPUTED_VALUE"""),0.0)</f>
        <v>0</v>
      </c>
      <c r="X277" s="16">
        <f>IFERROR(__xludf.DUMMYFUNCTION("""COMPUTED_VALUE"""),0.0)</f>
        <v>0</v>
      </c>
      <c r="Y277" s="16">
        <f>IFERROR(__xludf.DUMMYFUNCTION("""COMPUTED_VALUE"""),0.0)</f>
        <v>0</v>
      </c>
      <c r="Z277" s="16">
        <f>IFERROR(__xludf.DUMMYFUNCTION("""COMPUTED_VALUE"""),0.0)</f>
        <v>0</v>
      </c>
      <c r="AA277" s="16">
        <f>IFERROR(__xludf.DUMMYFUNCTION("""COMPUTED_VALUE"""),0.0)</f>
        <v>0</v>
      </c>
      <c r="AB277" s="16">
        <f>IFERROR(__xludf.DUMMYFUNCTION("""COMPUTED_VALUE"""),0.0)</f>
        <v>0</v>
      </c>
      <c r="AC277" s="16">
        <f>IFERROR(__xludf.DUMMYFUNCTION("""COMPUTED_VALUE"""),0.0)</f>
        <v>0</v>
      </c>
      <c r="AD277" s="16">
        <f>IFERROR(__xludf.DUMMYFUNCTION("""COMPUTED_VALUE"""),0.0)</f>
        <v>0</v>
      </c>
      <c r="AE277" s="16">
        <f>IFERROR(__xludf.DUMMYFUNCTION("""COMPUTED_VALUE"""),0.0)</f>
        <v>0</v>
      </c>
      <c r="AF277" s="16">
        <f>IFERROR(__xludf.DUMMYFUNCTION("""COMPUTED_VALUE"""),0.0)</f>
        <v>0</v>
      </c>
      <c r="AG277" s="16">
        <f>IFERROR(__xludf.DUMMYFUNCTION("""COMPUTED_VALUE"""),0.0)</f>
        <v>0</v>
      </c>
      <c r="AH277" s="16">
        <f>IFERROR(__xludf.DUMMYFUNCTION("""COMPUTED_VALUE"""),0.0)</f>
        <v>0</v>
      </c>
    </row>
    <row r="278">
      <c r="A278" s="16" t="str">
        <f>IFERROR(__xludf.DUMMYFUNCTION("""COMPUTED_VALUE"""),"f23c3d5745910e4c7cf490450f5314358a0cec03")</f>
        <v>f23c3d5745910e4c7cf490450f5314358a0cec03</v>
      </c>
      <c r="B278" s="16" t="str">
        <f>IFERROR(__xludf.DUMMYFUNCTION("""COMPUTED_VALUE"""),"When My Ex Returned")</f>
        <v>When My Ex Returned</v>
      </c>
      <c r="C278" s="16" t="str">
        <f>IFERROR(__xludf.DUMMYFUNCTION("""COMPUTED_VALUE"""),"Romance")</f>
        <v>Romance</v>
      </c>
      <c r="D278" s="16">
        <f>IFERROR(__xludf.DUMMYFUNCTION("""COMPUTED_VALUE"""),528.0)</f>
        <v>528</v>
      </c>
      <c r="E278" s="16">
        <f>IFERROR(__xludf.DUMMYFUNCTION("""COMPUTED_VALUE"""),0.969696969696969)</f>
        <v>0.9696969697</v>
      </c>
      <c r="F278" s="16">
        <f>IFERROR(__xludf.DUMMYFUNCTION("""COMPUTED_VALUE"""),0.518939393939393)</f>
        <v>0.5189393939</v>
      </c>
      <c r="G278" s="16">
        <f>IFERROR(__xludf.DUMMYFUNCTION("""COMPUTED_VALUE"""),0.460227272727272)</f>
        <v>0.4602272727</v>
      </c>
      <c r="H278" s="16">
        <f>IFERROR(__xludf.DUMMYFUNCTION("""COMPUTED_VALUE"""),0.42504743833017)</f>
        <v>0.4250474383</v>
      </c>
      <c r="I278" s="16">
        <f>IFERROR(__xludf.DUMMYFUNCTION("""COMPUTED_VALUE"""),0.398854961832061)</f>
        <v>0.3988549618</v>
      </c>
      <c r="J278" s="16">
        <f>IFERROR(__xludf.DUMMYFUNCTION("""COMPUTED_VALUE"""),0.371647509578544)</f>
        <v>0.3716475096</v>
      </c>
      <c r="K278" s="16">
        <f>IFERROR(__xludf.DUMMYFUNCTION("""COMPUTED_VALUE"""),0.335249042145593)</f>
        <v>0.3352490421</v>
      </c>
      <c r="L278" s="16">
        <f>IFERROR(__xludf.DUMMYFUNCTION("""COMPUTED_VALUE"""),0.307101727447216)</f>
        <v>0.3071017274</v>
      </c>
      <c r="M278" s="16">
        <f>IFERROR(__xludf.DUMMYFUNCTION("""COMPUTED_VALUE"""),0.291746641074856)</f>
        <v>0.2917466411</v>
      </c>
      <c r="N278" s="16">
        <f>IFERROR(__xludf.DUMMYFUNCTION("""COMPUTED_VALUE"""),0.287907869481765)</f>
        <v>0.2879078695</v>
      </c>
      <c r="O278" s="16">
        <f>IFERROR(__xludf.DUMMYFUNCTION("""COMPUTED_VALUE"""),0.23076923076923)</f>
        <v>0.2307692308</v>
      </c>
      <c r="P278" s="16">
        <f>IFERROR(__xludf.DUMMYFUNCTION("""COMPUTED_VALUE"""),0.13926499032882)</f>
        <v>0.1392649903</v>
      </c>
      <c r="Q278" s="16">
        <f>IFERROR(__xludf.DUMMYFUNCTION("""COMPUTED_VALUE"""),0.0)</f>
        <v>0</v>
      </c>
      <c r="R278" s="16">
        <f>IFERROR(__xludf.DUMMYFUNCTION("""COMPUTED_VALUE"""),0.0)</f>
        <v>0</v>
      </c>
      <c r="S278" s="16">
        <f>IFERROR(__xludf.DUMMYFUNCTION("""COMPUTED_VALUE"""),0.0)</f>
        <v>0</v>
      </c>
      <c r="T278" s="16">
        <f>IFERROR(__xludf.DUMMYFUNCTION("""COMPUTED_VALUE"""),0.0)</f>
        <v>0</v>
      </c>
      <c r="U278" s="16">
        <f>IFERROR(__xludf.DUMMYFUNCTION("""COMPUTED_VALUE"""),0.0)</f>
        <v>0</v>
      </c>
      <c r="V278" s="16">
        <f>IFERROR(__xludf.DUMMYFUNCTION("""COMPUTED_VALUE"""),0.0)</f>
        <v>0</v>
      </c>
      <c r="W278" s="16">
        <f>IFERROR(__xludf.DUMMYFUNCTION("""COMPUTED_VALUE"""),0.0)</f>
        <v>0</v>
      </c>
      <c r="X278" s="16">
        <f>IFERROR(__xludf.DUMMYFUNCTION("""COMPUTED_VALUE"""),0.0)</f>
        <v>0</v>
      </c>
      <c r="Y278" s="16">
        <f>IFERROR(__xludf.DUMMYFUNCTION("""COMPUTED_VALUE"""),0.0)</f>
        <v>0</v>
      </c>
      <c r="Z278" s="16">
        <f>IFERROR(__xludf.DUMMYFUNCTION("""COMPUTED_VALUE"""),0.0)</f>
        <v>0</v>
      </c>
      <c r="AA278" s="16">
        <f>IFERROR(__xludf.DUMMYFUNCTION("""COMPUTED_VALUE"""),0.0)</f>
        <v>0</v>
      </c>
      <c r="AB278" s="16">
        <f>IFERROR(__xludf.DUMMYFUNCTION("""COMPUTED_VALUE"""),0.0)</f>
        <v>0</v>
      </c>
      <c r="AC278" s="16">
        <f>IFERROR(__xludf.DUMMYFUNCTION("""COMPUTED_VALUE"""),0.0)</f>
        <v>0</v>
      </c>
      <c r="AD278" s="16">
        <f>IFERROR(__xludf.DUMMYFUNCTION("""COMPUTED_VALUE"""),0.0)</f>
        <v>0</v>
      </c>
      <c r="AE278" s="16">
        <f>IFERROR(__xludf.DUMMYFUNCTION("""COMPUTED_VALUE"""),0.0)</f>
        <v>0</v>
      </c>
      <c r="AF278" s="16">
        <f>IFERROR(__xludf.DUMMYFUNCTION("""COMPUTED_VALUE"""),0.0)</f>
        <v>0</v>
      </c>
      <c r="AG278" s="16">
        <f>IFERROR(__xludf.DUMMYFUNCTION("""COMPUTED_VALUE"""),0.0)</f>
        <v>0</v>
      </c>
      <c r="AH278" s="16">
        <f>IFERROR(__xludf.DUMMYFUNCTION("""COMPUTED_VALUE"""),0.0)</f>
        <v>0</v>
      </c>
    </row>
    <row r="279">
      <c r="A279" s="16" t="str">
        <f>IFERROR(__xludf.DUMMYFUNCTION("""COMPUTED_VALUE"""),"f2ec53ac7f98813aea65ea59e50f32077fe08707")</f>
        <v>f2ec53ac7f98813aea65ea59e50f32077fe08707</v>
      </c>
      <c r="B279" s="16" t="str">
        <f>IFERROR(__xludf.DUMMYFUNCTION("""COMPUTED_VALUE"""),"The Forbidden Kiss")</f>
        <v>The Forbidden Kiss</v>
      </c>
      <c r="C279" s="16" t="str">
        <f>IFERROR(__xludf.DUMMYFUNCTION("""COMPUTED_VALUE"""),"Romance")</f>
        <v>Romance</v>
      </c>
      <c r="D279" s="16">
        <f>IFERROR(__xludf.DUMMYFUNCTION("""COMPUTED_VALUE"""),469.0)</f>
        <v>469</v>
      </c>
      <c r="E279" s="16">
        <f>IFERROR(__xludf.DUMMYFUNCTION("""COMPUTED_VALUE"""),0.970149253731343)</f>
        <v>0.9701492537</v>
      </c>
      <c r="F279" s="16">
        <f>IFERROR(__xludf.DUMMYFUNCTION("""COMPUTED_VALUE"""),0.515991471215351)</f>
        <v>0.5159914712</v>
      </c>
      <c r="G279" s="16">
        <f>IFERROR(__xludf.DUMMYFUNCTION("""COMPUTED_VALUE"""),0.439232409381663)</f>
        <v>0.4392324094</v>
      </c>
      <c r="H279" s="16">
        <f>IFERROR(__xludf.DUMMYFUNCTION("""COMPUTED_VALUE"""),0.363636363636363)</f>
        <v>0.3636363636</v>
      </c>
      <c r="I279" s="16">
        <f>IFERROR(__xludf.DUMMYFUNCTION("""COMPUTED_VALUE"""),0.336263736263736)</f>
        <v>0.3362637363</v>
      </c>
      <c r="J279" s="16">
        <f>IFERROR(__xludf.DUMMYFUNCTION("""COMPUTED_VALUE"""),0.30392156862745)</f>
        <v>0.3039215686</v>
      </c>
      <c r="K279" s="16">
        <f>IFERROR(__xludf.DUMMYFUNCTION("""COMPUTED_VALUE"""),0.272727272727272)</f>
        <v>0.2727272727</v>
      </c>
      <c r="L279" s="16">
        <f>IFERROR(__xludf.DUMMYFUNCTION("""COMPUTED_VALUE"""),0.255192878338278)</f>
        <v>0.2551928783</v>
      </c>
      <c r="M279" s="16">
        <f>IFERROR(__xludf.DUMMYFUNCTION("""COMPUTED_VALUE"""),0.242138364779874)</f>
        <v>0.2421383648</v>
      </c>
      <c r="N279" s="16">
        <f>IFERROR(__xludf.DUMMYFUNCTION("""COMPUTED_VALUE"""),0.239285714285714)</f>
        <v>0.2392857143</v>
      </c>
      <c r="O279" s="16">
        <f>IFERROR(__xludf.DUMMYFUNCTION("""COMPUTED_VALUE"""),0.209039548022598)</f>
        <v>0.209039548</v>
      </c>
      <c r="P279" s="16">
        <f>IFERROR(__xludf.DUMMYFUNCTION("""COMPUTED_VALUE"""),0.121621621621621)</f>
        <v>0.1216216216</v>
      </c>
      <c r="Q279" s="16">
        <f>IFERROR(__xludf.DUMMYFUNCTION("""COMPUTED_VALUE"""),0.123076923076923)</f>
        <v>0.1230769231</v>
      </c>
      <c r="R279" s="16">
        <f>IFERROR(__xludf.DUMMYFUNCTION("""COMPUTED_VALUE"""),0.0888888888888888)</f>
        <v>0.08888888889</v>
      </c>
      <c r="S279" s="16">
        <f>IFERROR(__xludf.DUMMYFUNCTION("""COMPUTED_VALUE"""),0.0)</f>
        <v>0</v>
      </c>
      <c r="T279" s="16">
        <f>IFERROR(__xludf.DUMMYFUNCTION("""COMPUTED_VALUE"""),0.0)</f>
        <v>0</v>
      </c>
      <c r="U279" s="16">
        <f>IFERROR(__xludf.DUMMYFUNCTION("""COMPUTED_VALUE"""),0.0)</f>
        <v>0</v>
      </c>
      <c r="V279" s="16">
        <f>IFERROR(__xludf.DUMMYFUNCTION("""COMPUTED_VALUE"""),0.0)</f>
        <v>0</v>
      </c>
      <c r="W279" s="16">
        <f>IFERROR(__xludf.DUMMYFUNCTION("""COMPUTED_VALUE"""),0.0)</f>
        <v>0</v>
      </c>
      <c r="X279" s="16">
        <f>IFERROR(__xludf.DUMMYFUNCTION("""COMPUTED_VALUE"""),0.0)</f>
        <v>0</v>
      </c>
      <c r="Y279" s="16">
        <f>IFERROR(__xludf.DUMMYFUNCTION("""COMPUTED_VALUE"""),0.0)</f>
        <v>0</v>
      </c>
      <c r="Z279" s="16">
        <f>IFERROR(__xludf.DUMMYFUNCTION("""COMPUTED_VALUE"""),0.0)</f>
        <v>0</v>
      </c>
      <c r="AA279" s="16">
        <f>IFERROR(__xludf.DUMMYFUNCTION("""COMPUTED_VALUE"""),0.0)</f>
        <v>0</v>
      </c>
      <c r="AB279" s="16">
        <f>IFERROR(__xludf.DUMMYFUNCTION("""COMPUTED_VALUE"""),0.0)</f>
        <v>0</v>
      </c>
      <c r="AC279" s="16">
        <f>IFERROR(__xludf.DUMMYFUNCTION("""COMPUTED_VALUE"""),0.0)</f>
        <v>0</v>
      </c>
      <c r="AD279" s="16">
        <f>IFERROR(__xludf.DUMMYFUNCTION("""COMPUTED_VALUE"""),0.0)</f>
        <v>0</v>
      </c>
      <c r="AE279" s="16">
        <f>IFERROR(__xludf.DUMMYFUNCTION("""COMPUTED_VALUE"""),0.0)</f>
        <v>0</v>
      </c>
      <c r="AF279" s="16">
        <f>IFERROR(__xludf.DUMMYFUNCTION("""COMPUTED_VALUE"""),0.0)</f>
        <v>0</v>
      </c>
      <c r="AG279" s="16">
        <f>IFERROR(__xludf.DUMMYFUNCTION("""COMPUTED_VALUE"""),0.0)</f>
        <v>0</v>
      </c>
      <c r="AH279" s="16">
        <f>IFERROR(__xludf.DUMMYFUNCTION("""COMPUTED_VALUE"""),0.0)</f>
        <v>0</v>
      </c>
    </row>
    <row r="280">
      <c r="A280" s="16" t="str">
        <f>IFERROR(__xludf.DUMMYFUNCTION("""COMPUTED_VALUE"""),"f32ed59a93a11812f5a5a57e2c663028b1c65f89")</f>
        <v>f32ed59a93a11812f5a5a57e2c663028b1c65f89</v>
      </c>
      <c r="B280" s="16" t="str">
        <f>IFERROR(__xludf.DUMMYFUNCTION("""COMPUTED_VALUE"""),"Trillionaire Sterling")</f>
        <v>Trillionaire Sterling</v>
      </c>
      <c r="C280" s="16" t="str">
        <f>IFERROR(__xludf.DUMMYFUNCTION("""COMPUTED_VALUE"""),"Fantasy")</f>
        <v>Fantasy</v>
      </c>
      <c r="D280" s="16">
        <f>IFERROR(__xludf.DUMMYFUNCTION("""COMPUTED_VALUE"""),4464.0)</f>
        <v>4464</v>
      </c>
      <c r="E280" s="16">
        <f>IFERROR(__xludf.DUMMYFUNCTION("""COMPUTED_VALUE"""),0.928763440860215)</f>
        <v>0.9287634409</v>
      </c>
      <c r="F280" s="16">
        <f>IFERROR(__xludf.DUMMYFUNCTION("""COMPUTED_VALUE"""),0.541218637992831)</f>
        <v>0.541218638</v>
      </c>
      <c r="G280" s="16">
        <f>IFERROR(__xludf.DUMMYFUNCTION("""COMPUTED_VALUE"""),0.487903225806451)</f>
        <v>0.4879032258</v>
      </c>
      <c r="H280" s="16">
        <f>IFERROR(__xludf.DUMMYFUNCTION("""COMPUTED_VALUE"""),0.456745853877185)</f>
        <v>0.4567458539</v>
      </c>
      <c r="I280" s="16">
        <f>IFERROR(__xludf.DUMMYFUNCTION("""COMPUTED_VALUE"""),0.43097643097643)</f>
        <v>0.430976431</v>
      </c>
      <c r="J280" s="16">
        <f>IFERROR(__xludf.DUMMYFUNCTION("""COMPUTED_VALUE"""),0.405393258426966)</f>
        <v>0.4053932584</v>
      </c>
      <c r="K280" s="16">
        <f>IFERROR(__xludf.DUMMYFUNCTION("""COMPUTED_VALUE"""),0.39243072764136)</f>
        <v>0.3924307276</v>
      </c>
      <c r="L280" s="16">
        <f>IFERROR(__xludf.DUMMYFUNCTION("""COMPUTED_VALUE"""),0.379263609667946)</f>
        <v>0.3792636097</v>
      </c>
      <c r="M280" s="16">
        <f>IFERROR(__xludf.DUMMYFUNCTION("""COMPUTED_VALUE"""),0.375141242937853)</f>
        <v>0.3751412429</v>
      </c>
      <c r="N280" s="16">
        <f>IFERROR(__xludf.DUMMYFUNCTION("""COMPUTED_VALUE"""),0.364335822584295)</f>
        <v>0.3643358226</v>
      </c>
      <c r="O280" s="16">
        <f>IFERROR(__xludf.DUMMYFUNCTION("""COMPUTED_VALUE"""),0.325783573552962)</f>
        <v>0.3257835736</v>
      </c>
      <c r="P280" s="16">
        <f>IFERROR(__xludf.DUMMYFUNCTION("""COMPUTED_VALUE"""),0.26637147518061)</f>
        <v>0.2663714752</v>
      </c>
      <c r="Q280" s="16">
        <f>IFERROR(__xludf.DUMMYFUNCTION("""COMPUTED_VALUE"""),0.207789066279632)</f>
        <v>0.2077890663</v>
      </c>
      <c r="R280" s="16">
        <f>IFERROR(__xludf.DUMMYFUNCTION("""COMPUTED_VALUE"""),0.171755725190839)</f>
        <v>0.1717557252</v>
      </c>
      <c r="S280" s="16">
        <f>IFERROR(__xludf.DUMMYFUNCTION("""COMPUTED_VALUE"""),0.147235387045813)</f>
        <v>0.147235387</v>
      </c>
      <c r="T280" s="16">
        <f>IFERROR(__xludf.DUMMYFUNCTION("""COMPUTED_VALUE"""),0.12)</f>
        <v>0.12</v>
      </c>
      <c r="U280" s="16">
        <f>IFERROR(__xludf.DUMMYFUNCTION("""COMPUTED_VALUE"""),0.0637720488466757)</f>
        <v>0.06377204885</v>
      </c>
      <c r="V280" s="16">
        <f>IFERROR(__xludf.DUMMYFUNCTION("""COMPUTED_VALUE"""),0.0738095238095238)</f>
        <v>0.07380952381</v>
      </c>
      <c r="W280" s="16">
        <f>IFERROR(__xludf.DUMMYFUNCTION("""COMPUTED_VALUE"""),0.0494505494505494)</f>
        <v>0.04945054945</v>
      </c>
      <c r="X280" s="16">
        <f>IFERROR(__xludf.DUMMYFUNCTION("""COMPUTED_VALUE"""),0.0)</f>
        <v>0</v>
      </c>
      <c r="Y280" s="16">
        <f>IFERROR(__xludf.DUMMYFUNCTION("""COMPUTED_VALUE"""),0.0)</f>
        <v>0</v>
      </c>
      <c r="Z280" s="16">
        <f>IFERROR(__xludf.DUMMYFUNCTION("""COMPUTED_VALUE"""),0.0)</f>
        <v>0</v>
      </c>
      <c r="AA280" s="16">
        <f>IFERROR(__xludf.DUMMYFUNCTION("""COMPUTED_VALUE"""),0.0)</f>
        <v>0</v>
      </c>
      <c r="AB280" s="16">
        <f>IFERROR(__xludf.DUMMYFUNCTION("""COMPUTED_VALUE"""),0.0)</f>
        <v>0</v>
      </c>
      <c r="AC280" s="16">
        <f>IFERROR(__xludf.DUMMYFUNCTION("""COMPUTED_VALUE"""),0.0)</f>
        <v>0</v>
      </c>
      <c r="AD280" s="16">
        <f>IFERROR(__xludf.DUMMYFUNCTION("""COMPUTED_VALUE"""),0.0)</f>
        <v>0</v>
      </c>
      <c r="AE280" s="16">
        <f>IFERROR(__xludf.DUMMYFUNCTION("""COMPUTED_VALUE"""),0.0)</f>
        <v>0</v>
      </c>
      <c r="AF280" s="16">
        <f>IFERROR(__xludf.DUMMYFUNCTION("""COMPUTED_VALUE"""),0.0)</f>
        <v>0</v>
      </c>
      <c r="AG280" s="16">
        <f>IFERROR(__xludf.DUMMYFUNCTION("""COMPUTED_VALUE"""),0.0)</f>
        <v>0</v>
      </c>
      <c r="AH280" s="16">
        <f>IFERROR(__xludf.DUMMYFUNCTION("""COMPUTED_VALUE"""),0.0)</f>
        <v>0</v>
      </c>
    </row>
    <row r="281">
      <c r="A281" s="16" t="str">
        <f>IFERROR(__xludf.DUMMYFUNCTION("""COMPUTED_VALUE"""),"f3b45a9b931b38c0315d82ad645b9e45b513664b")</f>
        <v>f3b45a9b931b38c0315d82ad645b9e45b513664b</v>
      </c>
      <c r="B281" s="16" t="str">
        <f>IFERROR(__xludf.DUMMYFUNCTION("""COMPUTED_VALUE"""),"Reborn as a Golblin?!")</f>
        <v>Reborn as a Golblin?!</v>
      </c>
      <c r="C281" s="16" t="str">
        <f>IFERROR(__xludf.DUMMYFUNCTION("""COMPUTED_VALUE"""),"System and Superpower")</f>
        <v>System and Superpower</v>
      </c>
      <c r="D281" s="16">
        <f>IFERROR(__xludf.DUMMYFUNCTION("""COMPUTED_VALUE"""),32.0)</f>
        <v>32</v>
      </c>
      <c r="E281" s="16">
        <f>IFERROR(__xludf.DUMMYFUNCTION("""COMPUTED_VALUE"""),1.0)</f>
        <v>1</v>
      </c>
      <c r="F281" s="16">
        <f>IFERROR(__xludf.DUMMYFUNCTION("""COMPUTED_VALUE"""),0.40625)</f>
        <v>0.40625</v>
      </c>
      <c r="G281" s="16">
        <f>IFERROR(__xludf.DUMMYFUNCTION("""COMPUTED_VALUE"""),0.40625)</f>
        <v>0.40625</v>
      </c>
      <c r="H281" s="16">
        <f>IFERROR(__xludf.DUMMYFUNCTION("""COMPUTED_VALUE"""),0.21875)</f>
        <v>0.21875</v>
      </c>
      <c r="I281" s="16">
        <f>IFERROR(__xludf.DUMMYFUNCTION("""COMPUTED_VALUE"""),0.125)</f>
        <v>0.125</v>
      </c>
      <c r="J281" s="16">
        <f>IFERROR(__xludf.DUMMYFUNCTION("""COMPUTED_VALUE"""),0.0625)</f>
        <v>0.0625</v>
      </c>
      <c r="K281" s="16">
        <f>IFERROR(__xludf.DUMMYFUNCTION("""COMPUTED_VALUE"""),0.03125)</f>
        <v>0.03125</v>
      </c>
      <c r="L281" s="16">
        <f>IFERROR(__xludf.DUMMYFUNCTION("""COMPUTED_VALUE"""),0.0)</f>
        <v>0</v>
      </c>
      <c r="M281" s="16">
        <f>IFERROR(__xludf.DUMMYFUNCTION("""COMPUTED_VALUE"""),0.0)</f>
        <v>0</v>
      </c>
      <c r="N281" s="16">
        <f>IFERROR(__xludf.DUMMYFUNCTION("""COMPUTED_VALUE"""),0.0)</f>
        <v>0</v>
      </c>
      <c r="O281" s="16">
        <f>IFERROR(__xludf.DUMMYFUNCTION("""COMPUTED_VALUE"""),0.0)</f>
        <v>0</v>
      </c>
      <c r="P281" s="16">
        <f>IFERROR(__xludf.DUMMYFUNCTION("""COMPUTED_VALUE"""),0.0)</f>
        <v>0</v>
      </c>
      <c r="Q281" s="16">
        <f>IFERROR(__xludf.DUMMYFUNCTION("""COMPUTED_VALUE"""),0.0)</f>
        <v>0</v>
      </c>
      <c r="R281" s="16">
        <f>IFERROR(__xludf.DUMMYFUNCTION("""COMPUTED_VALUE"""),0.0)</f>
        <v>0</v>
      </c>
      <c r="S281" s="16">
        <f>IFERROR(__xludf.DUMMYFUNCTION("""COMPUTED_VALUE"""),0.0)</f>
        <v>0</v>
      </c>
      <c r="T281" s="16">
        <f>IFERROR(__xludf.DUMMYFUNCTION("""COMPUTED_VALUE"""),0.0)</f>
        <v>0</v>
      </c>
      <c r="U281" s="16">
        <f>IFERROR(__xludf.DUMMYFUNCTION("""COMPUTED_VALUE"""),0.0)</f>
        <v>0</v>
      </c>
      <c r="V281" s="16">
        <f>IFERROR(__xludf.DUMMYFUNCTION("""COMPUTED_VALUE"""),0.0)</f>
        <v>0</v>
      </c>
      <c r="W281" s="16">
        <f>IFERROR(__xludf.DUMMYFUNCTION("""COMPUTED_VALUE"""),0.0)</f>
        <v>0</v>
      </c>
      <c r="X281" s="16">
        <f>IFERROR(__xludf.DUMMYFUNCTION("""COMPUTED_VALUE"""),0.0)</f>
        <v>0</v>
      </c>
      <c r="Y281" s="16">
        <f>IFERROR(__xludf.DUMMYFUNCTION("""COMPUTED_VALUE"""),0.0)</f>
        <v>0</v>
      </c>
      <c r="Z281" s="16">
        <f>IFERROR(__xludf.DUMMYFUNCTION("""COMPUTED_VALUE"""),0.0)</f>
        <v>0</v>
      </c>
      <c r="AA281" s="16">
        <f>IFERROR(__xludf.DUMMYFUNCTION("""COMPUTED_VALUE"""),0.0)</f>
        <v>0</v>
      </c>
      <c r="AB281" s="16">
        <f>IFERROR(__xludf.DUMMYFUNCTION("""COMPUTED_VALUE"""),0.0)</f>
        <v>0</v>
      </c>
      <c r="AC281" s="16">
        <f>IFERROR(__xludf.DUMMYFUNCTION("""COMPUTED_VALUE"""),0.0)</f>
        <v>0</v>
      </c>
      <c r="AD281" s="16">
        <f>IFERROR(__xludf.DUMMYFUNCTION("""COMPUTED_VALUE"""),0.0)</f>
        <v>0</v>
      </c>
      <c r="AE281" s="16">
        <f>IFERROR(__xludf.DUMMYFUNCTION("""COMPUTED_VALUE"""),0.0)</f>
        <v>0</v>
      </c>
      <c r="AF281" s="16">
        <f>IFERROR(__xludf.DUMMYFUNCTION("""COMPUTED_VALUE"""),0.0)</f>
        <v>0</v>
      </c>
      <c r="AG281" s="16">
        <f>IFERROR(__xludf.DUMMYFUNCTION("""COMPUTED_VALUE"""),0.0)</f>
        <v>0</v>
      </c>
      <c r="AH281" s="16">
        <f>IFERROR(__xludf.DUMMYFUNCTION("""COMPUTED_VALUE"""),0.0)</f>
        <v>0</v>
      </c>
    </row>
    <row r="282">
      <c r="A282" s="16" t="str">
        <f>IFERROR(__xludf.DUMMYFUNCTION("""COMPUTED_VALUE"""),"f47e2c3c03d765bd054b92de405403a6c90b8d7f")</f>
        <v>f47e2c3c03d765bd054b92de405403a6c90b8d7f</v>
      </c>
      <c r="B282" s="16" t="str">
        <f>IFERROR(__xludf.DUMMYFUNCTION("""COMPUTED_VALUE"""),"It Was You Mister Cross")</f>
        <v>It Was You Mister Cross</v>
      </c>
      <c r="C282" s="16" t="str">
        <f>IFERROR(__xludf.DUMMYFUNCTION("""COMPUTED_VALUE"""),"Romance")</f>
        <v>Romance</v>
      </c>
      <c r="D282" s="16">
        <f>IFERROR(__xludf.DUMMYFUNCTION("""COMPUTED_VALUE"""),276.0)</f>
        <v>276</v>
      </c>
      <c r="E282" s="16">
        <f>IFERROR(__xludf.DUMMYFUNCTION("""COMPUTED_VALUE"""),0.960144927536231)</f>
        <v>0.9601449275</v>
      </c>
      <c r="F282" s="16">
        <f>IFERROR(__xludf.DUMMYFUNCTION("""COMPUTED_VALUE"""),0.710144927536231)</f>
        <v>0.7101449275</v>
      </c>
      <c r="G282" s="16">
        <f>IFERROR(__xludf.DUMMYFUNCTION("""COMPUTED_VALUE"""),0.652173913043478)</f>
        <v>0.652173913</v>
      </c>
      <c r="H282" s="16">
        <f>IFERROR(__xludf.DUMMYFUNCTION("""COMPUTED_VALUE"""),0.563636363636363)</f>
        <v>0.5636363636</v>
      </c>
      <c r="I282" s="16">
        <f>IFERROR(__xludf.DUMMYFUNCTION("""COMPUTED_VALUE"""),0.534545454545454)</f>
        <v>0.5345454545</v>
      </c>
      <c r="J282" s="16">
        <f>IFERROR(__xludf.DUMMYFUNCTION("""COMPUTED_VALUE"""),0.505454545454545)</f>
        <v>0.5054545455</v>
      </c>
      <c r="K282" s="16">
        <f>IFERROR(__xludf.DUMMYFUNCTION("""COMPUTED_VALUE"""),0.478102189781021)</f>
        <v>0.4781021898</v>
      </c>
      <c r="L282" s="16">
        <f>IFERROR(__xludf.DUMMYFUNCTION("""COMPUTED_VALUE"""),0.463503649635036)</f>
        <v>0.4635036496</v>
      </c>
      <c r="M282" s="16">
        <f>IFERROR(__xludf.DUMMYFUNCTION("""COMPUTED_VALUE"""),0.429133858267716)</f>
        <v>0.4291338583</v>
      </c>
      <c r="N282" s="16">
        <f>IFERROR(__xludf.DUMMYFUNCTION("""COMPUTED_VALUE"""),0.436507936507936)</f>
        <v>0.4365079365</v>
      </c>
      <c r="O282" s="16">
        <f>IFERROR(__xludf.DUMMYFUNCTION("""COMPUTED_VALUE"""),0.354838709677419)</f>
        <v>0.3548387097</v>
      </c>
      <c r="P282" s="16">
        <f>IFERROR(__xludf.DUMMYFUNCTION("""COMPUTED_VALUE"""),0.292181069958847)</f>
        <v>0.29218107</v>
      </c>
      <c r="Q282" s="16">
        <f>IFERROR(__xludf.DUMMYFUNCTION("""COMPUTED_VALUE"""),0.196428571428571)</f>
        <v>0.1964285714</v>
      </c>
      <c r="R282" s="16">
        <f>IFERROR(__xludf.DUMMYFUNCTION("""COMPUTED_VALUE"""),0.138297872340425)</f>
        <v>0.1382978723</v>
      </c>
      <c r="S282" s="16">
        <f>IFERROR(__xludf.DUMMYFUNCTION("""COMPUTED_VALUE"""),0.0465116279069767)</f>
        <v>0.04651162791</v>
      </c>
      <c r="T282" s="16">
        <f>IFERROR(__xludf.DUMMYFUNCTION("""COMPUTED_VALUE"""),0.0)</f>
        <v>0</v>
      </c>
      <c r="U282" s="16">
        <f>IFERROR(__xludf.DUMMYFUNCTION("""COMPUTED_VALUE"""),0.0)</f>
        <v>0</v>
      </c>
      <c r="V282" s="16">
        <f>IFERROR(__xludf.DUMMYFUNCTION("""COMPUTED_VALUE"""),0.0)</f>
        <v>0</v>
      </c>
      <c r="W282" s="16">
        <f>IFERROR(__xludf.DUMMYFUNCTION("""COMPUTED_VALUE"""),0.0)</f>
        <v>0</v>
      </c>
      <c r="X282" s="16">
        <f>IFERROR(__xludf.DUMMYFUNCTION("""COMPUTED_VALUE"""),0.0)</f>
        <v>0</v>
      </c>
      <c r="Y282" s="16">
        <f>IFERROR(__xludf.DUMMYFUNCTION("""COMPUTED_VALUE"""),0.0)</f>
        <v>0</v>
      </c>
      <c r="Z282" s="16">
        <f>IFERROR(__xludf.DUMMYFUNCTION("""COMPUTED_VALUE"""),0.0)</f>
        <v>0</v>
      </c>
      <c r="AA282" s="16">
        <f>IFERROR(__xludf.DUMMYFUNCTION("""COMPUTED_VALUE"""),0.0)</f>
        <v>0</v>
      </c>
      <c r="AB282" s="16">
        <f>IFERROR(__xludf.DUMMYFUNCTION("""COMPUTED_VALUE"""),0.0)</f>
        <v>0</v>
      </c>
      <c r="AC282" s="16">
        <f>IFERROR(__xludf.DUMMYFUNCTION("""COMPUTED_VALUE"""),0.0)</f>
        <v>0</v>
      </c>
      <c r="AD282" s="16">
        <f>IFERROR(__xludf.DUMMYFUNCTION("""COMPUTED_VALUE"""),0.0)</f>
        <v>0</v>
      </c>
      <c r="AE282" s="16">
        <f>IFERROR(__xludf.DUMMYFUNCTION("""COMPUTED_VALUE"""),0.0)</f>
        <v>0</v>
      </c>
      <c r="AF282" s="16">
        <f>IFERROR(__xludf.DUMMYFUNCTION("""COMPUTED_VALUE"""),0.0)</f>
        <v>0</v>
      </c>
      <c r="AG282" s="16">
        <f>IFERROR(__xludf.DUMMYFUNCTION("""COMPUTED_VALUE"""),0.0)</f>
        <v>0</v>
      </c>
      <c r="AH282" s="16">
        <f>IFERROR(__xludf.DUMMYFUNCTION("""COMPUTED_VALUE"""),0.0)</f>
        <v>0</v>
      </c>
    </row>
    <row r="283">
      <c r="A283" s="16" t="str">
        <f>IFERROR(__xludf.DUMMYFUNCTION("""COMPUTED_VALUE"""),"f55e0806430f9f979b0bfc889bab608a05d8bb5b")</f>
        <v>f55e0806430f9f979b0bfc889bab608a05d8bb5b</v>
      </c>
      <c r="B283" s="16" t="str">
        <f>IFERROR(__xludf.DUMMYFUNCTION("""COMPUTED_VALUE"""),"Light of a New World")</f>
        <v>Light of a New World</v>
      </c>
      <c r="C283" s="16" t="str">
        <f>IFERROR(__xludf.DUMMYFUNCTION("""COMPUTED_VALUE"""),"Sci-Fi")</f>
        <v>Sci-Fi</v>
      </c>
      <c r="D283" s="16">
        <f>IFERROR(__xludf.DUMMYFUNCTION("""COMPUTED_VALUE"""),151.0)</f>
        <v>151</v>
      </c>
      <c r="E283" s="16">
        <f>IFERROR(__xludf.DUMMYFUNCTION("""COMPUTED_VALUE"""),0.993377483443708)</f>
        <v>0.9933774834</v>
      </c>
      <c r="F283" s="16">
        <f>IFERROR(__xludf.DUMMYFUNCTION("""COMPUTED_VALUE"""),0.33774834437086)</f>
        <v>0.3377483444</v>
      </c>
      <c r="G283" s="16">
        <f>IFERROR(__xludf.DUMMYFUNCTION("""COMPUTED_VALUE"""),0.251655629139072)</f>
        <v>0.2516556291</v>
      </c>
      <c r="H283" s="16">
        <f>IFERROR(__xludf.DUMMYFUNCTION("""COMPUTED_VALUE"""),0.198675496688741)</f>
        <v>0.1986754967</v>
      </c>
      <c r="I283" s="16">
        <f>IFERROR(__xludf.DUMMYFUNCTION("""COMPUTED_VALUE"""),0.158940397350993)</f>
        <v>0.1589403974</v>
      </c>
      <c r="J283" s="16">
        <f>IFERROR(__xludf.DUMMYFUNCTION("""COMPUTED_VALUE"""),0.132450331125827)</f>
        <v>0.1324503311</v>
      </c>
      <c r="K283" s="16">
        <f>IFERROR(__xludf.DUMMYFUNCTION("""COMPUTED_VALUE"""),0.126666666666666)</f>
        <v>0.1266666667</v>
      </c>
      <c r="L283" s="16">
        <f>IFERROR(__xludf.DUMMYFUNCTION("""COMPUTED_VALUE"""),0.121621621621621)</f>
        <v>0.1216216216</v>
      </c>
      <c r="M283" s="16">
        <f>IFERROR(__xludf.DUMMYFUNCTION("""COMPUTED_VALUE"""),0.108108108108108)</f>
        <v>0.1081081081</v>
      </c>
      <c r="N283" s="16">
        <f>IFERROR(__xludf.DUMMYFUNCTION("""COMPUTED_VALUE"""),0.101351351351351)</f>
        <v>0.1013513514</v>
      </c>
      <c r="O283" s="16">
        <f>IFERROR(__xludf.DUMMYFUNCTION("""COMPUTED_VALUE"""),0.081081081081081)</f>
        <v>0.08108108108</v>
      </c>
      <c r="P283" s="16">
        <f>IFERROR(__xludf.DUMMYFUNCTION("""COMPUTED_VALUE"""),0.0689655172413793)</f>
        <v>0.06896551724</v>
      </c>
      <c r="Q283" s="16">
        <f>IFERROR(__xludf.DUMMYFUNCTION("""COMPUTED_VALUE"""),0.0422535211267605)</f>
        <v>0.04225352113</v>
      </c>
      <c r="R283" s="16">
        <f>IFERROR(__xludf.DUMMYFUNCTION("""COMPUTED_VALUE"""),0.0305343511450381)</f>
        <v>0.03053435115</v>
      </c>
      <c r="S283" s="16">
        <f>IFERROR(__xludf.DUMMYFUNCTION("""COMPUTED_VALUE"""),0.0175438596491228)</f>
        <v>0.01754385965</v>
      </c>
      <c r="T283" s="16">
        <f>IFERROR(__xludf.DUMMYFUNCTION("""COMPUTED_VALUE"""),0.0204081632653061)</f>
        <v>0.02040816327</v>
      </c>
      <c r="U283" s="16">
        <f>IFERROR(__xludf.DUMMYFUNCTION("""COMPUTED_VALUE"""),0.0)</f>
        <v>0</v>
      </c>
      <c r="V283" s="16">
        <f>IFERROR(__xludf.DUMMYFUNCTION("""COMPUTED_VALUE"""),0.0)</f>
        <v>0</v>
      </c>
      <c r="W283" s="16">
        <f>IFERROR(__xludf.DUMMYFUNCTION("""COMPUTED_VALUE"""),0.0)</f>
        <v>0</v>
      </c>
      <c r="X283" s="16">
        <f>IFERROR(__xludf.DUMMYFUNCTION("""COMPUTED_VALUE"""),0.0)</f>
        <v>0</v>
      </c>
      <c r="Y283" s="16">
        <f>IFERROR(__xludf.DUMMYFUNCTION("""COMPUTED_VALUE"""),0.0)</f>
        <v>0</v>
      </c>
      <c r="Z283" s="16">
        <f>IFERROR(__xludf.DUMMYFUNCTION("""COMPUTED_VALUE"""),0.0)</f>
        <v>0</v>
      </c>
      <c r="AA283" s="16">
        <f>IFERROR(__xludf.DUMMYFUNCTION("""COMPUTED_VALUE"""),0.0)</f>
        <v>0</v>
      </c>
      <c r="AB283" s="16">
        <f>IFERROR(__xludf.DUMMYFUNCTION("""COMPUTED_VALUE"""),0.0)</f>
        <v>0</v>
      </c>
      <c r="AC283" s="16">
        <f>IFERROR(__xludf.DUMMYFUNCTION("""COMPUTED_VALUE"""),0.0)</f>
        <v>0</v>
      </c>
      <c r="AD283" s="16">
        <f>IFERROR(__xludf.DUMMYFUNCTION("""COMPUTED_VALUE"""),0.0)</f>
        <v>0</v>
      </c>
      <c r="AE283" s="16">
        <f>IFERROR(__xludf.DUMMYFUNCTION("""COMPUTED_VALUE"""),0.0)</f>
        <v>0</v>
      </c>
      <c r="AF283" s="16">
        <f>IFERROR(__xludf.DUMMYFUNCTION("""COMPUTED_VALUE"""),0.0)</f>
        <v>0</v>
      </c>
      <c r="AG283" s="16">
        <f>IFERROR(__xludf.DUMMYFUNCTION("""COMPUTED_VALUE"""),0.0)</f>
        <v>0</v>
      </c>
      <c r="AH283" s="16">
        <f>IFERROR(__xludf.DUMMYFUNCTION("""COMPUTED_VALUE"""),0.0)</f>
        <v>0</v>
      </c>
    </row>
    <row r="284">
      <c r="A284" s="16" t="str">
        <f>IFERROR(__xludf.DUMMYFUNCTION("""COMPUTED_VALUE"""),"f55f204dc3de9a654227cb01dab85c260fd98fde")</f>
        <v>f55f204dc3de9a654227cb01dab85c260fd98fde</v>
      </c>
      <c r="B284" s="16" t="str">
        <f>IFERROR(__xludf.DUMMYFUNCTION("""COMPUTED_VALUE"""),"Married to His Uncle")</f>
        <v>Married to His Uncle</v>
      </c>
      <c r="C284" s="16" t="str">
        <f>IFERROR(__xludf.DUMMYFUNCTION("""COMPUTED_VALUE"""),"Romance")</f>
        <v>Romance</v>
      </c>
      <c r="D284" s="16">
        <f>IFERROR(__xludf.DUMMYFUNCTION("""COMPUTED_VALUE"""),18.0)</f>
        <v>18</v>
      </c>
      <c r="E284" s="16">
        <f>IFERROR(__xludf.DUMMYFUNCTION("""COMPUTED_VALUE"""),0.888888888888888)</f>
        <v>0.8888888889</v>
      </c>
      <c r="F284" s="16">
        <f>IFERROR(__xludf.DUMMYFUNCTION("""COMPUTED_VALUE"""),0.666666666666666)</f>
        <v>0.6666666667</v>
      </c>
      <c r="G284" s="16">
        <f>IFERROR(__xludf.DUMMYFUNCTION("""COMPUTED_VALUE"""),0.555555555555555)</f>
        <v>0.5555555556</v>
      </c>
      <c r="H284" s="16">
        <f>IFERROR(__xludf.DUMMYFUNCTION("""COMPUTED_VALUE"""),0.555555555555555)</f>
        <v>0.5555555556</v>
      </c>
      <c r="I284" s="16">
        <f>IFERROR(__xludf.DUMMYFUNCTION("""COMPUTED_VALUE"""),0.5)</f>
        <v>0.5</v>
      </c>
      <c r="J284" s="16">
        <f>IFERROR(__xludf.DUMMYFUNCTION("""COMPUTED_VALUE"""),0.388888888888888)</f>
        <v>0.3888888889</v>
      </c>
      <c r="K284" s="16">
        <f>IFERROR(__xludf.DUMMYFUNCTION("""COMPUTED_VALUE"""),0.555555555555555)</f>
        <v>0.5555555556</v>
      </c>
      <c r="L284" s="16">
        <f>IFERROR(__xludf.DUMMYFUNCTION("""COMPUTED_VALUE"""),0.470588235294117)</f>
        <v>0.4705882353</v>
      </c>
      <c r="M284" s="16">
        <f>IFERROR(__xludf.DUMMYFUNCTION("""COMPUTED_VALUE"""),0.4)</f>
        <v>0.4</v>
      </c>
      <c r="N284" s="16">
        <f>IFERROR(__xludf.DUMMYFUNCTION("""COMPUTED_VALUE"""),0.5)</f>
        <v>0.5</v>
      </c>
      <c r="O284" s="16">
        <f>IFERROR(__xludf.DUMMYFUNCTION("""COMPUTED_VALUE"""),0.5)</f>
        <v>0.5</v>
      </c>
      <c r="P284" s="16">
        <f>IFERROR(__xludf.DUMMYFUNCTION("""COMPUTED_VALUE"""),0.5)</f>
        <v>0.5</v>
      </c>
      <c r="Q284" s="16">
        <f>IFERROR(__xludf.DUMMYFUNCTION("""COMPUTED_VALUE"""),0.0)</f>
        <v>0</v>
      </c>
      <c r="R284" s="16">
        <f>IFERROR(__xludf.DUMMYFUNCTION("""COMPUTED_VALUE"""),0.0)</f>
        <v>0</v>
      </c>
      <c r="S284" s="16">
        <f>IFERROR(__xludf.DUMMYFUNCTION("""COMPUTED_VALUE"""),0.0)</f>
        <v>0</v>
      </c>
      <c r="T284" s="16">
        <f>IFERROR(__xludf.DUMMYFUNCTION("""COMPUTED_VALUE"""),0.0)</f>
        <v>0</v>
      </c>
      <c r="U284" s="16">
        <f>IFERROR(__xludf.DUMMYFUNCTION("""COMPUTED_VALUE"""),0.0)</f>
        <v>0</v>
      </c>
      <c r="V284" s="16">
        <f>IFERROR(__xludf.DUMMYFUNCTION("""COMPUTED_VALUE"""),0.0)</f>
        <v>0</v>
      </c>
      <c r="W284" s="16">
        <f>IFERROR(__xludf.DUMMYFUNCTION("""COMPUTED_VALUE"""),0.0)</f>
        <v>0</v>
      </c>
      <c r="X284" s="16">
        <f>IFERROR(__xludf.DUMMYFUNCTION("""COMPUTED_VALUE"""),0.0)</f>
        <v>0</v>
      </c>
      <c r="Y284" s="16">
        <f>IFERROR(__xludf.DUMMYFUNCTION("""COMPUTED_VALUE"""),0.0)</f>
        <v>0</v>
      </c>
      <c r="Z284" s="16">
        <f>IFERROR(__xludf.DUMMYFUNCTION("""COMPUTED_VALUE"""),0.0)</f>
        <v>0</v>
      </c>
      <c r="AA284" s="16">
        <f>IFERROR(__xludf.DUMMYFUNCTION("""COMPUTED_VALUE"""),0.0)</f>
        <v>0</v>
      </c>
      <c r="AB284" s="16">
        <f>IFERROR(__xludf.DUMMYFUNCTION("""COMPUTED_VALUE"""),0.0)</f>
        <v>0</v>
      </c>
      <c r="AC284" s="16">
        <f>IFERROR(__xludf.DUMMYFUNCTION("""COMPUTED_VALUE"""),0.0)</f>
        <v>0</v>
      </c>
      <c r="AD284" s="16">
        <f>IFERROR(__xludf.DUMMYFUNCTION("""COMPUTED_VALUE"""),0.0)</f>
        <v>0</v>
      </c>
      <c r="AE284" s="16">
        <f>IFERROR(__xludf.DUMMYFUNCTION("""COMPUTED_VALUE"""),0.0)</f>
        <v>0</v>
      </c>
      <c r="AF284" s="16">
        <f>IFERROR(__xludf.DUMMYFUNCTION("""COMPUTED_VALUE"""),0.0)</f>
        <v>0</v>
      </c>
      <c r="AG284" s="16">
        <f>IFERROR(__xludf.DUMMYFUNCTION("""COMPUTED_VALUE"""),0.0)</f>
        <v>0</v>
      </c>
      <c r="AH284" s="16">
        <f>IFERROR(__xludf.DUMMYFUNCTION("""COMPUTED_VALUE"""),0.0)</f>
        <v>0</v>
      </c>
    </row>
    <row r="285">
      <c r="A285" s="16" t="str">
        <f>IFERROR(__xludf.DUMMYFUNCTION("""COMPUTED_VALUE"""),"f57a1c79e744b5f58e2255b8d130aa970362f57d")</f>
        <v>f57a1c79e744b5f58e2255b8d130aa970362f57d</v>
      </c>
      <c r="B285" s="16" t="str">
        <f>IFERROR(__xludf.DUMMYFUNCTION("""COMPUTED_VALUE"""),"The Baby Contract")</f>
        <v>The Baby Contract</v>
      </c>
      <c r="C285" s="16" t="str">
        <f>IFERROR(__xludf.DUMMYFUNCTION("""COMPUTED_VALUE"""),"Romance")</f>
        <v>Romance</v>
      </c>
      <c r="D285" s="16">
        <f>IFERROR(__xludf.DUMMYFUNCTION("""COMPUTED_VALUE"""),37.0)</f>
        <v>37</v>
      </c>
      <c r="E285" s="16">
        <f>IFERROR(__xludf.DUMMYFUNCTION("""COMPUTED_VALUE"""),1.0)</f>
        <v>1</v>
      </c>
      <c r="F285" s="16">
        <f>IFERROR(__xludf.DUMMYFUNCTION("""COMPUTED_VALUE"""),0.621621621621621)</f>
        <v>0.6216216216</v>
      </c>
      <c r="G285" s="16">
        <f>IFERROR(__xludf.DUMMYFUNCTION("""COMPUTED_VALUE"""),0.513513513513513)</f>
        <v>0.5135135135</v>
      </c>
      <c r="H285" s="16">
        <f>IFERROR(__xludf.DUMMYFUNCTION("""COMPUTED_VALUE"""),0.459459459459459)</f>
        <v>0.4594594595</v>
      </c>
      <c r="I285" s="16">
        <f>IFERROR(__xludf.DUMMYFUNCTION("""COMPUTED_VALUE"""),0.351351351351351)</f>
        <v>0.3513513514</v>
      </c>
      <c r="J285" s="16">
        <f>IFERROR(__xludf.DUMMYFUNCTION("""COMPUTED_VALUE"""),0.351351351351351)</f>
        <v>0.3513513514</v>
      </c>
      <c r="K285" s="16">
        <f>IFERROR(__xludf.DUMMYFUNCTION("""COMPUTED_VALUE"""),0.351351351351351)</f>
        <v>0.3513513514</v>
      </c>
      <c r="L285" s="16">
        <f>IFERROR(__xludf.DUMMYFUNCTION("""COMPUTED_VALUE"""),0.304347826086956)</f>
        <v>0.3043478261</v>
      </c>
      <c r="M285" s="16">
        <f>IFERROR(__xludf.DUMMYFUNCTION("""COMPUTED_VALUE"""),0.142857142857142)</f>
        <v>0.1428571429</v>
      </c>
      <c r="N285" s="16">
        <f>IFERROR(__xludf.DUMMYFUNCTION("""COMPUTED_VALUE"""),0.0)</f>
        <v>0</v>
      </c>
      <c r="O285" s="16">
        <f>IFERROR(__xludf.DUMMYFUNCTION("""COMPUTED_VALUE"""),0.0)</f>
        <v>0</v>
      </c>
      <c r="P285" s="16">
        <f>IFERROR(__xludf.DUMMYFUNCTION("""COMPUTED_VALUE"""),0.0)</f>
        <v>0</v>
      </c>
      <c r="Q285" s="16">
        <f>IFERROR(__xludf.DUMMYFUNCTION("""COMPUTED_VALUE"""),0.0)</f>
        <v>0</v>
      </c>
      <c r="R285" s="16">
        <f>IFERROR(__xludf.DUMMYFUNCTION("""COMPUTED_VALUE"""),0.0)</f>
        <v>0</v>
      </c>
      <c r="S285" s="16">
        <f>IFERROR(__xludf.DUMMYFUNCTION("""COMPUTED_VALUE"""),0.0)</f>
        <v>0</v>
      </c>
      <c r="T285" s="16">
        <f>IFERROR(__xludf.DUMMYFUNCTION("""COMPUTED_VALUE"""),0.0)</f>
        <v>0</v>
      </c>
      <c r="U285" s="16">
        <f>IFERROR(__xludf.DUMMYFUNCTION("""COMPUTED_VALUE"""),0.0)</f>
        <v>0</v>
      </c>
      <c r="V285" s="16">
        <f>IFERROR(__xludf.DUMMYFUNCTION("""COMPUTED_VALUE"""),0.0)</f>
        <v>0</v>
      </c>
      <c r="W285" s="16">
        <f>IFERROR(__xludf.DUMMYFUNCTION("""COMPUTED_VALUE"""),0.0)</f>
        <v>0</v>
      </c>
      <c r="X285" s="16">
        <f>IFERROR(__xludf.DUMMYFUNCTION("""COMPUTED_VALUE"""),0.0)</f>
        <v>0</v>
      </c>
      <c r="Y285" s="16">
        <f>IFERROR(__xludf.DUMMYFUNCTION("""COMPUTED_VALUE"""),0.0)</f>
        <v>0</v>
      </c>
      <c r="Z285" s="16">
        <f>IFERROR(__xludf.DUMMYFUNCTION("""COMPUTED_VALUE"""),0.0)</f>
        <v>0</v>
      </c>
      <c r="AA285" s="16">
        <f>IFERROR(__xludf.DUMMYFUNCTION("""COMPUTED_VALUE"""),0.0)</f>
        <v>0</v>
      </c>
      <c r="AB285" s="16">
        <f>IFERROR(__xludf.DUMMYFUNCTION("""COMPUTED_VALUE"""),0.0)</f>
        <v>0</v>
      </c>
      <c r="AC285" s="16">
        <f>IFERROR(__xludf.DUMMYFUNCTION("""COMPUTED_VALUE"""),0.0)</f>
        <v>0</v>
      </c>
      <c r="AD285" s="16">
        <f>IFERROR(__xludf.DUMMYFUNCTION("""COMPUTED_VALUE"""),0.0)</f>
        <v>0</v>
      </c>
      <c r="AE285" s="16">
        <f>IFERROR(__xludf.DUMMYFUNCTION("""COMPUTED_VALUE"""),0.0)</f>
        <v>0</v>
      </c>
      <c r="AF285" s="16">
        <f>IFERROR(__xludf.DUMMYFUNCTION("""COMPUTED_VALUE"""),0.0)</f>
        <v>0</v>
      </c>
      <c r="AG285" s="16">
        <f>IFERROR(__xludf.DUMMYFUNCTION("""COMPUTED_VALUE"""),0.0)</f>
        <v>0</v>
      </c>
      <c r="AH285" s="16">
        <f>IFERROR(__xludf.DUMMYFUNCTION("""COMPUTED_VALUE"""),0.0)</f>
        <v>0</v>
      </c>
    </row>
    <row r="286">
      <c r="A286" s="16" t="str">
        <f>IFERROR(__xludf.DUMMYFUNCTION("""COMPUTED_VALUE"""),"f692474d2ac3ef329a93f72cfedf44bceaced5f1")</f>
        <v>f692474d2ac3ef329a93f72cfedf44bceaced5f1</v>
      </c>
      <c r="B286" s="16" t="str">
        <f>IFERROR(__xludf.DUMMYFUNCTION("""COMPUTED_VALUE"""),"Kingsley Reigns")</f>
        <v>Kingsley Reigns</v>
      </c>
      <c r="C286" s="16" t="str">
        <f>IFERROR(__xludf.DUMMYFUNCTION("""COMPUTED_VALUE"""),"Drama")</f>
        <v>Drama</v>
      </c>
      <c r="D286" s="16">
        <f>IFERROR(__xludf.DUMMYFUNCTION("""COMPUTED_VALUE"""),3235.0)</f>
        <v>3235</v>
      </c>
      <c r="E286" s="16">
        <f>IFERROR(__xludf.DUMMYFUNCTION("""COMPUTED_VALUE"""),0.9258114374034)</f>
        <v>0.9258114374</v>
      </c>
      <c r="F286" s="16">
        <f>IFERROR(__xludf.DUMMYFUNCTION("""COMPUTED_VALUE"""),0.450695517774343)</f>
        <v>0.4506955178</v>
      </c>
      <c r="G286" s="16">
        <f>IFERROR(__xludf.DUMMYFUNCTION("""COMPUTED_VALUE"""),0.403091190108191)</f>
        <v>0.4030911901</v>
      </c>
      <c r="H286" s="16">
        <f>IFERROR(__xludf.DUMMYFUNCTION("""COMPUTED_VALUE"""),0.369706336939721)</f>
        <v>0.3697063369</v>
      </c>
      <c r="I286" s="16">
        <f>IFERROR(__xludf.DUMMYFUNCTION("""COMPUTED_VALUE"""),0.348484848484848)</f>
        <v>0.3484848485</v>
      </c>
      <c r="J286" s="16">
        <f>IFERROR(__xludf.DUMMYFUNCTION("""COMPUTED_VALUE"""),0.330034024126198)</f>
        <v>0.3300340241</v>
      </c>
      <c r="K286" s="16">
        <f>IFERROR(__xludf.DUMMYFUNCTION("""COMPUTED_VALUE"""),0.307858910891089)</f>
        <v>0.3078589109</v>
      </c>
      <c r="L286" s="16">
        <f>IFERROR(__xludf.DUMMYFUNCTION("""COMPUTED_VALUE"""),0.294609665427509)</f>
        <v>0.2946096654</v>
      </c>
      <c r="M286" s="16">
        <f>IFERROR(__xludf.DUMMYFUNCTION("""COMPUTED_VALUE"""),0.285094515029439)</f>
        <v>0.285094515</v>
      </c>
      <c r="N286" s="16">
        <f>IFERROR(__xludf.DUMMYFUNCTION("""COMPUTED_VALUE"""),0.277743335399876)</f>
        <v>0.2777433354</v>
      </c>
      <c r="O286" s="16">
        <f>IFERROR(__xludf.DUMMYFUNCTION("""COMPUTED_VALUE"""),0.251087632069608)</f>
        <v>0.2510876321</v>
      </c>
      <c r="P286" s="16">
        <f>IFERROR(__xludf.DUMMYFUNCTION("""COMPUTED_VALUE"""),0.194401244167962)</f>
        <v>0.1944012442</v>
      </c>
      <c r="Q286" s="16">
        <f>IFERROR(__xludf.DUMMYFUNCTION("""COMPUTED_VALUE"""),0.138490330630068)</f>
        <v>0.1384903306</v>
      </c>
      <c r="R286" s="16">
        <f>IFERROR(__xludf.DUMMYFUNCTION("""COMPUTED_VALUE"""),0.119724914035636)</f>
        <v>0.119724914</v>
      </c>
      <c r="S286" s="16">
        <f>IFERROR(__xludf.DUMMYFUNCTION("""COMPUTED_VALUE"""),0.108288770053475)</f>
        <v>0.1082887701</v>
      </c>
      <c r="T286" s="16">
        <f>IFERROR(__xludf.DUMMYFUNCTION("""COMPUTED_VALUE"""),0.0939834840739284)</f>
        <v>0.09398348407</v>
      </c>
      <c r="U286" s="16">
        <f>IFERROR(__xludf.DUMMYFUNCTION("""COMPUTED_VALUE"""),0.0838737570255079)</f>
        <v>0.08387375703</v>
      </c>
      <c r="V286" s="16">
        <f>IFERROR(__xludf.DUMMYFUNCTION("""COMPUTED_VALUE"""),0.0748596381784154)</f>
        <v>0.07485963818</v>
      </c>
      <c r="W286" s="16">
        <f>IFERROR(__xludf.DUMMYFUNCTION("""COMPUTED_VALUE"""),0.0715917745620716)</f>
        <v>0.07159177456</v>
      </c>
      <c r="X286" s="16">
        <f>IFERROR(__xludf.DUMMYFUNCTION("""COMPUTED_VALUE"""),0.0640495867768595)</f>
        <v>0.06404958678</v>
      </c>
      <c r="Y286" s="16">
        <f>IFERROR(__xludf.DUMMYFUNCTION("""COMPUTED_VALUE"""),0.0564705882352941)</f>
        <v>0.05647058824</v>
      </c>
      <c r="Z286" s="16">
        <f>IFERROR(__xludf.DUMMYFUNCTION("""COMPUTED_VALUE"""),0.0531914893617021)</f>
        <v>0.05319148936</v>
      </c>
      <c r="AA286" s="16">
        <f>IFERROR(__xludf.DUMMYFUNCTION("""COMPUTED_VALUE"""),0.0385232744783306)</f>
        <v>0.03852327448</v>
      </c>
      <c r="AB286" s="16">
        <f>IFERROR(__xludf.DUMMYFUNCTION("""COMPUTED_VALUE"""),0.0297872340425531)</f>
        <v>0.02978723404</v>
      </c>
      <c r="AC286" s="16">
        <f>IFERROR(__xludf.DUMMYFUNCTION("""COMPUTED_VALUE"""),0.0189873417721519)</f>
        <v>0.01898734177</v>
      </c>
      <c r="AD286" s="16">
        <f>IFERROR(__xludf.DUMMYFUNCTION("""COMPUTED_VALUE"""),0.0124481327800829)</f>
        <v>0.01244813278</v>
      </c>
      <c r="AE286" s="16">
        <f>IFERROR(__xludf.DUMMYFUNCTION("""COMPUTED_VALUE"""),0.0185185185185185)</f>
        <v>0.01851851852</v>
      </c>
      <c r="AF286" s="16">
        <f>IFERROR(__xludf.DUMMYFUNCTION("""COMPUTED_VALUE"""),0.0150753768844221)</f>
        <v>0.01507537688</v>
      </c>
      <c r="AG286" s="16">
        <f>IFERROR(__xludf.DUMMYFUNCTION("""COMPUTED_VALUE"""),0.00952380952380952)</f>
        <v>0.009523809524</v>
      </c>
      <c r="AH286" s="16">
        <f>IFERROR(__xludf.DUMMYFUNCTION("""COMPUTED_VALUE"""),0.0476190476190476)</f>
        <v>0.04761904762</v>
      </c>
    </row>
    <row r="287">
      <c r="A287" s="16" t="str">
        <f>IFERROR(__xludf.DUMMYFUNCTION("""COMPUTED_VALUE"""),"f6ea1ee253b53b8124a4f7f92ae0a9ef960a044a")</f>
        <v>f6ea1ee253b53b8124a4f7f92ae0a9ef960a044a</v>
      </c>
      <c r="B287" s="16" t="str">
        <f>IFERROR(__xludf.DUMMYFUNCTION("""COMPUTED_VALUE"""),"Regret of the Ceo")</f>
        <v>Regret of the Ceo</v>
      </c>
      <c r="C287" s="16" t="str">
        <f>IFERROR(__xludf.DUMMYFUNCTION("""COMPUTED_VALUE"""),"Romance")</f>
        <v>Romance</v>
      </c>
      <c r="D287" s="16">
        <f>IFERROR(__xludf.DUMMYFUNCTION("""COMPUTED_VALUE"""),1815.0)</f>
        <v>1815</v>
      </c>
      <c r="E287" s="16">
        <f>IFERROR(__xludf.DUMMYFUNCTION("""COMPUTED_VALUE"""),0.958677685950413)</f>
        <v>0.958677686</v>
      </c>
      <c r="F287" s="16">
        <f>IFERROR(__xludf.DUMMYFUNCTION("""COMPUTED_VALUE"""),0.674931129476584)</f>
        <v>0.6749311295</v>
      </c>
      <c r="G287" s="16">
        <f>IFERROR(__xludf.DUMMYFUNCTION("""COMPUTED_VALUE"""),0.619834710743801)</f>
        <v>0.6198347107</v>
      </c>
      <c r="H287" s="16">
        <f>IFERROR(__xludf.DUMMYFUNCTION("""COMPUTED_VALUE"""),0.567222222222222)</f>
        <v>0.5672222222</v>
      </c>
      <c r="I287" s="16">
        <f>IFERROR(__xludf.DUMMYFUNCTION("""COMPUTED_VALUE"""),0.497478991596638)</f>
        <v>0.4974789916</v>
      </c>
      <c r="J287" s="16">
        <f>IFERROR(__xludf.DUMMYFUNCTION("""COMPUTED_VALUE"""),0.455289304500292)</f>
        <v>0.4552893045</v>
      </c>
      <c r="K287" s="16">
        <f>IFERROR(__xludf.DUMMYFUNCTION("""COMPUTED_VALUE"""),0.403311649911295)</f>
        <v>0.4033116499</v>
      </c>
      <c r="L287" s="16">
        <f>IFERROR(__xludf.DUMMYFUNCTION("""COMPUTED_VALUE"""),0.370705244122965)</f>
        <v>0.3707052441</v>
      </c>
      <c r="M287" s="16">
        <f>IFERROR(__xludf.DUMMYFUNCTION("""COMPUTED_VALUE"""),0.334541062801932)</f>
        <v>0.3345410628</v>
      </c>
      <c r="N287" s="16">
        <f>IFERROR(__xludf.DUMMYFUNCTION("""COMPUTED_VALUE"""),0.306110102843315)</f>
        <v>0.3061101028</v>
      </c>
      <c r="O287" s="16">
        <f>IFERROR(__xludf.DUMMYFUNCTION("""COMPUTED_VALUE"""),0.224539877300613)</f>
        <v>0.2245398773</v>
      </c>
      <c r="P287" s="16">
        <f>IFERROR(__xludf.DUMMYFUNCTION("""COMPUTED_VALUE"""),0.179697351828499)</f>
        <v>0.1796973518</v>
      </c>
      <c r="Q287" s="16">
        <f>IFERROR(__xludf.DUMMYFUNCTION("""COMPUTED_VALUE"""),0.109697933227344)</f>
        <v>0.1096979332</v>
      </c>
      <c r="R287" s="16">
        <f>IFERROR(__xludf.DUMMYFUNCTION("""COMPUTED_VALUE"""),0.056934306569343)</f>
        <v>0.05693430657</v>
      </c>
      <c r="S287" s="16">
        <f>IFERROR(__xludf.DUMMYFUNCTION("""COMPUTED_VALUE"""),0.0342857142857142)</f>
        <v>0.03428571429</v>
      </c>
      <c r="T287" s="16">
        <f>IFERROR(__xludf.DUMMYFUNCTION("""COMPUTED_VALUE"""),0.0)</f>
        <v>0</v>
      </c>
      <c r="U287" s="16">
        <f>IFERROR(__xludf.DUMMYFUNCTION("""COMPUTED_VALUE"""),0.0)</f>
        <v>0</v>
      </c>
      <c r="V287" s="16">
        <f>IFERROR(__xludf.DUMMYFUNCTION("""COMPUTED_VALUE"""),0.0)</f>
        <v>0</v>
      </c>
      <c r="W287" s="16">
        <f>IFERROR(__xludf.DUMMYFUNCTION("""COMPUTED_VALUE"""),0.0)</f>
        <v>0</v>
      </c>
      <c r="X287" s="16">
        <f>IFERROR(__xludf.DUMMYFUNCTION("""COMPUTED_VALUE"""),0.0)</f>
        <v>0</v>
      </c>
      <c r="Y287" s="16">
        <f>IFERROR(__xludf.DUMMYFUNCTION("""COMPUTED_VALUE"""),0.0)</f>
        <v>0</v>
      </c>
      <c r="Z287" s="16">
        <f>IFERROR(__xludf.DUMMYFUNCTION("""COMPUTED_VALUE"""),0.0)</f>
        <v>0</v>
      </c>
      <c r="AA287" s="16">
        <f>IFERROR(__xludf.DUMMYFUNCTION("""COMPUTED_VALUE"""),0.0)</f>
        <v>0</v>
      </c>
      <c r="AB287" s="16">
        <f>IFERROR(__xludf.DUMMYFUNCTION("""COMPUTED_VALUE"""),0.0)</f>
        <v>0</v>
      </c>
      <c r="AC287" s="16">
        <f>IFERROR(__xludf.DUMMYFUNCTION("""COMPUTED_VALUE"""),0.0)</f>
        <v>0</v>
      </c>
      <c r="AD287" s="16">
        <f>IFERROR(__xludf.DUMMYFUNCTION("""COMPUTED_VALUE"""),0.0)</f>
        <v>0</v>
      </c>
      <c r="AE287" s="16">
        <f>IFERROR(__xludf.DUMMYFUNCTION("""COMPUTED_VALUE"""),0.0)</f>
        <v>0</v>
      </c>
      <c r="AF287" s="16">
        <f>IFERROR(__xludf.DUMMYFUNCTION("""COMPUTED_VALUE"""),0.0)</f>
        <v>0</v>
      </c>
      <c r="AG287" s="16">
        <f>IFERROR(__xludf.DUMMYFUNCTION("""COMPUTED_VALUE"""),0.0)</f>
        <v>0</v>
      </c>
      <c r="AH287" s="16">
        <f>IFERROR(__xludf.DUMMYFUNCTION("""COMPUTED_VALUE"""),0.0)</f>
        <v>0</v>
      </c>
    </row>
    <row r="288">
      <c r="A288" s="16" t="str">
        <f>IFERROR(__xludf.DUMMYFUNCTION("""COMPUTED_VALUE"""),"fb311a6dd8cd59a51bf680323116bcc5d2798a8e")</f>
        <v>fb311a6dd8cd59a51bf680323116bcc5d2798a8e</v>
      </c>
      <c r="B288" s="16" t="str">
        <f>IFERROR(__xludf.DUMMYFUNCTION("""COMPUTED_VALUE"""),"The Beast Tamer's Legacy")</f>
        <v>The Beast Tamer's Legacy</v>
      </c>
      <c r="C288" s="16" t="str">
        <f>IFERROR(__xludf.DUMMYFUNCTION("""COMPUTED_VALUE"""),"System and Superpower")</f>
        <v>System and Superpower</v>
      </c>
      <c r="D288" s="16">
        <f>IFERROR(__xludf.DUMMYFUNCTION("""COMPUTED_VALUE"""),379.0)</f>
        <v>379</v>
      </c>
      <c r="E288" s="16">
        <f>IFERROR(__xludf.DUMMYFUNCTION("""COMPUTED_VALUE"""),0.984168865435356)</f>
        <v>0.9841688654</v>
      </c>
      <c r="F288" s="16">
        <f>IFERROR(__xludf.DUMMYFUNCTION("""COMPUTED_VALUE"""),0.353562005277044)</f>
        <v>0.3535620053</v>
      </c>
      <c r="G288" s="16">
        <f>IFERROR(__xludf.DUMMYFUNCTION("""COMPUTED_VALUE"""),0.269129287598944)</f>
        <v>0.2691292876</v>
      </c>
      <c r="H288" s="16">
        <f>IFERROR(__xludf.DUMMYFUNCTION("""COMPUTED_VALUE"""),0.203166226912928)</f>
        <v>0.2031662269</v>
      </c>
      <c r="I288" s="16">
        <f>IFERROR(__xludf.DUMMYFUNCTION("""COMPUTED_VALUE"""),0.158311345646438)</f>
        <v>0.1583113456</v>
      </c>
      <c r="J288" s="16">
        <f>IFERROR(__xludf.DUMMYFUNCTION("""COMPUTED_VALUE"""),0.145118733509234)</f>
        <v>0.1451187335</v>
      </c>
      <c r="K288" s="16">
        <f>IFERROR(__xludf.DUMMYFUNCTION("""COMPUTED_VALUE"""),0.129629629629629)</f>
        <v>0.1296296296</v>
      </c>
      <c r="L288" s="16">
        <f>IFERROR(__xludf.DUMMYFUNCTION("""COMPUTED_VALUE"""),0.116710875331564)</f>
        <v>0.1167108753</v>
      </c>
      <c r="M288" s="16">
        <f>IFERROR(__xludf.DUMMYFUNCTION("""COMPUTED_VALUE"""),0.109919571045576)</f>
        <v>0.109919571</v>
      </c>
      <c r="N288" s="16">
        <f>IFERROR(__xludf.DUMMYFUNCTION("""COMPUTED_VALUE"""),0.0994623655913978)</f>
        <v>0.09946236559</v>
      </c>
      <c r="O288" s="16">
        <f>IFERROR(__xludf.DUMMYFUNCTION("""COMPUTED_VALUE"""),0.0790190735694822)</f>
        <v>0.07901907357</v>
      </c>
      <c r="P288" s="16">
        <f>IFERROR(__xludf.DUMMYFUNCTION("""COMPUTED_VALUE"""),0.0555555555555555)</f>
        <v>0.05555555556</v>
      </c>
      <c r="Q288" s="16">
        <f>IFERROR(__xludf.DUMMYFUNCTION("""COMPUTED_VALUE"""),0.050179211469534)</f>
        <v>0.05017921147</v>
      </c>
      <c r="R288" s="16">
        <f>IFERROR(__xludf.DUMMYFUNCTION("""COMPUTED_VALUE"""),0.0)</f>
        <v>0</v>
      </c>
      <c r="S288" s="16">
        <f>IFERROR(__xludf.DUMMYFUNCTION("""COMPUTED_VALUE"""),0.0)</f>
        <v>0</v>
      </c>
      <c r="T288" s="16">
        <f>IFERROR(__xludf.DUMMYFUNCTION("""COMPUTED_VALUE"""),0.0)</f>
        <v>0</v>
      </c>
      <c r="U288" s="16">
        <f>IFERROR(__xludf.DUMMYFUNCTION("""COMPUTED_VALUE"""),0.0)</f>
        <v>0</v>
      </c>
      <c r="V288" s="16">
        <f>IFERROR(__xludf.DUMMYFUNCTION("""COMPUTED_VALUE"""),0.0)</f>
        <v>0</v>
      </c>
      <c r="W288" s="16">
        <f>IFERROR(__xludf.DUMMYFUNCTION("""COMPUTED_VALUE"""),0.0)</f>
        <v>0</v>
      </c>
      <c r="X288" s="16">
        <f>IFERROR(__xludf.DUMMYFUNCTION("""COMPUTED_VALUE"""),0.0)</f>
        <v>0</v>
      </c>
      <c r="Y288" s="16">
        <f>IFERROR(__xludf.DUMMYFUNCTION("""COMPUTED_VALUE"""),0.0)</f>
        <v>0</v>
      </c>
      <c r="Z288" s="16">
        <f>IFERROR(__xludf.DUMMYFUNCTION("""COMPUTED_VALUE"""),0.0)</f>
        <v>0</v>
      </c>
      <c r="AA288" s="16">
        <f>IFERROR(__xludf.DUMMYFUNCTION("""COMPUTED_VALUE"""),0.0)</f>
        <v>0</v>
      </c>
      <c r="AB288" s="16">
        <f>IFERROR(__xludf.DUMMYFUNCTION("""COMPUTED_VALUE"""),0.0)</f>
        <v>0</v>
      </c>
      <c r="AC288" s="16">
        <f>IFERROR(__xludf.DUMMYFUNCTION("""COMPUTED_VALUE"""),0.0)</f>
        <v>0</v>
      </c>
      <c r="AD288" s="16">
        <f>IFERROR(__xludf.DUMMYFUNCTION("""COMPUTED_VALUE"""),0.0)</f>
        <v>0</v>
      </c>
      <c r="AE288" s="16">
        <f>IFERROR(__xludf.DUMMYFUNCTION("""COMPUTED_VALUE"""),0.0)</f>
        <v>0</v>
      </c>
      <c r="AF288" s="16">
        <f>IFERROR(__xludf.DUMMYFUNCTION("""COMPUTED_VALUE"""),0.0)</f>
        <v>0</v>
      </c>
      <c r="AG288" s="16">
        <f>IFERROR(__xludf.DUMMYFUNCTION("""COMPUTED_VALUE"""),0.0)</f>
        <v>0</v>
      </c>
      <c r="AH288" s="16">
        <f>IFERROR(__xludf.DUMMYFUNCTION("""COMPUTED_VALUE"""),0.0)</f>
        <v>0</v>
      </c>
    </row>
    <row r="289">
      <c r="A289" s="16" t="str">
        <f>IFERROR(__xludf.DUMMYFUNCTION("""COMPUTED_VALUE"""),"fc599fbc708fd150dfe8d867a18a17fa8b439c84")</f>
        <v>fc599fbc708fd150dfe8d867a18a17fa8b439c84</v>
      </c>
      <c r="B289" s="16" t="str">
        <f>IFERROR(__xludf.DUMMYFUNCTION("""COMPUTED_VALUE"""),"Anything for Sunny")</f>
        <v>Anything for Sunny</v>
      </c>
      <c r="C289" s="16" t="str">
        <f>IFERROR(__xludf.DUMMYFUNCTION("""COMPUTED_VALUE"""),"Drama")</f>
        <v>Drama</v>
      </c>
      <c r="D289" s="16">
        <f>IFERROR(__xludf.DUMMYFUNCTION("""COMPUTED_VALUE"""),479.0)</f>
        <v>479</v>
      </c>
      <c r="E289" s="16">
        <f>IFERROR(__xludf.DUMMYFUNCTION("""COMPUTED_VALUE"""),0.966597077244258)</f>
        <v>0.9665970772</v>
      </c>
      <c r="F289" s="16">
        <f>IFERROR(__xludf.DUMMYFUNCTION("""COMPUTED_VALUE"""),0.531380753138075)</f>
        <v>0.5313807531</v>
      </c>
      <c r="G289" s="16">
        <f>IFERROR(__xludf.DUMMYFUNCTION("""COMPUTED_VALUE"""),0.439330543933054)</f>
        <v>0.4393305439</v>
      </c>
      <c r="H289" s="16">
        <f>IFERROR(__xludf.DUMMYFUNCTION("""COMPUTED_VALUE"""),0.359832635983263)</f>
        <v>0.359832636</v>
      </c>
      <c r="I289" s="16">
        <f>IFERROR(__xludf.DUMMYFUNCTION("""COMPUTED_VALUE"""),0.304621848739495)</f>
        <v>0.3046218487</v>
      </c>
      <c r="J289" s="16">
        <f>IFERROR(__xludf.DUMMYFUNCTION("""COMPUTED_VALUE"""),0.289640591966173)</f>
        <v>0.289640592</v>
      </c>
      <c r="K289" s="16">
        <f>IFERROR(__xludf.DUMMYFUNCTION("""COMPUTED_VALUE"""),0.25)</f>
        <v>0.25</v>
      </c>
      <c r="L289" s="16">
        <f>IFERROR(__xludf.DUMMYFUNCTION("""COMPUTED_VALUE"""),0.227176220806794)</f>
        <v>0.2271762208</v>
      </c>
      <c r="M289" s="16">
        <f>IFERROR(__xludf.DUMMYFUNCTION("""COMPUTED_VALUE"""),0.21321961620469)</f>
        <v>0.2132196162</v>
      </c>
      <c r="N289" s="16">
        <f>IFERROR(__xludf.DUMMYFUNCTION("""COMPUTED_VALUE"""),0.2)</f>
        <v>0.2</v>
      </c>
      <c r="O289" s="16">
        <f>IFERROR(__xludf.DUMMYFUNCTION("""COMPUTED_VALUE"""),0.160465116279069)</f>
        <v>0.1604651163</v>
      </c>
      <c r="P289" s="16">
        <f>IFERROR(__xludf.DUMMYFUNCTION("""COMPUTED_VALUE"""),0.12565445026178)</f>
        <v>0.1256544503</v>
      </c>
      <c r="Q289" s="16">
        <f>IFERROR(__xludf.DUMMYFUNCTION("""COMPUTED_VALUE"""),0.152709359605911)</f>
        <v>0.1527093596</v>
      </c>
      <c r="R289" s="16">
        <f>IFERROR(__xludf.DUMMYFUNCTION("""COMPUTED_VALUE"""),0.152941176470588)</f>
        <v>0.1529411765</v>
      </c>
      <c r="S289" s="16">
        <f>IFERROR(__xludf.DUMMYFUNCTION("""COMPUTED_VALUE"""),0.0)</f>
        <v>0</v>
      </c>
      <c r="T289" s="16">
        <f>IFERROR(__xludf.DUMMYFUNCTION("""COMPUTED_VALUE"""),0.0)</f>
        <v>0</v>
      </c>
      <c r="U289" s="16">
        <f>IFERROR(__xludf.DUMMYFUNCTION("""COMPUTED_VALUE"""),0.0)</f>
        <v>0</v>
      </c>
      <c r="V289" s="16">
        <f>IFERROR(__xludf.DUMMYFUNCTION("""COMPUTED_VALUE"""),0.0)</f>
        <v>0</v>
      </c>
      <c r="W289" s="16">
        <f>IFERROR(__xludf.DUMMYFUNCTION("""COMPUTED_VALUE"""),0.0)</f>
        <v>0</v>
      </c>
      <c r="X289" s="16">
        <f>IFERROR(__xludf.DUMMYFUNCTION("""COMPUTED_VALUE"""),0.0)</f>
        <v>0</v>
      </c>
      <c r="Y289" s="16">
        <f>IFERROR(__xludf.DUMMYFUNCTION("""COMPUTED_VALUE"""),0.0)</f>
        <v>0</v>
      </c>
      <c r="Z289" s="16">
        <f>IFERROR(__xludf.DUMMYFUNCTION("""COMPUTED_VALUE"""),0.0)</f>
        <v>0</v>
      </c>
      <c r="AA289" s="16">
        <f>IFERROR(__xludf.DUMMYFUNCTION("""COMPUTED_VALUE"""),0.0)</f>
        <v>0</v>
      </c>
      <c r="AB289" s="16">
        <f>IFERROR(__xludf.DUMMYFUNCTION("""COMPUTED_VALUE"""),0.0)</f>
        <v>0</v>
      </c>
      <c r="AC289" s="16">
        <f>IFERROR(__xludf.DUMMYFUNCTION("""COMPUTED_VALUE"""),0.0)</f>
        <v>0</v>
      </c>
      <c r="AD289" s="16">
        <f>IFERROR(__xludf.DUMMYFUNCTION("""COMPUTED_VALUE"""),0.0)</f>
        <v>0</v>
      </c>
      <c r="AE289" s="16">
        <f>IFERROR(__xludf.DUMMYFUNCTION("""COMPUTED_VALUE"""),0.0)</f>
        <v>0</v>
      </c>
      <c r="AF289" s="16">
        <f>IFERROR(__xludf.DUMMYFUNCTION("""COMPUTED_VALUE"""),0.0)</f>
        <v>0</v>
      </c>
      <c r="AG289" s="16">
        <f>IFERROR(__xludf.DUMMYFUNCTION("""COMPUTED_VALUE"""),0.0)</f>
        <v>0</v>
      </c>
      <c r="AH289" s="16">
        <f>IFERROR(__xludf.DUMMYFUNCTION("""COMPUTED_VALUE"""),0.0)</f>
        <v>0</v>
      </c>
    </row>
    <row r="290">
      <c r="A290" s="16" t="str">
        <f>IFERROR(__xludf.DUMMYFUNCTION("""COMPUTED_VALUE"""),"fcddd3d14a0e1b1dab1bcb5c11d4aec683fdb598")</f>
        <v>fcddd3d14a0e1b1dab1bcb5c11d4aec683fdb598</v>
      </c>
      <c r="B290" s="16" t="str">
        <f>IFERROR(__xludf.DUMMYFUNCTION("""COMPUTED_VALUE"""),"Rise of Drake Callahan")</f>
        <v>Rise of Drake Callahan</v>
      </c>
      <c r="C290" s="16" t="str">
        <f>IFERROR(__xludf.DUMMYFUNCTION("""COMPUTED_VALUE"""),"Drama")</f>
        <v>Drama</v>
      </c>
      <c r="D290" s="16">
        <f>IFERROR(__xludf.DUMMYFUNCTION("""COMPUTED_VALUE"""),140.0)</f>
        <v>140</v>
      </c>
      <c r="E290" s="16">
        <f>IFERROR(__xludf.DUMMYFUNCTION("""COMPUTED_VALUE"""),0.992857142857142)</f>
        <v>0.9928571429</v>
      </c>
      <c r="F290" s="16">
        <f>IFERROR(__xludf.DUMMYFUNCTION("""COMPUTED_VALUE"""),0.478571428571428)</f>
        <v>0.4785714286</v>
      </c>
      <c r="G290" s="16">
        <f>IFERROR(__xludf.DUMMYFUNCTION("""COMPUTED_VALUE"""),0.435714285714285)</f>
        <v>0.4357142857</v>
      </c>
      <c r="H290" s="16">
        <f>IFERROR(__xludf.DUMMYFUNCTION("""COMPUTED_VALUE"""),0.438848920863309)</f>
        <v>0.4388489209</v>
      </c>
      <c r="I290" s="16">
        <f>IFERROR(__xludf.DUMMYFUNCTION("""COMPUTED_VALUE"""),0.366906474820143)</f>
        <v>0.3669064748</v>
      </c>
      <c r="J290" s="16">
        <f>IFERROR(__xludf.DUMMYFUNCTION("""COMPUTED_VALUE"""),0.333333333333333)</f>
        <v>0.3333333333</v>
      </c>
      <c r="K290" s="16">
        <f>IFERROR(__xludf.DUMMYFUNCTION("""COMPUTED_VALUE"""),0.31578947368421)</f>
        <v>0.3157894737</v>
      </c>
      <c r="L290" s="16">
        <f>IFERROR(__xludf.DUMMYFUNCTION("""COMPUTED_VALUE"""),0.294573643410852)</f>
        <v>0.2945736434</v>
      </c>
      <c r="M290" s="16">
        <f>IFERROR(__xludf.DUMMYFUNCTION("""COMPUTED_VALUE"""),0.275590551181102)</f>
        <v>0.2755905512</v>
      </c>
      <c r="N290" s="16">
        <f>IFERROR(__xludf.DUMMYFUNCTION("""COMPUTED_VALUE"""),0.263157894736842)</f>
        <v>0.2631578947</v>
      </c>
      <c r="O290" s="16">
        <f>IFERROR(__xludf.DUMMYFUNCTION("""COMPUTED_VALUE"""),0.19753086419753)</f>
        <v>0.1975308642</v>
      </c>
      <c r="P290" s="16">
        <f>IFERROR(__xludf.DUMMYFUNCTION("""COMPUTED_VALUE"""),0.16)</f>
        <v>0.16</v>
      </c>
      <c r="Q290" s="16">
        <f>IFERROR(__xludf.DUMMYFUNCTION("""COMPUTED_VALUE"""),0.0)</f>
        <v>0</v>
      </c>
      <c r="R290" s="16">
        <f>IFERROR(__xludf.DUMMYFUNCTION("""COMPUTED_VALUE"""),0.0)</f>
        <v>0</v>
      </c>
      <c r="S290" s="16">
        <f>IFERROR(__xludf.DUMMYFUNCTION("""COMPUTED_VALUE"""),0.0)</f>
        <v>0</v>
      </c>
      <c r="T290" s="16">
        <f>IFERROR(__xludf.DUMMYFUNCTION("""COMPUTED_VALUE"""),0.0)</f>
        <v>0</v>
      </c>
      <c r="U290" s="16">
        <f>IFERROR(__xludf.DUMMYFUNCTION("""COMPUTED_VALUE"""),0.0)</f>
        <v>0</v>
      </c>
      <c r="V290" s="16">
        <f>IFERROR(__xludf.DUMMYFUNCTION("""COMPUTED_VALUE"""),0.0)</f>
        <v>0</v>
      </c>
      <c r="W290" s="16">
        <f>IFERROR(__xludf.DUMMYFUNCTION("""COMPUTED_VALUE"""),0.0)</f>
        <v>0</v>
      </c>
      <c r="X290" s="16">
        <f>IFERROR(__xludf.DUMMYFUNCTION("""COMPUTED_VALUE"""),0.0)</f>
        <v>0</v>
      </c>
      <c r="Y290" s="16">
        <f>IFERROR(__xludf.DUMMYFUNCTION("""COMPUTED_VALUE"""),0.0)</f>
        <v>0</v>
      </c>
      <c r="Z290" s="16">
        <f>IFERROR(__xludf.DUMMYFUNCTION("""COMPUTED_VALUE"""),0.0)</f>
        <v>0</v>
      </c>
      <c r="AA290" s="16">
        <f>IFERROR(__xludf.DUMMYFUNCTION("""COMPUTED_VALUE"""),0.0)</f>
        <v>0</v>
      </c>
      <c r="AB290" s="16">
        <f>IFERROR(__xludf.DUMMYFUNCTION("""COMPUTED_VALUE"""),0.0)</f>
        <v>0</v>
      </c>
      <c r="AC290" s="16">
        <f>IFERROR(__xludf.DUMMYFUNCTION("""COMPUTED_VALUE"""),0.0)</f>
        <v>0</v>
      </c>
      <c r="AD290" s="16">
        <f>IFERROR(__xludf.DUMMYFUNCTION("""COMPUTED_VALUE"""),0.0)</f>
        <v>0</v>
      </c>
      <c r="AE290" s="16">
        <f>IFERROR(__xludf.DUMMYFUNCTION("""COMPUTED_VALUE"""),0.0)</f>
        <v>0</v>
      </c>
      <c r="AF290" s="16">
        <f>IFERROR(__xludf.DUMMYFUNCTION("""COMPUTED_VALUE"""),0.0)</f>
        <v>0</v>
      </c>
      <c r="AG290" s="16">
        <f>IFERROR(__xludf.DUMMYFUNCTION("""COMPUTED_VALUE"""),0.0)</f>
        <v>0</v>
      </c>
      <c r="AH290" s="16">
        <f>IFERROR(__xludf.DUMMYFUNCTION("""COMPUTED_VALUE"""),0.0)</f>
        <v>0</v>
      </c>
    </row>
    <row r="291">
      <c r="A291" s="16" t="str">
        <f>IFERROR(__xludf.DUMMYFUNCTION("""COMPUTED_VALUE"""),"fce8fe866ed4c3d213e087a4343996d06bb09af7")</f>
        <v>fce8fe866ed4c3d213e087a4343996d06bb09af7</v>
      </c>
      <c r="B291" s="16" t="str">
        <f>IFERROR(__xludf.DUMMYFUNCTION("""COMPUTED_VALUE"""),"The Anderson Rebirth")</f>
        <v>The Anderson Rebirth</v>
      </c>
      <c r="C291" s="16" t="str">
        <f>IFERROR(__xludf.DUMMYFUNCTION("""COMPUTED_VALUE"""),"System and Superpower")</f>
        <v>System and Superpower</v>
      </c>
      <c r="D291" s="16">
        <f>IFERROR(__xludf.DUMMYFUNCTION("""COMPUTED_VALUE"""),287.0)</f>
        <v>287</v>
      </c>
      <c r="E291" s="16">
        <f>IFERROR(__xludf.DUMMYFUNCTION("""COMPUTED_VALUE"""),0.954703832752613)</f>
        <v>0.9547038328</v>
      </c>
      <c r="F291" s="16">
        <f>IFERROR(__xludf.DUMMYFUNCTION("""COMPUTED_VALUE"""),0.536585365853658)</f>
        <v>0.5365853659</v>
      </c>
      <c r="G291" s="16">
        <f>IFERROR(__xludf.DUMMYFUNCTION("""COMPUTED_VALUE"""),0.477351916376306)</f>
        <v>0.4773519164</v>
      </c>
      <c r="H291" s="16">
        <f>IFERROR(__xludf.DUMMYFUNCTION("""COMPUTED_VALUE"""),0.439024390243902)</f>
        <v>0.4390243902</v>
      </c>
      <c r="I291" s="16">
        <f>IFERROR(__xludf.DUMMYFUNCTION("""COMPUTED_VALUE"""),0.400696864111498)</f>
        <v>0.4006968641</v>
      </c>
      <c r="J291" s="16">
        <f>IFERROR(__xludf.DUMMYFUNCTION("""COMPUTED_VALUE"""),0.386759581881533)</f>
        <v>0.3867595819</v>
      </c>
      <c r="K291" s="16">
        <f>IFERROR(__xludf.DUMMYFUNCTION("""COMPUTED_VALUE"""),0.349650349650349)</f>
        <v>0.3496503497</v>
      </c>
      <c r="L291" s="16">
        <f>IFERROR(__xludf.DUMMYFUNCTION("""COMPUTED_VALUE"""),0.328671328671328)</f>
        <v>0.3286713287</v>
      </c>
      <c r="M291" s="16">
        <f>IFERROR(__xludf.DUMMYFUNCTION("""COMPUTED_VALUE"""),0.325174825174825)</f>
        <v>0.3251748252</v>
      </c>
      <c r="N291" s="16">
        <f>IFERROR(__xludf.DUMMYFUNCTION("""COMPUTED_VALUE"""),0.308510638297872)</f>
        <v>0.3085106383</v>
      </c>
      <c r="O291" s="16">
        <f>IFERROR(__xludf.DUMMYFUNCTION("""COMPUTED_VALUE"""),0.281021897810218)</f>
        <v>0.2810218978</v>
      </c>
      <c r="P291" s="16">
        <f>IFERROR(__xludf.DUMMYFUNCTION("""COMPUTED_VALUE"""),0.234200743494423)</f>
        <v>0.2342007435</v>
      </c>
      <c r="Q291" s="16">
        <f>IFERROR(__xludf.DUMMYFUNCTION("""COMPUTED_VALUE"""),0.133333333333333)</f>
        <v>0.1333333333</v>
      </c>
      <c r="R291" s="16">
        <f>IFERROR(__xludf.DUMMYFUNCTION("""COMPUTED_VALUE"""),0.114285714285714)</f>
        <v>0.1142857143</v>
      </c>
      <c r="S291" s="16">
        <f>IFERROR(__xludf.DUMMYFUNCTION("""COMPUTED_VALUE"""),0.0)</f>
        <v>0</v>
      </c>
      <c r="T291" s="16">
        <f>IFERROR(__xludf.DUMMYFUNCTION("""COMPUTED_VALUE"""),0.0)</f>
        <v>0</v>
      </c>
      <c r="U291" s="16">
        <f>IFERROR(__xludf.DUMMYFUNCTION("""COMPUTED_VALUE"""),0.0)</f>
        <v>0</v>
      </c>
      <c r="V291" s="16">
        <f>IFERROR(__xludf.DUMMYFUNCTION("""COMPUTED_VALUE"""),0.0)</f>
        <v>0</v>
      </c>
      <c r="W291" s="16">
        <f>IFERROR(__xludf.DUMMYFUNCTION("""COMPUTED_VALUE"""),0.0)</f>
        <v>0</v>
      </c>
      <c r="X291" s="16">
        <f>IFERROR(__xludf.DUMMYFUNCTION("""COMPUTED_VALUE"""),0.0)</f>
        <v>0</v>
      </c>
      <c r="Y291" s="16">
        <f>IFERROR(__xludf.DUMMYFUNCTION("""COMPUTED_VALUE"""),0.0)</f>
        <v>0</v>
      </c>
      <c r="Z291" s="16">
        <f>IFERROR(__xludf.DUMMYFUNCTION("""COMPUTED_VALUE"""),0.0)</f>
        <v>0</v>
      </c>
      <c r="AA291" s="16">
        <f>IFERROR(__xludf.DUMMYFUNCTION("""COMPUTED_VALUE"""),0.0)</f>
        <v>0</v>
      </c>
      <c r="AB291" s="16">
        <f>IFERROR(__xludf.DUMMYFUNCTION("""COMPUTED_VALUE"""),0.0)</f>
        <v>0</v>
      </c>
      <c r="AC291" s="16">
        <f>IFERROR(__xludf.DUMMYFUNCTION("""COMPUTED_VALUE"""),0.0)</f>
        <v>0</v>
      </c>
      <c r="AD291" s="16">
        <f>IFERROR(__xludf.DUMMYFUNCTION("""COMPUTED_VALUE"""),0.0)</f>
        <v>0</v>
      </c>
      <c r="AE291" s="16">
        <f>IFERROR(__xludf.DUMMYFUNCTION("""COMPUTED_VALUE"""),0.0)</f>
        <v>0</v>
      </c>
      <c r="AF291" s="16">
        <f>IFERROR(__xludf.DUMMYFUNCTION("""COMPUTED_VALUE"""),0.0)</f>
        <v>0</v>
      </c>
      <c r="AG291" s="16">
        <f>IFERROR(__xludf.DUMMYFUNCTION("""COMPUTED_VALUE"""),0.0)</f>
        <v>0</v>
      </c>
      <c r="AH291" s="16">
        <f>IFERROR(__xludf.DUMMYFUNCTION("""COMPUTED_VALUE"""),0.0)</f>
        <v>0</v>
      </c>
    </row>
    <row r="292">
      <c r="A292" s="16" t="str">
        <f>IFERROR(__xludf.DUMMYFUNCTION("""COMPUTED_VALUE"""),"fce99720ddedf66c6e45f23c6876581e0b796f34")</f>
        <v>fce99720ddedf66c6e45f23c6876581e0b796f34</v>
      </c>
      <c r="B292" s="16" t="str">
        <f>IFERROR(__xludf.DUMMYFUNCTION("""COMPUTED_VALUE"""),"Reborn as Serena Whitmore")</f>
        <v>Reborn as Serena Whitmore</v>
      </c>
      <c r="C292" s="16" t="str">
        <f>IFERROR(__xludf.DUMMYFUNCTION("""COMPUTED_VALUE"""),"Romance")</f>
        <v>Romance</v>
      </c>
      <c r="D292" s="16">
        <f>IFERROR(__xludf.DUMMYFUNCTION("""COMPUTED_VALUE"""),831.0)</f>
        <v>831</v>
      </c>
      <c r="E292" s="16">
        <f>IFERROR(__xludf.DUMMYFUNCTION("""COMPUTED_VALUE"""),0.957882069795427)</f>
        <v>0.9578820698</v>
      </c>
      <c r="F292" s="16">
        <f>IFERROR(__xludf.DUMMYFUNCTION("""COMPUTED_VALUE"""),0.713598074608904)</f>
        <v>0.7135980746</v>
      </c>
      <c r="G292" s="16">
        <f>IFERROR(__xludf.DUMMYFUNCTION("""COMPUTED_VALUE"""),0.650602409638554)</f>
        <v>0.6506024096</v>
      </c>
      <c r="H292" s="16">
        <f>IFERROR(__xludf.DUMMYFUNCTION("""COMPUTED_VALUE"""),0.603614457831325)</f>
        <v>0.6036144578</v>
      </c>
      <c r="I292" s="16">
        <f>IFERROR(__xludf.DUMMYFUNCTION("""COMPUTED_VALUE"""),0.546441495778045)</f>
        <v>0.5464414958</v>
      </c>
      <c r="J292" s="16">
        <f>IFERROR(__xludf.DUMMYFUNCTION("""COMPUTED_VALUE"""),0.516363636363636)</f>
        <v>0.5163636364</v>
      </c>
      <c r="K292" s="16">
        <f>IFERROR(__xludf.DUMMYFUNCTION("""COMPUTED_VALUE"""),0.487834549878345)</f>
        <v>0.4878345499</v>
      </c>
      <c r="L292" s="16">
        <f>IFERROR(__xludf.DUMMYFUNCTION("""COMPUTED_VALUE"""),0.453646477132262)</f>
        <v>0.4536464771</v>
      </c>
      <c r="M292" s="16">
        <f>IFERROR(__xludf.DUMMYFUNCTION("""COMPUTED_VALUE"""),0.41625)</f>
        <v>0.41625</v>
      </c>
      <c r="N292" s="16">
        <f>IFERROR(__xludf.DUMMYFUNCTION("""COMPUTED_VALUE"""),0.399491094147582)</f>
        <v>0.3994910941</v>
      </c>
      <c r="O292" s="16">
        <f>IFERROR(__xludf.DUMMYFUNCTION("""COMPUTED_VALUE"""),0.31523642732049)</f>
        <v>0.3152364273</v>
      </c>
      <c r="P292" s="16">
        <f>IFERROR(__xludf.DUMMYFUNCTION("""COMPUTED_VALUE"""),0.23076923076923)</f>
        <v>0.2307692308</v>
      </c>
      <c r="Q292" s="16">
        <f>IFERROR(__xludf.DUMMYFUNCTION("""COMPUTED_VALUE"""),0.0)</f>
        <v>0</v>
      </c>
      <c r="R292" s="16">
        <f>IFERROR(__xludf.DUMMYFUNCTION("""COMPUTED_VALUE"""),0.0)</f>
        <v>0</v>
      </c>
      <c r="S292" s="16">
        <f>IFERROR(__xludf.DUMMYFUNCTION("""COMPUTED_VALUE"""),0.0)</f>
        <v>0</v>
      </c>
      <c r="T292" s="16">
        <f>IFERROR(__xludf.DUMMYFUNCTION("""COMPUTED_VALUE"""),0.0)</f>
        <v>0</v>
      </c>
      <c r="U292" s="16">
        <f>IFERROR(__xludf.DUMMYFUNCTION("""COMPUTED_VALUE"""),0.0)</f>
        <v>0</v>
      </c>
      <c r="V292" s="16">
        <f>IFERROR(__xludf.DUMMYFUNCTION("""COMPUTED_VALUE"""),0.0)</f>
        <v>0</v>
      </c>
      <c r="W292" s="16">
        <f>IFERROR(__xludf.DUMMYFUNCTION("""COMPUTED_VALUE"""),0.0)</f>
        <v>0</v>
      </c>
      <c r="X292" s="16">
        <f>IFERROR(__xludf.DUMMYFUNCTION("""COMPUTED_VALUE"""),0.0)</f>
        <v>0</v>
      </c>
      <c r="Y292" s="16">
        <f>IFERROR(__xludf.DUMMYFUNCTION("""COMPUTED_VALUE"""),0.0)</f>
        <v>0</v>
      </c>
      <c r="Z292" s="16">
        <f>IFERROR(__xludf.DUMMYFUNCTION("""COMPUTED_VALUE"""),0.0)</f>
        <v>0</v>
      </c>
      <c r="AA292" s="16">
        <f>IFERROR(__xludf.DUMMYFUNCTION("""COMPUTED_VALUE"""),0.0)</f>
        <v>0</v>
      </c>
      <c r="AB292" s="16">
        <f>IFERROR(__xludf.DUMMYFUNCTION("""COMPUTED_VALUE"""),0.0)</f>
        <v>0</v>
      </c>
      <c r="AC292" s="16">
        <f>IFERROR(__xludf.DUMMYFUNCTION("""COMPUTED_VALUE"""),0.0)</f>
        <v>0</v>
      </c>
      <c r="AD292" s="16">
        <f>IFERROR(__xludf.DUMMYFUNCTION("""COMPUTED_VALUE"""),0.0)</f>
        <v>0</v>
      </c>
      <c r="AE292" s="16">
        <f>IFERROR(__xludf.DUMMYFUNCTION("""COMPUTED_VALUE"""),0.0)</f>
        <v>0</v>
      </c>
      <c r="AF292" s="16">
        <f>IFERROR(__xludf.DUMMYFUNCTION("""COMPUTED_VALUE"""),0.0)</f>
        <v>0</v>
      </c>
      <c r="AG292" s="16">
        <f>IFERROR(__xludf.DUMMYFUNCTION("""COMPUTED_VALUE"""),0.0)</f>
        <v>0</v>
      </c>
      <c r="AH292" s="16">
        <f>IFERROR(__xludf.DUMMYFUNCTION("""COMPUTED_VALUE"""),0.0)</f>
        <v>0</v>
      </c>
    </row>
    <row r="293">
      <c r="A293" s="16" t="str">
        <f>IFERROR(__xludf.DUMMYFUNCTION("""COMPUTED_VALUE"""),"fe01aa725eab93a44f707bbab393a9640b0e69db")</f>
        <v>fe01aa725eab93a44f707bbab393a9640b0e69db</v>
      </c>
      <c r="B293" s="16" t="str">
        <f>IFERROR(__xludf.DUMMYFUNCTION("""COMPUTED_VALUE"""),"3 Years Later He Found Me")</f>
        <v>3 Years Later He Found Me</v>
      </c>
      <c r="C293" s="16" t="str">
        <f>IFERROR(__xludf.DUMMYFUNCTION("""COMPUTED_VALUE"""),"Romance")</f>
        <v>Romance</v>
      </c>
      <c r="D293" s="16">
        <f>IFERROR(__xludf.DUMMYFUNCTION("""COMPUTED_VALUE"""),738.0)</f>
        <v>738</v>
      </c>
      <c r="E293" s="16">
        <f>IFERROR(__xludf.DUMMYFUNCTION("""COMPUTED_VALUE"""),0.959349593495935)</f>
        <v>0.9593495935</v>
      </c>
      <c r="F293" s="16">
        <f>IFERROR(__xludf.DUMMYFUNCTION("""COMPUTED_VALUE"""),0.550135501355013)</f>
        <v>0.5501355014</v>
      </c>
      <c r="G293" s="16">
        <f>IFERROR(__xludf.DUMMYFUNCTION("""COMPUTED_VALUE"""),0.468834688346883)</f>
        <v>0.4688346883</v>
      </c>
      <c r="H293" s="16">
        <f>IFERROR(__xludf.DUMMYFUNCTION("""COMPUTED_VALUE"""),0.424119241192411)</f>
        <v>0.4241192412</v>
      </c>
      <c r="I293" s="16">
        <f>IFERROR(__xludf.DUMMYFUNCTION("""COMPUTED_VALUE"""),0.390243902439024)</f>
        <v>0.3902439024</v>
      </c>
      <c r="J293" s="16">
        <f>IFERROR(__xludf.DUMMYFUNCTION("""COMPUTED_VALUE"""),0.361788617886178)</f>
        <v>0.3617886179</v>
      </c>
      <c r="K293" s="16">
        <f>IFERROR(__xludf.DUMMYFUNCTION("""COMPUTED_VALUE"""),0.346883468834688)</f>
        <v>0.3468834688</v>
      </c>
      <c r="L293" s="16">
        <f>IFERROR(__xludf.DUMMYFUNCTION("""COMPUTED_VALUE"""),0.324728260869565)</f>
        <v>0.3247282609</v>
      </c>
      <c r="M293" s="16">
        <f>IFERROR(__xludf.DUMMYFUNCTION("""COMPUTED_VALUE"""),0.317934782608695)</f>
        <v>0.3179347826</v>
      </c>
      <c r="N293" s="16">
        <f>IFERROR(__xludf.DUMMYFUNCTION("""COMPUTED_VALUE"""),0.284353741496598)</f>
        <v>0.2843537415</v>
      </c>
      <c r="O293" s="16">
        <f>IFERROR(__xludf.DUMMYFUNCTION("""COMPUTED_VALUE"""),0.241803278688524)</f>
        <v>0.2418032787</v>
      </c>
      <c r="P293" s="16">
        <f>IFERROR(__xludf.DUMMYFUNCTION("""COMPUTED_VALUE"""),0.166931637519872)</f>
        <v>0.1669316375</v>
      </c>
      <c r="Q293" s="16">
        <f>IFERROR(__xludf.DUMMYFUNCTION("""COMPUTED_VALUE"""),0.10492505353319)</f>
        <v>0.1049250535</v>
      </c>
      <c r="R293" s="16">
        <f>IFERROR(__xludf.DUMMYFUNCTION("""COMPUTED_VALUE"""),0.0)</f>
        <v>0</v>
      </c>
      <c r="S293" s="16">
        <f>IFERROR(__xludf.DUMMYFUNCTION("""COMPUTED_VALUE"""),0.0)</f>
        <v>0</v>
      </c>
      <c r="T293" s="16">
        <f>IFERROR(__xludf.DUMMYFUNCTION("""COMPUTED_VALUE"""),0.0)</f>
        <v>0</v>
      </c>
      <c r="U293" s="16">
        <f>IFERROR(__xludf.DUMMYFUNCTION("""COMPUTED_VALUE"""),0.0)</f>
        <v>0</v>
      </c>
      <c r="V293" s="16">
        <f>IFERROR(__xludf.DUMMYFUNCTION("""COMPUTED_VALUE"""),0.0)</f>
        <v>0</v>
      </c>
      <c r="W293" s="16">
        <f>IFERROR(__xludf.DUMMYFUNCTION("""COMPUTED_VALUE"""),0.0)</f>
        <v>0</v>
      </c>
      <c r="X293" s="16">
        <f>IFERROR(__xludf.DUMMYFUNCTION("""COMPUTED_VALUE"""),0.0)</f>
        <v>0</v>
      </c>
      <c r="Y293" s="16">
        <f>IFERROR(__xludf.DUMMYFUNCTION("""COMPUTED_VALUE"""),0.0)</f>
        <v>0</v>
      </c>
      <c r="Z293" s="16">
        <f>IFERROR(__xludf.DUMMYFUNCTION("""COMPUTED_VALUE"""),0.0)</f>
        <v>0</v>
      </c>
      <c r="AA293" s="16">
        <f>IFERROR(__xludf.DUMMYFUNCTION("""COMPUTED_VALUE"""),0.0)</f>
        <v>0</v>
      </c>
      <c r="AB293" s="16">
        <f>IFERROR(__xludf.DUMMYFUNCTION("""COMPUTED_VALUE"""),0.0)</f>
        <v>0</v>
      </c>
      <c r="AC293" s="16">
        <f>IFERROR(__xludf.DUMMYFUNCTION("""COMPUTED_VALUE"""),0.0)</f>
        <v>0</v>
      </c>
      <c r="AD293" s="16">
        <f>IFERROR(__xludf.DUMMYFUNCTION("""COMPUTED_VALUE"""),0.0)</f>
        <v>0</v>
      </c>
      <c r="AE293" s="16">
        <f>IFERROR(__xludf.DUMMYFUNCTION("""COMPUTED_VALUE"""),0.0)</f>
        <v>0</v>
      </c>
      <c r="AF293" s="16">
        <f>IFERROR(__xludf.DUMMYFUNCTION("""COMPUTED_VALUE"""),0.0)</f>
        <v>0</v>
      </c>
      <c r="AG293" s="16">
        <f>IFERROR(__xludf.DUMMYFUNCTION("""COMPUTED_VALUE"""),0.0)</f>
        <v>0</v>
      </c>
      <c r="AH293" s="16">
        <f>IFERROR(__xludf.DUMMYFUNCTION("""COMPUTED_VALUE"""),0.0)</f>
        <v>0</v>
      </c>
    </row>
    <row r="294">
      <c r="A294" s="16" t="str">
        <f>IFERROR(__xludf.DUMMYFUNCTION("""COMPUTED_VALUE"""),"fe218223c3cbc0377d2bb07ad68251723f1b3792")</f>
        <v>fe218223c3cbc0377d2bb07ad68251723f1b3792</v>
      </c>
      <c r="B294" s="16" t="str">
        <f>IFERROR(__xludf.DUMMYFUNCTION("""COMPUTED_VALUE"""),"Return of the Gamer God")</f>
        <v>Return of the Gamer God</v>
      </c>
      <c r="C294" s="16" t="str">
        <f>IFERROR(__xludf.DUMMYFUNCTION("""COMPUTED_VALUE"""),"System and Superpower")</f>
        <v>System and Superpower</v>
      </c>
      <c r="D294" s="16">
        <f>IFERROR(__xludf.DUMMYFUNCTION("""COMPUTED_VALUE"""),302.0)</f>
        <v>302</v>
      </c>
      <c r="E294" s="16">
        <f>IFERROR(__xludf.DUMMYFUNCTION("""COMPUTED_VALUE"""),0.960264900662251)</f>
        <v>0.9602649007</v>
      </c>
      <c r="F294" s="16">
        <f>IFERROR(__xludf.DUMMYFUNCTION("""COMPUTED_VALUE"""),0.437086092715231)</f>
        <v>0.4370860927</v>
      </c>
      <c r="G294" s="16">
        <f>IFERROR(__xludf.DUMMYFUNCTION("""COMPUTED_VALUE"""),0.380794701986754)</f>
        <v>0.380794702</v>
      </c>
      <c r="H294" s="16">
        <f>IFERROR(__xludf.DUMMYFUNCTION("""COMPUTED_VALUE"""),0.33774834437086)</f>
        <v>0.3377483444</v>
      </c>
      <c r="I294" s="16">
        <f>IFERROR(__xludf.DUMMYFUNCTION("""COMPUTED_VALUE"""),0.318936877076411)</f>
        <v>0.3189368771</v>
      </c>
      <c r="J294" s="16">
        <f>IFERROR(__xludf.DUMMYFUNCTION("""COMPUTED_VALUE"""),0.3)</f>
        <v>0.3</v>
      </c>
      <c r="K294" s="16">
        <f>IFERROR(__xludf.DUMMYFUNCTION("""COMPUTED_VALUE"""),0.278523489932885)</f>
        <v>0.2785234899</v>
      </c>
      <c r="L294" s="16">
        <f>IFERROR(__xludf.DUMMYFUNCTION("""COMPUTED_VALUE"""),0.259259259259259)</f>
        <v>0.2592592593</v>
      </c>
      <c r="M294" s="16">
        <f>IFERROR(__xludf.DUMMYFUNCTION("""COMPUTED_VALUE"""),0.240677966101694)</f>
        <v>0.2406779661</v>
      </c>
      <c r="N294" s="16">
        <f>IFERROR(__xludf.DUMMYFUNCTION("""COMPUTED_VALUE"""),0.235494880546075)</f>
        <v>0.2354948805</v>
      </c>
      <c r="O294" s="16">
        <f>IFERROR(__xludf.DUMMYFUNCTION("""COMPUTED_VALUE"""),0.191836734693877)</f>
        <v>0.1918367347</v>
      </c>
      <c r="P294" s="16">
        <f>IFERROR(__xludf.DUMMYFUNCTION("""COMPUTED_VALUE"""),0.134751773049645)</f>
        <v>0.134751773</v>
      </c>
      <c r="Q294" s="16">
        <f>IFERROR(__xludf.DUMMYFUNCTION("""COMPUTED_VALUE"""),0.0408163265306122)</f>
        <v>0.04081632653</v>
      </c>
      <c r="R294" s="16">
        <f>IFERROR(__xludf.DUMMYFUNCTION("""COMPUTED_VALUE"""),0.0)</f>
        <v>0</v>
      </c>
      <c r="S294" s="16">
        <f>IFERROR(__xludf.DUMMYFUNCTION("""COMPUTED_VALUE"""),0.0)</f>
        <v>0</v>
      </c>
      <c r="T294" s="16">
        <f>IFERROR(__xludf.DUMMYFUNCTION("""COMPUTED_VALUE"""),0.0)</f>
        <v>0</v>
      </c>
      <c r="U294" s="16">
        <f>IFERROR(__xludf.DUMMYFUNCTION("""COMPUTED_VALUE"""),0.0)</f>
        <v>0</v>
      </c>
      <c r="V294" s="16">
        <f>IFERROR(__xludf.DUMMYFUNCTION("""COMPUTED_VALUE"""),0.0)</f>
        <v>0</v>
      </c>
      <c r="W294" s="16">
        <f>IFERROR(__xludf.DUMMYFUNCTION("""COMPUTED_VALUE"""),0.0)</f>
        <v>0</v>
      </c>
      <c r="X294" s="16">
        <f>IFERROR(__xludf.DUMMYFUNCTION("""COMPUTED_VALUE"""),0.0)</f>
        <v>0</v>
      </c>
      <c r="Y294" s="16">
        <f>IFERROR(__xludf.DUMMYFUNCTION("""COMPUTED_VALUE"""),0.0)</f>
        <v>0</v>
      </c>
      <c r="Z294" s="16">
        <f>IFERROR(__xludf.DUMMYFUNCTION("""COMPUTED_VALUE"""),0.0)</f>
        <v>0</v>
      </c>
      <c r="AA294" s="16">
        <f>IFERROR(__xludf.DUMMYFUNCTION("""COMPUTED_VALUE"""),0.0)</f>
        <v>0</v>
      </c>
      <c r="AB294" s="16">
        <f>IFERROR(__xludf.DUMMYFUNCTION("""COMPUTED_VALUE"""),0.0)</f>
        <v>0</v>
      </c>
      <c r="AC294" s="16">
        <f>IFERROR(__xludf.DUMMYFUNCTION("""COMPUTED_VALUE"""),0.0)</f>
        <v>0</v>
      </c>
      <c r="AD294" s="16">
        <f>IFERROR(__xludf.DUMMYFUNCTION("""COMPUTED_VALUE"""),0.0)</f>
        <v>0</v>
      </c>
      <c r="AE294" s="16">
        <f>IFERROR(__xludf.DUMMYFUNCTION("""COMPUTED_VALUE"""),0.0)</f>
        <v>0</v>
      </c>
      <c r="AF294" s="16">
        <f>IFERROR(__xludf.DUMMYFUNCTION("""COMPUTED_VALUE"""),0.0)</f>
        <v>0</v>
      </c>
      <c r="AG294" s="16">
        <f>IFERROR(__xludf.DUMMYFUNCTION("""COMPUTED_VALUE"""),0.0)</f>
        <v>0</v>
      </c>
      <c r="AH294" s="16">
        <f>IFERROR(__xludf.DUMMYFUNCTION("""COMPUTED_VALUE"""),0.0)</f>
        <v>0</v>
      </c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3" width="12.63"/>
  </cols>
  <sheetData>
    <row r="1" ht="15.75" customHeight="1">
      <c r="A1" s="1"/>
      <c r="B1" s="1" t="s">
        <v>0</v>
      </c>
      <c r="C1" s="1" t="s">
        <v>1</v>
      </c>
      <c r="D1" s="17">
        <v>20640.0</v>
      </c>
      <c r="E1" s="4">
        <v>0.891078536064459</v>
      </c>
      <c r="F1" s="4">
        <v>0.432485037224465</v>
      </c>
      <c r="G1" s="4">
        <v>0.37091901374135</v>
      </c>
      <c r="H1" s="4">
        <v>0.334017796030116</v>
      </c>
      <c r="I1" s="4">
        <v>0.3111960035263</v>
      </c>
      <c r="J1" s="4">
        <v>0.297598585670087</v>
      </c>
      <c r="K1" s="4">
        <v>0.282580898986918</v>
      </c>
      <c r="L1" s="4">
        <v>0.26922128519998</v>
      </c>
      <c r="M1" s="4">
        <v>0.263958889218302</v>
      </c>
      <c r="N1" s="4">
        <v>0.259128969925184</v>
      </c>
      <c r="O1" s="4">
        <v>0.238329238329238</v>
      </c>
      <c r="P1" s="4">
        <v>0.210435576289234</v>
      </c>
      <c r="Q1" s="4">
        <v>0.178878300265583</v>
      </c>
      <c r="R1" s="4">
        <v>0.164900842162455</v>
      </c>
      <c r="S1" s="4">
        <v>0.158756800555619</v>
      </c>
      <c r="T1" s="4">
        <v>0.153506447624094</v>
      </c>
      <c r="U1" s="4">
        <v>0.145463245409414</v>
      </c>
      <c r="V1" s="4">
        <v>0.13969294253292</v>
      </c>
      <c r="W1" s="4">
        <v>0.135563923698993</v>
      </c>
      <c r="X1" s="4">
        <v>0.129300044022388</v>
      </c>
      <c r="Y1" s="4">
        <v>0.123008449977423</v>
      </c>
      <c r="Z1" s="4">
        <v>0.114906417112299</v>
      </c>
      <c r="AA1" s="4">
        <v>0.105167049912079</v>
      </c>
      <c r="AB1" s="4">
        <v>0.0970512647098606</v>
      </c>
      <c r="AC1" s="4">
        <v>0.0892060056810496</v>
      </c>
    </row>
    <row r="2" ht="15.75" customHeight="1">
      <c r="A2" s="1"/>
      <c r="B2" s="1" t="s">
        <v>0</v>
      </c>
      <c r="C2" s="1" t="s">
        <v>2</v>
      </c>
      <c r="D2" s="17">
        <v>66828.0</v>
      </c>
      <c r="E2" s="4">
        <v>0.886366360966253</v>
      </c>
      <c r="F2" s="4">
        <v>0.747053884674203</v>
      </c>
      <c r="G2" s="4">
        <v>0.691385261894041</v>
      </c>
      <c r="H2" s="4">
        <v>0.650535776011061</v>
      </c>
      <c r="I2" s="4">
        <v>0.601578947368421</v>
      </c>
      <c r="J2" s="4">
        <v>0.560030715490243</v>
      </c>
      <c r="K2" s="4">
        <v>0.527893761022595</v>
      </c>
      <c r="L2" s="4">
        <v>0.505144219164856</v>
      </c>
      <c r="M2" s="4">
        <v>0.486482402188203</v>
      </c>
      <c r="N2" s="4">
        <v>0.471558606507802</v>
      </c>
      <c r="O2" s="4">
        <v>0.412166375180594</v>
      </c>
      <c r="P2" s="4">
        <v>0.376274554765726</v>
      </c>
      <c r="Q2" s="4">
        <v>0.334514342296624</v>
      </c>
      <c r="R2" s="4">
        <v>0.315142015768975</v>
      </c>
      <c r="S2" s="4">
        <v>0.277822463884688</v>
      </c>
      <c r="T2" s="4">
        <v>0.250051016937623</v>
      </c>
      <c r="U2" s="4">
        <v>0.208063080249268</v>
      </c>
      <c r="V2" s="4">
        <v>0.166676398458484</v>
      </c>
      <c r="W2" s="4">
        <v>0.143358176238491</v>
      </c>
      <c r="X2" s="4">
        <v>0.122838826652852</v>
      </c>
      <c r="Y2" s="4">
        <v>0.0840441545408931</v>
      </c>
      <c r="Z2" s="4">
        <v>0.0603130755064456</v>
      </c>
      <c r="AA2" s="4">
        <v>0.0</v>
      </c>
      <c r="AB2" s="4">
        <v>0.0</v>
      </c>
      <c r="AC2" s="4">
        <v>0.0</v>
      </c>
    </row>
    <row r="3" ht="15.75" customHeight="1">
      <c r="A3" s="1"/>
      <c r="B3" s="1" t="s">
        <v>0</v>
      </c>
      <c r="C3" s="1" t="s">
        <v>3</v>
      </c>
      <c r="D3" s="17">
        <v>36812.0</v>
      </c>
      <c r="E3" s="4">
        <v>0.911805498898588</v>
      </c>
      <c r="F3" s="4">
        <v>0.576011537101031</v>
      </c>
      <c r="G3" s="4">
        <v>0.524814774460666</v>
      </c>
      <c r="H3" s="4">
        <v>0.484568406129014</v>
      </c>
      <c r="I3" s="4">
        <v>0.45693558064692</v>
      </c>
      <c r="J3" s="4">
        <v>0.423801463361362</v>
      </c>
      <c r="K3" s="4">
        <v>0.403700060119145</v>
      </c>
      <c r="L3" s="4">
        <v>0.388910154754743</v>
      </c>
      <c r="M3" s="4">
        <v>0.378745997427406</v>
      </c>
      <c r="N3" s="4">
        <v>0.36995865618925</v>
      </c>
      <c r="O3" s="4">
        <v>0.336559879004537</v>
      </c>
      <c r="P3" s="4">
        <v>0.307101833443781</v>
      </c>
      <c r="Q3" s="4">
        <v>0.277700095083617</v>
      </c>
      <c r="R3" s="4">
        <v>0.256707509541163</v>
      </c>
      <c r="S3" s="4">
        <v>0.238601867645783</v>
      </c>
      <c r="T3" s="4">
        <v>0.212788474668851</v>
      </c>
      <c r="U3" s="4">
        <v>0.179343548909772</v>
      </c>
      <c r="V3" s="4">
        <v>0.163673071567808</v>
      </c>
      <c r="W3" s="4">
        <v>0.140880858272162</v>
      </c>
      <c r="X3" s="4">
        <v>0.120993692881966</v>
      </c>
      <c r="Y3" s="4">
        <v>0.0865934065934066</v>
      </c>
      <c r="Z3" s="4">
        <v>0.0622222222222222</v>
      </c>
      <c r="AA3" s="4">
        <v>0.0284463894967177</v>
      </c>
      <c r="AB3" s="4">
        <v>0.0</v>
      </c>
      <c r="AC3" s="4">
        <v>0.0</v>
      </c>
    </row>
    <row r="4" ht="15.75" customHeight="1">
      <c r="A4" s="6" t="s">
        <v>4</v>
      </c>
      <c r="B4" s="18" t="s">
        <v>5</v>
      </c>
      <c r="C4" s="6" t="s">
        <v>6</v>
      </c>
      <c r="D4" s="19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8" t="s">
        <v>13</v>
      </c>
      <c r="K4" s="8" t="s">
        <v>14</v>
      </c>
      <c r="L4" s="8" t="s">
        <v>15</v>
      </c>
      <c r="M4" s="8" t="s">
        <v>16</v>
      </c>
      <c r="N4" s="8" t="s">
        <v>17</v>
      </c>
      <c r="O4" s="8" t="s">
        <v>18</v>
      </c>
      <c r="P4" s="8" t="s">
        <v>19</v>
      </c>
      <c r="Q4" s="8" t="s">
        <v>20</v>
      </c>
      <c r="R4" s="8" t="s">
        <v>21</v>
      </c>
      <c r="S4" s="8" t="s">
        <v>22</v>
      </c>
      <c r="T4" s="8" t="s">
        <v>23</v>
      </c>
      <c r="U4" s="8" t="s">
        <v>24</v>
      </c>
      <c r="V4" s="8" t="s">
        <v>25</v>
      </c>
      <c r="W4" s="8" t="s">
        <v>26</v>
      </c>
      <c r="X4" s="8" t="s">
        <v>27</v>
      </c>
      <c r="Y4" s="8" t="s">
        <v>28</v>
      </c>
      <c r="Z4" s="8" t="s">
        <v>29</v>
      </c>
      <c r="AA4" s="8" t="s">
        <v>30</v>
      </c>
      <c r="AB4" s="8" t="s">
        <v>31</v>
      </c>
      <c r="AC4" s="8" t="s">
        <v>32</v>
      </c>
    </row>
    <row r="5" ht="15.75" customHeight="1">
      <c r="A5" s="10" t="str">
        <f>IFERROR(__xludf.DUMMYFUNCTION("{
IMPORTRANGE(""https://docs.google.com/spreadsheets/d/1OLoRCn0B2mP-LizDOaFp_LsrXGtZR4ZKvHn3aia4TMo/edit"",""Whale+ Overall!B5:B""),
IMPORTRANGE(""https://docs.google.com/spreadsheets/d/1OLoRCn0B2mP-LizDOaFp_LsrXGtZR4ZKvHn3aia4TMo/edit"",""Whale+ Overall!"&amp;"C5:C""),
IMPORTRANGE(""https://docs.google.com/spreadsheets/d/1OLoRCn0B2mP-LizDOaFp_LsrXGtZR4ZKvHn3aia4TMo/edit"",""Whale+ Overall!E5:E""),
IMPORTRANGE(""https://docs.google.com/spreadsheets/d/1OLoRCn0B2mP-LizDOaFp_LsrXGtZR4ZKvHn3aia4TMo/edit"",""Whale+ O"&amp;"verall!AC5:AC""),
IMPORTRANGE(""https://docs.google.com/spreadsheets/d/1OLoRCn0B2mP-LizDOaFp_LsrXGtZR4ZKvHn3aia4TMo/edit"",""Whale+ Overall!AJ5:BH"")
}"),"003c0c0b3759df17ce3f0b5feeeed123024f274d")</f>
        <v>003c0c0b3759df17ce3f0b5feeeed123024f274d</v>
      </c>
      <c r="B5" s="6" t="str">
        <f>IFERROR(__xludf.DUMMYFUNCTION("""COMPUTED_VALUE"""),"The Invictus Mage Returns")</f>
        <v>The Invictus Mage Returns</v>
      </c>
      <c r="C5" s="6" t="str">
        <f>IFERROR(__xludf.DUMMYFUNCTION("""COMPUTED_VALUE"""),"Fantasy")</f>
        <v>Fantasy</v>
      </c>
      <c r="D5" s="17">
        <f>IFERROR(__xludf.DUMMYFUNCTION("""COMPUTED_VALUE"""),853.0)</f>
        <v>853</v>
      </c>
      <c r="E5" s="8">
        <f>IFERROR(__xludf.DUMMYFUNCTION("""COMPUTED_VALUE"""),0.982415005861664)</f>
        <v>0.9824150059</v>
      </c>
      <c r="F5" s="8">
        <f>IFERROR(__xludf.DUMMYFUNCTION("""COMPUTED_VALUE"""),0.773207990599294)</f>
        <v>0.7732079906</v>
      </c>
      <c r="G5" s="8">
        <f>IFERROR(__xludf.DUMMYFUNCTION("""COMPUTED_VALUE"""),0.729411764705882)</f>
        <v>0.7294117647</v>
      </c>
      <c r="H5" s="8">
        <f>IFERROR(__xludf.DUMMYFUNCTION("""COMPUTED_VALUE"""),0.678823529411764)</f>
        <v>0.6788235294</v>
      </c>
      <c r="I5" s="8">
        <f>IFERROR(__xludf.DUMMYFUNCTION("""COMPUTED_VALUE"""),0.624705882352941)</f>
        <v>0.6247058824</v>
      </c>
      <c r="J5" s="8">
        <f>IFERROR(__xludf.DUMMYFUNCTION("""COMPUTED_VALUE"""),0.590106007067137)</f>
        <v>0.5901060071</v>
      </c>
      <c r="K5" s="8">
        <f>IFERROR(__xludf.DUMMYFUNCTION("""COMPUTED_VALUE"""),0.558303886925795)</f>
        <v>0.5583038869</v>
      </c>
      <c r="L5" s="8">
        <f>IFERROR(__xludf.DUMMYFUNCTION("""COMPUTED_VALUE"""),0.542452830188679)</f>
        <v>0.5424528302</v>
      </c>
      <c r="M5" s="8">
        <f>IFERROR(__xludf.DUMMYFUNCTION("""COMPUTED_VALUE"""),0.524822695035461)</f>
        <v>0.524822695</v>
      </c>
      <c r="N5" s="8">
        <f>IFERROR(__xludf.DUMMYFUNCTION("""COMPUTED_VALUE"""),0.504728132387706)</f>
        <v>0.5047281324</v>
      </c>
      <c r="O5" s="8">
        <f>IFERROR(__xludf.DUMMYFUNCTION("""COMPUTED_VALUE"""),0.420047732696897)</f>
        <v>0.4200477327</v>
      </c>
      <c r="P5" s="8">
        <f>IFERROR(__xludf.DUMMYFUNCTION("""COMPUTED_VALUE"""),0.285714285714285)</f>
        <v>0.2857142857</v>
      </c>
      <c r="Q5" s="8">
        <f>IFERROR(__xludf.DUMMYFUNCTION("""COMPUTED_VALUE"""),0.120947630922693)</f>
        <v>0.1209476309</v>
      </c>
      <c r="R5" s="8">
        <f>IFERROR(__xludf.DUMMYFUNCTION("""COMPUTED_VALUE"""),0.0)</f>
        <v>0</v>
      </c>
      <c r="S5" s="8">
        <f>IFERROR(__xludf.DUMMYFUNCTION("""COMPUTED_VALUE"""),0.0)</f>
        <v>0</v>
      </c>
      <c r="T5" s="8">
        <f>IFERROR(__xludf.DUMMYFUNCTION("""COMPUTED_VALUE"""),0.0)</f>
        <v>0</v>
      </c>
      <c r="U5" s="8">
        <f>IFERROR(__xludf.DUMMYFUNCTION("""COMPUTED_VALUE"""),0.0)</f>
        <v>0</v>
      </c>
      <c r="V5" s="8">
        <f>IFERROR(__xludf.DUMMYFUNCTION("""COMPUTED_VALUE"""),0.0)</f>
        <v>0</v>
      </c>
      <c r="W5" s="8">
        <f>IFERROR(__xludf.DUMMYFUNCTION("""COMPUTED_VALUE"""),0.0)</f>
        <v>0</v>
      </c>
      <c r="X5" s="8">
        <f>IFERROR(__xludf.DUMMYFUNCTION("""COMPUTED_VALUE"""),0.0)</f>
        <v>0</v>
      </c>
      <c r="Y5" s="8">
        <f>IFERROR(__xludf.DUMMYFUNCTION("""COMPUTED_VALUE"""),0.0)</f>
        <v>0</v>
      </c>
      <c r="Z5" s="8">
        <f>IFERROR(__xludf.DUMMYFUNCTION("""COMPUTED_VALUE"""),0.0)</f>
        <v>0</v>
      </c>
      <c r="AA5" s="8">
        <f>IFERROR(__xludf.DUMMYFUNCTION("""COMPUTED_VALUE"""),0.0)</f>
        <v>0</v>
      </c>
      <c r="AB5" s="8">
        <f>IFERROR(__xludf.DUMMYFUNCTION("""COMPUTED_VALUE"""),0.0)</f>
        <v>0</v>
      </c>
      <c r="AC5" s="8">
        <f>IFERROR(__xludf.DUMMYFUNCTION("""COMPUTED_VALUE"""),0.0)</f>
        <v>0</v>
      </c>
    </row>
    <row r="6" ht="15.75" customHeight="1">
      <c r="A6" s="6" t="str">
        <f>IFERROR(__xludf.DUMMYFUNCTION("""COMPUTED_VALUE"""),"01f367b494a414fb7c994e946bddd99820cc7e28")</f>
        <v>01f367b494a414fb7c994e946bddd99820cc7e28</v>
      </c>
      <c r="B6" s="6" t="str">
        <f>IFERROR(__xludf.DUMMYFUNCTION("""COMPUTED_VALUE"""),"The Dragon Prince’s Favor")</f>
        <v>The Dragon Prince’s Favor</v>
      </c>
      <c r="C6" s="6" t="str">
        <f>IFERROR(__xludf.DUMMYFUNCTION("""COMPUTED_VALUE"""),"Romantasy")</f>
        <v>Romantasy</v>
      </c>
      <c r="D6" s="17">
        <f>IFERROR(__xludf.DUMMYFUNCTION("""COMPUTED_VALUE"""),579.0)</f>
        <v>579</v>
      </c>
      <c r="E6" s="8">
        <f>IFERROR(__xludf.DUMMYFUNCTION("""COMPUTED_VALUE"""),0.979202772963604)</f>
        <v>0.979202773</v>
      </c>
      <c r="F6" s="8">
        <f>IFERROR(__xludf.DUMMYFUNCTION("""COMPUTED_VALUE"""),0.57391304347826)</f>
        <v>0.5739130435</v>
      </c>
      <c r="G6" s="8">
        <f>IFERROR(__xludf.DUMMYFUNCTION("""COMPUTED_VALUE"""),0.48076923076923)</f>
        <v>0.4807692308</v>
      </c>
      <c r="H6" s="8">
        <f>IFERROR(__xludf.DUMMYFUNCTION("""COMPUTED_VALUE"""),0.43859649122807)</f>
        <v>0.4385964912</v>
      </c>
      <c r="I6" s="8">
        <f>IFERROR(__xludf.DUMMYFUNCTION("""COMPUTED_VALUE"""),0.391534391534391)</f>
        <v>0.3915343915</v>
      </c>
      <c r="J6" s="8">
        <f>IFERROR(__xludf.DUMMYFUNCTION("""COMPUTED_VALUE"""),0.372477064220183)</f>
        <v>0.3724770642</v>
      </c>
      <c r="K6" s="8">
        <f>IFERROR(__xludf.DUMMYFUNCTION("""COMPUTED_VALUE"""),0.336653386454183)</f>
        <v>0.3366533865</v>
      </c>
      <c r="L6" s="8">
        <f>IFERROR(__xludf.DUMMYFUNCTION("""COMPUTED_VALUE"""),0.3189448441247)</f>
        <v>0.3189448441</v>
      </c>
      <c r="M6" s="8">
        <f>IFERROR(__xludf.DUMMYFUNCTION("""COMPUTED_VALUE"""),0.304136253041362)</f>
        <v>0.304136253</v>
      </c>
      <c r="N6" s="8">
        <f>IFERROR(__xludf.DUMMYFUNCTION("""COMPUTED_VALUE"""),0.367088607594936)</f>
        <v>0.3670886076</v>
      </c>
      <c r="O6" s="8">
        <f>IFERROR(__xludf.DUMMYFUNCTION("""COMPUTED_VALUE"""),0.4)</f>
        <v>0.4</v>
      </c>
      <c r="P6" s="8">
        <f>IFERROR(__xludf.DUMMYFUNCTION("""COMPUTED_VALUE"""),0.3)</f>
        <v>0.3</v>
      </c>
      <c r="Q6" s="8">
        <f>IFERROR(__xludf.DUMMYFUNCTION("""COMPUTED_VALUE"""),0.0)</f>
        <v>0</v>
      </c>
      <c r="R6" s="8">
        <f>IFERROR(__xludf.DUMMYFUNCTION("""COMPUTED_VALUE"""),0.0)</f>
        <v>0</v>
      </c>
      <c r="S6" s="8">
        <f>IFERROR(__xludf.DUMMYFUNCTION("""COMPUTED_VALUE"""),0.0)</f>
        <v>0</v>
      </c>
      <c r="T6" s="8">
        <f>IFERROR(__xludf.DUMMYFUNCTION("""COMPUTED_VALUE"""),0.0)</f>
        <v>0</v>
      </c>
      <c r="U6" s="8">
        <f>IFERROR(__xludf.DUMMYFUNCTION("""COMPUTED_VALUE"""),0.0)</f>
        <v>0</v>
      </c>
      <c r="V6" s="8">
        <f>IFERROR(__xludf.DUMMYFUNCTION("""COMPUTED_VALUE"""),0.0)</f>
        <v>0</v>
      </c>
      <c r="W6" s="8">
        <f>IFERROR(__xludf.DUMMYFUNCTION("""COMPUTED_VALUE"""),0.0)</f>
        <v>0</v>
      </c>
      <c r="X6" s="8">
        <f>IFERROR(__xludf.DUMMYFUNCTION("""COMPUTED_VALUE"""),0.0)</f>
        <v>0</v>
      </c>
      <c r="Y6" s="8">
        <f>IFERROR(__xludf.DUMMYFUNCTION("""COMPUTED_VALUE"""),0.0)</f>
        <v>0</v>
      </c>
      <c r="Z6" s="8">
        <f>IFERROR(__xludf.DUMMYFUNCTION("""COMPUTED_VALUE"""),0.0)</f>
        <v>0</v>
      </c>
      <c r="AA6" s="8">
        <f>IFERROR(__xludf.DUMMYFUNCTION("""COMPUTED_VALUE"""),0.0)</f>
        <v>0</v>
      </c>
      <c r="AB6" s="8">
        <f>IFERROR(__xludf.DUMMYFUNCTION("""COMPUTED_VALUE"""),0.0)</f>
        <v>0</v>
      </c>
      <c r="AC6" s="8">
        <f>IFERROR(__xludf.DUMMYFUNCTION("""COMPUTED_VALUE"""),0.0)</f>
        <v>0</v>
      </c>
    </row>
    <row r="7" ht="15.75" customHeight="1">
      <c r="A7" s="6" t="str">
        <f>IFERROR(__xludf.DUMMYFUNCTION("""COMPUTED_VALUE"""),"026a120c807e0094812e891c9140a3fd3d0f1d48")</f>
        <v>026a120c807e0094812e891c9140a3fd3d0f1d48</v>
      </c>
      <c r="B7" s="6" t="str">
        <f>IFERROR(__xludf.DUMMYFUNCTION("""COMPUTED_VALUE"""),"Vintage Heart")</f>
        <v>Vintage Heart</v>
      </c>
      <c r="C7" s="6" t="str">
        <f>IFERROR(__xludf.DUMMYFUNCTION("""COMPUTED_VALUE"""),"Romance")</f>
        <v>Romance</v>
      </c>
      <c r="D7" s="17">
        <f>IFERROR(__xludf.DUMMYFUNCTION("""COMPUTED_VALUE"""),664.0)</f>
        <v>664</v>
      </c>
      <c r="E7" s="8">
        <f>IFERROR(__xludf.DUMMYFUNCTION("""COMPUTED_VALUE"""),0.960843373493975)</f>
        <v>0.9608433735</v>
      </c>
      <c r="F7" s="8">
        <f>IFERROR(__xludf.DUMMYFUNCTION("""COMPUTED_VALUE"""),0.540662650602409)</f>
        <v>0.5406626506</v>
      </c>
      <c r="G7" s="8">
        <f>IFERROR(__xludf.DUMMYFUNCTION("""COMPUTED_VALUE"""),0.47289156626506)</f>
        <v>0.4728915663</v>
      </c>
      <c r="H7" s="8">
        <f>IFERROR(__xludf.DUMMYFUNCTION("""COMPUTED_VALUE"""),0.44578313253012)</f>
        <v>0.4457831325</v>
      </c>
      <c r="I7" s="8">
        <f>IFERROR(__xludf.DUMMYFUNCTION("""COMPUTED_VALUE"""),0.420180722891566)</f>
        <v>0.4201807229</v>
      </c>
      <c r="J7" s="8">
        <f>IFERROR(__xludf.DUMMYFUNCTION("""COMPUTED_VALUE"""),0.40512048192771)</f>
        <v>0.4051204819</v>
      </c>
      <c r="K7" s="8">
        <f>IFERROR(__xludf.DUMMYFUNCTION("""COMPUTED_VALUE"""),0.382530120481927)</f>
        <v>0.3825301205</v>
      </c>
      <c r="L7" s="8">
        <f>IFERROR(__xludf.DUMMYFUNCTION("""COMPUTED_VALUE"""),0.349397590361445)</f>
        <v>0.3493975904</v>
      </c>
      <c r="M7" s="8">
        <f>IFERROR(__xludf.DUMMYFUNCTION("""COMPUTED_VALUE"""),0.329819277108433)</f>
        <v>0.3298192771</v>
      </c>
      <c r="N7" s="8">
        <f>IFERROR(__xludf.DUMMYFUNCTION("""COMPUTED_VALUE"""),0.315233785822021)</f>
        <v>0.3152337858</v>
      </c>
      <c r="O7" s="8">
        <f>IFERROR(__xludf.DUMMYFUNCTION("""COMPUTED_VALUE"""),0.272314674735249)</f>
        <v>0.2723146747</v>
      </c>
      <c r="P7" s="8">
        <f>IFERROR(__xludf.DUMMYFUNCTION("""COMPUTED_VALUE"""),0.174578866768759)</f>
        <v>0.1745788668</v>
      </c>
      <c r="Q7" s="8">
        <f>IFERROR(__xludf.DUMMYFUNCTION("""COMPUTED_VALUE"""),0.118110236220472)</f>
        <v>0.1181102362</v>
      </c>
      <c r="R7" s="8">
        <f>IFERROR(__xludf.DUMMYFUNCTION("""COMPUTED_VALUE"""),0.0788590604026845)</f>
        <v>0.0788590604</v>
      </c>
      <c r="S7" s="8">
        <f>IFERROR(__xludf.DUMMYFUNCTION("""COMPUTED_VALUE"""),0.0598591549295774)</f>
        <v>0.05985915493</v>
      </c>
      <c r="T7" s="8">
        <f>IFERROR(__xludf.DUMMYFUNCTION("""COMPUTED_VALUE"""),0.0358744394618834)</f>
        <v>0.03587443946</v>
      </c>
      <c r="U7" s="8">
        <f>IFERROR(__xludf.DUMMYFUNCTION("""COMPUTED_VALUE"""),0.0)</f>
        <v>0</v>
      </c>
      <c r="V7" s="8">
        <f>IFERROR(__xludf.DUMMYFUNCTION("""COMPUTED_VALUE"""),0.0)</f>
        <v>0</v>
      </c>
      <c r="W7" s="8">
        <f>IFERROR(__xludf.DUMMYFUNCTION("""COMPUTED_VALUE"""),0.0)</f>
        <v>0</v>
      </c>
      <c r="X7" s="8">
        <f>IFERROR(__xludf.DUMMYFUNCTION("""COMPUTED_VALUE"""),0.0)</f>
        <v>0</v>
      </c>
      <c r="Y7" s="8">
        <f>IFERROR(__xludf.DUMMYFUNCTION("""COMPUTED_VALUE"""),0.0)</f>
        <v>0</v>
      </c>
      <c r="Z7" s="8">
        <f>IFERROR(__xludf.DUMMYFUNCTION("""COMPUTED_VALUE"""),0.0)</f>
        <v>0</v>
      </c>
      <c r="AA7" s="8">
        <f>IFERROR(__xludf.DUMMYFUNCTION("""COMPUTED_VALUE"""),0.0)</f>
        <v>0</v>
      </c>
      <c r="AB7" s="8">
        <f>IFERROR(__xludf.DUMMYFUNCTION("""COMPUTED_VALUE"""),0.0)</f>
        <v>0</v>
      </c>
      <c r="AC7" s="8">
        <f>IFERROR(__xludf.DUMMYFUNCTION("""COMPUTED_VALUE"""),0.0)</f>
        <v>0</v>
      </c>
    </row>
    <row r="8" ht="15.75" customHeight="1">
      <c r="A8" s="6" t="str">
        <f>IFERROR(__xludf.DUMMYFUNCTION("""COMPUTED_VALUE"""),"03488a9bdecaf176a7a11138160e470f361ce803")</f>
        <v>03488a9bdecaf176a7a11138160e470f361ce803</v>
      </c>
      <c r="B8" s="6" t="str">
        <f>IFERROR(__xludf.DUMMYFUNCTION("""COMPUTED_VALUE"""),"Reborn to Be His Wife")</f>
        <v>Reborn to Be His Wife</v>
      </c>
      <c r="C8" s="6" t="str">
        <f>IFERROR(__xludf.DUMMYFUNCTION("""COMPUTED_VALUE"""),"Romantasy")</f>
        <v>Romantasy</v>
      </c>
      <c r="D8" s="17">
        <f>IFERROR(__xludf.DUMMYFUNCTION("""COMPUTED_VALUE"""),933.0)</f>
        <v>933</v>
      </c>
      <c r="E8" s="8">
        <f>IFERROR(__xludf.DUMMYFUNCTION("""COMPUTED_VALUE"""),0.973204715969989)</f>
        <v>0.973204716</v>
      </c>
      <c r="F8" s="8">
        <f>IFERROR(__xludf.DUMMYFUNCTION("""COMPUTED_VALUE"""),0.544480171489817)</f>
        <v>0.5444801715</v>
      </c>
      <c r="G8" s="8">
        <f>IFERROR(__xludf.DUMMYFUNCTION("""COMPUTED_VALUE"""),0.484458735262593)</f>
        <v>0.4844587353</v>
      </c>
      <c r="H8" s="8">
        <f>IFERROR(__xludf.DUMMYFUNCTION("""COMPUTED_VALUE"""),0.412647374062165)</f>
        <v>0.4126473741</v>
      </c>
      <c r="I8" s="8">
        <f>IFERROR(__xludf.DUMMYFUNCTION("""COMPUTED_VALUE"""),0.363344051446945)</f>
        <v>0.3633440514</v>
      </c>
      <c r="J8" s="8">
        <f>IFERROR(__xludf.DUMMYFUNCTION("""COMPUTED_VALUE"""),0.32690246516613)</f>
        <v>0.3269024652</v>
      </c>
      <c r="K8" s="8">
        <f>IFERROR(__xludf.DUMMYFUNCTION("""COMPUTED_VALUE"""),0.289389067524115)</f>
        <v>0.2893890675</v>
      </c>
      <c r="L8" s="8">
        <f>IFERROR(__xludf.DUMMYFUNCTION("""COMPUTED_VALUE"""),0.259378349410503)</f>
        <v>0.2593783494</v>
      </c>
      <c r="M8" s="8">
        <f>IFERROR(__xludf.DUMMYFUNCTION("""COMPUTED_VALUE"""),0.240085744908896)</f>
        <v>0.2400857449</v>
      </c>
      <c r="N8" s="8">
        <f>IFERROR(__xludf.DUMMYFUNCTION("""COMPUTED_VALUE"""),0.222103004291845)</f>
        <v>0.2221030043</v>
      </c>
      <c r="O8" s="8">
        <f>IFERROR(__xludf.DUMMYFUNCTION("""COMPUTED_VALUE"""),0.19543973941368)</f>
        <v>0.1954397394</v>
      </c>
      <c r="P8" s="8">
        <f>IFERROR(__xludf.DUMMYFUNCTION("""COMPUTED_VALUE"""),0.159515951595159)</f>
        <v>0.1595159516</v>
      </c>
      <c r="Q8" s="8">
        <f>IFERROR(__xludf.DUMMYFUNCTION("""COMPUTED_VALUE"""),0.103960396039603)</f>
        <v>0.103960396</v>
      </c>
      <c r="R8" s="8">
        <f>IFERROR(__xludf.DUMMYFUNCTION("""COMPUTED_VALUE"""),0.0852130325814536)</f>
        <v>0.08521303258</v>
      </c>
      <c r="S8" s="8">
        <f>IFERROR(__xludf.DUMMYFUNCTION("""COMPUTED_VALUE"""),0.0608465608465608)</f>
        <v>0.06084656085</v>
      </c>
      <c r="T8" s="8">
        <f>IFERROR(__xludf.DUMMYFUNCTION("""COMPUTED_VALUE"""),0.0497237569060773)</f>
        <v>0.04972375691</v>
      </c>
      <c r="U8" s="8">
        <f>IFERROR(__xludf.DUMMYFUNCTION("""COMPUTED_VALUE"""),0.0)</f>
        <v>0</v>
      </c>
      <c r="V8" s="8">
        <f>IFERROR(__xludf.DUMMYFUNCTION("""COMPUTED_VALUE"""),0.0)</f>
        <v>0</v>
      </c>
      <c r="W8" s="8">
        <f>IFERROR(__xludf.DUMMYFUNCTION("""COMPUTED_VALUE"""),0.0)</f>
        <v>0</v>
      </c>
      <c r="X8" s="8">
        <f>IFERROR(__xludf.DUMMYFUNCTION("""COMPUTED_VALUE"""),0.0)</f>
        <v>0</v>
      </c>
      <c r="Y8" s="8">
        <f>IFERROR(__xludf.DUMMYFUNCTION("""COMPUTED_VALUE"""),0.0)</f>
        <v>0</v>
      </c>
      <c r="Z8" s="8">
        <f>IFERROR(__xludf.DUMMYFUNCTION("""COMPUTED_VALUE"""),0.0)</f>
        <v>0</v>
      </c>
      <c r="AA8" s="8">
        <f>IFERROR(__xludf.DUMMYFUNCTION("""COMPUTED_VALUE"""),0.0)</f>
        <v>0</v>
      </c>
      <c r="AB8" s="8">
        <f>IFERROR(__xludf.DUMMYFUNCTION("""COMPUTED_VALUE"""),0.0)</f>
        <v>0</v>
      </c>
      <c r="AC8" s="8">
        <f>IFERROR(__xludf.DUMMYFUNCTION("""COMPUTED_VALUE"""),0.0)</f>
        <v>0</v>
      </c>
    </row>
    <row r="9" ht="15.75" customHeight="1">
      <c r="A9" s="6" t="str">
        <f>IFERROR(__xludf.DUMMYFUNCTION("""COMPUTED_VALUE"""),"0433315d89000a02178e5d4fb75f31de3d906cff")</f>
        <v>0433315d89000a02178e5d4fb75f31de3d906cff</v>
      </c>
      <c r="B9" s="6" t="str">
        <f>IFERROR(__xludf.DUMMYFUNCTION("""COMPUTED_VALUE"""),"Billionaire Secret Babies")</f>
        <v>Billionaire Secret Babies</v>
      </c>
      <c r="C9" s="6" t="str">
        <f>IFERROR(__xludf.DUMMYFUNCTION("""COMPUTED_VALUE"""),"Romance")</f>
        <v>Romance</v>
      </c>
      <c r="D9" s="17">
        <f>IFERROR(__xludf.DUMMYFUNCTION("""COMPUTED_VALUE"""),161.0)</f>
        <v>161</v>
      </c>
      <c r="E9" s="8">
        <f>IFERROR(__xludf.DUMMYFUNCTION("""COMPUTED_VALUE"""),0.86335403726708)</f>
        <v>0.8633540373</v>
      </c>
      <c r="F9" s="8">
        <f>IFERROR(__xludf.DUMMYFUNCTION("""COMPUTED_VALUE"""),0.658385093167701)</f>
        <v>0.6583850932</v>
      </c>
      <c r="G9" s="8">
        <f>IFERROR(__xludf.DUMMYFUNCTION("""COMPUTED_VALUE"""),0.590062111801242)</f>
        <v>0.5900621118</v>
      </c>
      <c r="H9" s="8">
        <f>IFERROR(__xludf.DUMMYFUNCTION("""COMPUTED_VALUE"""),0.559006211180124)</f>
        <v>0.5590062112</v>
      </c>
      <c r="I9" s="8">
        <f>IFERROR(__xludf.DUMMYFUNCTION("""COMPUTED_VALUE"""),0.5527950310559)</f>
        <v>0.5527950311</v>
      </c>
      <c r="J9" s="8">
        <f>IFERROR(__xludf.DUMMYFUNCTION("""COMPUTED_VALUE"""),0.515527950310559)</f>
        <v>0.5155279503</v>
      </c>
      <c r="K9" s="8">
        <f>IFERROR(__xludf.DUMMYFUNCTION("""COMPUTED_VALUE"""),0.490683229813664)</f>
        <v>0.4906832298</v>
      </c>
      <c r="L9" s="8">
        <f>IFERROR(__xludf.DUMMYFUNCTION("""COMPUTED_VALUE"""),0.478260869565217)</f>
        <v>0.4782608696</v>
      </c>
      <c r="M9" s="8">
        <f>IFERROR(__xludf.DUMMYFUNCTION("""COMPUTED_VALUE"""),0.459627329192546)</f>
        <v>0.4596273292</v>
      </c>
      <c r="N9" s="8">
        <f>IFERROR(__xludf.DUMMYFUNCTION("""COMPUTED_VALUE"""),0.459627329192546)</f>
        <v>0.4596273292</v>
      </c>
      <c r="O9" s="8">
        <f>IFERROR(__xludf.DUMMYFUNCTION("""COMPUTED_VALUE"""),0.434782608695652)</f>
        <v>0.4347826087</v>
      </c>
      <c r="P9" s="8">
        <f>IFERROR(__xludf.DUMMYFUNCTION("""COMPUTED_VALUE"""),0.360248447204968)</f>
        <v>0.3602484472</v>
      </c>
      <c r="Q9" s="8">
        <f>IFERROR(__xludf.DUMMYFUNCTION("""COMPUTED_VALUE"""),0.3125)</f>
        <v>0.3125</v>
      </c>
      <c r="R9" s="8">
        <f>IFERROR(__xludf.DUMMYFUNCTION("""COMPUTED_VALUE"""),0.0)</f>
        <v>0</v>
      </c>
      <c r="S9" s="8">
        <f>IFERROR(__xludf.DUMMYFUNCTION("""COMPUTED_VALUE"""),0.0)</f>
        <v>0</v>
      </c>
      <c r="T9" s="8">
        <f>IFERROR(__xludf.DUMMYFUNCTION("""COMPUTED_VALUE"""),0.0)</f>
        <v>0</v>
      </c>
      <c r="U9" s="8">
        <f>IFERROR(__xludf.DUMMYFUNCTION("""COMPUTED_VALUE"""),0.0)</f>
        <v>0</v>
      </c>
      <c r="V9" s="8">
        <f>IFERROR(__xludf.DUMMYFUNCTION("""COMPUTED_VALUE"""),0.0)</f>
        <v>0</v>
      </c>
      <c r="W9" s="8">
        <f>IFERROR(__xludf.DUMMYFUNCTION("""COMPUTED_VALUE"""),0.0)</f>
        <v>0</v>
      </c>
      <c r="X9" s="8">
        <f>IFERROR(__xludf.DUMMYFUNCTION("""COMPUTED_VALUE"""),0.0)</f>
        <v>0</v>
      </c>
      <c r="Y9" s="8">
        <f>IFERROR(__xludf.DUMMYFUNCTION("""COMPUTED_VALUE"""),0.0)</f>
        <v>0</v>
      </c>
      <c r="Z9" s="8">
        <f>IFERROR(__xludf.DUMMYFUNCTION("""COMPUTED_VALUE"""),0.0)</f>
        <v>0</v>
      </c>
      <c r="AA9" s="8">
        <f>IFERROR(__xludf.DUMMYFUNCTION("""COMPUTED_VALUE"""),0.0)</f>
        <v>0</v>
      </c>
      <c r="AB9" s="8">
        <f>IFERROR(__xludf.DUMMYFUNCTION("""COMPUTED_VALUE"""),0.0)</f>
        <v>0</v>
      </c>
      <c r="AC9" s="8">
        <f>IFERROR(__xludf.DUMMYFUNCTION("""COMPUTED_VALUE"""),0.0)</f>
        <v>0</v>
      </c>
    </row>
    <row r="10" ht="15.75" customHeight="1">
      <c r="A10" s="6" t="str">
        <f>IFERROR(__xludf.DUMMYFUNCTION("""COMPUTED_VALUE"""),"048b7efb083246fe7c75b60c3bccf0e015f15e03")</f>
        <v>048b7efb083246fe7c75b60c3bccf0e015f15e03</v>
      </c>
      <c r="B10" s="6" t="str">
        <f>IFERROR(__xludf.DUMMYFUNCTION("""COMPUTED_VALUE"""),"Veterinarian Beast Master")</f>
        <v>Veterinarian Beast Master</v>
      </c>
      <c r="C10" s="6" t="str">
        <f>IFERROR(__xludf.DUMMYFUNCTION("""COMPUTED_VALUE"""),"Fantasy")</f>
        <v>Fantasy</v>
      </c>
      <c r="D10" s="17">
        <f>IFERROR(__xludf.DUMMYFUNCTION("""COMPUTED_VALUE"""),136.0)</f>
        <v>136</v>
      </c>
      <c r="E10" s="8">
        <f>IFERROR(__xludf.DUMMYFUNCTION("""COMPUTED_VALUE"""),0.992647058823529)</f>
        <v>0.9926470588</v>
      </c>
      <c r="F10" s="8">
        <f>IFERROR(__xludf.DUMMYFUNCTION("""COMPUTED_VALUE"""),0.683823529411764)</f>
        <v>0.6838235294</v>
      </c>
      <c r="G10" s="8">
        <f>IFERROR(__xludf.DUMMYFUNCTION("""COMPUTED_VALUE"""),0.617647058823529)</f>
        <v>0.6176470588</v>
      </c>
      <c r="H10" s="8">
        <f>IFERROR(__xludf.DUMMYFUNCTION("""COMPUTED_VALUE"""),0.567164179104477)</f>
        <v>0.5671641791</v>
      </c>
      <c r="I10" s="8">
        <f>IFERROR(__xludf.DUMMYFUNCTION("""COMPUTED_VALUE"""),0.529850746268656)</f>
        <v>0.5298507463</v>
      </c>
      <c r="J10" s="8">
        <f>IFERROR(__xludf.DUMMYFUNCTION("""COMPUTED_VALUE"""),0.488721804511278)</f>
        <v>0.4887218045</v>
      </c>
      <c r="K10" s="8">
        <f>IFERROR(__xludf.DUMMYFUNCTION("""COMPUTED_VALUE"""),0.450381679389312)</f>
        <v>0.4503816794</v>
      </c>
      <c r="L10" s="8">
        <f>IFERROR(__xludf.DUMMYFUNCTION("""COMPUTED_VALUE"""),0.392307692307692)</f>
        <v>0.3923076923</v>
      </c>
      <c r="M10" s="8">
        <f>IFERROR(__xludf.DUMMYFUNCTION("""COMPUTED_VALUE"""),0.37984496124031)</f>
        <v>0.3798449612</v>
      </c>
      <c r="N10" s="8">
        <f>IFERROR(__xludf.DUMMYFUNCTION("""COMPUTED_VALUE"""),0.3671875)</f>
        <v>0.3671875</v>
      </c>
      <c r="O10" s="8">
        <f>IFERROR(__xludf.DUMMYFUNCTION("""COMPUTED_VALUE"""),0.258064516129032)</f>
        <v>0.2580645161</v>
      </c>
      <c r="P10" s="8">
        <f>IFERROR(__xludf.DUMMYFUNCTION("""COMPUTED_VALUE"""),0.25)</f>
        <v>0.25</v>
      </c>
      <c r="Q10" s="8">
        <f>IFERROR(__xludf.DUMMYFUNCTION("""COMPUTED_VALUE"""),0.105263157894736)</f>
        <v>0.1052631579</v>
      </c>
      <c r="R10" s="8">
        <f>IFERROR(__xludf.DUMMYFUNCTION("""COMPUTED_VALUE"""),0.0714285714285714)</f>
        <v>0.07142857143</v>
      </c>
      <c r="S10" s="8">
        <f>IFERROR(__xludf.DUMMYFUNCTION("""COMPUTED_VALUE"""),0.0)</f>
        <v>0</v>
      </c>
      <c r="T10" s="8">
        <f>IFERROR(__xludf.DUMMYFUNCTION("""COMPUTED_VALUE"""),0.0)</f>
        <v>0</v>
      </c>
      <c r="U10" s="8">
        <f>IFERROR(__xludf.DUMMYFUNCTION("""COMPUTED_VALUE"""),0.0)</f>
        <v>0</v>
      </c>
      <c r="V10" s="8">
        <f>IFERROR(__xludf.DUMMYFUNCTION("""COMPUTED_VALUE"""),0.0)</f>
        <v>0</v>
      </c>
      <c r="W10" s="8">
        <f>IFERROR(__xludf.DUMMYFUNCTION("""COMPUTED_VALUE"""),0.0)</f>
        <v>0</v>
      </c>
      <c r="X10" s="8">
        <f>IFERROR(__xludf.DUMMYFUNCTION("""COMPUTED_VALUE"""),0.0)</f>
        <v>0</v>
      </c>
      <c r="Y10" s="8">
        <f>IFERROR(__xludf.DUMMYFUNCTION("""COMPUTED_VALUE"""),0.0)</f>
        <v>0</v>
      </c>
      <c r="Z10" s="8">
        <f>IFERROR(__xludf.DUMMYFUNCTION("""COMPUTED_VALUE"""),0.0)</f>
        <v>0</v>
      </c>
      <c r="AA10" s="8">
        <f>IFERROR(__xludf.DUMMYFUNCTION("""COMPUTED_VALUE"""),0.0)</f>
        <v>0</v>
      </c>
      <c r="AB10" s="8">
        <f>IFERROR(__xludf.DUMMYFUNCTION("""COMPUTED_VALUE"""),0.0)</f>
        <v>0</v>
      </c>
      <c r="AC10" s="8">
        <f>IFERROR(__xludf.DUMMYFUNCTION("""COMPUTED_VALUE"""),0.0)</f>
        <v>0</v>
      </c>
    </row>
    <row r="11" ht="15.75" customHeight="1">
      <c r="A11" s="6" t="str">
        <f>IFERROR(__xludf.DUMMYFUNCTION("""COMPUTED_VALUE"""),"05081ee1026b5a4754958dd34670379788a6d672")</f>
        <v>05081ee1026b5a4754958dd34670379788a6d672</v>
      </c>
      <c r="B11" s="6" t="str">
        <f>IFERROR(__xludf.DUMMYFUNCTION("""COMPUTED_VALUE"""),"Billionaire Prison Bride")</f>
        <v>Billionaire Prison Bride</v>
      </c>
      <c r="C11" s="6" t="str">
        <f>IFERROR(__xludf.DUMMYFUNCTION("""COMPUTED_VALUE"""),"Romance")</f>
        <v>Romance</v>
      </c>
      <c r="D11" s="17">
        <f>IFERROR(__xludf.DUMMYFUNCTION("""COMPUTED_VALUE"""),510.0)</f>
        <v>510</v>
      </c>
      <c r="E11" s="8">
        <f>IFERROR(__xludf.DUMMYFUNCTION("""COMPUTED_VALUE"""),0.958579881656804)</f>
        <v>0.9585798817</v>
      </c>
      <c r="F11" s="8">
        <f>IFERROR(__xludf.DUMMYFUNCTION("""COMPUTED_VALUE"""),0.702)</f>
        <v>0.702</v>
      </c>
      <c r="G11" s="8">
        <f>IFERROR(__xludf.DUMMYFUNCTION("""COMPUTED_VALUE"""),0.671399594320486)</f>
        <v>0.6713995943</v>
      </c>
      <c r="H11" s="8">
        <f>IFERROR(__xludf.DUMMYFUNCTION("""COMPUTED_VALUE"""),0.65072765072765)</f>
        <v>0.6507276507</v>
      </c>
      <c r="I11" s="8">
        <f>IFERROR(__xludf.DUMMYFUNCTION("""COMPUTED_VALUE"""),0.637130801687763)</f>
        <v>0.6371308017</v>
      </c>
      <c r="J11" s="8">
        <f>IFERROR(__xludf.DUMMYFUNCTION("""COMPUTED_VALUE"""),0.625)</f>
        <v>0.625</v>
      </c>
      <c r="K11" s="8">
        <f>IFERROR(__xludf.DUMMYFUNCTION("""COMPUTED_VALUE"""),0.592105263157894)</f>
        <v>0.5921052632</v>
      </c>
      <c r="L11" s="8">
        <f>IFERROR(__xludf.DUMMYFUNCTION("""COMPUTED_VALUE"""),0.572769953051643)</f>
        <v>0.5727699531</v>
      </c>
      <c r="M11" s="8">
        <f>IFERROR(__xludf.DUMMYFUNCTION("""COMPUTED_VALUE"""),0.553956834532374)</f>
        <v>0.5539568345</v>
      </c>
      <c r="N11" s="8">
        <f>IFERROR(__xludf.DUMMYFUNCTION("""COMPUTED_VALUE"""),0.53763440860215)</f>
        <v>0.5376344086</v>
      </c>
      <c r="O11" s="8">
        <f>IFERROR(__xludf.DUMMYFUNCTION("""COMPUTED_VALUE"""),0.45)</f>
        <v>0.45</v>
      </c>
      <c r="P11" s="8">
        <f>IFERROR(__xludf.DUMMYFUNCTION("""COMPUTED_VALUE"""),0.333333333333333)</f>
        <v>0.3333333333</v>
      </c>
      <c r="Q11" s="8">
        <f>IFERROR(__xludf.DUMMYFUNCTION("""COMPUTED_VALUE"""),0.0)</f>
        <v>0</v>
      </c>
      <c r="R11" s="8">
        <f>IFERROR(__xludf.DUMMYFUNCTION("""COMPUTED_VALUE"""),0.0)</f>
        <v>0</v>
      </c>
      <c r="S11" s="8">
        <f>IFERROR(__xludf.DUMMYFUNCTION("""COMPUTED_VALUE"""),0.0)</f>
        <v>0</v>
      </c>
      <c r="T11" s="8">
        <f>IFERROR(__xludf.DUMMYFUNCTION("""COMPUTED_VALUE"""),0.0)</f>
        <v>0</v>
      </c>
      <c r="U11" s="8">
        <f>IFERROR(__xludf.DUMMYFUNCTION("""COMPUTED_VALUE"""),0.0)</f>
        <v>0</v>
      </c>
      <c r="V11" s="8">
        <f>IFERROR(__xludf.DUMMYFUNCTION("""COMPUTED_VALUE"""),0.0)</f>
        <v>0</v>
      </c>
      <c r="W11" s="8">
        <f>IFERROR(__xludf.DUMMYFUNCTION("""COMPUTED_VALUE"""),0.0)</f>
        <v>0</v>
      </c>
      <c r="X11" s="8">
        <f>IFERROR(__xludf.DUMMYFUNCTION("""COMPUTED_VALUE"""),0.0)</f>
        <v>0</v>
      </c>
      <c r="Y11" s="8">
        <f>IFERROR(__xludf.DUMMYFUNCTION("""COMPUTED_VALUE"""),0.0)</f>
        <v>0</v>
      </c>
      <c r="Z11" s="8">
        <f>IFERROR(__xludf.DUMMYFUNCTION("""COMPUTED_VALUE"""),0.0)</f>
        <v>0</v>
      </c>
      <c r="AA11" s="8">
        <f>IFERROR(__xludf.DUMMYFUNCTION("""COMPUTED_VALUE"""),0.0)</f>
        <v>0</v>
      </c>
      <c r="AB11" s="8">
        <f>IFERROR(__xludf.DUMMYFUNCTION("""COMPUTED_VALUE"""),0.0)</f>
        <v>0</v>
      </c>
      <c r="AC11" s="8">
        <f>IFERROR(__xludf.DUMMYFUNCTION("""COMPUTED_VALUE"""),0.0)</f>
        <v>0</v>
      </c>
    </row>
    <row r="12" ht="15.75" customHeight="1">
      <c r="A12" s="6" t="str">
        <f>IFERROR(__xludf.DUMMYFUNCTION("""COMPUTED_VALUE"""),"05808ad9143ee75794133fd50497137fea47e57b")</f>
        <v>05808ad9143ee75794133fd50497137fea47e57b</v>
      </c>
      <c r="B12" s="6" t="str">
        <f>IFERROR(__xludf.DUMMYFUNCTION("""COMPUTED_VALUE"""),"Infinity Stars")</f>
        <v>Infinity Stars</v>
      </c>
      <c r="C12" s="6" t="str">
        <f>IFERROR(__xludf.DUMMYFUNCTION("""COMPUTED_VALUE"""),"Fantasy")</f>
        <v>Fantasy</v>
      </c>
      <c r="D12" s="17">
        <f>IFERROR(__xludf.DUMMYFUNCTION("""COMPUTED_VALUE"""),1504.0)</f>
        <v>1504</v>
      </c>
      <c r="E12" s="8">
        <f>IFERROR(__xludf.DUMMYFUNCTION("""COMPUTED_VALUE"""),0.955722070844686)</f>
        <v>0.9557220708</v>
      </c>
      <c r="F12" s="8">
        <f>IFERROR(__xludf.DUMMYFUNCTION("""COMPUTED_VALUE"""),0.690935046395431)</f>
        <v>0.6909350464</v>
      </c>
      <c r="G12" s="8">
        <f>IFERROR(__xludf.DUMMYFUNCTION("""COMPUTED_VALUE"""),0.650478292862398)</f>
        <v>0.6504782929</v>
      </c>
      <c r="H12" s="8">
        <f>IFERROR(__xludf.DUMMYFUNCTION("""COMPUTED_VALUE"""),0.626270523846755)</f>
        <v>0.6262705238</v>
      </c>
      <c r="I12" s="8">
        <f>IFERROR(__xludf.DUMMYFUNCTION("""COMPUTED_VALUE"""),0.611783696529459)</f>
        <v>0.6117836965</v>
      </c>
      <c r="J12" s="8">
        <f>IFERROR(__xludf.DUMMYFUNCTION("""COMPUTED_VALUE"""),0.602058319039451)</f>
        <v>0.602058319</v>
      </c>
      <c r="K12" s="8">
        <f>IFERROR(__xludf.DUMMYFUNCTION("""COMPUTED_VALUE"""),0.580673758865248)</f>
        <v>0.5806737589</v>
      </c>
      <c r="L12" s="8">
        <f>IFERROR(__xludf.DUMMYFUNCTION("""COMPUTED_VALUE"""),0.577735124760076)</f>
        <v>0.5777351248</v>
      </c>
      <c r="M12" s="8">
        <f>IFERROR(__xludf.DUMMYFUNCTION("""COMPUTED_VALUE"""),0.56813627254509)</f>
        <v>0.5681362725</v>
      </c>
      <c r="N12" s="8">
        <f>IFERROR(__xludf.DUMMYFUNCTION("""COMPUTED_VALUE"""),0.559395248380129)</f>
        <v>0.5593952484</v>
      </c>
      <c r="O12" s="8">
        <f>IFERROR(__xludf.DUMMYFUNCTION("""COMPUTED_VALUE"""),0.539518900343642)</f>
        <v>0.5395189003</v>
      </c>
      <c r="P12" s="8">
        <f>IFERROR(__xludf.DUMMYFUNCTION("""COMPUTED_VALUE"""),0.468713105076741)</f>
        <v>0.4687131051</v>
      </c>
      <c r="Q12" s="8">
        <f>IFERROR(__xludf.DUMMYFUNCTION("""COMPUTED_VALUE"""),0.37593984962406)</f>
        <v>0.3759398496</v>
      </c>
      <c r="R12" s="8">
        <f>IFERROR(__xludf.DUMMYFUNCTION("""COMPUTED_VALUE"""),0.255464480874316)</f>
        <v>0.2554644809</v>
      </c>
      <c r="S12" s="8">
        <f>IFERROR(__xludf.DUMMYFUNCTION("""COMPUTED_VALUE"""),0.16)</f>
        <v>0.16</v>
      </c>
      <c r="T12" s="8">
        <f>IFERROR(__xludf.DUMMYFUNCTION("""COMPUTED_VALUE"""),0.166666666666666)</f>
        <v>0.1666666667</v>
      </c>
      <c r="U12" s="8">
        <f>IFERROR(__xludf.DUMMYFUNCTION("""COMPUTED_VALUE"""),0.0)</f>
        <v>0</v>
      </c>
      <c r="V12" s="8">
        <f>IFERROR(__xludf.DUMMYFUNCTION("""COMPUTED_VALUE"""),0.0)</f>
        <v>0</v>
      </c>
      <c r="W12" s="8">
        <f>IFERROR(__xludf.DUMMYFUNCTION("""COMPUTED_VALUE"""),0.0)</f>
        <v>0</v>
      </c>
      <c r="X12" s="8">
        <f>IFERROR(__xludf.DUMMYFUNCTION("""COMPUTED_VALUE"""),0.0)</f>
        <v>0</v>
      </c>
      <c r="Y12" s="8">
        <f>IFERROR(__xludf.DUMMYFUNCTION("""COMPUTED_VALUE"""),0.0)</f>
        <v>0</v>
      </c>
      <c r="Z12" s="8">
        <f>IFERROR(__xludf.DUMMYFUNCTION("""COMPUTED_VALUE"""),0.0)</f>
        <v>0</v>
      </c>
      <c r="AA12" s="8">
        <f>IFERROR(__xludf.DUMMYFUNCTION("""COMPUTED_VALUE"""),0.0)</f>
        <v>0</v>
      </c>
      <c r="AB12" s="8">
        <f>IFERROR(__xludf.DUMMYFUNCTION("""COMPUTED_VALUE"""),0.0)</f>
        <v>0</v>
      </c>
      <c r="AC12" s="8">
        <f>IFERROR(__xludf.DUMMYFUNCTION("""COMPUTED_VALUE"""),0.0)</f>
        <v>0</v>
      </c>
    </row>
    <row r="13" ht="15.75" customHeight="1">
      <c r="A13" s="6" t="str">
        <f>IFERROR(__xludf.DUMMYFUNCTION("""COMPUTED_VALUE"""),"06f83c7bf7296efe61da1c2da6e5c12e8e7d4aa8")</f>
        <v>06f83c7bf7296efe61da1c2da6e5c12e8e7d4aa8</v>
      </c>
      <c r="B13" s="6" t="str">
        <f>IFERROR(__xludf.DUMMYFUNCTION("""COMPUTED_VALUE"""),"Sigil of the Seven")</f>
        <v>Sigil of the Seven</v>
      </c>
      <c r="C13" s="6" t="str">
        <f>IFERROR(__xludf.DUMMYFUNCTION("""COMPUTED_VALUE"""),"Fantasy")</f>
        <v>Fantasy</v>
      </c>
      <c r="D13" s="17">
        <f>IFERROR(__xludf.DUMMYFUNCTION("""COMPUTED_VALUE"""),5316.0)</f>
        <v>5316</v>
      </c>
      <c r="E13" s="8">
        <f>IFERROR(__xludf.DUMMYFUNCTION("""COMPUTED_VALUE"""),0.944475814041031)</f>
        <v>0.944475814</v>
      </c>
      <c r="F13" s="8">
        <f>IFERROR(__xludf.DUMMYFUNCTION("""COMPUTED_VALUE"""),0.659819072747832)</f>
        <v>0.6598190727</v>
      </c>
      <c r="G13" s="8">
        <f>IFERROR(__xludf.DUMMYFUNCTION("""COMPUTED_VALUE"""),0.591474915126367)</f>
        <v>0.5914749151</v>
      </c>
      <c r="H13" s="8">
        <f>IFERROR(__xludf.DUMMYFUNCTION("""COMPUTED_VALUE"""),0.563220563220563)</f>
        <v>0.5632205632</v>
      </c>
      <c r="I13" s="8">
        <f>IFERROR(__xludf.DUMMYFUNCTION("""COMPUTED_VALUE"""),0.534368490816133)</f>
        <v>0.5343684908</v>
      </c>
      <c r="J13" s="8">
        <f>IFERROR(__xludf.DUMMYFUNCTION("""COMPUTED_VALUE"""),0.513328255902513)</f>
        <v>0.5133282559</v>
      </c>
      <c r="K13" s="8">
        <f>IFERROR(__xludf.DUMMYFUNCTION("""COMPUTED_VALUE"""),0.495711835334476)</f>
        <v>0.4957118353</v>
      </c>
      <c r="L13" s="8">
        <f>IFERROR(__xludf.DUMMYFUNCTION("""COMPUTED_VALUE"""),0.486103124400996)</f>
        <v>0.4861031244</v>
      </c>
      <c r="M13" s="8">
        <f>IFERROR(__xludf.DUMMYFUNCTION("""COMPUTED_VALUE"""),0.479930862300749)</f>
        <v>0.4799308623</v>
      </c>
      <c r="N13" s="8">
        <f>IFERROR(__xludf.DUMMYFUNCTION("""COMPUTED_VALUE"""),0.474252651880424)</f>
        <v>0.4742526519</v>
      </c>
      <c r="O13" s="8">
        <f>IFERROR(__xludf.DUMMYFUNCTION("""COMPUTED_VALUE"""),0.449960906958561)</f>
        <v>0.449960907</v>
      </c>
      <c r="P13" s="8">
        <f>IFERROR(__xludf.DUMMYFUNCTION("""COMPUTED_VALUE"""),0.409972299168975)</f>
        <v>0.4099722992</v>
      </c>
      <c r="Q13" s="8">
        <f>IFERROR(__xludf.DUMMYFUNCTION("""COMPUTED_VALUE"""),0.311775472849298)</f>
        <v>0.3117754728</v>
      </c>
      <c r="R13" s="8">
        <f>IFERROR(__xludf.DUMMYFUNCTION("""COMPUTED_VALUE"""),0.244375)</f>
        <v>0.244375</v>
      </c>
      <c r="S13" s="8">
        <f>IFERROR(__xludf.DUMMYFUNCTION("""COMPUTED_VALUE"""),0.200475778546712)</f>
        <v>0.2004757785</v>
      </c>
      <c r="T13" s="8">
        <f>IFERROR(__xludf.DUMMYFUNCTION("""COMPUTED_VALUE"""),0.125886022115112)</f>
        <v>0.1258860221</v>
      </c>
      <c r="U13" s="8">
        <f>IFERROR(__xludf.DUMMYFUNCTION("""COMPUTED_VALUE"""),0.103145574250182)</f>
        <v>0.1031455743</v>
      </c>
      <c r="V13" s="8">
        <f>IFERROR(__xludf.DUMMYFUNCTION("""COMPUTED_VALUE"""),0.0898272552783109)</f>
        <v>0.08982725528</v>
      </c>
      <c r="W13" s="8">
        <f>IFERROR(__xludf.DUMMYFUNCTION("""COMPUTED_VALUE"""),0.0841603811036125)</f>
        <v>0.0841603811</v>
      </c>
      <c r="X13" s="8">
        <f>IFERROR(__xludf.DUMMYFUNCTION("""COMPUTED_VALUE"""),0.0778286461739699)</f>
        <v>0.07782864617</v>
      </c>
      <c r="Y13" s="8">
        <f>IFERROR(__xludf.DUMMYFUNCTION("""COMPUTED_VALUE"""),0.0)</f>
        <v>0</v>
      </c>
      <c r="Z13" s="8">
        <f>IFERROR(__xludf.DUMMYFUNCTION("""COMPUTED_VALUE"""),0.0)</f>
        <v>0</v>
      </c>
      <c r="AA13" s="8">
        <f>IFERROR(__xludf.DUMMYFUNCTION("""COMPUTED_VALUE"""),0.0)</f>
        <v>0</v>
      </c>
      <c r="AB13" s="8">
        <f>IFERROR(__xludf.DUMMYFUNCTION("""COMPUTED_VALUE"""),0.0)</f>
        <v>0</v>
      </c>
      <c r="AC13" s="8">
        <f>IFERROR(__xludf.DUMMYFUNCTION("""COMPUTED_VALUE"""),0.0)</f>
        <v>0</v>
      </c>
    </row>
    <row r="14" ht="15.75" customHeight="1">
      <c r="A14" s="6" t="str">
        <f>IFERROR(__xludf.DUMMYFUNCTION("""COMPUTED_VALUE"""),"0b07b41ff930aa13e98588f626eef70da51bb47e")</f>
        <v>0b07b41ff930aa13e98588f626eef70da51bb47e</v>
      </c>
      <c r="B14" s="6" t="str">
        <f>IFERROR(__xludf.DUMMYFUNCTION("""COMPUTED_VALUE"""),"Debtbound Between Worlds")</f>
        <v>Debtbound Between Worlds</v>
      </c>
      <c r="C14" s="6" t="str">
        <f>IFERROR(__xludf.DUMMYFUNCTION("""COMPUTED_VALUE"""),"Fantasy")</f>
        <v>Fantasy</v>
      </c>
      <c r="D14" s="17">
        <f>IFERROR(__xludf.DUMMYFUNCTION("""COMPUTED_VALUE"""),33.0)</f>
        <v>33</v>
      </c>
      <c r="E14" s="8">
        <f>IFERROR(__xludf.DUMMYFUNCTION("""COMPUTED_VALUE"""),0.969696969696969)</f>
        <v>0.9696969697</v>
      </c>
      <c r="F14" s="8">
        <f>IFERROR(__xludf.DUMMYFUNCTION("""COMPUTED_VALUE"""),0.545454545454545)</f>
        <v>0.5454545455</v>
      </c>
      <c r="G14" s="8">
        <f>IFERROR(__xludf.DUMMYFUNCTION("""COMPUTED_VALUE"""),0.59375)</f>
        <v>0.59375</v>
      </c>
      <c r="H14" s="8">
        <f>IFERROR(__xludf.DUMMYFUNCTION("""COMPUTED_VALUE"""),0.5625)</f>
        <v>0.5625</v>
      </c>
      <c r="I14" s="8">
        <f>IFERROR(__xludf.DUMMYFUNCTION("""COMPUTED_VALUE"""),0.5)</f>
        <v>0.5</v>
      </c>
      <c r="J14" s="8">
        <f>IFERROR(__xludf.DUMMYFUNCTION("""COMPUTED_VALUE"""),0.46875)</f>
        <v>0.46875</v>
      </c>
      <c r="K14" s="8">
        <f>IFERROR(__xludf.DUMMYFUNCTION("""COMPUTED_VALUE"""),0.4375)</f>
        <v>0.4375</v>
      </c>
      <c r="L14" s="8">
        <f>IFERROR(__xludf.DUMMYFUNCTION("""COMPUTED_VALUE"""),0.4375)</f>
        <v>0.4375</v>
      </c>
      <c r="M14" s="8">
        <f>IFERROR(__xludf.DUMMYFUNCTION("""COMPUTED_VALUE"""),0.433333333333333)</f>
        <v>0.4333333333</v>
      </c>
      <c r="N14" s="8">
        <f>IFERROR(__xludf.DUMMYFUNCTION("""COMPUTED_VALUE"""),0.379310344827586)</f>
        <v>0.3793103448</v>
      </c>
      <c r="O14" s="8">
        <f>IFERROR(__xludf.DUMMYFUNCTION("""COMPUTED_VALUE"""),0.321428571428571)</f>
        <v>0.3214285714</v>
      </c>
      <c r="P14" s="8">
        <f>IFERROR(__xludf.DUMMYFUNCTION("""COMPUTED_VALUE"""),0.357142857142857)</f>
        <v>0.3571428571</v>
      </c>
      <c r="Q14" s="8">
        <f>IFERROR(__xludf.DUMMYFUNCTION("""COMPUTED_VALUE"""),0.0)</f>
        <v>0</v>
      </c>
      <c r="R14" s="8">
        <f>IFERROR(__xludf.DUMMYFUNCTION("""COMPUTED_VALUE"""),0.0)</f>
        <v>0</v>
      </c>
      <c r="S14" s="8">
        <f>IFERROR(__xludf.DUMMYFUNCTION("""COMPUTED_VALUE"""),0.0)</f>
        <v>0</v>
      </c>
      <c r="T14" s="8">
        <f>IFERROR(__xludf.DUMMYFUNCTION("""COMPUTED_VALUE"""),0.0)</f>
        <v>0</v>
      </c>
      <c r="U14" s="8">
        <f>IFERROR(__xludf.DUMMYFUNCTION("""COMPUTED_VALUE"""),0.0)</f>
        <v>0</v>
      </c>
      <c r="V14" s="8">
        <f>IFERROR(__xludf.DUMMYFUNCTION("""COMPUTED_VALUE"""),0.0)</f>
        <v>0</v>
      </c>
      <c r="W14" s="8">
        <f>IFERROR(__xludf.DUMMYFUNCTION("""COMPUTED_VALUE"""),0.0)</f>
        <v>0</v>
      </c>
      <c r="X14" s="8">
        <f>IFERROR(__xludf.DUMMYFUNCTION("""COMPUTED_VALUE"""),0.0)</f>
        <v>0</v>
      </c>
      <c r="Y14" s="8">
        <f>IFERROR(__xludf.DUMMYFUNCTION("""COMPUTED_VALUE"""),0.0)</f>
        <v>0</v>
      </c>
      <c r="Z14" s="8">
        <f>IFERROR(__xludf.DUMMYFUNCTION("""COMPUTED_VALUE"""),0.0)</f>
        <v>0</v>
      </c>
      <c r="AA14" s="8">
        <f>IFERROR(__xludf.DUMMYFUNCTION("""COMPUTED_VALUE"""),0.0)</f>
        <v>0</v>
      </c>
      <c r="AB14" s="8">
        <f>IFERROR(__xludf.DUMMYFUNCTION("""COMPUTED_VALUE"""),0.0)</f>
        <v>0</v>
      </c>
      <c r="AC14" s="8">
        <f>IFERROR(__xludf.DUMMYFUNCTION("""COMPUTED_VALUE"""),0.0)</f>
        <v>0</v>
      </c>
    </row>
    <row r="15" ht="15.75" customHeight="1">
      <c r="A15" s="6" t="str">
        <f>IFERROR(__xludf.DUMMYFUNCTION("""COMPUTED_VALUE"""),"0b24baea319eafeca1995fb9b34e29d6ebfb9a50")</f>
        <v>0b24baea319eafeca1995fb9b34e29d6ebfb9a50</v>
      </c>
      <c r="B15" s="6" t="str">
        <f>IFERROR(__xludf.DUMMYFUNCTION("""COMPUTED_VALUE"""),"Rejected Bride Returns")</f>
        <v>Rejected Bride Returns</v>
      </c>
      <c r="C15" s="6" t="str">
        <f>IFERROR(__xludf.DUMMYFUNCTION("""COMPUTED_VALUE"""),"Romance")</f>
        <v>Romance</v>
      </c>
      <c r="D15" s="17">
        <f>IFERROR(__xludf.DUMMYFUNCTION("""COMPUTED_VALUE"""),541.0)</f>
        <v>541</v>
      </c>
      <c r="E15" s="8">
        <f>IFERROR(__xludf.DUMMYFUNCTION("""COMPUTED_VALUE"""),0.97037037037037)</f>
        <v>0.9703703704</v>
      </c>
      <c r="F15" s="8">
        <f>IFERROR(__xludf.DUMMYFUNCTION("""COMPUTED_VALUE"""),0.619666048237476)</f>
        <v>0.6196660482</v>
      </c>
      <c r="G15" s="8">
        <f>IFERROR(__xludf.DUMMYFUNCTION("""COMPUTED_VALUE"""),0.525139664804469)</f>
        <v>0.5251396648</v>
      </c>
      <c r="H15" s="8">
        <f>IFERROR(__xludf.DUMMYFUNCTION("""COMPUTED_VALUE"""),0.425572519083969)</f>
        <v>0.4255725191</v>
      </c>
      <c r="I15" s="8">
        <f>IFERROR(__xludf.DUMMYFUNCTION("""COMPUTED_VALUE"""),0.347912524850894)</f>
        <v>0.3479125249</v>
      </c>
      <c r="J15" s="8">
        <f>IFERROR(__xludf.DUMMYFUNCTION("""COMPUTED_VALUE"""),0.285714285714285)</f>
        <v>0.2857142857</v>
      </c>
      <c r="K15" s="8">
        <f>IFERROR(__xludf.DUMMYFUNCTION("""COMPUTED_VALUE"""),0.236323851203501)</f>
        <v>0.2363238512</v>
      </c>
      <c r="L15" s="8">
        <f>IFERROR(__xludf.DUMMYFUNCTION("""COMPUTED_VALUE"""),0.202764976958525)</f>
        <v>0.202764977</v>
      </c>
      <c r="M15" s="8">
        <f>IFERROR(__xludf.DUMMYFUNCTION("""COMPUTED_VALUE"""),0.16183574879227)</f>
        <v>0.1618357488</v>
      </c>
      <c r="N15" s="8">
        <f>IFERROR(__xludf.DUMMYFUNCTION("""COMPUTED_VALUE"""),0.120547945205479)</f>
        <v>0.1205479452</v>
      </c>
      <c r="O15" s="8">
        <f>IFERROR(__xludf.DUMMYFUNCTION("""COMPUTED_VALUE"""),0.0)</f>
        <v>0</v>
      </c>
      <c r="P15" s="8">
        <f>IFERROR(__xludf.DUMMYFUNCTION("""COMPUTED_VALUE"""),0.0)</f>
        <v>0</v>
      </c>
      <c r="Q15" s="8">
        <f>IFERROR(__xludf.DUMMYFUNCTION("""COMPUTED_VALUE"""),0.0)</f>
        <v>0</v>
      </c>
      <c r="R15" s="8">
        <f>IFERROR(__xludf.DUMMYFUNCTION("""COMPUTED_VALUE"""),0.0)</f>
        <v>0</v>
      </c>
      <c r="S15" s="8">
        <f>IFERROR(__xludf.DUMMYFUNCTION("""COMPUTED_VALUE"""),0.0)</f>
        <v>0</v>
      </c>
      <c r="T15" s="8">
        <f>IFERROR(__xludf.DUMMYFUNCTION("""COMPUTED_VALUE"""),0.0)</f>
        <v>0</v>
      </c>
      <c r="U15" s="8">
        <f>IFERROR(__xludf.DUMMYFUNCTION("""COMPUTED_VALUE"""),0.0)</f>
        <v>0</v>
      </c>
      <c r="V15" s="8">
        <f>IFERROR(__xludf.DUMMYFUNCTION("""COMPUTED_VALUE"""),0.0)</f>
        <v>0</v>
      </c>
      <c r="W15" s="8">
        <f>IFERROR(__xludf.DUMMYFUNCTION("""COMPUTED_VALUE"""),0.0)</f>
        <v>0</v>
      </c>
      <c r="X15" s="8">
        <f>IFERROR(__xludf.DUMMYFUNCTION("""COMPUTED_VALUE"""),0.0)</f>
        <v>0</v>
      </c>
      <c r="Y15" s="8">
        <f>IFERROR(__xludf.DUMMYFUNCTION("""COMPUTED_VALUE"""),0.0)</f>
        <v>0</v>
      </c>
      <c r="Z15" s="8">
        <f>IFERROR(__xludf.DUMMYFUNCTION("""COMPUTED_VALUE"""),0.0)</f>
        <v>0</v>
      </c>
      <c r="AA15" s="8">
        <f>IFERROR(__xludf.DUMMYFUNCTION("""COMPUTED_VALUE"""),0.0)</f>
        <v>0</v>
      </c>
      <c r="AB15" s="8">
        <f>IFERROR(__xludf.DUMMYFUNCTION("""COMPUTED_VALUE"""),0.0)</f>
        <v>0</v>
      </c>
      <c r="AC15" s="8">
        <f>IFERROR(__xludf.DUMMYFUNCTION("""COMPUTED_VALUE"""),0.0)</f>
        <v>0</v>
      </c>
    </row>
    <row r="16" ht="15.75" customHeight="1">
      <c r="A16" s="6" t="str">
        <f>IFERROR(__xludf.DUMMYFUNCTION("""COMPUTED_VALUE"""),"0c7fa1a2b4bca0746ad0384d77796b98dd7d801c")</f>
        <v>0c7fa1a2b4bca0746ad0384d77796b98dd7d801c</v>
      </c>
      <c r="B16" s="6" t="str">
        <f>IFERROR(__xludf.DUMMYFUNCTION("""COMPUTED_VALUE"""),"Flash Marriage to My Ex’s Boss")</f>
        <v>Flash Marriage to My Ex’s Boss</v>
      </c>
      <c r="C16" s="6" t="str">
        <f>IFERROR(__xludf.DUMMYFUNCTION("""COMPUTED_VALUE"""),"Romance")</f>
        <v>Romance</v>
      </c>
      <c r="D16" s="17">
        <f>IFERROR(__xludf.DUMMYFUNCTION("""COMPUTED_VALUE"""),297.0)</f>
        <v>297</v>
      </c>
      <c r="E16" s="8">
        <f>IFERROR(__xludf.DUMMYFUNCTION("""COMPUTED_VALUE"""),0.922558922558922)</f>
        <v>0.9225589226</v>
      </c>
      <c r="F16" s="8">
        <f>IFERROR(__xludf.DUMMYFUNCTION("""COMPUTED_VALUE"""),0.570945945945945)</f>
        <v>0.5709459459</v>
      </c>
      <c r="G16" s="8">
        <f>IFERROR(__xludf.DUMMYFUNCTION("""COMPUTED_VALUE"""),0.51864406779661)</f>
        <v>0.5186440678</v>
      </c>
      <c r="H16" s="8">
        <f>IFERROR(__xludf.DUMMYFUNCTION("""COMPUTED_VALUE"""),0.501694915254237)</f>
        <v>0.5016949153</v>
      </c>
      <c r="I16" s="8">
        <f>IFERROR(__xludf.DUMMYFUNCTION("""COMPUTED_VALUE"""),0.471186440677966)</f>
        <v>0.4711864407</v>
      </c>
      <c r="J16" s="8">
        <f>IFERROR(__xludf.DUMMYFUNCTION("""COMPUTED_VALUE"""),0.420338983050847)</f>
        <v>0.4203389831</v>
      </c>
      <c r="K16" s="8">
        <f>IFERROR(__xludf.DUMMYFUNCTION("""COMPUTED_VALUE"""),0.396610169491525)</f>
        <v>0.3966101695</v>
      </c>
      <c r="L16" s="8">
        <f>IFERROR(__xludf.DUMMYFUNCTION("""COMPUTED_VALUE"""),0.383050847457627)</f>
        <v>0.3830508475</v>
      </c>
      <c r="M16" s="8">
        <f>IFERROR(__xludf.DUMMYFUNCTION("""COMPUTED_VALUE"""),0.372881355932203)</f>
        <v>0.3728813559</v>
      </c>
      <c r="N16" s="8">
        <f>IFERROR(__xludf.DUMMYFUNCTION("""COMPUTED_VALUE"""),0.349152542372881)</f>
        <v>0.3491525424</v>
      </c>
      <c r="O16" s="8">
        <f>IFERROR(__xludf.DUMMYFUNCTION("""COMPUTED_VALUE"""),0.295918367346938)</f>
        <v>0.2959183673</v>
      </c>
      <c r="P16" s="8">
        <f>IFERROR(__xludf.DUMMYFUNCTION("""COMPUTED_VALUE"""),0.187074829931972)</f>
        <v>0.1870748299</v>
      </c>
      <c r="Q16" s="8">
        <f>IFERROR(__xludf.DUMMYFUNCTION("""COMPUTED_VALUE"""),0.140410958904109)</f>
        <v>0.1404109589</v>
      </c>
      <c r="R16" s="8">
        <f>IFERROR(__xludf.DUMMYFUNCTION("""COMPUTED_VALUE"""),0.124137931034482)</f>
        <v>0.124137931</v>
      </c>
      <c r="S16" s="8">
        <f>IFERROR(__xludf.DUMMYFUNCTION("""COMPUTED_VALUE"""),0.0)</f>
        <v>0</v>
      </c>
      <c r="T16" s="8">
        <f>IFERROR(__xludf.DUMMYFUNCTION("""COMPUTED_VALUE"""),0.0)</f>
        <v>0</v>
      </c>
      <c r="U16" s="8">
        <f>IFERROR(__xludf.DUMMYFUNCTION("""COMPUTED_VALUE"""),0.0)</f>
        <v>0</v>
      </c>
      <c r="V16" s="8">
        <f>IFERROR(__xludf.DUMMYFUNCTION("""COMPUTED_VALUE"""),0.0)</f>
        <v>0</v>
      </c>
      <c r="W16" s="8">
        <f>IFERROR(__xludf.DUMMYFUNCTION("""COMPUTED_VALUE"""),0.0)</f>
        <v>0</v>
      </c>
      <c r="X16" s="8">
        <f>IFERROR(__xludf.DUMMYFUNCTION("""COMPUTED_VALUE"""),0.0)</f>
        <v>0</v>
      </c>
      <c r="Y16" s="8">
        <f>IFERROR(__xludf.DUMMYFUNCTION("""COMPUTED_VALUE"""),0.0)</f>
        <v>0</v>
      </c>
      <c r="Z16" s="8">
        <f>IFERROR(__xludf.DUMMYFUNCTION("""COMPUTED_VALUE"""),0.0)</f>
        <v>0</v>
      </c>
      <c r="AA16" s="8">
        <f>IFERROR(__xludf.DUMMYFUNCTION("""COMPUTED_VALUE"""),0.0)</f>
        <v>0</v>
      </c>
      <c r="AB16" s="8">
        <f>IFERROR(__xludf.DUMMYFUNCTION("""COMPUTED_VALUE"""),0.0)</f>
        <v>0</v>
      </c>
      <c r="AC16" s="8">
        <f>IFERROR(__xludf.DUMMYFUNCTION("""COMPUTED_VALUE"""),0.0)</f>
        <v>0</v>
      </c>
    </row>
    <row r="17" ht="15.75" customHeight="1">
      <c r="A17" s="6" t="str">
        <f>IFERROR(__xludf.DUMMYFUNCTION("""COMPUTED_VALUE"""),"0d62d7798adbffba76234feba6e58e4a73a6baf8")</f>
        <v>0d62d7798adbffba76234feba6e58e4a73a6baf8</v>
      </c>
      <c r="B17" s="6" t="str">
        <f>IFERROR(__xludf.DUMMYFUNCTION("""COMPUTED_VALUE"""),"Devil's Redemption")</f>
        <v>Devil's Redemption</v>
      </c>
      <c r="C17" s="6" t="str">
        <f>IFERROR(__xludf.DUMMYFUNCTION("""COMPUTED_VALUE"""),"Fantasy")</f>
        <v>Fantasy</v>
      </c>
      <c r="D17" s="17">
        <f>IFERROR(__xludf.DUMMYFUNCTION("""COMPUTED_VALUE"""),428.0)</f>
        <v>428</v>
      </c>
      <c r="E17" s="8">
        <f>IFERROR(__xludf.DUMMYFUNCTION("""COMPUTED_VALUE"""),0.981395348837209)</f>
        <v>0.9813953488</v>
      </c>
      <c r="F17" s="8">
        <f>IFERROR(__xludf.DUMMYFUNCTION("""COMPUTED_VALUE"""),0.733333333333333)</f>
        <v>0.7333333333</v>
      </c>
      <c r="G17" s="8">
        <f>IFERROR(__xludf.DUMMYFUNCTION("""COMPUTED_VALUE"""),0.533333333333333)</f>
        <v>0.5333333333</v>
      </c>
      <c r="H17" s="8">
        <f>IFERROR(__xludf.DUMMYFUNCTION("""COMPUTED_VALUE"""),0.533333333333333)</f>
        <v>0.5333333333</v>
      </c>
      <c r="I17" s="8">
        <f>IFERROR(__xludf.DUMMYFUNCTION("""COMPUTED_VALUE"""),0.466666666666666)</f>
        <v>0.4666666667</v>
      </c>
      <c r="J17" s="8">
        <f>IFERROR(__xludf.DUMMYFUNCTION("""COMPUTED_VALUE"""),0.466666666666666)</f>
        <v>0.4666666667</v>
      </c>
      <c r="K17" s="8">
        <f>IFERROR(__xludf.DUMMYFUNCTION("""COMPUTED_VALUE"""),0.428571428571428)</f>
        <v>0.4285714286</v>
      </c>
      <c r="L17" s="8">
        <f>IFERROR(__xludf.DUMMYFUNCTION("""COMPUTED_VALUE"""),0.428571428571428)</f>
        <v>0.4285714286</v>
      </c>
      <c r="M17" s="8">
        <f>IFERROR(__xludf.DUMMYFUNCTION("""COMPUTED_VALUE"""),0.428571428571428)</f>
        <v>0.4285714286</v>
      </c>
      <c r="N17" s="8">
        <f>IFERROR(__xludf.DUMMYFUNCTION("""COMPUTED_VALUE"""),0.416666666666666)</f>
        <v>0.4166666667</v>
      </c>
      <c r="O17" s="8">
        <f>IFERROR(__xludf.DUMMYFUNCTION("""COMPUTED_VALUE"""),0.416666666666666)</f>
        <v>0.4166666667</v>
      </c>
      <c r="P17" s="8">
        <f>IFERROR(__xludf.DUMMYFUNCTION("""COMPUTED_VALUE"""),0.375)</f>
        <v>0.375</v>
      </c>
      <c r="Q17" s="8">
        <f>IFERROR(__xludf.DUMMYFUNCTION("""COMPUTED_VALUE"""),0.0)</f>
        <v>0</v>
      </c>
      <c r="R17" s="8">
        <f>IFERROR(__xludf.DUMMYFUNCTION("""COMPUTED_VALUE"""),0.0)</f>
        <v>0</v>
      </c>
      <c r="S17" s="8">
        <f>IFERROR(__xludf.DUMMYFUNCTION("""COMPUTED_VALUE"""),0.0)</f>
        <v>0</v>
      </c>
      <c r="T17" s="8">
        <f>IFERROR(__xludf.DUMMYFUNCTION("""COMPUTED_VALUE"""),0.0)</f>
        <v>0</v>
      </c>
      <c r="U17" s="8">
        <f>IFERROR(__xludf.DUMMYFUNCTION("""COMPUTED_VALUE"""),0.0)</f>
        <v>0</v>
      </c>
      <c r="V17" s="8">
        <f>IFERROR(__xludf.DUMMYFUNCTION("""COMPUTED_VALUE"""),0.0)</f>
        <v>0</v>
      </c>
      <c r="W17" s="8">
        <f>IFERROR(__xludf.DUMMYFUNCTION("""COMPUTED_VALUE"""),0.0)</f>
        <v>0</v>
      </c>
      <c r="X17" s="8">
        <f>IFERROR(__xludf.DUMMYFUNCTION("""COMPUTED_VALUE"""),0.0)</f>
        <v>0</v>
      </c>
      <c r="Y17" s="8">
        <f>IFERROR(__xludf.DUMMYFUNCTION("""COMPUTED_VALUE"""),0.0)</f>
        <v>0</v>
      </c>
      <c r="Z17" s="8">
        <f>IFERROR(__xludf.DUMMYFUNCTION("""COMPUTED_VALUE"""),0.0)</f>
        <v>0</v>
      </c>
      <c r="AA17" s="8">
        <f>IFERROR(__xludf.DUMMYFUNCTION("""COMPUTED_VALUE"""),0.0)</f>
        <v>0</v>
      </c>
      <c r="AB17" s="8">
        <f>IFERROR(__xludf.DUMMYFUNCTION("""COMPUTED_VALUE"""),0.0)</f>
        <v>0</v>
      </c>
      <c r="AC17" s="8">
        <f>IFERROR(__xludf.DUMMYFUNCTION("""COMPUTED_VALUE"""),0.0)</f>
        <v>0</v>
      </c>
    </row>
    <row r="18" ht="15.75" customHeight="1">
      <c r="A18" s="6" t="str">
        <f>IFERROR(__xludf.DUMMYFUNCTION("""COMPUTED_VALUE"""),"0db57923d2182ad47e7480030a03e05da109b1bf")</f>
        <v>0db57923d2182ad47e7480030a03e05da109b1bf</v>
      </c>
      <c r="B18" s="6" t="str">
        <f>IFERROR(__xludf.DUMMYFUNCTION("""COMPUTED_VALUE"""),"The Ceo's Borrowed Beauty")</f>
        <v>The Ceo's Borrowed Beauty</v>
      </c>
      <c r="C18" s="6" t="str">
        <f>IFERROR(__xludf.DUMMYFUNCTION("""COMPUTED_VALUE"""),"Romance")</f>
        <v>Romance</v>
      </c>
      <c r="D18" s="17">
        <f>IFERROR(__xludf.DUMMYFUNCTION("""COMPUTED_VALUE"""),1493.0)</f>
        <v>1493</v>
      </c>
      <c r="E18" s="8">
        <f>IFERROR(__xludf.DUMMYFUNCTION("""COMPUTED_VALUE"""),0.975167785234899)</f>
        <v>0.9751677852</v>
      </c>
      <c r="F18" s="8">
        <f>IFERROR(__xludf.DUMMYFUNCTION("""COMPUTED_VALUE"""),0.506397306397306)</f>
        <v>0.5063973064</v>
      </c>
      <c r="G18" s="8">
        <f>IFERROR(__xludf.DUMMYFUNCTION("""COMPUTED_VALUE"""),0.447741065407956)</f>
        <v>0.4477410654</v>
      </c>
      <c r="H18" s="8">
        <f>IFERROR(__xludf.DUMMYFUNCTION("""COMPUTED_VALUE"""),0.397158322056833)</f>
        <v>0.3971583221</v>
      </c>
      <c r="I18" s="8">
        <f>IFERROR(__xludf.DUMMYFUNCTION("""COMPUTED_VALUE"""),0.370596205962059)</f>
        <v>0.370596206</v>
      </c>
      <c r="J18" s="8">
        <f>IFERROR(__xludf.DUMMYFUNCTION("""COMPUTED_VALUE"""),0.342837746096401)</f>
        <v>0.3428377461</v>
      </c>
      <c r="K18" s="8">
        <f>IFERROR(__xludf.DUMMYFUNCTION("""COMPUTED_VALUE"""),0.308423913043478)</f>
        <v>0.308423913</v>
      </c>
      <c r="L18" s="8">
        <f>IFERROR(__xludf.DUMMYFUNCTION("""COMPUTED_VALUE"""),0.28669882839421)</f>
        <v>0.2866988284</v>
      </c>
      <c r="M18" s="8">
        <f>IFERROR(__xludf.DUMMYFUNCTION("""COMPUTED_VALUE"""),0.275362318840579)</f>
        <v>0.2753623188</v>
      </c>
      <c r="N18" s="8">
        <f>IFERROR(__xludf.DUMMYFUNCTION("""COMPUTED_VALUE"""),0.269819193324061)</f>
        <v>0.2698191933</v>
      </c>
      <c r="O18" s="8">
        <f>IFERROR(__xludf.DUMMYFUNCTION("""COMPUTED_VALUE"""),0.25089605734767)</f>
        <v>0.2508960573</v>
      </c>
      <c r="P18" s="8">
        <f>IFERROR(__xludf.DUMMYFUNCTION("""COMPUTED_VALUE"""),0.173652694610778)</f>
        <v>0.1736526946</v>
      </c>
      <c r="Q18" s="8">
        <f>IFERROR(__xludf.DUMMYFUNCTION("""COMPUTED_VALUE"""),0.3125)</f>
        <v>0.3125</v>
      </c>
      <c r="R18" s="8">
        <f>IFERROR(__xludf.DUMMYFUNCTION("""COMPUTED_VALUE"""),0.25)</f>
        <v>0.25</v>
      </c>
      <c r="S18" s="8">
        <f>IFERROR(__xludf.DUMMYFUNCTION("""COMPUTED_VALUE"""),0.0)</f>
        <v>0</v>
      </c>
      <c r="T18" s="8">
        <f>IFERROR(__xludf.DUMMYFUNCTION("""COMPUTED_VALUE"""),0.0)</f>
        <v>0</v>
      </c>
      <c r="U18" s="8">
        <f>IFERROR(__xludf.DUMMYFUNCTION("""COMPUTED_VALUE"""),0.0)</f>
        <v>0</v>
      </c>
      <c r="V18" s="8">
        <f>IFERROR(__xludf.DUMMYFUNCTION("""COMPUTED_VALUE"""),0.0)</f>
        <v>0</v>
      </c>
      <c r="W18" s="8">
        <f>IFERROR(__xludf.DUMMYFUNCTION("""COMPUTED_VALUE"""),0.0)</f>
        <v>0</v>
      </c>
      <c r="X18" s="8">
        <f>IFERROR(__xludf.DUMMYFUNCTION("""COMPUTED_VALUE"""),0.0)</f>
        <v>0</v>
      </c>
      <c r="Y18" s="8">
        <f>IFERROR(__xludf.DUMMYFUNCTION("""COMPUTED_VALUE"""),0.0)</f>
        <v>0</v>
      </c>
      <c r="Z18" s="8">
        <f>IFERROR(__xludf.DUMMYFUNCTION("""COMPUTED_VALUE"""),0.0)</f>
        <v>0</v>
      </c>
      <c r="AA18" s="8">
        <f>IFERROR(__xludf.DUMMYFUNCTION("""COMPUTED_VALUE"""),0.0)</f>
        <v>0</v>
      </c>
      <c r="AB18" s="8">
        <f>IFERROR(__xludf.DUMMYFUNCTION("""COMPUTED_VALUE"""),0.0)</f>
        <v>0</v>
      </c>
      <c r="AC18" s="8">
        <f>IFERROR(__xludf.DUMMYFUNCTION("""COMPUTED_VALUE"""),0.0)</f>
        <v>0</v>
      </c>
    </row>
    <row r="19" ht="15.75" customHeight="1">
      <c r="A19" s="6" t="str">
        <f>IFERROR(__xludf.DUMMYFUNCTION("""COMPUTED_VALUE"""),"0f3d56fd651e66eb62e990fd31d006aa80eaab5f")</f>
        <v>0f3d56fd651e66eb62e990fd31d006aa80eaab5f</v>
      </c>
      <c r="B19" s="6" t="str">
        <f>IFERROR(__xludf.DUMMYFUNCTION("""COMPUTED_VALUE"""),"The Forsaken Tamer")</f>
        <v>The Forsaken Tamer</v>
      </c>
      <c r="C19" s="6" t="str">
        <f>IFERROR(__xludf.DUMMYFUNCTION("""COMPUTED_VALUE"""),"System and Superpower")</f>
        <v>System and Superpower</v>
      </c>
      <c r="D19" s="17">
        <f>IFERROR(__xludf.DUMMYFUNCTION("""COMPUTED_VALUE"""),1389.0)</f>
        <v>1389</v>
      </c>
      <c r="E19" s="8">
        <f>IFERROR(__xludf.DUMMYFUNCTION("""COMPUTED_VALUE"""),0.995670995670995)</f>
        <v>0.9956709957</v>
      </c>
      <c r="F19" s="8">
        <f>IFERROR(__xludf.DUMMYFUNCTION("""COMPUTED_VALUE"""),0.639878695981804)</f>
        <v>0.639878696</v>
      </c>
      <c r="G19" s="8">
        <f>IFERROR(__xludf.DUMMYFUNCTION("""COMPUTED_VALUE"""),0.58347245409015)</f>
        <v>0.5834724541</v>
      </c>
      <c r="H19" s="8">
        <f>IFERROR(__xludf.DUMMYFUNCTION("""COMPUTED_VALUE"""),0.492003762935089)</f>
        <v>0.4920037629</v>
      </c>
      <c r="I19" s="8">
        <f>IFERROR(__xludf.DUMMYFUNCTION("""COMPUTED_VALUE"""),0.437703141928494)</f>
        <v>0.4377031419</v>
      </c>
      <c r="J19" s="8">
        <f>IFERROR(__xludf.DUMMYFUNCTION("""COMPUTED_VALUE"""),0.358189081225033)</f>
        <v>0.3581890812</v>
      </c>
      <c r="K19" s="8">
        <f>IFERROR(__xludf.DUMMYFUNCTION("""COMPUTED_VALUE"""),0.308921438082556)</f>
        <v>0.3089214381</v>
      </c>
      <c r="L19" s="8">
        <f>IFERROR(__xludf.DUMMYFUNCTION("""COMPUTED_VALUE"""),0.267022696929238)</f>
        <v>0.2670226969</v>
      </c>
      <c r="M19" s="8">
        <f>IFERROR(__xludf.DUMMYFUNCTION("""COMPUTED_VALUE"""),0.244295302013422)</f>
        <v>0.244295302</v>
      </c>
      <c r="N19" s="8">
        <f>IFERROR(__xludf.DUMMYFUNCTION("""COMPUTED_VALUE"""),0.222672064777327)</f>
        <v>0.2226720648</v>
      </c>
      <c r="O19" s="8">
        <f>IFERROR(__xludf.DUMMYFUNCTION("""COMPUTED_VALUE"""),0.159675236806495)</f>
        <v>0.1596752368</v>
      </c>
      <c r="P19" s="8">
        <f>IFERROR(__xludf.DUMMYFUNCTION("""COMPUTED_VALUE"""),0.105191256830601)</f>
        <v>0.1051912568</v>
      </c>
      <c r="Q19" s="8">
        <f>IFERROR(__xludf.DUMMYFUNCTION("""COMPUTED_VALUE"""),0.0370898716119828)</f>
        <v>0.03708987161</v>
      </c>
      <c r="R19" s="8">
        <f>IFERROR(__xludf.DUMMYFUNCTION("""COMPUTED_VALUE"""),0.0244648318042813)</f>
        <v>0.0244648318</v>
      </c>
      <c r="S19" s="8">
        <f>IFERROR(__xludf.DUMMYFUNCTION("""COMPUTED_VALUE"""),0.0)</f>
        <v>0</v>
      </c>
      <c r="T19" s="8">
        <f>IFERROR(__xludf.DUMMYFUNCTION("""COMPUTED_VALUE"""),0.0)</f>
        <v>0</v>
      </c>
      <c r="U19" s="8">
        <f>IFERROR(__xludf.DUMMYFUNCTION("""COMPUTED_VALUE"""),0.0)</f>
        <v>0</v>
      </c>
      <c r="V19" s="8">
        <f>IFERROR(__xludf.DUMMYFUNCTION("""COMPUTED_VALUE"""),0.0)</f>
        <v>0</v>
      </c>
      <c r="W19" s="8">
        <f>IFERROR(__xludf.DUMMYFUNCTION("""COMPUTED_VALUE"""),0.0)</f>
        <v>0</v>
      </c>
      <c r="X19" s="8">
        <f>IFERROR(__xludf.DUMMYFUNCTION("""COMPUTED_VALUE"""),0.0)</f>
        <v>0</v>
      </c>
      <c r="Y19" s="8">
        <f>IFERROR(__xludf.DUMMYFUNCTION("""COMPUTED_VALUE"""),0.0)</f>
        <v>0</v>
      </c>
      <c r="Z19" s="8">
        <f>IFERROR(__xludf.DUMMYFUNCTION("""COMPUTED_VALUE"""),0.0)</f>
        <v>0</v>
      </c>
      <c r="AA19" s="8">
        <f>IFERROR(__xludf.DUMMYFUNCTION("""COMPUTED_VALUE"""),0.0)</f>
        <v>0</v>
      </c>
      <c r="AB19" s="8">
        <f>IFERROR(__xludf.DUMMYFUNCTION("""COMPUTED_VALUE"""),0.0)</f>
        <v>0</v>
      </c>
      <c r="AC19" s="8">
        <f>IFERROR(__xludf.DUMMYFUNCTION("""COMPUTED_VALUE"""),0.0)</f>
        <v>0</v>
      </c>
    </row>
    <row r="20" ht="15.75" customHeight="1">
      <c r="A20" s="6" t="str">
        <f>IFERROR(__xludf.DUMMYFUNCTION("""COMPUTED_VALUE"""),"0fadc6da7c4d814463023dc7ffd8be44c68fa457")</f>
        <v>0fadc6da7c4d814463023dc7ffd8be44c68fa457</v>
      </c>
      <c r="B20" s="6" t="str">
        <f>IFERROR(__xludf.DUMMYFUNCTION("""COMPUTED_VALUE"""),"From Ceo to Young Lord")</f>
        <v>From Ceo to Young Lord</v>
      </c>
      <c r="C20" s="6" t="str">
        <f>IFERROR(__xludf.DUMMYFUNCTION("""COMPUTED_VALUE"""),"Fantasy")</f>
        <v>Fantasy</v>
      </c>
      <c r="D20" s="17">
        <f>IFERROR(__xludf.DUMMYFUNCTION("""COMPUTED_VALUE"""),1224.0)</f>
        <v>1224</v>
      </c>
      <c r="E20" s="8">
        <f>IFERROR(__xludf.DUMMYFUNCTION("""COMPUTED_VALUE"""),0.968954248366013)</f>
        <v>0.9689542484</v>
      </c>
      <c r="F20" s="8">
        <f>IFERROR(__xludf.DUMMYFUNCTION("""COMPUTED_VALUE"""),0.713818479149632)</f>
        <v>0.7138184791</v>
      </c>
      <c r="G20" s="8">
        <f>IFERROR(__xludf.DUMMYFUNCTION("""COMPUTED_VALUE"""),0.678688524590163)</f>
        <v>0.6786885246</v>
      </c>
      <c r="H20" s="8">
        <f>IFERROR(__xludf.DUMMYFUNCTION("""COMPUTED_VALUE"""),0.673502871205906)</f>
        <v>0.6735028712</v>
      </c>
      <c r="I20" s="8">
        <f>IFERROR(__xludf.DUMMYFUNCTION("""COMPUTED_VALUE"""),0.637633525061627)</f>
        <v>0.6376335251</v>
      </c>
      <c r="J20" s="8">
        <f>IFERROR(__xludf.DUMMYFUNCTION("""COMPUTED_VALUE"""),0.60593569661995)</f>
        <v>0.6059356966</v>
      </c>
      <c r="K20" s="8">
        <f>IFERROR(__xludf.DUMMYFUNCTION("""COMPUTED_VALUE"""),0.588623248145094)</f>
        <v>0.5886232481</v>
      </c>
      <c r="L20" s="8">
        <f>IFERROR(__xludf.DUMMYFUNCTION("""COMPUTED_VALUE"""),0.558120362737015)</f>
        <v>0.5581203627</v>
      </c>
      <c r="M20" s="8">
        <f>IFERROR(__xludf.DUMMYFUNCTION("""COMPUTED_VALUE"""),0.534212695795548)</f>
        <v>0.5342126958</v>
      </c>
      <c r="N20" s="8">
        <f>IFERROR(__xludf.DUMMYFUNCTION("""COMPUTED_VALUE"""),0.526011560693641)</f>
        <v>0.5260115607</v>
      </c>
      <c r="O20" s="8">
        <f>IFERROR(__xludf.DUMMYFUNCTION("""COMPUTED_VALUE"""),0.470099667774086)</f>
        <v>0.4700996678</v>
      </c>
      <c r="P20" s="8">
        <f>IFERROR(__xludf.DUMMYFUNCTION("""COMPUTED_VALUE"""),0.318487394957983)</f>
        <v>0.318487395</v>
      </c>
      <c r="Q20" s="8">
        <f>IFERROR(__xludf.DUMMYFUNCTION("""COMPUTED_VALUE"""),0.232558139534883)</f>
        <v>0.2325581395</v>
      </c>
      <c r="R20" s="8">
        <f>IFERROR(__xludf.DUMMYFUNCTION("""COMPUTED_VALUE"""),0.120567375886524)</f>
        <v>0.1205673759</v>
      </c>
      <c r="S20" s="8">
        <f>IFERROR(__xludf.DUMMYFUNCTION("""COMPUTED_VALUE"""),0.0833333333333333)</f>
        <v>0.08333333333</v>
      </c>
      <c r="T20" s="8">
        <f>IFERROR(__xludf.DUMMYFUNCTION("""COMPUTED_VALUE"""),0.0)</f>
        <v>0</v>
      </c>
      <c r="U20" s="8">
        <f>IFERROR(__xludf.DUMMYFUNCTION("""COMPUTED_VALUE"""),0.0)</f>
        <v>0</v>
      </c>
      <c r="V20" s="8">
        <f>IFERROR(__xludf.DUMMYFUNCTION("""COMPUTED_VALUE"""),0.0)</f>
        <v>0</v>
      </c>
      <c r="W20" s="8">
        <f>IFERROR(__xludf.DUMMYFUNCTION("""COMPUTED_VALUE"""),0.0)</f>
        <v>0</v>
      </c>
      <c r="X20" s="8">
        <f>IFERROR(__xludf.DUMMYFUNCTION("""COMPUTED_VALUE"""),0.0)</f>
        <v>0</v>
      </c>
      <c r="Y20" s="8">
        <f>IFERROR(__xludf.DUMMYFUNCTION("""COMPUTED_VALUE"""),0.0)</f>
        <v>0</v>
      </c>
      <c r="Z20" s="8">
        <f>IFERROR(__xludf.DUMMYFUNCTION("""COMPUTED_VALUE"""),0.0)</f>
        <v>0</v>
      </c>
      <c r="AA20" s="8">
        <f>IFERROR(__xludf.DUMMYFUNCTION("""COMPUTED_VALUE"""),0.0)</f>
        <v>0</v>
      </c>
      <c r="AB20" s="8">
        <f>IFERROR(__xludf.DUMMYFUNCTION("""COMPUTED_VALUE"""),0.0)</f>
        <v>0</v>
      </c>
      <c r="AC20" s="8">
        <f>IFERROR(__xludf.DUMMYFUNCTION("""COMPUTED_VALUE"""),0.0)</f>
        <v>0</v>
      </c>
    </row>
    <row r="21" ht="15.75" customHeight="1">
      <c r="A21" s="6" t="str">
        <f>IFERROR(__xludf.DUMMYFUNCTION("""COMPUTED_VALUE"""),"114fed9f0540f90ccc58d03a383c7c69260baeae")</f>
        <v>114fed9f0540f90ccc58d03a383c7c69260baeae</v>
      </c>
      <c r="B21" s="6" t="str">
        <f>IFERROR(__xludf.DUMMYFUNCTION("""COMPUTED_VALUE"""),"Mother's Murder &amp; Secrets")</f>
        <v>Mother's Murder &amp; Secrets</v>
      </c>
      <c r="C21" s="6" t="str">
        <f>IFERROR(__xludf.DUMMYFUNCTION("""COMPUTED_VALUE"""),"Suspense or Thriller")</f>
        <v>Suspense or Thriller</v>
      </c>
      <c r="D21" s="17">
        <f>IFERROR(__xludf.DUMMYFUNCTION("""COMPUTED_VALUE"""),661.0)</f>
        <v>661</v>
      </c>
      <c r="E21" s="8">
        <f>IFERROR(__xludf.DUMMYFUNCTION("""COMPUTED_VALUE"""),0.984871406959152)</f>
        <v>0.984871407</v>
      </c>
      <c r="F21" s="8">
        <f>IFERROR(__xludf.DUMMYFUNCTION("""COMPUTED_VALUE"""),0.419062027231467)</f>
        <v>0.4190620272</v>
      </c>
      <c r="G21" s="8">
        <f>IFERROR(__xludf.DUMMYFUNCTION("""COMPUTED_VALUE"""),0.354009077155824)</f>
        <v>0.3540090772</v>
      </c>
      <c r="H21" s="8">
        <f>IFERROR(__xludf.DUMMYFUNCTION("""COMPUTED_VALUE"""),0.285930408472012)</f>
        <v>0.2859304085</v>
      </c>
      <c r="I21" s="8">
        <f>IFERROR(__xludf.DUMMYFUNCTION("""COMPUTED_VALUE"""),0.251134644478063)</f>
        <v>0.2511346445</v>
      </c>
      <c r="J21" s="8">
        <f>IFERROR(__xludf.DUMMYFUNCTION("""COMPUTED_VALUE"""),0.226928895612708)</f>
        <v>0.2269288956</v>
      </c>
      <c r="K21" s="8">
        <f>IFERROR(__xludf.DUMMYFUNCTION("""COMPUTED_VALUE"""),0.196671709531013)</f>
        <v>0.1966717095</v>
      </c>
      <c r="L21" s="8">
        <f>IFERROR(__xludf.DUMMYFUNCTION("""COMPUTED_VALUE"""),0.183333333333333)</f>
        <v>0.1833333333</v>
      </c>
      <c r="M21" s="8">
        <f>IFERROR(__xludf.DUMMYFUNCTION("""COMPUTED_VALUE"""),0.168181818181818)</f>
        <v>0.1681818182</v>
      </c>
      <c r="N21" s="8">
        <f>IFERROR(__xludf.DUMMYFUNCTION("""COMPUTED_VALUE"""),0.157814871016691)</f>
        <v>0.157814871</v>
      </c>
      <c r="O21" s="8">
        <f>IFERROR(__xludf.DUMMYFUNCTION("""COMPUTED_VALUE"""),0.112633181126331)</f>
        <v>0.1126331811</v>
      </c>
      <c r="P21" s="8">
        <f>IFERROR(__xludf.DUMMYFUNCTION("""COMPUTED_VALUE"""),0.0795107033639143)</f>
        <v>0.07951070336</v>
      </c>
      <c r="Q21" s="8">
        <f>IFERROR(__xludf.DUMMYFUNCTION("""COMPUTED_VALUE"""),0.0541795665634674)</f>
        <v>0.05417956656</v>
      </c>
      <c r="R21" s="8">
        <f>IFERROR(__xludf.DUMMYFUNCTION("""COMPUTED_VALUE"""),0.0377358490566037)</f>
        <v>0.03773584906</v>
      </c>
      <c r="S21" s="8">
        <f>IFERROR(__xludf.DUMMYFUNCTION("""COMPUTED_VALUE"""),0.0207006369426751)</f>
        <v>0.02070063694</v>
      </c>
      <c r="T21" s="8">
        <f>IFERROR(__xludf.DUMMYFUNCTION("""COMPUTED_VALUE"""),0.0129310344827586)</f>
        <v>0.01293103448</v>
      </c>
      <c r="U21" s="8">
        <f>IFERROR(__xludf.DUMMYFUNCTION("""COMPUTED_VALUE"""),0.0103626943005181)</f>
        <v>0.0103626943</v>
      </c>
      <c r="V21" s="8">
        <f>IFERROR(__xludf.DUMMYFUNCTION("""COMPUTED_VALUE"""),0.0357142857142857)</f>
        <v>0.03571428571</v>
      </c>
      <c r="W21" s="8">
        <f>IFERROR(__xludf.DUMMYFUNCTION("""COMPUTED_VALUE"""),0.0)</f>
        <v>0</v>
      </c>
      <c r="X21" s="8">
        <f>IFERROR(__xludf.DUMMYFUNCTION("""COMPUTED_VALUE"""),0.0)</f>
        <v>0</v>
      </c>
      <c r="Y21" s="8">
        <f>IFERROR(__xludf.DUMMYFUNCTION("""COMPUTED_VALUE"""),0.0)</f>
        <v>0</v>
      </c>
      <c r="Z21" s="8">
        <f>IFERROR(__xludf.DUMMYFUNCTION("""COMPUTED_VALUE"""),0.0)</f>
        <v>0</v>
      </c>
      <c r="AA21" s="8">
        <f>IFERROR(__xludf.DUMMYFUNCTION("""COMPUTED_VALUE"""),0.0)</f>
        <v>0</v>
      </c>
      <c r="AB21" s="8">
        <f>IFERROR(__xludf.DUMMYFUNCTION("""COMPUTED_VALUE"""),0.0)</f>
        <v>0</v>
      </c>
      <c r="AC21" s="8">
        <f>IFERROR(__xludf.DUMMYFUNCTION("""COMPUTED_VALUE"""),0.0)</f>
        <v>0</v>
      </c>
    </row>
    <row r="22" ht="15.75" customHeight="1">
      <c r="A22" s="6" t="str">
        <f>IFERROR(__xludf.DUMMYFUNCTION("""COMPUTED_VALUE"""),"123964565c4c79c7f1a3737171a0125020300913")</f>
        <v>123964565c4c79c7f1a3737171a0125020300913</v>
      </c>
      <c r="B22" s="6" t="str">
        <f>IFERROR(__xludf.DUMMYFUNCTION("""COMPUTED_VALUE"""),"My Alien Boxing System")</f>
        <v>My Alien Boxing System</v>
      </c>
      <c r="C22" s="6" t="str">
        <f>IFERROR(__xludf.DUMMYFUNCTION("""COMPUTED_VALUE"""),"Fantasy")</f>
        <v>Fantasy</v>
      </c>
      <c r="D22" s="17">
        <f>IFERROR(__xludf.DUMMYFUNCTION("""COMPUTED_VALUE"""),570.0)</f>
        <v>570</v>
      </c>
      <c r="E22" s="8">
        <f>IFERROR(__xludf.DUMMYFUNCTION("""COMPUTED_VALUE"""),0.991212653778558)</f>
        <v>0.9912126538</v>
      </c>
      <c r="F22" s="8">
        <f>IFERROR(__xludf.DUMMYFUNCTION("""COMPUTED_VALUE"""),0.610229276895943)</f>
        <v>0.6102292769</v>
      </c>
      <c r="G22" s="8">
        <f>IFERROR(__xludf.DUMMYFUNCTION("""COMPUTED_VALUE"""),0.585537918871252)</f>
        <v>0.5855379189</v>
      </c>
      <c r="H22" s="8">
        <f>IFERROR(__xludf.DUMMYFUNCTION("""COMPUTED_VALUE"""),0.523893805309734)</f>
        <v>0.5238938053</v>
      </c>
      <c r="I22" s="8">
        <f>IFERROR(__xludf.DUMMYFUNCTION("""COMPUTED_VALUE"""),0.488495575221238)</f>
        <v>0.4884955752</v>
      </c>
      <c r="J22" s="8">
        <f>IFERROR(__xludf.DUMMYFUNCTION("""COMPUTED_VALUE"""),0.427046263345195)</f>
        <v>0.4270462633</v>
      </c>
      <c r="K22" s="8">
        <f>IFERROR(__xludf.DUMMYFUNCTION("""COMPUTED_VALUE"""),0.388591800356506)</f>
        <v>0.3885918004</v>
      </c>
      <c r="L22" s="8">
        <f>IFERROR(__xludf.DUMMYFUNCTION("""COMPUTED_VALUE"""),0.3875)</f>
        <v>0.3875</v>
      </c>
      <c r="M22" s="8">
        <f>IFERROR(__xludf.DUMMYFUNCTION("""COMPUTED_VALUE"""),0.367857142857142)</f>
        <v>0.3678571429</v>
      </c>
      <c r="N22" s="8">
        <f>IFERROR(__xludf.DUMMYFUNCTION("""COMPUTED_VALUE"""),0.320788530465949)</f>
        <v>0.3207885305</v>
      </c>
      <c r="O22" s="8">
        <f>IFERROR(__xludf.DUMMYFUNCTION("""COMPUTED_VALUE"""),0.25589836660617)</f>
        <v>0.2558983666</v>
      </c>
      <c r="P22" s="8">
        <f>IFERROR(__xludf.DUMMYFUNCTION("""COMPUTED_VALUE"""),0.173752310536044)</f>
        <v>0.1737523105</v>
      </c>
      <c r="Q22" s="8">
        <f>IFERROR(__xludf.DUMMYFUNCTION("""COMPUTED_VALUE"""),0.25)</f>
        <v>0.25</v>
      </c>
      <c r="R22" s="8">
        <f>IFERROR(__xludf.DUMMYFUNCTION("""COMPUTED_VALUE"""),0.0)</f>
        <v>0</v>
      </c>
      <c r="S22" s="8">
        <f>IFERROR(__xludf.DUMMYFUNCTION("""COMPUTED_VALUE"""),0.0)</f>
        <v>0</v>
      </c>
      <c r="T22" s="8">
        <f>IFERROR(__xludf.DUMMYFUNCTION("""COMPUTED_VALUE"""),0.0)</f>
        <v>0</v>
      </c>
      <c r="U22" s="8">
        <f>IFERROR(__xludf.DUMMYFUNCTION("""COMPUTED_VALUE"""),0.0)</f>
        <v>0</v>
      </c>
      <c r="V22" s="8">
        <f>IFERROR(__xludf.DUMMYFUNCTION("""COMPUTED_VALUE"""),0.0)</f>
        <v>0</v>
      </c>
      <c r="W22" s="8">
        <f>IFERROR(__xludf.DUMMYFUNCTION("""COMPUTED_VALUE"""),0.0)</f>
        <v>0</v>
      </c>
      <c r="X22" s="8">
        <f>IFERROR(__xludf.DUMMYFUNCTION("""COMPUTED_VALUE"""),0.0)</f>
        <v>0</v>
      </c>
      <c r="Y22" s="8">
        <f>IFERROR(__xludf.DUMMYFUNCTION("""COMPUTED_VALUE"""),0.0)</f>
        <v>0</v>
      </c>
      <c r="Z22" s="8">
        <f>IFERROR(__xludf.DUMMYFUNCTION("""COMPUTED_VALUE"""),0.0)</f>
        <v>0</v>
      </c>
      <c r="AA22" s="8">
        <f>IFERROR(__xludf.DUMMYFUNCTION("""COMPUTED_VALUE"""),0.0)</f>
        <v>0</v>
      </c>
      <c r="AB22" s="8">
        <f>IFERROR(__xludf.DUMMYFUNCTION("""COMPUTED_VALUE"""),0.0)</f>
        <v>0</v>
      </c>
      <c r="AC22" s="8">
        <f>IFERROR(__xludf.DUMMYFUNCTION("""COMPUTED_VALUE"""),0.0)</f>
        <v>0</v>
      </c>
    </row>
    <row r="23" ht="15.75" customHeight="1">
      <c r="A23" s="6" t="str">
        <f>IFERROR(__xludf.DUMMYFUNCTION("""COMPUTED_VALUE"""),"158669d764d53a995f111683b8700642d7c4847c")</f>
        <v>158669d764d53a995f111683b8700642d7c4847c</v>
      </c>
      <c r="B23" s="6" t="str">
        <f>IFERROR(__xludf.DUMMYFUNCTION("""COMPUTED_VALUE"""),"The Silent Wife Strikes")</f>
        <v>The Silent Wife Strikes</v>
      </c>
      <c r="C23" s="6" t="str">
        <f>IFERROR(__xludf.DUMMYFUNCTION("""COMPUTED_VALUE"""),"Romance")</f>
        <v>Romance</v>
      </c>
      <c r="D23" s="17">
        <f>IFERROR(__xludf.DUMMYFUNCTION("""COMPUTED_VALUE"""),141.0)</f>
        <v>141</v>
      </c>
      <c r="E23" s="8">
        <f>IFERROR(__xludf.DUMMYFUNCTION("""COMPUTED_VALUE"""),0.914893617021276)</f>
        <v>0.914893617</v>
      </c>
      <c r="F23" s="8">
        <f>IFERROR(__xludf.DUMMYFUNCTION("""COMPUTED_VALUE"""),0.581560283687943)</f>
        <v>0.5815602837</v>
      </c>
      <c r="G23" s="8">
        <f>IFERROR(__xludf.DUMMYFUNCTION("""COMPUTED_VALUE"""),0.531914893617021)</f>
        <v>0.5319148936</v>
      </c>
      <c r="H23" s="8">
        <f>IFERROR(__xludf.DUMMYFUNCTION("""COMPUTED_VALUE"""),0.439716312056737)</f>
        <v>0.4397163121</v>
      </c>
      <c r="I23" s="8">
        <f>IFERROR(__xludf.DUMMYFUNCTION("""COMPUTED_VALUE"""),0.425531914893617)</f>
        <v>0.4255319149</v>
      </c>
      <c r="J23" s="8">
        <f>IFERROR(__xludf.DUMMYFUNCTION("""COMPUTED_VALUE"""),0.354609929078014)</f>
        <v>0.3546099291</v>
      </c>
      <c r="K23" s="8">
        <f>IFERROR(__xludf.DUMMYFUNCTION("""COMPUTED_VALUE"""),0.432624113475177)</f>
        <v>0.4326241135</v>
      </c>
      <c r="L23" s="8">
        <f>IFERROR(__xludf.DUMMYFUNCTION("""COMPUTED_VALUE"""),0.328571428571428)</f>
        <v>0.3285714286</v>
      </c>
      <c r="M23" s="8">
        <f>IFERROR(__xludf.DUMMYFUNCTION("""COMPUTED_VALUE"""),0.378571428571428)</f>
        <v>0.3785714286</v>
      </c>
      <c r="N23" s="8">
        <f>IFERROR(__xludf.DUMMYFUNCTION("""COMPUTED_VALUE"""),0.330935251798561)</f>
        <v>0.3309352518</v>
      </c>
      <c r="O23" s="8">
        <f>IFERROR(__xludf.DUMMYFUNCTION("""COMPUTED_VALUE"""),0.310077519379844)</f>
        <v>0.3100775194</v>
      </c>
      <c r="P23" s="8">
        <f>IFERROR(__xludf.DUMMYFUNCTION("""COMPUTED_VALUE"""),0.1796875)</f>
        <v>0.1796875</v>
      </c>
      <c r="Q23" s="8">
        <f>IFERROR(__xludf.DUMMYFUNCTION("""COMPUTED_VALUE"""),0.157407407407407)</f>
        <v>0.1574074074</v>
      </c>
      <c r="R23" s="8">
        <f>IFERROR(__xludf.DUMMYFUNCTION("""COMPUTED_VALUE"""),0.0212765957446808)</f>
        <v>0.02127659574</v>
      </c>
      <c r="S23" s="8">
        <f>IFERROR(__xludf.DUMMYFUNCTION("""COMPUTED_VALUE"""),0.0)</f>
        <v>0</v>
      </c>
      <c r="T23" s="8">
        <f>IFERROR(__xludf.DUMMYFUNCTION("""COMPUTED_VALUE"""),0.0)</f>
        <v>0</v>
      </c>
      <c r="U23" s="8">
        <f>IFERROR(__xludf.DUMMYFUNCTION("""COMPUTED_VALUE"""),0.0)</f>
        <v>0</v>
      </c>
      <c r="V23" s="8">
        <f>IFERROR(__xludf.DUMMYFUNCTION("""COMPUTED_VALUE"""),0.0)</f>
        <v>0</v>
      </c>
      <c r="W23" s="8">
        <f>IFERROR(__xludf.DUMMYFUNCTION("""COMPUTED_VALUE"""),0.0)</f>
        <v>0</v>
      </c>
      <c r="X23" s="8">
        <f>IFERROR(__xludf.DUMMYFUNCTION("""COMPUTED_VALUE"""),0.0)</f>
        <v>0</v>
      </c>
      <c r="Y23" s="8">
        <f>IFERROR(__xludf.DUMMYFUNCTION("""COMPUTED_VALUE"""),0.0)</f>
        <v>0</v>
      </c>
      <c r="Z23" s="8">
        <f>IFERROR(__xludf.DUMMYFUNCTION("""COMPUTED_VALUE"""),0.0)</f>
        <v>0</v>
      </c>
      <c r="AA23" s="8">
        <f>IFERROR(__xludf.DUMMYFUNCTION("""COMPUTED_VALUE"""),0.0)</f>
        <v>0</v>
      </c>
      <c r="AB23" s="8">
        <f>IFERROR(__xludf.DUMMYFUNCTION("""COMPUTED_VALUE"""),0.0)</f>
        <v>0</v>
      </c>
      <c r="AC23" s="8">
        <f>IFERROR(__xludf.DUMMYFUNCTION("""COMPUTED_VALUE"""),0.0)</f>
        <v>0</v>
      </c>
    </row>
    <row r="24" ht="15.75" customHeight="1">
      <c r="A24" s="6" t="str">
        <f>IFERROR(__xludf.DUMMYFUNCTION("""COMPUTED_VALUE"""),"170bf0ee514e18fe892383ebee0f53a0f634136f")</f>
        <v>170bf0ee514e18fe892383ebee0f53a0f634136f</v>
      </c>
      <c r="B24" s="6" t="str">
        <f>IFERROR(__xludf.DUMMYFUNCTION("""COMPUTED_VALUE"""),"Started From the Bottom")</f>
        <v>Started From the Bottom</v>
      </c>
      <c r="C24" s="6" t="str">
        <f>IFERROR(__xludf.DUMMYFUNCTION("""COMPUTED_VALUE"""),"Drama")</f>
        <v>Drama</v>
      </c>
      <c r="D24" s="17">
        <f>IFERROR(__xludf.DUMMYFUNCTION("""COMPUTED_VALUE"""),15.0)</f>
        <v>15</v>
      </c>
      <c r="E24" s="8">
        <f>IFERROR(__xludf.DUMMYFUNCTION("""COMPUTED_VALUE"""),1.0)</f>
        <v>1</v>
      </c>
      <c r="F24" s="8">
        <f>IFERROR(__xludf.DUMMYFUNCTION("""COMPUTED_VALUE"""),0.0666666666666666)</f>
        <v>0.06666666667</v>
      </c>
      <c r="G24" s="8">
        <f>IFERROR(__xludf.DUMMYFUNCTION("""COMPUTED_VALUE"""),0.0666666666666666)</f>
        <v>0.06666666667</v>
      </c>
      <c r="H24" s="8">
        <f>IFERROR(__xludf.DUMMYFUNCTION("""COMPUTED_VALUE"""),0.0666666666666666)</f>
        <v>0.06666666667</v>
      </c>
      <c r="I24" s="8">
        <f>IFERROR(__xludf.DUMMYFUNCTION("""COMPUTED_VALUE"""),0.0666666666666666)</f>
        <v>0.06666666667</v>
      </c>
      <c r="J24" s="8">
        <f>IFERROR(__xludf.DUMMYFUNCTION("""COMPUTED_VALUE"""),0.0714285714285714)</f>
        <v>0.07142857143</v>
      </c>
      <c r="K24" s="8">
        <f>IFERROR(__xludf.DUMMYFUNCTION("""COMPUTED_VALUE"""),0.0714285714285714)</f>
        <v>0.07142857143</v>
      </c>
      <c r="L24" s="8">
        <f>IFERROR(__xludf.DUMMYFUNCTION("""COMPUTED_VALUE"""),0.0714285714285714)</f>
        <v>0.07142857143</v>
      </c>
      <c r="M24" s="8">
        <f>IFERROR(__xludf.DUMMYFUNCTION("""COMPUTED_VALUE"""),0.0769230769230769)</f>
        <v>0.07692307692</v>
      </c>
      <c r="N24" s="8">
        <f>IFERROR(__xludf.DUMMYFUNCTION("""COMPUTED_VALUE"""),0.0769230769230769)</f>
        <v>0.07692307692</v>
      </c>
      <c r="O24" s="8">
        <f>IFERROR(__xludf.DUMMYFUNCTION("""COMPUTED_VALUE"""),0.0833333333333333)</f>
        <v>0.08333333333</v>
      </c>
      <c r="P24" s="8">
        <f>IFERROR(__xludf.DUMMYFUNCTION("""COMPUTED_VALUE"""),0.0909090909090909)</f>
        <v>0.09090909091</v>
      </c>
      <c r="Q24" s="8">
        <f>IFERROR(__xludf.DUMMYFUNCTION("""COMPUTED_VALUE"""),0.111111111111111)</f>
        <v>0.1111111111</v>
      </c>
      <c r="R24" s="8">
        <f>IFERROR(__xludf.DUMMYFUNCTION("""COMPUTED_VALUE"""),0.166666666666666)</f>
        <v>0.1666666667</v>
      </c>
      <c r="S24" s="8">
        <f>IFERROR(__xludf.DUMMYFUNCTION("""COMPUTED_VALUE"""),0.0)</f>
        <v>0</v>
      </c>
      <c r="T24" s="8">
        <f>IFERROR(__xludf.DUMMYFUNCTION("""COMPUTED_VALUE"""),0.0)</f>
        <v>0</v>
      </c>
      <c r="U24" s="8">
        <f>IFERROR(__xludf.DUMMYFUNCTION("""COMPUTED_VALUE"""),0.0)</f>
        <v>0</v>
      </c>
      <c r="V24" s="8">
        <f>IFERROR(__xludf.DUMMYFUNCTION("""COMPUTED_VALUE"""),0.0)</f>
        <v>0</v>
      </c>
      <c r="W24" s="8">
        <f>IFERROR(__xludf.DUMMYFUNCTION("""COMPUTED_VALUE"""),0.0)</f>
        <v>0</v>
      </c>
      <c r="X24" s="8">
        <f>IFERROR(__xludf.DUMMYFUNCTION("""COMPUTED_VALUE"""),0.0)</f>
        <v>0</v>
      </c>
      <c r="Y24" s="8">
        <f>IFERROR(__xludf.DUMMYFUNCTION("""COMPUTED_VALUE"""),0.0)</f>
        <v>0</v>
      </c>
      <c r="Z24" s="8">
        <f>IFERROR(__xludf.DUMMYFUNCTION("""COMPUTED_VALUE"""),0.0)</f>
        <v>0</v>
      </c>
      <c r="AA24" s="8">
        <f>IFERROR(__xludf.DUMMYFUNCTION("""COMPUTED_VALUE"""),0.0)</f>
        <v>0</v>
      </c>
      <c r="AB24" s="8">
        <f>IFERROR(__xludf.DUMMYFUNCTION("""COMPUTED_VALUE"""),0.0)</f>
        <v>0</v>
      </c>
      <c r="AC24" s="8">
        <f>IFERROR(__xludf.DUMMYFUNCTION("""COMPUTED_VALUE"""),0.0)</f>
        <v>0</v>
      </c>
    </row>
    <row r="25" ht="15.75" customHeight="1">
      <c r="A25" s="6" t="str">
        <f>IFERROR(__xludf.DUMMYFUNCTION("""COMPUTED_VALUE"""),"184b660f61809850b4478d5bf89e9d10794578ee")</f>
        <v>184b660f61809850b4478d5bf89e9d10794578ee</v>
      </c>
      <c r="B25" s="6" t="str">
        <f>IFERROR(__xludf.DUMMYFUNCTION("""COMPUTED_VALUE"""),"Playing with Fire")</f>
        <v>Playing with Fire</v>
      </c>
      <c r="C25" s="6" t="str">
        <f>IFERROR(__xludf.DUMMYFUNCTION("""COMPUTED_VALUE"""),"Romance")</f>
        <v>Romance</v>
      </c>
      <c r="D25" s="17">
        <f>IFERROR(__xludf.DUMMYFUNCTION("""COMPUTED_VALUE"""),36.0)</f>
        <v>36</v>
      </c>
      <c r="E25" s="8">
        <f>IFERROR(__xludf.DUMMYFUNCTION("""COMPUTED_VALUE"""),0.942857142857142)</f>
        <v>0.9428571429</v>
      </c>
      <c r="F25" s="8">
        <f>IFERROR(__xludf.DUMMYFUNCTION("""COMPUTED_VALUE"""),0.514285714285714)</f>
        <v>0.5142857143</v>
      </c>
      <c r="G25" s="8">
        <f>IFERROR(__xludf.DUMMYFUNCTION("""COMPUTED_VALUE"""),0.457142857142857)</f>
        <v>0.4571428571</v>
      </c>
      <c r="H25" s="8">
        <f>IFERROR(__xludf.DUMMYFUNCTION("""COMPUTED_VALUE"""),0.457142857142857)</f>
        <v>0.4571428571</v>
      </c>
      <c r="I25" s="8">
        <f>IFERROR(__xludf.DUMMYFUNCTION("""COMPUTED_VALUE"""),0.371428571428571)</f>
        <v>0.3714285714</v>
      </c>
      <c r="J25" s="8">
        <f>IFERROR(__xludf.DUMMYFUNCTION("""COMPUTED_VALUE"""),0.342857142857142)</f>
        <v>0.3428571429</v>
      </c>
      <c r="K25" s="8">
        <f>IFERROR(__xludf.DUMMYFUNCTION("""COMPUTED_VALUE"""),0.371428571428571)</f>
        <v>0.3714285714</v>
      </c>
      <c r="L25" s="8">
        <f>IFERROR(__xludf.DUMMYFUNCTION("""COMPUTED_VALUE"""),0.294117647058823)</f>
        <v>0.2941176471</v>
      </c>
      <c r="M25" s="8">
        <f>IFERROR(__xludf.DUMMYFUNCTION("""COMPUTED_VALUE"""),0.294117647058823)</f>
        <v>0.2941176471</v>
      </c>
      <c r="N25" s="8">
        <f>IFERROR(__xludf.DUMMYFUNCTION("""COMPUTED_VALUE"""),0.294117647058823)</f>
        <v>0.2941176471</v>
      </c>
      <c r="O25" s="8">
        <f>IFERROR(__xludf.DUMMYFUNCTION("""COMPUTED_VALUE"""),0.205882352941176)</f>
        <v>0.2058823529</v>
      </c>
      <c r="P25" s="8">
        <f>IFERROR(__xludf.DUMMYFUNCTION("""COMPUTED_VALUE"""),0.147058823529411)</f>
        <v>0.1470588235</v>
      </c>
      <c r="Q25" s="8">
        <f>IFERROR(__xludf.DUMMYFUNCTION("""COMPUTED_VALUE"""),0.0)</f>
        <v>0</v>
      </c>
      <c r="R25" s="8">
        <f>IFERROR(__xludf.DUMMYFUNCTION("""COMPUTED_VALUE"""),0.0)</f>
        <v>0</v>
      </c>
      <c r="S25" s="8">
        <f>IFERROR(__xludf.DUMMYFUNCTION("""COMPUTED_VALUE"""),0.0)</f>
        <v>0</v>
      </c>
      <c r="T25" s="8">
        <f>IFERROR(__xludf.DUMMYFUNCTION("""COMPUTED_VALUE"""),0.0)</f>
        <v>0</v>
      </c>
      <c r="U25" s="8">
        <f>IFERROR(__xludf.DUMMYFUNCTION("""COMPUTED_VALUE"""),0.0)</f>
        <v>0</v>
      </c>
      <c r="V25" s="8">
        <f>IFERROR(__xludf.DUMMYFUNCTION("""COMPUTED_VALUE"""),0.0)</f>
        <v>0</v>
      </c>
      <c r="W25" s="8">
        <f>IFERROR(__xludf.DUMMYFUNCTION("""COMPUTED_VALUE"""),0.0)</f>
        <v>0</v>
      </c>
      <c r="X25" s="8">
        <f>IFERROR(__xludf.DUMMYFUNCTION("""COMPUTED_VALUE"""),0.0)</f>
        <v>0</v>
      </c>
      <c r="Y25" s="8">
        <f>IFERROR(__xludf.DUMMYFUNCTION("""COMPUTED_VALUE"""),0.0)</f>
        <v>0</v>
      </c>
      <c r="Z25" s="8">
        <f>IFERROR(__xludf.DUMMYFUNCTION("""COMPUTED_VALUE"""),0.0)</f>
        <v>0</v>
      </c>
      <c r="AA25" s="8">
        <f>IFERROR(__xludf.DUMMYFUNCTION("""COMPUTED_VALUE"""),0.0)</f>
        <v>0</v>
      </c>
      <c r="AB25" s="8">
        <f>IFERROR(__xludf.DUMMYFUNCTION("""COMPUTED_VALUE"""),0.0)</f>
        <v>0</v>
      </c>
      <c r="AC25" s="8">
        <f>IFERROR(__xludf.DUMMYFUNCTION("""COMPUTED_VALUE"""),0.0)</f>
        <v>0</v>
      </c>
    </row>
    <row r="26" ht="15.75" customHeight="1">
      <c r="A26" s="6" t="str">
        <f>IFERROR(__xludf.DUMMYFUNCTION("""COMPUTED_VALUE"""),"19153cd9dd2e137f1311235c9104db0ecba38abb")</f>
        <v>19153cd9dd2e137f1311235c9104db0ecba38abb</v>
      </c>
      <c r="B26" s="6" t="str">
        <f>IFERROR(__xludf.DUMMYFUNCTION("""COMPUTED_VALUE"""),"My Apex Trading System")</f>
        <v>My Apex Trading System</v>
      </c>
      <c r="C26" s="6" t="str">
        <f>IFERROR(__xludf.DUMMYFUNCTION("""COMPUTED_VALUE"""),"Sci-Fi")</f>
        <v>Sci-Fi</v>
      </c>
      <c r="D26" s="17">
        <f>IFERROR(__xludf.DUMMYFUNCTION("""COMPUTED_VALUE"""),575.0)</f>
        <v>575</v>
      </c>
      <c r="E26" s="8">
        <f>IFERROR(__xludf.DUMMYFUNCTION("""COMPUTED_VALUE"""),0.988527724665392)</f>
        <v>0.9885277247</v>
      </c>
      <c r="F26" s="8">
        <f>IFERROR(__xludf.DUMMYFUNCTION("""COMPUTED_VALUE"""),0.583710407239819)</f>
        <v>0.5837104072</v>
      </c>
      <c r="G26" s="8">
        <f>IFERROR(__xludf.DUMMYFUNCTION("""COMPUTED_VALUE"""),0.498839907192575)</f>
        <v>0.4988399072</v>
      </c>
      <c r="H26" s="8">
        <f>IFERROR(__xludf.DUMMYFUNCTION("""COMPUTED_VALUE"""),0.485175202156334)</f>
        <v>0.4851752022</v>
      </c>
      <c r="I26" s="8">
        <f>IFERROR(__xludf.DUMMYFUNCTION("""COMPUTED_VALUE"""),0.462184873949579)</f>
        <v>0.4621848739</v>
      </c>
      <c r="J26" s="8">
        <f>IFERROR(__xludf.DUMMYFUNCTION("""COMPUTED_VALUE"""),0.446107784431137)</f>
        <v>0.4461077844</v>
      </c>
      <c r="K26" s="8">
        <f>IFERROR(__xludf.DUMMYFUNCTION("""COMPUTED_VALUE"""),0.417197452229299)</f>
        <v>0.4171974522</v>
      </c>
      <c r="L26" s="8">
        <f>IFERROR(__xludf.DUMMYFUNCTION("""COMPUTED_VALUE"""),0.426829268292682)</f>
        <v>0.4268292683</v>
      </c>
      <c r="M26" s="8">
        <f>IFERROR(__xludf.DUMMYFUNCTION("""COMPUTED_VALUE"""),0.35820895522388)</f>
        <v>0.3582089552</v>
      </c>
      <c r="N26" s="8">
        <f>IFERROR(__xludf.DUMMYFUNCTION("""COMPUTED_VALUE"""),0.353846153846153)</f>
        <v>0.3538461538</v>
      </c>
      <c r="O26" s="8">
        <f>IFERROR(__xludf.DUMMYFUNCTION("""COMPUTED_VALUE"""),0.5)</f>
        <v>0.5</v>
      </c>
      <c r="P26" s="8">
        <f>IFERROR(__xludf.DUMMYFUNCTION("""COMPUTED_VALUE"""),0.5)</f>
        <v>0.5</v>
      </c>
      <c r="Q26" s="8">
        <f>IFERROR(__xludf.DUMMYFUNCTION("""COMPUTED_VALUE"""),0.0)</f>
        <v>0</v>
      </c>
      <c r="R26" s="8">
        <f>IFERROR(__xludf.DUMMYFUNCTION("""COMPUTED_VALUE"""),0.0)</f>
        <v>0</v>
      </c>
      <c r="S26" s="8">
        <f>IFERROR(__xludf.DUMMYFUNCTION("""COMPUTED_VALUE"""),0.0)</f>
        <v>0</v>
      </c>
      <c r="T26" s="8">
        <f>IFERROR(__xludf.DUMMYFUNCTION("""COMPUTED_VALUE"""),0.0)</f>
        <v>0</v>
      </c>
      <c r="U26" s="8">
        <f>IFERROR(__xludf.DUMMYFUNCTION("""COMPUTED_VALUE"""),0.0)</f>
        <v>0</v>
      </c>
      <c r="V26" s="8">
        <f>IFERROR(__xludf.DUMMYFUNCTION("""COMPUTED_VALUE"""),0.0)</f>
        <v>0</v>
      </c>
      <c r="W26" s="8">
        <f>IFERROR(__xludf.DUMMYFUNCTION("""COMPUTED_VALUE"""),0.0)</f>
        <v>0</v>
      </c>
      <c r="X26" s="8">
        <f>IFERROR(__xludf.DUMMYFUNCTION("""COMPUTED_VALUE"""),0.0)</f>
        <v>0</v>
      </c>
      <c r="Y26" s="8">
        <f>IFERROR(__xludf.DUMMYFUNCTION("""COMPUTED_VALUE"""),0.0)</f>
        <v>0</v>
      </c>
      <c r="Z26" s="8">
        <f>IFERROR(__xludf.DUMMYFUNCTION("""COMPUTED_VALUE"""),0.0)</f>
        <v>0</v>
      </c>
      <c r="AA26" s="8">
        <f>IFERROR(__xludf.DUMMYFUNCTION("""COMPUTED_VALUE"""),0.0)</f>
        <v>0</v>
      </c>
      <c r="AB26" s="8">
        <f>IFERROR(__xludf.DUMMYFUNCTION("""COMPUTED_VALUE"""),0.0)</f>
        <v>0</v>
      </c>
      <c r="AC26" s="8">
        <f>IFERROR(__xludf.DUMMYFUNCTION("""COMPUTED_VALUE"""),0.0)</f>
        <v>0</v>
      </c>
    </row>
    <row r="27" ht="15.75" customHeight="1">
      <c r="A27" s="6" t="str">
        <f>IFERROR(__xludf.DUMMYFUNCTION("""COMPUTED_VALUE"""),"1a5df306886a7b0e7736ec2c8efad3467507a1c6")</f>
        <v>1a5df306886a7b0e7736ec2c8efad3467507a1c6</v>
      </c>
      <c r="B27" s="6" t="str">
        <f>IFERROR(__xludf.DUMMYFUNCTION("""COMPUTED_VALUE"""),"Billionaire Bentley’s Runaway Princess")</f>
        <v>Billionaire Bentley’s Runaway Princess</v>
      </c>
      <c r="C27" s="6" t="str">
        <f>IFERROR(__xludf.DUMMYFUNCTION("""COMPUTED_VALUE"""),"Romance")</f>
        <v>Romance</v>
      </c>
      <c r="D27" s="17">
        <f>IFERROR(__xludf.DUMMYFUNCTION("""COMPUTED_VALUE"""),1235.0)</f>
        <v>1235</v>
      </c>
      <c r="E27" s="8">
        <f>IFERROR(__xludf.DUMMYFUNCTION("""COMPUTED_VALUE"""),0.954655870445344)</f>
        <v>0.9546558704</v>
      </c>
      <c r="F27" s="8">
        <f>IFERROR(__xludf.DUMMYFUNCTION("""COMPUTED_VALUE"""),0.612145748987854)</f>
        <v>0.612145749</v>
      </c>
      <c r="G27" s="8">
        <f>IFERROR(__xludf.DUMMYFUNCTION("""COMPUTED_VALUE"""),0.557894736842105)</f>
        <v>0.5578947368</v>
      </c>
      <c r="H27" s="8">
        <f>IFERROR(__xludf.DUMMYFUNCTION("""COMPUTED_VALUE"""),0.51500405515004)</f>
        <v>0.5150040552</v>
      </c>
      <c r="I27" s="8">
        <f>IFERROR(__xludf.DUMMYFUNCTION("""COMPUTED_VALUE"""),0.48742903487429)</f>
        <v>0.4874290349</v>
      </c>
      <c r="J27" s="8">
        <f>IFERROR(__xludf.DUMMYFUNCTION("""COMPUTED_VALUE"""),0.442011354420113)</f>
        <v>0.4420113544</v>
      </c>
      <c r="K27" s="8">
        <f>IFERROR(__xludf.DUMMYFUNCTION("""COMPUTED_VALUE"""),0.425790754257907)</f>
        <v>0.4257907543</v>
      </c>
      <c r="L27" s="8">
        <f>IFERROR(__xludf.DUMMYFUNCTION("""COMPUTED_VALUE"""),0.404220779220779)</f>
        <v>0.4042207792</v>
      </c>
      <c r="M27" s="8">
        <f>IFERROR(__xludf.DUMMYFUNCTION("""COMPUTED_VALUE"""),0.379058441558441)</f>
        <v>0.3790584416</v>
      </c>
      <c r="N27" s="8">
        <f>IFERROR(__xludf.DUMMYFUNCTION("""COMPUTED_VALUE"""),0.398373983739837)</f>
        <v>0.3983739837</v>
      </c>
      <c r="O27" s="8">
        <f>IFERROR(__xludf.DUMMYFUNCTION("""COMPUTED_VALUE"""),0.287510477787091)</f>
        <v>0.2875104778</v>
      </c>
      <c r="P27" s="8">
        <f>IFERROR(__xludf.DUMMYFUNCTION("""COMPUTED_VALUE"""),0.257617728531855)</f>
        <v>0.2576177285</v>
      </c>
      <c r="Q27" s="8">
        <f>IFERROR(__xludf.DUMMYFUNCTION("""COMPUTED_VALUE"""),0.209677419354838)</f>
        <v>0.2096774194</v>
      </c>
      <c r="R27" s="8">
        <f>IFERROR(__xludf.DUMMYFUNCTION("""COMPUTED_VALUE"""),0.0)</f>
        <v>0</v>
      </c>
      <c r="S27" s="8">
        <f>IFERROR(__xludf.DUMMYFUNCTION("""COMPUTED_VALUE"""),0.0)</f>
        <v>0</v>
      </c>
      <c r="T27" s="8">
        <f>IFERROR(__xludf.DUMMYFUNCTION("""COMPUTED_VALUE"""),0.0)</f>
        <v>0</v>
      </c>
      <c r="U27" s="8">
        <f>IFERROR(__xludf.DUMMYFUNCTION("""COMPUTED_VALUE"""),0.0)</f>
        <v>0</v>
      </c>
      <c r="V27" s="8">
        <f>IFERROR(__xludf.DUMMYFUNCTION("""COMPUTED_VALUE"""),0.0)</f>
        <v>0</v>
      </c>
      <c r="W27" s="8">
        <f>IFERROR(__xludf.DUMMYFUNCTION("""COMPUTED_VALUE"""),0.0)</f>
        <v>0</v>
      </c>
      <c r="X27" s="8">
        <f>IFERROR(__xludf.DUMMYFUNCTION("""COMPUTED_VALUE"""),0.0)</f>
        <v>0</v>
      </c>
      <c r="Y27" s="8">
        <f>IFERROR(__xludf.DUMMYFUNCTION("""COMPUTED_VALUE"""),0.0)</f>
        <v>0</v>
      </c>
      <c r="Z27" s="8">
        <f>IFERROR(__xludf.DUMMYFUNCTION("""COMPUTED_VALUE"""),0.0)</f>
        <v>0</v>
      </c>
      <c r="AA27" s="8">
        <f>IFERROR(__xludf.DUMMYFUNCTION("""COMPUTED_VALUE"""),0.0)</f>
        <v>0</v>
      </c>
      <c r="AB27" s="8">
        <f>IFERROR(__xludf.DUMMYFUNCTION("""COMPUTED_VALUE"""),0.0)</f>
        <v>0</v>
      </c>
      <c r="AC27" s="8">
        <f>IFERROR(__xludf.DUMMYFUNCTION("""COMPUTED_VALUE"""),0.0)</f>
        <v>0</v>
      </c>
    </row>
    <row r="28" ht="15.75" customHeight="1">
      <c r="A28" s="6" t="str">
        <f>IFERROR(__xludf.DUMMYFUNCTION("""COMPUTED_VALUE"""),"1b5acb214bfe00156d933b176eef6987dcf9aa8c")</f>
        <v>1b5acb214bfe00156d933b176eef6987dcf9aa8c</v>
      </c>
      <c r="B28" s="6" t="str">
        <f>IFERROR(__xludf.DUMMYFUNCTION("""COMPUTED_VALUE"""),"The Night Forgotten by Us")</f>
        <v>The Night Forgotten by Us</v>
      </c>
      <c r="C28" s="6" t="str">
        <f>IFERROR(__xludf.DUMMYFUNCTION("""COMPUTED_VALUE"""),"Romance")</f>
        <v>Romance</v>
      </c>
      <c r="D28" s="17">
        <f>IFERROR(__xludf.DUMMYFUNCTION("""COMPUTED_VALUE"""),628.0)</f>
        <v>628</v>
      </c>
      <c r="E28" s="8">
        <f>IFERROR(__xludf.DUMMYFUNCTION("""COMPUTED_VALUE"""),0.955414012738853)</f>
        <v>0.9554140127</v>
      </c>
      <c r="F28" s="8">
        <f>IFERROR(__xludf.DUMMYFUNCTION("""COMPUTED_VALUE"""),0.60127591706539)</f>
        <v>0.6012759171</v>
      </c>
      <c r="G28" s="8">
        <f>IFERROR(__xludf.DUMMYFUNCTION("""COMPUTED_VALUE"""),0.532695374800638)</f>
        <v>0.5326953748</v>
      </c>
      <c r="H28" s="8">
        <f>IFERROR(__xludf.DUMMYFUNCTION("""COMPUTED_VALUE"""),0.4896331738437)</f>
        <v>0.4896331738</v>
      </c>
      <c r="I28" s="8">
        <f>IFERROR(__xludf.DUMMYFUNCTION("""COMPUTED_VALUE"""),0.475279106858054)</f>
        <v>0.4752791069</v>
      </c>
      <c r="J28" s="8">
        <f>IFERROR(__xludf.DUMMYFUNCTION("""COMPUTED_VALUE"""),0.462519936204146)</f>
        <v>0.4625199362</v>
      </c>
      <c r="K28" s="8">
        <f>IFERROR(__xludf.DUMMYFUNCTION("""COMPUTED_VALUE"""),0.43859649122807)</f>
        <v>0.4385964912</v>
      </c>
      <c r="L28" s="8">
        <f>IFERROR(__xludf.DUMMYFUNCTION("""COMPUTED_VALUE"""),0.427432216905901)</f>
        <v>0.4274322169</v>
      </c>
      <c r="M28" s="8">
        <f>IFERROR(__xludf.DUMMYFUNCTION("""COMPUTED_VALUE"""),0.395534290271132)</f>
        <v>0.3955342903</v>
      </c>
      <c r="N28" s="8">
        <f>IFERROR(__xludf.DUMMYFUNCTION("""COMPUTED_VALUE"""),0.389154704944178)</f>
        <v>0.3891547049</v>
      </c>
      <c r="O28" s="8">
        <f>IFERROR(__xludf.DUMMYFUNCTION("""COMPUTED_VALUE"""),0.381028938906752)</f>
        <v>0.3810289389</v>
      </c>
      <c r="P28" s="8">
        <f>IFERROR(__xludf.DUMMYFUNCTION("""COMPUTED_VALUE"""),0.277777777777777)</f>
        <v>0.2777777778</v>
      </c>
      <c r="Q28" s="8">
        <f>IFERROR(__xludf.DUMMYFUNCTION("""COMPUTED_VALUE"""),0.202464788732394)</f>
        <v>0.2024647887</v>
      </c>
      <c r="R28" s="8">
        <f>IFERROR(__xludf.DUMMYFUNCTION("""COMPUTED_VALUE"""),0.0)</f>
        <v>0</v>
      </c>
      <c r="S28" s="8">
        <f>IFERROR(__xludf.DUMMYFUNCTION("""COMPUTED_VALUE"""),0.0)</f>
        <v>0</v>
      </c>
      <c r="T28" s="8">
        <f>IFERROR(__xludf.DUMMYFUNCTION("""COMPUTED_VALUE"""),0.0)</f>
        <v>0</v>
      </c>
      <c r="U28" s="8">
        <f>IFERROR(__xludf.DUMMYFUNCTION("""COMPUTED_VALUE"""),0.0)</f>
        <v>0</v>
      </c>
      <c r="V28" s="8">
        <f>IFERROR(__xludf.DUMMYFUNCTION("""COMPUTED_VALUE"""),0.0)</f>
        <v>0</v>
      </c>
      <c r="W28" s="8">
        <f>IFERROR(__xludf.DUMMYFUNCTION("""COMPUTED_VALUE"""),0.0)</f>
        <v>0</v>
      </c>
      <c r="X28" s="8">
        <f>IFERROR(__xludf.DUMMYFUNCTION("""COMPUTED_VALUE"""),0.0)</f>
        <v>0</v>
      </c>
      <c r="Y28" s="8">
        <f>IFERROR(__xludf.DUMMYFUNCTION("""COMPUTED_VALUE"""),0.0)</f>
        <v>0</v>
      </c>
      <c r="Z28" s="8">
        <f>IFERROR(__xludf.DUMMYFUNCTION("""COMPUTED_VALUE"""),0.0)</f>
        <v>0</v>
      </c>
      <c r="AA28" s="8">
        <f>IFERROR(__xludf.DUMMYFUNCTION("""COMPUTED_VALUE"""),0.0)</f>
        <v>0</v>
      </c>
      <c r="AB28" s="8">
        <f>IFERROR(__xludf.DUMMYFUNCTION("""COMPUTED_VALUE"""),0.0)</f>
        <v>0</v>
      </c>
      <c r="AC28" s="8">
        <f>IFERROR(__xludf.DUMMYFUNCTION("""COMPUTED_VALUE"""),0.0)</f>
        <v>0</v>
      </c>
    </row>
    <row r="29" ht="15.75" customHeight="1">
      <c r="A29" s="6" t="str">
        <f>IFERROR(__xludf.DUMMYFUNCTION("""COMPUTED_VALUE"""),"1b7d7de6c90d2460cfe3da014469e3c056fec830")</f>
        <v>1b7d7de6c90d2460cfe3da014469e3c056fec830</v>
      </c>
      <c r="B29" s="6" t="str">
        <f>IFERROR(__xludf.DUMMYFUNCTION("""COMPUTED_VALUE"""),"The Ceo's Secret Babies")</f>
        <v>The Ceo's Secret Babies</v>
      </c>
      <c r="C29" s="6" t="str">
        <f>IFERROR(__xludf.DUMMYFUNCTION("""COMPUTED_VALUE"""),"Romance")</f>
        <v>Romance</v>
      </c>
      <c r="D29" s="17">
        <f>IFERROR(__xludf.DUMMYFUNCTION("""COMPUTED_VALUE"""),253.0)</f>
        <v>253</v>
      </c>
      <c r="E29" s="8">
        <f>IFERROR(__xludf.DUMMYFUNCTION("""COMPUTED_VALUE"""),0.916)</f>
        <v>0.916</v>
      </c>
      <c r="F29" s="8">
        <f>IFERROR(__xludf.DUMMYFUNCTION("""COMPUTED_VALUE"""),0.678861788617886)</f>
        <v>0.6788617886</v>
      </c>
      <c r="G29" s="8">
        <f>IFERROR(__xludf.DUMMYFUNCTION("""COMPUTED_VALUE"""),0.594262295081967)</f>
        <v>0.5942622951</v>
      </c>
      <c r="H29" s="8">
        <f>IFERROR(__xludf.DUMMYFUNCTION("""COMPUTED_VALUE"""),0.594936708860759)</f>
        <v>0.5949367089</v>
      </c>
      <c r="I29" s="8">
        <f>IFERROR(__xludf.DUMMYFUNCTION("""COMPUTED_VALUE"""),0.601694915254237)</f>
        <v>0.6016949153</v>
      </c>
      <c r="J29" s="8">
        <f>IFERROR(__xludf.DUMMYFUNCTION("""COMPUTED_VALUE"""),0.540772532188841)</f>
        <v>0.5407725322</v>
      </c>
      <c r="K29" s="8">
        <f>IFERROR(__xludf.DUMMYFUNCTION("""COMPUTED_VALUE"""),0.506493506493506)</f>
        <v>0.5064935065</v>
      </c>
      <c r="L29" s="8">
        <f>IFERROR(__xludf.DUMMYFUNCTION("""COMPUTED_VALUE"""),0.493273542600896)</f>
        <v>0.4932735426</v>
      </c>
      <c r="M29" s="8">
        <f>IFERROR(__xludf.DUMMYFUNCTION("""COMPUTED_VALUE"""),0.506912442396313)</f>
        <v>0.5069124424</v>
      </c>
      <c r="N29" s="8">
        <f>IFERROR(__xludf.DUMMYFUNCTION("""COMPUTED_VALUE"""),0.552238805970149)</f>
        <v>0.552238806</v>
      </c>
      <c r="O29" s="8">
        <f>IFERROR(__xludf.DUMMYFUNCTION("""COMPUTED_VALUE"""),0.414772727272727)</f>
        <v>0.4147727273</v>
      </c>
      <c r="P29" s="8">
        <f>IFERROR(__xludf.DUMMYFUNCTION("""COMPUTED_VALUE"""),0.352272727272727)</f>
        <v>0.3522727273</v>
      </c>
      <c r="Q29" s="8">
        <f>IFERROR(__xludf.DUMMYFUNCTION("""COMPUTED_VALUE"""),0.125714285714285)</f>
        <v>0.1257142857</v>
      </c>
      <c r="R29" s="8">
        <f>IFERROR(__xludf.DUMMYFUNCTION("""COMPUTED_VALUE"""),0.04)</f>
        <v>0.04</v>
      </c>
      <c r="S29" s="8">
        <f>IFERROR(__xludf.DUMMYFUNCTION("""COMPUTED_VALUE"""),0.0294117647058823)</f>
        <v>0.02941176471</v>
      </c>
      <c r="T29" s="8">
        <f>IFERROR(__xludf.DUMMYFUNCTION("""COMPUTED_VALUE"""),0.0)</f>
        <v>0</v>
      </c>
      <c r="U29" s="8">
        <f>IFERROR(__xludf.DUMMYFUNCTION("""COMPUTED_VALUE"""),0.0)</f>
        <v>0</v>
      </c>
      <c r="V29" s="8">
        <f>IFERROR(__xludf.DUMMYFUNCTION("""COMPUTED_VALUE"""),0.0)</f>
        <v>0</v>
      </c>
      <c r="W29" s="8">
        <f>IFERROR(__xludf.DUMMYFUNCTION("""COMPUTED_VALUE"""),0.0)</f>
        <v>0</v>
      </c>
      <c r="X29" s="8">
        <f>IFERROR(__xludf.DUMMYFUNCTION("""COMPUTED_VALUE"""),0.0)</f>
        <v>0</v>
      </c>
      <c r="Y29" s="8">
        <f>IFERROR(__xludf.DUMMYFUNCTION("""COMPUTED_VALUE"""),0.0)</f>
        <v>0</v>
      </c>
      <c r="Z29" s="8">
        <f>IFERROR(__xludf.DUMMYFUNCTION("""COMPUTED_VALUE"""),0.0)</f>
        <v>0</v>
      </c>
      <c r="AA29" s="8">
        <f>IFERROR(__xludf.DUMMYFUNCTION("""COMPUTED_VALUE"""),0.0)</f>
        <v>0</v>
      </c>
      <c r="AB29" s="8">
        <f>IFERROR(__xludf.DUMMYFUNCTION("""COMPUTED_VALUE"""),0.0)</f>
        <v>0</v>
      </c>
      <c r="AC29" s="8">
        <f>IFERROR(__xludf.DUMMYFUNCTION("""COMPUTED_VALUE"""),0.0)</f>
        <v>0</v>
      </c>
    </row>
    <row r="30" ht="15.75" customHeight="1">
      <c r="A30" s="6" t="str">
        <f>IFERROR(__xludf.DUMMYFUNCTION("""COMPUTED_VALUE"""),"1b7d89c237c133e6c5b15db13e684c2e1f3688e1")</f>
        <v>1b7d89c237c133e6c5b15db13e684c2e1f3688e1</v>
      </c>
      <c r="B30" s="6" t="str">
        <f>IFERROR(__xludf.DUMMYFUNCTION("""COMPUTED_VALUE"""),"War God of the Red Sea!")</f>
        <v>War God of the Red Sea!</v>
      </c>
      <c r="C30" s="6" t="str">
        <f>IFERROR(__xludf.DUMMYFUNCTION("""COMPUTED_VALUE"""),"Drama")</f>
        <v>Drama</v>
      </c>
      <c r="D30" s="17">
        <f>IFERROR(__xludf.DUMMYFUNCTION("""COMPUTED_VALUE"""),467.0)</f>
        <v>467</v>
      </c>
      <c r="E30" s="8">
        <f>IFERROR(__xludf.DUMMYFUNCTION("""COMPUTED_VALUE"""),0.98218262806236)</f>
        <v>0.9821826281</v>
      </c>
      <c r="F30" s="8">
        <f>IFERROR(__xludf.DUMMYFUNCTION("""COMPUTED_VALUE"""),0.527227722772277)</f>
        <v>0.5272277228</v>
      </c>
      <c r="G30" s="8">
        <f>IFERROR(__xludf.DUMMYFUNCTION("""COMPUTED_VALUE"""),0.399449035812672)</f>
        <v>0.3994490358</v>
      </c>
      <c r="H30" s="8">
        <f>IFERROR(__xludf.DUMMYFUNCTION("""COMPUTED_VALUE"""),0.336700336700336)</f>
        <v>0.3367003367</v>
      </c>
      <c r="I30" s="8">
        <f>IFERROR(__xludf.DUMMYFUNCTION("""COMPUTED_VALUE"""),0.296167247386759)</f>
        <v>0.2961672474</v>
      </c>
      <c r="J30" s="8">
        <f>IFERROR(__xludf.DUMMYFUNCTION("""COMPUTED_VALUE"""),0.276978417266187)</f>
        <v>0.2769784173</v>
      </c>
      <c r="K30" s="8">
        <f>IFERROR(__xludf.DUMMYFUNCTION("""COMPUTED_VALUE"""),0.256410256410256)</f>
        <v>0.2564102564</v>
      </c>
      <c r="L30" s="8">
        <f>IFERROR(__xludf.DUMMYFUNCTION("""COMPUTED_VALUE"""),0.251101321585903)</f>
        <v>0.2511013216</v>
      </c>
      <c r="M30" s="8">
        <f>IFERROR(__xludf.DUMMYFUNCTION("""COMPUTED_VALUE"""),0.248704663212435)</f>
        <v>0.2487046632</v>
      </c>
      <c r="N30" s="8">
        <f>IFERROR(__xludf.DUMMYFUNCTION("""COMPUTED_VALUE"""),0.259259259259259)</f>
        <v>0.2592592593</v>
      </c>
      <c r="O30" s="8">
        <f>IFERROR(__xludf.DUMMYFUNCTION("""COMPUTED_VALUE"""),0.23728813559322)</f>
        <v>0.2372881356</v>
      </c>
      <c r="P30" s="8">
        <f>IFERROR(__xludf.DUMMYFUNCTION("""COMPUTED_VALUE"""),0.185185185185185)</f>
        <v>0.1851851852</v>
      </c>
      <c r="Q30" s="8">
        <f>IFERROR(__xludf.DUMMYFUNCTION("""COMPUTED_VALUE"""),0.0)</f>
        <v>0</v>
      </c>
      <c r="R30" s="8">
        <f>IFERROR(__xludf.DUMMYFUNCTION("""COMPUTED_VALUE"""),0.0)</f>
        <v>0</v>
      </c>
      <c r="S30" s="8">
        <f>IFERROR(__xludf.DUMMYFUNCTION("""COMPUTED_VALUE"""),0.0)</f>
        <v>0</v>
      </c>
      <c r="T30" s="8">
        <f>IFERROR(__xludf.DUMMYFUNCTION("""COMPUTED_VALUE"""),0.0)</f>
        <v>0</v>
      </c>
      <c r="U30" s="8">
        <f>IFERROR(__xludf.DUMMYFUNCTION("""COMPUTED_VALUE"""),0.0)</f>
        <v>0</v>
      </c>
      <c r="V30" s="8">
        <f>IFERROR(__xludf.DUMMYFUNCTION("""COMPUTED_VALUE"""),0.0)</f>
        <v>0</v>
      </c>
      <c r="W30" s="8">
        <f>IFERROR(__xludf.DUMMYFUNCTION("""COMPUTED_VALUE"""),0.0)</f>
        <v>0</v>
      </c>
      <c r="X30" s="8">
        <f>IFERROR(__xludf.DUMMYFUNCTION("""COMPUTED_VALUE"""),0.0)</f>
        <v>0</v>
      </c>
      <c r="Y30" s="8">
        <f>IFERROR(__xludf.DUMMYFUNCTION("""COMPUTED_VALUE"""),0.0)</f>
        <v>0</v>
      </c>
      <c r="Z30" s="8">
        <f>IFERROR(__xludf.DUMMYFUNCTION("""COMPUTED_VALUE"""),0.0)</f>
        <v>0</v>
      </c>
      <c r="AA30" s="8">
        <f>IFERROR(__xludf.DUMMYFUNCTION("""COMPUTED_VALUE"""),0.0)</f>
        <v>0</v>
      </c>
      <c r="AB30" s="8">
        <f>IFERROR(__xludf.DUMMYFUNCTION("""COMPUTED_VALUE"""),0.0)</f>
        <v>0</v>
      </c>
      <c r="AC30" s="8">
        <f>IFERROR(__xludf.DUMMYFUNCTION("""COMPUTED_VALUE"""),0.0)</f>
        <v>0</v>
      </c>
    </row>
    <row r="31" ht="15.75" customHeight="1">
      <c r="A31" s="6" t="str">
        <f>IFERROR(__xludf.DUMMYFUNCTION("""COMPUTED_VALUE"""),"1c56eb2cce6609cb207d235ae3464f7759d4cb84")</f>
        <v>1c56eb2cce6609cb207d235ae3464f7759d4cb84</v>
      </c>
      <c r="B31" s="6" t="str">
        <f>IFERROR(__xludf.DUMMYFUNCTION("""COMPUTED_VALUE"""),"Rage of the Heiress")</f>
        <v>Rage of the Heiress</v>
      </c>
      <c r="C31" s="6" t="str">
        <f>IFERROR(__xludf.DUMMYFUNCTION("""COMPUTED_VALUE"""),"Drama")</f>
        <v>Drama</v>
      </c>
      <c r="D31" s="17">
        <f>IFERROR(__xludf.DUMMYFUNCTION("""COMPUTED_VALUE"""),1990.0)</f>
        <v>1990</v>
      </c>
      <c r="E31" s="8">
        <f>IFERROR(__xludf.DUMMYFUNCTION("""COMPUTED_VALUE"""),0.950455005055611)</f>
        <v>0.9504550051</v>
      </c>
      <c r="F31" s="8">
        <f>IFERROR(__xludf.DUMMYFUNCTION("""COMPUTED_VALUE"""),0.621844410097887)</f>
        <v>0.6218444101</v>
      </c>
      <c r="G31" s="8">
        <f>IFERROR(__xludf.DUMMYFUNCTION("""COMPUTED_VALUE"""),0.60796645702306)</f>
        <v>0.607966457</v>
      </c>
      <c r="H31" s="8">
        <f>IFERROR(__xludf.DUMMYFUNCTION("""COMPUTED_VALUE"""),0.576187875477881)</f>
        <v>0.5761878755</v>
      </c>
      <c r="I31" s="8">
        <f>IFERROR(__xludf.DUMMYFUNCTION("""COMPUTED_VALUE"""),0.561315496098104)</f>
        <v>0.5613154961</v>
      </c>
      <c r="J31" s="8">
        <f>IFERROR(__xludf.DUMMYFUNCTION("""COMPUTED_VALUE"""),0.552369806904622)</f>
        <v>0.5523698069</v>
      </c>
      <c r="K31" s="8">
        <f>IFERROR(__xludf.DUMMYFUNCTION("""COMPUTED_VALUE"""),0.530575539568345)</f>
        <v>0.5305755396</v>
      </c>
      <c r="L31" s="8">
        <f>IFERROR(__xludf.DUMMYFUNCTION("""COMPUTED_VALUE"""),0.511746031746031)</f>
        <v>0.5117460317</v>
      </c>
      <c r="M31" s="8">
        <f>IFERROR(__xludf.DUMMYFUNCTION("""COMPUTED_VALUE"""),0.5)</f>
        <v>0.5</v>
      </c>
      <c r="N31" s="8">
        <f>IFERROR(__xludf.DUMMYFUNCTION("""COMPUTED_VALUE"""),0.493026499302649)</f>
        <v>0.4930264993</v>
      </c>
      <c r="O31" s="8">
        <f>IFERROR(__xludf.DUMMYFUNCTION("""COMPUTED_VALUE"""),0.506172839506172)</f>
        <v>0.5061728395</v>
      </c>
      <c r="P31" s="8">
        <f>IFERROR(__xludf.DUMMYFUNCTION("""COMPUTED_VALUE"""),0.384297520661157)</f>
        <v>0.3842975207</v>
      </c>
      <c r="Q31" s="8">
        <f>IFERROR(__xludf.DUMMYFUNCTION("""COMPUTED_VALUE"""),0.298113207547169)</f>
        <v>0.2981132075</v>
      </c>
      <c r="R31" s="8">
        <f>IFERROR(__xludf.DUMMYFUNCTION("""COMPUTED_VALUE"""),0.259740259740259)</f>
        <v>0.2597402597</v>
      </c>
      <c r="S31" s="8">
        <f>IFERROR(__xludf.DUMMYFUNCTION("""COMPUTED_VALUE"""),0.239680426098535)</f>
        <v>0.2396804261</v>
      </c>
      <c r="T31" s="8">
        <f>IFERROR(__xludf.DUMMYFUNCTION("""COMPUTED_VALUE"""),0.210526315789473)</f>
        <v>0.2105263158</v>
      </c>
      <c r="U31" s="8">
        <f>IFERROR(__xludf.DUMMYFUNCTION("""COMPUTED_VALUE"""),0.172413793103448)</f>
        <v>0.1724137931</v>
      </c>
      <c r="V31" s="8">
        <f>IFERROR(__xludf.DUMMYFUNCTION("""COMPUTED_VALUE"""),0.149408284023668)</f>
        <v>0.149408284</v>
      </c>
      <c r="W31" s="8">
        <f>IFERROR(__xludf.DUMMYFUNCTION("""COMPUTED_VALUE"""),0.125)</f>
        <v>0.125</v>
      </c>
      <c r="X31" s="8">
        <f>IFERROR(__xludf.DUMMYFUNCTION("""COMPUTED_VALUE"""),0.0)</f>
        <v>0</v>
      </c>
      <c r="Y31" s="8">
        <f>IFERROR(__xludf.DUMMYFUNCTION("""COMPUTED_VALUE"""),0.0)</f>
        <v>0</v>
      </c>
      <c r="Z31" s="8">
        <f>IFERROR(__xludf.DUMMYFUNCTION("""COMPUTED_VALUE"""),0.0)</f>
        <v>0</v>
      </c>
      <c r="AA31" s="8">
        <f>IFERROR(__xludf.DUMMYFUNCTION("""COMPUTED_VALUE"""),0.0)</f>
        <v>0</v>
      </c>
      <c r="AB31" s="8">
        <f>IFERROR(__xludf.DUMMYFUNCTION("""COMPUTED_VALUE"""),0.0)</f>
        <v>0</v>
      </c>
      <c r="AC31" s="8">
        <f>IFERROR(__xludf.DUMMYFUNCTION("""COMPUTED_VALUE"""),0.0)</f>
        <v>0</v>
      </c>
    </row>
    <row r="32" ht="15.75" customHeight="1">
      <c r="A32" s="6" t="str">
        <f>IFERROR(__xludf.DUMMYFUNCTION("""COMPUTED_VALUE"""),"1ca4f3c3b8e200f37ec14ed7a11442df6a65f4e6")</f>
        <v>1ca4f3c3b8e200f37ec14ed7a11442df6a65f4e6</v>
      </c>
      <c r="B32" s="6" t="str">
        <f>IFERROR(__xludf.DUMMYFUNCTION("""COMPUTED_VALUE"""),"Unstoppable Cultivator")</f>
        <v>Unstoppable Cultivator</v>
      </c>
      <c r="C32" s="6" t="str">
        <f>IFERROR(__xludf.DUMMYFUNCTION("""COMPUTED_VALUE"""),"Fantasy")</f>
        <v>Fantasy</v>
      </c>
      <c r="D32" s="17">
        <f>IFERROR(__xludf.DUMMYFUNCTION("""COMPUTED_VALUE"""),606.0)</f>
        <v>606</v>
      </c>
      <c r="E32" s="8">
        <f>IFERROR(__xludf.DUMMYFUNCTION("""COMPUTED_VALUE"""),0.976744186046511)</f>
        <v>0.976744186</v>
      </c>
      <c r="F32" s="8">
        <f>IFERROR(__xludf.DUMMYFUNCTION("""COMPUTED_VALUE"""),0.43594009983361)</f>
        <v>0.4359400998</v>
      </c>
      <c r="G32" s="8">
        <f>IFERROR(__xludf.DUMMYFUNCTION("""COMPUTED_VALUE"""),0.384359400998336)</f>
        <v>0.384359401</v>
      </c>
      <c r="H32" s="8">
        <f>IFERROR(__xludf.DUMMYFUNCTION("""COMPUTED_VALUE"""),0.347245409015025)</f>
        <v>0.347245409</v>
      </c>
      <c r="I32" s="8">
        <f>IFERROR(__xludf.DUMMYFUNCTION("""COMPUTED_VALUE"""),0.327759197324414)</f>
        <v>0.3277591973</v>
      </c>
      <c r="J32" s="8">
        <f>IFERROR(__xludf.DUMMYFUNCTION("""COMPUTED_VALUE"""),0.294807370184254)</f>
        <v>0.2948073702</v>
      </c>
      <c r="K32" s="8">
        <f>IFERROR(__xludf.DUMMYFUNCTION("""COMPUTED_VALUE"""),0.285714285714285)</f>
        <v>0.2857142857</v>
      </c>
      <c r="L32" s="8">
        <f>IFERROR(__xludf.DUMMYFUNCTION("""COMPUTED_VALUE"""),0.276094276094276)</f>
        <v>0.2760942761</v>
      </c>
      <c r="M32" s="8">
        <f>IFERROR(__xludf.DUMMYFUNCTION("""COMPUTED_VALUE"""),0.256756756756756)</f>
        <v>0.2567567568</v>
      </c>
      <c r="N32" s="8">
        <f>IFERROR(__xludf.DUMMYFUNCTION("""COMPUTED_VALUE"""),0.243197278911564)</f>
        <v>0.2431972789</v>
      </c>
      <c r="O32" s="8">
        <f>IFERROR(__xludf.DUMMYFUNCTION("""COMPUTED_VALUE"""),0.212914485165794)</f>
        <v>0.2129144852</v>
      </c>
      <c r="P32" s="8">
        <f>IFERROR(__xludf.DUMMYFUNCTION("""COMPUTED_VALUE"""),0.181818181818181)</f>
        <v>0.1818181818</v>
      </c>
      <c r="Q32" s="8">
        <f>IFERROR(__xludf.DUMMYFUNCTION("""COMPUTED_VALUE"""),0.2)</f>
        <v>0.2</v>
      </c>
      <c r="R32" s="8">
        <f>IFERROR(__xludf.DUMMYFUNCTION("""COMPUTED_VALUE"""),0.25)</f>
        <v>0.25</v>
      </c>
      <c r="S32" s="8">
        <f>IFERROR(__xludf.DUMMYFUNCTION("""COMPUTED_VALUE"""),0.0)</f>
        <v>0</v>
      </c>
      <c r="T32" s="8">
        <f>IFERROR(__xludf.DUMMYFUNCTION("""COMPUTED_VALUE"""),0.0)</f>
        <v>0</v>
      </c>
      <c r="U32" s="8">
        <f>IFERROR(__xludf.DUMMYFUNCTION("""COMPUTED_VALUE"""),0.0)</f>
        <v>0</v>
      </c>
      <c r="V32" s="8">
        <f>IFERROR(__xludf.DUMMYFUNCTION("""COMPUTED_VALUE"""),0.0)</f>
        <v>0</v>
      </c>
      <c r="W32" s="8">
        <f>IFERROR(__xludf.DUMMYFUNCTION("""COMPUTED_VALUE"""),0.0)</f>
        <v>0</v>
      </c>
      <c r="X32" s="8">
        <f>IFERROR(__xludf.DUMMYFUNCTION("""COMPUTED_VALUE"""),0.0)</f>
        <v>0</v>
      </c>
      <c r="Y32" s="8">
        <f>IFERROR(__xludf.DUMMYFUNCTION("""COMPUTED_VALUE"""),0.0)</f>
        <v>0</v>
      </c>
      <c r="Z32" s="8">
        <f>IFERROR(__xludf.DUMMYFUNCTION("""COMPUTED_VALUE"""),0.0)</f>
        <v>0</v>
      </c>
      <c r="AA32" s="8">
        <f>IFERROR(__xludf.DUMMYFUNCTION("""COMPUTED_VALUE"""),0.0)</f>
        <v>0</v>
      </c>
      <c r="AB32" s="8">
        <f>IFERROR(__xludf.DUMMYFUNCTION("""COMPUTED_VALUE"""),0.0)</f>
        <v>0</v>
      </c>
      <c r="AC32" s="8">
        <f>IFERROR(__xludf.DUMMYFUNCTION("""COMPUTED_VALUE"""),0.0)</f>
        <v>0</v>
      </c>
    </row>
    <row r="33" ht="15.75" customHeight="1">
      <c r="A33" s="6" t="str">
        <f>IFERROR(__xludf.DUMMYFUNCTION("""COMPUTED_VALUE"""),"1d8b1f39e146ede1f7528763445a7a47aad10b05")</f>
        <v>1d8b1f39e146ede1f7528763445a7a47aad10b05</v>
      </c>
      <c r="B33" s="6" t="str">
        <f>IFERROR(__xludf.DUMMYFUNCTION("""COMPUTED_VALUE"""),"Love and Heartbroken")</f>
        <v>Love and Heartbroken</v>
      </c>
      <c r="C33" s="6" t="str">
        <f>IFERROR(__xludf.DUMMYFUNCTION("""COMPUTED_VALUE"""),"System and Superpower")</f>
        <v>System and Superpower</v>
      </c>
      <c r="D33" s="17">
        <f>IFERROR(__xludf.DUMMYFUNCTION("""COMPUTED_VALUE"""),667.0)</f>
        <v>667</v>
      </c>
      <c r="E33" s="8">
        <f>IFERROR(__xludf.DUMMYFUNCTION("""COMPUTED_VALUE"""),0.985007496251874)</f>
        <v>0.9850074963</v>
      </c>
      <c r="F33" s="8">
        <f>IFERROR(__xludf.DUMMYFUNCTION("""COMPUTED_VALUE"""),0.545727136431784)</f>
        <v>0.5457271364</v>
      </c>
      <c r="G33" s="8">
        <f>IFERROR(__xludf.DUMMYFUNCTION("""COMPUTED_VALUE"""),0.509009009009009)</f>
        <v>0.509009009</v>
      </c>
      <c r="H33" s="8">
        <f>IFERROR(__xludf.DUMMYFUNCTION("""COMPUTED_VALUE"""),0.446616541353383)</f>
        <v>0.4466165414</v>
      </c>
      <c r="I33" s="8">
        <f>IFERROR(__xludf.DUMMYFUNCTION("""COMPUTED_VALUE"""),0.409638554216867)</f>
        <v>0.4096385542</v>
      </c>
      <c r="J33" s="8">
        <f>IFERROR(__xludf.DUMMYFUNCTION("""COMPUTED_VALUE"""),0.362951807228915)</f>
        <v>0.3629518072</v>
      </c>
      <c r="K33" s="8">
        <f>IFERROR(__xludf.DUMMYFUNCTION("""COMPUTED_VALUE"""),0.344879518072289)</f>
        <v>0.3448795181</v>
      </c>
      <c r="L33" s="8">
        <f>IFERROR(__xludf.DUMMYFUNCTION("""COMPUTED_VALUE"""),0.305722891566265)</f>
        <v>0.3057228916</v>
      </c>
      <c r="M33" s="8">
        <f>IFERROR(__xludf.DUMMYFUNCTION("""COMPUTED_VALUE"""),0.274096385542168)</f>
        <v>0.2740963855</v>
      </c>
      <c r="N33" s="8">
        <f>IFERROR(__xludf.DUMMYFUNCTION("""COMPUTED_VALUE"""),0.228915662650602)</f>
        <v>0.2289156627</v>
      </c>
      <c r="O33" s="8">
        <f>IFERROR(__xludf.DUMMYFUNCTION("""COMPUTED_VALUE"""),0.162204724409448)</f>
        <v>0.1622047244</v>
      </c>
      <c r="P33" s="8">
        <f>IFERROR(__xludf.DUMMYFUNCTION("""COMPUTED_VALUE"""),0.0968309859154929)</f>
        <v>0.09683098592</v>
      </c>
      <c r="Q33" s="8">
        <f>IFERROR(__xludf.DUMMYFUNCTION("""COMPUTED_VALUE"""),0.0567107750472589)</f>
        <v>0.05671077505</v>
      </c>
      <c r="R33" s="8">
        <f>IFERROR(__xludf.DUMMYFUNCTION("""COMPUTED_VALUE"""),0.0228136882129277)</f>
        <v>0.02281368821</v>
      </c>
      <c r="S33" s="8">
        <f>IFERROR(__xludf.DUMMYFUNCTION("""COMPUTED_VALUE"""),0.0126182965299684)</f>
        <v>0.01261829653</v>
      </c>
      <c r="T33" s="8">
        <f>IFERROR(__xludf.DUMMYFUNCTION("""COMPUTED_VALUE"""),0.0)</f>
        <v>0</v>
      </c>
      <c r="U33" s="8">
        <f>IFERROR(__xludf.DUMMYFUNCTION("""COMPUTED_VALUE"""),0.0)</f>
        <v>0</v>
      </c>
      <c r="V33" s="8">
        <f>IFERROR(__xludf.DUMMYFUNCTION("""COMPUTED_VALUE"""),0.0)</f>
        <v>0</v>
      </c>
      <c r="W33" s="8">
        <f>IFERROR(__xludf.DUMMYFUNCTION("""COMPUTED_VALUE"""),0.0)</f>
        <v>0</v>
      </c>
      <c r="X33" s="8">
        <f>IFERROR(__xludf.DUMMYFUNCTION("""COMPUTED_VALUE"""),0.0)</f>
        <v>0</v>
      </c>
      <c r="Y33" s="8">
        <f>IFERROR(__xludf.DUMMYFUNCTION("""COMPUTED_VALUE"""),0.0)</f>
        <v>0</v>
      </c>
      <c r="Z33" s="8">
        <f>IFERROR(__xludf.DUMMYFUNCTION("""COMPUTED_VALUE"""),0.0)</f>
        <v>0</v>
      </c>
      <c r="AA33" s="8">
        <f>IFERROR(__xludf.DUMMYFUNCTION("""COMPUTED_VALUE"""),0.0)</f>
        <v>0</v>
      </c>
      <c r="AB33" s="8">
        <f>IFERROR(__xludf.DUMMYFUNCTION("""COMPUTED_VALUE"""),0.0)</f>
        <v>0</v>
      </c>
      <c r="AC33" s="8">
        <f>IFERROR(__xludf.DUMMYFUNCTION("""COMPUTED_VALUE"""),0.0)</f>
        <v>0</v>
      </c>
    </row>
    <row r="34" ht="15.75" customHeight="1">
      <c r="A34" s="6" t="str">
        <f>IFERROR(__xludf.DUMMYFUNCTION("""COMPUTED_VALUE"""),"1e1205d9e93348005e7eb4b2e071c8c63b7914ca")</f>
        <v>1e1205d9e93348005e7eb4b2e071c8c63b7914ca</v>
      </c>
      <c r="B34" s="6" t="str">
        <f>IFERROR(__xludf.DUMMYFUNCTION("""COMPUTED_VALUE"""),"The Heart's Captive")</f>
        <v>The Heart's Captive</v>
      </c>
      <c r="C34" s="6" t="str">
        <f>IFERROR(__xludf.DUMMYFUNCTION("""COMPUTED_VALUE"""),"Romantasy")</f>
        <v>Romantasy</v>
      </c>
      <c r="D34" s="17">
        <f>IFERROR(__xludf.DUMMYFUNCTION("""COMPUTED_VALUE"""),78.0)</f>
        <v>78</v>
      </c>
      <c r="E34" s="8">
        <f>IFERROR(__xludf.DUMMYFUNCTION("""COMPUTED_VALUE"""),0.935897435897435)</f>
        <v>0.9358974359</v>
      </c>
      <c r="F34" s="8">
        <f>IFERROR(__xludf.DUMMYFUNCTION("""COMPUTED_VALUE"""),0.512820512820512)</f>
        <v>0.5128205128</v>
      </c>
      <c r="G34" s="8">
        <f>IFERROR(__xludf.DUMMYFUNCTION("""COMPUTED_VALUE"""),0.474358974358974)</f>
        <v>0.4743589744</v>
      </c>
      <c r="H34" s="8">
        <f>IFERROR(__xludf.DUMMYFUNCTION("""COMPUTED_VALUE"""),0.5)</f>
        <v>0.5</v>
      </c>
      <c r="I34" s="8">
        <f>IFERROR(__xludf.DUMMYFUNCTION("""COMPUTED_VALUE"""),0.435897435897435)</f>
        <v>0.4358974359</v>
      </c>
      <c r="J34" s="8">
        <f>IFERROR(__xludf.DUMMYFUNCTION("""COMPUTED_VALUE"""),0.448717948717948)</f>
        <v>0.4487179487</v>
      </c>
      <c r="K34" s="8">
        <f>IFERROR(__xludf.DUMMYFUNCTION("""COMPUTED_VALUE"""),0.428571428571428)</f>
        <v>0.4285714286</v>
      </c>
      <c r="L34" s="8">
        <f>IFERROR(__xludf.DUMMYFUNCTION("""COMPUTED_VALUE"""),0.467532467532467)</f>
        <v>0.4675324675</v>
      </c>
      <c r="M34" s="8">
        <f>IFERROR(__xludf.DUMMYFUNCTION("""COMPUTED_VALUE"""),0.454545454545454)</f>
        <v>0.4545454545</v>
      </c>
      <c r="N34" s="8">
        <f>IFERROR(__xludf.DUMMYFUNCTION("""COMPUTED_VALUE"""),0.493506493506493)</f>
        <v>0.4935064935</v>
      </c>
      <c r="O34" s="8">
        <f>IFERROR(__xludf.DUMMYFUNCTION("""COMPUTED_VALUE"""),0.428571428571428)</f>
        <v>0.4285714286</v>
      </c>
      <c r="P34" s="8">
        <f>IFERROR(__xludf.DUMMYFUNCTION("""COMPUTED_VALUE"""),0.207792207792207)</f>
        <v>0.2077922078</v>
      </c>
      <c r="Q34" s="8">
        <f>IFERROR(__xludf.DUMMYFUNCTION("""COMPUTED_VALUE"""),0.0389610389610389)</f>
        <v>0.03896103896</v>
      </c>
      <c r="R34" s="8">
        <f>IFERROR(__xludf.DUMMYFUNCTION("""COMPUTED_VALUE"""),0.0)</f>
        <v>0</v>
      </c>
      <c r="S34" s="8">
        <f>IFERROR(__xludf.DUMMYFUNCTION("""COMPUTED_VALUE"""),0.0)</f>
        <v>0</v>
      </c>
      <c r="T34" s="8">
        <f>IFERROR(__xludf.DUMMYFUNCTION("""COMPUTED_VALUE"""),0.0)</f>
        <v>0</v>
      </c>
      <c r="U34" s="8">
        <f>IFERROR(__xludf.DUMMYFUNCTION("""COMPUTED_VALUE"""),0.0)</f>
        <v>0</v>
      </c>
      <c r="V34" s="8">
        <f>IFERROR(__xludf.DUMMYFUNCTION("""COMPUTED_VALUE"""),0.0)</f>
        <v>0</v>
      </c>
      <c r="W34" s="8">
        <f>IFERROR(__xludf.DUMMYFUNCTION("""COMPUTED_VALUE"""),0.0)</f>
        <v>0</v>
      </c>
      <c r="X34" s="8">
        <f>IFERROR(__xludf.DUMMYFUNCTION("""COMPUTED_VALUE"""),0.0)</f>
        <v>0</v>
      </c>
      <c r="Y34" s="8">
        <f>IFERROR(__xludf.DUMMYFUNCTION("""COMPUTED_VALUE"""),0.0)</f>
        <v>0</v>
      </c>
      <c r="Z34" s="8">
        <f>IFERROR(__xludf.DUMMYFUNCTION("""COMPUTED_VALUE"""),0.0)</f>
        <v>0</v>
      </c>
      <c r="AA34" s="8">
        <f>IFERROR(__xludf.DUMMYFUNCTION("""COMPUTED_VALUE"""),0.0)</f>
        <v>0</v>
      </c>
      <c r="AB34" s="8">
        <f>IFERROR(__xludf.DUMMYFUNCTION("""COMPUTED_VALUE"""),0.0)</f>
        <v>0</v>
      </c>
      <c r="AC34" s="8">
        <f>IFERROR(__xludf.DUMMYFUNCTION("""COMPUTED_VALUE"""),0.0)</f>
        <v>0</v>
      </c>
    </row>
    <row r="35" ht="15.75" customHeight="1">
      <c r="A35" s="6" t="str">
        <f>IFERROR(__xludf.DUMMYFUNCTION("""COMPUTED_VALUE"""),"1e2b4197fd4a9f595c560bc8d4530339758b031a")</f>
        <v>1e2b4197fd4a9f595c560bc8d4530339758b031a</v>
      </c>
      <c r="B35" s="6" t="str">
        <f>IFERROR(__xludf.DUMMYFUNCTION("""COMPUTED_VALUE"""),"Becoming Garrison Green")</f>
        <v>Becoming Garrison Green</v>
      </c>
      <c r="C35" s="6" t="str">
        <f>IFERROR(__xludf.DUMMYFUNCTION("""COMPUTED_VALUE"""),"Drama")</f>
        <v>Drama</v>
      </c>
      <c r="D35" s="17">
        <f>IFERROR(__xludf.DUMMYFUNCTION("""COMPUTED_VALUE"""),1152.0)</f>
        <v>1152</v>
      </c>
      <c r="E35" s="8">
        <f>IFERROR(__xludf.DUMMYFUNCTION("""COMPUTED_VALUE"""),0.969618055555555)</f>
        <v>0.9696180556</v>
      </c>
      <c r="F35" s="8">
        <f>IFERROR(__xludf.DUMMYFUNCTION("""COMPUTED_VALUE"""),0.598090277777777)</f>
        <v>0.5980902778</v>
      </c>
      <c r="G35" s="8">
        <f>IFERROR(__xludf.DUMMYFUNCTION("""COMPUTED_VALUE"""),0.5703125)</f>
        <v>0.5703125</v>
      </c>
      <c r="H35" s="8">
        <f>IFERROR(__xludf.DUMMYFUNCTION("""COMPUTED_VALUE"""),0.540399652476107)</f>
        <v>0.5403996525</v>
      </c>
      <c r="I35" s="8">
        <f>IFERROR(__xludf.DUMMYFUNCTION("""COMPUTED_VALUE"""),0.515204170286707)</f>
        <v>0.5152041703</v>
      </c>
      <c r="J35" s="8">
        <f>IFERROR(__xludf.DUMMYFUNCTION("""COMPUTED_VALUE"""),0.493043478260869)</f>
        <v>0.4930434783</v>
      </c>
      <c r="K35" s="8">
        <f>IFERROR(__xludf.DUMMYFUNCTION("""COMPUTED_VALUE"""),0.463478260869565)</f>
        <v>0.4634782609</v>
      </c>
      <c r="L35" s="8">
        <f>IFERROR(__xludf.DUMMYFUNCTION("""COMPUTED_VALUE"""),0.442123585726718)</f>
        <v>0.4421235857</v>
      </c>
      <c r="M35" s="8">
        <f>IFERROR(__xludf.DUMMYFUNCTION("""COMPUTED_VALUE"""),0.427328111401218)</f>
        <v>0.4273281114</v>
      </c>
      <c r="N35" s="8">
        <f>IFERROR(__xludf.DUMMYFUNCTION("""COMPUTED_VALUE"""),0.409921671018276)</f>
        <v>0.409921671</v>
      </c>
      <c r="O35" s="8">
        <f>IFERROR(__xludf.DUMMYFUNCTION("""COMPUTED_VALUE"""),0.362422083704363)</f>
        <v>0.3624220837</v>
      </c>
      <c r="P35" s="8">
        <f>IFERROR(__xludf.DUMMYFUNCTION("""COMPUTED_VALUE"""),0.272625698324022)</f>
        <v>0.2726256983</v>
      </c>
      <c r="Q35" s="8">
        <f>IFERROR(__xludf.DUMMYFUNCTION("""COMPUTED_VALUE"""),0.193442622950819)</f>
        <v>0.193442623</v>
      </c>
      <c r="R35" s="8">
        <f>IFERROR(__xludf.DUMMYFUNCTION("""COMPUTED_VALUE"""),0.28)</f>
        <v>0.28</v>
      </c>
      <c r="S35" s="8">
        <f>IFERROR(__xludf.DUMMYFUNCTION("""COMPUTED_VALUE"""),0.0)</f>
        <v>0</v>
      </c>
      <c r="T35" s="8">
        <f>IFERROR(__xludf.DUMMYFUNCTION("""COMPUTED_VALUE"""),0.0)</f>
        <v>0</v>
      </c>
      <c r="U35" s="8">
        <f>IFERROR(__xludf.DUMMYFUNCTION("""COMPUTED_VALUE"""),0.0)</f>
        <v>0</v>
      </c>
      <c r="V35" s="8">
        <f>IFERROR(__xludf.DUMMYFUNCTION("""COMPUTED_VALUE"""),0.0)</f>
        <v>0</v>
      </c>
      <c r="W35" s="8">
        <f>IFERROR(__xludf.DUMMYFUNCTION("""COMPUTED_VALUE"""),0.0)</f>
        <v>0</v>
      </c>
      <c r="X35" s="8">
        <f>IFERROR(__xludf.DUMMYFUNCTION("""COMPUTED_VALUE"""),0.0)</f>
        <v>0</v>
      </c>
      <c r="Y35" s="8">
        <f>IFERROR(__xludf.DUMMYFUNCTION("""COMPUTED_VALUE"""),0.0)</f>
        <v>0</v>
      </c>
      <c r="Z35" s="8">
        <f>IFERROR(__xludf.DUMMYFUNCTION("""COMPUTED_VALUE"""),0.0)</f>
        <v>0</v>
      </c>
      <c r="AA35" s="8">
        <f>IFERROR(__xludf.DUMMYFUNCTION("""COMPUTED_VALUE"""),0.0)</f>
        <v>0</v>
      </c>
      <c r="AB35" s="8">
        <f>IFERROR(__xludf.DUMMYFUNCTION("""COMPUTED_VALUE"""),0.0)</f>
        <v>0</v>
      </c>
      <c r="AC35" s="8">
        <f>IFERROR(__xludf.DUMMYFUNCTION("""COMPUTED_VALUE"""),0.0)</f>
        <v>0</v>
      </c>
    </row>
    <row r="36" ht="15.75" customHeight="1">
      <c r="A36" s="6" t="str">
        <f>IFERROR(__xludf.DUMMYFUNCTION("""COMPUTED_VALUE"""),"1e8c33b5d824973efcdca4b5194f961aed4ba258")</f>
        <v>1e8c33b5d824973efcdca4b5194f961aed4ba258</v>
      </c>
      <c r="B36" s="6" t="str">
        <f>IFERROR(__xludf.DUMMYFUNCTION("""COMPUTED_VALUE"""),"Mafia's Reluctant Bride")</f>
        <v>Mafia's Reluctant Bride</v>
      </c>
      <c r="C36" s="6" t="str">
        <f>IFERROR(__xludf.DUMMYFUNCTION("""COMPUTED_VALUE"""),"Romance")</f>
        <v>Romance</v>
      </c>
      <c r="D36" s="17">
        <f>IFERROR(__xludf.DUMMYFUNCTION("""COMPUTED_VALUE"""),871.0)</f>
        <v>871</v>
      </c>
      <c r="E36" s="8">
        <f>IFERROR(__xludf.DUMMYFUNCTION("""COMPUTED_VALUE"""),0.981296758104738)</f>
        <v>0.9812967581</v>
      </c>
      <c r="F36" s="8">
        <f>IFERROR(__xludf.DUMMYFUNCTION("""COMPUTED_VALUE"""),0.557142857142857)</f>
        <v>0.5571428571</v>
      </c>
      <c r="G36" s="8">
        <f>IFERROR(__xludf.DUMMYFUNCTION("""COMPUTED_VALUE"""),0.495826377295492)</f>
        <v>0.4958263773</v>
      </c>
      <c r="H36" s="8">
        <f>IFERROR(__xludf.DUMMYFUNCTION("""COMPUTED_VALUE"""),0.455210237659963)</f>
        <v>0.4552102377</v>
      </c>
      <c r="I36" s="8">
        <f>IFERROR(__xludf.DUMMYFUNCTION("""COMPUTED_VALUE"""),0.419776119402985)</f>
        <v>0.4197761194</v>
      </c>
      <c r="J36" s="8">
        <f>IFERROR(__xludf.DUMMYFUNCTION("""COMPUTED_VALUE"""),0.365384615384615)</f>
        <v>0.3653846154</v>
      </c>
      <c r="K36" s="8">
        <f>IFERROR(__xludf.DUMMYFUNCTION("""COMPUTED_VALUE"""),0.347140039447731)</f>
        <v>0.3471400394</v>
      </c>
      <c r="L36" s="8">
        <f>IFERROR(__xludf.DUMMYFUNCTION("""COMPUTED_VALUE"""),0.327695560253699)</f>
        <v>0.3276955603</v>
      </c>
      <c r="M36" s="8">
        <f>IFERROR(__xludf.DUMMYFUNCTION("""COMPUTED_VALUE"""),0.303317535545023)</f>
        <v>0.3033175355</v>
      </c>
      <c r="N36" s="8">
        <f>IFERROR(__xludf.DUMMYFUNCTION("""COMPUTED_VALUE"""),0.3003003003003)</f>
        <v>0.3003003003</v>
      </c>
      <c r="O36" s="8">
        <f>IFERROR(__xludf.DUMMYFUNCTION("""COMPUTED_VALUE"""),0.287581699346405)</f>
        <v>0.2875816993</v>
      </c>
      <c r="P36" s="8">
        <f>IFERROR(__xludf.DUMMYFUNCTION("""COMPUTED_VALUE"""),0.157894736842105)</f>
        <v>0.1578947368</v>
      </c>
      <c r="Q36" s="8">
        <f>IFERROR(__xludf.DUMMYFUNCTION("""COMPUTED_VALUE"""),0.0)</f>
        <v>0</v>
      </c>
      <c r="R36" s="8">
        <f>IFERROR(__xludf.DUMMYFUNCTION("""COMPUTED_VALUE"""),0.0)</f>
        <v>0</v>
      </c>
      <c r="S36" s="8">
        <f>IFERROR(__xludf.DUMMYFUNCTION("""COMPUTED_VALUE"""),0.0)</f>
        <v>0</v>
      </c>
      <c r="T36" s="8">
        <f>IFERROR(__xludf.DUMMYFUNCTION("""COMPUTED_VALUE"""),0.0)</f>
        <v>0</v>
      </c>
      <c r="U36" s="8">
        <f>IFERROR(__xludf.DUMMYFUNCTION("""COMPUTED_VALUE"""),0.0)</f>
        <v>0</v>
      </c>
      <c r="V36" s="8">
        <f>IFERROR(__xludf.DUMMYFUNCTION("""COMPUTED_VALUE"""),0.0)</f>
        <v>0</v>
      </c>
      <c r="W36" s="8">
        <f>IFERROR(__xludf.DUMMYFUNCTION("""COMPUTED_VALUE"""),0.0)</f>
        <v>0</v>
      </c>
      <c r="X36" s="8">
        <f>IFERROR(__xludf.DUMMYFUNCTION("""COMPUTED_VALUE"""),0.0)</f>
        <v>0</v>
      </c>
      <c r="Y36" s="8">
        <f>IFERROR(__xludf.DUMMYFUNCTION("""COMPUTED_VALUE"""),0.0)</f>
        <v>0</v>
      </c>
      <c r="Z36" s="8">
        <f>IFERROR(__xludf.DUMMYFUNCTION("""COMPUTED_VALUE"""),0.0)</f>
        <v>0</v>
      </c>
      <c r="AA36" s="8">
        <f>IFERROR(__xludf.DUMMYFUNCTION("""COMPUTED_VALUE"""),0.0)</f>
        <v>0</v>
      </c>
      <c r="AB36" s="8">
        <f>IFERROR(__xludf.DUMMYFUNCTION("""COMPUTED_VALUE"""),0.0)</f>
        <v>0</v>
      </c>
      <c r="AC36" s="8">
        <f>IFERROR(__xludf.DUMMYFUNCTION("""COMPUTED_VALUE"""),0.0)</f>
        <v>0</v>
      </c>
    </row>
    <row r="37" ht="15.75" customHeight="1">
      <c r="A37" s="6" t="str">
        <f>IFERROR(__xludf.DUMMYFUNCTION("""COMPUTED_VALUE"""),"1f78098e196cc2154bbadfe054e0bdd13c10fa60")</f>
        <v>1f78098e196cc2154bbadfe054e0bdd13c10fa60</v>
      </c>
      <c r="B37" s="6" t="str">
        <f>IFERROR(__xludf.DUMMYFUNCTION("""COMPUTED_VALUE"""),"The Marriage Timer")</f>
        <v>The Marriage Timer</v>
      </c>
      <c r="C37" s="6" t="str">
        <f>IFERROR(__xludf.DUMMYFUNCTION("""COMPUTED_VALUE"""),"Romance")</f>
        <v>Romance</v>
      </c>
      <c r="D37" s="17">
        <f>IFERROR(__xludf.DUMMYFUNCTION("""COMPUTED_VALUE"""),1459.0)</f>
        <v>1459</v>
      </c>
      <c r="E37" s="8">
        <f>IFERROR(__xludf.DUMMYFUNCTION("""COMPUTED_VALUE"""),0.971134020618556)</f>
        <v>0.9711340206</v>
      </c>
      <c r="F37" s="8">
        <f>IFERROR(__xludf.DUMMYFUNCTION("""COMPUTED_VALUE"""),0.608965517241379)</f>
        <v>0.6089655172</v>
      </c>
      <c r="G37" s="8">
        <f>IFERROR(__xludf.DUMMYFUNCTION("""COMPUTED_VALUE"""),0.514837819185645)</f>
        <v>0.5148378192</v>
      </c>
      <c r="H37" s="8">
        <f>IFERROR(__xludf.DUMMYFUNCTION("""COMPUTED_VALUE"""),0.465003465003465)</f>
        <v>0.465003465</v>
      </c>
      <c r="I37" s="8">
        <f>IFERROR(__xludf.DUMMYFUNCTION("""COMPUTED_VALUE"""),0.444367176634214)</f>
        <v>0.4443671766</v>
      </c>
      <c r="J37" s="8">
        <f>IFERROR(__xludf.DUMMYFUNCTION("""COMPUTED_VALUE"""),0.411149825783972)</f>
        <v>0.4111498258</v>
      </c>
      <c r="K37" s="8">
        <f>IFERROR(__xludf.DUMMYFUNCTION("""COMPUTED_VALUE"""),0.386331938633193)</f>
        <v>0.3863319386</v>
      </c>
      <c r="L37" s="8">
        <f>IFERROR(__xludf.DUMMYFUNCTION("""COMPUTED_VALUE"""),0.384884534639608)</f>
        <v>0.3848845346</v>
      </c>
      <c r="M37" s="8">
        <f>IFERROR(__xludf.DUMMYFUNCTION("""COMPUTED_VALUE"""),0.373071528751753)</f>
        <v>0.3730715288</v>
      </c>
      <c r="N37" s="8">
        <f>IFERROR(__xludf.DUMMYFUNCTION("""COMPUTED_VALUE"""),0.349719101123595)</f>
        <v>0.3497191011</v>
      </c>
      <c r="O37" s="8">
        <f>IFERROR(__xludf.DUMMYFUNCTION("""COMPUTED_VALUE"""),0.324573863636363)</f>
        <v>0.3245738636</v>
      </c>
      <c r="P37" s="8">
        <f>IFERROR(__xludf.DUMMYFUNCTION("""COMPUTED_VALUE"""),0.188168210976478)</f>
        <v>0.188168211</v>
      </c>
      <c r="Q37" s="8">
        <f>IFERROR(__xludf.DUMMYFUNCTION("""COMPUTED_VALUE"""),0.0984455958549222)</f>
        <v>0.09844559585</v>
      </c>
      <c r="R37" s="8">
        <f>IFERROR(__xludf.DUMMYFUNCTION("""COMPUTED_VALUE"""),0.0)</f>
        <v>0</v>
      </c>
      <c r="S37" s="8">
        <f>IFERROR(__xludf.DUMMYFUNCTION("""COMPUTED_VALUE"""),0.0)</f>
        <v>0</v>
      </c>
      <c r="T37" s="8">
        <f>IFERROR(__xludf.DUMMYFUNCTION("""COMPUTED_VALUE"""),0.0)</f>
        <v>0</v>
      </c>
      <c r="U37" s="8">
        <f>IFERROR(__xludf.DUMMYFUNCTION("""COMPUTED_VALUE"""),0.0)</f>
        <v>0</v>
      </c>
      <c r="V37" s="8">
        <f>IFERROR(__xludf.DUMMYFUNCTION("""COMPUTED_VALUE"""),0.0)</f>
        <v>0</v>
      </c>
      <c r="W37" s="8">
        <f>IFERROR(__xludf.DUMMYFUNCTION("""COMPUTED_VALUE"""),0.0)</f>
        <v>0</v>
      </c>
      <c r="X37" s="8">
        <f>IFERROR(__xludf.DUMMYFUNCTION("""COMPUTED_VALUE"""),0.0)</f>
        <v>0</v>
      </c>
      <c r="Y37" s="8">
        <f>IFERROR(__xludf.DUMMYFUNCTION("""COMPUTED_VALUE"""),0.0)</f>
        <v>0</v>
      </c>
      <c r="Z37" s="8">
        <f>IFERROR(__xludf.DUMMYFUNCTION("""COMPUTED_VALUE"""),0.0)</f>
        <v>0</v>
      </c>
      <c r="AA37" s="8">
        <f>IFERROR(__xludf.DUMMYFUNCTION("""COMPUTED_VALUE"""),0.0)</f>
        <v>0</v>
      </c>
      <c r="AB37" s="8">
        <f>IFERROR(__xludf.DUMMYFUNCTION("""COMPUTED_VALUE"""),0.0)</f>
        <v>0</v>
      </c>
      <c r="AC37" s="8">
        <f>IFERROR(__xludf.DUMMYFUNCTION("""COMPUTED_VALUE"""),0.0)</f>
        <v>0</v>
      </c>
    </row>
    <row r="38" ht="15.75" customHeight="1">
      <c r="A38" s="6" t="str">
        <f>IFERROR(__xludf.DUMMYFUNCTION("""COMPUTED_VALUE"""),"2039c770620dbd485e50118a476f0b91b4bd035b")</f>
        <v>2039c770620dbd485e50118a476f0b91b4bd035b</v>
      </c>
      <c r="B38" s="6" t="str">
        <f>IFERROR(__xludf.DUMMYFUNCTION("""COMPUTED_VALUE"""),"Princess Ebony &amp; the Silver Dragon - Remastered Edition")</f>
        <v>Princess Ebony &amp; the Silver Dragon - Remastered Edition</v>
      </c>
      <c r="C38" s="6" t="str">
        <f>IFERROR(__xludf.DUMMYFUNCTION("""COMPUTED_VALUE"""),"Fantasy")</f>
        <v>Fantasy</v>
      </c>
      <c r="D38" s="17">
        <f>IFERROR(__xludf.DUMMYFUNCTION("""COMPUTED_VALUE"""),7702.0)</f>
        <v>7702</v>
      </c>
      <c r="E38" s="8">
        <f>IFERROR(__xludf.DUMMYFUNCTION("""COMPUTED_VALUE"""),0.953131102720999)</f>
        <v>0.9531311027</v>
      </c>
      <c r="F38" s="8">
        <f>IFERROR(__xludf.DUMMYFUNCTION("""COMPUTED_VALUE"""),0.496856169766832)</f>
        <v>0.4968561698</v>
      </c>
      <c r="G38" s="8">
        <f>IFERROR(__xludf.DUMMYFUNCTION("""COMPUTED_VALUE"""),0.449263932702418)</f>
        <v>0.4492639327</v>
      </c>
      <c r="H38" s="8">
        <f>IFERROR(__xludf.DUMMYFUNCTION("""COMPUTED_VALUE"""),0.422695410659965)</f>
        <v>0.4226954107</v>
      </c>
      <c r="I38" s="8">
        <f>IFERROR(__xludf.DUMMYFUNCTION("""COMPUTED_VALUE"""),0.403876792352628)</f>
        <v>0.4038767924</v>
      </c>
      <c r="J38" s="8">
        <f>IFERROR(__xludf.DUMMYFUNCTION("""COMPUTED_VALUE"""),0.387553418803418)</f>
        <v>0.3875534188</v>
      </c>
      <c r="K38" s="8">
        <f>IFERROR(__xludf.DUMMYFUNCTION("""COMPUTED_VALUE"""),0.376123407109322)</f>
        <v>0.3761234071</v>
      </c>
      <c r="L38" s="8">
        <f>IFERROR(__xludf.DUMMYFUNCTION("""COMPUTED_VALUE"""),0.3667656587473)</f>
        <v>0.3667656587</v>
      </c>
      <c r="M38" s="8">
        <f>IFERROR(__xludf.DUMMYFUNCTION("""COMPUTED_VALUE"""),0.361111111111111)</f>
        <v>0.3611111111</v>
      </c>
      <c r="N38" s="8">
        <f>IFERROR(__xludf.DUMMYFUNCTION("""COMPUTED_VALUE"""),0.355182302335108)</f>
        <v>0.3551823023</v>
      </c>
      <c r="O38" s="8">
        <f>IFERROR(__xludf.DUMMYFUNCTION("""COMPUTED_VALUE"""),0.33817515160062)</f>
        <v>0.3381751516</v>
      </c>
      <c r="P38" s="8">
        <f>IFERROR(__xludf.DUMMYFUNCTION("""COMPUTED_VALUE"""),0.307193396226415)</f>
        <v>0.3071933962</v>
      </c>
      <c r="Q38" s="8">
        <f>IFERROR(__xludf.DUMMYFUNCTION("""COMPUTED_VALUE"""),0.258508914100486)</f>
        <v>0.2585089141</v>
      </c>
      <c r="R38" s="8">
        <f>IFERROR(__xludf.DUMMYFUNCTION("""COMPUTED_VALUE"""),0.203066439522998)</f>
        <v>0.2030664395</v>
      </c>
      <c r="S38" s="8">
        <f>IFERROR(__xludf.DUMMYFUNCTION("""COMPUTED_VALUE"""),0.164450035945363)</f>
        <v>0.1644500359</v>
      </c>
      <c r="T38" s="8">
        <f>IFERROR(__xludf.DUMMYFUNCTION("""COMPUTED_VALUE"""),0.131486539211861)</f>
        <v>0.1314865392</v>
      </c>
      <c r="U38" s="8">
        <f>IFERROR(__xludf.DUMMYFUNCTION("""COMPUTED_VALUE"""),0.10743596120368)</f>
        <v>0.1074359612</v>
      </c>
      <c r="V38" s="8">
        <f>IFERROR(__xludf.DUMMYFUNCTION("""COMPUTED_VALUE"""),0.088243831640058)</f>
        <v>0.08824383164</v>
      </c>
      <c r="W38" s="8">
        <f>IFERROR(__xludf.DUMMYFUNCTION("""COMPUTED_VALUE"""),0.0572299356586522)</f>
        <v>0.05722993566</v>
      </c>
      <c r="X38" s="8">
        <f>IFERROR(__xludf.DUMMYFUNCTION("""COMPUTED_VALUE"""),0.0284384694932781)</f>
        <v>0.02843846949</v>
      </c>
      <c r="Y38" s="8">
        <f>IFERROR(__xludf.DUMMYFUNCTION("""COMPUTED_VALUE"""),0.0)</f>
        <v>0</v>
      </c>
      <c r="Z38" s="8">
        <f>IFERROR(__xludf.DUMMYFUNCTION("""COMPUTED_VALUE"""),0.0)</f>
        <v>0</v>
      </c>
      <c r="AA38" s="8">
        <f>IFERROR(__xludf.DUMMYFUNCTION("""COMPUTED_VALUE"""),0.0)</f>
        <v>0</v>
      </c>
      <c r="AB38" s="8">
        <f>IFERROR(__xludf.DUMMYFUNCTION("""COMPUTED_VALUE"""),0.0)</f>
        <v>0</v>
      </c>
      <c r="AC38" s="8">
        <f>IFERROR(__xludf.DUMMYFUNCTION("""COMPUTED_VALUE"""),0.0)</f>
        <v>0</v>
      </c>
    </row>
    <row r="39" ht="15.75" customHeight="1">
      <c r="A39" s="6" t="str">
        <f>IFERROR(__xludf.DUMMYFUNCTION("""COMPUTED_VALUE"""),"215d4622bad0b1fca5cb36bca9f92b3c41d21f7e")</f>
        <v>215d4622bad0b1fca5cb36bca9f92b3c41d21f7e</v>
      </c>
      <c r="B39" s="6" t="str">
        <f>IFERROR(__xludf.DUMMYFUNCTION("""COMPUTED_VALUE"""),"Aiden's Regression")</f>
        <v>Aiden's Regression</v>
      </c>
      <c r="C39" s="6" t="str">
        <f>IFERROR(__xludf.DUMMYFUNCTION("""COMPUTED_VALUE"""),"System and Superpower")</f>
        <v>System and Superpower</v>
      </c>
      <c r="D39" s="17">
        <f>IFERROR(__xludf.DUMMYFUNCTION("""COMPUTED_VALUE"""),641.0)</f>
        <v>641</v>
      </c>
      <c r="E39" s="8">
        <f>IFERROR(__xludf.DUMMYFUNCTION("""COMPUTED_VALUE"""),0.978125)</f>
        <v>0.978125</v>
      </c>
      <c r="F39" s="8">
        <f>IFERROR(__xludf.DUMMYFUNCTION("""COMPUTED_VALUE"""),0.600313479623824)</f>
        <v>0.6003134796</v>
      </c>
      <c r="G39" s="8">
        <f>IFERROR(__xludf.DUMMYFUNCTION("""COMPUTED_VALUE"""),0.554858934169279)</f>
        <v>0.5548589342</v>
      </c>
      <c r="H39" s="8">
        <f>IFERROR(__xludf.DUMMYFUNCTION("""COMPUTED_VALUE"""),0.530612244897959)</f>
        <v>0.5306122449</v>
      </c>
      <c r="I39" s="8">
        <f>IFERROR(__xludf.DUMMYFUNCTION("""COMPUTED_VALUE"""),0.500784929356357)</f>
        <v>0.5007849294</v>
      </c>
      <c r="J39" s="8">
        <f>IFERROR(__xludf.DUMMYFUNCTION("""COMPUTED_VALUE"""),0.478740157480314)</f>
        <v>0.4787401575</v>
      </c>
      <c r="K39" s="8">
        <f>IFERROR(__xludf.DUMMYFUNCTION("""COMPUTED_VALUE"""),0.471608832807571)</f>
        <v>0.4716088328</v>
      </c>
      <c r="L39" s="8">
        <f>IFERROR(__xludf.DUMMYFUNCTION("""COMPUTED_VALUE"""),0.451816745655608)</f>
        <v>0.4518167457</v>
      </c>
      <c r="M39" s="8">
        <f>IFERROR(__xludf.DUMMYFUNCTION("""COMPUTED_VALUE"""),0.433544303797468)</f>
        <v>0.4335443038</v>
      </c>
      <c r="N39" s="8">
        <f>IFERROR(__xludf.DUMMYFUNCTION("""COMPUTED_VALUE"""),0.413738019169329)</f>
        <v>0.4137380192</v>
      </c>
      <c r="O39" s="8">
        <f>IFERROR(__xludf.DUMMYFUNCTION("""COMPUTED_VALUE"""),0.379537953795379)</f>
        <v>0.3795379538</v>
      </c>
      <c r="P39" s="8">
        <f>IFERROR(__xludf.DUMMYFUNCTION("""COMPUTED_VALUE"""),0.225352112676056)</f>
        <v>0.2253521127</v>
      </c>
      <c r="Q39" s="8">
        <f>IFERROR(__xludf.DUMMYFUNCTION("""COMPUTED_VALUE"""),0.0)</f>
        <v>0</v>
      </c>
      <c r="R39" s="8">
        <f>IFERROR(__xludf.DUMMYFUNCTION("""COMPUTED_VALUE"""),0.0)</f>
        <v>0</v>
      </c>
      <c r="S39" s="8">
        <f>IFERROR(__xludf.DUMMYFUNCTION("""COMPUTED_VALUE"""),0.0)</f>
        <v>0</v>
      </c>
      <c r="T39" s="8">
        <f>IFERROR(__xludf.DUMMYFUNCTION("""COMPUTED_VALUE"""),0.0)</f>
        <v>0</v>
      </c>
      <c r="U39" s="8">
        <f>IFERROR(__xludf.DUMMYFUNCTION("""COMPUTED_VALUE"""),0.0)</f>
        <v>0</v>
      </c>
      <c r="V39" s="8">
        <f>IFERROR(__xludf.DUMMYFUNCTION("""COMPUTED_VALUE"""),0.0)</f>
        <v>0</v>
      </c>
      <c r="W39" s="8">
        <f>IFERROR(__xludf.DUMMYFUNCTION("""COMPUTED_VALUE"""),0.0)</f>
        <v>0</v>
      </c>
      <c r="X39" s="8">
        <f>IFERROR(__xludf.DUMMYFUNCTION("""COMPUTED_VALUE"""),0.0)</f>
        <v>0</v>
      </c>
      <c r="Y39" s="8">
        <f>IFERROR(__xludf.DUMMYFUNCTION("""COMPUTED_VALUE"""),0.0)</f>
        <v>0</v>
      </c>
      <c r="Z39" s="8">
        <f>IFERROR(__xludf.DUMMYFUNCTION("""COMPUTED_VALUE"""),0.0)</f>
        <v>0</v>
      </c>
      <c r="AA39" s="8">
        <f>IFERROR(__xludf.DUMMYFUNCTION("""COMPUTED_VALUE"""),0.0)</f>
        <v>0</v>
      </c>
      <c r="AB39" s="8">
        <f>IFERROR(__xludf.DUMMYFUNCTION("""COMPUTED_VALUE"""),0.0)</f>
        <v>0</v>
      </c>
      <c r="AC39" s="8">
        <f>IFERROR(__xludf.DUMMYFUNCTION("""COMPUTED_VALUE"""),0.0)</f>
        <v>0</v>
      </c>
    </row>
    <row r="40" ht="15.75" customHeight="1">
      <c r="A40" s="6" t="str">
        <f>IFERROR(__xludf.DUMMYFUNCTION("""COMPUTED_VALUE"""),"2217881cc8f3c05fb3e0dbf70a118129e4e12471")</f>
        <v>2217881cc8f3c05fb3e0dbf70a118129e4e12471</v>
      </c>
      <c r="B40" s="6" t="str">
        <f>IFERROR(__xludf.DUMMYFUNCTION("""COMPUTED_VALUE"""),"Sevenfold Saint's Rise")</f>
        <v>Sevenfold Saint's Rise</v>
      </c>
      <c r="C40" s="6" t="str">
        <f>IFERROR(__xludf.DUMMYFUNCTION("""COMPUTED_VALUE"""),"Fantasy")</f>
        <v>Fantasy</v>
      </c>
      <c r="D40" s="17">
        <f>IFERROR(__xludf.DUMMYFUNCTION("""COMPUTED_VALUE"""),555.0)</f>
        <v>555</v>
      </c>
      <c r="E40" s="8">
        <f>IFERROR(__xludf.DUMMYFUNCTION("""COMPUTED_VALUE"""),0.985585585585585)</f>
        <v>0.9855855856</v>
      </c>
      <c r="F40" s="8">
        <f>IFERROR(__xludf.DUMMYFUNCTION("""COMPUTED_VALUE"""),0.631768953068592)</f>
        <v>0.6317689531</v>
      </c>
      <c r="G40" s="8">
        <f>IFERROR(__xludf.DUMMYFUNCTION("""COMPUTED_VALUE"""),0.564195298372513)</f>
        <v>0.5641952984</v>
      </c>
      <c r="H40" s="8">
        <f>IFERROR(__xludf.DUMMYFUNCTION("""COMPUTED_VALUE"""),0.545454545454545)</f>
        <v>0.5454545455</v>
      </c>
      <c r="I40" s="8">
        <f>IFERROR(__xludf.DUMMYFUNCTION("""COMPUTED_VALUE"""),0.475409836065573)</f>
        <v>0.4754098361</v>
      </c>
      <c r="J40" s="8">
        <f>IFERROR(__xludf.DUMMYFUNCTION("""COMPUTED_VALUE"""),0.416206261510128)</f>
        <v>0.4162062615</v>
      </c>
      <c r="K40" s="8">
        <f>IFERROR(__xludf.DUMMYFUNCTION("""COMPUTED_VALUE"""),0.36178107606679)</f>
        <v>0.3617810761</v>
      </c>
      <c r="L40" s="8">
        <f>IFERROR(__xludf.DUMMYFUNCTION("""COMPUTED_VALUE"""),0.335849056603773)</f>
        <v>0.3358490566</v>
      </c>
      <c r="M40" s="8">
        <f>IFERROR(__xludf.DUMMYFUNCTION("""COMPUTED_VALUE"""),0.3)</f>
        <v>0.3</v>
      </c>
      <c r="N40" s="8">
        <f>IFERROR(__xludf.DUMMYFUNCTION("""COMPUTED_VALUE"""),0.247030878859857)</f>
        <v>0.2470308789</v>
      </c>
      <c r="O40" s="8">
        <f>IFERROR(__xludf.DUMMYFUNCTION("""COMPUTED_VALUE"""),0.0)</f>
        <v>0</v>
      </c>
      <c r="P40" s="8">
        <f>IFERROR(__xludf.DUMMYFUNCTION("""COMPUTED_VALUE"""),0.0)</f>
        <v>0</v>
      </c>
      <c r="Q40" s="8">
        <f>IFERROR(__xludf.DUMMYFUNCTION("""COMPUTED_VALUE"""),0.0)</f>
        <v>0</v>
      </c>
      <c r="R40" s="8">
        <f>IFERROR(__xludf.DUMMYFUNCTION("""COMPUTED_VALUE"""),0.0)</f>
        <v>0</v>
      </c>
      <c r="S40" s="8">
        <f>IFERROR(__xludf.DUMMYFUNCTION("""COMPUTED_VALUE"""),0.0)</f>
        <v>0</v>
      </c>
      <c r="T40" s="8">
        <f>IFERROR(__xludf.DUMMYFUNCTION("""COMPUTED_VALUE"""),0.0)</f>
        <v>0</v>
      </c>
      <c r="U40" s="8">
        <f>IFERROR(__xludf.DUMMYFUNCTION("""COMPUTED_VALUE"""),0.0)</f>
        <v>0</v>
      </c>
      <c r="V40" s="8">
        <f>IFERROR(__xludf.DUMMYFUNCTION("""COMPUTED_VALUE"""),0.0)</f>
        <v>0</v>
      </c>
      <c r="W40" s="8">
        <f>IFERROR(__xludf.DUMMYFUNCTION("""COMPUTED_VALUE"""),0.0)</f>
        <v>0</v>
      </c>
      <c r="X40" s="8">
        <f>IFERROR(__xludf.DUMMYFUNCTION("""COMPUTED_VALUE"""),0.0)</f>
        <v>0</v>
      </c>
      <c r="Y40" s="8">
        <f>IFERROR(__xludf.DUMMYFUNCTION("""COMPUTED_VALUE"""),0.0)</f>
        <v>0</v>
      </c>
      <c r="Z40" s="8">
        <f>IFERROR(__xludf.DUMMYFUNCTION("""COMPUTED_VALUE"""),0.0)</f>
        <v>0</v>
      </c>
      <c r="AA40" s="8">
        <f>IFERROR(__xludf.DUMMYFUNCTION("""COMPUTED_VALUE"""),0.0)</f>
        <v>0</v>
      </c>
      <c r="AB40" s="8">
        <f>IFERROR(__xludf.DUMMYFUNCTION("""COMPUTED_VALUE"""),0.0)</f>
        <v>0</v>
      </c>
      <c r="AC40" s="8">
        <f>IFERROR(__xludf.DUMMYFUNCTION("""COMPUTED_VALUE"""),0.0)</f>
        <v>0</v>
      </c>
    </row>
    <row r="41" ht="15.75" customHeight="1">
      <c r="A41" s="6" t="str">
        <f>IFERROR(__xludf.DUMMYFUNCTION("""COMPUTED_VALUE"""),"23200139c53ab123429a0f621a7519272bf21ea7")</f>
        <v>23200139c53ab123429a0f621a7519272bf21ea7</v>
      </c>
      <c r="B41" s="6" t="str">
        <f>IFERROR(__xludf.DUMMYFUNCTION("""COMPUTED_VALUE"""),"The Fae Lycan Abomination")</f>
        <v>The Fae Lycan Abomination</v>
      </c>
      <c r="C41" s="6" t="str">
        <f>IFERROR(__xludf.DUMMYFUNCTION("""COMPUTED_VALUE"""),"Fantasy")</f>
        <v>Fantasy</v>
      </c>
      <c r="D41" s="17">
        <f>IFERROR(__xludf.DUMMYFUNCTION("""COMPUTED_VALUE"""),179.0)</f>
        <v>179</v>
      </c>
      <c r="E41" s="8">
        <f>IFERROR(__xludf.DUMMYFUNCTION("""COMPUTED_VALUE"""),0.977272727272727)</f>
        <v>0.9772727273</v>
      </c>
      <c r="F41" s="8">
        <f>IFERROR(__xludf.DUMMYFUNCTION("""COMPUTED_VALUE"""),0.448484848484848)</f>
        <v>0.4484848485</v>
      </c>
      <c r="G41" s="8">
        <f>IFERROR(__xludf.DUMMYFUNCTION("""COMPUTED_VALUE"""),0.327044025157232)</f>
        <v>0.3270440252</v>
      </c>
      <c r="H41" s="8">
        <f>IFERROR(__xludf.DUMMYFUNCTION("""COMPUTED_VALUE"""),0.240601503759398)</f>
        <v>0.2406015038</v>
      </c>
      <c r="I41" s="8">
        <f>IFERROR(__xludf.DUMMYFUNCTION("""COMPUTED_VALUE"""),0.24793388429752)</f>
        <v>0.2479338843</v>
      </c>
      <c r="J41" s="8">
        <f>IFERROR(__xludf.DUMMYFUNCTION("""COMPUTED_VALUE"""),0.212121212121212)</f>
        <v>0.2121212121</v>
      </c>
      <c r="K41" s="8">
        <f>IFERROR(__xludf.DUMMYFUNCTION("""COMPUTED_VALUE"""),0.2)</f>
        <v>0.2</v>
      </c>
      <c r="L41" s="8">
        <f>IFERROR(__xludf.DUMMYFUNCTION("""COMPUTED_VALUE"""),0.19753086419753)</f>
        <v>0.1975308642</v>
      </c>
      <c r="M41" s="8">
        <f>IFERROR(__xludf.DUMMYFUNCTION("""COMPUTED_VALUE"""),0.197368421052631)</f>
        <v>0.1973684211</v>
      </c>
      <c r="N41" s="8">
        <f>IFERROR(__xludf.DUMMYFUNCTION("""COMPUTED_VALUE"""),0.216666666666666)</f>
        <v>0.2166666667</v>
      </c>
      <c r="O41" s="8">
        <f>IFERROR(__xludf.DUMMYFUNCTION("""COMPUTED_VALUE"""),0.142857142857142)</f>
        <v>0.1428571429</v>
      </c>
      <c r="P41" s="8">
        <f>IFERROR(__xludf.DUMMYFUNCTION("""COMPUTED_VALUE"""),0.0952380952380952)</f>
        <v>0.09523809524</v>
      </c>
      <c r="Q41" s="8">
        <f>IFERROR(__xludf.DUMMYFUNCTION("""COMPUTED_VALUE"""),0.0)</f>
        <v>0</v>
      </c>
      <c r="R41" s="8">
        <f>IFERROR(__xludf.DUMMYFUNCTION("""COMPUTED_VALUE"""),0.0)</f>
        <v>0</v>
      </c>
      <c r="S41" s="8">
        <f>IFERROR(__xludf.DUMMYFUNCTION("""COMPUTED_VALUE"""),0.0)</f>
        <v>0</v>
      </c>
      <c r="T41" s="8">
        <f>IFERROR(__xludf.DUMMYFUNCTION("""COMPUTED_VALUE"""),0.0)</f>
        <v>0</v>
      </c>
      <c r="U41" s="8">
        <f>IFERROR(__xludf.DUMMYFUNCTION("""COMPUTED_VALUE"""),0.0)</f>
        <v>0</v>
      </c>
      <c r="V41" s="8">
        <f>IFERROR(__xludf.DUMMYFUNCTION("""COMPUTED_VALUE"""),0.0)</f>
        <v>0</v>
      </c>
      <c r="W41" s="8">
        <f>IFERROR(__xludf.DUMMYFUNCTION("""COMPUTED_VALUE"""),0.0)</f>
        <v>0</v>
      </c>
      <c r="X41" s="8">
        <f>IFERROR(__xludf.DUMMYFUNCTION("""COMPUTED_VALUE"""),0.0)</f>
        <v>0</v>
      </c>
      <c r="Y41" s="8">
        <f>IFERROR(__xludf.DUMMYFUNCTION("""COMPUTED_VALUE"""),0.0)</f>
        <v>0</v>
      </c>
      <c r="Z41" s="8">
        <f>IFERROR(__xludf.DUMMYFUNCTION("""COMPUTED_VALUE"""),0.0)</f>
        <v>0</v>
      </c>
      <c r="AA41" s="8">
        <f>IFERROR(__xludf.DUMMYFUNCTION("""COMPUTED_VALUE"""),0.0)</f>
        <v>0</v>
      </c>
      <c r="AB41" s="8">
        <f>IFERROR(__xludf.DUMMYFUNCTION("""COMPUTED_VALUE"""),0.0)</f>
        <v>0</v>
      </c>
      <c r="AC41" s="8">
        <f>IFERROR(__xludf.DUMMYFUNCTION("""COMPUTED_VALUE"""),0.0)</f>
        <v>0</v>
      </c>
    </row>
    <row r="42" ht="15.75" customHeight="1">
      <c r="A42" s="6" t="str">
        <f>IFERROR(__xludf.DUMMYFUNCTION("""COMPUTED_VALUE"""),"234ed47144507d63e9a903acfe37512c24bc9290")</f>
        <v>234ed47144507d63e9a903acfe37512c24bc9290</v>
      </c>
      <c r="B42" s="6" t="str">
        <f>IFERROR(__xludf.DUMMYFUNCTION("""COMPUTED_VALUE"""),"Twists of Love &amp; Revenge")</f>
        <v>Twists of Love &amp; Revenge</v>
      </c>
      <c r="C42" s="6" t="str">
        <f>IFERROR(__xludf.DUMMYFUNCTION("""COMPUTED_VALUE"""),"Drama")</f>
        <v>Drama</v>
      </c>
      <c r="D42" s="17">
        <f>IFERROR(__xludf.DUMMYFUNCTION("""COMPUTED_VALUE"""),9279.0)</f>
        <v>9279</v>
      </c>
      <c r="E42" s="8">
        <f>IFERROR(__xludf.DUMMYFUNCTION("""COMPUTED_VALUE"""),0.950183308173387)</f>
        <v>0.9501833082</v>
      </c>
      <c r="F42" s="8">
        <f>IFERROR(__xludf.DUMMYFUNCTION("""COMPUTED_VALUE"""),0.71006363930536)</f>
        <v>0.7100636393</v>
      </c>
      <c r="G42" s="8">
        <f>IFERROR(__xludf.DUMMYFUNCTION("""COMPUTED_VALUE"""),0.658036677454153)</f>
        <v>0.6580366775</v>
      </c>
      <c r="H42" s="8">
        <f>IFERROR(__xludf.DUMMYFUNCTION("""COMPUTED_VALUE"""),0.612130369091301)</f>
        <v>0.6121303691</v>
      </c>
      <c r="I42" s="8">
        <f>IFERROR(__xludf.DUMMYFUNCTION("""COMPUTED_VALUE"""),0.584781435509983)</f>
        <v>0.5847814355</v>
      </c>
      <c r="J42" s="8">
        <f>IFERROR(__xludf.DUMMYFUNCTION("""COMPUTED_VALUE"""),0.568513119533527)</f>
        <v>0.5685131195</v>
      </c>
      <c r="K42" s="8">
        <f>IFERROR(__xludf.DUMMYFUNCTION("""COMPUTED_VALUE"""),0.553359256858932)</f>
        <v>0.5533592569</v>
      </c>
      <c r="L42" s="8">
        <f>IFERROR(__xludf.DUMMYFUNCTION("""COMPUTED_VALUE"""),0.539550464663929)</f>
        <v>0.5395504647</v>
      </c>
      <c r="M42" s="8">
        <f>IFERROR(__xludf.DUMMYFUNCTION("""COMPUTED_VALUE"""),0.529621621621621)</f>
        <v>0.5296216216</v>
      </c>
      <c r="N42" s="8">
        <f>IFERROR(__xludf.DUMMYFUNCTION("""COMPUTED_VALUE"""),0.522171749945922)</f>
        <v>0.5221717499</v>
      </c>
      <c r="O42" s="8">
        <f>IFERROR(__xludf.DUMMYFUNCTION("""COMPUTED_VALUE"""),0.498753927836168)</f>
        <v>0.4987539278</v>
      </c>
      <c r="P42" s="8">
        <f>IFERROR(__xludf.DUMMYFUNCTION("""COMPUTED_VALUE"""),0.449276938131999)</f>
        <v>0.4492769381</v>
      </c>
      <c r="Q42" s="8">
        <f>IFERROR(__xludf.DUMMYFUNCTION("""COMPUTED_VALUE"""),0.37038659511554)</f>
        <v>0.3703865951</v>
      </c>
      <c r="R42" s="8">
        <f>IFERROR(__xludf.DUMMYFUNCTION("""COMPUTED_VALUE"""),0.295945350374614)</f>
        <v>0.2959453504</v>
      </c>
      <c r="S42" s="8">
        <f>IFERROR(__xludf.DUMMYFUNCTION("""COMPUTED_VALUE"""),0.268284574468085)</f>
        <v>0.2682845745</v>
      </c>
      <c r="T42" s="8">
        <f>IFERROR(__xludf.DUMMYFUNCTION("""COMPUTED_VALUE"""),0.254812506954489)</f>
        <v>0.254812507</v>
      </c>
      <c r="U42" s="8">
        <f>IFERROR(__xludf.DUMMYFUNCTION("""COMPUTED_VALUE"""),0.230855101585175)</f>
        <v>0.2308551016</v>
      </c>
      <c r="V42" s="8">
        <f>IFERROR(__xludf.DUMMYFUNCTION("""COMPUTED_VALUE"""),0.212745762711864)</f>
        <v>0.2127457627</v>
      </c>
      <c r="W42" s="8">
        <f>IFERROR(__xludf.DUMMYFUNCTION("""COMPUTED_VALUE"""),0.200926055843973)</f>
        <v>0.2009260558</v>
      </c>
      <c r="X42" s="8">
        <f>IFERROR(__xludf.DUMMYFUNCTION("""COMPUTED_VALUE"""),0.18227501142074)</f>
        <v>0.1822750114</v>
      </c>
      <c r="Y42" s="8">
        <f>IFERROR(__xludf.DUMMYFUNCTION("""COMPUTED_VALUE"""),0.161769560911191)</f>
        <v>0.1617695609</v>
      </c>
      <c r="Z42" s="8">
        <f>IFERROR(__xludf.DUMMYFUNCTION("""COMPUTED_VALUE"""),0.135809018567639)</f>
        <v>0.1358090186</v>
      </c>
      <c r="AA42" s="8">
        <f>IFERROR(__xludf.DUMMYFUNCTION("""COMPUTED_VALUE"""),0.0727713765918738)</f>
        <v>0.07277137659</v>
      </c>
      <c r="AB42" s="8">
        <f>IFERROR(__xludf.DUMMYFUNCTION("""COMPUTED_VALUE"""),0.0305555555555555)</f>
        <v>0.03055555556</v>
      </c>
      <c r="AC42" s="8">
        <f>IFERROR(__xludf.DUMMYFUNCTION("""COMPUTED_VALUE"""),0.0)</f>
        <v>0</v>
      </c>
    </row>
    <row r="43" ht="15.75" customHeight="1">
      <c r="A43" s="6" t="str">
        <f>IFERROR(__xludf.DUMMYFUNCTION("""COMPUTED_VALUE"""),"239987644f409ac822be4ca9051a98eb8bf7e766")</f>
        <v>239987644f409ac822be4ca9051a98eb8bf7e766</v>
      </c>
      <c r="B43" s="6" t="str">
        <f>IFERROR(__xludf.DUMMYFUNCTION("""COMPUTED_VALUE"""),"The Silent Rebirth")</f>
        <v>The Silent Rebirth</v>
      </c>
      <c r="C43" s="6" t="str">
        <f>IFERROR(__xludf.DUMMYFUNCTION("""COMPUTED_VALUE"""),"Romantasy")</f>
        <v>Romantasy</v>
      </c>
      <c r="D43" s="17">
        <f>IFERROR(__xludf.DUMMYFUNCTION("""COMPUTED_VALUE"""),5115.0)</f>
        <v>5115</v>
      </c>
      <c r="E43" s="8">
        <f>IFERROR(__xludf.DUMMYFUNCTION("""COMPUTED_VALUE"""),0.965780211184982)</f>
        <v>0.9657802112</v>
      </c>
      <c r="F43" s="8">
        <f>IFERROR(__xludf.DUMMYFUNCTION("""COMPUTED_VALUE"""),0.584588304322315)</f>
        <v>0.5845883043</v>
      </c>
      <c r="G43" s="8">
        <f>IFERROR(__xludf.DUMMYFUNCTION("""COMPUTED_VALUE"""),0.525625978090766)</f>
        <v>0.5256259781</v>
      </c>
      <c r="H43" s="8">
        <f>IFERROR(__xludf.DUMMYFUNCTION("""COMPUTED_VALUE"""),0.493348982785602)</f>
        <v>0.4933489828</v>
      </c>
      <c r="I43" s="8">
        <f>IFERROR(__xludf.DUMMYFUNCTION("""COMPUTED_VALUE"""),0.476227744081393)</f>
        <v>0.4762277441</v>
      </c>
      <c r="J43" s="8">
        <f>IFERROR(__xludf.DUMMYFUNCTION("""COMPUTED_VALUE"""),0.451575034239874)</f>
        <v>0.4515750342</v>
      </c>
      <c r="K43" s="8">
        <f>IFERROR(__xludf.DUMMYFUNCTION("""COMPUTED_VALUE"""),0.429745596868884)</f>
        <v>0.4297455969</v>
      </c>
      <c r="L43" s="8">
        <f>IFERROR(__xludf.DUMMYFUNCTION("""COMPUTED_VALUE"""),0.41839530332681)</f>
        <v>0.4183953033</v>
      </c>
      <c r="M43" s="8">
        <f>IFERROR(__xludf.DUMMYFUNCTION("""COMPUTED_VALUE"""),0.409001956947162)</f>
        <v>0.4090019569</v>
      </c>
      <c r="N43" s="8">
        <f>IFERROR(__xludf.DUMMYFUNCTION("""COMPUTED_VALUE"""),0.398590446358653)</f>
        <v>0.3985904464</v>
      </c>
      <c r="O43" s="8">
        <f>IFERROR(__xludf.DUMMYFUNCTION("""COMPUTED_VALUE"""),0.382231810158854)</f>
        <v>0.3822318102</v>
      </c>
      <c r="P43" s="8">
        <f>IFERROR(__xludf.DUMMYFUNCTION("""COMPUTED_VALUE"""),0.325855962219598)</f>
        <v>0.3258559622</v>
      </c>
      <c r="Q43" s="8">
        <f>IFERROR(__xludf.DUMMYFUNCTION("""COMPUTED_VALUE"""),0.240784780023781)</f>
        <v>0.24078478</v>
      </c>
      <c r="R43" s="8">
        <f>IFERROR(__xludf.DUMMYFUNCTION("""COMPUTED_VALUE"""),0.210869077026723)</f>
        <v>0.210869077</v>
      </c>
      <c r="S43" s="8">
        <f>IFERROR(__xludf.DUMMYFUNCTION("""COMPUTED_VALUE"""),0.184580108913728)</f>
        <v>0.1845801089</v>
      </c>
      <c r="T43" s="8">
        <f>IFERROR(__xludf.DUMMYFUNCTION("""COMPUTED_VALUE"""),0.15924276169265)</f>
        <v>0.1592427617</v>
      </c>
      <c r="U43" s="8">
        <f>IFERROR(__xludf.DUMMYFUNCTION("""COMPUTED_VALUE"""),0.14328105129292)</f>
        <v>0.1432810513</v>
      </c>
      <c r="V43" s="8">
        <f>IFERROR(__xludf.DUMMYFUNCTION("""COMPUTED_VALUE"""),0.131291028446389)</f>
        <v>0.1312910284</v>
      </c>
      <c r="W43" s="8">
        <f>IFERROR(__xludf.DUMMYFUNCTION("""COMPUTED_VALUE"""),0.101140684410646)</f>
        <v>0.1011406844</v>
      </c>
      <c r="X43" s="8">
        <f>IFERROR(__xludf.DUMMYFUNCTION("""COMPUTED_VALUE"""),0.0782190132370637)</f>
        <v>0.07821901324</v>
      </c>
      <c r="Y43" s="8">
        <f>IFERROR(__xludf.DUMMYFUNCTION("""COMPUTED_VALUE"""),0.0)</f>
        <v>0</v>
      </c>
      <c r="Z43" s="8">
        <f>IFERROR(__xludf.DUMMYFUNCTION("""COMPUTED_VALUE"""),0.0)</f>
        <v>0</v>
      </c>
      <c r="AA43" s="8">
        <f>IFERROR(__xludf.DUMMYFUNCTION("""COMPUTED_VALUE"""),0.0)</f>
        <v>0</v>
      </c>
      <c r="AB43" s="8">
        <f>IFERROR(__xludf.DUMMYFUNCTION("""COMPUTED_VALUE"""),0.0)</f>
        <v>0</v>
      </c>
      <c r="AC43" s="8">
        <f>IFERROR(__xludf.DUMMYFUNCTION("""COMPUTED_VALUE"""),0.0)</f>
        <v>0</v>
      </c>
    </row>
    <row r="44" ht="15.75" customHeight="1">
      <c r="A44" s="6" t="str">
        <f>IFERROR(__xludf.DUMMYFUNCTION("""COMPUTED_VALUE"""),"239fafc880752526fba110a11c49b101aec7192f")</f>
        <v>239fafc880752526fba110a11c49b101aec7192f</v>
      </c>
      <c r="B44" s="6" t="str">
        <f>IFERROR(__xludf.DUMMYFUNCTION("""COMPUTED_VALUE"""),"Mama's Lil Kings")</f>
        <v>Mama's Lil Kings</v>
      </c>
      <c r="C44" s="6" t="str">
        <f>IFERROR(__xludf.DUMMYFUNCTION("""COMPUTED_VALUE"""),"Drama")</f>
        <v>Drama</v>
      </c>
      <c r="D44" s="17">
        <f>IFERROR(__xludf.DUMMYFUNCTION("""COMPUTED_VALUE"""),90.0)</f>
        <v>90</v>
      </c>
      <c r="E44" s="8">
        <f>IFERROR(__xludf.DUMMYFUNCTION("""COMPUTED_VALUE"""),0.977272727272727)</f>
        <v>0.9772727273</v>
      </c>
      <c r="F44" s="8">
        <f>IFERROR(__xludf.DUMMYFUNCTION("""COMPUTED_VALUE"""),0.170454545454545)</f>
        <v>0.1704545455</v>
      </c>
      <c r="G44" s="8">
        <f>IFERROR(__xludf.DUMMYFUNCTION("""COMPUTED_VALUE"""),0.159090909090909)</f>
        <v>0.1590909091</v>
      </c>
      <c r="H44" s="8">
        <f>IFERROR(__xludf.DUMMYFUNCTION("""COMPUTED_VALUE"""),0.102272727272727)</f>
        <v>0.1022727273</v>
      </c>
      <c r="I44" s="8">
        <f>IFERROR(__xludf.DUMMYFUNCTION("""COMPUTED_VALUE"""),0.0909090909090909)</f>
        <v>0.09090909091</v>
      </c>
      <c r="J44" s="8">
        <f>IFERROR(__xludf.DUMMYFUNCTION("""COMPUTED_VALUE"""),0.0697674418604651)</f>
        <v>0.06976744186</v>
      </c>
      <c r="K44" s="8">
        <f>IFERROR(__xludf.DUMMYFUNCTION("""COMPUTED_VALUE"""),0.0705882352941176)</f>
        <v>0.07058823529</v>
      </c>
      <c r="L44" s="8">
        <f>IFERROR(__xludf.DUMMYFUNCTION("""COMPUTED_VALUE"""),0.0595238095238095)</f>
        <v>0.05952380952</v>
      </c>
      <c r="M44" s="8">
        <f>IFERROR(__xludf.DUMMYFUNCTION("""COMPUTED_VALUE"""),0.0595238095238095)</f>
        <v>0.05952380952</v>
      </c>
      <c r="N44" s="8">
        <f>IFERROR(__xludf.DUMMYFUNCTION("""COMPUTED_VALUE"""),0.074074074074074)</f>
        <v>0.07407407407</v>
      </c>
      <c r="O44" s="8">
        <f>IFERROR(__xludf.DUMMYFUNCTION("""COMPUTED_VALUE"""),0.0759493670886076)</f>
        <v>0.07594936709</v>
      </c>
      <c r="P44" s="8">
        <f>IFERROR(__xludf.DUMMYFUNCTION("""COMPUTED_VALUE"""),0.0512820512820512)</f>
        <v>0.05128205128</v>
      </c>
      <c r="Q44" s="8">
        <f>IFERROR(__xludf.DUMMYFUNCTION("""COMPUTED_VALUE"""),0.0526315789473684)</f>
        <v>0.05263157895</v>
      </c>
      <c r="R44" s="8">
        <f>IFERROR(__xludf.DUMMYFUNCTION("""COMPUTED_VALUE"""),0.0405405405405405)</f>
        <v>0.04054054054</v>
      </c>
      <c r="S44" s="8">
        <f>IFERROR(__xludf.DUMMYFUNCTION("""COMPUTED_VALUE"""),0.0273972602739726)</f>
        <v>0.02739726027</v>
      </c>
      <c r="T44" s="8">
        <f>IFERROR(__xludf.DUMMYFUNCTION("""COMPUTED_VALUE"""),0.044776119402985)</f>
        <v>0.0447761194</v>
      </c>
      <c r="U44" s="8">
        <f>IFERROR(__xludf.DUMMYFUNCTION("""COMPUTED_VALUE"""),0.0508474576271186)</f>
        <v>0.05084745763</v>
      </c>
      <c r="V44" s="8">
        <f>IFERROR(__xludf.DUMMYFUNCTION("""COMPUTED_VALUE"""),0.0555555555555555)</f>
        <v>0.05555555556</v>
      </c>
      <c r="W44" s="8">
        <f>IFERROR(__xludf.DUMMYFUNCTION("""COMPUTED_VALUE"""),0.0638297872340425)</f>
        <v>0.06382978723</v>
      </c>
      <c r="X44" s="8">
        <f>IFERROR(__xludf.DUMMYFUNCTION("""COMPUTED_VALUE"""),0.0217391304347826)</f>
        <v>0.02173913043</v>
      </c>
      <c r="Y44" s="8">
        <f>IFERROR(__xludf.DUMMYFUNCTION("""COMPUTED_VALUE"""),0.048780487804878)</f>
        <v>0.0487804878</v>
      </c>
      <c r="Z44" s="8">
        <f>IFERROR(__xludf.DUMMYFUNCTION("""COMPUTED_VALUE"""),0.0)</f>
        <v>0</v>
      </c>
      <c r="AA44" s="8">
        <f>IFERROR(__xludf.DUMMYFUNCTION("""COMPUTED_VALUE"""),0.0)</f>
        <v>0</v>
      </c>
      <c r="AB44" s="8">
        <f>IFERROR(__xludf.DUMMYFUNCTION("""COMPUTED_VALUE"""),0.0)</f>
        <v>0</v>
      </c>
      <c r="AC44" s="8">
        <f>IFERROR(__xludf.DUMMYFUNCTION("""COMPUTED_VALUE"""),0.0)</f>
        <v>0</v>
      </c>
    </row>
    <row r="45" ht="15.75" customHeight="1">
      <c r="A45" s="6" t="str">
        <f>IFERROR(__xludf.DUMMYFUNCTION("""COMPUTED_VALUE"""),"23a0bb3d5deb8d4707bdb34175170e288d724c97")</f>
        <v>23a0bb3d5deb8d4707bdb34175170e288d724c97</v>
      </c>
      <c r="B45" s="6" t="str">
        <f>IFERROR(__xludf.DUMMYFUNCTION("""COMPUTED_VALUE"""),"System of Super Tech")</f>
        <v>System of Super Tech</v>
      </c>
      <c r="C45" s="6" t="str">
        <f>IFERROR(__xludf.DUMMYFUNCTION("""COMPUTED_VALUE"""),"System and Superpower")</f>
        <v>System and Superpower</v>
      </c>
      <c r="D45" s="17">
        <f>IFERROR(__xludf.DUMMYFUNCTION("""COMPUTED_VALUE"""),684.0)</f>
        <v>684</v>
      </c>
      <c r="E45" s="8">
        <f>IFERROR(__xludf.DUMMYFUNCTION("""COMPUTED_VALUE"""),0.98391812865497)</f>
        <v>0.9839181287</v>
      </c>
      <c r="F45" s="8">
        <f>IFERROR(__xludf.DUMMYFUNCTION("""COMPUTED_VALUE"""),0.536873156342182)</f>
        <v>0.5368731563</v>
      </c>
      <c r="G45" s="8">
        <f>IFERROR(__xludf.DUMMYFUNCTION("""COMPUTED_VALUE"""),0.437223042836041)</f>
        <v>0.4372230428</v>
      </c>
      <c r="H45" s="8">
        <f>IFERROR(__xludf.DUMMYFUNCTION("""COMPUTED_VALUE"""),0.402985074626865)</f>
        <v>0.4029850746</v>
      </c>
      <c r="I45" s="8">
        <f>IFERROR(__xludf.DUMMYFUNCTION("""COMPUTED_VALUE"""),0.369924812030075)</f>
        <v>0.369924812</v>
      </c>
      <c r="J45" s="8">
        <f>IFERROR(__xludf.DUMMYFUNCTION("""COMPUTED_VALUE"""),0.346504559270516)</f>
        <v>0.3465045593</v>
      </c>
      <c r="K45" s="8">
        <f>IFERROR(__xludf.DUMMYFUNCTION("""COMPUTED_VALUE"""),0.330261136712749)</f>
        <v>0.3302611367</v>
      </c>
      <c r="L45" s="8">
        <f>IFERROR(__xludf.DUMMYFUNCTION("""COMPUTED_VALUE"""),0.300787401574803)</f>
        <v>0.3007874016</v>
      </c>
      <c r="M45" s="8">
        <f>IFERROR(__xludf.DUMMYFUNCTION("""COMPUTED_VALUE"""),0.287781350482315)</f>
        <v>0.2877813505</v>
      </c>
      <c r="N45" s="8">
        <f>IFERROR(__xludf.DUMMYFUNCTION("""COMPUTED_VALUE"""),0.275488069414316)</f>
        <v>0.2754880694</v>
      </c>
      <c r="O45" s="8">
        <f>IFERROR(__xludf.DUMMYFUNCTION("""COMPUTED_VALUE"""),0.25)</f>
        <v>0.25</v>
      </c>
      <c r="P45" s="8">
        <f>IFERROR(__xludf.DUMMYFUNCTION("""COMPUTED_VALUE"""),0.155555555555555)</f>
        <v>0.1555555556</v>
      </c>
      <c r="Q45" s="8">
        <f>IFERROR(__xludf.DUMMYFUNCTION("""COMPUTED_VALUE"""),0.0909090909090909)</f>
        <v>0.09090909091</v>
      </c>
      <c r="R45" s="8">
        <f>IFERROR(__xludf.DUMMYFUNCTION("""COMPUTED_VALUE"""),0.0)</f>
        <v>0</v>
      </c>
      <c r="S45" s="8">
        <f>IFERROR(__xludf.DUMMYFUNCTION("""COMPUTED_VALUE"""),0.0)</f>
        <v>0</v>
      </c>
      <c r="T45" s="8">
        <f>IFERROR(__xludf.DUMMYFUNCTION("""COMPUTED_VALUE"""),0.0)</f>
        <v>0</v>
      </c>
      <c r="U45" s="8">
        <f>IFERROR(__xludf.DUMMYFUNCTION("""COMPUTED_VALUE"""),0.0)</f>
        <v>0</v>
      </c>
      <c r="V45" s="8">
        <f>IFERROR(__xludf.DUMMYFUNCTION("""COMPUTED_VALUE"""),0.0)</f>
        <v>0</v>
      </c>
      <c r="W45" s="8">
        <f>IFERROR(__xludf.DUMMYFUNCTION("""COMPUTED_VALUE"""),0.0)</f>
        <v>0</v>
      </c>
      <c r="X45" s="8">
        <f>IFERROR(__xludf.DUMMYFUNCTION("""COMPUTED_VALUE"""),0.0)</f>
        <v>0</v>
      </c>
      <c r="Y45" s="8">
        <f>IFERROR(__xludf.DUMMYFUNCTION("""COMPUTED_VALUE"""),0.0)</f>
        <v>0</v>
      </c>
      <c r="Z45" s="8">
        <f>IFERROR(__xludf.DUMMYFUNCTION("""COMPUTED_VALUE"""),0.0)</f>
        <v>0</v>
      </c>
      <c r="AA45" s="8">
        <f>IFERROR(__xludf.DUMMYFUNCTION("""COMPUTED_VALUE"""),0.0)</f>
        <v>0</v>
      </c>
      <c r="AB45" s="8">
        <f>IFERROR(__xludf.DUMMYFUNCTION("""COMPUTED_VALUE"""),0.0)</f>
        <v>0</v>
      </c>
      <c r="AC45" s="8">
        <f>IFERROR(__xludf.DUMMYFUNCTION("""COMPUTED_VALUE"""),0.0)</f>
        <v>0</v>
      </c>
    </row>
    <row r="46" ht="15.75" customHeight="1">
      <c r="A46" s="6" t="str">
        <f>IFERROR(__xludf.DUMMYFUNCTION("""COMPUTED_VALUE"""),"247dcedeaecc161909c6ddd57b599f4e38d758d8")</f>
        <v>247dcedeaecc161909c6ddd57b599f4e38d758d8</v>
      </c>
      <c r="B46" s="6" t="str">
        <f>IFERROR(__xludf.DUMMYFUNCTION("""COMPUTED_VALUE"""),"A Christmas of Betrayals")</f>
        <v>A Christmas of Betrayals</v>
      </c>
      <c r="C46" s="6" t="str">
        <f>IFERROR(__xludf.DUMMYFUNCTION("""COMPUTED_VALUE"""),"Romance")</f>
        <v>Romance</v>
      </c>
      <c r="D46" s="17">
        <f>IFERROR(__xludf.DUMMYFUNCTION("""COMPUTED_VALUE"""),176.0)</f>
        <v>176</v>
      </c>
      <c r="E46" s="8">
        <f>IFERROR(__xludf.DUMMYFUNCTION("""COMPUTED_VALUE"""),0.948863636363636)</f>
        <v>0.9488636364</v>
      </c>
      <c r="F46" s="8">
        <f>IFERROR(__xludf.DUMMYFUNCTION("""COMPUTED_VALUE"""),0.630681818181818)</f>
        <v>0.6306818182</v>
      </c>
      <c r="G46" s="8">
        <f>IFERROR(__xludf.DUMMYFUNCTION("""COMPUTED_VALUE"""),0.5625)</f>
        <v>0.5625</v>
      </c>
      <c r="H46" s="8">
        <f>IFERROR(__xludf.DUMMYFUNCTION("""COMPUTED_VALUE"""),0.502857142857142)</f>
        <v>0.5028571429</v>
      </c>
      <c r="I46" s="8">
        <f>IFERROR(__xludf.DUMMYFUNCTION("""COMPUTED_VALUE"""),0.4)</f>
        <v>0.4</v>
      </c>
      <c r="J46" s="8">
        <f>IFERROR(__xludf.DUMMYFUNCTION("""COMPUTED_VALUE"""),0.411428571428571)</f>
        <v>0.4114285714</v>
      </c>
      <c r="K46" s="8">
        <f>IFERROR(__xludf.DUMMYFUNCTION("""COMPUTED_VALUE"""),0.382857142857142)</f>
        <v>0.3828571429</v>
      </c>
      <c r="L46" s="8">
        <f>IFERROR(__xludf.DUMMYFUNCTION("""COMPUTED_VALUE"""),0.348837209302325)</f>
        <v>0.3488372093</v>
      </c>
      <c r="M46" s="8">
        <f>IFERROR(__xludf.DUMMYFUNCTION("""COMPUTED_VALUE"""),0.31578947368421)</f>
        <v>0.3157894737</v>
      </c>
      <c r="N46" s="8">
        <f>IFERROR(__xludf.DUMMYFUNCTION("""COMPUTED_VALUE"""),0.294117647058823)</f>
        <v>0.2941176471</v>
      </c>
      <c r="O46" s="8">
        <f>IFERROR(__xludf.DUMMYFUNCTION("""COMPUTED_VALUE"""),0.25)</f>
        <v>0.25</v>
      </c>
      <c r="P46" s="8">
        <f>IFERROR(__xludf.DUMMYFUNCTION("""COMPUTED_VALUE"""),0.171232876712328)</f>
        <v>0.1712328767</v>
      </c>
      <c r="Q46" s="8">
        <f>IFERROR(__xludf.DUMMYFUNCTION("""COMPUTED_VALUE"""),0.11)</f>
        <v>0.11</v>
      </c>
      <c r="R46" s="8">
        <f>IFERROR(__xludf.DUMMYFUNCTION("""COMPUTED_VALUE"""),0.0)</f>
        <v>0</v>
      </c>
      <c r="S46" s="8">
        <f>IFERROR(__xludf.DUMMYFUNCTION("""COMPUTED_VALUE"""),0.0)</f>
        <v>0</v>
      </c>
      <c r="T46" s="8">
        <f>IFERROR(__xludf.DUMMYFUNCTION("""COMPUTED_VALUE"""),0.0)</f>
        <v>0</v>
      </c>
      <c r="U46" s="8">
        <f>IFERROR(__xludf.DUMMYFUNCTION("""COMPUTED_VALUE"""),0.0)</f>
        <v>0</v>
      </c>
      <c r="V46" s="8">
        <f>IFERROR(__xludf.DUMMYFUNCTION("""COMPUTED_VALUE"""),0.0)</f>
        <v>0</v>
      </c>
      <c r="W46" s="8">
        <f>IFERROR(__xludf.DUMMYFUNCTION("""COMPUTED_VALUE"""),0.0)</f>
        <v>0</v>
      </c>
      <c r="X46" s="8">
        <f>IFERROR(__xludf.DUMMYFUNCTION("""COMPUTED_VALUE"""),0.0)</f>
        <v>0</v>
      </c>
      <c r="Y46" s="8">
        <f>IFERROR(__xludf.DUMMYFUNCTION("""COMPUTED_VALUE"""),0.0)</f>
        <v>0</v>
      </c>
      <c r="Z46" s="8">
        <f>IFERROR(__xludf.DUMMYFUNCTION("""COMPUTED_VALUE"""),0.0)</f>
        <v>0</v>
      </c>
      <c r="AA46" s="8">
        <f>IFERROR(__xludf.DUMMYFUNCTION("""COMPUTED_VALUE"""),0.0)</f>
        <v>0</v>
      </c>
      <c r="AB46" s="8">
        <f>IFERROR(__xludf.DUMMYFUNCTION("""COMPUTED_VALUE"""),0.0)</f>
        <v>0</v>
      </c>
      <c r="AC46" s="8">
        <f>IFERROR(__xludf.DUMMYFUNCTION("""COMPUTED_VALUE"""),0.0)</f>
        <v>0</v>
      </c>
    </row>
    <row r="47" ht="15.75" customHeight="1">
      <c r="A47" s="6" t="str">
        <f>IFERROR(__xludf.DUMMYFUNCTION("""COMPUTED_VALUE"""),"248aae390e84177edc04ecc06fac6c17aed375ff")</f>
        <v>248aae390e84177edc04ecc06fac6c17aed375ff</v>
      </c>
      <c r="B47" s="6" t="str">
        <f>IFERROR(__xludf.DUMMYFUNCTION("""COMPUTED_VALUE"""),"Silver Onyx: Dragonbound")</f>
        <v>Silver Onyx: Dragonbound</v>
      </c>
      <c r="C47" s="6" t="str">
        <f>IFERROR(__xludf.DUMMYFUNCTION("""COMPUTED_VALUE"""),"Romantasy")</f>
        <v>Romantasy</v>
      </c>
      <c r="D47" s="17">
        <f>IFERROR(__xludf.DUMMYFUNCTION("""COMPUTED_VALUE"""),504.0)</f>
        <v>504</v>
      </c>
      <c r="E47" s="8">
        <f>IFERROR(__xludf.DUMMYFUNCTION("""COMPUTED_VALUE"""),0.972222222222222)</f>
        <v>0.9722222222</v>
      </c>
      <c r="F47" s="8">
        <f>IFERROR(__xludf.DUMMYFUNCTION("""COMPUTED_VALUE"""),0.590457256461232)</f>
        <v>0.5904572565</v>
      </c>
      <c r="G47" s="8">
        <f>IFERROR(__xludf.DUMMYFUNCTION("""COMPUTED_VALUE"""),0.54690618762475)</f>
        <v>0.5469061876</v>
      </c>
      <c r="H47" s="8">
        <f>IFERROR(__xludf.DUMMYFUNCTION("""COMPUTED_VALUE"""),0.513026052104208)</f>
        <v>0.5130260521</v>
      </c>
      <c r="I47" s="8">
        <f>IFERROR(__xludf.DUMMYFUNCTION("""COMPUTED_VALUE"""),0.496993987975951)</f>
        <v>0.496993988</v>
      </c>
      <c r="J47" s="8">
        <f>IFERROR(__xludf.DUMMYFUNCTION("""COMPUTED_VALUE"""),0.486973947895791)</f>
        <v>0.4869739479</v>
      </c>
      <c r="K47" s="8">
        <f>IFERROR(__xludf.DUMMYFUNCTION("""COMPUTED_VALUE"""),0.475806451612903)</f>
        <v>0.4758064516</v>
      </c>
      <c r="L47" s="8">
        <f>IFERROR(__xludf.DUMMYFUNCTION("""COMPUTED_VALUE"""),0.471428571428571)</f>
        <v>0.4714285714</v>
      </c>
      <c r="M47" s="8">
        <f>IFERROR(__xludf.DUMMYFUNCTION("""COMPUTED_VALUE"""),0.464065708418891)</f>
        <v>0.4640657084</v>
      </c>
      <c r="N47" s="8">
        <f>IFERROR(__xludf.DUMMYFUNCTION("""COMPUTED_VALUE"""),0.466244725738396)</f>
        <v>0.4662447257</v>
      </c>
      <c r="O47" s="8">
        <f>IFERROR(__xludf.DUMMYFUNCTION("""COMPUTED_VALUE"""),0.6375)</f>
        <v>0.6375</v>
      </c>
      <c r="P47" s="8">
        <f>IFERROR(__xludf.DUMMYFUNCTION("""COMPUTED_VALUE"""),0.523809523809523)</f>
        <v>0.5238095238</v>
      </c>
      <c r="Q47" s="8">
        <f>IFERROR(__xludf.DUMMYFUNCTION("""COMPUTED_VALUE"""),0.0)</f>
        <v>0</v>
      </c>
      <c r="R47" s="8">
        <f>IFERROR(__xludf.DUMMYFUNCTION("""COMPUTED_VALUE"""),0.0)</f>
        <v>0</v>
      </c>
      <c r="S47" s="8">
        <f>IFERROR(__xludf.DUMMYFUNCTION("""COMPUTED_VALUE"""),0.0)</f>
        <v>0</v>
      </c>
      <c r="T47" s="8">
        <f>IFERROR(__xludf.DUMMYFUNCTION("""COMPUTED_VALUE"""),0.0)</f>
        <v>0</v>
      </c>
      <c r="U47" s="8">
        <f>IFERROR(__xludf.DUMMYFUNCTION("""COMPUTED_VALUE"""),0.0)</f>
        <v>0</v>
      </c>
      <c r="V47" s="8">
        <f>IFERROR(__xludf.DUMMYFUNCTION("""COMPUTED_VALUE"""),0.0)</f>
        <v>0</v>
      </c>
      <c r="W47" s="8">
        <f>IFERROR(__xludf.DUMMYFUNCTION("""COMPUTED_VALUE"""),0.0)</f>
        <v>0</v>
      </c>
      <c r="X47" s="8">
        <f>IFERROR(__xludf.DUMMYFUNCTION("""COMPUTED_VALUE"""),0.0)</f>
        <v>0</v>
      </c>
      <c r="Y47" s="8">
        <f>IFERROR(__xludf.DUMMYFUNCTION("""COMPUTED_VALUE"""),0.0)</f>
        <v>0</v>
      </c>
      <c r="Z47" s="8">
        <f>IFERROR(__xludf.DUMMYFUNCTION("""COMPUTED_VALUE"""),0.0)</f>
        <v>0</v>
      </c>
      <c r="AA47" s="8">
        <f>IFERROR(__xludf.DUMMYFUNCTION("""COMPUTED_VALUE"""),0.0)</f>
        <v>0</v>
      </c>
      <c r="AB47" s="8">
        <f>IFERROR(__xludf.DUMMYFUNCTION("""COMPUTED_VALUE"""),0.0)</f>
        <v>0</v>
      </c>
      <c r="AC47" s="8">
        <f>IFERROR(__xludf.DUMMYFUNCTION("""COMPUTED_VALUE"""),0.0)</f>
        <v>0</v>
      </c>
    </row>
    <row r="48" ht="15.75" customHeight="1">
      <c r="A48" s="6" t="str">
        <f>IFERROR(__xludf.DUMMYFUNCTION("""COMPUTED_VALUE"""),"248ba0ec55862a22dd7993c8b49d5f052ce03954")</f>
        <v>248ba0ec55862a22dd7993c8b49d5f052ce03954</v>
      </c>
      <c r="B48" s="6" t="str">
        <f>IFERROR(__xludf.DUMMYFUNCTION("""COMPUTED_VALUE"""),"The Silent Sovereign")</f>
        <v>The Silent Sovereign</v>
      </c>
      <c r="C48" s="6" t="str">
        <f>IFERROR(__xludf.DUMMYFUNCTION("""COMPUTED_VALUE"""),"Fantasy")</f>
        <v>Fantasy</v>
      </c>
      <c r="D48" s="17">
        <f>IFERROR(__xludf.DUMMYFUNCTION("""COMPUTED_VALUE"""),649.0)</f>
        <v>649</v>
      </c>
      <c r="E48" s="8">
        <f>IFERROR(__xludf.DUMMYFUNCTION("""COMPUTED_VALUE"""),0.97226502311248)</f>
        <v>0.9722650231</v>
      </c>
      <c r="F48" s="8">
        <f>IFERROR(__xludf.DUMMYFUNCTION("""COMPUTED_VALUE"""),0.757387247278382)</f>
        <v>0.7573872473</v>
      </c>
      <c r="G48" s="8">
        <f>IFERROR(__xludf.DUMMYFUNCTION("""COMPUTED_VALUE"""),0.6953125)</f>
        <v>0.6953125</v>
      </c>
      <c r="H48" s="8">
        <f>IFERROR(__xludf.DUMMYFUNCTION("""COMPUTED_VALUE"""),0.651898734177215)</f>
        <v>0.6518987342</v>
      </c>
      <c r="I48" s="8">
        <f>IFERROR(__xludf.DUMMYFUNCTION("""COMPUTED_VALUE"""),0.608130081300813)</f>
        <v>0.6081300813</v>
      </c>
      <c r="J48" s="8">
        <f>IFERROR(__xludf.DUMMYFUNCTION("""COMPUTED_VALUE"""),0.568840579710144)</f>
        <v>0.5688405797</v>
      </c>
      <c r="K48" s="8">
        <f>IFERROR(__xludf.DUMMYFUNCTION("""COMPUTED_VALUE"""),0.507722007722007)</f>
        <v>0.5077220077</v>
      </c>
      <c r="L48" s="8">
        <f>IFERROR(__xludf.DUMMYFUNCTION("""COMPUTED_VALUE"""),0.475161987041036)</f>
        <v>0.475161987</v>
      </c>
      <c r="M48" s="8">
        <f>IFERROR(__xludf.DUMMYFUNCTION("""COMPUTED_VALUE"""),0.424019607843137)</f>
        <v>0.4240196078</v>
      </c>
      <c r="N48" s="8">
        <f>IFERROR(__xludf.DUMMYFUNCTION("""COMPUTED_VALUE"""),0.38152610441767)</f>
        <v>0.3815261044</v>
      </c>
      <c r="O48" s="8">
        <f>IFERROR(__xludf.DUMMYFUNCTION("""COMPUTED_VALUE"""),0.318181818181818)</f>
        <v>0.3181818182</v>
      </c>
      <c r="P48" s="8">
        <f>IFERROR(__xludf.DUMMYFUNCTION("""COMPUTED_VALUE"""),0.117647058823529)</f>
        <v>0.1176470588</v>
      </c>
      <c r="Q48" s="8">
        <f>IFERROR(__xludf.DUMMYFUNCTION("""COMPUTED_VALUE"""),0.125)</f>
        <v>0.125</v>
      </c>
      <c r="R48" s="8">
        <f>IFERROR(__xludf.DUMMYFUNCTION("""COMPUTED_VALUE"""),0.0)</f>
        <v>0</v>
      </c>
      <c r="S48" s="8">
        <f>IFERROR(__xludf.DUMMYFUNCTION("""COMPUTED_VALUE"""),0.0)</f>
        <v>0</v>
      </c>
      <c r="T48" s="8">
        <f>IFERROR(__xludf.DUMMYFUNCTION("""COMPUTED_VALUE"""),0.0)</f>
        <v>0</v>
      </c>
      <c r="U48" s="8">
        <f>IFERROR(__xludf.DUMMYFUNCTION("""COMPUTED_VALUE"""),0.0)</f>
        <v>0</v>
      </c>
      <c r="V48" s="8">
        <f>IFERROR(__xludf.DUMMYFUNCTION("""COMPUTED_VALUE"""),0.0)</f>
        <v>0</v>
      </c>
      <c r="W48" s="8">
        <f>IFERROR(__xludf.DUMMYFUNCTION("""COMPUTED_VALUE"""),0.0)</f>
        <v>0</v>
      </c>
      <c r="X48" s="8">
        <f>IFERROR(__xludf.DUMMYFUNCTION("""COMPUTED_VALUE"""),0.0)</f>
        <v>0</v>
      </c>
      <c r="Y48" s="8">
        <f>IFERROR(__xludf.DUMMYFUNCTION("""COMPUTED_VALUE"""),0.0)</f>
        <v>0</v>
      </c>
      <c r="Z48" s="8">
        <f>IFERROR(__xludf.DUMMYFUNCTION("""COMPUTED_VALUE"""),0.0)</f>
        <v>0</v>
      </c>
      <c r="AA48" s="8">
        <f>IFERROR(__xludf.DUMMYFUNCTION("""COMPUTED_VALUE"""),0.0)</f>
        <v>0</v>
      </c>
      <c r="AB48" s="8">
        <f>IFERROR(__xludf.DUMMYFUNCTION("""COMPUTED_VALUE"""),0.0)</f>
        <v>0</v>
      </c>
      <c r="AC48" s="8">
        <f>IFERROR(__xludf.DUMMYFUNCTION("""COMPUTED_VALUE"""),0.0)</f>
        <v>0</v>
      </c>
    </row>
    <row r="49" ht="15.75" customHeight="1">
      <c r="A49" s="6" t="str">
        <f>IFERROR(__xludf.DUMMYFUNCTION("""COMPUTED_VALUE"""),"26e1fd07be016edcad6988356011ef8b49038bd1")</f>
        <v>26e1fd07be016edcad6988356011ef8b49038bd1</v>
      </c>
      <c r="B49" s="6" t="str">
        <f>IFERROR(__xludf.DUMMYFUNCTION("""COMPUTED_VALUE"""),"The Last Anniversary Lie")</f>
        <v>The Last Anniversary Lie</v>
      </c>
      <c r="C49" s="6" t="str">
        <f>IFERROR(__xludf.DUMMYFUNCTION("""COMPUTED_VALUE"""),"Romance")</f>
        <v>Romance</v>
      </c>
      <c r="D49" s="17">
        <f>IFERROR(__xludf.DUMMYFUNCTION("""COMPUTED_VALUE"""),605.0)</f>
        <v>605</v>
      </c>
      <c r="E49" s="8">
        <f>IFERROR(__xludf.DUMMYFUNCTION("""COMPUTED_VALUE"""),0.973509933774834)</f>
        <v>0.9735099338</v>
      </c>
      <c r="F49" s="8">
        <f>IFERROR(__xludf.DUMMYFUNCTION("""COMPUTED_VALUE"""),0.636212624584717)</f>
        <v>0.6362126246</v>
      </c>
      <c r="G49" s="8">
        <f>IFERROR(__xludf.DUMMYFUNCTION("""COMPUTED_VALUE"""),0.553333333333333)</f>
        <v>0.5533333333</v>
      </c>
      <c r="H49" s="8">
        <f>IFERROR(__xludf.DUMMYFUNCTION("""COMPUTED_VALUE"""),0.515912897822445)</f>
        <v>0.5159128978</v>
      </c>
      <c r="I49" s="8">
        <f>IFERROR(__xludf.DUMMYFUNCTION("""COMPUTED_VALUE"""),0.460504201680672)</f>
        <v>0.4605042017</v>
      </c>
      <c r="J49" s="8">
        <f>IFERROR(__xludf.DUMMYFUNCTION("""COMPUTED_VALUE"""),0.425925925925925)</f>
        <v>0.4259259259</v>
      </c>
      <c r="K49" s="8">
        <f>IFERROR(__xludf.DUMMYFUNCTION("""COMPUTED_VALUE"""),0.384485666104553)</f>
        <v>0.3844856661</v>
      </c>
      <c r="L49" s="8">
        <f>IFERROR(__xludf.DUMMYFUNCTION("""COMPUTED_VALUE"""),0.384485666104553)</f>
        <v>0.3844856661</v>
      </c>
      <c r="M49" s="8">
        <f>IFERROR(__xludf.DUMMYFUNCTION("""COMPUTED_VALUE"""),0.387858347386172)</f>
        <v>0.3878583474</v>
      </c>
      <c r="N49" s="8">
        <f>IFERROR(__xludf.DUMMYFUNCTION("""COMPUTED_VALUE"""),0.381355932203389)</f>
        <v>0.3813559322</v>
      </c>
      <c r="O49" s="8">
        <f>IFERROR(__xludf.DUMMYFUNCTION("""COMPUTED_VALUE"""),0.255725190839694)</f>
        <v>0.2557251908</v>
      </c>
      <c r="P49" s="8">
        <f>IFERROR(__xludf.DUMMYFUNCTION("""COMPUTED_VALUE"""),0.25)</f>
        <v>0.25</v>
      </c>
      <c r="Q49" s="8">
        <f>IFERROR(__xludf.DUMMYFUNCTION("""COMPUTED_VALUE"""),0.0)</f>
        <v>0</v>
      </c>
      <c r="R49" s="8">
        <f>IFERROR(__xludf.DUMMYFUNCTION("""COMPUTED_VALUE"""),0.0)</f>
        <v>0</v>
      </c>
      <c r="S49" s="8">
        <f>IFERROR(__xludf.DUMMYFUNCTION("""COMPUTED_VALUE"""),0.0)</f>
        <v>0</v>
      </c>
      <c r="T49" s="8">
        <f>IFERROR(__xludf.DUMMYFUNCTION("""COMPUTED_VALUE"""),0.0)</f>
        <v>0</v>
      </c>
      <c r="U49" s="8">
        <f>IFERROR(__xludf.DUMMYFUNCTION("""COMPUTED_VALUE"""),0.0)</f>
        <v>0</v>
      </c>
      <c r="V49" s="8">
        <f>IFERROR(__xludf.DUMMYFUNCTION("""COMPUTED_VALUE"""),0.0)</f>
        <v>0</v>
      </c>
      <c r="W49" s="8">
        <f>IFERROR(__xludf.DUMMYFUNCTION("""COMPUTED_VALUE"""),0.0)</f>
        <v>0</v>
      </c>
      <c r="X49" s="8">
        <f>IFERROR(__xludf.DUMMYFUNCTION("""COMPUTED_VALUE"""),0.0)</f>
        <v>0</v>
      </c>
      <c r="Y49" s="8">
        <f>IFERROR(__xludf.DUMMYFUNCTION("""COMPUTED_VALUE"""),0.0)</f>
        <v>0</v>
      </c>
      <c r="Z49" s="8">
        <f>IFERROR(__xludf.DUMMYFUNCTION("""COMPUTED_VALUE"""),0.0)</f>
        <v>0</v>
      </c>
      <c r="AA49" s="8">
        <f>IFERROR(__xludf.DUMMYFUNCTION("""COMPUTED_VALUE"""),0.0)</f>
        <v>0</v>
      </c>
      <c r="AB49" s="8">
        <f>IFERROR(__xludf.DUMMYFUNCTION("""COMPUTED_VALUE"""),0.0)</f>
        <v>0</v>
      </c>
      <c r="AC49" s="8">
        <f>IFERROR(__xludf.DUMMYFUNCTION("""COMPUTED_VALUE"""),0.0)</f>
        <v>0</v>
      </c>
    </row>
    <row r="50" ht="15.75" customHeight="1">
      <c r="A50" s="6" t="str">
        <f>IFERROR(__xludf.DUMMYFUNCTION("""COMPUTED_VALUE"""),"2804c5c0d94ac97e4b67564cc852e784e64583e5")</f>
        <v>2804c5c0d94ac97e4b67564cc852e784e64583e5</v>
      </c>
      <c r="B50" s="6" t="str">
        <f>IFERROR(__xludf.DUMMYFUNCTION("""COMPUTED_VALUE"""),"Rebirth in Beauty")</f>
        <v>Rebirth in Beauty</v>
      </c>
      <c r="C50" s="6" t="str">
        <f>IFERROR(__xludf.DUMMYFUNCTION("""COMPUTED_VALUE"""),"Fantasy")</f>
        <v>Fantasy</v>
      </c>
      <c r="D50" s="17">
        <f>IFERROR(__xludf.DUMMYFUNCTION("""COMPUTED_VALUE"""),439.0)</f>
        <v>439</v>
      </c>
      <c r="E50" s="8">
        <f>IFERROR(__xludf.DUMMYFUNCTION("""COMPUTED_VALUE"""),0.972222222222222)</f>
        <v>0.9722222222</v>
      </c>
      <c r="F50" s="8">
        <f>IFERROR(__xludf.DUMMYFUNCTION("""COMPUTED_VALUE"""),0.625603864734299)</f>
        <v>0.6256038647</v>
      </c>
      <c r="G50" s="8">
        <f>IFERROR(__xludf.DUMMYFUNCTION("""COMPUTED_VALUE"""),0.54679802955665)</f>
        <v>0.5467980296</v>
      </c>
      <c r="H50" s="8">
        <f>IFERROR(__xludf.DUMMYFUNCTION("""COMPUTED_VALUE"""),0.48641304347826)</f>
        <v>0.4864130435</v>
      </c>
      <c r="I50" s="8">
        <f>IFERROR(__xludf.DUMMYFUNCTION("""COMPUTED_VALUE"""),0.448467966573816)</f>
        <v>0.4484679666</v>
      </c>
      <c r="J50" s="8">
        <f>IFERROR(__xludf.DUMMYFUNCTION("""COMPUTED_VALUE"""),0.417647058823529)</f>
        <v>0.4176470588</v>
      </c>
      <c r="K50" s="8">
        <f>IFERROR(__xludf.DUMMYFUNCTION("""COMPUTED_VALUE"""),0.387195121951219)</f>
        <v>0.387195122</v>
      </c>
      <c r="L50" s="8">
        <f>IFERROR(__xludf.DUMMYFUNCTION("""COMPUTED_VALUE"""),0.369491525423728)</f>
        <v>0.3694915254</v>
      </c>
      <c r="M50" s="8">
        <f>IFERROR(__xludf.DUMMYFUNCTION("""COMPUTED_VALUE"""),0.346938775510204)</f>
        <v>0.3469387755</v>
      </c>
      <c r="N50" s="8">
        <f>IFERROR(__xludf.DUMMYFUNCTION("""COMPUTED_VALUE"""),0.30379746835443)</f>
        <v>0.3037974684</v>
      </c>
      <c r="O50" s="8">
        <f>IFERROR(__xludf.DUMMYFUNCTION("""COMPUTED_VALUE"""),0.125)</f>
        <v>0.125</v>
      </c>
      <c r="P50" s="8">
        <f>IFERROR(__xludf.DUMMYFUNCTION("""COMPUTED_VALUE"""),0.0)</f>
        <v>0</v>
      </c>
      <c r="Q50" s="8">
        <f>IFERROR(__xludf.DUMMYFUNCTION("""COMPUTED_VALUE"""),0.0)</f>
        <v>0</v>
      </c>
      <c r="R50" s="8">
        <f>IFERROR(__xludf.DUMMYFUNCTION("""COMPUTED_VALUE"""),0.0)</f>
        <v>0</v>
      </c>
      <c r="S50" s="8">
        <f>IFERROR(__xludf.DUMMYFUNCTION("""COMPUTED_VALUE"""),0.0)</f>
        <v>0</v>
      </c>
      <c r="T50" s="8">
        <f>IFERROR(__xludf.DUMMYFUNCTION("""COMPUTED_VALUE"""),0.0)</f>
        <v>0</v>
      </c>
      <c r="U50" s="8">
        <f>IFERROR(__xludf.DUMMYFUNCTION("""COMPUTED_VALUE"""),0.0)</f>
        <v>0</v>
      </c>
      <c r="V50" s="8">
        <f>IFERROR(__xludf.DUMMYFUNCTION("""COMPUTED_VALUE"""),0.0)</f>
        <v>0</v>
      </c>
      <c r="W50" s="8">
        <f>IFERROR(__xludf.DUMMYFUNCTION("""COMPUTED_VALUE"""),0.0)</f>
        <v>0</v>
      </c>
      <c r="X50" s="8">
        <f>IFERROR(__xludf.DUMMYFUNCTION("""COMPUTED_VALUE"""),0.0)</f>
        <v>0</v>
      </c>
      <c r="Y50" s="8">
        <f>IFERROR(__xludf.DUMMYFUNCTION("""COMPUTED_VALUE"""),0.0)</f>
        <v>0</v>
      </c>
      <c r="Z50" s="8">
        <f>IFERROR(__xludf.DUMMYFUNCTION("""COMPUTED_VALUE"""),0.0)</f>
        <v>0</v>
      </c>
      <c r="AA50" s="8">
        <f>IFERROR(__xludf.DUMMYFUNCTION("""COMPUTED_VALUE"""),0.0)</f>
        <v>0</v>
      </c>
      <c r="AB50" s="8">
        <f>IFERROR(__xludf.DUMMYFUNCTION("""COMPUTED_VALUE"""),0.0)</f>
        <v>0</v>
      </c>
      <c r="AC50" s="8">
        <f>IFERROR(__xludf.DUMMYFUNCTION("""COMPUTED_VALUE"""),0.0)</f>
        <v>0</v>
      </c>
    </row>
    <row r="51" ht="15.75" customHeight="1">
      <c r="A51" s="6" t="str">
        <f>IFERROR(__xludf.DUMMYFUNCTION("""COMPUTED_VALUE"""),"2969766ce2d0cd5c21da961666ea357622d5d073")</f>
        <v>2969766ce2d0cd5c21da961666ea357622d5d073</v>
      </c>
      <c r="B51" s="6" t="str">
        <f>IFERROR(__xludf.DUMMYFUNCTION("""COMPUTED_VALUE"""),"The Magical Mystic Master")</f>
        <v>The Magical Mystic Master</v>
      </c>
      <c r="C51" s="6" t="str">
        <f>IFERROR(__xludf.DUMMYFUNCTION("""COMPUTED_VALUE"""),"Fantasy")</f>
        <v>Fantasy</v>
      </c>
      <c r="D51" s="17">
        <f>IFERROR(__xludf.DUMMYFUNCTION("""COMPUTED_VALUE"""),846.0)</f>
        <v>846</v>
      </c>
      <c r="E51" s="8">
        <f>IFERROR(__xludf.DUMMYFUNCTION("""COMPUTED_VALUE"""),0.990543735224586)</f>
        <v>0.9905437352</v>
      </c>
      <c r="F51" s="8">
        <f>IFERROR(__xludf.DUMMYFUNCTION("""COMPUTED_VALUE"""),0.576331360946745)</f>
        <v>0.5763313609</v>
      </c>
      <c r="G51" s="8">
        <f>IFERROR(__xludf.DUMMYFUNCTION("""COMPUTED_VALUE"""),0.442603550295857)</f>
        <v>0.4426035503</v>
      </c>
      <c r="H51" s="8">
        <f>IFERROR(__xludf.DUMMYFUNCTION("""COMPUTED_VALUE"""),0.393831553973902)</f>
        <v>0.393831554</v>
      </c>
      <c r="I51" s="8">
        <f>IFERROR(__xludf.DUMMYFUNCTION("""COMPUTED_VALUE"""),0.326215895610913)</f>
        <v>0.3262158956</v>
      </c>
      <c r="J51" s="8">
        <f>IFERROR(__xludf.DUMMYFUNCTION("""COMPUTED_VALUE"""),0.283511269276393)</f>
        <v>0.2835112693</v>
      </c>
      <c r="K51" s="8">
        <f>IFERROR(__xludf.DUMMYFUNCTION("""COMPUTED_VALUE"""),0.253588516746411)</f>
        <v>0.2535885167</v>
      </c>
      <c r="L51" s="8">
        <f>IFERROR(__xludf.DUMMYFUNCTION("""COMPUTED_VALUE"""),0.233812949640287)</f>
        <v>0.2338129496</v>
      </c>
      <c r="M51" s="8">
        <f>IFERROR(__xludf.DUMMYFUNCTION("""COMPUTED_VALUE"""),0.225690276110444)</f>
        <v>0.2256902761</v>
      </c>
      <c r="N51" s="8">
        <f>IFERROR(__xludf.DUMMYFUNCTION("""COMPUTED_VALUE"""),0.21514423076923)</f>
        <v>0.2151442308</v>
      </c>
      <c r="O51" s="8">
        <f>IFERROR(__xludf.DUMMYFUNCTION("""COMPUTED_VALUE"""),0.159806295399515)</f>
        <v>0.1598062954</v>
      </c>
      <c r="P51" s="8">
        <f>IFERROR(__xludf.DUMMYFUNCTION("""COMPUTED_VALUE"""),0.094059405940594)</f>
        <v>0.09405940594</v>
      </c>
      <c r="Q51" s="8">
        <f>IFERROR(__xludf.DUMMYFUNCTION("""COMPUTED_VALUE"""),0.148854961832061)</f>
        <v>0.1488549618</v>
      </c>
      <c r="R51" s="8">
        <f>IFERROR(__xludf.DUMMYFUNCTION("""COMPUTED_VALUE"""),0.12)</f>
        <v>0.12</v>
      </c>
      <c r="S51" s="8">
        <f>IFERROR(__xludf.DUMMYFUNCTION("""COMPUTED_VALUE"""),0.0181818181818181)</f>
        <v>0.01818181818</v>
      </c>
      <c r="T51" s="8">
        <f>IFERROR(__xludf.DUMMYFUNCTION("""COMPUTED_VALUE"""),0.0)</f>
        <v>0</v>
      </c>
      <c r="U51" s="8">
        <f>IFERROR(__xludf.DUMMYFUNCTION("""COMPUTED_VALUE"""),0.0)</f>
        <v>0</v>
      </c>
      <c r="V51" s="8">
        <f>IFERROR(__xludf.DUMMYFUNCTION("""COMPUTED_VALUE"""),0.0)</f>
        <v>0</v>
      </c>
      <c r="W51" s="8">
        <f>IFERROR(__xludf.DUMMYFUNCTION("""COMPUTED_VALUE"""),0.0)</f>
        <v>0</v>
      </c>
      <c r="X51" s="8">
        <f>IFERROR(__xludf.DUMMYFUNCTION("""COMPUTED_VALUE"""),0.0)</f>
        <v>0</v>
      </c>
      <c r="Y51" s="8">
        <f>IFERROR(__xludf.DUMMYFUNCTION("""COMPUTED_VALUE"""),0.0)</f>
        <v>0</v>
      </c>
      <c r="Z51" s="8">
        <f>IFERROR(__xludf.DUMMYFUNCTION("""COMPUTED_VALUE"""),0.0)</f>
        <v>0</v>
      </c>
      <c r="AA51" s="8">
        <f>IFERROR(__xludf.DUMMYFUNCTION("""COMPUTED_VALUE"""),0.0)</f>
        <v>0</v>
      </c>
      <c r="AB51" s="8">
        <f>IFERROR(__xludf.DUMMYFUNCTION("""COMPUTED_VALUE"""),0.0)</f>
        <v>0</v>
      </c>
      <c r="AC51" s="8">
        <f>IFERROR(__xludf.DUMMYFUNCTION("""COMPUTED_VALUE"""),0.0)</f>
        <v>0</v>
      </c>
    </row>
    <row r="52" ht="15.75" customHeight="1">
      <c r="A52" s="6" t="str">
        <f>IFERROR(__xludf.DUMMYFUNCTION("""COMPUTED_VALUE"""),"29b6547143fa9e79e6e0d3e0463e7b79ac00c7fd")</f>
        <v>29b6547143fa9e79e6e0d3e0463e7b79ac00c7fd</v>
      </c>
      <c r="B52" s="6" t="str">
        <f>IFERROR(__xludf.DUMMYFUNCTION("""COMPUTED_VALUE"""),"Love, Revenge &amp; My Past")</f>
        <v>Love, Revenge &amp; My Past</v>
      </c>
      <c r="C52" s="6" t="str">
        <f>IFERROR(__xludf.DUMMYFUNCTION("""COMPUTED_VALUE"""),"Romance")</f>
        <v>Romance</v>
      </c>
      <c r="D52" s="17">
        <f>IFERROR(__xludf.DUMMYFUNCTION("""COMPUTED_VALUE"""),578.0)</f>
        <v>578</v>
      </c>
      <c r="E52" s="8">
        <f>IFERROR(__xludf.DUMMYFUNCTION("""COMPUTED_VALUE"""),0.975778546712802)</f>
        <v>0.9757785467</v>
      </c>
      <c r="F52" s="8">
        <f>IFERROR(__xludf.DUMMYFUNCTION("""COMPUTED_VALUE"""),0.416955017301038)</f>
        <v>0.4169550173</v>
      </c>
      <c r="G52" s="8">
        <f>IFERROR(__xludf.DUMMYFUNCTION("""COMPUTED_VALUE"""),0.380622837370242)</f>
        <v>0.3806228374</v>
      </c>
      <c r="H52" s="8">
        <f>IFERROR(__xludf.DUMMYFUNCTION("""COMPUTED_VALUE"""),0.359861591695501)</f>
        <v>0.3598615917</v>
      </c>
      <c r="I52" s="8">
        <f>IFERROR(__xludf.DUMMYFUNCTION("""COMPUTED_VALUE"""),0.328719723183391)</f>
        <v>0.3287197232</v>
      </c>
      <c r="J52" s="8">
        <f>IFERROR(__xludf.DUMMYFUNCTION("""COMPUTED_VALUE"""),0.290657439446366)</f>
        <v>0.2906574394</v>
      </c>
      <c r="K52" s="8">
        <f>IFERROR(__xludf.DUMMYFUNCTION("""COMPUTED_VALUE"""),0.273356401384083)</f>
        <v>0.2733564014</v>
      </c>
      <c r="L52" s="8">
        <f>IFERROR(__xludf.DUMMYFUNCTION("""COMPUTED_VALUE"""),0.256499133448873)</f>
        <v>0.2564991334</v>
      </c>
      <c r="M52" s="8">
        <f>IFERROR(__xludf.DUMMYFUNCTION("""COMPUTED_VALUE"""),0.244367417677642)</f>
        <v>0.2443674177</v>
      </c>
      <c r="N52" s="8">
        <f>IFERROR(__xludf.DUMMYFUNCTION("""COMPUTED_VALUE"""),0.237847222222222)</f>
        <v>0.2378472222</v>
      </c>
      <c r="O52" s="8">
        <f>IFERROR(__xludf.DUMMYFUNCTION("""COMPUTED_VALUE"""),0.167832167832167)</f>
        <v>0.1678321678</v>
      </c>
      <c r="P52" s="8">
        <f>IFERROR(__xludf.DUMMYFUNCTION("""COMPUTED_VALUE"""),0.107394366197183)</f>
        <v>0.1073943662</v>
      </c>
      <c r="Q52" s="8">
        <f>IFERROR(__xludf.DUMMYFUNCTION("""COMPUTED_VALUE"""),0.0428211586901763)</f>
        <v>0.04282115869</v>
      </c>
      <c r="R52" s="8">
        <f>IFERROR(__xludf.DUMMYFUNCTION("""COMPUTED_VALUE"""),0.0285714285714285)</f>
        <v>0.02857142857</v>
      </c>
      <c r="S52" s="8">
        <f>IFERROR(__xludf.DUMMYFUNCTION("""COMPUTED_VALUE"""),0.0526315789473684)</f>
        <v>0.05263157895</v>
      </c>
      <c r="T52" s="8">
        <f>IFERROR(__xludf.DUMMYFUNCTION("""COMPUTED_VALUE"""),0.0)</f>
        <v>0</v>
      </c>
      <c r="U52" s="8">
        <f>IFERROR(__xludf.DUMMYFUNCTION("""COMPUTED_VALUE"""),0.0)</f>
        <v>0</v>
      </c>
      <c r="V52" s="8">
        <f>IFERROR(__xludf.DUMMYFUNCTION("""COMPUTED_VALUE"""),0.0)</f>
        <v>0</v>
      </c>
      <c r="W52" s="8">
        <f>IFERROR(__xludf.DUMMYFUNCTION("""COMPUTED_VALUE"""),0.0)</f>
        <v>0</v>
      </c>
      <c r="X52" s="8">
        <f>IFERROR(__xludf.DUMMYFUNCTION("""COMPUTED_VALUE"""),0.0)</f>
        <v>0</v>
      </c>
      <c r="Y52" s="8">
        <f>IFERROR(__xludf.DUMMYFUNCTION("""COMPUTED_VALUE"""),0.0)</f>
        <v>0</v>
      </c>
      <c r="Z52" s="8">
        <f>IFERROR(__xludf.DUMMYFUNCTION("""COMPUTED_VALUE"""),0.0)</f>
        <v>0</v>
      </c>
      <c r="AA52" s="8">
        <f>IFERROR(__xludf.DUMMYFUNCTION("""COMPUTED_VALUE"""),0.0)</f>
        <v>0</v>
      </c>
      <c r="AB52" s="8">
        <f>IFERROR(__xludf.DUMMYFUNCTION("""COMPUTED_VALUE"""),0.0)</f>
        <v>0</v>
      </c>
      <c r="AC52" s="8">
        <f>IFERROR(__xludf.DUMMYFUNCTION("""COMPUTED_VALUE"""),0.0)</f>
        <v>0</v>
      </c>
    </row>
    <row r="53" ht="15.75" customHeight="1">
      <c r="A53" s="6" t="str">
        <f>IFERROR(__xludf.DUMMYFUNCTION("""COMPUTED_VALUE"""),"2a8120a20d0bebaa0f325746e4058859d5e610ee")</f>
        <v>2a8120a20d0bebaa0f325746e4058859d5e610ee</v>
      </c>
      <c r="B53" s="6" t="str">
        <f>IFERROR(__xludf.DUMMYFUNCTION("""COMPUTED_VALUE"""),"Cultivated Love")</f>
        <v>Cultivated Love</v>
      </c>
      <c r="C53" s="6" t="str">
        <f>IFERROR(__xludf.DUMMYFUNCTION("""COMPUTED_VALUE"""),"Romance")</f>
        <v>Romance</v>
      </c>
      <c r="D53" s="17">
        <f>IFERROR(__xludf.DUMMYFUNCTION("""COMPUTED_VALUE"""),141.0)</f>
        <v>141</v>
      </c>
      <c r="E53" s="8">
        <f>IFERROR(__xludf.DUMMYFUNCTION("""COMPUTED_VALUE"""),0.914893617021276)</f>
        <v>0.914893617</v>
      </c>
      <c r="F53" s="8">
        <f>IFERROR(__xludf.DUMMYFUNCTION("""COMPUTED_VALUE"""),0.251798561151079)</f>
        <v>0.2517985612</v>
      </c>
      <c r="G53" s="8">
        <f>IFERROR(__xludf.DUMMYFUNCTION("""COMPUTED_VALUE"""),0.223021582733812)</f>
        <v>0.2230215827</v>
      </c>
      <c r="H53" s="8">
        <f>IFERROR(__xludf.DUMMYFUNCTION("""COMPUTED_VALUE"""),0.149253731343283)</f>
        <v>0.1492537313</v>
      </c>
      <c r="I53" s="8">
        <f>IFERROR(__xludf.DUMMYFUNCTION("""COMPUTED_VALUE"""),0.174242424242424)</f>
        <v>0.1742424242</v>
      </c>
      <c r="J53" s="8">
        <f>IFERROR(__xludf.DUMMYFUNCTION("""COMPUTED_VALUE"""),0.1640625)</f>
        <v>0.1640625</v>
      </c>
      <c r="K53" s="8">
        <f>IFERROR(__xludf.DUMMYFUNCTION("""COMPUTED_VALUE"""),0.1640625)</f>
        <v>0.1640625</v>
      </c>
      <c r="L53" s="8">
        <f>IFERROR(__xludf.DUMMYFUNCTION("""COMPUTED_VALUE"""),0.155737704918032)</f>
        <v>0.1557377049</v>
      </c>
      <c r="M53" s="8">
        <f>IFERROR(__xludf.DUMMYFUNCTION("""COMPUTED_VALUE"""),0.193277310924369)</f>
        <v>0.1932773109</v>
      </c>
      <c r="N53" s="8">
        <f>IFERROR(__xludf.DUMMYFUNCTION("""COMPUTED_VALUE"""),0.163636363636363)</f>
        <v>0.1636363636</v>
      </c>
      <c r="O53" s="8">
        <f>IFERROR(__xludf.DUMMYFUNCTION("""COMPUTED_VALUE"""),0.285714285714285)</f>
        <v>0.2857142857</v>
      </c>
      <c r="P53" s="8">
        <f>IFERROR(__xludf.DUMMYFUNCTION("""COMPUTED_VALUE"""),0.181818181818181)</f>
        <v>0.1818181818</v>
      </c>
      <c r="Q53" s="8">
        <f>IFERROR(__xludf.DUMMYFUNCTION("""COMPUTED_VALUE"""),0.117647058823529)</f>
        <v>0.1176470588</v>
      </c>
      <c r="R53" s="8">
        <f>IFERROR(__xludf.DUMMYFUNCTION("""COMPUTED_VALUE"""),0.111111111111111)</f>
        <v>0.1111111111</v>
      </c>
      <c r="S53" s="8">
        <f>IFERROR(__xludf.DUMMYFUNCTION("""COMPUTED_VALUE"""),0.0588235294117647)</f>
        <v>0.05882352941</v>
      </c>
      <c r="T53" s="8">
        <f>IFERROR(__xludf.DUMMYFUNCTION("""COMPUTED_VALUE"""),0.074074074074074)</f>
        <v>0.07407407407</v>
      </c>
      <c r="U53" s="8">
        <f>IFERROR(__xludf.DUMMYFUNCTION("""COMPUTED_VALUE"""),0.0)</f>
        <v>0</v>
      </c>
      <c r="V53" s="8">
        <f>IFERROR(__xludf.DUMMYFUNCTION("""COMPUTED_VALUE"""),0.0)</f>
        <v>0</v>
      </c>
      <c r="W53" s="8">
        <f>IFERROR(__xludf.DUMMYFUNCTION("""COMPUTED_VALUE"""),0.0)</f>
        <v>0</v>
      </c>
      <c r="X53" s="8">
        <f>IFERROR(__xludf.DUMMYFUNCTION("""COMPUTED_VALUE"""),0.0)</f>
        <v>0</v>
      </c>
      <c r="Y53" s="8">
        <f>IFERROR(__xludf.DUMMYFUNCTION("""COMPUTED_VALUE"""),0.0)</f>
        <v>0</v>
      </c>
      <c r="Z53" s="8">
        <f>IFERROR(__xludf.DUMMYFUNCTION("""COMPUTED_VALUE"""),0.0)</f>
        <v>0</v>
      </c>
      <c r="AA53" s="8">
        <f>IFERROR(__xludf.DUMMYFUNCTION("""COMPUTED_VALUE"""),0.0)</f>
        <v>0</v>
      </c>
      <c r="AB53" s="8">
        <f>IFERROR(__xludf.DUMMYFUNCTION("""COMPUTED_VALUE"""),0.0)</f>
        <v>0</v>
      </c>
      <c r="AC53" s="8">
        <f>IFERROR(__xludf.DUMMYFUNCTION("""COMPUTED_VALUE"""),0.0)</f>
        <v>0</v>
      </c>
    </row>
    <row r="54" ht="15.75" customHeight="1">
      <c r="A54" s="6" t="str">
        <f>IFERROR(__xludf.DUMMYFUNCTION("""COMPUTED_VALUE"""),"2b967281ca19c941aa99d03c959adaf6349da9b3")</f>
        <v>2b967281ca19c941aa99d03c959adaf6349da9b3</v>
      </c>
      <c r="B54" s="6" t="str">
        <f>IFERROR(__xludf.DUMMYFUNCTION("""COMPUTED_VALUE"""),"The Unlikely Heiress")</f>
        <v>The Unlikely Heiress</v>
      </c>
      <c r="C54" s="6" t="str">
        <f>IFERROR(__xludf.DUMMYFUNCTION("""COMPUTED_VALUE"""),"Romance")</f>
        <v>Romance</v>
      </c>
      <c r="D54" s="17">
        <f>IFERROR(__xludf.DUMMYFUNCTION("""COMPUTED_VALUE"""),5908.0)</f>
        <v>5908</v>
      </c>
      <c r="E54" s="8">
        <f>IFERROR(__xludf.DUMMYFUNCTION("""COMPUTED_VALUE"""),0.956161137440758)</f>
        <v>0.9561611374</v>
      </c>
      <c r="F54" s="8">
        <f>IFERROR(__xludf.DUMMYFUNCTION("""COMPUTED_VALUE"""),0.561219305673158)</f>
        <v>0.5612193057</v>
      </c>
      <c r="G54" s="8">
        <f>IFERROR(__xludf.DUMMYFUNCTION("""COMPUTED_VALUE"""),0.536936631650288)</f>
        <v>0.5369366317</v>
      </c>
      <c r="H54" s="8">
        <f>IFERROR(__xludf.DUMMYFUNCTION("""COMPUTED_VALUE"""),0.509405185561769)</f>
        <v>0.5094051856</v>
      </c>
      <c r="I54" s="8">
        <f>IFERROR(__xludf.DUMMYFUNCTION("""COMPUTED_VALUE"""),0.492117308018308)</f>
        <v>0.492117308</v>
      </c>
      <c r="J54" s="8">
        <f>IFERROR(__xludf.DUMMYFUNCTION("""COMPUTED_VALUE"""),0.474050203527815)</f>
        <v>0.4740502035</v>
      </c>
      <c r="K54" s="8">
        <f>IFERROR(__xludf.DUMMYFUNCTION("""COMPUTED_VALUE"""),0.454036635006784)</f>
        <v>0.454036635</v>
      </c>
      <c r="L54" s="8">
        <f>IFERROR(__xludf.DUMMYFUNCTION("""COMPUTED_VALUE"""),0.436332767402376)</f>
        <v>0.4363327674</v>
      </c>
      <c r="M54" s="8">
        <f>IFERROR(__xludf.DUMMYFUNCTION("""COMPUTED_VALUE"""),0.424201223657375)</f>
        <v>0.4242012237</v>
      </c>
      <c r="N54" s="8">
        <f>IFERROR(__xludf.DUMMYFUNCTION("""COMPUTED_VALUE"""),0.422762844504933)</f>
        <v>0.4227628445</v>
      </c>
      <c r="O54" s="8">
        <f>IFERROR(__xludf.DUMMYFUNCTION("""COMPUTED_VALUE"""),0.377429253324241)</f>
        <v>0.3774292533</v>
      </c>
      <c r="P54" s="8">
        <f>IFERROR(__xludf.DUMMYFUNCTION("""COMPUTED_VALUE"""),0.311570671680054)</f>
        <v>0.3115706717</v>
      </c>
      <c r="Q54" s="8">
        <f>IFERROR(__xludf.DUMMYFUNCTION("""COMPUTED_VALUE"""),0.209549982823771)</f>
        <v>0.2095499828</v>
      </c>
      <c r="R54" s="8">
        <f>IFERROR(__xludf.DUMMYFUNCTION("""COMPUTED_VALUE"""),0.18552036199095)</f>
        <v>0.185520362</v>
      </c>
      <c r="S54" s="8">
        <f>IFERROR(__xludf.DUMMYFUNCTION("""COMPUTED_VALUE"""),0.142824020403431)</f>
        <v>0.1428240204</v>
      </c>
      <c r="T54" s="8">
        <f>IFERROR(__xludf.DUMMYFUNCTION("""COMPUTED_VALUE"""),0.08816120906801)</f>
        <v>0.08816120907</v>
      </c>
      <c r="U54" s="8">
        <f>IFERROR(__xludf.DUMMYFUNCTION("""COMPUTED_VALUE"""),0.0126582278481012)</f>
        <v>0.01265822785</v>
      </c>
      <c r="V54" s="8">
        <f>IFERROR(__xludf.DUMMYFUNCTION("""COMPUTED_VALUE"""),0.0)</f>
        <v>0</v>
      </c>
      <c r="W54" s="8">
        <f>IFERROR(__xludf.DUMMYFUNCTION("""COMPUTED_VALUE"""),0.0)</f>
        <v>0</v>
      </c>
      <c r="X54" s="8">
        <f>IFERROR(__xludf.DUMMYFUNCTION("""COMPUTED_VALUE"""),0.0)</f>
        <v>0</v>
      </c>
      <c r="Y54" s="8">
        <f>IFERROR(__xludf.DUMMYFUNCTION("""COMPUTED_VALUE"""),0.0)</f>
        <v>0</v>
      </c>
      <c r="Z54" s="8">
        <f>IFERROR(__xludf.DUMMYFUNCTION("""COMPUTED_VALUE"""),0.0)</f>
        <v>0</v>
      </c>
      <c r="AA54" s="8">
        <f>IFERROR(__xludf.DUMMYFUNCTION("""COMPUTED_VALUE"""),0.0)</f>
        <v>0</v>
      </c>
      <c r="AB54" s="8">
        <f>IFERROR(__xludf.DUMMYFUNCTION("""COMPUTED_VALUE"""),0.0)</f>
        <v>0</v>
      </c>
      <c r="AC54" s="8">
        <f>IFERROR(__xludf.DUMMYFUNCTION("""COMPUTED_VALUE"""),0.0)</f>
        <v>0</v>
      </c>
    </row>
    <row r="55" ht="15.75" customHeight="1">
      <c r="A55" s="6" t="str">
        <f>IFERROR(__xludf.DUMMYFUNCTION("""COMPUTED_VALUE"""),"2fb79ac2c90574002aaeec2f842f6693eb8ff7c2")</f>
        <v>2fb79ac2c90574002aaeec2f842f6693eb8ff7c2</v>
      </c>
      <c r="B55" s="6" t="str">
        <f>IFERROR(__xludf.DUMMYFUNCTION("""COMPUTED_VALUE"""),"Dear Boss")</f>
        <v>Dear Boss</v>
      </c>
      <c r="C55" s="6" t="str">
        <f>IFERROR(__xludf.DUMMYFUNCTION("""COMPUTED_VALUE"""),"Romance")</f>
        <v>Romance</v>
      </c>
      <c r="D55" s="17">
        <f>IFERROR(__xludf.DUMMYFUNCTION("""COMPUTED_VALUE"""),518.0)</f>
        <v>518</v>
      </c>
      <c r="E55" s="8">
        <f>IFERROR(__xludf.DUMMYFUNCTION("""COMPUTED_VALUE"""),0.971042471042471)</f>
        <v>0.971042471</v>
      </c>
      <c r="F55" s="8">
        <f>IFERROR(__xludf.DUMMYFUNCTION("""COMPUTED_VALUE"""),0.566731141199226)</f>
        <v>0.5667311412</v>
      </c>
      <c r="G55" s="8">
        <f>IFERROR(__xludf.DUMMYFUNCTION("""COMPUTED_VALUE"""),0.48742746615087)</f>
        <v>0.4874274662</v>
      </c>
      <c r="H55" s="8">
        <f>IFERROR(__xludf.DUMMYFUNCTION("""COMPUTED_VALUE"""),0.459143968871595)</f>
        <v>0.4591439689</v>
      </c>
      <c r="I55" s="8">
        <f>IFERROR(__xludf.DUMMYFUNCTION("""COMPUTED_VALUE"""),0.435797665369649)</f>
        <v>0.4357976654</v>
      </c>
      <c r="J55" s="8">
        <f>IFERROR(__xludf.DUMMYFUNCTION("""COMPUTED_VALUE"""),0.385518590998043)</f>
        <v>0.385518591</v>
      </c>
      <c r="K55" s="8">
        <f>IFERROR(__xludf.DUMMYFUNCTION("""COMPUTED_VALUE"""),0.363457760314341)</f>
        <v>0.3634577603</v>
      </c>
      <c r="L55" s="8">
        <f>IFERROR(__xludf.DUMMYFUNCTION("""COMPUTED_VALUE"""),0.352822580645161)</f>
        <v>0.3528225806</v>
      </c>
      <c r="M55" s="8">
        <f>IFERROR(__xludf.DUMMYFUNCTION("""COMPUTED_VALUE"""),0.338530066815144)</f>
        <v>0.3385300668</v>
      </c>
      <c r="N55" s="8">
        <f>IFERROR(__xludf.DUMMYFUNCTION("""COMPUTED_VALUE"""),0.343209876543209)</f>
        <v>0.3432098765</v>
      </c>
      <c r="O55" s="8">
        <f>IFERROR(__xludf.DUMMYFUNCTION("""COMPUTED_VALUE"""),0.390243902439024)</f>
        <v>0.3902439024</v>
      </c>
      <c r="P55" s="8">
        <f>IFERROR(__xludf.DUMMYFUNCTION("""COMPUTED_VALUE"""),0.5)</f>
        <v>0.5</v>
      </c>
      <c r="Q55" s="8">
        <f>IFERROR(__xludf.DUMMYFUNCTION("""COMPUTED_VALUE"""),0.0)</f>
        <v>0</v>
      </c>
      <c r="R55" s="8">
        <f>IFERROR(__xludf.DUMMYFUNCTION("""COMPUTED_VALUE"""),0.0)</f>
        <v>0</v>
      </c>
      <c r="S55" s="8">
        <f>IFERROR(__xludf.DUMMYFUNCTION("""COMPUTED_VALUE"""),0.0)</f>
        <v>0</v>
      </c>
      <c r="T55" s="8">
        <f>IFERROR(__xludf.DUMMYFUNCTION("""COMPUTED_VALUE"""),0.0)</f>
        <v>0</v>
      </c>
      <c r="U55" s="8">
        <f>IFERROR(__xludf.DUMMYFUNCTION("""COMPUTED_VALUE"""),0.0)</f>
        <v>0</v>
      </c>
      <c r="V55" s="8">
        <f>IFERROR(__xludf.DUMMYFUNCTION("""COMPUTED_VALUE"""),0.0)</f>
        <v>0</v>
      </c>
      <c r="W55" s="8">
        <f>IFERROR(__xludf.DUMMYFUNCTION("""COMPUTED_VALUE"""),0.0)</f>
        <v>0</v>
      </c>
      <c r="X55" s="8">
        <f>IFERROR(__xludf.DUMMYFUNCTION("""COMPUTED_VALUE"""),0.0)</f>
        <v>0</v>
      </c>
      <c r="Y55" s="8">
        <f>IFERROR(__xludf.DUMMYFUNCTION("""COMPUTED_VALUE"""),0.0)</f>
        <v>0</v>
      </c>
      <c r="Z55" s="8">
        <f>IFERROR(__xludf.DUMMYFUNCTION("""COMPUTED_VALUE"""),0.0)</f>
        <v>0</v>
      </c>
      <c r="AA55" s="8">
        <f>IFERROR(__xludf.DUMMYFUNCTION("""COMPUTED_VALUE"""),0.0)</f>
        <v>0</v>
      </c>
      <c r="AB55" s="8">
        <f>IFERROR(__xludf.DUMMYFUNCTION("""COMPUTED_VALUE"""),0.0)</f>
        <v>0</v>
      </c>
      <c r="AC55" s="8">
        <f>IFERROR(__xludf.DUMMYFUNCTION("""COMPUTED_VALUE"""),0.0)</f>
        <v>0</v>
      </c>
    </row>
    <row r="56" ht="15.75" customHeight="1">
      <c r="A56" s="6" t="str">
        <f>IFERROR(__xludf.DUMMYFUNCTION("""COMPUTED_VALUE"""),"31b86ee5ffeadf52fab3148c3add083a2f90b442")</f>
        <v>31b86ee5ffeadf52fab3148c3add083a2f90b442</v>
      </c>
      <c r="B56" s="6" t="str">
        <f>IFERROR(__xludf.DUMMYFUNCTION("""COMPUTED_VALUE"""),"Enchanted by Blood ")</f>
        <v>Enchanted by Blood </v>
      </c>
      <c r="C56" s="6" t="str">
        <f>IFERROR(__xludf.DUMMYFUNCTION("""COMPUTED_VALUE"""),"Romantasy")</f>
        <v>Romantasy</v>
      </c>
      <c r="D56" s="17">
        <f>IFERROR(__xludf.DUMMYFUNCTION("""COMPUTED_VALUE"""),137.0)</f>
        <v>137</v>
      </c>
      <c r="E56" s="8">
        <f>IFERROR(__xludf.DUMMYFUNCTION("""COMPUTED_VALUE"""),0.969696969696969)</f>
        <v>0.9696969697</v>
      </c>
      <c r="F56" s="8">
        <f>IFERROR(__xludf.DUMMYFUNCTION("""COMPUTED_VALUE"""),0.291338582677165)</f>
        <v>0.2913385827</v>
      </c>
      <c r="G56" s="8">
        <f>IFERROR(__xludf.DUMMYFUNCTION("""COMPUTED_VALUE"""),0.246031746031746)</f>
        <v>0.246031746</v>
      </c>
      <c r="H56" s="8">
        <f>IFERROR(__xludf.DUMMYFUNCTION("""COMPUTED_VALUE"""),0.214876033057851)</f>
        <v>0.2148760331</v>
      </c>
      <c r="I56" s="8">
        <f>IFERROR(__xludf.DUMMYFUNCTION("""COMPUTED_VALUE"""),0.179487179487179)</f>
        <v>0.1794871795</v>
      </c>
      <c r="J56" s="8">
        <f>IFERROR(__xludf.DUMMYFUNCTION("""COMPUTED_VALUE"""),0.122807017543859)</f>
        <v>0.1228070175</v>
      </c>
      <c r="K56" s="8">
        <f>IFERROR(__xludf.DUMMYFUNCTION("""COMPUTED_VALUE"""),0.108108108108108)</f>
        <v>0.1081081081</v>
      </c>
      <c r="L56" s="8">
        <f>IFERROR(__xludf.DUMMYFUNCTION("""COMPUTED_VALUE"""),0.0891089108910891)</f>
        <v>0.08910891089</v>
      </c>
      <c r="M56" s="8">
        <f>IFERROR(__xludf.DUMMYFUNCTION("""COMPUTED_VALUE"""),0.057471264367816)</f>
        <v>0.05747126437</v>
      </c>
      <c r="N56" s="8">
        <f>IFERROR(__xludf.DUMMYFUNCTION("""COMPUTED_VALUE"""),0.0675675675675675)</f>
        <v>0.06756756757</v>
      </c>
      <c r="O56" s="8">
        <f>IFERROR(__xludf.DUMMYFUNCTION("""COMPUTED_VALUE"""),0.125)</f>
        <v>0.125</v>
      </c>
      <c r="P56" s="8">
        <f>IFERROR(__xludf.DUMMYFUNCTION("""COMPUTED_VALUE"""),0.125)</f>
        <v>0.125</v>
      </c>
      <c r="Q56" s="8">
        <f>IFERROR(__xludf.DUMMYFUNCTION("""COMPUTED_VALUE"""),0.125)</f>
        <v>0.125</v>
      </c>
      <c r="R56" s="8">
        <f>IFERROR(__xludf.DUMMYFUNCTION("""COMPUTED_VALUE"""),0.0)</f>
        <v>0</v>
      </c>
      <c r="S56" s="8">
        <f>IFERROR(__xludf.DUMMYFUNCTION("""COMPUTED_VALUE"""),0.0)</f>
        <v>0</v>
      </c>
      <c r="T56" s="8">
        <f>IFERROR(__xludf.DUMMYFUNCTION("""COMPUTED_VALUE"""),0.0)</f>
        <v>0</v>
      </c>
      <c r="U56" s="8">
        <f>IFERROR(__xludf.DUMMYFUNCTION("""COMPUTED_VALUE"""),0.0)</f>
        <v>0</v>
      </c>
      <c r="V56" s="8">
        <f>IFERROR(__xludf.DUMMYFUNCTION("""COMPUTED_VALUE"""),0.0)</f>
        <v>0</v>
      </c>
      <c r="W56" s="8">
        <f>IFERROR(__xludf.DUMMYFUNCTION("""COMPUTED_VALUE"""),0.0)</f>
        <v>0</v>
      </c>
      <c r="X56" s="8">
        <f>IFERROR(__xludf.DUMMYFUNCTION("""COMPUTED_VALUE"""),0.0)</f>
        <v>0</v>
      </c>
      <c r="Y56" s="8">
        <f>IFERROR(__xludf.DUMMYFUNCTION("""COMPUTED_VALUE"""),0.0)</f>
        <v>0</v>
      </c>
      <c r="Z56" s="8">
        <f>IFERROR(__xludf.DUMMYFUNCTION("""COMPUTED_VALUE"""),0.0)</f>
        <v>0</v>
      </c>
      <c r="AA56" s="8">
        <f>IFERROR(__xludf.DUMMYFUNCTION("""COMPUTED_VALUE"""),0.0)</f>
        <v>0</v>
      </c>
      <c r="AB56" s="8">
        <f>IFERROR(__xludf.DUMMYFUNCTION("""COMPUTED_VALUE"""),0.0)</f>
        <v>0</v>
      </c>
      <c r="AC56" s="8">
        <f>IFERROR(__xludf.DUMMYFUNCTION("""COMPUTED_VALUE"""),0.0)</f>
        <v>0</v>
      </c>
    </row>
    <row r="57" ht="15.75" customHeight="1">
      <c r="A57" s="6" t="str">
        <f>IFERROR(__xludf.DUMMYFUNCTION("""COMPUTED_VALUE"""),"31e58f7ec421b1daaed1f4ac654ecd9eb855bc93")</f>
        <v>31e58f7ec421b1daaed1f4ac654ecd9eb855bc93</v>
      </c>
      <c r="B57" s="6" t="str">
        <f>IFERROR(__xludf.DUMMYFUNCTION("""COMPUTED_VALUE"""),"The Forsaken Path")</f>
        <v>The Forsaken Path</v>
      </c>
      <c r="C57" s="6" t="str">
        <f>IFERROR(__xludf.DUMMYFUNCTION("""COMPUTED_VALUE"""),"Fantasy")</f>
        <v>Fantasy</v>
      </c>
      <c r="D57" s="17">
        <f>IFERROR(__xludf.DUMMYFUNCTION("""COMPUTED_VALUE"""),633.0)</f>
        <v>633</v>
      </c>
      <c r="E57" s="8">
        <f>IFERROR(__xludf.DUMMYFUNCTION("""COMPUTED_VALUE"""),0.985759493670886)</f>
        <v>0.9857594937</v>
      </c>
      <c r="F57" s="8">
        <f>IFERROR(__xludf.DUMMYFUNCTION("""COMPUTED_VALUE"""),0.545166402535657)</f>
        <v>0.5451664025</v>
      </c>
      <c r="G57" s="8">
        <f>IFERROR(__xludf.DUMMYFUNCTION("""COMPUTED_VALUE"""),0.493650793650793)</f>
        <v>0.4936507937</v>
      </c>
      <c r="H57" s="8">
        <f>IFERROR(__xludf.DUMMYFUNCTION("""COMPUTED_VALUE"""),0.4304)</f>
        <v>0.4304</v>
      </c>
      <c r="I57" s="8">
        <f>IFERROR(__xludf.DUMMYFUNCTION("""COMPUTED_VALUE"""),0.415458937198067)</f>
        <v>0.4154589372</v>
      </c>
      <c r="J57" s="8">
        <f>IFERROR(__xludf.DUMMYFUNCTION("""COMPUTED_VALUE"""),0.399673735725938)</f>
        <v>0.3996737357</v>
      </c>
      <c r="K57" s="8">
        <f>IFERROR(__xludf.DUMMYFUNCTION("""COMPUTED_VALUE"""),0.379537953795379)</f>
        <v>0.3795379538</v>
      </c>
      <c r="L57" s="8">
        <f>IFERROR(__xludf.DUMMYFUNCTION("""COMPUTED_VALUE"""),0.368509212730318)</f>
        <v>0.3685092127</v>
      </c>
      <c r="M57" s="8">
        <f>IFERROR(__xludf.DUMMYFUNCTION("""COMPUTED_VALUE"""),0.352640545144804)</f>
        <v>0.3526405451</v>
      </c>
      <c r="N57" s="8">
        <f>IFERROR(__xludf.DUMMYFUNCTION("""COMPUTED_VALUE"""),0.344398340248962)</f>
        <v>0.3443983402</v>
      </c>
      <c r="O57" s="8">
        <f>IFERROR(__xludf.DUMMYFUNCTION("""COMPUTED_VALUE"""),0.2)</f>
        <v>0.2</v>
      </c>
      <c r="P57" s="8">
        <f>IFERROR(__xludf.DUMMYFUNCTION("""COMPUTED_VALUE"""),0.133333333333333)</f>
        <v>0.1333333333</v>
      </c>
      <c r="Q57" s="8">
        <f>IFERROR(__xludf.DUMMYFUNCTION("""COMPUTED_VALUE"""),0.108108108108108)</f>
        <v>0.1081081081</v>
      </c>
      <c r="R57" s="8">
        <f>IFERROR(__xludf.DUMMYFUNCTION("""COMPUTED_VALUE"""),0.4)</f>
        <v>0.4</v>
      </c>
      <c r="S57" s="8">
        <f>IFERROR(__xludf.DUMMYFUNCTION("""COMPUTED_VALUE"""),0.0)</f>
        <v>0</v>
      </c>
      <c r="T57" s="8">
        <f>IFERROR(__xludf.DUMMYFUNCTION("""COMPUTED_VALUE"""),0.0)</f>
        <v>0</v>
      </c>
      <c r="U57" s="8">
        <f>IFERROR(__xludf.DUMMYFUNCTION("""COMPUTED_VALUE"""),0.0)</f>
        <v>0</v>
      </c>
      <c r="V57" s="8">
        <f>IFERROR(__xludf.DUMMYFUNCTION("""COMPUTED_VALUE"""),0.0)</f>
        <v>0</v>
      </c>
      <c r="W57" s="8">
        <f>IFERROR(__xludf.DUMMYFUNCTION("""COMPUTED_VALUE"""),0.0)</f>
        <v>0</v>
      </c>
      <c r="X57" s="8">
        <f>IFERROR(__xludf.DUMMYFUNCTION("""COMPUTED_VALUE"""),0.0)</f>
        <v>0</v>
      </c>
      <c r="Y57" s="8">
        <f>IFERROR(__xludf.DUMMYFUNCTION("""COMPUTED_VALUE"""),0.0)</f>
        <v>0</v>
      </c>
      <c r="Z57" s="8">
        <f>IFERROR(__xludf.DUMMYFUNCTION("""COMPUTED_VALUE"""),0.0)</f>
        <v>0</v>
      </c>
      <c r="AA57" s="8">
        <f>IFERROR(__xludf.DUMMYFUNCTION("""COMPUTED_VALUE"""),0.0)</f>
        <v>0</v>
      </c>
      <c r="AB57" s="8">
        <f>IFERROR(__xludf.DUMMYFUNCTION("""COMPUTED_VALUE"""),0.0)</f>
        <v>0</v>
      </c>
      <c r="AC57" s="8">
        <f>IFERROR(__xludf.DUMMYFUNCTION("""COMPUTED_VALUE"""),0.0)</f>
        <v>0</v>
      </c>
    </row>
    <row r="58" ht="15.75" customHeight="1">
      <c r="A58" s="6" t="str">
        <f>IFERROR(__xludf.DUMMYFUNCTION("""COMPUTED_VALUE"""),"328a6c95d732271bc4717aa2abf3a7c15f89a25e")</f>
        <v>328a6c95d732271bc4717aa2abf3a7c15f89a25e</v>
      </c>
      <c r="B58" s="6" t="str">
        <f>IFERROR(__xludf.DUMMYFUNCTION("""COMPUTED_VALUE"""),"Braving the Rapid Waters")</f>
        <v>Braving the Rapid Waters</v>
      </c>
      <c r="C58" s="6" t="str">
        <f>IFERROR(__xludf.DUMMYFUNCTION("""COMPUTED_VALUE"""),"Romance")</f>
        <v>Romance</v>
      </c>
      <c r="D58" s="17">
        <f>IFERROR(__xludf.DUMMYFUNCTION("""COMPUTED_VALUE"""),524.0)</f>
        <v>524</v>
      </c>
      <c r="E58" s="8">
        <f>IFERROR(__xludf.DUMMYFUNCTION("""COMPUTED_VALUE"""),0.975190839694656)</f>
        <v>0.9751908397</v>
      </c>
      <c r="F58" s="8">
        <f>IFERROR(__xludf.DUMMYFUNCTION("""COMPUTED_VALUE"""),0.511450381679389)</f>
        <v>0.5114503817</v>
      </c>
      <c r="G58" s="8">
        <f>IFERROR(__xludf.DUMMYFUNCTION("""COMPUTED_VALUE"""),0.440839694656488)</f>
        <v>0.4408396947</v>
      </c>
      <c r="H58" s="8">
        <f>IFERROR(__xludf.DUMMYFUNCTION("""COMPUTED_VALUE"""),0.417938931297709)</f>
        <v>0.4179389313</v>
      </c>
      <c r="I58" s="8">
        <f>IFERROR(__xludf.DUMMYFUNCTION("""COMPUTED_VALUE"""),0.385496183206106)</f>
        <v>0.3854961832</v>
      </c>
      <c r="J58" s="8">
        <f>IFERROR(__xludf.DUMMYFUNCTION("""COMPUTED_VALUE"""),0.370936902485659)</f>
        <v>0.3709369025</v>
      </c>
      <c r="K58" s="8">
        <f>IFERROR(__xludf.DUMMYFUNCTION("""COMPUTED_VALUE"""),0.354406130268199)</f>
        <v>0.3544061303</v>
      </c>
      <c r="L58" s="8">
        <f>IFERROR(__xludf.DUMMYFUNCTION("""COMPUTED_VALUE"""),0.337164750957854)</f>
        <v>0.337164751</v>
      </c>
      <c r="M58" s="8">
        <f>IFERROR(__xludf.DUMMYFUNCTION("""COMPUTED_VALUE"""),0.325670498084291)</f>
        <v>0.3256704981</v>
      </c>
      <c r="N58" s="8">
        <f>IFERROR(__xludf.DUMMYFUNCTION("""COMPUTED_VALUE"""),0.312260536398467)</f>
        <v>0.3122605364</v>
      </c>
      <c r="O58" s="8">
        <f>IFERROR(__xludf.DUMMYFUNCTION("""COMPUTED_VALUE"""),0.219230769230769)</f>
        <v>0.2192307692</v>
      </c>
      <c r="P58" s="8">
        <f>IFERROR(__xludf.DUMMYFUNCTION("""COMPUTED_VALUE"""),0.132692307692307)</f>
        <v>0.1326923077</v>
      </c>
      <c r="Q58" s="8">
        <f>IFERROR(__xludf.DUMMYFUNCTION("""COMPUTED_VALUE"""),0.0745098039215686)</f>
        <v>0.07450980392</v>
      </c>
      <c r="R58" s="8">
        <f>IFERROR(__xludf.DUMMYFUNCTION("""COMPUTED_VALUE"""),0.0275590551181102)</f>
        <v>0.02755905512</v>
      </c>
      <c r="S58" s="8">
        <f>IFERROR(__xludf.DUMMYFUNCTION("""COMPUTED_VALUE"""),0.0)</f>
        <v>0</v>
      </c>
      <c r="T58" s="8">
        <f>IFERROR(__xludf.DUMMYFUNCTION("""COMPUTED_VALUE"""),0.0)</f>
        <v>0</v>
      </c>
      <c r="U58" s="8">
        <f>IFERROR(__xludf.DUMMYFUNCTION("""COMPUTED_VALUE"""),0.0)</f>
        <v>0</v>
      </c>
      <c r="V58" s="8">
        <f>IFERROR(__xludf.DUMMYFUNCTION("""COMPUTED_VALUE"""),0.0)</f>
        <v>0</v>
      </c>
      <c r="W58" s="8">
        <f>IFERROR(__xludf.DUMMYFUNCTION("""COMPUTED_VALUE"""),0.0)</f>
        <v>0</v>
      </c>
      <c r="X58" s="8">
        <f>IFERROR(__xludf.DUMMYFUNCTION("""COMPUTED_VALUE"""),0.0)</f>
        <v>0</v>
      </c>
      <c r="Y58" s="8">
        <f>IFERROR(__xludf.DUMMYFUNCTION("""COMPUTED_VALUE"""),0.0)</f>
        <v>0</v>
      </c>
      <c r="Z58" s="8">
        <f>IFERROR(__xludf.DUMMYFUNCTION("""COMPUTED_VALUE"""),0.0)</f>
        <v>0</v>
      </c>
      <c r="AA58" s="8">
        <f>IFERROR(__xludf.DUMMYFUNCTION("""COMPUTED_VALUE"""),0.0)</f>
        <v>0</v>
      </c>
      <c r="AB58" s="8">
        <f>IFERROR(__xludf.DUMMYFUNCTION("""COMPUTED_VALUE"""),0.0)</f>
        <v>0</v>
      </c>
      <c r="AC58" s="8">
        <f>IFERROR(__xludf.DUMMYFUNCTION("""COMPUTED_VALUE"""),0.0)</f>
        <v>0</v>
      </c>
    </row>
    <row r="59" ht="15.75" customHeight="1">
      <c r="A59" s="6" t="str">
        <f>IFERROR(__xludf.DUMMYFUNCTION("""COMPUTED_VALUE"""),"328d4b017d5db890a886902acdade960088fb3d8")</f>
        <v>328d4b017d5db890a886902acdade960088fb3d8</v>
      </c>
      <c r="B59" s="6" t="str">
        <f>IFERROR(__xludf.DUMMYFUNCTION("""COMPUTED_VALUE"""),"Her Worthless Son-in-Law")</f>
        <v>Her Worthless Son-in-Law</v>
      </c>
      <c r="C59" s="6" t="str">
        <f>IFERROR(__xludf.DUMMYFUNCTION("""COMPUTED_VALUE"""),"System and Superpower")</f>
        <v>System and Superpower</v>
      </c>
      <c r="D59" s="17">
        <f>IFERROR(__xludf.DUMMYFUNCTION("""COMPUTED_VALUE"""),115.0)</f>
        <v>115</v>
      </c>
      <c r="E59" s="8">
        <f>IFERROR(__xludf.DUMMYFUNCTION("""COMPUTED_VALUE"""),0.913043478260869)</f>
        <v>0.9130434783</v>
      </c>
      <c r="F59" s="8">
        <f>IFERROR(__xludf.DUMMYFUNCTION("""COMPUTED_VALUE"""),0.75221238938053)</f>
        <v>0.7522123894</v>
      </c>
      <c r="G59" s="8">
        <f>IFERROR(__xludf.DUMMYFUNCTION("""COMPUTED_VALUE"""),0.711711711711711)</f>
        <v>0.7117117117</v>
      </c>
      <c r="H59" s="8">
        <f>IFERROR(__xludf.DUMMYFUNCTION("""COMPUTED_VALUE"""),0.653061224489795)</f>
        <v>0.6530612245</v>
      </c>
      <c r="I59" s="8">
        <f>IFERROR(__xludf.DUMMYFUNCTION("""COMPUTED_VALUE"""),0.625)</f>
        <v>0.625</v>
      </c>
      <c r="J59" s="8">
        <f>IFERROR(__xludf.DUMMYFUNCTION("""COMPUTED_VALUE"""),0.582417582417582)</f>
        <v>0.5824175824</v>
      </c>
      <c r="K59" s="8">
        <f>IFERROR(__xludf.DUMMYFUNCTION("""COMPUTED_VALUE"""),0.588888888888888)</f>
        <v>0.5888888889</v>
      </c>
      <c r="L59" s="8">
        <f>IFERROR(__xludf.DUMMYFUNCTION("""COMPUTED_VALUE"""),0.561797752808988)</f>
        <v>0.5617977528</v>
      </c>
      <c r="M59" s="8">
        <f>IFERROR(__xludf.DUMMYFUNCTION("""COMPUTED_VALUE"""),0.550561797752809)</f>
        <v>0.5505617978</v>
      </c>
      <c r="N59" s="8">
        <f>IFERROR(__xludf.DUMMYFUNCTION("""COMPUTED_VALUE"""),0.55813953488372)</f>
        <v>0.5581395349</v>
      </c>
      <c r="O59" s="8">
        <f>IFERROR(__xludf.DUMMYFUNCTION("""COMPUTED_VALUE"""),0.452054794520547)</f>
        <v>0.4520547945</v>
      </c>
      <c r="P59" s="8">
        <f>IFERROR(__xludf.DUMMYFUNCTION("""COMPUTED_VALUE"""),0.352112676056338)</f>
        <v>0.3521126761</v>
      </c>
      <c r="Q59" s="8">
        <f>IFERROR(__xludf.DUMMYFUNCTION("""COMPUTED_VALUE"""),0.25531914893617)</f>
        <v>0.2553191489</v>
      </c>
      <c r="R59" s="8">
        <f>IFERROR(__xludf.DUMMYFUNCTION("""COMPUTED_VALUE"""),0.0909090909090909)</f>
        <v>0.09090909091</v>
      </c>
      <c r="S59" s="8">
        <f>IFERROR(__xludf.DUMMYFUNCTION("""COMPUTED_VALUE"""),0.0)</f>
        <v>0</v>
      </c>
      <c r="T59" s="8">
        <f>IFERROR(__xludf.DUMMYFUNCTION("""COMPUTED_VALUE"""),0.0)</f>
        <v>0</v>
      </c>
      <c r="U59" s="8">
        <f>IFERROR(__xludf.DUMMYFUNCTION("""COMPUTED_VALUE"""),0.0)</f>
        <v>0</v>
      </c>
      <c r="V59" s="8">
        <f>IFERROR(__xludf.DUMMYFUNCTION("""COMPUTED_VALUE"""),0.0)</f>
        <v>0</v>
      </c>
      <c r="W59" s="8">
        <f>IFERROR(__xludf.DUMMYFUNCTION("""COMPUTED_VALUE"""),0.0)</f>
        <v>0</v>
      </c>
      <c r="X59" s="8">
        <f>IFERROR(__xludf.DUMMYFUNCTION("""COMPUTED_VALUE"""),0.0)</f>
        <v>0</v>
      </c>
      <c r="Y59" s="8">
        <f>IFERROR(__xludf.DUMMYFUNCTION("""COMPUTED_VALUE"""),0.0)</f>
        <v>0</v>
      </c>
      <c r="Z59" s="8">
        <f>IFERROR(__xludf.DUMMYFUNCTION("""COMPUTED_VALUE"""),0.0)</f>
        <v>0</v>
      </c>
      <c r="AA59" s="8">
        <f>IFERROR(__xludf.DUMMYFUNCTION("""COMPUTED_VALUE"""),0.0)</f>
        <v>0</v>
      </c>
      <c r="AB59" s="8">
        <f>IFERROR(__xludf.DUMMYFUNCTION("""COMPUTED_VALUE"""),0.0)</f>
        <v>0</v>
      </c>
      <c r="AC59" s="8">
        <f>IFERROR(__xludf.DUMMYFUNCTION("""COMPUTED_VALUE"""),0.0)</f>
        <v>0</v>
      </c>
    </row>
    <row r="60" ht="15.75" customHeight="1">
      <c r="A60" s="6" t="str">
        <f>IFERROR(__xludf.DUMMYFUNCTION("""COMPUTED_VALUE"""),"33e8ab0db9ae32917785af78276932f16eac10c0")</f>
        <v>33e8ab0db9ae32917785af78276932f16eac10c0</v>
      </c>
      <c r="B60" s="6" t="str">
        <f>IFERROR(__xludf.DUMMYFUNCTION("""COMPUTED_VALUE"""),"The Crowns Selection")</f>
        <v>The Crowns Selection</v>
      </c>
      <c r="C60" s="6" t="str">
        <f>IFERROR(__xludf.DUMMYFUNCTION("""COMPUTED_VALUE"""),"Romance")</f>
        <v>Romance</v>
      </c>
      <c r="D60" s="17">
        <f>IFERROR(__xludf.DUMMYFUNCTION("""COMPUTED_VALUE"""),601.0)</f>
        <v>601</v>
      </c>
      <c r="E60" s="8">
        <f>IFERROR(__xludf.DUMMYFUNCTION("""COMPUTED_VALUE"""),0.985)</f>
        <v>0.985</v>
      </c>
      <c r="F60" s="8">
        <f>IFERROR(__xludf.DUMMYFUNCTION("""COMPUTED_VALUE"""),0.584589614740368)</f>
        <v>0.5845896147</v>
      </c>
      <c r="G60" s="8">
        <f>IFERROR(__xludf.DUMMYFUNCTION("""COMPUTED_VALUE"""),0.517985611510791)</f>
        <v>0.5179856115</v>
      </c>
      <c r="H60" s="8">
        <f>IFERROR(__xludf.DUMMYFUNCTION("""COMPUTED_VALUE"""),0.49678800856531)</f>
        <v>0.4967880086</v>
      </c>
      <c r="I60" s="8">
        <f>IFERROR(__xludf.DUMMYFUNCTION("""COMPUTED_VALUE"""),0.39433551198257)</f>
        <v>0.394335512</v>
      </c>
      <c r="J60" s="8">
        <f>IFERROR(__xludf.DUMMYFUNCTION("""COMPUTED_VALUE"""),0.373033707865168)</f>
        <v>0.3730337079</v>
      </c>
      <c r="K60" s="8">
        <f>IFERROR(__xludf.DUMMYFUNCTION("""COMPUTED_VALUE"""),0.325581395348837)</f>
        <v>0.3255813953</v>
      </c>
      <c r="L60" s="8">
        <f>IFERROR(__xludf.DUMMYFUNCTION("""COMPUTED_VALUE"""),0.310344827586206)</f>
        <v>0.3103448276</v>
      </c>
      <c r="M60" s="8">
        <f>IFERROR(__xludf.DUMMYFUNCTION("""COMPUTED_VALUE"""),0.294117647058823)</f>
        <v>0.2941176471</v>
      </c>
      <c r="N60" s="8">
        <f>IFERROR(__xludf.DUMMYFUNCTION("""COMPUTED_VALUE"""),0.294117647058823)</f>
        <v>0.2941176471</v>
      </c>
      <c r="O60" s="8">
        <f>IFERROR(__xludf.DUMMYFUNCTION("""COMPUTED_VALUE"""),0.326086956521739)</f>
        <v>0.3260869565</v>
      </c>
      <c r="P60" s="8">
        <f>IFERROR(__xludf.DUMMYFUNCTION("""COMPUTED_VALUE"""),0.27027027027027)</f>
        <v>0.2702702703</v>
      </c>
      <c r="Q60" s="8">
        <f>IFERROR(__xludf.DUMMYFUNCTION("""COMPUTED_VALUE"""),0.666666666666666)</f>
        <v>0.6666666667</v>
      </c>
      <c r="R60" s="8">
        <f>IFERROR(__xludf.DUMMYFUNCTION("""COMPUTED_VALUE"""),0.0)</f>
        <v>0</v>
      </c>
      <c r="S60" s="8">
        <f>IFERROR(__xludf.DUMMYFUNCTION("""COMPUTED_VALUE"""),0.0)</f>
        <v>0</v>
      </c>
      <c r="T60" s="8">
        <f>IFERROR(__xludf.DUMMYFUNCTION("""COMPUTED_VALUE"""),0.0)</f>
        <v>0</v>
      </c>
      <c r="U60" s="8">
        <f>IFERROR(__xludf.DUMMYFUNCTION("""COMPUTED_VALUE"""),0.0)</f>
        <v>0</v>
      </c>
      <c r="V60" s="8">
        <f>IFERROR(__xludf.DUMMYFUNCTION("""COMPUTED_VALUE"""),0.0)</f>
        <v>0</v>
      </c>
      <c r="W60" s="8">
        <f>IFERROR(__xludf.DUMMYFUNCTION("""COMPUTED_VALUE"""),0.0)</f>
        <v>0</v>
      </c>
      <c r="X60" s="8">
        <f>IFERROR(__xludf.DUMMYFUNCTION("""COMPUTED_VALUE"""),0.0)</f>
        <v>0</v>
      </c>
      <c r="Y60" s="8">
        <f>IFERROR(__xludf.DUMMYFUNCTION("""COMPUTED_VALUE"""),0.0)</f>
        <v>0</v>
      </c>
      <c r="Z60" s="8">
        <f>IFERROR(__xludf.DUMMYFUNCTION("""COMPUTED_VALUE"""),0.0)</f>
        <v>0</v>
      </c>
      <c r="AA60" s="8">
        <f>IFERROR(__xludf.DUMMYFUNCTION("""COMPUTED_VALUE"""),0.0)</f>
        <v>0</v>
      </c>
      <c r="AB60" s="8">
        <f>IFERROR(__xludf.DUMMYFUNCTION("""COMPUTED_VALUE"""),0.0)</f>
        <v>0</v>
      </c>
      <c r="AC60" s="8">
        <f>IFERROR(__xludf.DUMMYFUNCTION("""COMPUTED_VALUE"""),0.0)</f>
        <v>0</v>
      </c>
    </row>
    <row r="61" ht="15.75" customHeight="1">
      <c r="A61" s="6" t="str">
        <f>IFERROR(__xludf.DUMMYFUNCTION("""COMPUTED_VALUE"""),"344fcbb2ea419c5e240def842cb2949db59acee4")</f>
        <v>344fcbb2ea419c5e240def842cb2949db59acee4</v>
      </c>
      <c r="B61" s="6" t="str">
        <f>IFERROR(__xludf.DUMMYFUNCTION("""COMPUTED_VALUE"""),"Gate of Immortality")</f>
        <v>Gate of Immortality</v>
      </c>
      <c r="C61" s="6" t="str">
        <f>IFERROR(__xludf.DUMMYFUNCTION("""COMPUTED_VALUE"""),"Drama")</f>
        <v>Drama</v>
      </c>
      <c r="D61" s="17">
        <f>IFERROR(__xludf.DUMMYFUNCTION("""COMPUTED_VALUE"""),487.0)</f>
        <v>487</v>
      </c>
      <c r="E61" s="8">
        <f>IFERROR(__xludf.DUMMYFUNCTION("""COMPUTED_VALUE"""),0.98876404494382)</f>
        <v>0.9887640449</v>
      </c>
      <c r="F61" s="8">
        <f>IFERROR(__xludf.DUMMYFUNCTION("""COMPUTED_VALUE"""),0.60880195599022)</f>
        <v>0.608801956</v>
      </c>
      <c r="G61" s="8">
        <f>IFERROR(__xludf.DUMMYFUNCTION("""COMPUTED_VALUE"""),0.554929577464788)</f>
        <v>0.5549295775</v>
      </c>
      <c r="H61" s="8">
        <f>IFERROR(__xludf.DUMMYFUNCTION("""COMPUTED_VALUE"""),0.51418439716312)</f>
        <v>0.5141843972</v>
      </c>
      <c r="I61" s="8">
        <f>IFERROR(__xludf.DUMMYFUNCTION("""COMPUTED_VALUE"""),0.48249027237354)</f>
        <v>0.4824902724</v>
      </c>
      <c r="J61" s="8">
        <f>IFERROR(__xludf.DUMMYFUNCTION("""COMPUTED_VALUE"""),0.451612903225806)</f>
        <v>0.4516129032</v>
      </c>
      <c r="K61" s="8">
        <f>IFERROR(__xludf.DUMMYFUNCTION("""COMPUTED_VALUE"""),0.384210526315789)</f>
        <v>0.3842105263</v>
      </c>
      <c r="L61" s="8">
        <f>IFERROR(__xludf.DUMMYFUNCTION("""COMPUTED_VALUE"""),0.358974358974359)</f>
        <v>0.358974359</v>
      </c>
      <c r="M61" s="8">
        <f>IFERROR(__xludf.DUMMYFUNCTION("""COMPUTED_VALUE"""),0.3203125)</f>
        <v>0.3203125</v>
      </c>
      <c r="N61" s="8">
        <f>IFERROR(__xludf.DUMMYFUNCTION("""COMPUTED_VALUE"""),0.300970873786407)</f>
        <v>0.3009708738</v>
      </c>
      <c r="O61" s="8">
        <f>IFERROR(__xludf.DUMMYFUNCTION("""COMPUTED_VALUE"""),0.203703703703703)</f>
        <v>0.2037037037</v>
      </c>
      <c r="P61" s="8">
        <f>IFERROR(__xludf.DUMMYFUNCTION("""COMPUTED_VALUE"""),0.23076923076923)</f>
        <v>0.2307692308</v>
      </c>
      <c r="Q61" s="8">
        <f>IFERROR(__xludf.DUMMYFUNCTION("""COMPUTED_VALUE"""),0.0869565217391304)</f>
        <v>0.08695652174</v>
      </c>
      <c r="R61" s="8">
        <f>IFERROR(__xludf.DUMMYFUNCTION("""COMPUTED_VALUE"""),0.0)</f>
        <v>0</v>
      </c>
      <c r="S61" s="8">
        <f>IFERROR(__xludf.DUMMYFUNCTION("""COMPUTED_VALUE"""),0.0)</f>
        <v>0</v>
      </c>
      <c r="T61" s="8">
        <f>IFERROR(__xludf.DUMMYFUNCTION("""COMPUTED_VALUE"""),0.0)</f>
        <v>0</v>
      </c>
      <c r="U61" s="8">
        <f>IFERROR(__xludf.DUMMYFUNCTION("""COMPUTED_VALUE"""),0.0)</f>
        <v>0</v>
      </c>
      <c r="V61" s="8">
        <f>IFERROR(__xludf.DUMMYFUNCTION("""COMPUTED_VALUE"""),0.0)</f>
        <v>0</v>
      </c>
      <c r="W61" s="8">
        <f>IFERROR(__xludf.DUMMYFUNCTION("""COMPUTED_VALUE"""),0.0)</f>
        <v>0</v>
      </c>
      <c r="X61" s="8">
        <f>IFERROR(__xludf.DUMMYFUNCTION("""COMPUTED_VALUE"""),0.0)</f>
        <v>0</v>
      </c>
      <c r="Y61" s="8">
        <f>IFERROR(__xludf.DUMMYFUNCTION("""COMPUTED_VALUE"""),0.0)</f>
        <v>0</v>
      </c>
      <c r="Z61" s="8">
        <f>IFERROR(__xludf.DUMMYFUNCTION("""COMPUTED_VALUE"""),0.0)</f>
        <v>0</v>
      </c>
      <c r="AA61" s="8">
        <f>IFERROR(__xludf.DUMMYFUNCTION("""COMPUTED_VALUE"""),0.0)</f>
        <v>0</v>
      </c>
      <c r="AB61" s="8">
        <f>IFERROR(__xludf.DUMMYFUNCTION("""COMPUTED_VALUE"""),0.0)</f>
        <v>0</v>
      </c>
      <c r="AC61" s="8">
        <f>IFERROR(__xludf.DUMMYFUNCTION("""COMPUTED_VALUE"""),0.0)</f>
        <v>0</v>
      </c>
    </row>
    <row r="62" ht="15.75" customHeight="1">
      <c r="A62" s="6" t="str">
        <f>IFERROR(__xludf.DUMMYFUNCTION("""COMPUTED_VALUE"""),"34997bc4167305107b251e0bf8431553064ef3a5")</f>
        <v>34997bc4167305107b251e0bf8431553064ef3a5</v>
      </c>
      <c r="B62" s="6" t="str">
        <f>IFERROR(__xludf.DUMMYFUNCTION("""COMPUTED_VALUE"""),"The Ghost Heiress")</f>
        <v>The Ghost Heiress</v>
      </c>
      <c r="C62" s="6" t="str">
        <f>IFERROR(__xludf.DUMMYFUNCTION("""COMPUTED_VALUE"""),"Romance")</f>
        <v>Romance</v>
      </c>
      <c r="D62" s="17">
        <f>IFERROR(__xludf.DUMMYFUNCTION("""COMPUTED_VALUE"""),428.0)</f>
        <v>428</v>
      </c>
      <c r="E62" s="8">
        <f>IFERROR(__xludf.DUMMYFUNCTION("""COMPUTED_VALUE"""),0.961722488038277)</f>
        <v>0.961722488</v>
      </c>
      <c r="F62" s="8">
        <f>IFERROR(__xludf.DUMMYFUNCTION("""COMPUTED_VALUE"""),0.585164835164835)</f>
        <v>0.5851648352</v>
      </c>
      <c r="G62" s="8">
        <f>IFERROR(__xludf.DUMMYFUNCTION("""COMPUTED_VALUE"""),0.524926686217008)</f>
        <v>0.5249266862</v>
      </c>
      <c r="H62" s="8">
        <f>IFERROR(__xludf.DUMMYFUNCTION("""COMPUTED_VALUE"""),0.449664429530201)</f>
        <v>0.4496644295</v>
      </c>
      <c r="I62" s="8">
        <f>IFERROR(__xludf.DUMMYFUNCTION("""COMPUTED_VALUE"""),0.435087719298245)</f>
        <v>0.4350877193</v>
      </c>
      <c r="J62" s="8">
        <f>IFERROR(__xludf.DUMMYFUNCTION("""COMPUTED_VALUE"""),0.386363636363636)</f>
        <v>0.3863636364</v>
      </c>
      <c r="K62" s="8">
        <f>IFERROR(__xludf.DUMMYFUNCTION("""COMPUTED_VALUE"""),0.296)</f>
        <v>0.296</v>
      </c>
      <c r="L62" s="8">
        <f>IFERROR(__xludf.DUMMYFUNCTION("""COMPUTED_VALUE"""),0.335025380710659)</f>
        <v>0.3350253807</v>
      </c>
      <c r="M62" s="8">
        <f>IFERROR(__xludf.DUMMYFUNCTION("""COMPUTED_VALUE"""),0.341614906832298)</f>
        <v>0.3416149068</v>
      </c>
      <c r="N62" s="8">
        <f>IFERROR(__xludf.DUMMYFUNCTION("""COMPUTED_VALUE"""),0.346774193548387)</f>
        <v>0.3467741935</v>
      </c>
      <c r="O62" s="8">
        <f>IFERROR(__xludf.DUMMYFUNCTION("""COMPUTED_VALUE"""),0.309859154929577)</f>
        <v>0.3098591549</v>
      </c>
      <c r="P62" s="8">
        <f>IFERROR(__xludf.DUMMYFUNCTION("""COMPUTED_VALUE"""),0.217391304347826)</f>
        <v>0.2173913043</v>
      </c>
      <c r="Q62" s="8">
        <f>IFERROR(__xludf.DUMMYFUNCTION("""COMPUTED_VALUE"""),0.333333333333333)</f>
        <v>0.3333333333</v>
      </c>
      <c r="R62" s="8">
        <f>IFERROR(__xludf.DUMMYFUNCTION("""COMPUTED_VALUE"""),0.0)</f>
        <v>0</v>
      </c>
      <c r="S62" s="8">
        <f>IFERROR(__xludf.DUMMYFUNCTION("""COMPUTED_VALUE"""),0.0)</f>
        <v>0</v>
      </c>
      <c r="T62" s="8">
        <f>IFERROR(__xludf.DUMMYFUNCTION("""COMPUTED_VALUE"""),0.0)</f>
        <v>0</v>
      </c>
      <c r="U62" s="8">
        <f>IFERROR(__xludf.DUMMYFUNCTION("""COMPUTED_VALUE"""),0.0)</f>
        <v>0</v>
      </c>
      <c r="V62" s="8">
        <f>IFERROR(__xludf.DUMMYFUNCTION("""COMPUTED_VALUE"""),0.0)</f>
        <v>0</v>
      </c>
      <c r="W62" s="8">
        <f>IFERROR(__xludf.DUMMYFUNCTION("""COMPUTED_VALUE"""),0.0)</f>
        <v>0</v>
      </c>
      <c r="X62" s="8">
        <f>IFERROR(__xludf.DUMMYFUNCTION("""COMPUTED_VALUE"""),0.0)</f>
        <v>0</v>
      </c>
      <c r="Y62" s="8">
        <f>IFERROR(__xludf.DUMMYFUNCTION("""COMPUTED_VALUE"""),0.0)</f>
        <v>0</v>
      </c>
      <c r="Z62" s="8">
        <f>IFERROR(__xludf.DUMMYFUNCTION("""COMPUTED_VALUE"""),0.0)</f>
        <v>0</v>
      </c>
      <c r="AA62" s="8">
        <f>IFERROR(__xludf.DUMMYFUNCTION("""COMPUTED_VALUE"""),0.0)</f>
        <v>0</v>
      </c>
      <c r="AB62" s="8">
        <f>IFERROR(__xludf.DUMMYFUNCTION("""COMPUTED_VALUE"""),0.0)</f>
        <v>0</v>
      </c>
      <c r="AC62" s="8">
        <f>IFERROR(__xludf.DUMMYFUNCTION("""COMPUTED_VALUE"""),0.0)</f>
        <v>0</v>
      </c>
    </row>
    <row r="63" ht="15.75" customHeight="1">
      <c r="A63" s="6" t="str">
        <f>IFERROR(__xludf.DUMMYFUNCTION("""COMPUTED_VALUE"""),"34f2f307c600eaadeadd185f5681a891034fb635")</f>
        <v>34f2f307c600eaadeadd185f5681a891034fb635</v>
      </c>
      <c r="B63" s="6" t="str">
        <f>IFERROR(__xludf.DUMMYFUNCTION("""COMPUTED_VALUE"""),"Complete Deception")</f>
        <v>Complete Deception</v>
      </c>
      <c r="C63" s="6" t="str">
        <f>IFERROR(__xludf.DUMMYFUNCTION("""COMPUTED_VALUE"""),"Romance")</f>
        <v>Romance</v>
      </c>
      <c r="D63" s="17">
        <f>IFERROR(__xludf.DUMMYFUNCTION("""COMPUTED_VALUE"""),498.0)</f>
        <v>498</v>
      </c>
      <c r="E63" s="8">
        <f>IFERROR(__xludf.DUMMYFUNCTION("""COMPUTED_VALUE"""),0.977911646586345)</f>
        <v>0.9779116466</v>
      </c>
      <c r="F63" s="8">
        <f>IFERROR(__xludf.DUMMYFUNCTION("""COMPUTED_VALUE"""),0.553319919517102)</f>
        <v>0.5533199195</v>
      </c>
      <c r="G63" s="8">
        <f>IFERROR(__xludf.DUMMYFUNCTION("""COMPUTED_VALUE"""),0.432595573440643)</f>
        <v>0.4325955734</v>
      </c>
      <c r="H63" s="8">
        <f>IFERROR(__xludf.DUMMYFUNCTION("""COMPUTED_VALUE"""),0.396378269617706)</f>
        <v>0.3963782696</v>
      </c>
      <c r="I63" s="8">
        <f>IFERROR(__xludf.DUMMYFUNCTION("""COMPUTED_VALUE"""),0.390342052313883)</f>
        <v>0.3903420523</v>
      </c>
      <c r="J63" s="8">
        <f>IFERROR(__xludf.DUMMYFUNCTION("""COMPUTED_VALUE"""),0.35010060362173)</f>
        <v>0.3501006036</v>
      </c>
      <c r="K63" s="8">
        <f>IFERROR(__xludf.DUMMYFUNCTION("""COMPUTED_VALUE"""),0.307847082494969)</f>
        <v>0.3078470825</v>
      </c>
      <c r="L63" s="8">
        <f>IFERROR(__xludf.DUMMYFUNCTION("""COMPUTED_VALUE"""),0.303030303030303)</f>
        <v>0.303030303</v>
      </c>
      <c r="M63" s="8">
        <f>IFERROR(__xludf.DUMMYFUNCTION("""COMPUTED_VALUE"""),0.303030303030303)</f>
        <v>0.303030303</v>
      </c>
      <c r="N63" s="8">
        <f>IFERROR(__xludf.DUMMYFUNCTION("""COMPUTED_VALUE"""),0.293877551020408)</f>
        <v>0.293877551</v>
      </c>
      <c r="O63" s="8">
        <f>IFERROR(__xludf.DUMMYFUNCTION("""COMPUTED_VALUE"""),0.261627906976744)</f>
        <v>0.261627907</v>
      </c>
      <c r="P63" s="8">
        <f>IFERROR(__xludf.DUMMYFUNCTION("""COMPUTED_VALUE"""),0.239766081871345)</f>
        <v>0.2397660819</v>
      </c>
      <c r="Q63" s="8">
        <f>IFERROR(__xludf.DUMMYFUNCTION("""COMPUTED_VALUE"""),0.112426035502958)</f>
        <v>0.1124260355</v>
      </c>
      <c r="R63" s="8">
        <f>IFERROR(__xludf.DUMMYFUNCTION("""COMPUTED_VALUE"""),0.0773809523809523)</f>
        <v>0.07738095238</v>
      </c>
      <c r="S63" s="8">
        <f>IFERROR(__xludf.DUMMYFUNCTION("""COMPUTED_VALUE"""),0.0239520958083832)</f>
        <v>0.02395209581</v>
      </c>
      <c r="T63" s="8">
        <f>IFERROR(__xludf.DUMMYFUNCTION("""COMPUTED_VALUE"""),0.0186335403726708)</f>
        <v>0.01863354037</v>
      </c>
      <c r="U63" s="8">
        <f>IFERROR(__xludf.DUMMYFUNCTION("""COMPUTED_VALUE"""),0.0151515151515151)</f>
        <v>0.01515151515</v>
      </c>
      <c r="V63" s="8">
        <f>IFERROR(__xludf.DUMMYFUNCTION("""COMPUTED_VALUE"""),0.0)</f>
        <v>0</v>
      </c>
      <c r="W63" s="8">
        <f>IFERROR(__xludf.DUMMYFUNCTION("""COMPUTED_VALUE"""),0.0)</f>
        <v>0</v>
      </c>
      <c r="X63" s="8">
        <f>IFERROR(__xludf.DUMMYFUNCTION("""COMPUTED_VALUE"""),0.0)</f>
        <v>0</v>
      </c>
      <c r="Y63" s="8">
        <f>IFERROR(__xludf.DUMMYFUNCTION("""COMPUTED_VALUE"""),0.0)</f>
        <v>0</v>
      </c>
      <c r="Z63" s="8">
        <f>IFERROR(__xludf.DUMMYFUNCTION("""COMPUTED_VALUE"""),0.0)</f>
        <v>0</v>
      </c>
      <c r="AA63" s="8">
        <f>IFERROR(__xludf.DUMMYFUNCTION("""COMPUTED_VALUE"""),0.0)</f>
        <v>0</v>
      </c>
      <c r="AB63" s="8">
        <f>IFERROR(__xludf.DUMMYFUNCTION("""COMPUTED_VALUE"""),0.0)</f>
        <v>0</v>
      </c>
      <c r="AC63" s="8">
        <f>IFERROR(__xludf.DUMMYFUNCTION("""COMPUTED_VALUE"""),0.0)</f>
        <v>0</v>
      </c>
    </row>
    <row r="64" ht="15.75" customHeight="1">
      <c r="A64" s="6" t="str">
        <f>IFERROR(__xludf.DUMMYFUNCTION("""COMPUTED_VALUE"""),"362902a5f0edf9862b88e64b166bdf3fa44487fc")</f>
        <v>362902a5f0edf9862b88e64b166bdf3fa44487fc</v>
      </c>
      <c r="B64" s="6" t="str">
        <f>IFERROR(__xludf.DUMMYFUNCTION("""COMPUTED_VALUE"""),"Almighty Sword Domain")</f>
        <v>Almighty Sword Domain</v>
      </c>
      <c r="C64" s="6" t="str">
        <f>IFERROR(__xludf.DUMMYFUNCTION("""COMPUTED_VALUE"""),"Fantasy")</f>
        <v>Fantasy</v>
      </c>
      <c r="D64" s="17">
        <f>IFERROR(__xludf.DUMMYFUNCTION("""COMPUTED_VALUE"""),206.0)</f>
        <v>206</v>
      </c>
      <c r="E64" s="8">
        <f>IFERROR(__xludf.DUMMYFUNCTION("""COMPUTED_VALUE"""),0.989247311827957)</f>
        <v>0.9892473118</v>
      </c>
      <c r="F64" s="8">
        <f>IFERROR(__xludf.DUMMYFUNCTION("""COMPUTED_VALUE"""),0.330508474576271)</f>
        <v>0.3305084746</v>
      </c>
      <c r="G64" s="8">
        <f>IFERROR(__xludf.DUMMYFUNCTION("""COMPUTED_VALUE"""),0.333333333333333)</f>
        <v>0.3333333333</v>
      </c>
      <c r="H64" s="8">
        <f>IFERROR(__xludf.DUMMYFUNCTION("""COMPUTED_VALUE"""),0.354166666666666)</f>
        <v>0.3541666667</v>
      </c>
      <c r="I64" s="8">
        <f>IFERROR(__xludf.DUMMYFUNCTION("""COMPUTED_VALUE"""),0.294117647058823)</f>
        <v>0.2941176471</v>
      </c>
      <c r="J64" s="8">
        <f>IFERROR(__xludf.DUMMYFUNCTION("""COMPUTED_VALUE"""),0.37037037037037)</f>
        <v>0.3703703704</v>
      </c>
      <c r="K64" s="8">
        <f>IFERROR(__xludf.DUMMYFUNCTION("""COMPUTED_VALUE"""),0.347826086956521)</f>
        <v>0.347826087</v>
      </c>
      <c r="L64" s="8">
        <f>IFERROR(__xludf.DUMMYFUNCTION("""COMPUTED_VALUE"""),0.347826086956521)</f>
        <v>0.347826087</v>
      </c>
      <c r="M64" s="8">
        <f>IFERROR(__xludf.DUMMYFUNCTION("""COMPUTED_VALUE"""),0.391304347826087)</f>
        <v>0.3913043478</v>
      </c>
      <c r="N64" s="8">
        <f>IFERROR(__xludf.DUMMYFUNCTION("""COMPUTED_VALUE"""),0.347826086956521)</f>
        <v>0.347826087</v>
      </c>
      <c r="O64" s="8">
        <f>IFERROR(__xludf.DUMMYFUNCTION("""COMPUTED_VALUE"""),0.318181818181818)</f>
        <v>0.3181818182</v>
      </c>
      <c r="P64" s="8">
        <f>IFERROR(__xludf.DUMMYFUNCTION("""COMPUTED_VALUE"""),0.333333333333333)</f>
        <v>0.3333333333</v>
      </c>
      <c r="Q64" s="8">
        <f>IFERROR(__xludf.DUMMYFUNCTION("""COMPUTED_VALUE"""),0.3)</f>
        <v>0.3</v>
      </c>
      <c r="R64" s="8">
        <f>IFERROR(__xludf.DUMMYFUNCTION("""COMPUTED_VALUE"""),0.294117647058823)</f>
        <v>0.2941176471</v>
      </c>
      <c r="S64" s="8">
        <f>IFERROR(__xludf.DUMMYFUNCTION("""COMPUTED_VALUE"""),0.333333333333333)</f>
        <v>0.3333333333</v>
      </c>
      <c r="T64" s="8">
        <f>IFERROR(__xludf.DUMMYFUNCTION("""COMPUTED_VALUE"""),0.166666666666666)</f>
        <v>0.1666666667</v>
      </c>
      <c r="U64" s="8">
        <f>IFERROR(__xludf.DUMMYFUNCTION("""COMPUTED_VALUE"""),0.0)</f>
        <v>0</v>
      </c>
      <c r="V64" s="8">
        <f>IFERROR(__xludf.DUMMYFUNCTION("""COMPUTED_VALUE"""),0.0)</f>
        <v>0</v>
      </c>
      <c r="W64" s="8">
        <f>IFERROR(__xludf.DUMMYFUNCTION("""COMPUTED_VALUE"""),0.0)</f>
        <v>0</v>
      </c>
      <c r="X64" s="8">
        <f>IFERROR(__xludf.DUMMYFUNCTION("""COMPUTED_VALUE"""),0.0)</f>
        <v>0</v>
      </c>
      <c r="Y64" s="8">
        <f>IFERROR(__xludf.DUMMYFUNCTION("""COMPUTED_VALUE"""),0.0)</f>
        <v>0</v>
      </c>
      <c r="Z64" s="8">
        <f>IFERROR(__xludf.DUMMYFUNCTION("""COMPUTED_VALUE"""),0.0)</f>
        <v>0</v>
      </c>
      <c r="AA64" s="8">
        <f>IFERROR(__xludf.DUMMYFUNCTION("""COMPUTED_VALUE"""),0.0)</f>
        <v>0</v>
      </c>
      <c r="AB64" s="8">
        <f>IFERROR(__xludf.DUMMYFUNCTION("""COMPUTED_VALUE"""),0.0)</f>
        <v>0</v>
      </c>
      <c r="AC64" s="8">
        <f>IFERROR(__xludf.DUMMYFUNCTION("""COMPUTED_VALUE"""),0.0)</f>
        <v>0</v>
      </c>
    </row>
    <row r="65" ht="15.75" customHeight="1">
      <c r="A65" s="6" t="str">
        <f>IFERROR(__xludf.DUMMYFUNCTION("""COMPUTED_VALUE"""),"37a4619595e440ac361cdc0df4d1bd0a9bd5d60c")</f>
        <v>37a4619595e440ac361cdc0df4d1bd0a9bd5d60c</v>
      </c>
      <c r="B65" s="6" t="str">
        <f>IFERROR(__xludf.DUMMYFUNCTION("""COMPUTED_VALUE"""),"The Bloodline Copy System")</f>
        <v>The Bloodline Copy System</v>
      </c>
      <c r="C65" s="6" t="str">
        <f>IFERROR(__xludf.DUMMYFUNCTION("""COMPUTED_VALUE"""),"System and Superpower")</f>
        <v>System and Superpower</v>
      </c>
      <c r="D65" s="17">
        <f>IFERROR(__xludf.DUMMYFUNCTION("""COMPUTED_VALUE"""),937.0)</f>
        <v>937</v>
      </c>
      <c r="E65" s="8">
        <f>IFERROR(__xludf.DUMMYFUNCTION("""COMPUTED_VALUE"""),0.981798715203426)</f>
        <v>0.9817987152</v>
      </c>
      <c r="F65" s="8">
        <f>IFERROR(__xludf.DUMMYFUNCTION("""COMPUTED_VALUE"""),0.649141630901287)</f>
        <v>0.6491416309</v>
      </c>
      <c r="G65" s="8">
        <f>IFERROR(__xludf.DUMMYFUNCTION("""COMPUTED_VALUE"""),0.587096774193548)</f>
        <v>0.5870967742</v>
      </c>
      <c r="H65" s="8">
        <f>IFERROR(__xludf.DUMMYFUNCTION("""COMPUTED_VALUE"""),0.522210184182015)</f>
        <v>0.5222101842</v>
      </c>
      <c r="I65" s="8">
        <f>IFERROR(__xludf.DUMMYFUNCTION("""COMPUTED_VALUE"""),0.489106753812636)</f>
        <v>0.4891067538</v>
      </c>
      <c r="J65" s="8">
        <f>IFERROR(__xludf.DUMMYFUNCTION("""COMPUTED_VALUE"""),0.456545654565456)</f>
        <v>0.4565456546</v>
      </c>
      <c r="K65" s="8">
        <f>IFERROR(__xludf.DUMMYFUNCTION("""COMPUTED_VALUE"""),0.435840707964601)</f>
        <v>0.435840708</v>
      </c>
      <c r="L65" s="8">
        <f>IFERROR(__xludf.DUMMYFUNCTION("""COMPUTED_VALUE"""),0.42087542087542)</f>
        <v>0.4208754209</v>
      </c>
      <c r="M65" s="8">
        <f>IFERROR(__xludf.DUMMYFUNCTION("""COMPUTED_VALUE"""),0.405649717514124)</f>
        <v>0.4056497175</v>
      </c>
      <c r="N65" s="8">
        <f>IFERROR(__xludf.DUMMYFUNCTION("""COMPUTED_VALUE"""),0.386603995299647)</f>
        <v>0.3866039953</v>
      </c>
      <c r="O65" s="8">
        <f>IFERROR(__xludf.DUMMYFUNCTION("""COMPUTED_VALUE"""),0.353571428571428)</f>
        <v>0.3535714286</v>
      </c>
      <c r="P65" s="8">
        <f>IFERROR(__xludf.DUMMYFUNCTION("""COMPUTED_VALUE"""),0.217712177121771)</f>
        <v>0.2177121771</v>
      </c>
      <c r="Q65" s="8">
        <f>IFERROR(__xludf.DUMMYFUNCTION("""COMPUTED_VALUE"""),0.10204081632653)</f>
        <v>0.1020408163</v>
      </c>
      <c r="R65" s="8">
        <f>IFERROR(__xludf.DUMMYFUNCTION("""COMPUTED_VALUE"""),0.0857142857142857)</f>
        <v>0.08571428571</v>
      </c>
      <c r="S65" s="8">
        <f>IFERROR(__xludf.DUMMYFUNCTION("""COMPUTED_VALUE"""),0.0925925925925925)</f>
        <v>0.09259259259</v>
      </c>
      <c r="T65" s="8">
        <f>IFERROR(__xludf.DUMMYFUNCTION("""COMPUTED_VALUE"""),0.0357142857142857)</f>
        <v>0.03571428571</v>
      </c>
      <c r="U65" s="8">
        <f>IFERROR(__xludf.DUMMYFUNCTION("""COMPUTED_VALUE"""),0.0)</f>
        <v>0</v>
      </c>
      <c r="V65" s="8">
        <f>IFERROR(__xludf.DUMMYFUNCTION("""COMPUTED_VALUE"""),0.0)</f>
        <v>0</v>
      </c>
      <c r="W65" s="8">
        <f>IFERROR(__xludf.DUMMYFUNCTION("""COMPUTED_VALUE"""),0.0)</f>
        <v>0</v>
      </c>
      <c r="X65" s="8">
        <f>IFERROR(__xludf.DUMMYFUNCTION("""COMPUTED_VALUE"""),0.0)</f>
        <v>0</v>
      </c>
      <c r="Y65" s="8">
        <f>IFERROR(__xludf.DUMMYFUNCTION("""COMPUTED_VALUE"""),0.0)</f>
        <v>0</v>
      </c>
      <c r="Z65" s="8">
        <f>IFERROR(__xludf.DUMMYFUNCTION("""COMPUTED_VALUE"""),0.0)</f>
        <v>0</v>
      </c>
      <c r="AA65" s="8">
        <f>IFERROR(__xludf.DUMMYFUNCTION("""COMPUTED_VALUE"""),0.0)</f>
        <v>0</v>
      </c>
      <c r="AB65" s="8">
        <f>IFERROR(__xludf.DUMMYFUNCTION("""COMPUTED_VALUE"""),0.0)</f>
        <v>0</v>
      </c>
      <c r="AC65" s="8">
        <f>IFERROR(__xludf.DUMMYFUNCTION("""COMPUTED_VALUE"""),0.0)</f>
        <v>0</v>
      </c>
    </row>
    <row r="66" ht="15.75" customHeight="1">
      <c r="A66" s="6" t="str">
        <f>IFERROR(__xludf.DUMMYFUNCTION("""COMPUTED_VALUE"""),"381f2f23cfe6043e04a4a705bfde2d0832cb6847")</f>
        <v>381f2f23cfe6043e04a4a705bfde2d0832cb6847</v>
      </c>
      <c r="B66" s="6" t="str">
        <f>IFERROR(__xludf.DUMMYFUNCTION("""COMPUTED_VALUE"""),"The Personal Maid")</f>
        <v>The Personal Maid</v>
      </c>
      <c r="C66" s="6" t="str">
        <f>IFERROR(__xludf.DUMMYFUNCTION("""COMPUTED_VALUE"""),"Romance")</f>
        <v>Romance</v>
      </c>
      <c r="D66" s="17">
        <f>IFERROR(__xludf.DUMMYFUNCTION("""COMPUTED_VALUE"""),64.0)</f>
        <v>64</v>
      </c>
      <c r="E66" s="8">
        <f>IFERROR(__xludf.DUMMYFUNCTION("""COMPUTED_VALUE"""),0.953125)</f>
        <v>0.953125</v>
      </c>
      <c r="F66" s="8">
        <f>IFERROR(__xludf.DUMMYFUNCTION("""COMPUTED_VALUE"""),0.609375)</f>
        <v>0.609375</v>
      </c>
      <c r="G66" s="8">
        <f>IFERROR(__xludf.DUMMYFUNCTION("""COMPUTED_VALUE"""),0.4375)</f>
        <v>0.4375</v>
      </c>
      <c r="H66" s="8">
        <f>IFERROR(__xludf.DUMMYFUNCTION("""COMPUTED_VALUE"""),0.4375)</f>
        <v>0.4375</v>
      </c>
      <c r="I66" s="8">
        <f>IFERROR(__xludf.DUMMYFUNCTION("""COMPUTED_VALUE"""),0.40625)</f>
        <v>0.40625</v>
      </c>
      <c r="J66" s="8">
        <f>IFERROR(__xludf.DUMMYFUNCTION("""COMPUTED_VALUE"""),0.34375)</f>
        <v>0.34375</v>
      </c>
      <c r="K66" s="8">
        <f>IFERROR(__xludf.DUMMYFUNCTION("""COMPUTED_VALUE"""),0.3125)</f>
        <v>0.3125</v>
      </c>
      <c r="L66" s="8">
        <f>IFERROR(__xludf.DUMMYFUNCTION("""COMPUTED_VALUE"""),0.265625)</f>
        <v>0.265625</v>
      </c>
      <c r="M66" s="8">
        <f>IFERROR(__xludf.DUMMYFUNCTION("""COMPUTED_VALUE"""),0.25)</f>
        <v>0.25</v>
      </c>
      <c r="N66" s="8">
        <f>IFERROR(__xludf.DUMMYFUNCTION("""COMPUTED_VALUE"""),0.234375)</f>
        <v>0.234375</v>
      </c>
      <c r="O66" s="8">
        <f>IFERROR(__xludf.DUMMYFUNCTION("""COMPUTED_VALUE"""),0.265625)</f>
        <v>0.265625</v>
      </c>
      <c r="P66" s="8">
        <f>IFERROR(__xludf.DUMMYFUNCTION("""COMPUTED_VALUE"""),0.171875)</f>
        <v>0.171875</v>
      </c>
      <c r="Q66" s="8">
        <f>IFERROR(__xludf.DUMMYFUNCTION("""COMPUTED_VALUE"""),0.0909090909090909)</f>
        <v>0.09090909091</v>
      </c>
      <c r="R66" s="8">
        <f>IFERROR(__xludf.DUMMYFUNCTION("""COMPUTED_VALUE"""),0.0)</f>
        <v>0</v>
      </c>
      <c r="S66" s="8">
        <f>IFERROR(__xludf.DUMMYFUNCTION("""COMPUTED_VALUE"""),0.0)</f>
        <v>0</v>
      </c>
      <c r="T66" s="8">
        <f>IFERROR(__xludf.DUMMYFUNCTION("""COMPUTED_VALUE"""),0.0)</f>
        <v>0</v>
      </c>
      <c r="U66" s="8">
        <f>IFERROR(__xludf.DUMMYFUNCTION("""COMPUTED_VALUE"""),0.0)</f>
        <v>0</v>
      </c>
      <c r="V66" s="8">
        <f>IFERROR(__xludf.DUMMYFUNCTION("""COMPUTED_VALUE"""),0.0)</f>
        <v>0</v>
      </c>
      <c r="W66" s="8">
        <f>IFERROR(__xludf.DUMMYFUNCTION("""COMPUTED_VALUE"""),0.0)</f>
        <v>0</v>
      </c>
      <c r="X66" s="8">
        <f>IFERROR(__xludf.DUMMYFUNCTION("""COMPUTED_VALUE"""),0.0)</f>
        <v>0</v>
      </c>
      <c r="Y66" s="8">
        <f>IFERROR(__xludf.DUMMYFUNCTION("""COMPUTED_VALUE"""),0.0)</f>
        <v>0</v>
      </c>
      <c r="Z66" s="8">
        <f>IFERROR(__xludf.DUMMYFUNCTION("""COMPUTED_VALUE"""),0.0)</f>
        <v>0</v>
      </c>
      <c r="AA66" s="8">
        <f>IFERROR(__xludf.DUMMYFUNCTION("""COMPUTED_VALUE"""),0.0)</f>
        <v>0</v>
      </c>
      <c r="AB66" s="8">
        <f>IFERROR(__xludf.DUMMYFUNCTION("""COMPUTED_VALUE"""),0.0)</f>
        <v>0</v>
      </c>
      <c r="AC66" s="8">
        <f>IFERROR(__xludf.DUMMYFUNCTION("""COMPUTED_VALUE"""),0.0)</f>
        <v>0</v>
      </c>
    </row>
    <row r="67" ht="15.75" customHeight="1">
      <c r="A67" s="6" t="str">
        <f>IFERROR(__xludf.DUMMYFUNCTION("""COMPUTED_VALUE"""),"3a6212d18e444c9585676ce7dba35b7111dd1613")</f>
        <v>3a6212d18e444c9585676ce7dba35b7111dd1613</v>
      </c>
      <c r="B67" s="6" t="str">
        <f>IFERROR(__xludf.DUMMYFUNCTION("""COMPUTED_VALUE"""),"King of Throne")</f>
        <v>King of Throne</v>
      </c>
      <c r="C67" s="6" t="str">
        <f>IFERROR(__xludf.DUMMYFUNCTION("""COMPUTED_VALUE"""),"Fantasy")</f>
        <v>Fantasy</v>
      </c>
      <c r="D67" s="17">
        <f>IFERROR(__xludf.DUMMYFUNCTION("""COMPUTED_VALUE"""),411.0)</f>
        <v>411</v>
      </c>
      <c r="E67" s="8">
        <f>IFERROR(__xludf.DUMMYFUNCTION("""COMPUTED_VALUE"""),0.997524752475247)</f>
        <v>0.9975247525</v>
      </c>
      <c r="F67" s="8">
        <f>IFERROR(__xludf.DUMMYFUNCTION("""COMPUTED_VALUE"""),0.434065934065934)</f>
        <v>0.4340659341</v>
      </c>
      <c r="G67" s="8">
        <f>IFERROR(__xludf.DUMMYFUNCTION("""COMPUTED_VALUE"""),0.354304635761589)</f>
        <v>0.3543046358</v>
      </c>
      <c r="H67" s="8">
        <f>IFERROR(__xludf.DUMMYFUNCTION("""COMPUTED_VALUE"""),0.354838709677419)</f>
        <v>0.3548387097</v>
      </c>
      <c r="I67" s="8">
        <f>IFERROR(__xludf.DUMMYFUNCTION("""COMPUTED_VALUE"""),0.385714285714285)</f>
        <v>0.3857142857</v>
      </c>
      <c r="J67" s="8">
        <f>IFERROR(__xludf.DUMMYFUNCTION("""COMPUTED_VALUE"""),0.419354838709677)</f>
        <v>0.4193548387</v>
      </c>
      <c r="K67" s="8">
        <f>IFERROR(__xludf.DUMMYFUNCTION("""COMPUTED_VALUE"""),0.0)</f>
        <v>0</v>
      </c>
      <c r="L67" s="8">
        <f>IFERROR(__xludf.DUMMYFUNCTION("""COMPUTED_VALUE"""),0.0)</f>
        <v>0</v>
      </c>
      <c r="M67" s="8">
        <f>IFERROR(__xludf.DUMMYFUNCTION("""COMPUTED_VALUE"""),0.0)</f>
        <v>0</v>
      </c>
      <c r="N67" s="8">
        <f>IFERROR(__xludf.DUMMYFUNCTION("""COMPUTED_VALUE"""),0.0)</f>
        <v>0</v>
      </c>
      <c r="O67" s="8">
        <f>IFERROR(__xludf.DUMMYFUNCTION("""COMPUTED_VALUE"""),0.0)</f>
        <v>0</v>
      </c>
      <c r="P67" s="8">
        <f>IFERROR(__xludf.DUMMYFUNCTION("""COMPUTED_VALUE"""),0.0)</f>
        <v>0</v>
      </c>
      <c r="Q67" s="8">
        <f>IFERROR(__xludf.DUMMYFUNCTION("""COMPUTED_VALUE"""),0.0)</f>
        <v>0</v>
      </c>
      <c r="R67" s="8">
        <f>IFERROR(__xludf.DUMMYFUNCTION("""COMPUTED_VALUE"""),0.0)</f>
        <v>0</v>
      </c>
      <c r="S67" s="8">
        <f>IFERROR(__xludf.DUMMYFUNCTION("""COMPUTED_VALUE"""),0.0)</f>
        <v>0</v>
      </c>
      <c r="T67" s="8">
        <f>IFERROR(__xludf.DUMMYFUNCTION("""COMPUTED_VALUE"""),0.0)</f>
        <v>0</v>
      </c>
      <c r="U67" s="8">
        <f>IFERROR(__xludf.DUMMYFUNCTION("""COMPUTED_VALUE"""),0.0)</f>
        <v>0</v>
      </c>
      <c r="V67" s="8">
        <f>IFERROR(__xludf.DUMMYFUNCTION("""COMPUTED_VALUE"""),0.0)</f>
        <v>0</v>
      </c>
      <c r="W67" s="8">
        <f>IFERROR(__xludf.DUMMYFUNCTION("""COMPUTED_VALUE"""),0.0)</f>
        <v>0</v>
      </c>
      <c r="X67" s="8">
        <f>IFERROR(__xludf.DUMMYFUNCTION("""COMPUTED_VALUE"""),0.0)</f>
        <v>0</v>
      </c>
      <c r="Y67" s="8">
        <f>IFERROR(__xludf.DUMMYFUNCTION("""COMPUTED_VALUE"""),0.0)</f>
        <v>0</v>
      </c>
      <c r="Z67" s="8">
        <f>IFERROR(__xludf.DUMMYFUNCTION("""COMPUTED_VALUE"""),0.0)</f>
        <v>0</v>
      </c>
      <c r="AA67" s="8">
        <f>IFERROR(__xludf.DUMMYFUNCTION("""COMPUTED_VALUE"""),0.0)</f>
        <v>0</v>
      </c>
      <c r="AB67" s="8">
        <f>IFERROR(__xludf.DUMMYFUNCTION("""COMPUTED_VALUE"""),0.0)</f>
        <v>0</v>
      </c>
      <c r="AC67" s="8">
        <f>IFERROR(__xludf.DUMMYFUNCTION("""COMPUTED_VALUE"""),0.0)</f>
        <v>0</v>
      </c>
    </row>
    <row r="68" ht="15.75" customHeight="1">
      <c r="A68" s="6" t="str">
        <f>IFERROR(__xludf.DUMMYFUNCTION("""COMPUTED_VALUE"""),"3b626e0d14c34edb82f4b215f3b8d2e50455bbdd")</f>
        <v>3b626e0d14c34edb82f4b215f3b8d2e50455bbdd</v>
      </c>
      <c r="B68" s="6" t="str">
        <f>IFERROR(__xludf.DUMMYFUNCTION("""COMPUTED_VALUE"""),"His Lady Boss Is a Mafia")</f>
        <v>His Lady Boss Is a Mafia</v>
      </c>
      <c r="C68" s="6" t="str">
        <f>IFERROR(__xludf.DUMMYFUNCTION("""COMPUTED_VALUE"""),"Romance")</f>
        <v>Romance</v>
      </c>
      <c r="D68" s="17">
        <f>IFERROR(__xludf.DUMMYFUNCTION("""COMPUTED_VALUE"""),595.0)</f>
        <v>595</v>
      </c>
      <c r="E68" s="8">
        <f>IFERROR(__xludf.DUMMYFUNCTION("""COMPUTED_VALUE"""),0.947546531302876)</f>
        <v>0.9475465313</v>
      </c>
      <c r="F68" s="8">
        <f>IFERROR(__xludf.DUMMYFUNCTION("""COMPUTED_VALUE"""),0.512998266897747)</f>
        <v>0.5129982669</v>
      </c>
      <c r="G68" s="8">
        <f>IFERROR(__xludf.DUMMYFUNCTION("""COMPUTED_VALUE"""),0.488495575221238)</f>
        <v>0.4884955752</v>
      </c>
      <c r="H68" s="8">
        <f>IFERROR(__xludf.DUMMYFUNCTION("""COMPUTED_VALUE"""),0.453405017921146)</f>
        <v>0.4534050179</v>
      </c>
      <c r="I68" s="8">
        <f>IFERROR(__xludf.DUMMYFUNCTION("""COMPUTED_VALUE"""),0.416666666666666)</f>
        <v>0.4166666667</v>
      </c>
      <c r="J68" s="8">
        <f>IFERROR(__xludf.DUMMYFUNCTION("""COMPUTED_VALUE"""),0.395604395604395)</f>
        <v>0.3956043956</v>
      </c>
      <c r="K68" s="8">
        <f>IFERROR(__xludf.DUMMYFUNCTION("""COMPUTED_VALUE"""),0.375925925925925)</f>
        <v>0.3759259259</v>
      </c>
      <c r="L68" s="8">
        <f>IFERROR(__xludf.DUMMYFUNCTION("""COMPUTED_VALUE"""),0.352380952380952)</f>
        <v>0.3523809524</v>
      </c>
      <c r="M68" s="8">
        <f>IFERROR(__xludf.DUMMYFUNCTION("""COMPUTED_VALUE"""),0.373076923076923)</f>
        <v>0.3730769231</v>
      </c>
      <c r="N68" s="8">
        <f>IFERROR(__xludf.DUMMYFUNCTION("""COMPUTED_VALUE"""),0.358974358974359)</f>
        <v>0.358974359</v>
      </c>
      <c r="O68" s="8">
        <f>IFERROR(__xludf.DUMMYFUNCTION("""COMPUTED_VALUE"""),0.337423312883435)</f>
        <v>0.3374233129</v>
      </c>
      <c r="P68" s="8">
        <f>IFERROR(__xludf.DUMMYFUNCTION("""COMPUTED_VALUE"""),0.28099173553719)</f>
        <v>0.2809917355</v>
      </c>
      <c r="Q68" s="8">
        <f>IFERROR(__xludf.DUMMYFUNCTION("""COMPUTED_VALUE"""),1.0)</f>
        <v>1</v>
      </c>
      <c r="R68" s="8">
        <f>IFERROR(__xludf.DUMMYFUNCTION("""COMPUTED_VALUE"""),0.0)</f>
        <v>0</v>
      </c>
      <c r="S68" s="8">
        <f>IFERROR(__xludf.DUMMYFUNCTION("""COMPUTED_VALUE"""),0.0)</f>
        <v>0</v>
      </c>
      <c r="T68" s="8">
        <f>IFERROR(__xludf.DUMMYFUNCTION("""COMPUTED_VALUE"""),0.0)</f>
        <v>0</v>
      </c>
      <c r="U68" s="8">
        <f>IFERROR(__xludf.DUMMYFUNCTION("""COMPUTED_VALUE"""),0.0)</f>
        <v>0</v>
      </c>
      <c r="V68" s="8">
        <f>IFERROR(__xludf.DUMMYFUNCTION("""COMPUTED_VALUE"""),0.0)</f>
        <v>0</v>
      </c>
      <c r="W68" s="8">
        <f>IFERROR(__xludf.DUMMYFUNCTION("""COMPUTED_VALUE"""),0.0)</f>
        <v>0</v>
      </c>
      <c r="X68" s="8">
        <f>IFERROR(__xludf.DUMMYFUNCTION("""COMPUTED_VALUE"""),0.0)</f>
        <v>0</v>
      </c>
      <c r="Y68" s="8">
        <f>IFERROR(__xludf.DUMMYFUNCTION("""COMPUTED_VALUE"""),0.0)</f>
        <v>0</v>
      </c>
      <c r="Z68" s="8">
        <f>IFERROR(__xludf.DUMMYFUNCTION("""COMPUTED_VALUE"""),0.0)</f>
        <v>0</v>
      </c>
      <c r="AA68" s="8">
        <f>IFERROR(__xludf.DUMMYFUNCTION("""COMPUTED_VALUE"""),0.0)</f>
        <v>0</v>
      </c>
      <c r="AB68" s="8">
        <f>IFERROR(__xludf.DUMMYFUNCTION("""COMPUTED_VALUE"""),0.0)</f>
        <v>0</v>
      </c>
      <c r="AC68" s="8">
        <f>IFERROR(__xludf.DUMMYFUNCTION("""COMPUTED_VALUE"""),0.0)</f>
        <v>0</v>
      </c>
    </row>
    <row r="69" ht="15.75" customHeight="1">
      <c r="A69" s="6" t="str">
        <f>IFERROR(__xludf.DUMMYFUNCTION("""COMPUTED_VALUE"""),"3c57dd9bd6f929bdb36d8716aa9f261a72778e24")</f>
        <v>3c57dd9bd6f929bdb36d8716aa9f261a72778e24</v>
      </c>
      <c r="B69" s="6" t="str">
        <f>IFERROR(__xludf.DUMMYFUNCTION("""COMPUTED_VALUE"""),"Resurrected as a Secret Billionaire Liam Carson")</f>
        <v>Resurrected as a Secret Billionaire Liam Carson</v>
      </c>
      <c r="C69" s="6" t="str">
        <f>IFERROR(__xludf.DUMMYFUNCTION("""COMPUTED_VALUE"""),"Fantasy")</f>
        <v>Fantasy</v>
      </c>
      <c r="D69" s="17">
        <f>IFERROR(__xludf.DUMMYFUNCTION("""COMPUTED_VALUE"""),12927.0)</f>
        <v>12927</v>
      </c>
      <c r="E69" s="8">
        <f>IFERROR(__xludf.DUMMYFUNCTION("""COMPUTED_VALUE"""),0.935773427222781)</f>
        <v>0.9357734272</v>
      </c>
      <c r="F69" s="8">
        <f>IFERROR(__xludf.DUMMYFUNCTION("""COMPUTED_VALUE"""),0.579085979860573)</f>
        <v>0.5790859799</v>
      </c>
      <c r="G69" s="8">
        <f>IFERROR(__xludf.DUMMYFUNCTION("""COMPUTED_VALUE"""),0.535105393676379)</f>
        <v>0.5351053937</v>
      </c>
      <c r="H69" s="8">
        <f>IFERROR(__xludf.DUMMYFUNCTION("""COMPUTED_VALUE"""),0.511671190383869)</f>
        <v>0.5116711904</v>
      </c>
      <c r="I69" s="8">
        <f>IFERROR(__xludf.DUMMYFUNCTION("""COMPUTED_VALUE"""),0.493367465673725)</f>
        <v>0.4933674657</v>
      </c>
      <c r="J69" s="8">
        <f>IFERROR(__xludf.DUMMYFUNCTION("""COMPUTED_VALUE"""),0.479537159276228)</f>
        <v>0.4795371593</v>
      </c>
      <c r="K69" s="8">
        <f>IFERROR(__xludf.DUMMYFUNCTION("""COMPUTED_VALUE"""),0.474788283738637)</f>
        <v>0.4747882837</v>
      </c>
      <c r="L69" s="8">
        <f>IFERROR(__xludf.DUMMYFUNCTION("""COMPUTED_VALUE"""),0.465826918591089)</f>
        <v>0.4658269186</v>
      </c>
      <c r="M69" s="8">
        <f>IFERROR(__xludf.DUMMYFUNCTION("""COMPUTED_VALUE"""),0.458809801633605)</f>
        <v>0.4588098016</v>
      </c>
      <c r="N69" s="8">
        <f>IFERROR(__xludf.DUMMYFUNCTION("""COMPUTED_VALUE"""),0.454127725856697)</f>
        <v>0.4541277259</v>
      </c>
      <c r="O69" s="8">
        <f>IFERROR(__xludf.DUMMYFUNCTION("""COMPUTED_VALUE"""),0.435438486790683)</f>
        <v>0.4354384868</v>
      </c>
      <c r="P69" s="8">
        <f>IFERROR(__xludf.DUMMYFUNCTION("""COMPUTED_VALUE"""),0.38162128227262)</f>
        <v>0.3816212823</v>
      </c>
      <c r="Q69" s="8">
        <f>IFERROR(__xludf.DUMMYFUNCTION("""COMPUTED_VALUE"""),0.311241014298127)</f>
        <v>0.3112410143</v>
      </c>
      <c r="R69" s="8">
        <f>IFERROR(__xludf.DUMMYFUNCTION("""COMPUTED_VALUE"""),0.265487427619576)</f>
        <v>0.2654874276</v>
      </c>
      <c r="S69" s="8">
        <f>IFERROR(__xludf.DUMMYFUNCTION("""COMPUTED_VALUE"""),0.212989493791786)</f>
        <v>0.2129894938</v>
      </c>
      <c r="T69" s="8">
        <f>IFERROR(__xludf.DUMMYFUNCTION("""COMPUTED_VALUE"""),0.186650679456434)</f>
        <v>0.1866506795</v>
      </c>
      <c r="U69" s="8">
        <f>IFERROR(__xludf.DUMMYFUNCTION("""COMPUTED_VALUE"""),0.172098101797413)</f>
        <v>0.1720981018</v>
      </c>
      <c r="V69" s="8">
        <f>IFERROR(__xludf.DUMMYFUNCTION("""COMPUTED_VALUE"""),0.157618672960923)</f>
        <v>0.157618673</v>
      </c>
      <c r="W69" s="8">
        <f>IFERROR(__xludf.DUMMYFUNCTION("""COMPUTED_VALUE"""),0.137228744219139)</f>
        <v>0.1372287442</v>
      </c>
      <c r="X69" s="8">
        <f>IFERROR(__xludf.DUMMYFUNCTION("""COMPUTED_VALUE"""),0.104943273905996)</f>
        <v>0.1049432739</v>
      </c>
      <c r="Y69" s="8">
        <f>IFERROR(__xludf.DUMMYFUNCTION("""COMPUTED_VALUE"""),0.0465057500315935)</f>
        <v>0.04650575003</v>
      </c>
      <c r="Z69" s="8">
        <f>IFERROR(__xludf.DUMMYFUNCTION("""COMPUTED_VALUE"""),0.0283380563427237)</f>
        <v>0.02833805634</v>
      </c>
      <c r="AA69" s="8">
        <f>IFERROR(__xludf.DUMMYFUNCTION("""COMPUTED_VALUE"""),0.021619975639464)</f>
        <v>0.02161997564</v>
      </c>
      <c r="AB69" s="8">
        <f>IFERROR(__xludf.DUMMYFUNCTION("""COMPUTED_VALUE"""),0.0)</f>
        <v>0</v>
      </c>
      <c r="AC69" s="8">
        <f>IFERROR(__xludf.DUMMYFUNCTION("""COMPUTED_VALUE"""),0.0)</f>
        <v>0</v>
      </c>
    </row>
    <row r="70" ht="15.75" customHeight="1">
      <c r="A70" s="6" t="str">
        <f>IFERROR(__xludf.DUMMYFUNCTION("""COMPUTED_VALUE"""),"4010f733ac400156fd9f4d75852b8ebdeabe1689")</f>
        <v>4010f733ac400156fd9f4d75852b8ebdeabe1689</v>
      </c>
      <c r="B70" s="6" t="str">
        <f>IFERROR(__xludf.DUMMYFUNCTION("""COMPUTED_VALUE"""),"My Ceo Husband's Secret")</f>
        <v>My Ceo Husband's Secret</v>
      </c>
      <c r="C70" s="6" t="str">
        <f>IFERROR(__xludf.DUMMYFUNCTION("""COMPUTED_VALUE"""),"Romance")</f>
        <v>Romance</v>
      </c>
      <c r="D70" s="17">
        <f>IFERROR(__xludf.DUMMYFUNCTION("""COMPUTED_VALUE"""),617.0)</f>
        <v>617</v>
      </c>
      <c r="E70" s="8">
        <f>IFERROR(__xludf.DUMMYFUNCTION("""COMPUTED_VALUE"""),0.974025974025974)</f>
        <v>0.974025974</v>
      </c>
      <c r="F70" s="8">
        <f>IFERROR(__xludf.DUMMYFUNCTION("""COMPUTED_VALUE"""),0.713355048859934)</f>
        <v>0.7133550489</v>
      </c>
      <c r="G70" s="8">
        <f>IFERROR(__xludf.DUMMYFUNCTION("""COMPUTED_VALUE"""),0.631321370309951)</f>
        <v>0.6313213703</v>
      </c>
      <c r="H70" s="8">
        <f>IFERROR(__xludf.DUMMYFUNCTION("""COMPUTED_VALUE"""),0.581699346405228)</f>
        <v>0.5816993464</v>
      </c>
      <c r="I70" s="8">
        <f>IFERROR(__xludf.DUMMYFUNCTION("""COMPUTED_VALUE"""),0.521241830065359)</f>
        <v>0.5212418301</v>
      </c>
      <c r="J70" s="8">
        <f>IFERROR(__xludf.DUMMYFUNCTION("""COMPUTED_VALUE"""),0.455882352941176)</f>
        <v>0.4558823529</v>
      </c>
      <c r="K70" s="8">
        <f>IFERROR(__xludf.DUMMYFUNCTION("""COMPUTED_VALUE"""),0.408496732026143)</f>
        <v>0.408496732</v>
      </c>
      <c r="L70" s="8">
        <f>IFERROR(__xludf.DUMMYFUNCTION("""COMPUTED_VALUE"""),0.367816091954023)</f>
        <v>0.367816092</v>
      </c>
      <c r="M70" s="8">
        <f>IFERROR(__xludf.DUMMYFUNCTION("""COMPUTED_VALUE"""),0.325123152709359)</f>
        <v>0.3251231527</v>
      </c>
      <c r="N70" s="8">
        <f>IFERROR(__xludf.DUMMYFUNCTION("""COMPUTED_VALUE"""),0.290640394088669)</f>
        <v>0.2906403941</v>
      </c>
      <c r="O70" s="8">
        <f>IFERROR(__xludf.DUMMYFUNCTION("""COMPUTED_VALUE"""),0.222222222222222)</f>
        <v>0.2222222222</v>
      </c>
      <c r="P70" s="8">
        <f>IFERROR(__xludf.DUMMYFUNCTION("""COMPUTED_VALUE"""),0.168466522678185)</f>
        <v>0.1684665227</v>
      </c>
      <c r="Q70" s="8">
        <f>IFERROR(__xludf.DUMMYFUNCTION("""COMPUTED_VALUE"""),0.447916666666666)</f>
        <v>0.4479166667</v>
      </c>
      <c r="R70" s="8">
        <f>IFERROR(__xludf.DUMMYFUNCTION("""COMPUTED_VALUE"""),0.461538461538461)</f>
        <v>0.4615384615</v>
      </c>
      <c r="S70" s="8">
        <f>IFERROR(__xludf.DUMMYFUNCTION("""COMPUTED_VALUE"""),0.348484848484848)</f>
        <v>0.3484848485</v>
      </c>
      <c r="T70" s="8">
        <f>IFERROR(__xludf.DUMMYFUNCTION("""COMPUTED_VALUE"""),0.179487179487179)</f>
        <v>0.1794871795</v>
      </c>
      <c r="U70" s="8">
        <f>IFERROR(__xludf.DUMMYFUNCTION("""COMPUTED_VALUE"""),0.142857142857142)</f>
        <v>0.1428571429</v>
      </c>
      <c r="V70" s="8">
        <f>IFERROR(__xludf.DUMMYFUNCTION("""COMPUTED_VALUE"""),0.0)</f>
        <v>0</v>
      </c>
      <c r="W70" s="8">
        <f>IFERROR(__xludf.DUMMYFUNCTION("""COMPUTED_VALUE"""),0.0)</f>
        <v>0</v>
      </c>
      <c r="X70" s="8">
        <f>IFERROR(__xludf.DUMMYFUNCTION("""COMPUTED_VALUE"""),0.0)</f>
        <v>0</v>
      </c>
      <c r="Y70" s="8">
        <f>IFERROR(__xludf.DUMMYFUNCTION("""COMPUTED_VALUE"""),0.0)</f>
        <v>0</v>
      </c>
      <c r="Z70" s="8">
        <f>IFERROR(__xludf.DUMMYFUNCTION("""COMPUTED_VALUE"""),0.0)</f>
        <v>0</v>
      </c>
      <c r="AA70" s="8">
        <f>IFERROR(__xludf.DUMMYFUNCTION("""COMPUTED_VALUE"""),0.0)</f>
        <v>0</v>
      </c>
      <c r="AB70" s="8">
        <f>IFERROR(__xludf.DUMMYFUNCTION("""COMPUTED_VALUE"""),0.0)</f>
        <v>0</v>
      </c>
      <c r="AC70" s="8">
        <f>IFERROR(__xludf.DUMMYFUNCTION("""COMPUTED_VALUE"""),0.0)</f>
        <v>0</v>
      </c>
    </row>
    <row r="71" ht="15.75" customHeight="1">
      <c r="A71" s="6" t="str">
        <f>IFERROR(__xludf.DUMMYFUNCTION("""COMPUTED_VALUE"""),"4056d8e031445adbb80d52b1fd723609be585a3b")</f>
        <v>4056d8e031445adbb80d52b1fd723609be585a3b</v>
      </c>
      <c r="B71" s="6" t="str">
        <f>IFERROR(__xludf.DUMMYFUNCTION("""COMPUTED_VALUE"""),"Only Boy on the Bus")</f>
        <v>Only Boy on the Bus</v>
      </c>
      <c r="C71" s="6" t="str">
        <f>IFERROR(__xludf.DUMMYFUNCTION("""COMPUTED_VALUE"""),"Fantasy")</f>
        <v>Fantasy</v>
      </c>
      <c r="D71" s="17">
        <f>IFERROR(__xludf.DUMMYFUNCTION("""COMPUTED_VALUE"""),579.0)</f>
        <v>579</v>
      </c>
      <c r="E71" s="8">
        <f>IFERROR(__xludf.DUMMYFUNCTION("""COMPUTED_VALUE"""),0.981001727115716)</f>
        <v>0.9810017271</v>
      </c>
      <c r="F71" s="8">
        <f>IFERROR(__xludf.DUMMYFUNCTION("""COMPUTED_VALUE"""),0.649395509499136)</f>
        <v>0.6493955095</v>
      </c>
      <c r="G71" s="8">
        <f>IFERROR(__xludf.DUMMYFUNCTION("""COMPUTED_VALUE"""),0.556131260794473)</f>
        <v>0.5561312608</v>
      </c>
      <c r="H71" s="8">
        <f>IFERROR(__xludf.DUMMYFUNCTION("""COMPUTED_VALUE"""),0.509565217391304)</f>
        <v>0.5095652174</v>
      </c>
      <c r="I71" s="8">
        <f>IFERROR(__xludf.DUMMYFUNCTION("""COMPUTED_VALUE"""),0.47560975609756)</f>
        <v>0.4756097561</v>
      </c>
      <c r="J71" s="8">
        <f>IFERROR(__xludf.DUMMYFUNCTION("""COMPUTED_VALUE"""),0.452797202797202)</f>
        <v>0.4527972028</v>
      </c>
      <c r="K71" s="8">
        <f>IFERROR(__xludf.DUMMYFUNCTION("""COMPUTED_VALUE"""),0.412587412587412)</f>
        <v>0.4125874126</v>
      </c>
      <c r="L71" s="8">
        <f>IFERROR(__xludf.DUMMYFUNCTION("""COMPUTED_VALUE"""),0.395796847635726)</f>
        <v>0.3957968476</v>
      </c>
      <c r="M71" s="8">
        <f>IFERROR(__xludf.DUMMYFUNCTION("""COMPUTED_VALUE"""),0.391915641476274)</f>
        <v>0.3919156415</v>
      </c>
      <c r="N71" s="8">
        <f>IFERROR(__xludf.DUMMYFUNCTION("""COMPUTED_VALUE"""),0.383802816901408)</f>
        <v>0.3838028169</v>
      </c>
      <c r="O71" s="8">
        <f>IFERROR(__xludf.DUMMYFUNCTION("""COMPUTED_VALUE"""),0.370967741935483)</f>
        <v>0.3709677419</v>
      </c>
      <c r="P71" s="8">
        <f>IFERROR(__xludf.DUMMYFUNCTION("""COMPUTED_VALUE"""),0.300733496332518)</f>
        <v>0.3007334963</v>
      </c>
      <c r="Q71" s="8">
        <f>IFERROR(__xludf.DUMMYFUNCTION("""COMPUTED_VALUE"""),0.0813559322033898)</f>
        <v>0.0813559322</v>
      </c>
      <c r="R71" s="8">
        <f>IFERROR(__xludf.DUMMYFUNCTION("""COMPUTED_VALUE"""),0.0)</f>
        <v>0</v>
      </c>
      <c r="S71" s="8">
        <f>IFERROR(__xludf.DUMMYFUNCTION("""COMPUTED_VALUE"""),0.0)</f>
        <v>0</v>
      </c>
      <c r="T71" s="8">
        <f>IFERROR(__xludf.DUMMYFUNCTION("""COMPUTED_VALUE"""),0.0)</f>
        <v>0</v>
      </c>
      <c r="U71" s="8">
        <f>IFERROR(__xludf.DUMMYFUNCTION("""COMPUTED_VALUE"""),0.0)</f>
        <v>0</v>
      </c>
      <c r="V71" s="8">
        <f>IFERROR(__xludf.DUMMYFUNCTION("""COMPUTED_VALUE"""),0.0)</f>
        <v>0</v>
      </c>
      <c r="W71" s="8">
        <f>IFERROR(__xludf.DUMMYFUNCTION("""COMPUTED_VALUE"""),0.0)</f>
        <v>0</v>
      </c>
      <c r="X71" s="8">
        <f>IFERROR(__xludf.DUMMYFUNCTION("""COMPUTED_VALUE"""),0.0)</f>
        <v>0</v>
      </c>
      <c r="Y71" s="8">
        <f>IFERROR(__xludf.DUMMYFUNCTION("""COMPUTED_VALUE"""),0.0)</f>
        <v>0</v>
      </c>
      <c r="Z71" s="8">
        <f>IFERROR(__xludf.DUMMYFUNCTION("""COMPUTED_VALUE"""),0.0)</f>
        <v>0</v>
      </c>
      <c r="AA71" s="8">
        <f>IFERROR(__xludf.DUMMYFUNCTION("""COMPUTED_VALUE"""),0.0)</f>
        <v>0</v>
      </c>
      <c r="AB71" s="8">
        <f>IFERROR(__xludf.DUMMYFUNCTION("""COMPUTED_VALUE"""),0.0)</f>
        <v>0</v>
      </c>
      <c r="AC71" s="8">
        <f>IFERROR(__xludf.DUMMYFUNCTION("""COMPUTED_VALUE"""),0.0)</f>
        <v>0</v>
      </c>
    </row>
    <row r="72" ht="15.75" customHeight="1">
      <c r="A72" s="6" t="str">
        <f>IFERROR(__xludf.DUMMYFUNCTION("""COMPUTED_VALUE"""),"40e06046d3679811f910f8beed9306369f59c60e")</f>
        <v>40e06046d3679811f910f8beed9306369f59c60e</v>
      </c>
      <c r="B72" s="6" t="str">
        <f>IFERROR(__xludf.DUMMYFUNCTION("""COMPUTED_VALUE"""),"Lycan Unity Academy")</f>
        <v>Lycan Unity Academy</v>
      </c>
      <c r="C72" s="6" t="str">
        <f>IFERROR(__xludf.DUMMYFUNCTION("""COMPUTED_VALUE"""),"Romantasy")</f>
        <v>Romantasy</v>
      </c>
      <c r="D72" s="17">
        <f>IFERROR(__xludf.DUMMYFUNCTION("""COMPUTED_VALUE"""),1268.0)</f>
        <v>1268</v>
      </c>
      <c r="E72" s="8">
        <f>IFERROR(__xludf.DUMMYFUNCTION("""COMPUTED_VALUE"""),0.970774091627172)</f>
        <v>0.9707740916</v>
      </c>
      <c r="F72" s="8">
        <f>IFERROR(__xludf.DUMMYFUNCTION("""COMPUTED_VALUE"""),0.53596837944664)</f>
        <v>0.5359683794</v>
      </c>
      <c r="G72" s="8">
        <f>IFERROR(__xludf.DUMMYFUNCTION("""COMPUTED_VALUE"""),0.471892319873317)</f>
        <v>0.4718923199</v>
      </c>
      <c r="H72" s="8">
        <f>IFERROR(__xludf.DUMMYFUNCTION("""COMPUTED_VALUE"""),0.438638163103721)</f>
        <v>0.4386381631</v>
      </c>
      <c r="I72" s="8">
        <f>IFERROR(__xludf.DUMMYFUNCTION("""COMPUTED_VALUE"""),0.394299287410926)</f>
        <v>0.3942992874</v>
      </c>
      <c r="J72" s="8">
        <f>IFERROR(__xludf.DUMMYFUNCTION("""COMPUTED_VALUE"""),0.380047505938242)</f>
        <v>0.3800475059</v>
      </c>
      <c r="K72" s="8">
        <f>IFERROR(__xludf.DUMMYFUNCTION("""COMPUTED_VALUE"""),0.373713380839271)</f>
        <v>0.3737133808</v>
      </c>
      <c r="L72" s="8">
        <f>IFERROR(__xludf.DUMMYFUNCTION("""COMPUTED_VALUE"""),0.352335708630245)</f>
        <v>0.3523357086</v>
      </c>
      <c r="M72" s="8">
        <f>IFERROR(__xludf.DUMMYFUNCTION("""COMPUTED_VALUE"""),0.327258320126782)</f>
        <v>0.3272583201</v>
      </c>
      <c r="N72" s="8">
        <f>IFERROR(__xludf.DUMMYFUNCTION("""COMPUTED_VALUE"""),0.321173671689135)</f>
        <v>0.3211736717</v>
      </c>
      <c r="O72" s="8">
        <f>IFERROR(__xludf.DUMMYFUNCTION("""COMPUTED_VALUE"""),0.286970423661071)</f>
        <v>0.2869704237</v>
      </c>
      <c r="P72" s="8">
        <f>IFERROR(__xludf.DUMMYFUNCTION("""COMPUTED_VALUE"""),0.22771474878444)</f>
        <v>0.2277147488</v>
      </c>
      <c r="Q72" s="8">
        <f>IFERROR(__xludf.DUMMYFUNCTION("""COMPUTED_VALUE"""),0.150823827629911)</f>
        <v>0.1508238276</v>
      </c>
      <c r="R72" s="8">
        <f>IFERROR(__xludf.DUMMYFUNCTION("""COMPUTED_VALUE"""),0.2)</f>
        <v>0.2</v>
      </c>
      <c r="S72" s="8">
        <f>IFERROR(__xludf.DUMMYFUNCTION("""COMPUTED_VALUE"""),0.0)</f>
        <v>0</v>
      </c>
      <c r="T72" s="8">
        <f>IFERROR(__xludf.DUMMYFUNCTION("""COMPUTED_VALUE"""),0.0)</f>
        <v>0</v>
      </c>
      <c r="U72" s="8">
        <f>IFERROR(__xludf.DUMMYFUNCTION("""COMPUTED_VALUE"""),0.0)</f>
        <v>0</v>
      </c>
      <c r="V72" s="8">
        <f>IFERROR(__xludf.DUMMYFUNCTION("""COMPUTED_VALUE"""),0.0)</f>
        <v>0</v>
      </c>
      <c r="W72" s="8">
        <f>IFERROR(__xludf.DUMMYFUNCTION("""COMPUTED_VALUE"""),0.0)</f>
        <v>0</v>
      </c>
      <c r="X72" s="8">
        <f>IFERROR(__xludf.DUMMYFUNCTION("""COMPUTED_VALUE"""),0.0)</f>
        <v>0</v>
      </c>
      <c r="Y72" s="8">
        <f>IFERROR(__xludf.DUMMYFUNCTION("""COMPUTED_VALUE"""),0.0)</f>
        <v>0</v>
      </c>
      <c r="Z72" s="8">
        <f>IFERROR(__xludf.DUMMYFUNCTION("""COMPUTED_VALUE"""),0.0)</f>
        <v>0</v>
      </c>
      <c r="AA72" s="8">
        <f>IFERROR(__xludf.DUMMYFUNCTION("""COMPUTED_VALUE"""),0.0)</f>
        <v>0</v>
      </c>
      <c r="AB72" s="8">
        <f>IFERROR(__xludf.DUMMYFUNCTION("""COMPUTED_VALUE"""),0.0)</f>
        <v>0</v>
      </c>
      <c r="AC72" s="8">
        <f>IFERROR(__xludf.DUMMYFUNCTION("""COMPUTED_VALUE"""),0.0)</f>
        <v>0</v>
      </c>
    </row>
    <row r="73" ht="15.75" customHeight="1">
      <c r="A73" s="6" t="str">
        <f>IFERROR(__xludf.DUMMYFUNCTION("""COMPUTED_VALUE"""),"41afeacb4e481e249d618ae39936f1173864e026")</f>
        <v>41afeacb4e481e249d618ae39936f1173864e026</v>
      </c>
      <c r="B73" s="6" t="str">
        <f>IFERROR(__xludf.DUMMYFUNCTION("""COMPUTED_VALUE"""),"Disguised Successor")</f>
        <v>Disguised Successor</v>
      </c>
      <c r="C73" s="6" t="str">
        <f>IFERROR(__xludf.DUMMYFUNCTION("""COMPUTED_VALUE"""),"Drama")</f>
        <v>Drama</v>
      </c>
      <c r="D73" s="17">
        <f>IFERROR(__xludf.DUMMYFUNCTION("""COMPUTED_VALUE"""),632.0)</f>
        <v>632</v>
      </c>
      <c r="E73" s="8">
        <f>IFERROR(__xludf.DUMMYFUNCTION("""COMPUTED_VALUE"""),0.968304278922345)</f>
        <v>0.9683042789</v>
      </c>
      <c r="F73" s="8">
        <f>IFERROR(__xludf.DUMMYFUNCTION("""COMPUTED_VALUE"""),0.695721077654516)</f>
        <v>0.6957210777</v>
      </c>
      <c r="G73" s="8">
        <f>IFERROR(__xludf.DUMMYFUNCTION("""COMPUTED_VALUE"""),0.619651347068145)</f>
        <v>0.6196513471</v>
      </c>
      <c r="H73" s="8">
        <f>IFERROR(__xludf.DUMMYFUNCTION("""COMPUTED_VALUE"""),0.585714285714285)</f>
        <v>0.5857142857</v>
      </c>
      <c r="I73" s="8">
        <f>IFERROR(__xludf.DUMMYFUNCTION("""COMPUTED_VALUE"""),0.563492063492063)</f>
        <v>0.5634920635</v>
      </c>
      <c r="J73" s="8">
        <f>IFERROR(__xludf.DUMMYFUNCTION("""COMPUTED_VALUE"""),0.535885167464114)</f>
        <v>0.5358851675</v>
      </c>
      <c r="K73" s="8">
        <f>IFERROR(__xludf.DUMMYFUNCTION("""COMPUTED_VALUE"""),0.486443381180223)</f>
        <v>0.4864433812</v>
      </c>
      <c r="L73" s="8">
        <f>IFERROR(__xludf.DUMMYFUNCTION("""COMPUTED_VALUE"""),0.480063795853269)</f>
        <v>0.4800637959</v>
      </c>
      <c r="M73" s="8">
        <f>IFERROR(__xludf.DUMMYFUNCTION("""COMPUTED_VALUE"""),0.440191387559808)</f>
        <v>0.4401913876</v>
      </c>
      <c r="N73" s="8">
        <f>IFERROR(__xludf.DUMMYFUNCTION("""COMPUTED_VALUE"""),0.406698564593301)</f>
        <v>0.4066985646</v>
      </c>
      <c r="O73" s="8">
        <f>IFERROR(__xludf.DUMMYFUNCTION("""COMPUTED_VALUE"""),0.352272727272727)</f>
        <v>0.3522727273</v>
      </c>
      <c r="P73" s="8">
        <f>IFERROR(__xludf.DUMMYFUNCTION("""COMPUTED_VALUE"""),0.225375626043405)</f>
        <v>0.225375626</v>
      </c>
      <c r="Q73" s="8">
        <f>IFERROR(__xludf.DUMMYFUNCTION("""COMPUTED_VALUE"""),0.114139693356047)</f>
        <v>0.1141396934</v>
      </c>
      <c r="R73" s="8">
        <f>IFERROR(__xludf.DUMMYFUNCTION("""COMPUTED_VALUE"""),0.0632183908045977)</f>
        <v>0.0632183908</v>
      </c>
      <c r="S73" s="8">
        <f>IFERROR(__xludf.DUMMYFUNCTION("""COMPUTED_VALUE"""),0.0)</f>
        <v>0</v>
      </c>
      <c r="T73" s="8">
        <f>IFERROR(__xludf.DUMMYFUNCTION("""COMPUTED_VALUE"""),0.0)</f>
        <v>0</v>
      </c>
      <c r="U73" s="8">
        <f>IFERROR(__xludf.DUMMYFUNCTION("""COMPUTED_VALUE"""),0.0)</f>
        <v>0</v>
      </c>
      <c r="V73" s="8">
        <f>IFERROR(__xludf.DUMMYFUNCTION("""COMPUTED_VALUE"""),0.0)</f>
        <v>0</v>
      </c>
      <c r="W73" s="8">
        <f>IFERROR(__xludf.DUMMYFUNCTION("""COMPUTED_VALUE"""),0.0)</f>
        <v>0</v>
      </c>
      <c r="X73" s="8">
        <f>IFERROR(__xludf.DUMMYFUNCTION("""COMPUTED_VALUE"""),0.0)</f>
        <v>0</v>
      </c>
      <c r="Y73" s="8">
        <f>IFERROR(__xludf.DUMMYFUNCTION("""COMPUTED_VALUE"""),0.0)</f>
        <v>0</v>
      </c>
      <c r="Z73" s="8">
        <f>IFERROR(__xludf.DUMMYFUNCTION("""COMPUTED_VALUE"""),0.0)</f>
        <v>0</v>
      </c>
      <c r="AA73" s="8">
        <f>IFERROR(__xludf.DUMMYFUNCTION("""COMPUTED_VALUE"""),0.0)</f>
        <v>0</v>
      </c>
      <c r="AB73" s="8">
        <f>IFERROR(__xludf.DUMMYFUNCTION("""COMPUTED_VALUE"""),0.0)</f>
        <v>0</v>
      </c>
      <c r="AC73" s="8">
        <f>IFERROR(__xludf.DUMMYFUNCTION("""COMPUTED_VALUE"""),0.0)</f>
        <v>0</v>
      </c>
    </row>
    <row r="74" ht="15.75" customHeight="1">
      <c r="A74" s="6" t="str">
        <f>IFERROR(__xludf.DUMMYFUNCTION("""COMPUTED_VALUE"""),"41fe3152f98c34f655d93ac2fc85bf506eac3371")</f>
        <v>41fe3152f98c34f655d93ac2fc85bf506eac3371</v>
      </c>
      <c r="B74" s="6" t="str">
        <f>IFERROR(__xludf.DUMMYFUNCTION("""COMPUTED_VALUE"""),"Owen &amp; Liam")</f>
        <v>Owen &amp; Liam</v>
      </c>
      <c r="C74" s="6" t="str">
        <f>IFERROR(__xludf.DUMMYFUNCTION("""COMPUTED_VALUE"""),"Romance")</f>
        <v>Romance</v>
      </c>
      <c r="D74" s="17">
        <f>IFERROR(__xludf.DUMMYFUNCTION("""COMPUTED_VALUE"""),7573.0)</f>
        <v>7573</v>
      </c>
      <c r="E74" s="8">
        <f>IFERROR(__xludf.DUMMYFUNCTION("""COMPUTED_VALUE"""),0.952066552225009)</f>
        <v>0.9520665522</v>
      </c>
      <c r="F74" s="8">
        <f>IFERROR(__xludf.DUMMYFUNCTION("""COMPUTED_VALUE"""),0.600686649940578)</f>
        <v>0.6006866499</v>
      </c>
      <c r="G74" s="8">
        <f>IFERROR(__xludf.DUMMYFUNCTION("""COMPUTED_VALUE"""),0.510036978341257)</f>
        <v>0.5100369783</v>
      </c>
      <c r="H74" s="8">
        <f>IFERROR(__xludf.DUMMYFUNCTION("""COMPUTED_VALUE"""),0.462158235371813)</f>
        <v>0.4621582354</v>
      </c>
      <c r="I74" s="8">
        <f>IFERROR(__xludf.DUMMYFUNCTION("""COMPUTED_VALUE"""),0.433496235635979)</f>
        <v>0.4334962356</v>
      </c>
      <c r="J74" s="8">
        <f>IFERROR(__xludf.DUMMYFUNCTION("""COMPUTED_VALUE"""),0.416039106883339)</f>
        <v>0.4160391069</v>
      </c>
      <c r="K74" s="8">
        <f>IFERROR(__xludf.DUMMYFUNCTION("""COMPUTED_VALUE"""),0.395032368873034)</f>
        <v>0.3950323689</v>
      </c>
      <c r="L74" s="8">
        <f>IFERROR(__xludf.DUMMYFUNCTION("""COMPUTED_VALUE"""),0.382877526753864)</f>
        <v>0.3828775268</v>
      </c>
      <c r="M74" s="8">
        <f>IFERROR(__xludf.DUMMYFUNCTION("""COMPUTED_VALUE"""),0.372968688069758)</f>
        <v>0.3729686881</v>
      </c>
      <c r="N74" s="8">
        <f>IFERROR(__xludf.DUMMYFUNCTION("""COMPUTED_VALUE"""),0.359540169133192)</f>
        <v>0.3595401691</v>
      </c>
      <c r="O74" s="8">
        <f>IFERROR(__xludf.DUMMYFUNCTION("""COMPUTED_VALUE"""),0.330424434748115)</f>
        <v>0.3304244347</v>
      </c>
      <c r="P74" s="8">
        <f>IFERROR(__xludf.DUMMYFUNCTION("""COMPUTED_VALUE"""),0.29450694904037)</f>
        <v>0.294506949</v>
      </c>
      <c r="Q74" s="8">
        <f>IFERROR(__xludf.DUMMYFUNCTION("""COMPUTED_VALUE"""),0.240156340474811)</f>
        <v>0.2401563405</v>
      </c>
      <c r="R74" s="8">
        <f>IFERROR(__xludf.DUMMYFUNCTION("""COMPUTED_VALUE"""),0.19120654396728)</f>
        <v>0.191206544</v>
      </c>
      <c r="S74" s="8">
        <f>IFERROR(__xludf.DUMMYFUNCTION("""COMPUTED_VALUE"""),0.151823579304495)</f>
        <v>0.1518235793</v>
      </c>
      <c r="T74" s="8">
        <f>IFERROR(__xludf.DUMMYFUNCTION("""COMPUTED_VALUE"""),0.131398914838405)</f>
        <v>0.1313989148</v>
      </c>
      <c r="U74" s="8">
        <f>IFERROR(__xludf.DUMMYFUNCTION("""COMPUTED_VALUE"""),0.118964659034345)</f>
        <v>0.118964659</v>
      </c>
      <c r="V74" s="8">
        <f>IFERROR(__xludf.DUMMYFUNCTION("""COMPUTED_VALUE"""),0.11204851041392)</f>
        <v>0.1120485104</v>
      </c>
      <c r="W74" s="8">
        <f>IFERROR(__xludf.DUMMYFUNCTION("""COMPUTED_VALUE"""),0.0971428571428571)</f>
        <v>0.09714285714</v>
      </c>
      <c r="X74" s="8">
        <f>IFERROR(__xludf.DUMMYFUNCTION("""COMPUTED_VALUE"""),0.0938480853735091)</f>
        <v>0.09384808537</v>
      </c>
      <c r="Y74" s="8">
        <f>IFERROR(__xludf.DUMMYFUNCTION("""COMPUTED_VALUE"""),0.0626057529610829)</f>
        <v>0.06260575296</v>
      </c>
      <c r="Z74" s="8">
        <f>IFERROR(__xludf.DUMMYFUNCTION("""COMPUTED_VALUE"""),0.0604651162790697)</f>
        <v>0.06046511628</v>
      </c>
      <c r="AA74" s="8">
        <f>IFERROR(__xludf.DUMMYFUNCTION("""COMPUTED_VALUE"""),0.0)</f>
        <v>0</v>
      </c>
      <c r="AB74" s="8">
        <f>IFERROR(__xludf.DUMMYFUNCTION("""COMPUTED_VALUE"""),0.0)</f>
        <v>0</v>
      </c>
      <c r="AC74" s="8">
        <f>IFERROR(__xludf.DUMMYFUNCTION("""COMPUTED_VALUE"""),0.0)</f>
        <v>0</v>
      </c>
    </row>
    <row r="75" ht="15.75" customHeight="1">
      <c r="A75" s="6" t="str">
        <f>IFERROR(__xludf.DUMMYFUNCTION("""COMPUTED_VALUE"""),"424b450dc35cc4bf4fc088069830e978aa97884a")</f>
        <v>424b450dc35cc4bf4fc088069830e978aa97884a</v>
      </c>
      <c r="B75" s="6" t="str">
        <f>IFERROR(__xludf.DUMMYFUNCTION("""COMPUTED_VALUE"""),"The Alpha's Witch")</f>
        <v>The Alpha's Witch</v>
      </c>
      <c r="C75" s="6" t="str">
        <f>IFERROR(__xludf.DUMMYFUNCTION("""COMPUTED_VALUE"""),"Romantasy")</f>
        <v>Romantasy</v>
      </c>
      <c r="D75" s="17">
        <f>IFERROR(__xludf.DUMMYFUNCTION("""COMPUTED_VALUE"""),793.0)</f>
        <v>793</v>
      </c>
      <c r="E75" s="8">
        <f>IFERROR(__xludf.DUMMYFUNCTION("""COMPUTED_VALUE"""),0.982323232323232)</f>
        <v>0.9823232323</v>
      </c>
      <c r="F75" s="8">
        <f>IFERROR(__xludf.DUMMYFUNCTION("""COMPUTED_VALUE"""),0.678030303030303)</f>
        <v>0.678030303</v>
      </c>
      <c r="G75" s="8">
        <f>IFERROR(__xludf.DUMMYFUNCTION("""COMPUTED_VALUE"""),0.597977243994943)</f>
        <v>0.597977244</v>
      </c>
      <c r="H75" s="8">
        <f>IFERROR(__xludf.DUMMYFUNCTION("""COMPUTED_VALUE"""),0.529113924050633)</f>
        <v>0.5291139241</v>
      </c>
      <c r="I75" s="8">
        <f>IFERROR(__xludf.DUMMYFUNCTION("""COMPUTED_VALUE"""),0.489226869455006)</f>
        <v>0.4892268695</v>
      </c>
      <c r="J75" s="8">
        <f>IFERROR(__xludf.DUMMYFUNCTION("""COMPUTED_VALUE"""),0.473350253807106)</f>
        <v>0.4733502538</v>
      </c>
      <c r="K75" s="8">
        <f>IFERROR(__xludf.DUMMYFUNCTION("""COMPUTED_VALUE"""),0.44853875476493)</f>
        <v>0.4485387548</v>
      </c>
      <c r="L75" s="8">
        <f>IFERROR(__xludf.DUMMYFUNCTION("""COMPUTED_VALUE"""),0.438373570520965)</f>
        <v>0.4383735705</v>
      </c>
      <c r="M75" s="8">
        <f>IFERROR(__xludf.DUMMYFUNCTION("""COMPUTED_VALUE"""),0.43384223918575)</f>
        <v>0.4338422392</v>
      </c>
      <c r="N75" s="8">
        <f>IFERROR(__xludf.DUMMYFUNCTION("""COMPUTED_VALUE"""),0.419847328244274)</f>
        <v>0.4198473282</v>
      </c>
      <c r="O75" s="8">
        <f>IFERROR(__xludf.DUMMYFUNCTION("""COMPUTED_VALUE"""),0.240051347881899)</f>
        <v>0.2400513479</v>
      </c>
      <c r="P75" s="8">
        <f>IFERROR(__xludf.DUMMYFUNCTION("""COMPUTED_VALUE"""),0.196078431372549)</f>
        <v>0.1960784314</v>
      </c>
      <c r="Q75" s="8">
        <f>IFERROR(__xludf.DUMMYFUNCTION("""COMPUTED_VALUE"""),0.163316582914572)</f>
        <v>0.1633165829</v>
      </c>
      <c r="R75" s="8">
        <f>IFERROR(__xludf.DUMMYFUNCTION("""COMPUTED_VALUE"""),0.1875)</f>
        <v>0.1875</v>
      </c>
      <c r="S75" s="8">
        <f>IFERROR(__xludf.DUMMYFUNCTION("""COMPUTED_VALUE"""),0.0)</f>
        <v>0</v>
      </c>
      <c r="T75" s="8">
        <f>IFERROR(__xludf.DUMMYFUNCTION("""COMPUTED_VALUE"""),0.0)</f>
        <v>0</v>
      </c>
      <c r="U75" s="8">
        <f>IFERROR(__xludf.DUMMYFUNCTION("""COMPUTED_VALUE"""),0.0)</f>
        <v>0</v>
      </c>
      <c r="V75" s="8">
        <f>IFERROR(__xludf.DUMMYFUNCTION("""COMPUTED_VALUE"""),0.0)</f>
        <v>0</v>
      </c>
      <c r="W75" s="8">
        <f>IFERROR(__xludf.DUMMYFUNCTION("""COMPUTED_VALUE"""),0.0)</f>
        <v>0</v>
      </c>
      <c r="X75" s="8">
        <f>IFERROR(__xludf.DUMMYFUNCTION("""COMPUTED_VALUE"""),0.0)</f>
        <v>0</v>
      </c>
      <c r="Y75" s="8">
        <f>IFERROR(__xludf.DUMMYFUNCTION("""COMPUTED_VALUE"""),0.0)</f>
        <v>0</v>
      </c>
      <c r="Z75" s="8">
        <f>IFERROR(__xludf.DUMMYFUNCTION("""COMPUTED_VALUE"""),0.0)</f>
        <v>0</v>
      </c>
      <c r="AA75" s="8">
        <f>IFERROR(__xludf.DUMMYFUNCTION("""COMPUTED_VALUE"""),0.0)</f>
        <v>0</v>
      </c>
      <c r="AB75" s="8">
        <f>IFERROR(__xludf.DUMMYFUNCTION("""COMPUTED_VALUE"""),0.0)</f>
        <v>0</v>
      </c>
      <c r="AC75" s="8">
        <f>IFERROR(__xludf.DUMMYFUNCTION("""COMPUTED_VALUE"""),0.0)</f>
        <v>0</v>
      </c>
    </row>
    <row r="76" ht="15.75" customHeight="1">
      <c r="A76" s="6" t="str">
        <f>IFERROR(__xludf.DUMMYFUNCTION("""COMPUTED_VALUE"""),"42515091e7b47b7b2d2381d7512fdb9f9866aa1e")</f>
        <v>42515091e7b47b7b2d2381d7512fdb9f9866aa1e</v>
      </c>
      <c r="B76" s="6" t="str">
        <f>IFERROR(__xludf.DUMMYFUNCTION("""COMPUTED_VALUE"""),"The Tomboy Love Story")</f>
        <v>The Tomboy Love Story</v>
      </c>
      <c r="C76" s="6" t="str">
        <f>IFERROR(__xludf.DUMMYFUNCTION("""COMPUTED_VALUE"""),"Romance")</f>
        <v>Romance</v>
      </c>
      <c r="D76" s="17">
        <f>IFERROR(__xludf.DUMMYFUNCTION("""COMPUTED_VALUE"""),734.0)</f>
        <v>734</v>
      </c>
      <c r="E76" s="8">
        <f>IFERROR(__xludf.DUMMYFUNCTION("""COMPUTED_VALUE"""),0.965706447187928)</f>
        <v>0.9657064472</v>
      </c>
      <c r="F76" s="8">
        <f>IFERROR(__xludf.DUMMYFUNCTION("""COMPUTED_VALUE"""),0.562758620689655)</f>
        <v>0.5627586207</v>
      </c>
      <c r="G76" s="8">
        <f>IFERROR(__xludf.DUMMYFUNCTION("""COMPUTED_VALUE"""),0.506206896551724)</f>
        <v>0.5062068966</v>
      </c>
      <c r="H76" s="8">
        <f>IFERROR(__xludf.DUMMYFUNCTION("""COMPUTED_VALUE"""),0.472299168975069)</f>
        <v>0.472299169</v>
      </c>
      <c r="I76" s="8">
        <f>IFERROR(__xludf.DUMMYFUNCTION("""COMPUTED_VALUE"""),0.446601941747572)</f>
        <v>0.4466019417</v>
      </c>
      <c r="J76" s="8">
        <f>IFERROR(__xludf.DUMMYFUNCTION("""COMPUTED_VALUE"""),0.4375)</f>
        <v>0.4375</v>
      </c>
      <c r="K76" s="8">
        <f>IFERROR(__xludf.DUMMYFUNCTION("""COMPUTED_VALUE"""),0.420833333333333)</f>
        <v>0.4208333333</v>
      </c>
      <c r="L76" s="8">
        <f>IFERROR(__xludf.DUMMYFUNCTION("""COMPUTED_VALUE"""),0.418055555555555)</f>
        <v>0.4180555556</v>
      </c>
      <c r="M76" s="8">
        <f>IFERROR(__xludf.DUMMYFUNCTION("""COMPUTED_VALUE"""),0.408333333333333)</f>
        <v>0.4083333333</v>
      </c>
      <c r="N76" s="8">
        <f>IFERROR(__xludf.DUMMYFUNCTION("""COMPUTED_VALUE"""),0.388888888888888)</f>
        <v>0.3888888889</v>
      </c>
      <c r="O76" s="8">
        <f>IFERROR(__xludf.DUMMYFUNCTION("""COMPUTED_VALUE"""),0.374474053295932)</f>
        <v>0.3744740533</v>
      </c>
      <c r="P76" s="8">
        <f>IFERROR(__xludf.DUMMYFUNCTION("""COMPUTED_VALUE"""),0.284470246734397)</f>
        <v>0.2844702467</v>
      </c>
      <c r="Q76" s="8">
        <f>IFERROR(__xludf.DUMMYFUNCTION("""COMPUTED_VALUE"""),0.155371900826446)</f>
        <v>0.1553719008</v>
      </c>
      <c r="R76" s="8">
        <f>IFERROR(__xludf.DUMMYFUNCTION("""COMPUTED_VALUE"""),0.122969837587006)</f>
        <v>0.1229698376</v>
      </c>
      <c r="S76" s="8">
        <f>IFERROR(__xludf.DUMMYFUNCTION("""COMPUTED_VALUE"""),0.166666666666666)</f>
        <v>0.1666666667</v>
      </c>
      <c r="T76" s="8">
        <f>IFERROR(__xludf.DUMMYFUNCTION("""COMPUTED_VALUE"""),0.0)</f>
        <v>0</v>
      </c>
      <c r="U76" s="8">
        <f>IFERROR(__xludf.DUMMYFUNCTION("""COMPUTED_VALUE"""),0.0)</f>
        <v>0</v>
      </c>
      <c r="V76" s="8">
        <f>IFERROR(__xludf.DUMMYFUNCTION("""COMPUTED_VALUE"""),0.0)</f>
        <v>0</v>
      </c>
      <c r="W76" s="8">
        <f>IFERROR(__xludf.DUMMYFUNCTION("""COMPUTED_VALUE"""),0.0)</f>
        <v>0</v>
      </c>
      <c r="X76" s="8">
        <f>IFERROR(__xludf.DUMMYFUNCTION("""COMPUTED_VALUE"""),0.0)</f>
        <v>0</v>
      </c>
      <c r="Y76" s="8">
        <f>IFERROR(__xludf.DUMMYFUNCTION("""COMPUTED_VALUE"""),0.0)</f>
        <v>0</v>
      </c>
      <c r="Z76" s="8">
        <f>IFERROR(__xludf.DUMMYFUNCTION("""COMPUTED_VALUE"""),0.0)</f>
        <v>0</v>
      </c>
      <c r="AA76" s="8">
        <f>IFERROR(__xludf.DUMMYFUNCTION("""COMPUTED_VALUE"""),0.0)</f>
        <v>0</v>
      </c>
      <c r="AB76" s="8">
        <f>IFERROR(__xludf.DUMMYFUNCTION("""COMPUTED_VALUE"""),0.0)</f>
        <v>0</v>
      </c>
      <c r="AC76" s="8">
        <f>IFERROR(__xludf.DUMMYFUNCTION("""COMPUTED_VALUE"""),0.0)</f>
        <v>0</v>
      </c>
    </row>
    <row r="77" ht="15.75" customHeight="1">
      <c r="A77" s="6" t="str">
        <f>IFERROR(__xludf.DUMMYFUNCTION("""COMPUTED_VALUE"""),"4335258b71733375cbccc0fbf7ce0bf0975b095d")</f>
        <v>4335258b71733375cbccc0fbf7ce0bf0975b095d</v>
      </c>
      <c r="B77" s="6" t="str">
        <f>IFERROR(__xludf.DUMMYFUNCTION("""COMPUTED_VALUE"""),"Alex &amp; the Prison System")</f>
        <v>Alex &amp; the Prison System</v>
      </c>
      <c r="C77" s="6" t="str">
        <f>IFERROR(__xludf.DUMMYFUNCTION("""COMPUTED_VALUE"""),"System and Superpower")</f>
        <v>System and Superpower</v>
      </c>
      <c r="D77" s="17">
        <f>IFERROR(__xludf.DUMMYFUNCTION("""COMPUTED_VALUE"""),1330.0)</f>
        <v>1330</v>
      </c>
      <c r="E77" s="8">
        <f>IFERROR(__xludf.DUMMYFUNCTION("""COMPUTED_VALUE"""),0.970654627539503)</f>
        <v>0.9706546275</v>
      </c>
      <c r="F77" s="8">
        <f>IFERROR(__xludf.DUMMYFUNCTION("""COMPUTED_VALUE"""),0.716654107008289)</f>
        <v>0.716654107</v>
      </c>
      <c r="G77" s="8">
        <f>IFERROR(__xludf.DUMMYFUNCTION("""COMPUTED_VALUE"""),0.658113207547169)</f>
        <v>0.6581132075</v>
      </c>
      <c r="H77" s="8">
        <f>IFERROR(__xludf.DUMMYFUNCTION("""COMPUTED_VALUE"""),0.63869992441421)</f>
        <v>0.6386999244</v>
      </c>
      <c r="I77" s="8">
        <f>IFERROR(__xludf.DUMMYFUNCTION("""COMPUTED_VALUE"""),0.616199848599545)</f>
        <v>0.6161998486</v>
      </c>
      <c r="J77" s="8">
        <f>IFERROR(__xludf.DUMMYFUNCTION("""COMPUTED_VALUE"""),0.606818181818181)</f>
        <v>0.6068181818</v>
      </c>
      <c r="K77" s="8">
        <f>IFERROR(__xludf.DUMMYFUNCTION("""COMPUTED_VALUE"""),0.598938589840788)</f>
        <v>0.5989385898</v>
      </c>
      <c r="L77" s="8">
        <f>IFERROR(__xludf.DUMMYFUNCTION("""COMPUTED_VALUE"""),0.591012947448591)</f>
        <v>0.5910129474</v>
      </c>
      <c r="M77" s="8">
        <f>IFERROR(__xludf.DUMMYFUNCTION("""COMPUTED_VALUE"""),0.573932926829268)</f>
        <v>0.5739329268</v>
      </c>
      <c r="N77" s="8">
        <f>IFERROR(__xludf.DUMMYFUNCTION("""COMPUTED_VALUE"""),0.553175210405508)</f>
        <v>0.5531752104</v>
      </c>
      <c r="O77" s="8">
        <f>IFERROR(__xludf.DUMMYFUNCTION("""COMPUTED_VALUE"""),0.451010886469673)</f>
        <v>0.4510108865</v>
      </c>
      <c r="P77" s="8">
        <f>IFERROR(__xludf.DUMMYFUNCTION("""COMPUTED_VALUE"""),0.311270125223613)</f>
        <v>0.3112701252</v>
      </c>
      <c r="Q77" s="8">
        <f>IFERROR(__xludf.DUMMYFUNCTION("""COMPUTED_VALUE"""),0.258941344778254)</f>
        <v>0.2589413448</v>
      </c>
      <c r="R77" s="8">
        <f>IFERROR(__xludf.DUMMYFUNCTION("""COMPUTED_VALUE"""),0.2)</f>
        <v>0.2</v>
      </c>
      <c r="S77" s="8">
        <f>IFERROR(__xludf.DUMMYFUNCTION("""COMPUTED_VALUE"""),0.111111111111111)</f>
        <v>0.1111111111</v>
      </c>
      <c r="T77" s="8">
        <f>IFERROR(__xludf.DUMMYFUNCTION("""COMPUTED_VALUE"""),0.0)</f>
        <v>0</v>
      </c>
      <c r="U77" s="8">
        <f>IFERROR(__xludf.DUMMYFUNCTION("""COMPUTED_VALUE"""),0.0)</f>
        <v>0</v>
      </c>
      <c r="V77" s="8">
        <f>IFERROR(__xludf.DUMMYFUNCTION("""COMPUTED_VALUE"""),0.0)</f>
        <v>0</v>
      </c>
      <c r="W77" s="8">
        <f>IFERROR(__xludf.DUMMYFUNCTION("""COMPUTED_VALUE"""),0.0)</f>
        <v>0</v>
      </c>
      <c r="X77" s="8">
        <f>IFERROR(__xludf.DUMMYFUNCTION("""COMPUTED_VALUE"""),0.0)</f>
        <v>0</v>
      </c>
      <c r="Y77" s="8">
        <f>IFERROR(__xludf.DUMMYFUNCTION("""COMPUTED_VALUE"""),0.0)</f>
        <v>0</v>
      </c>
      <c r="Z77" s="8">
        <f>IFERROR(__xludf.DUMMYFUNCTION("""COMPUTED_VALUE"""),0.0)</f>
        <v>0</v>
      </c>
      <c r="AA77" s="8">
        <f>IFERROR(__xludf.DUMMYFUNCTION("""COMPUTED_VALUE"""),0.0)</f>
        <v>0</v>
      </c>
      <c r="AB77" s="8">
        <f>IFERROR(__xludf.DUMMYFUNCTION("""COMPUTED_VALUE"""),0.0)</f>
        <v>0</v>
      </c>
      <c r="AC77" s="8">
        <f>IFERROR(__xludf.DUMMYFUNCTION("""COMPUTED_VALUE"""),0.0)</f>
        <v>0</v>
      </c>
    </row>
    <row r="78" ht="15.75" customHeight="1">
      <c r="A78" s="6" t="str">
        <f>IFERROR(__xludf.DUMMYFUNCTION("""COMPUTED_VALUE"""),"43de49339ed40a2c4d8acef5644870ce292f541e")</f>
        <v>43de49339ed40a2c4d8acef5644870ce292f541e</v>
      </c>
      <c r="B78" s="6" t="str">
        <f>IFERROR(__xludf.DUMMYFUNCTION("""COMPUTED_VALUE"""),"Second Chances: Reborn to Be a CEO’s Wife")</f>
        <v>Second Chances: Reborn to Be a CEO’s Wife</v>
      </c>
      <c r="C78" s="6" t="str">
        <f>IFERROR(__xludf.DUMMYFUNCTION("""COMPUTED_VALUE"""),"Romance")</f>
        <v>Romance</v>
      </c>
      <c r="D78" s="17">
        <f>IFERROR(__xludf.DUMMYFUNCTION("""COMPUTED_VALUE"""),626.0)</f>
        <v>626</v>
      </c>
      <c r="E78" s="8">
        <f>IFERROR(__xludf.DUMMYFUNCTION("""COMPUTED_VALUE"""),0.936102236421725)</f>
        <v>0.9361022364</v>
      </c>
      <c r="F78" s="8">
        <f>IFERROR(__xludf.DUMMYFUNCTION("""COMPUTED_VALUE"""),0.672523961661341)</f>
        <v>0.6725239617</v>
      </c>
      <c r="G78" s="8">
        <f>IFERROR(__xludf.DUMMYFUNCTION("""COMPUTED_VALUE"""),0.595846645367412)</f>
        <v>0.5958466454</v>
      </c>
      <c r="H78" s="8">
        <f>IFERROR(__xludf.DUMMYFUNCTION("""COMPUTED_VALUE"""),0.541533546325878)</f>
        <v>0.5415335463</v>
      </c>
      <c r="I78" s="8">
        <f>IFERROR(__xludf.DUMMYFUNCTION("""COMPUTED_VALUE"""),0.512)</f>
        <v>0.512</v>
      </c>
      <c r="J78" s="8">
        <f>IFERROR(__xludf.DUMMYFUNCTION("""COMPUTED_VALUE"""),0.47191011235955)</f>
        <v>0.4719101124</v>
      </c>
      <c r="K78" s="8">
        <f>IFERROR(__xludf.DUMMYFUNCTION("""COMPUTED_VALUE"""),0.454253611556982)</f>
        <v>0.4542536116</v>
      </c>
      <c r="L78" s="8">
        <f>IFERROR(__xludf.DUMMYFUNCTION("""COMPUTED_VALUE"""),0.426966292134831)</f>
        <v>0.4269662921</v>
      </c>
      <c r="M78" s="8">
        <f>IFERROR(__xludf.DUMMYFUNCTION("""COMPUTED_VALUE"""),0.3884430176565)</f>
        <v>0.3884430177</v>
      </c>
      <c r="N78" s="8">
        <f>IFERROR(__xludf.DUMMYFUNCTION("""COMPUTED_VALUE"""),0.365539452495974)</f>
        <v>0.3655394525</v>
      </c>
      <c r="O78" s="8">
        <f>IFERROR(__xludf.DUMMYFUNCTION("""COMPUTED_VALUE"""),0.318255250403877)</f>
        <v>0.3182552504</v>
      </c>
      <c r="P78" s="8">
        <f>IFERROR(__xludf.DUMMYFUNCTION("""COMPUTED_VALUE"""),0.167213114754098)</f>
        <v>0.1672131148</v>
      </c>
      <c r="Q78" s="8">
        <f>IFERROR(__xludf.DUMMYFUNCTION("""COMPUTED_VALUE"""),0.0315091210613598)</f>
        <v>0.03150912106</v>
      </c>
      <c r="R78" s="8">
        <f>IFERROR(__xludf.DUMMYFUNCTION("""COMPUTED_VALUE"""),0.0)</f>
        <v>0</v>
      </c>
      <c r="S78" s="8">
        <f>IFERROR(__xludf.DUMMYFUNCTION("""COMPUTED_VALUE"""),0.0)</f>
        <v>0</v>
      </c>
      <c r="T78" s="8">
        <f>IFERROR(__xludf.DUMMYFUNCTION("""COMPUTED_VALUE"""),0.0)</f>
        <v>0</v>
      </c>
      <c r="U78" s="8">
        <f>IFERROR(__xludf.DUMMYFUNCTION("""COMPUTED_VALUE"""),0.0)</f>
        <v>0</v>
      </c>
      <c r="V78" s="8">
        <f>IFERROR(__xludf.DUMMYFUNCTION("""COMPUTED_VALUE"""),0.0)</f>
        <v>0</v>
      </c>
      <c r="W78" s="8">
        <f>IFERROR(__xludf.DUMMYFUNCTION("""COMPUTED_VALUE"""),0.0)</f>
        <v>0</v>
      </c>
      <c r="X78" s="8">
        <f>IFERROR(__xludf.DUMMYFUNCTION("""COMPUTED_VALUE"""),0.0)</f>
        <v>0</v>
      </c>
      <c r="Y78" s="8">
        <f>IFERROR(__xludf.DUMMYFUNCTION("""COMPUTED_VALUE"""),0.0)</f>
        <v>0</v>
      </c>
      <c r="Z78" s="8">
        <f>IFERROR(__xludf.DUMMYFUNCTION("""COMPUTED_VALUE"""),0.0)</f>
        <v>0</v>
      </c>
      <c r="AA78" s="8">
        <f>IFERROR(__xludf.DUMMYFUNCTION("""COMPUTED_VALUE"""),0.0)</f>
        <v>0</v>
      </c>
      <c r="AB78" s="8">
        <f>IFERROR(__xludf.DUMMYFUNCTION("""COMPUTED_VALUE"""),0.0)</f>
        <v>0</v>
      </c>
      <c r="AC78" s="8">
        <f>IFERROR(__xludf.DUMMYFUNCTION("""COMPUTED_VALUE"""),0.0)</f>
        <v>0</v>
      </c>
    </row>
    <row r="79" ht="15.75" customHeight="1">
      <c r="A79" s="6" t="str">
        <f>IFERROR(__xludf.DUMMYFUNCTION("""COMPUTED_VALUE"""),"442d4dce8ca376c2bb4438209980daa53b761b51")</f>
        <v>442d4dce8ca376c2bb4438209980daa53b761b51</v>
      </c>
      <c r="B79" s="6" t="str">
        <f>IFERROR(__xludf.DUMMYFUNCTION("""COMPUTED_VALUE"""),"Rejected and Craved")</f>
        <v>Rejected and Craved</v>
      </c>
      <c r="C79" s="6" t="str">
        <f>IFERROR(__xludf.DUMMYFUNCTION("""COMPUTED_VALUE"""),"Romantasy")</f>
        <v>Romantasy</v>
      </c>
      <c r="D79" s="17">
        <f>IFERROR(__xludf.DUMMYFUNCTION("""COMPUTED_VALUE"""),631.0)</f>
        <v>631</v>
      </c>
      <c r="E79" s="8">
        <f>IFERROR(__xludf.DUMMYFUNCTION("""COMPUTED_VALUE"""),0.976228209191759)</f>
        <v>0.9762282092</v>
      </c>
      <c r="F79" s="8">
        <f>IFERROR(__xludf.DUMMYFUNCTION("""COMPUTED_VALUE"""),0.676190476190476)</f>
        <v>0.6761904762</v>
      </c>
      <c r="G79" s="8">
        <f>IFERROR(__xludf.DUMMYFUNCTION("""COMPUTED_VALUE"""),0.646031746031746)</f>
        <v>0.646031746</v>
      </c>
      <c r="H79" s="8">
        <f>IFERROR(__xludf.DUMMYFUNCTION("""COMPUTED_VALUE"""),0.624801271860095)</f>
        <v>0.6248012719</v>
      </c>
      <c r="I79" s="8">
        <f>IFERROR(__xludf.DUMMYFUNCTION("""COMPUTED_VALUE"""),0.602870813397129)</f>
        <v>0.6028708134</v>
      </c>
      <c r="J79" s="8">
        <f>IFERROR(__xludf.DUMMYFUNCTION("""COMPUTED_VALUE"""),0.5696)</f>
        <v>0.5696</v>
      </c>
      <c r="K79" s="8">
        <f>IFERROR(__xludf.DUMMYFUNCTION("""COMPUTED_VALUE"""),0.5504)</f>
        <v>0.5504</v>
      </c>
      <c r="L79" s="8">
        <f>IFERROR(__xludf.DUMMYFUNCTION("""COMPUTED_VALUE"""),0.5328)</f>
        <v>0.5328</v>
      </c>
      <c r="M79" s="8">
        <f>IFERROR(__xludf.DUMMYFUNCTION("""COMPUTED_VALUE"""),0.5488)</f>
        <v>0.5488</v>
      </c>
      <c r="N79" s="8">
        <f>IFERROR(__xludf.DUMMYFUNCTION("""COMPUTED_VALUE"""),0.5216)</f>
        <v>0.5216</v>
      </c>
      <c r="O79" s="8">
        <f>IFERROR(__xludf.DUMMYFUNCTION("""COMPUTED_VALUE"""),0.434210526315789)</f>
        <v>0.4342105263</v>
      </c>
      <c r="P79" s="8">
        <f>IFERROR(__xludf.DUMMYFUNCTION("""COMPUTED_VALUE"""),0.256281407035175)</f>
        <v>0.256281407</v>
      </c>
      <c r="Q79" s="8">
        <f>IFERROR(__xludf.DUMMYFUNCTION("""COMPUTED_VALUE"""),0.0763765541740675)</f>
        <v>0.07637655417</v>
      </c>
      <c r="R79" s="8">
        <f>IFERROR(__xludf.DUMMYFUNCTION("""COMPUTED_VALUE"""),0.0)</f>
        <v>0</v>
      </c>
      <c r="S79" s="8">
        <f>IFERROR(__xludf.DUMMYFUNCTION("""COMPUTED_VALUE"""),0.0)</f>
        <v>0</v>
      </c>
      <c r="T79" s="8">
        <f>IFERROR(__xludf.DUMMYFUNCTION("""COMPUTED_VALUE"""),0.0)</f>
        <v>0</v>
      </c>
      <c r="U79" s="8">
        <f>IFERROR(__xludf.DUMMYFUNCTION("""COMPUTED_VALUE"""),0.0)</f>
        <v>0</v>
      </c>
      <c r="V79" s="8">
        <f>IFERROR(__xludf.DUMMYFUNCTION("""COMPUTED_VALUE"""),0.0)</f>
        <v>0</v>
      </c>
      <c r="W79" s="8">
        <f>IFERROR(__xludf.DUMMYFUNCTION("""COMPUTED_VALUE"""),0.0)</f>
        <v>0</v>
      </c>
      <c r="X79" s="8">
        <f>IFERROR(__xludf.DUMMYFUNCTION("""COMPUTED_VALUE"""),0.0)</f>
        <v>0</v>
      </c>
      <c r="Y79" s="8">
        <f>IFERROR(__xludf.DUMMYFUNCTION("""COMPUTED_VALUE"""),0.0)</f>
        <v>0</v>
      </c>
      <c r="Z79" s="8">
        <f>IFERROR(__xludf.DUMMYFUNCTION("""COMPUTED_VALUE"""),0.0)</f>
        <v>0</v>
      </c>
      <c r="AA79" s="8">
        <f>IFERROR(__xludf.DUMMYFUNCTION("""COMPUTED_VALUE"""),0.0)</f>
        <v>0</v>
      </c>
      <c r="AB79" s="8">
        <f>IFERROR(__xludf.DUMMYFUNCTION("""COMPUTED_VALUE"""),0.0)</f>
        <v>0</v>
      </c>
      <c r="AC79" s="8">
        <f>IFERROR(__xludf.DUMMYFUNCTION("""COMPUTED_VALUE"""),0.0)</f>
        <v>0</v>
      </c>
    </row>
    <row r="80" ht="15.75" customHeight="1">
      <c r="A80" s="6" t="str">
        <f>IFERROR(__xludf.DUMMYFUNCTION("""COMPUTED_VALUE"""),"446d5769edafce0d5daf04c6cfc40515f289004f")</f>
        <v>446d5769edafce0d5daf04c6cfc40515f289004f</v>
      </c>
      <c r="B80" s="6" t="str">
        <f>IFERROR(__xludf.DUMMYFUNCTION("""COMPUTED_VALUE"""),"The Cloaked Mogul")</f>
        <v>The Cloaked Mogul</v>
      </c>
      <c r="C80" s="6" t="str">
        <f>IFERROR(__xludf.DUMMYFUNCTION("""COMPUTED_VALUE"""),"Drama")</f>
        <v>Drama</v>
      </c>
      <c r="D80" s="17">
        <f>IFERROR(__xludf.DUMMYFUNCTION("""COMPUTED_VALUE"""),3778.0)</f>
        <v>3778</v>
      </c>
      <c r="E80" s="8">
        <f>IFERROR(__xludf.DUMMYFUNCTION("""COMPUTED_VALUE"""),0.939554612937433)</f>
        <v>0.9395546129</v>
      </c>
      <c r="F80" s="8">
        <f>IFERROR(__xludf.DUMMYFUNCTION("""COMPUTED_VALUE"""),0.589580010632642)</f>
        <v>0.5895800106</v>
      </c>
      <c r="G80" s="8">
        <f>IFERROR(__xludf.DUMMYFUNCTION("""COMPUTED_VALUE"""),0.548018089917531)</f>
        <v>0.5480180899</v>
      </c>
      <c r="H80" s="8">
        <f>IFERROR(__xludf.DUMMYFUNCTION("""COMPUTED_VALUE"""),0.527703782631859)</f>
        <v>0.5277037826</v>
      </c>
      <c r="I80" s="8">
        <f>IFERROR(__xludf.DUMMYFUNCTION("""COMPUTED_VALUE"""),0.511324273914202)</f>
        <v>0.5113242739</v>
      </c>
      <c r="J80" s="8">
        <f>IFERROR(__xludf.DUMMYFUNCTION("""COMPUTED_VALUE"""),0.499599037690457)</f>
        <v>0.4995990377</v>
      </c>
      <c r="K80" s="8">
        <f>IFERROR(__xludf.DUMMYFUNCTION("""COMPUTED_VALUE"""),0.489418698098044)</f>
        <v>0.4894186981</v>
      </c>
      <c r="L80" s="8">
        <f>IFERROR(__xludf.DUMMYFUNCTION("""COMPUTED_VALUE"""),0.478786251342642)</f>
        <v>0.4787862513</v>
      </c>
      <c r="M80" s="8">
        <f>IFERROR(__xludf.DUMMYFUNCTION("""COMPUTED_VALUE"""),0.474179666487358)</f>
        <v>0.4741796665</v>
      </c>
      <c r="N80" s="8">
        <f>IFERROR(__xludf.DUMMYFUNCTION("""COMPUTED_VALUE"""),0.460086299892125)</f>
        <v>0.4600862999</v>
      </c>
      <c r="O80" s="8">
        <f>IFERROR(__xludf.DUMMYFUNCTION("""COMPUTED_VALUE"""),0.427131571778806)</f>
        <v>0.4271315718</v>
      </c>
      <c r="P80" s="8">
        <f>IFERROR(__xludf.DUMMYFUNCTION("""COMPUTED_VALUE"""),0.375103277334067)</f>
        <v>0.3751032773</v>
      </c>
      <c r="Q80" s="8">
        <f>IFERROR(__xludf.DUMMYFUNCTION("""COMPUTED_VALUE"""),0.272089761570827)</f>
        <v>0.2720897616</v>
      </c>
      <c r="R80" s="8">
        <f>IFERROR(__xludf.DUMMYFUNCTION("""COMPUTED_VALUE"""),0.166904422253922)</f>
        <v>0.1669044223</v>
      </c>
      <c r="S80" s="8">
        <f>IFERROR(__xludf.DUMMYFUNCTION("""COMPUTED_VALUE"""),0.142233856893542)</f>
        <v>0.1422338569</v>
      </c>
      <c r="T80" s="8">
        <f>IFERROR(__xludf.DUMMYFUNCTION("""COMPUTED_VALUE"""),0.121803812180381)</f>
        <v>0.1218038122</v>
      </c>
      <c r="U80" s="8">
        <f>IFERROR(__xludf.DUMMYFUNCTION("""COMPUTED_VALUE"""),0.105580693815987)</f>
        <v>0.1055806938</v>
      </c>
      <c r="V80" s="8">
        <f>IFERROR(__xludf.DUMMYFUNCTION("""COMPUTED_VALUE"""),0.0902335456475583)</f>
        <v>0.09023354565</v>
      </c>
      <c r="W80" s="8">
        <f>IFERROR(__xludf.DUMMYFUNCTION("""COMPUTED_VALUE"""),0.045045045045045)</f>
        <v>0.04504504505</v>
      </c>
      <c r="X80" s="8">
        <f>IFERROR(__xludf.DUMMYFUNCTION("""COMPUTED_VALUE"""),0.0)</f>
        <v>0</v>
      </c>
      <c r="Y80" s="8">
        <f>IFERROR(__xludf.DUMMYFUNCTION("""COMPUTED_VALUE"""),0.0)</f>
        <v>0</v>
      </c>
      <c r="Z80" s="8">
        <f>IFERROR(__xludf.DUMMYFUNCTION("""COMPUTED_VALUE"""),0.0)</f>
        <v>0</v>
      </c>
      <c r="AA80" s="8">
        <f>IFERROR(__xludf.DUMMYFUNCTION("""COMPUTED_VALUE"""),0.0)</f>
        <v>0</v>
      </c>
      <c r="AB80" s="8">
        <f>IFERROR(__xludf.DUMMYFUNCTION("""COMPUTED_VALUE"""),0.0)</f>
        <v>0</v>
      </c>
      <c r="AC80" s="8">
        <f>IFERROR(__xludf.DUMMYFUNCTION("""COMPUTED_VALUE"""),0.0)</f>
        <v>0</v>
      </c>
    </row>
    <row r="81" ht="15.75" customHeight="1">
      <c r="A81" s="6" t="str">
        <f>IFERROR(__xludf.DUMMYFUNCTION("""COMPUTED_VALUE"""),"44c616c59b6b2cd7fcb80263ece968b250ad9dbe")</f>
        <v>44c616c59b6b2cd7fcb80263ece968b250ad9dbe</v>
      </c>
      <c r="B81" s="6" t="str">
        <f>IFERROR(__xludf.DUMMYFUNCTION("""COMPUTED_VALUE"""),"Supreme Miracle Doctor")</f>
        <v>Supreme Miracle Doctor</v>
      </c>
      <c r="C81" s="6" t="str">
        <f>IFERROR(__xludf.DUMMYFUNCTION("""COMPUTED_VALUE"""),"Drama")</f>
        <v>Drama</v>
      </c>
      <c r="D81" s="17">
        <f>IFERROR(__xludf.DUMMYFUNCTION("""COMPUTED_VALUE"""),406.0)</f>
        <v>406</v>
      </c>
      <c r="E81" s="8">
        <f>IFERROR(__xludf.DUMMYFUNCTION("""COMPUTED_VALUE"""),0.987113402061855)</f>
        <v>0.9871134021</v>
      </c>
      <c r="F81" s="8">
        <f>IFERROR(__xludf.DUMMYFUNCTION("""COMPUTED_VALUE"""),0.55367231638418)</f>
        <v>0.5536723164</v>
      </c>
      <c r="G81" s="8">
        <f>IFERROR(__xludf.DUMMYFUNCTION("""COMPUTED_VALUE"""),0.482142857142857)</f>
        <v>0.4821428571</v>
      </c>
      <c r="H81" s="8">
        <f>IFERROR(__xludf.DUMMYFUNCTION("""COMPUTED_VALUE"""),0.43)</f>
        <v>0.43</v>
      </c>
      <c r="I81" s="8">
        <f>IFERROR(__xludf.DUMMYFUNCTION("""COMPUTED_VALUE"""),0.380622837370242)</f>
        <v>0.3806228374</v>
      </c>
      <c r="J81" s="8">
        <f>IFERROR(__xludf.DUMMYFUNCTION("""COMPUTED_VALUE"""),0.325670498084291)</f>
        <v>0.3256704981</v>
      </c>
      <c r="K81" s="8">
        <f>IFERROR(__xludf.DUMMYFUNCTION("""COMPUTED_VALUE"""),0.284552845528455)</f>
        <v>0.2845528455</v>
      </c>
      <c r="L81" s="8">
        <f>IFERROR(__xludf.DUMMYFUNCTION("""COMPUTED_VALUE"""),0.284210526315789)</f>
        <v>0.2842105263</v>
      </c>
      <c r="M81" s="8">
        <f>IFERROR(__xludf.DUMMYFUNCTION("""COMPUTED_VALUE"""),0.261904761904761)</f>
        <v>0.2619047619</v>
      </c>
      <c r="N81" s="8">
        <f>IFERROR(__xludf.DUMMYFUNCTION("""COMPUTED_VALUE"""),0.262068965517241)</f>
        <v>0.2620689655</v>
      </c>
      <c r="O81" s="8">
        <f>IFERROR(__xludf.DUMMYFUNCTION("""COMPUTED_VALUE"""),0.202702702702702)</f>
        <v>0.2027027027</v>
      </c>
      <c r="P81" s="8">
        <f>IFERROR(__xludf.DUMMYFUNCTION("""COMPUTED_VALUE"""),0.161290322580645)</f>
        <v>0.1612903226</v>
      </c>
      <c r="Q81" s="8">
        <f>IFERROR(__xludf.DUMMYFUNCTION("""COMPUTED_VALUE"""),0.0)</f>
        <v>0</v>
      </c>
      <c r="R81" s="8">
        <f>IFERROR(__xludf.DUMMYFUNCTION("""COMPUTED_VALUE"""),0.0)</f>
        <v>0</v>
      </c>
      <c r="S81" s="8">
        <f>IFERROR(__xludf.DUMMYFUNCTION("""COMPUTED_VALUE"""),0.0)</f>
        <v>0</v>
      </c>
      <c r="T81" s="8">
        <f>IFERROR(__xludf.DUMMYFUNCTION("""COMPUTED_VALUE"""),0.0)</f>
        <v>0</v>
      </c>
      <c r="U81" s="8">
        <f>IFERROR(__xludf.DUMMYFUNCTION("""COMPUTED_VALUE"""),0.0)</f>
        <v>0</v>
      </c>
      <c r="V81" s="8">
        <f>IFERROR(__xludf.DUMMYFUNCTION("""COMPUTED_VALUE"""),0.0)</f>
        <v>0</v>
      </c>
      <c r="W81" s="8">
        <f>IFERROR(__xludf.DUMMYFUNCTION("""COMPUTED_VALUE"""),0.0)</f>
        <v>0</v>
      </c>
      <c r="X81" s="8">
        <f>IFERROR(__xludf.DUMMYFUNCTION("""COMPUTED_VALUE"""),0.0)</f>
        <v>0</v>
      </c>
      <c r="Y81" s="8">
        <f>IFERROR(__xludf.DUMMYFUNCTION("""COMPUTED_VALUE"""),0.0)</f>
        <v>0</v>
      </c>
      <c r="Z81" s="8">
        <f>IFERROR(__xludf.DUMMYFUNCTION("""COMPUTED_VALUE"""),0.0)</f>
        <v>0</v>
      </c>
      <c r="AA81" s="8">
        <f>IFERROR(__xludf.DUMMYFUNCTION("""COMPUTED_VALUE"""),0.0)</f>
        <v>0</v>
      </c>
      <c r="AB81" s="8">
        <f>IFERROR(__xludf.DUMMYFUNCTION("""COMPUTED_VALUE"""),0.0)</f>
        <v>0</v>
      </c>
      <c r="AC81" s="8">
        <f>IFERROR(__xludf.DUMMYFUNCTION("""COMPUTED_VALUE"""),0.0)</f>
        <v>0</v>
      </c>
    </row>
    <row r="82" ht="15.75" customHeight="1">
      <c r="A82" s="6" t="str">
        <f>IFERROR(__xludf.DUMMYFUNCTION("""COMPUTED_VALUE"""),"44f5a6fb4876567a5eec3722df1d0a3d436d8bdf")</f>
        <v>44f5a6fb4876567a5eec3722df1d0a3d436d8bdf</v>
      </c>
      <c r="B82" s="6" t="str">
        <f>IFERROR(__xludf.DUMMYFUNCTION("""COMPUTED_VALUE"""),"Alpha Kyros")</f>
        <v>Alpha Kyros</v>
      </c>
      <c r="C82" s="6" t="str">
        <f>IFERROR(__xludf.DUMMYFUNCTION("""COMPUTED_VALUE"""),"Romantasy")</f>
        <v>Romantasy</v>
      </c>
      <c r="D82" s="17">
        <f>IFERROR(__xludf.DUMMYFUNCTION("""COMPUTED_VALUE"""),4385.0)</f>
        <v>4385</v>
      </c>
      <c r="E82" s="8">
        <f>IFERROR(__xludf.DUMMYFUNCTION("""COMPUTED_VALUE"""),0.97331204379562)</f>
        <v>0.9733120438</v>
      </c>
      <c r="F82" s="8">
        <f>IFERROR(__xludf.DUMMYFUNCTION("""COMPUTED_VALUE"""),0.63412408759124)</f>
        <v>0.6341240876</v>
      </c>
      <c r="G82" s="8">
        <f>IFERROR(__xludf.DUMMYFUNCTION("""COMPUTED_VALUE"""),0.583941605839416)</f>
        <v>0.5839416058</v>
      </c>
      <c r="H82" s="8">
        <f>IFERROR(__xludf.DUMMYFUNCTION("""COMPUTED_VALUE"""),0.561487565594341)</f>
        <v>0.5614875656</v>
      </c>
      <c r="I82" s="8">
        <f>IFERROR(__xludf.DUMMYFUNCTION("""COMPUTED_VALUE"""),0.544956640803286)</f>
        <v>0.5449566408</v>
      </c>
      <c r="J82" s="8">
        <f>IFERROR(__xludf.DUMMYFUNCTION("""COMPUTED_VALUE"""),0.525462434345741)</f>
        <v>0.5254624343</v>
      </c>
      <c r="K82" s="8">
        <f>IFERROR(__xludf.DUMMYFUNCTION("""COMPUTED_VALUE"""),0.512674126512902)</f>
        <v>0.5126741265</v>
      </c>
      <c r="L82" s="8">
        <f>IFERROR(__xludf.DUMMYFUNCTION("""COMPUTED_VALUE"""),0.503312771304546)</f>
        <v>0.5033127713</v>
      </c>
      <c r="M82" s="8">
        <f>IFERROR(__xludf.DUMMYFUNCTION("""COMPUTED_VALUE"""),0.490855052583447)</f>
        <v>0.4908550526</v>
      </c>
      <c r="N82" s="8">
        <f>IFERROR(__xludf.DUMMYFUNCTION("""COMPUTED_VALUE"""),0.478499542543458)</f>
        <v>0.4784995425</v>
      </c>
      <c r="O82" s="8">
        <f>IFERROR(__xludf.DUMMYFUNCTION("""COMPUTED_VALUE"""),0.420436280137772)</f>
        <v>0.4204362801</v>
      </c>
      <c r="P82" s="8">
        <f>IFERROR(__xludf.DUMMYFUNCTION("""COMPUTED_VALUE"""),0.354172048566261)</f>
        <v>0.3541720486</v>
      </c>
      <c r="Q82" s="8">
        <f>IFERROR(__xludf.DUMMYFUNCTION("""COMPUTED_VALUE"""),0.229977957384276)</f>
        <v>0.2299779574</v>
      </c>
      <c r="R82" s="8">
        <f>IFERROR(__xludf.DUMMYFUNCTION("""COMPUTED_VALUE"""),0.0957446808510638)</f>
        <v>0.09574468085</v>
      </c>
      <c r="S82" s="8">
        <f>IFERROR(__xludf.DUMMYFUNCTION("""COMPUTED_VALUE"""),0.0)</f>
        <v>0</v>
      </c>
      <c r="T82" s="8">
        <f>IFERROR(__xludf.DUMMYFUNCTION("""COMPUTED_VALUE"""),0.0)</f>
        <v>0</v>
      </c>
      <c r="U82" s="8">
        <f>IFERROR(__xludf.DUMMYFUNCTION("""COMPUTED_VALUE"""),0.0)</f>
        <v>0</v>
      </c>
      <c r="V82" s="8">
        <f>IFERROR(__xludf.DUMMYFUNCTION("""COMPUTED_VALUE"""),0.0)</f>
        <v>0</v>
      </c>
      <c r="W82" s="8">
        <f>IFERROR(__xludf.DUMMYFUNCTION("""COMPUTED_VALUE"""),0.0)</f>
        <v>0</v>
      </c>
      <c r="X82" s="8">
        <f>IFERROR(__xludf.DUMMYFUNCTION("""COMPUTED_VALUE"""),0.0)</f>
        <v>0</v>
      </c>
      <c r="Y82" s="8">
        <f>IFERROR(__xludf.DUMMYFUNCTION("""COMPUTED_VALUE"""),0.0)</f>
        <v>0</v>
      </c>
      <c r="Z82" s="8">
        <f>IFERROR(__xludf.DUMMYFUNCTION("""COMPUTED_VALUE"""),0.0)</f>
        <v>0</v>
      </c>
      <c r="AA82" s="8">
        <f>IFERROR(__xludf.DUMMYFUNCTION("""COMPUTED_VALUE"""),0.0)</f>
        <v>0</v>
      </c>
      <c r="AB82" s="8">
        <f>IFERROR(__xludf.DUMMYFUNCTION("""COMPUTED_VALUE"""),0.0)</f>
        <v>0</v>
      </c>
      <c r="AC82" s="8">
        <f>IFERROR(__xludf.DUMMYFUNCTION("""COMPUTED_VALUE"""),0.0)</f>
        <v>0</v>
      </c>
    </row>
    <row r="83" ht="15.75" customHeight="1">
      <c r="A83" s="6" t="str">
        <f>IFERROR(__xludf.DUMMYFUNCTION("""COMPUTED_VALUE"""),"462b561ac0c6d238fc5ed6d8ce632a9e6a2152d9")</f>
        <v>462b561ac0c6d238fc5ed6d8ce632a9e6a2152d9</v>
      </c>
      <c r="B83" s="6" t="str">
        <f>IFERROR(__xludf.DUMMYFUNCTION("""COMPUTED_VALUE"""),"My Billionaire System")</f>
        <v>My Billionaire System</v>
      </c>
      <c r="C83" s="6" t="str">
        <f>IFERROR(__xludf.DUMMYFUNCTION("""COMPUTED_VALUE"""),"System and Superpower")</f>
        <v>System and Superpower</v>
      </c>
      <c r="D83" s="17">
        <f>IFERROR(__xludf.DUMMYFUNCTION("""COMPUTED_VALUE"""),733.0)</f>
        <v>733</v>
      </c>
      <c r="E83" s="8">
        <f>IFERROR(__xludf.DUMMYFUNCTION("""COMPUTED_VALUE"""),0.983606557377049)</f>
        <v>0.9836065574</v>
      </c>
      <c r="F83" s="8">
        <f>IFERROR(__xludf.DUMMYFUNCTION("""COMPUTED_VALUE"""),0.635116598079561)</f>
        <v>0.6351165981</v>
      </c>
      <c r="G83" s="8">
        <f>IFERROR(__xludf.DUMMYFUNCTION("""COMPUTED_VALUE"""),0.534530386740331)</f>
        <v>0.5345303867</v>
      </c>
      <c r="H83" s="8">
        <f>IFERROR(__xludf.DUMMYFUNCTION("""COMPUTED_VALUE"""),0.465277777777777)</f>
        <v>0.4652777778</v>
      </c>
      <c r="I83" s="8">
        <f>IFERROR(__xludf.DUMMYFUNCTION("""COMPUTED_VALUE"""),0.415384615384615)</f>
        <v>0.4153846154</v>
      </c>
      <c r="J83" s="8">
        <f>IFERROR(__xludf.DUMMYFUNCTION("""COMPUTED_VALUE"""),0.377997179125528)</f>
        <v>0.3779971791</v>
      </c>
      <c r="K83" s="8">
        <f>IFERROR(__xludf.DUMMYFUNCTION("""COMPUTED_VALUE"""),0.316239316239316)</f>
        <v>0.3162393162</v>
      </c>
      <c r="L83" s="8">
        <f>IFERROR(__xludf.DUMMYFUNCTION("""COMPUTED_VALUE"""),0.294629898403483)</f>
        <v>0.2946298984</v>
      </c>
      <c r="M83" s="8">
        <f>IFERROR(__xludf.DUMMYFUNCTION("""COMPUTED_VALUE"""),0.270833333333333)</f>
        <v>0.2708333333</v>
      </c>
      <c r="N83" s="8">
        <f>IFERROR(__xludf.DUMMYFUNCTION("""COMPUTED_VALUE"""),0.25514403292181)</f>
        <v>0.2551440329</v>
      </c>
      <c r="O83" s="8">
        <f>IFERROR(__xludf.DUMMYFUNCTION("""COMPUTED_VALUE"""),0.3)</f>
        <v>0.3</v>
      </c>
      <c r="P83" s="8">
        <f>IFERROR(__xludf.DUMMYFUNCTION("""COMPUTED_VALUE"""),0.333333333333333)</f>
        <v>0.3333333333</v>
      </c>
      <c r="Q83" s="8">
        <f>IFERROR(__xludf.DUMMYFUNCTION("""COMPUTED_VALUE"""),0.0)</f>
        <v>0</v>
      </c>
      <c r="R83" s="8">
        <f>IFERROR(__xludf.DUMMYFUNCTION("""COMPUTED_VALUE"""),0.0)</f>
        <v>0</v>
      </c>
      <c r="S83" s="8">
        <f>IFERROR(__xludf.DUMMYFUNCTION("""COMPUTED_VALUE"""),0.0)</f>
        <v>0</v>
      </c>
      <c r="T83" s="8">
        <f>IFERROR(__xludf.DUMMYFUNCTION("""COMPUTED_VALUE"""),0.0)</f>
        <v>0</v>
      </c>
      <c r="U83" s="8">
        <f>IFERROR(__xludf.DUMMYFUNCTION("""COMPUTED_VALUE"""),0.0)</f>
        <v>0</v>
      </c>
      <c r="V83" s="8">
        <f>IFERROR(__xludf.DUMMYFUNCTION("""COMPUTED_VALUE"""),0.0)</f>
        <v>0</v>
      </c>
      <c r="W83" s="8">
        <f>IFERROR(__xludf.DUMMYFUNCTION("""COMPUTED_VALUE"""),0.0)</f>
        <v>0</v>
      </c>
      <c r="X83" s="8">
        <f>IFERROR(__xludf.DUMMYFUNCTION("""COMPUTED_VALUE"""),0.0)</f>
        <v>0</v>
      </c>
      <c r="Y83" s="8">
        <f>IFERROR(__xludf.DUMMYFUNCTION("""COMPUTED_VALUE"""),0.0)</f>
        <v>0</v>
      </c>
      <c r="Z83" s="8">
        <f>IFERROR(__xludf.DUMMYFUNCTION("""COMPUTED_VALUE"""),0.0)</f>
        <v>0</v>
      </c>
      <c r="AA83" s="8">
        <f>IFERROR(__xludf.DUMMYFUNCTION("""COMPUTED_VALUE"""),0.0)</f>
        <v>0</v>
      </c>
      <c r="AB83" s="8">
        <f>IFERROR(__xludf.DUMMYFUNCTION("""COMPUTED_VALUE"""),0.0)</f>
        <v>0</v>
      </c>
      <c r="AC83" s="8">
        <f>IFERROR(__xludf.DUMMYFUNCTION("""COMPUTED_VALUE"""),0.0)</f>
        <v>0</v>
      </c>
    </row>
    <row r="84" ht="15.75" customHeight="1">
      <c r="A84" s="6" t="str">
        <f>IFERROR(__xludf.DUMMYFUNCTION("""COMPUTED_VALUE"""),"46b27558432dbda1475a912729ae1e1dee8ac6fa")</f>
        <v>46b27558432dbda1475a912729ae1e1dee8ac6fa</v>
      </c>
      <c r="B84" s="6" t="str">
        <f>IFERROR(__xludf.DUMMYFUNCTION("""COMPUTED_VALUE"""),"Secrets of Thunder Eyes ")</f>
        <v>Secrets of Thunder Eyes </v>
      </c>
      <c r="C84" s="6" t="str">
        <f>IFERROR(__xludf.DUMMYFUNCTION("""COMPUTED_VALUE"""),"Fantasy")</f>
        <v>Fantasy</v>
      </c>
      <c r="D84" s="17">
        <f>IFERROR(__xludf.DUMMYFUNCTION("""COMPUTED_VALUE"""),354.0)</f>
        <v>354</v>
      </c>
      <c r="E84" s="8">
        <f>IFERROR(__xludf.DUMMYFUNCTION("""COMPUTED_VALUE"""),0.991097922848664)</f>
        <v>0.9910979228</v>
      </c>
      <c r="F84" s="8">
        <f>IFERROR(__xludf.DUMMYFUNCTION("""COMPUTED_VALUE"""),0.307453416149068)</f>
        <v>0.3074534161</v>
      </c>
      <c r="G84" s="8">
        <f>IFERROR(__xludf.DUMMYFUNCTION("""COMPUTED_VALUE"""),0.20983606557377)</f>
        <v>0.2098360656</v>
      </c>
      <c r="H84" s="8">
        <f>IFERROR(__xludf.DUMMYFUNCTION("""COMPUTED_VALUE"""),0.191489361702127)</f>
        <v>0.1914893617</v>
      </c>
      <c r="I84" s="8">
        <f>IFERROR(__xludf.DUMMYFUNCTION("""COMPUTED_VALUE"""),0.170289855072463)</f>
        <v>0.1702898551</v>
      </c>
      <c r="J84" s="8">
        <f>IFERROR(__xludf.DUMMYFUNCTION("""COMPUTED_VALUE"""),0.150943396226415)</f>
        <v>0.1509433962</v>
      </c>
      <c r="K84" s="8">
        <f>IFERROR(__xludf.DUMMYFUNCTION("""COMPUTED_VALUE"""),0.116731517509727)</f>
        <v>0.1167315175</v>
      </c>
      <c r="L84" s="8">
        <f>IFERROR(__xludf.DUMMYFUNCTION("""COMPUTED_VALUE"""),0.0964912280701754)</f>
        <v>0.09649122807</v>
      </c>
      <c r="M84" s="8">
        <f>IFERROR(__xludf.DUMMYFUNCTION("""COMPUTED_VALUE"""),0.0976744186046511)</f>
        <v>0.0976744186</v>
      </c>
      <c r="N84" s="8">
        <f>IFERROR(__xludf.DUMMYFUNCTION("""COMPUTED_VALUE"""),0.0833333333333333)</f>
        <v>0.08333333333</v>
      </c>
      <c r="O84" s="8">
        <f>IFERROR(__xludf.DUMMYFUNCTION("""COMPUTED_VALUE"""),0.0869565217391304)</f>
        <v>0.08695652174</v>
      </c>
      <c r="P84" s="8">
        <f>IFERROR(__xludf.DUMMYFUNCTION("""COMPUTED_VALUE"""),0.0666666666666666)</f>
        <v>0.06666666667</v>
      </c>
      <c r="Q84" s="8">
        <f>IFERROR(__xludf.DUMMYFUNCTION("""COMPUTED_VALUE"""),0.0454545454545454)</f>
        <v>0.04545454545</v>
      </c>
      <c r="R84" s="8">
        <f>IFERROR(__xludf.DUMMYFUNCTION("""COMPUTED_VALUE"""),0.0232558139534883)</f>
        <v>0.02325581395</v>
      </c>
      <c r="S84" s="8">
        <f>IFERROR(__xludf.DUMMYFUNCTION("""COMPUTED_VALUE"""),0.0232558139534883)</f>
        <v>0.02325581395</v>
      </c>
      <c r="T84" s="8">
        <f>IFERROR(__xludf.DUMMYFUNCTION("""COMPUTED_VALUE"""),0.025)</f>
        <v>0.025</v>
      </c>
      <c r="U84" s="8">
        <f>IFERROR(__xludf.DUMMYFUNCTION("""COMPUTED_VALUE"""),0.0285714285714285)</f>
        <v>0.02857142857</v>
      </c>
      <c r="V84" s="8">
        <f>IFERROR(__xludf.DUMMYFUNCTION("""COMPUTED_VALUE"""),0.0)</f>
        <v>0</v>
      </c>
      <c r="W84" s="8">
        <f>IFERROR(__xludf.DUMMYFUNCTION("""COMPUTED_VALUE"""),0.0)</f>
        <v>0</v>
      </c>
      <c r="X84" s="8">
        <f>IFERROR(__xludf.DUMMYFUNCTION("""COMPUTED_VALUE"""),0.0)</f>
        <v>0</v>
      </c>
      <c r="Y84" s="8">
        <f>IFERROR(__xludf.DUMMYFUNCTION("""COMPUTED_VALUE"""),0.0)</f>
        <v>0</v>
      </c>
      <c r="Z84" s="8">
        <f>IFERROR(__xludf.DUMMYFUNCTION("""COMPUTED_VALUE"""),0.0)</f>
        <v>0</v>
      </c>
      <c r="AA84" s="8">
        <f>IFERROR(__xludf.DUMMYFUNCTION("""COMPUTED_VALUE"""),0.0)</f>
        <v>0</v>
      </c>
      <c r="AB84" s="8">
        <f>IFERROR(__xludf.DUMMYFUNCTION("""COMPUTED_VALUE"""),0.0)</f>
        <v>0</v>
      </c>
      <c r="AC84" s="8">
        <f>IFERROR(__xludf.DUMMYFUNCTION("""COMPUTED_VALUE"""),0.0)</f>
        <v>0</v>
      </c>
    </row>
    <row r="85" ht="15.75" customHeight="1">
      <c r="A85" s="6" t="str">
        <f>IFERROR(__xludf.DUMMYFUNCTION("""COMPUTED_VALUE"""),"48b422f2dbf0dc909fde9fadad832fde3d20f4a4")</f>
        <v>48b422f2dbf0dc909fde9fadad832fde3d20f4a4</v>
      </c>
      <c r="B85" s="6" t="str">
        <f>IFERROR(__xludf.DUMMYFUNCTION("""COMPUTED_VALUE"""),"Bride of the Ice Ceo")</f>
        <v>Bride of the Ice Ceo</v>
      </c>
      <c r="C85" s="6" t="str">
        <f>IFERROR(__xludf.DUMMYFUNCTION("""COMPUTED_VALUE"""),"Romance")</f>
        <v>Romance</v>
      </c>
      <c r="D85" s="17">
        <f>IFERROR(__xludf.DUMMYFUNCTION("""COMPUTED_VALUE"""),774.0)</f>
        <v>774</v>
      </c>
      <c r="E85" s="8">
        <f>IFERROR(__xludf.DUMMYFUNCTION("""COMPUTED_VALUE"""),0.972868217054263)</f>
        <v>0.9728682171</v>
      </c>
      <c r="F85" s="8">
        <f>IFERROR(__xludf.DUMMYFUNCTION("""COMPUTED_VALUE"""),0.735142118863049)</f>
        <v>0.7351421189</v>
      </c>
      <c r="G85" s="8">
        <f>IFERROR(__xludf.DUMMYFUNCTION("""COMPUTED_VALUE"""),0.67529107373868)</f>
        <v>0.6752910737</v>
      </c>
      <c r="H85" s="8">
        <f>IFERROR(__xludf.DUMMYFUNCTION("""COMPUTED_VALUE"""),0.632944228274967)</f>
        <v>0.6329442283</v>
      </c>
      <c r="I85" s="8">
        <f>IFERROR(__xludf.DUMMYFUNCTION("""COMPUTED_VALUE"""),0.577172503242542)</f>
        <v>0.5771725032</v>
      </c>
      <c r="J85" s="8">
        <f>IFERROR(__xludf.DUMMYFUNCTION("""COMPUTED_VALUE"""),0.555844155844155)</f>
        <v>0.5558441558</v>
      </c>
      <c r="K85" s="8">
        <f>IFERROR(__xludf.DUMMYFUNCTION("""COMPUTED_VALUE"""),0.522077922077922)</f>
        <v>0.5220779221</v>
      </c>
      <c r="L85" s="8">
        <f>IFERROR(__xludf.DUMMYFUNCTION("""COMPUTED_VALUE"""),0.516254876462938)</f>
        <v>0.5162548765</v>
      </c>
      <c r="M85" s="8">
        <f>IFERROR(__xludf.DUMMYFUNCTION("""COMPUTED_VALUE"""),0.508452535760728)</f>
        <v>0.5084525358</v>
      </c>
      <c r="N85" s="8">
        <f>IFERROR(__xludf.DUMMYFUNCTION("""COMPUTED_VALUE"""),0.485677083333333)</f>
        <v>0.4856770833</v>
      </c>
      <c r="O85" s="8">
        <f>IFERROR(__xludf.DUMMYFUNCTION("""COMPUTED_VALUE"""),0.410290237467018)</f>
        <v>0.4102902375</v>
      </c>
      <c r="P85" s="8">
        <f>IFERROR(__xludf.DUMMYFUNCTION("""COMPUTED_VALUE"""),0.309746328437917)</f>
        <v>0.3097463284</v>
      </c>
      <c r="Q85" s="8">
        <f>IFERROR(__xludf.DUMMYFUNCTION("""COMPUTED_VALUE"""),0.189759036144578)</f>
        <v>0.1897590361</v>
      </c>
      <c r="R85" s="8">
        <f>IFERROR(__xludf.DUMMYFUNCTION("""COMPUTED_VALUE"""),0.133333333333333)</f>
        <v>0.1333333333</v>
      </c>
      <c r="S85" s="8">
        <f>IFERROR(__xludf.DUMMYFUNCTION("""COMPUTED_VALUE"""),0.0)</f>
        <v>0</v>
      </c>
      <c r="T85" s="8">
        <f>IFERROR(__xludf.DUMMYFUNCTION("""COMPUTED_VALUE"""),0.0)</f>
        <v>0</v>
      </c>
      <c r="U85" s="8">
        <f>IFERROR(__xludf.DUMMYFUNCTION("""COMPUTED_VALUE"""),0.0)</f>
        <v>0</v>
      </c>
      <c r="V85" s="8">
        <f>IFERROR(__xludf.DUMMYFUNCTION("""COMPUTED_VALUE"""),0.0)</f>
        <v>0</v>
      </c>
      <c r="W85" s="8">
        <f>IFERROR(__xludf.DUMMYFUNCTION("""COMPUTED_VALUE"""),0.0)</f>
        <v>0</v>
      </c>
      <c r="X85" s="8">
        <f>IFERROR(__xludf.DUMMYFUNCTION("""COMPUTED_VALUE"""),0.0)</f>
        <v>0</v>
      </c>
      <c r="Y85" s="8">
        <f>IFERROR(__xludf.DUMMYFUNCTION("""COMPUTED_VALUE"""),0.0)</f>
        <v>0</v>
      </c>
      <c r="Z85" s="8">
        <f>IFERROR(__xludf.DUMMYFUNCTION("""COMPUTED_VALUE"""),0.0)</f>
        <v>0</v>
      </c>
      <c r="AA85" s="8">
        <f>IFERROR(__xludf.DUMMYFUNCTION("""COMPUTED_VALUE"""),0.0)</f>
        <v>0</v>
      </c>
      <c r="AB85" s="8">
        <f>IFERROR(__xludf.DUMMYFUNCTION("""COMPUTED_VALUE"""),0.0)</f>
        <v>0</v>
      </c>
      <c r="AC85" s="8">
        <f>IFERROR(__xludf.DUMMYFUNCTION("""COMPUTED_VALUE"""),0.0)</f>
        <v>0</v>
      </c>
    </row>
    <row r="86" ht="15.75" customHeight="1">
      <c r="A86" s="6" t="str">
        <f>IFERROR(__xludf.DUMMYFUNCTION("""COMPUTED_VALUE"""),"4a310051c4c56c2fab46c3a7f528a09901399ecd")</f>
        <v>4a310051c4c56c2fab46c3a7f528a09901399ecd</v>
      </c>
      <c r="B86" s="6" t="str">
        <f>IFERROR(__xludf.DUMMYFUNCTION("""COMPUTED_VALUE"""),"Strongest Warlock ")</f>
        <v>Strongest Warlock </v>
      </c>
      <c r="C86" s="6" t="str">
        <f>IFERROR(__xludf.DUMMYFUNCTION("""COMPUTED_VALUE"""),"Fantasy")</f>
        <v>Fantasy</v>
      </c>
      <c r="D86" s="17">
        <f>IFERROR(__xludf.DUMMYFUNCTION("""COMPUTED_VALUE"""),35265.0)</f>
        <v>35265</v>
      </c>
      <c r="E86" s="8">
        <f>IFERROR(__xludf.DUMMYFUNCTION("""COMPUTED_VALUE"""),0.95291613452533)</f>
        <v>0.9529161345</v>
      </c>
      <c r="F86" s="8">
        <f>IFERROR(__xludf.DUMMYFUNCTION("""COMPUTED_VALUE"""),0.585219517743403)</f>
        <v>0.5852195177</v>
      </c>
      <c r="G86" s="8">
        <f>IFERROR(__xludf.DUMMYFUNCTION("""COMPUTED_VALUE"""),0.5376953069414)</f>
        <v>0.5376953069</v>
      </c>
      <c r="H86" s="8">
        <f>IFERROR(__xludf.DUMMYFUNCTION("""COMPUTED_VALUE"""),0.507985853630711)</f>
        <v>0.5079858536</v>
      </c>
      <c r="I86" s="8">
        <f>IFERROR(__xludf.DUMMYFUNCTION("""COMPUTED_VALUE"""),0.488048662078419)</f>
        <v>0.4880486621</v>
      </c>
      <c r="J86" s="8">
        <f>IFERROR(__xludf.DUMMYFUNCTION("""COMPUTED_VALUE"""),0.472206320128234)</f>
        <v>0.4722063201</v>
      </c>
      <c r="K86" s="8">
        <f>IFERROR(__xludf.DUMMYFUNCTION("""COMPUTED_VALUE"""),0.455194358445132)</f>
        <v>0.4551943584</v>
      </c>
      <c r="L86" s="8">
        <f>IFERROR(__xludf.DUMMYFUNCTION("""COMPUTED_VALUE"""),0.446202076562455)</f>
        <v>0.4462020766</v>
      </c>
      <c r="M86" s="8">
        <f>IFERROR(__xludf.DUMMYFUNCTION("""COMPUTED_VALUE"""),0.437183033656062)</f>
        <v>0.4371830337</v>
      </c>
      <c r="N86" s="8">
        <f>IFERROR(__xludf.DUMMYFUNCTION("""COMPUTED_VALUE"""),0.428319708830411)</f>
        <v>0.4283197088</v>
      </c>
      <c r="O86" s="8">
        <f>IFERROR(__xludf.DUMMYFUNCTION("""COMPUTED_VALUE"""),0.396569828491424)</f>
        <v>0.3965698285</v>
      </c>
      <c r="P86" s="8">
        <f>IFERROR(__xludf.DUMMYFUNCTION("""COMPUTED_VALUE"""),0.355557525785382)</f>
        <v>0.3555575258</v>
      </c>
      <c r="Q86" s="8">
        <f>IFERROR(__xludf.DUMMYFUNCTION("""COMPUTED_VALUE"""),0.289433710049823)</f>
        <v>0.28943371</v>
      </c>
      <c r="R86" s="8">
        <f>IFERROR(__xludf.DUMMYFUNCTION("""COMPUTED_VALUE"""),0.251050809741624)</f>
        <v>0.2510508097</v>
      </c>
      <c r="S86" s="8">
        <f>IFERROR(__xludf.DUMMYFUNCTION("""COMPUTED_VALUE"""),0.218920861061642)</f>
        <v>0.2189208611</v>
      </c>
      <c r="T86" s="8">
        <f>IFERROR(__xludf.DUMMYFUNCTION("""COMPUTED_VALUE"""),0.197099705537789)</f>
        <v>0.1970997055</v>
      </c>
      <c r="U86" s="8">
        <f>IFERROR(__xludf.DUMMYFUNCTION("""COMPUTED_VALUE"""),0.181378979363301)</f>
        <v>0.1813789794</v>
      </c>
      <c r="V86" s="8">
        <f>IFERROR(__xludf.DUMMYFUNCTION("""COMPUTED_VALUE"""),0.169399261227399)</f>
        <v>0.1693992612</v>
      </c>
      <c r="W86" s="8">
        <f>IFERROR(__xludf.DUMMYFUNCTION("""COMPUTED_VALUE"""),0.158227226604693)</f>
        <v>0.1582272266</v>
      </c>
      <c r="X86" s="8">
        <f>IFERROR(__xludf.DUMMYFUNCTION("""COMPUTED_VALUE"""),0.137483013489774)</f>
        <v>0.1374830135</v>
      </c>
      <c r="Y86" s="8">
        <f>IFERROR(__xludf.DUMMYFUNCTION("""COMPUTED_VALUE"""),0.102873155744623)</f>
        <v>0.1028731557</v>
      </c>
      <c r="Z86" s="8">
        <f>IFERROR(__xludf.DUMMYFUNCTION("""COMPUTED_VALUE"""),0.0121888056351645)</f>
        <v>0.01218880564</v>
      </c>
      <c r="AA86" s="8">
        <f>IFERROR(__xludf.DUMMYFUNCTION("""COMPUTED_VALUE"""),0.0)</f>
        <v>0</v>
      </c>
      <c r="AB86" s="8">
        <f>IFERROR(__xludf.DUMMYFUNCTION("""COMPUTED_VALUE"""),0.0)</f>
        <v>0</v>
      </c>
      <c r="AC86" s="8">
        <f>IFERROR(__xludf.DUMMYFUNCTION("""COMPUTED_VALUE"""),0.0)</f>
        <v>0</v>
      </c>
    </row>
    <row r="87" ht="15.75" customHeight="1">
      <c r="A87" s="6" t="str">
        <f>IFERROR(__xludf.DUMMYFUNCTION("""COMPUTED_VALUE"""),"4b2d918a2f639175cf29754151e058356b36f273")</f>
        <v>4b2d918a2f639175cf29754151e058356b36f273</v>
      </c>
      <c r="B87" s="6" t="str">
        <f>IFERROR(__xludf.DUMMYFUNCTION("""COMPUTED_VALUE"""),"Surviving Zombies Rising")</f>
        <v>Surviving Zombies Rising</v>
      </c>
      <c r="C87" s="6" t="str">
        <f>IFERROR(__xludf.DUMMYFUNCTION("""COMPUTED_VALUE"""),"Sci-Fi")</f>
        <v>Sci-Fi</v>
      </c>
      <c r="D87" s="17">
        <f>IFERROR(__xludf.DUMMYFUNCTION("""COMPUTED_VALUE"""),225.0)</f>
        <v>225</v>
      </c>
      <c r="E87" s="8">
        <f>IFERROR(__xludf.DUMMYFUNCTION("""COMPUTED_VALUE"""),0.981735159817351)</f>
        <v>0.9817351598</v>
      </c>
      <c r="F87" s="8">
        <f>IFERROR(__xludf.DUMMYFUNCTION("""COMPUTED_VALUE"""),0.46078431372549)</f>
        <v>0.4607843137</v>
      </c>
      <c r="G87" s="8">
        <f>IFERROR(__xludf.DUMMYFUNCTION("""COMPUTED_VALUE"""),0.390862944162436)</f>
        <v>0.3908629442</v>
      </c>
      <c r="H87" s="8">
        <f>IFERROR(__xludf.DUMMYFUNCTION("""COMPUTED_VALUE"""),0.329608938547486)</f>
        <v>0.3296089385</v>
      </c>
      <c r="I87" s="8">
        <f>IFERROR(__xludf.DUMMYFUNCTION("""COMPUTED_VALUE"""),0.291428571428571)</f>
        <v>0.2914285714</v>
      </c>
      <c r="J87" s="8">
        <f>IFERROR(__xludf.DUMMYFUNCTION("""COMPUTED_VALUE"""),0.285714285714285)</f>
        <v>0.2857142857</v>
      </c>
      <c r="K87" s="8">
        <f>IFERROR(__xludf.DUMMYFUNCTION("""COMPUTED_VALUE"""),0.284848484848484)</f>
        <v>0.2848484848</v>
      </c>
      <c r="L87" s="8">
        <f>IFERROR(__xludf.DUMMYFUNCTION("""COMPUTED_VALUE"""),0.24223602484472)</f>
        <v>0.2422360248</v>
      </c>
      <c r="M87" s="8">
        <f>IFERROR(__xludf.DUMMYFUNCTION("""COMPUTED_VALUE"""),0.236024844720496)</f>
        <v>0.2360248447</v>
      </c>
      <c r="N87" s="8">
        <f>IFERROR(__xludf.DUMMYFUNCTION("""COMPUTED_VALUE"""),0.227848101265822)</f>
        <v>0.2278481013</v>
      </c>
      <c r="O87" s="8">
        <f>IFERROR(__xludf.DUMMYFUNCTION("""COMPUTED_VALUE"""),0.202614379084967)</f>
        <v>0.2026143791</v>
      </c>
      <c r="P87" s="8">
        <f>IFERROR(__xludf.DUMMYFUNCTION("""COMPUTED_VALUE"""),0.155038759689922)</f>
        <v>0.1550387597</v>
      </c>
      <c r="Q87" s="8">
        <f>IFERROR(__xludf.DUMMYFUNCTION("""COMPUTED_VALUE"""),0.108695652173913)</f>
        <v>0.1086956522</v>
      </c>
      <c r="R87" s="8">
        <f>IFERROR(__xludf.DUMMYFUNCTION("""COMPUTED_VALUE"""),0.0)</f>
        <v>0</v>
      </c>
      <c r="S87" s="8">
        <f>IFERROR(__xludf.DUMMYFUNCTION("""COMPUTED_VALUE"""),0.0)</f>
        <v>0</v>
      </c>
      <c r="T87" s="8">
        <f>IFERROR(__xludf.DUMMYFUNCTION("""COMPUTED_VALUE"""),0.0)</f>
        <v>0</v>
      </c>
      <c r="U87" s="8">
        <f>IFERROR(__xludf.DUMMYFUNCTION("""COMPUTED_VALUE"""),0.0)</f>
        <v>0</v>
      </c>
      <c r="V87" s="8">
        <f>IFERROR(__xludf.DUMMYFUNCTION("""COMPUTED_VALUE"""),0.0)</f>
        <v>0</v>
      </c>
      <c r="W87" s="8">
        <f>IFERROR(__xludf.DUMMYFUNCTION("""COMPUTED_VALUE"""),0.0)</f>
        <v>0</v>
      </c>
      <c r="X87" s="8">
        <f>IFERROR(__xludf.DUMMYFUNCTION("""COMPUTED_VALUE"""),0.0)</f>
        <v>0</v>
      </c>
      <c r="Y87" s="8">
        <f>IFERROR(__xludf.DUMMYFUNCTION("""COMPUTED_VALUE"""),0.0)</f>
        <v>0</v>
      </c>
      <c r="Z87" s="8">
        <f>IFERROR(__xludf.DUMMYFUNCTION("""COMPUTED_VALUE"""),0.0)</f>
        <v>0</v>
      </c>
      <c r="AA87" s="8">
        <f>IFERROR(__xludf.DUMMYFUNCTION("""COMPUTED_VALUE"""),0.0)</f>
        <v>0</v>
      </c>
      <c r="AB87" s="8">
        <f>IFERROR(__xludf.DUMMYFUNCTION("""COMPUTED_VALUE"""),0.0)</f>
        <v>0</v>
      </c>
      <c r="AC87" s="8">
        <f>IFERROR(__xludf.DUMMYFUNCTION("""COMPUTED_VALUE"""),0.0)</f>
        <v>0</v>
      </c>
    </row>
    <row r="88" ht="15.75" customHeight="1">
      <c r="A88" s="6" t="str">
        <f>IFERROR(__xludf.DUMMYFUNCTION("""COMPUTED_VALUE"""),"4bb85319b3dd3ab4ec654bdd13098e3f37cb3e3b")</f>
        <v>4bb85319b3dd3ab4ec654bdd13098e3f37cb3e3b</v>
      </c>
      <c r="B88" s="6" t="str">
        <f>IFERROR(__xludf.DUMMYFUNCTION("""COMPUTED_VALUE"""),"Shadowed Wealth")</f>
        <v>Shadowed Wealth</v>
      </c>
      <c r="C88" s="6" t="str">
        <f>IFERROR(__xludf.DUMMYFUNCTION("""COMPUTED_VALUE"""),"System and Superpower")</f>
        <v>System and Superpower</v>
      </c>
      <c r="D88" s="17">
        <f>IFERROR(__xludf.DUMMYFUNCTION("""COMPUTED_VALUE"""),182.0)</f>
        <v>182</v>
      </c>
      <c r="E88" s="8">
        <f>IFERROR(__xludf.DUMMYFUNCTION("""COMPUTED_VALUE"""),0.939560439560439)</f>
        <v>0.9395604396</v>
      </c>
      <c r="F88" s="8">
        <f>IFERROR(__xludf.DUMMYFUNCTION("""COMPUTED_VALUE"""),0.714285714285714)</f>
        <v>0.7142857143</v>
      </c>
      <c r="G88" s="8">
        <f>IFERROR(__xludf.DUMMYFUNCTION("""COMPUTED_VALUE"""),0.67032967032967)</f>
        <v>0.6703296703</v>
      </c>
      <c r="H88" s="8">
        <f>IFERROR(__xludf.DUMMYFUNCTION("""COMPUTED_VALUE"""),0.615384615384615)</f>
        <v>0.6153846154</v>
      </c>
      <c r="I88" s="8">
        <f>IFERROR(__xludf.DUMMYFUNCTION("""COMPUTED_VALUE"""),0.5)</f>
        <v>0.5</v>
      </c>
      <c r="J88" s="8">
        <f>IFERROR(__xludf.DUMMYFUNCTION("""COMPUTED_VALUE"""),0.430939226519337)</f>
        <v>0.4309392265</v>
      </c>
      <c r="K88" s="8">
        <f>IFERROR(__xludf.DUMMYFUNCTION("""COMPUTED_VALUE"""),0.441988950276243)</f>
        <v>0.4419889503</v>
      </c>
      <c r="L88" s="8">
        <f>IFERROR(__xludf.DUMMYFUNCTION("""COMPUTED_VALUE"""),0.414364640883977)</f>
        <v>0.4143646409</v>
      </c>
      <c r="M88" s="8">
        <f>IFERROR(__xludf.DUMMYFUNCTION("""COMPUTED_VALUE"""),0.414364640883977)</f>
        <v>0.4143646409</v>
      </c>
      <c r="N88" s="8">
        <f>IFERROR(__xludf.DUMMYFUNCTION("""COMPUTED_VALUE"""),0.407821229050279)</f>
        <v>0.4078212291</v>
      </c>
      <c r="O88" s="8">
        <f>IFERROR(__xludf.DUMMYFUNCTION("""COMPUTED_VALUE"""),0.3125)</f>
        <v>0.3125</v>
      </c>
      <c r="P88" s="8">
        <f>IFERROR(__xludf.DUMMYFUNCTION("""COMPUTED_VALUE"""),0.201149425287356)</f>
        <v>0.2011494253</v>
      </c>
      <c r="Q88" s="8">
        <f>IFERROR(__xludf.DUMMYFUNCTION("""COMPUTED_VALUE"""),0.0693641618497109)</f>
        <v>0.06936416185</v>
      </c>
      <c r="R88" s="8">
        <f>IFERROR(__xludf.DUMMYFUNCTION("""COMPUTED_VALUE"""),0.0)</f>
        <v>0</v>
      </c>
      <c r="S88" s="8">
        <f>IFERROR(__xludf.DUMMYFUNCTION("""COMPUTED_VALUE"""),0.0)</f>
        <v>0</v>
      </c>
      <c r="T88" s="8">
        <f>IFERROR(__xludf.DUMMYFUNCTION("""COMPUTED_VALUE"""),0.0)</f>
        <v>0</v>
      </c>
      <c r="U88" s="8">
        <f>IFERROR(__xludf.DUMMYFUNCTION("""COMPUTED_VALUE"""),0.0)</f>
        <v>0</v>
      </c>
      <c r="V88" s="8">
        <f>IFERROR(__xludf.DUMMYFUNCTION("""COMPUTED_VALUE"""),0.0)</f>
        <v>0</v>
      </c>
      <c r="W88" s="8">
        <f>IFERROR(__xludf.DUMMYFUNCTION("""COMPUTED_VALUE"""),0.0)</f>
        <v>0</v>
      </c>
      <c r="X88" s="8">
        <f>IFERROR(__xludf.DUMMYFUNCTION("""COMPUTED_VALUE"""),0.0)</f>
        <v>0</v>
      </c>
      <c r="Y88" s="8">
        <f>IFERROR(__xludf.DUMMYFUNCTION("""COMPUTED_VALUE"""),0.0)</f>
        <v>0</v>
      </c>
      <c r="Z88" s="8">
        <f>IFERROR(__xludf.DUMMYFUNCTION("""COMPUTED_VALUE"""),0.0)</f>
        <v>0</v>
      </c>
      <c r="AA88" s="8">
        <f>IFERROR(__xludf.DUMMYFUNCTION("""COMPUTED_VALUE"""),0.0)</f>
        <v>0</v>
      </c>
      <c r="AB88" s="8">
        <f>IFERROR(__xludf.DUMMYFUNCTION("""COMPUTED_VALUE"""),0.0)</f>
        <v>0</v>
      </c>
      <c r="AC88" s="8">
        <f>IFERROR(__xludf.DUMMYFUNCTION("""COMPUTED_VALUE"""),0.0)</f>
        <v>0</v>
      </c>
    </row>
    <row r="89" ht="15.75" customHeight="1">
      <c r="A89" s="6" t="str">
        <f>IFERROR(__xludf.DUMMYFUNCTION("""COMPUTED_VALUE"""),"4c43207d3f7885c90d8aaafbb8952de80561f21d")</f>
        <v>4c43207d3f7885c90d8aaafbb8952de80561f21d</v>
      </c>
      <c r="B89" s="6" t="str">
        <f>IFERROR(__xludf.DUMMYFUNCTION("""COMPUTED_VALUE"""),"The Boss &amp; His Fake Wife")</f>
        <v>The Boss &amp; His Fake Wife</v>
      </c>
      <c r="C89" s="6" t="str">
        <f>IFERROR(__xludf.DUMMYFUNCTION("""COMPUTED_VALUE"""),"Romance")</f>
        <v>Romance</v>
      </c>
      <c r="D89" s="17">
        <f>IFERROR(__xludf.DUMMYFUNCTION("""COMPUTED_VALUE"""),407.0)</f>
        <v>407</v>
      </c>
      <c r="E89" s="8">
        <f>IFERROR(__xludf.DUMMYFUNCTION("""COMPUTED_VALUE"""),0.97864768683274)</f>
        <v>0.9786476868</v>
      </c>
      <c r="F89" s="8">
        <f>IFERROR(__xludf.DUMMYFUNCTION("""COMPUTED_VALUE"""),0.541666666666666)</f>
        <v>0.5416666667</v>
      </c>
      <c r="G89" s="8">
        <f>IFERROR(__xludf.DUMMYFUNCTION("""COMPUTED_VALUE"""),0.543478260869565)</f>
        <v>0.5434782609</v>
      </c>
      <c r="H89" s="8">
        <f>IFERROR(__xludf.DUMMYFUNCTION("""COMPUTED_VALUE"""),0.5)</f>
        <v>0.5</v>
      </c>
      <c r="I89" s="8">
        <f>IFERROR(__xludf.DUMMYFUNCTION("""COMPUTED_VALUE"""),0.478260869565217)</f>
        <v>0.4782608696</v>
      </c>
      <c r="J89" s="8">
        <f>IFERROR(__xludf.DUMMYFUNCTION("""COMPUTED_VALUE"""),0.454545454545454)</f>
        <v>0.4545454545</v>
      </c>
      <c r="K89" s="8">
        <f>IFERROR(__xludf.DUMMYFUNCTION("""COMPUTED_VALUE"""),0.454545454545454)</f>
        <v>0.4545454545</v>
      </c>
      <c r="L89" s="8">
        <f>IFERROR(__xludf.DUMMYFUNCTION("""COMPUTED_VALUE"""),0.441860465116279)</f>
        <v>0.4418604651</v>
      </c>
      <c r="M89" s="8">
        <f>IFERROR(__xludf.DUMMYFUNCTION("""COMPUTED_VALUE"""),0.428571428571428)</f>
        <v>0.4285714286</v>
      </c>
      <c r="N89" s="8">
        <f>IFERROR(__xludf.DUMMYFUNCTION("""COMPUTED_VALUE"""),0.414634146341463)</f>
        <v>0.4146341463</v>
      </c>
      <c r="O89" s="8">
        <f>IFERROR(__xludf.DUMMYFUNCTION("""COMPUTED_VALUE"""),0.333333333333333)</f>
        <v>0.3333333333</v>
      </c>
      <c r="P89" s="8">
        <f>IFERROR(__xludf.DUMMYFUNCTION("""COMPUTED_VALUE"""),0.0909090909090909)</f>
        <v>0.09090909091</v>
      </c>
      <c r="Q89" s="8">
        <f>IFERROR(__xludf.DUMMYFUNCTION("""COMPUTED_VALUE"""),0.0)</f>
        <v>0</v>
      </c>
      <c r="R89" s="8">
        <f>IFERROR(__xludf.DUMMYFUNCTION("""COMPUTED_VALUE"""),0.0)</f>
        <v>0</v>
      </c>
      <c r="S89" s="8">
        <f>IFERROR(__xludf.DUMMYFUNCTION("""COMPUTED_VALUE"""),0.0)</f>
        <v>0</v>
      </c>
      <c r="T89" s="8">
        <f>IFERROR(__xludf.DUMMYFUNCTION("""COMPUTED_VALUE"""),0.0)</f>
        <v>0</v>
      </c>
      <c r="U89" s="8">
        <f>IFERROR(__xludf.DUMMYFUNCTION("""COMPUTED_VALUE"""),0.0)</f>
        <v>0</v>
      </c>
      <c r="V89" s="8">
        <f>IFERROR(__xludf.DUMMYFUNCTION("""COMPUTED_VALUE"""),0.0)</f>
        <v>0</v>
      </c>
      <c r="W89" s="8">
        <f>IFERROR(__xludf.DUMMYFUNCTION("""COMPUTED_VALUE"""),0.0)</f>
        <v>0</v>
      </c>
      <c r="X89" s="8">
        <f>IFERROR(__xludf.DUMMYFUNCTION("""COMPUTED_VALUE"""),0.0)</f>
        <v>0</v>
      </c>
      <c r="Y89" s="8">
        <f>IFERROR(__xludf.DUMMYFUNCTION("""COMPUTED_VALUE"""),0.0)</f>
        <v>0</v>
      </c>
      <c r="Z89" s="8">
        <f>IFERROR(__xludf.DUMMYFUNCTION("""COMPUTED_VALUE"""),0.0)</f>
        <v>0</v>
      </c>
      <c r="AA89" s="8">
        <f>IFERROR(__xludf.DUMMYFUNCTION("""COMPUTED_VALUE"""),0.0)</f>
        <v>0</v>
      </c>
      <c r="AB89" s="8">
        <f>IFERROR(__xludf.DUMMYFUNCTION("""COMPUTED_VALUE"""),0.0)</f>
        <v>0</v>
      </c>
      <c r="AC89" s="8">
        <f>IFERROR(__xludf.DUMMYFUNCTION("""COMPUTED_VALUE"""),0.0)</f>
        <v>0</v>
      </c>
    </row>
    <row r="90" ht="15.75" customHeight="1">
      <c r="A90" s="6" t="str">
        <f>IFERROR(__xludf.DUMMYFUNCTION("""COMPUTED_VALUE"""),"4d01d84cdfff217f33b380cdb07a2a1c706749ea")</f>
        <v>4d01d84cdfff217f33b380cdb07a2a1c706749ea</v>
      </c>
      <c r="B90" s="6" t="str">
        <f>IFERROR(__xludf.DUMMYFUNCTION("""COMPUTED_VALUE"""),"The Fifth Bride")</f>
        <v>The Fifth Bride</v>
      </c>
      <c r="C90" s="6" t="str">
        <f>IFERROR(__xludf.DUMMYFUNCTION("""COMPUTED_VALUE"""),"Suspense or Thriller")</f>
        <v>Suspense or Thriller</v>
      </c>
      <c r="D90" s="17">
        <f>IFERROR(__xludf.DUMMYFUNCTION("""COMPUTED_VALUE"""),151.0)</f>
        <v>151</v>
      </c>
      <c r="E90" s="8">
        <f>IFERROR(__xludf.DUMMYFUNCTION("""COMPUTED_VALUE"""),0.927152317880794)</f>
        <v>0.9271523179</v>
      </c>
      <c r="F90" s="8">
        <f>IFERROR(__xludf.DUMMYFUNCTION("""COMPUTED_VALUE"""),0.562913907284768)</f>
        <v>0.5629139073</v>
      </c>
      <c r="G90" s="8">
        <f>IFERROR(__xludf.DUMMYFUNCTION("""COMPUTED_VALUE"""),0.483443708609271)</f>
        <v>0.4834437086</v>
      </c>
      <c r="H90" s="8">
        <f>IFERROR(__xludf.DUMMYFUNCTION("""COMPUTED_VALUE"""),0.443708609271523)</f>
        <v>0.4437086093</v>
      </c>
      <c r="I90" s="8">
        <f>IFERROR(__xludf.DUMMYFUNCTION("""COMPUTED_VALUE"""),0.417218543046357)</f>
        <v>0.417218543</v>
      </c>
      <c r="J90" s="8">
        <f>IFERROR(__xludf.DUMMYFUNCTION("""COMPUTED_VALUE"""),0.410596026490066)</f>
        <v>0.4105960265</v>
      </c>
      <c r="K90" s="8">
        <f>IFERROR(__xludf.DUMMYFUNCTION("""COMPUTED_VALUE"""),0.390728476821192)</f>
        <v>0.3907284768</v>
      </c>
      <c r="L90" s="8">
        <f>IFERROR(__xludf.DUMMYFUNCTION("""COMPUTED_VALUE"""),0.33774834437086)</f>
        <v>0.3377483444</v>
      </c>
      <c r="M90" s="8">
        <f>IFERROR(__xludf.DUMMYFUNCTION("""COMPUTED_VALUE"""),0.357615894039735)</f>
        <v>0.357615894</v>
      </c>
      <c r="N90" s="8">
        <f>IFERROR(__xludf.DUMMYFUNCTION("""COMPUTED_VALUE"""),0.304635761589404)</f>
        <v>0.3046357616</v>
      </c>
      <c r="O90" s="8">
        <f>IFERROR(__xludf.DUMMYFUNCTION("""COMPUTED_VALUE"""),0.266666666666666)</f>
        <v>0.2666666667</v>
      </c>
      <c r="P90" s="8">
        <f>IFERROR(__xludf.DUMMYFUNCTION("""COMPUTED_VALUE"""),0.213333333333333)</f>
        <v>0.2133333333</v>
      </c>
      <c r="Q90" s="8">
        <f>IFERROR(__xludf.DUMMYFUNCTION("""COMPUTED_VALUE"""),0.0775862068965517)</f>
        <v>0.0775862069</v>
      </c>
      <c r="R90" s="8">
        <f>IFERROR(__xludf.DUMMYFUNCTION("""COMPUTED_VALUE"""),0.0)</f>
        <v>0</v>
      </c>
      <c r="S90" s="8">
        <f>IFERROR(__xludf.DUMMYFUNCTION("""COMPUTED_VALUE"""),0.0)</f>
        <v>0</v>
      </c>
      <c r="T90" s="8">
        <f>IFERROR(__xludf.DUMMYFUNCTION("""COMPUTED_VALUE"""),0.0)</f>
        <v>0</v>
      </c>
      <c r="U90" s="8">
        <f>IFERROR(__xludf.DUMMYFUNCTION("""COMPUTED_VALUE"""),0.0)</f>
        <v>0</v>
      </c>
      <c r="V90" s="8">
        <f>IFERROR(__xludf.DUMMYFUNCTION("""COMPUTED_VALUE"""),0.0)</f>
        <v>0</v>
      </c>
      <c r="W90" s="8">
        <f>IFERROR(__xludf.DUMMYFUNCTION("""COMPUTED_VALUE"""),0.0)</f>
        <v>0</v>
      </c>
      <c r="X90" s="8">
        <f>IFERROR(__xludf.DUMMYFUNCTION("""COMPUTED_VALUE"""),0.0)</f>
        <v>0</v>
      </c>
      <c r="Y90" s="8">
        <f>IFERROR(__xludf.DUMMYFUNCTION("""COMPUTED_VALUE"""),0.0)</f>
        <v>0</v>
      </c>
      <c r="Z90" s="8">
        <f>IFERROR(__xludf.DUMMYFUNCTION("""COMPUTED_VALUE"""),0.0)</f>
        <v>0</v>
      </c>
      <c r="AA90" s="8">
        <f>IFERROR(__xludf.DUMMYFUNCTION("""COMPUTED_VALUE"""),0.0)</f>
        <v>0</v>
      </c>
      <c r="AB90" s="8">
        <f>IFERROR(__xludf.DUMMYFUNCTION("""COMPUTED_VALUE"""),0.0)</f>
        <v>0</v>
      </c>
      <c r="AC90" s="8">
        <f>IFERROR(__xludf.DUMMYFUNCTION("""COMPUTED_VALUE"""),0.0)</f>
        <v>0</v>
      </c>
    </row>
    <row r="91" ht="15.75" customHeight="1">
      <c r="A91" s="6" t="str">
        <f>IFERROR(__xludf.DUMMYFUNCTION("""COMPUTED_VALUE"""),"4d887dec2a071a00150fdcd6417f16bcaf5f02b0")</f>
        <v>4d887dec2a071a00150fdcd6417f16bcaf5f02b0</v>
      </c>
      <c r="B91" s="6" t="str">
        <f>IFERROR(__xludf.DUMMYFUNCTION("""COMPUTED_VALUE"""),"Loving Nathaniel Hawthorne: The Billionaire Playboy")</f>
        <v>Loving Nathaniel Hawthorne: The Billionaire Playboy</v>
      </c>
      <c r="C91" s="6" t="str">
        <f>IFERROR(__xludf.DUMMYFUNCTION("""COMPUTED_VALUE"""),"Romance")</f>
        <v>Romance</v>
      </c>
      <c r="D91" s="17">
        <f>IFERROR(__xludf.DUMMYFUNCTION("""COMPUTED_VALUE"""),7427.0)</f>
        <v>7427</v>
      </c>
      <c r="E91" s="8">
        <f>IFERROR(__xludf.DUMMYFUNCTION("""COMPUTED_VALUE"""),0.920560118486602)</f>
        <v>0.9205601185</v>
      </c>
      <c r="F91" s="8">
        <f>IFERROR(__xludf.DUMMYFUNCTION("""COMPUTED_VALUE"""),0.561422413793103)</f>
        <v>0.5614224138</v>
      </c>
      <c r="G91" s="8">
        <f>IFERROR(__xludf.DUMMYFUNCTION("""COMPUTED_VALUE"""),0.518588362068965)</f>
        <v>0.5185883621</v>
      </c>
      <c r="H91" s="8">
        <f>IFERROR(__xludf.DUMMYFUNCTION("""COMPUTED_VALUE"""),0.494274552067897)</f>
        <v>0.4942745521</v>
      </c>
      <c r="I91" s="8">
        <f>IFERROR(__xludf.DUMMYFUNCTION("""COMPUTED_VALUE"""),0.473726758286176)</f>
        <v>0.4737267583</v>
      </c>
      <c r="J91" s="8">
        <f>IFERROR(__xludf.DUMMYFUNCTION("""COMPUTED_VALUE"""),0.461455525606469)</f>
        <v>0.4614555256</v>
      </c>
      <c r="K91" s="8">
        <f>IFERROR(__xludf.DUMMYFUNCTION("""COMPUTED_VALUE"""),0.445477827200431)</f>
        <v>0.4454778272</v>
      </c>
      <c r="L91" s="8">
        <f>IFERROR(__xludf.DUMMYFUNCTION("""COMPUTED_VALUE"""),0.439320388349514)</f>
        <v>0.4393203883</v>
      </c>
      <c r="M91" s="8">
        <f>IFERROR(__xludf.DUMMYFUNCTION("""COMPUTED_VALUE"""),0.433715441672285)</f>
        <v>0.4337154417</v>
      </c>
      <c r="N91" s="8">
        <f>IFERROR(__xludf.DUMMYFUNCTION("""COMPUTED_VALUE"""),0.42747267575226)</f>
        <v>0.4274726758</v>
      </c>
      <c r="O91" s="8">
        <f>IFERROR(__xludf.DUMMYFUNCTION("""COMPUTED_VALUE"""),0.40402539511009)</f>
        <v>0.4040253951</v>
      </c>
      <c r="P91" s="8">
        <f>IFERROR(__xludf.DUMMYFUNCTION("""COMPUTED_VALUE"""),0.349614395886889)</f>
        <v>0.3496143959</v>
      </c>
      <c r="Q91" s="8">
        <f>IFERROR(__xludf.DUMMYFUNCTION("""COMPUTED_VALUE"""),0.260273972602739)</f>
        <v>0.2602739726</v>
      </c>
      <c r="R91" s="8">
        <f>IFERROR(__xludf.DUMMYFUNCTION("""COMPUTED_VALUE"""),0.207603530210454)</f>
        <v>0.2076035302</v>
      </c>
      <c r="S91" s="8">
        <f>IFERROR(__xludf.DUMMYFUNCTION("""COMPUTED_VALUE"""),0.182905286044299)</f>
        <v>0.182905286</v>
      </c>
      <c r="T91" s="8">
        <f>IFERROR(__xludf.DUMMYFUNCTION("""COMPUTED_VALUE"""),0.169549230559716)</f>
        <v>0.1695492306</v>
      </c>
      <c r="U91" s="8">
        <f>IFERROR(__xludf.DUMMYFUNCTION("""COMPUTED_VALUE"""),0.158907849829351)</f>
        <v>0.1589078498</v>
      </c>
      <c r="V91" s="8">
        <f>IFERROR(__xludf.DUMMYFUNCTION("""COMPUTED_VALUE"""),0.149289772727272)</f>
        <v>0.1492897727</v>
      </c>
      <c r="W91" s="8">
        <f>IFERROR(__xludf.DUMMYFUNCTION("""COMPUTED_VALUE"""),0.136147929962362)</f>
        <v>0.13614793</v>
      </c>
      <c r="X91" s="8">
        <f>IFERROR(__xludf.DUMMYFUNCTION("""COMPUTED_VALUE"""),0.125436255389037)</f>
        <v>0.1254362554</v>
      </c>
      <c r="Y91" s="8">
        <f>IFERROR(__xludf.DUMMYFUNCTION("""COMPUTED_VALUE"""),0.101654846335697)</f>
        <v>0.1016548463</v>
      </c>
      <c r="Z91" s="8">
        <f>IFERROR(__xludf.DUMMYFUNCTION("""COMPUTED_VALUE"""),0.0749824807288016)</f>
        <v>0.07498248073</v>
      </c>
      <c r="AA91" s="8">
        <f>IFERROR(__xludf.DUMMYFUNCTION("""COMPUTED_VALUE"""),0.0)</f>
        <v>0</v>
      </c>
      <c r="AB91" s="8">
        <f>IFERROR(__xludf.DUMMYFUNCTION("""COMPUTED_VALUE"""),0.0)</f>
        <v>0</v>
      </c>
      <c r="AC91" s="8">
        <f>IFERROR(__xludf.DUMMYFUNCTION("""COMPUTED_VALUE"""),0.0)</f>
        <v>0</v>
      </c>
    </row>
    <row r="92" ht="15.75" customHeight="1">
      <c r="A92" s="6" t="str">
        <f>IFERROR(__xludf.DUMMYFUNCTION("""COMPUTED_VALUE"""),"4e3bbfc86993cf8c574bdebca34a49627f4a386a")</f>
        <v>4e3bbfc86993cf8c574bdebca34a49627f4a386a</v>
      </c>
      <c r="B92" s="6" t="str">
        <f>IFERROR(__xludf.DUMMYFUNCTION("""COMPUTED_VALUE"""),"Our Beloved Villains ")</f>
        <v>Our Beloved Villains </v>
      </c>
      <c r="C92" s="6" t="str">
        <f>IFERROR(__xludf.DUMMYFUNCTION("""COMPUTED_VALUE"""),"Fantasy")</f>
        <v>Fantasy</v>
      </c>
      <c r="D92" s="17">
        <f>IFERROR(__xludf.DUMMYFUNCTION("""COMPUTED_VALUE"""),86.0)</f>
        <v>86</v>
      </c>
      <c r="E92" s="8">
        <f>IFERROR(__xludf.DUMMYFUNCTION("""COMPUTED_VALUE"""),0.988372093023255)</f>
        <v>0.988372093</v>
      </c>
      <c r="F92" s="8">
        <f>IFERROR(__xludf.DUMMYFUNCTION("""COMPUTED_VALUE"""),0.476744186046511)</f>
        <v>0.476744186</v>
      </c>
      <c r="G92" s="8">
        <f>IFERROR(__xludf.DUMMYFUNCTION("""COMPUTED_VALUE"""),0.383720930232558)</f>
        <v>0.3837209302</v>
      </c>
      <c r="H92" s="8">
        <f>IFERROR(__xludf.DUMMYFUNCTION("""COMPUTED_VALUE"""),0.321428571428571)</f>
        <v>0.3214285714</v>
      </c>
      <c r="I92" s="8">
        <f>IFERROR(__xludf.DUMMYFUNCTION("""COMPUTED_VALUE"""),0.253012048192771)</f>
        <v>0.2530120482</v>
      </c>
      <c r="J92" s="8">
        <f>IFERROR(__xludf.DUMMYFUNCTION("""COMPUTED_VALUE"""),0.253012048192771)</f>
        <v>0.2530120482</v>
      </c>
      <c r="K92" s="8">
        <f>IFERROR(__xludf.DUMMYFUNCTION("""COMPUTED_VALUE"""),0.204819277108433)</f>
        <v>0.2048192771</v>
      </c>
      <c r="L92" s="8">
        <f>IFERROR(__xludf.DUMMYFUNCTION("""COMPUTED_VALUE"""),0.192771084337349)</f>
        <v>0.1927710843</v>
      </c>
      <c r="M92" s="8">
        <f>IFERROR(__xludf.DUMMYFUNCTION("""COMPUTED_VALUE"""),0.16867469879518)</f>
        <v>0.1686746988</v>
      </c>
      <c r="N92" s="8">
        <f>IFERROR(__xludf.DUMMYFUNCTION("""COMPUTED_VALUE"""),0.144578313253012)</f>
        <v>0.1445783133</v>
      </c>
      <c r="O92" s="8">
        <f>IFERROR(__xludf.DUMMYFUNCTION("""COMPUTED_VALUE"""),0.074074074074074)</f>
        <v>0.07407407407</v>
      </c>
      <c r="P92" s="8">
        <f>IFERROR(__xludf.DUMMYFUNCTION("""COMPUTED_VALUE"""),0.0526315789473684)</f>
        <v>0.05263157895</v>
      </c>
      <c r="Q92" s="8">
        <f>IFERROR(__xludf.DUMMYFUNCTION("""COMPUTED_VALUE"""),0.0)</f>
        <v>0</v>
      </c>
      <c r="R92" s="8">
        <f>IFERROR(__xludf.DUMMYFUNCTION("""COMPUTED_VALUE"""),0.0)</f>
        <v>0</v>
      </c>
      <c r="S92" s="8">
        <f>IFERROR(__xludf.DUMMYFUNCTION("""COMPUTED_VALUE"""),0.0)</f>
        <v>0</v>
      </c>
      <c r="T92" s="8">
        <f>IFERROR(__xludf.DUMMYFUNCTION("""COMPUTED_VALUE"""),0.0)</f>
        <v>0</v>
      </c>
      <c r="U92" s="8">
        <f>IFERROR(__xludf.DUMMYFUNCTION("""COMPUTED_VALUE"""),0.0)</f>
        <v>0</v>
      </c>
      <c r="V92" s="8">
        <f>IFERROR(__xludf.DUMMYFUNCTION("""COMPUTED_VALUE"""),0.0)</f>
        <v>0</v>
      </c>
      <c r="W92" s="8">
        <f>IFERROR(__xludf.DUMMYFUNCTION("""COMPUTED_VALUE"""),0.0)</f>
        <v>0</v>
      </c>
      <c r="X92" s="8">
        <f>IFERROR(__xludf.DUMMYFUNCTION("""COMPUTED_VALUE"""),0.0)</f>
        <v>0</v>
      </c>
      <c r="Y92" s="8">
        <f>IFERROR(__xludf.DUMMYFUNCTION("""COMPUTED_VALUE"""),0.0)</f>
        <v>0</v>
      </c>
      <c r="Z92" s="8">
        <f>IFERROR(__xludf.DUMMYFUNCTION("""COMPUTED_VALUE"""),0.0)</f>
        <v>0</v>
      </c>
      <c r="AA92" s="8">
        <f>IFERROR(__xludf.DUMMYFUNCTION("""COMPUTED_VALUE"""),0.0)</f>
        <v>0</v>
      </c>
      <c r="AB92" s="8">
        <f>IFERROR(__xludf.DUMMYFUNCTION("""COMPUTED_VALUE"""),0.0)</f>
        <v>0</v>
      </c>
      <c r="AC92" s="8">
        <f>IFERROR(__xludf.DUMMYFUNCTION("""COMPUTED_VALUE"""),0.0)</f>
        <v>0</v>
      </c>
    </row>
    <row r="93" ht="15.75" customHeight="1">
      <c r="A93" s="6" t="str">
        <f>IFERROR(__xludf.DUMMYFUNCTION("""COMPUTED_VALUE"""),"4e767fe3eae1eb30991fabcb73be16e9925ab124")</f>
        <v>4e767fe3eae1eb30991fabcb73be16e9925ab124</v>
      </c>
      <c r="B93" s="6" t="str">
        <f>IFERROR(__xludf.DUMMYFUNCTION("""COMPUTED_VALUE"""),"The Ill-Fated Aristocrat")</f>
        <v>The Ill-Fated Aristocrat</v>
      </c>
      <c r="C93" s="6" t="str">
        <f>IFERROR(__xludf.DUMMYFUNCTION("""COMPUTED_VALUE"""),"Romance")</f>
        <v>Romance</v>
      </c>
      <c r="D93" s="17">
        <f>IFERROR(__xludf.DUMMYFUNCTION("""COMPUTED_VALUE"""),778.0)</f>
        <v>778</v>
      </c>
      <c r="E93" s="8">
        <f>IFERROR(__xludf.DUMMYFUNCTION("""COMPUTED_VALUE"""),0.970437017994858)</f>
        <v>0.970437018</v>
      </c>
      <c r="F93" s="8">
        <f>IFERROR(__xludf.DUMMYFUNCTION("""COMPUTED_VALUE"""),0.619663648124191)</f>
        <v>0.6196636481</v>
      </c>
      <c r="G93" s="8">
        <f>IFERROR(__xludf.DUMMYFUNCTION("""COMPUTED_VALUE"""),0.573834196891191)</f>
        <v>0.5738341969</v>
      </c>
      <c r="H93" s="8">
        <f>IFERROR(__xludf.DUMMYFUNCTION("""COMPUTED_VALUE"""),0.518855656697009)</f>
        <v>0.5188556567</v>
      </c>
      <c r="I93" s="8">
        <f>IFERROR(__xludf.DUMMYFUNCTION("""COMPUTED_VALUE"""),0.477864583333333)</f>
        <v>0.4778645833</v>
      </c>
      <c r="J93" s="8">
        <f>IFERROR(__xludf.DUMMYFUNCTION("""COMPUTED_VALUE"""),0.447916666666666)</f>
        <v>0.4479166667</v>
      </c>
      <c r="K93" s="8">
        <f>IFERROR(__xludf.DUMMYFUNCTION("""COMPUTED_VALUE"""),0.434895833333333)</f>
        <v>0.4348958333</v>
      </c>
      <c r="L93" s="8">
        <f>IFERROR(__xludf.DUMMYFUNCTION("""COMPUTED_VALUE"""),0.416666666666666)</f>
        <v>0.4166666667</v>
      </c>
      <c r="M93" s="8">
        <f>IFERROR(__xludf.DUMMYFUNCTION("""COMPUTED_VALUE"""),0.39453125)</f>
        <v>0.39453125</v>
      </c>
      <c r="N93" s="8">
        <f>IFERROR(__xludf.DUMMYFUNCTION("""COMPUTED_VALUE"""),0.380208333333333)</f>
        <v>0.3802083333</v>
      </c>
      <c r="O93" s="8">
        <f>IFERROR(__xludf.DUMMYFUNCTION("""COMPUTED_VALUE"""),0.354628422425032)</f>
        <v>0.3546284224</v>
      </c>
      <c r="P93" s="8">
        <f>IFERROR(__xludf.DUMMYFUNCTION("""COMPUTED_VALUE"""),0.293577981651376)</f>
        <v>0.2935779817</v>
      </c>
      <c r="Q93" s="8">
        <f>IFERROR(__xludf.DUMMYFUNCTION("""COMPUTED_VALUE"""),0.187323943661971)</f>
        <v>0.1873239437</v>
      </c>
      <c r="R93" s="8">
        <f>IFERROR(__xludf.DUMMYFUNCTION("""COMPUTED_VALUE"""),0.118098159509202)</f>
        <v>0.1180981595</v>
      </c>
      <c r="S93" s="8">
        <f>IFERROR(__xludf.DUMMYFUNCTION("""COMPUTED_VALUE"""),0.074074074074074)</f>
        <v>0.07407407407</v>
      </c>
      <c r="T93" s="8">
        <f>IFERROR(__xludf.DUMMYFUNCTION("""COMPUTED_VALUE"""),0.0)</f>
        <v>0</v>
      </c>
      <c r="U93" s="8">
        <f>IFERROR(__xludf.DUMMYFUNCTION("""COMPUTED_VALUE"""),0.0)</f>
        <v>0</v>
      </c>
      <c r="V93" s="8">
        <f>IFERROR(__xludf.DUMMYFUNCTION("""COMPUTED_VALUE"""),0.0)</f>
        <v>0</v>
      </c>
      <c r="W93" s="8">
        <f>IFERROR(__xludf.DUMMYFUNCTION("""COMPUTED_VALUE"""),0.0)</f>
        <v>0</v>
      </c>
      <c r="X93" s="8">
        <f>IFERROR(__xludf.DUMMYFUNCTION("""COMPUTED_VALUE"""),0.0)</f>
        <v>0</v>
      </c>
      <c r="Y93" s="8">
        <f>IFERROR(__xludf.DUMMYFUNCTION("""COMPUTED_VALUE"""),0.0)</f>
        <v>0</v>
      </c>
      <c r="Z93" s="8">
        <f>IFERROR(__xludf.DUMMYFUNCTION("""COMPUTED_VALUE"""),0.0)</f>
        <v>0</v>
      </c>
      <c r="AA93" s="8">
        <f>IFERROR(__xludf.DUMMYFUNCTION("""COMPUTED_VALUE"""),0.0)</f>
        <v>0</v>
      </c>
      <c r="AB93" s="8">
        <f>IFERROR(__xludf.DUMMYFUNCTION("""COMPUTED_VALUE"""),0.0)</f>
        <v>0</v>
      </c>
      <c r="AC93" s="8">
        <f>IFERROR(__xludf.DUMMYFUNCTION("""COMPUTED_VALUE"""),0.0)</f>
        <v>0</v>
      </c>
    </row>
    <row r="94" ht="15.75" customHeight="1">
      <c r="A94" s="6" t="str">
        <f>IFERROR(__xludf.DUMMYFUNCTION("""COMPUTED_VALUE"""),"4e82e5be987e78daa5bb2bb67006b68256170925")</f>
        <v>4e82e5be987e78daa5bb2bb67006b68256170925</v>
      </c>
      <c r="B94" s="6" t="str">
        <f>IFERROR(__xludf.DUMMYFUNCTION("""COMPUTED_VALUE"""),"Machine Invasion")</f>
        <v>Machine Invasion</v>
      </c>
      <c r="C94" s="6" t="str">
        <f>IFERROR(__xludf.DUMMYFUNCTION("""COMPUTED_VALUE"""),"System and Superpower")</f>
        <v>System and Superpower</v>
      </c>
      <c r="D94" s="17">
        <f>IFERROR(__xludf.DUMMYFUNCTION("""COMPUTED_VALUE"""),1740.0)</f>
        <v>1740</v>
      </c>
      <c r="E94" s="8">
        <f>IFERROR(__xludf.DUMMYFUNCTION("""COMPUTED_VALUE"""),0.97471264367816)</f>
        <v>0.9747126437</v>
      </c>
      <c r="F94" s="8">
        <f>IFERROR(__xludf.DUMMYFUNCTION("""COMPUTED_VALUE"""),0.653448275862069)</f>
        <v>0.6534482759</v>
      </c>
      <c r="G94" s="8">
        <f>IFERROR(__xludf.DUMMYFUNCTION("""COMPUTED_VALUE"""),0.605868814729574)</f>
        <v>0.6058688147</v>
      </c>
      <c r="H94" s="8">
        <f>IFERROR(__xludf.DUMMYFUNCTION("""COMPUTED_VALUE"""),0.574798619102416)</f>
        <v>0.5747986191</v>
      </c>
      <c r="I94" s="8">
        <f>IFERROR(__xludf.DUMMYFUNCTION("""COMPUTED_VALUE"""),0.553509781357882)</f>
        <v>0.5535097814</v>
      </c>
      <c r="J94" s="8">
        <f>IFERROR(__xludf.DUMMYFUNCTION("""COMPUTED_VALUE"""),0.528497409326424)</f>
        <v>0.5284974093</v>
      </c>
      <c r="K94" s="8">
        <f>IFERROR(__xludf.DUMMYFUNCTION("""COMPUTED_VALUE"""),0.510650546919977)</f>
        <v>0.5106505469</v>
      </c>
      <c r="L94" s="8">
        <f>IFERROR(__xludf.DUMMYFUNCTION("""COMPUTED_VALUE"""),0.475532527345998)</f>
        <v>0.4755325273</v>
      </c>
      <c r="M94" s="8">
        <f>IFERROR(__xludf.DUMMYFUNCTION("""COMPUTED_VALUE"""),0.469740634005763)</f>
        <v>0.469740634</v>
      </c>
      <c r="N94" s="8">
        <f>IFERROR(__xludf.DUMMYFUNCTION("""COMPUTED_VALUE"""),0.462781304096941)</f>
        <v>0.4627813041</v>
      </c>
      <c r="O94" s="8">
        <f>IFERROR(__xludf.DUMMYFUNCTION("""COMPUTED_VALUE"""),0.423029556650246)</f>
        <v>0.4230295567</v>
      </c>
      <c r="P94" s="8">
        <f>IFERROR(__xludf.DUMMYFUNCTION("""COMPUTED_VALUE"""),0.339928057553956)</f>
        <v>0.3399280576</v>
      </c>
      <c r="Q94" s="8">
        <f>IFERROR(__xludf.DUMMYFUNCTION("""COMPUTED_VALUE"""),0.284444444444444)</f>
        <v>0.2844444444</v>
      </c>
      <c r="R94" s="8">
        <f>IFERROR(__xludf.DUMMYFUNCTION("""COMPUTED_VALUE"""),0.0)</f>
        <v>0</v>
      </c>
      <c r="S94" s="8">
        <f>IFERROR(__xludf.DUMMYFUNCTION("""COMPUTED_VALUE"""),0.0)</f>
        <v>0</v>
      </c>
      <c r="T94" s="8">
        <f>IFERROR(__xludf.DUMMYFUNCTION("""COMPUTED_VALUE"""),0.0)</f>
        <v>0</v>
      </c>
      <c r="U94" s="8">
        <f>IFERROR(__xludf.DUMMYFUNCTION("""COMPUTED_VALUE"""),0.0)</f>
        <v>0</v>
      </c>
      <c r="V94" s="8">
        <f>IFERROR(__xludf.DUMMYFUNCTION("""COMPUTED_VALUE"""),0.0)</f>
        <v>0</v>
      </c>
      <c r="W94" s="8">
        <f>IFERROR(__xludf.DUMMYFUNCTION("""COMPUTED_VALUE"""),0.0)</f>
        <v>0</v>
      </c>
      <c r="X94" s="8">
        <f>IFERROR(__xludf.DUMMYFUNCTION("""COMPUTED_VALUE"""),0.0)</f>
        <v>0</v>
      </c>
      <c r="Y94" s="8">
        <f>IFERROR(__xludf.DUMMYFUNCTION("""COMPUTED_VALUE"""),0.0)</f>
        <v>0</v>
      </c>
      <c r="Z94" s="8">
        <f>IFERROR(__xludf.DUMMYFUNCTION("""COMPUTED_VALUE"""),0.0)</f>
        <v>0</v>
      </c>
      <c r="AA94" s="8">
        <f>IFERROR(__xludf.DUMMYFUNCTION("""COMPUTED_VALUE"""),0.0)</f>
        <v>0</v>
      </c>
      <c r="AB94" s="8">
        <f>IFERROR(__xludf.DUMMYFUNCTION("""COMPUTED_VALUE"""),0.0)</f>
        <v>0</v>
      </c>
      <c r="AC94" s="8">
        <f>IFERROR(__xludf.DUMMYFUNCTION("""COMPUTED_VALUE"""),0.0)</f>
        <v>0</v>
      </c>
    </row>
    <row r="95" ht="15.75" customHeight="1">
      <c r="A95" s="6" t="str">
        <f>IFERROR(__xludf.DUMMYFUNCTION("""COMPUTED_VALUE"""),"4e8fc1ec90ca0e70f873bdd45aea984fc56b5c89")</f>
        <v>4e8fc1ec90ca0e70f873bdd45aea984fc56b5c89</v>
      </c>
      <c r="B95" s="6" t="str">
        <f>IFERROR(__xludf.DUMMYFUNCTION("""COMPUTED_VALUE"""),"When Strangers Say I Do")</f>
        <v>When Strangers Say I Do</v>
      </c>
      <c r="C95" s="6" t="str">
        <f>IFERROR(__xludf.DUMMYFUNCTION("""COMPUTED_VALUE"""),"Drama")</f>
        <v>Drama</v>
      </c>
      <c r="D95" s="17">
        <f>IFERROR(__xludf.DUMMYFUNCTION("""COMPUTED_VALUE"""),445.0)</f>
        <v>445</v>
      </c>
      <c r="E95" s="8">
        <f>IFERROR(__xludf.DUMMYFUNCTION("""COMPUTED_VALUE"""),0.981859410430839)</f>
        <v>0.9818594104</v>
      </c>
      <c r="F95" s="8">
        <f>IFERROR(__xludf.DUMMYFUNCTION("""COMPUTED_VALUE"""),0.466666666666666)</f>
        <v>0.4666666667</v>
      </c>
      <c r="G95" s="8">
        <f>IFERROR(__xludf.DUMMYFUNCTION("""COMPUTED_VALUE"""),0.367205542725173)</f>
        <v>0.3672055427</v>
      </c>
      <c r="H95" s="8">
        <f>IFERROR(__xludf.DUMMYFUNCTION("""COMPUTED_VALUE"""),0.304449648711943)</f>
        <v>0.3044496487</v>
      </c>
      <c r="I95" s="8">
        <f>IFERROR(__xludf.DUMMYFUNCTION("""COMPUTED_VALUE"""),0.26056338028169)</f>
        <v>0.2605633803</v>
      </c>
      <c r="J95" s="8">
        <f>IFERROR(__xludf.DUMMYFUNCTION("""COMPUTED_VALUE"""),0.238095238095238)</f>
        <v>0.2380952381</v>
      </c>
      <c r="K95" s="8">
        <f>IFERROR(__xludf.DUMMYFUNCTION("""COMPUTED_VALUE"""),0.231503579952267)</f>
        <v>0.23150358</v>
      </c>
      <c r="L95" s="8">
        <f>IFERROR(__xludf.DUMMYFUNCTION("""COMPUTED_VALUE"""),0.22463768115942)</f>
        <v>0.2246376812</v>
      </c>
      <c r="M95" s="8">
        <f>IFERROR(__xludf.DUMMYFUNCTION("""COMPUTED_VALUE"""),0.206812652068126)</f>
        <v>0.2068126521</v>
      </c>
      <c r="N95" s="8">
        <f>IFERROR(__xludf.DUMMYFUNCTION("""COMPUTED_VALUE"""),0.182266009852216)</f>
        <v>0.1822660099</v>
      </c>
      <c r="O95" s="8">
        <f>IFERROR(__xludf.DUMMYFUNCTION("""COMPUTED_VALUE"""),0.143646408839779)</f>
        <v>0.1436464088</v>
      </c>
      <c r="P95" s="8">
        <f>IFERROR(__xludf.DUMMYFUNCTION("""COMPUTED_VALUE"""),0.16)</f>
        <v>0.16</v>
      </c>
      <c r="Q95" s="8">
        <f>IFERROR(__xludf.DUMMYFUNCTION("""COMPUTED_VALUE"""),0.0854700854700854)</f>
        <v>0.08547008547</v>
      </c>
      <c r="R95" s="8">
        <f>IFERROR(__xludf.DUMMYFUNCTION("""COMPUTED_VALUE"""),0.0)</f>
        <v>0</v>
      </c>
      <c r="S95" s="8">
        <f>IFERROR(__xludf.DUMMYFUNCTION("""COMPUTED_VALUE"""),0.0)</f>
        <v>0</v>
      </c>
      <c r="T95" s="8">
        <f>IFERROR(__xludf.DUMMYFUNCTION("""COMPUTED_VALUE"""),0.0)</f>
        <v>0</v>
      </c>
      <c r="U95" s="8">
        <f>IFERROR(__xludf.DUMMYFUNCTION("""COMPUTED_VALUE"""),0.0)</f>
        <v>0</v>
      </c>
      <c r="V95" s="8">
        <f>IFERROR(__xludf.DUMMYFUNCTION("""COMPUTED_VALUE"""),0.0)</f>
        <v>0</v>
      </c>
      <c r="W95" s="8">
        <f>IFERROR(__xludf.DUMMYFUNCTION("""COMPUTED_VALUE"""),0.0)</f>
        <v>0</v>
      </c>
      <c r="X95" s="8">
        <f>IFERROR(__xludf.DUMMYFUNCTION("""COMPUTED_VALUE"""),0.0)</f>
        <v>0</v>
      </c>
      <c r="Y95" s="8">
        <f>IFERROR(__xludf.DUMMYFUNCTION("""COMPUTED_VALUE"""),0.0)</f>
        <v>0</v>
      </c>
      <c r="Z95" s="8">
        <f>IFERROR(__xludf.DUMMYFUNCTION("""COMPUTED_VALUE"""),0.0)</f>
        <v>0</v>
      </c>
      <c r="AA95" s="8">
        <f>IFERROR(__xludf.DUMMYFUNCTION("""COMPUTED_VALUE"""),0.0)</f>
        <v>0</v>
      </c>
      <c r="AB95" s="8">
        <f>IFERROR(__xludf.DUMMYFUNCTION("""COMPUTED_VALUE"""),0.0)</f>
        <v>0</v>
      </c>
      <c r="AC95" s="8">
        <f>IFERROR(__xludf.DUMMYFUNCTION("""COMPUTED_VALUE"""),0.0)</f>
        <v>0</v>
      </c>
    </row>
    <row r="96" ht="15.75" customHeight="1">
      <c r="A96" s="6" t="str">
        <f>IFERROR(__xludf.DUMMYFUNCTION("""COMPUTED_VALUE"""),"4ef829b74ddfb2f550d1c5ceb22a6d68f5936dff")</f>
        <v>4ef829b74ddfb2f550d1c5ceb22a6d68f5936dff</v>
      </c>
      <c r="B96" s="6" t="str">
        <f>IFERROR(__xludf.DUMMYFUNCTION("""COMPUTED_VALUE"""),"The Mad Alpha’s True Luna")</f>
        <v>The Mad Alpha’s True Luna</v>
      </c>
      <c r="C96" s="6" t="str">
        <f>IFERROR(__xludf.DUMMYFUNCTION("""COMPUTED_VALUE"""),"Romantasy")</f>
        <v>Romantasy</v>
      </c>
      <c r="D96" s="17">
        <f>IFERROR(__xludf.DUMMYFUNCTION("""COMPUTED_VALUE"""),628.0)</f>
        <v>628</v>
      </c>
      <c r="E96" s="8">
        <f>IFERROR(__xludf.DUMMYFUNCTION("""COMPUTED_VALUE"""),0.975961538461538)</f>
        <v>0.9759615385</v>
      </c>
      <c r="F96" s="8">
        <f>IFERROR(__xludf.DUMMYFUNCTION("""COMPUTED_VALUE"""),0.681898066783831)</f>
        <v>0.6818980668</v>
      </c>
      <c r="G96" s="8">
        <f>IFERROR(__xludf.DUMMYFUNCTION("""COMPUTED_VALUE"""),0.587991718426501)</f>
        <v>0.5879917184</v>
      </c>
      <c r="H96" s="8">
        <f>IFERROR(__xludf.DUMMYFUNCTION("""COMPUTED_VALUE"""),0.552429667519181)</f>
        <v>0.5524296675</v>
      </c>
      <c r="I96" s="8">
        <f>IFERROR(__xludf.DUMMYFUNCTION("""COMPUTED_VALUE"""),0.55)</f>
        <v>0.55</v>
      </c>
      <c r="J96" s="8">
        <f>IFERROR(__xludf.DUMMYFUNCTION("""COMPUTED_VALUE"""),0.522388059701492)</f>
        <v>0.5223880597</v>
      </c>
      <c r="K96" s="8">
        <f>IFERROR(__xludf.DUMMYFUNCTION("""COMPUTED_VALUE"""),0.545454545454545)</f>
        <v>0.5454545455</v>
      </c>
      <c r="L96" s="8">
        <f>IFERROR(__xludf.DUMMYFUNCTION("""COMPUTED_VALUE"""),0.545454545454545)</f>
        <v>0.5454545455</v>
      </c>
      <c r="M96" s="8">
        <f>IFERROR(__xludf.DUMMYFUNCTION("""COMPUTED_VALUE"""),0.46875)</f>
        <v>0.46875</v>
      </c>
      <c r="N96" s="8">
        <f>IFERROR(__xludf.DUMMYFUNCTION("""COMPUTED_VALUE"""),0.5)</f>
        <v>0.5</v>
      </c>
      <c r="O96" s="8">
        <f>IFERROR(__xludf.DUMMYFUNCTION("""COMPUTED_VALUE"""),0.448275862068965)</f>
        <v>0.4482758621</v>
      </c>
      <c r="P96" s="8">
        <f>IFERROR(__xludf.DUMMYFUNCTION("""COMPUTED_VALUE"""),0.357142857142857)</f>
        <v>0.3571428571</v>
      </c>
      <c r="Q96" s="8">
        <f>IFERROR(__xludf.DUMMYFUNCTION("""COMPUTED_VALUE"""),0.0)</f>
        <v>0</v>
      </c>
      <c r="R96" s="8">
        <f>IFERROR(__xludf.DUMMYFUNCTION("""COMPUTED_VALUE"""),0.0)</f>
        <v>0</v>
      </c>
      <c r="S96" s="8">
        <f>IFERROR(__xludf.DUMMYFUNCTION("""COMPUTED_VALUE"""),0.0)</f>
        <v>0</v>
      </c>
      <c r="T96" s="8">
        <f>IFERROR(__xludf.DUMMYFUNCTION("""COMPUTED_VALUE"""),0.0)</f>
        <v>0</v>
      </c>
      <c r="U96" s="8">
        <f>IFERROR(__xludf.DUMMYFUNCTION("""COMPUTED_VALUE"""),0.0)</f>
        <v>0</v>
      </c>
      <c r="V96" s="8">
        <f>IFERROR(__xludf.DUMMYFUNCTION("""COMPUTED_VALUE"""),0.0)</f>
        <v>0</v>
      </c>
      <c r="W96" s="8">
        <f>IFERROR(__xludf.DUMMYFUNCTION("""COMPUTED_VALUE"""),0.0)</f>
        <v>0</v>
      </c>
      <c r="X96" s="8">
        <f>IFERROR(__xludf.DUMMYFUNCTION("""COMPUTED_VALUE"""),0.0)</f>
        <v>0</v>
      </c>
      <c r="Y96" s="8">
        <f>IFERROR(__xludf.DUMMYFUNCTION("""COMPUTED_VALUE"""),0.0)</f>
        <v>0</v>
      </c>
      <c r="Z96" s="8">
        <f>IFERROR(__xludf.DUMMYFUNCTION("""COMPUTED_VALUE"""),0.0)</f>
        <v>0</v>
      </c>
      <c r="AA96" s="8">
        <f>IFERROR(__xludf.DUMMYFUNCTION("""COMPUTED_VALUE"""),0.0)</f>
        <v>0</v>
      </c>
      <c r="AB96" s="8">
        <f>IFERROR(__xludf.DUMMYFUNCTION("""COMPUTED_VALUE"""),0.0)</f>
        <v>0</v>
      </c>
      <c r="AC96" s="8">
        <f>IFERROR(__xludf.DUMMYFUNCTION("""COMPUTED_VALUE"""),0.0)</f>
        <v>0</v>
      </c>
    </row>
    <row r="97" ht="15.75" customHeight="1">
      <c r="A97" s="6" t="str">
        <f>IFERROR(__xludf.DUMMYFUNCTION("""COMPUTED_VALUE"""),"4fed71af64877bcaf79252f171bf022a3b80e926")</f>
        <v>4fed71af64877bcaf79252f171bf022a3b80e926</v>
      </c>
      <c r="B97" s="6" t="str">
        <f>IFERROR(__xludf.DUMMYFUNCTION("""COMPUTED_VALUE"""),"Doomsday Hoarder")</f>
        <v>Doomsday Hoarder</v>
      </c>
      <c r="C97" s="6" t="str">
        <f>IFERROR(__xludf.DUMMYFUNCTION("""COMPUTED_VALUE"""),"Fantasy")</f>
        <v>Fantasy</v>
      </c>
      <c r="D97" s="17">
        <f>IFERROR(__xludf.DUMMYFUNCTION("""COMPUTED_VALUE"""),37.0)</f>
        <v>37</v>
      </c>
      <c r="E97" s="8">
        <f>IFERROR(__xludf.DUMMYFUNCTION("""COMPUTED_VALUE"""),0.918918918918919)</f>
        <v>0.9189189189</v>
      </c>
      <c r="F97" s="8">
        <f>IFERROR(__xludf.DUMMYFUNCTION("""COMPUTED_VALUE"""),0.675675675675675)</f>
        <v>0.6756756757</v>
      </c>
      <c r="G97" s="8">
        <f>IFERROR(__xludf.DUMMYFUNCTION("""COMPUTED_VALUE"""),0.648648648648648)</f>
        <v>0.6486486486</v>
      </c>
      <c r="H97" s="8">
        <f>IFERROR(__xludf.DUMMYFUNCTION("""COMPUTED_VALUE"""),0.648648648648648)</f>
        <v>0.6486486486</v>
      </c>
      <c r="I97" s="8">
        <f>IFERROR(__xludf.DUMMYFUNCTION("""COMPUTED_VALUE"""),0.648648648648648)</f>
        <v>0.6486486486</v>
      </c>
      <c r="J97" s="8">
        <f>IFERROR(__xludf.DUMMYFUNCTION("""COMPUTED_VALUE"""),0.621621621621621)</f>
        <v>0.6216216216</v>
      </c>
      <c r="K97" s="8">
        <f>IFERROR(__xludf.DUMMYFUNCTION("""COMPUTED_VALUE"""),0.621621621621621)</f>
        <v>0.6216216216</v>
      </c>
      <c r="L97" s="8">
        <f>IFERROR(__xludf.DUMMYFUNCTION("""COMPUTED_VALUE"""),0.594594594594594)</f>
        <v>0.5945945946</v>
      </c>
      <c r="M97" s="8">
        <f>IFERROR(__xludf.DUMMYFUNCTION("""COMPUTED_VALUE"""),0.567567567567567)</f>
        <v>0.5675675676</v>
      </c>
      <c r="N97" s="8">
        <f>IFERROR(__xludf.DUMMYFUNCTION("""COMPUTED_VALUE"""),0.54054054054054)</f>
        <v>0.5405405405</v>
      </c>
      <c r="O97" s="8">
        <f>IFERROR(__xludf.DUMMYFUNCTION("""COMPUTED_VALUE"""),0.405405405405405)</f>
        <v>0.4054054054</v>
      </c>
      <c r="P97" s="8">
        <f>IFERROR(__xludf.DUMMYFUNCTION("""COMPUTED_VALUE"""),0.333333333333333)</f>
        <v>0.3333333333</v>
      </c>
      <c r="Q97" s="8">
        <f>IFERROR(__xludf.DUMMYFUNCTION("""COMPUTED_VALUE"""),0.228571428571428)</f>
        <v>0.2285714286</v>
      </c>
      <c r="R97" s="8">
        <f>IFERROR(__xludf.DUMMYFUNCTION("""COMPUTED_VALUE"""),0.0)</f>
        <v>0</v>
      </c>
      <c r="S97" s="8">
        <f>IFERROR(__xludf.DUMMYFUNCTION("""COMPUTED_VALUE"""),0.0)</f>
        <v>0</v>
      </c>
      <c r="T97" s="8">
        <f>IFERROR(__xludf.DUMMYFUNCTION("""COMPUTED_VALUE"""),0.0)</f>
        <v>0</v>
      </c>
      <c r="U97" s="8">
        <f>IFERROR(__xludf.DUMMYFUNCTION("""COMPUTED_VALUE"""),0.0)</f>
        <v>0</v>
      </c>
      <c r="V97" s="8">
        <f>IFERROR(__xludf.DUMMYFUNCTION("""COMPUTED_VALUE"""),0.0)</f>
        <v>0</v>
      </c>
      <c r="W97" s="8">
        <f>IFERROR(__xludf.DUMMYFUNCTION("""COMPUTED_VALUE"""),0.0)</f>
        <v>0</v>
      </c>
      <c r="X97" s="8">
        <f>IFERROR(__xludf.DUMMYFUNCTION("""COMPUTED_VALUE"""),0.0)</f>
        <v>0</v>
      </c>
      <c r="Y97" s="8">
        <f>IFERROR(__xludf.DUMMYFUNCTION("""COMPUTED_VALUE"""),0.0)</f>
        <v>0</v>
      </c>
      <c r="Z97" s="8">
        <f>IFERROR(__xludf.DUMMYFUNCTION("""COMPUTED_VALUE"""),0.0)</f>
        <v>0</v>
      </c>
      <c r="AA97" s="8">
        <f>IFERROR(__xludf.DUMMYFUNCTION("""COMPUTED_VALUE"""),0.0)</f>
        <v>0</v>
      </c>
      <c r="AB97" s="8">
        <f>IFERROR(__xludf.DUMMYFUNCTION("""COMPUTED_VALUE"""),0.0)</f>
        <v>0</v>
      </c>
      <c r="AC97" s="8">
        <f>IFERROR(__xludf.DUMMYFUNCTION("""COMPUTED_VALUE"""),0.0)</f>
        <v>0</v>
      </c>
    </row>
    <row r="98" ht="15.75" customHeight="1">
      <c r="A98" s="6" t="str">
        <f>IFERROR(__xludf.DUMMYFUNCTION("""COMPUTED_VALUE"""),"514efd834428337923e640a1254ea9d7477b18b3")</f>
        <v>514efd834428337923e640a1254ea9d7477b18b3</v>
      </c>
      <c r="B98" s="6" t="str">
        <f>IFERROR(__xludf.DUMMYFUNCTION("""COMPUTED_VALUE"""),"Bride of a Dragon")</f>
        <v>Bride of a Dragon</v>
      </c>
      <c r="C98" s="6" t="str">
        <f>IFERROR(__xludf.DUMMYFUNCTION("""COMPUTED_VALUE"""),"Romantasy")</f>
        <v>Romantasy</v>
      </c>
      <c r="D98" s="17">
        <f>IFERROR(__xludf.DUMMYFUNCTION("""COMPUTED_VALUE"""),4058.0)</f>
        <v>4058</v>
      </c>
      <c r="E98" s="8">
        <f>IFERROR(__xludf.DUMMYFUNCTION("""COMPUTED_VALUE"""),0.949420182580804)</f>
        <v>0.9494201826</v>
      </c>
      <c r="F98" s="8">
        <f>IFERROR(__xludf.DUMMYFUNCTION("""COMPUTED_VALUE"""),0.687902825979177)</f>
        <v>0.687902826</v>
      </c>
      <c r="G98" s="8">
        <f>IFERROR(__xludf.DUMMYFUNCTION("""COMPUTED_VALUE"""),0.648722401389233)</f>
        <v>0.6487224014</v>
      </c>
      <c r="H98" s="8">
        <f>IFERROR(__xludf.DUMMYFUNCTION("""COMPUTED_VALUE"""),0.609052474508828)</f>
        <v>0.6090524745</v>
      </c>
      <c r="I98" s="8">
        <f>IFERROR(__xludf.DUMMYFUNCTION("""COMPUTED_VALUE"""),0.592869608576414)</f>
        <v>0.5928696086</v>
      </c>
      <c r="J98" s="8">
        <f>IFERROR(__xludf.DUMMYFUNCTION("""COMPUTED_VALUE"""),0.565532766383191)</f>
        <v>0.5655327664</v>
      </c>
      <c r="K98" s="8">
        <f>IFERROR(__xludf.DUMMYFUNCTION("""COMPUTED_VALUE"""),0.556223390934134)</f>
        <v>0.5562233909</v>
      </c>
      <c r="L98" s="8">
        <f>IFERROR(__xludf.DUMMYFUNCTION("""COMPUTED_VALUE"""),0.538964303670186)</f>
        <v>0.5389643037</v>
      </c>
      <c r="M98" s="8">
        <f>IFERROR(__xludf.DUMMYFUNCTION("""COMPUTED_VALUE"""),0.526819440946864)</f>
        <v>0.5268194409</v>
      </c>
      <c r="N98" s="8">
        <f>IFERROR(__xludf.DUMMYFUNCTION("""COMPUTED_VALUE"""),0.516439049064238)</f>
        <v>0.5164390491</v>
      </c>
      <c r="O98" s="8">
        <f>IFERROR(__xludf.DUMMYFUNCTION("""COMPUTED_VALUE"""),0.472623966942148)</f>
        <v>0.4726239669</v>
      </c>
      <c r="P98" s="8">
        <f>IFERROR(__xludf.DUMMYFUNCTION("""COMPUTED_VALUE"""),0.438772811425548)</f>
        <v>0.4387728114</v>
      </c>
      <c r="Q98" s="8">
        <f>IFERROR(__xludf.DUMMYFUNCTION("""COMPUTED_VALUE"""),0.39374185136897)</f>
        <v>0.3937418514</v>
      </c>
      <c r="R98" s="8">
        <f>IFERROR(__xludf.DUMMYFUNCTION("""COMPUTED_VALUE"""),0.360532407407407)</f>
        <v>0.3605324074</v>
      </c>
      <c r="S98" s="8">
        <f>IFERROR(__xludf.DUMMYFUNCTION("""COMPUTED_VALUE"""),0.297066014669926)</f>
        <v>0.2970660147</v>
      </c>
      <c r="T98" s="8">
        <f>IFERROR(__xludf.DUMMYFUNCTION("""COMPUTED_VALUE"""),0.127753303964757)</f>
        <v>0.127753304</v>
      </c>
      <c r="U98" s="8">
        <f>IFERROR(__xludf.DUMMYFUNCTION("""COMPUTED_VALUE"""),0.0666666666666666)</f>
        <v>0.06666666667</v>
      </c>
      <c r="V98" s="8">
        <f>IFERROR(__xludf.DUMMYFUNCTION("""COMPUTED_VALUE"""),0.0)</f>
        <v>0</v>
      </c>
      <c r="W98" s="8">
        <f>IFERROR(__xludf.DUMMYFUNCTION("""COMPUTED_VALUE"""),0.0)</f>
        <v>0</v>
      </c>
      <c r="X98" s="8">
        <f>IFERROR(__xludf.DUMMYFUNCTION("""COMPUTED_VALUE"""),0.0)</f>
        <v>0</v>
      </c>
      <c r="Y98" s="8">
        <f>IFERROR(__xludf.DUMMYFUNCTION("""COMPUTED_VALUE"""),0.0)</f>
        <v>0</v>
      </c>
      <c r="Z98" s="8">
        <f>IFERROR(__xludf.DUMMYFUNCTION("""COMPUTED_VALUE"""),0.0)</f>
        <v>0</v>
      </c>
      <c r="AA98" s="8">
        <f>IFERROR(__xludf.DUMMYFUNCTION("""COMPUTED_VALUE"""),0.0)</f>
        <v>0</v>
      </c>
      <c r="AB98" s="8">
        <f>IFERROR(__xludf.DUMMYFUNCTION("""COMPUTED_VALUE"""),0.0)</f>
        <v>0</v>
      </c>
      <c r="AC98" s="8">
        <f>IFERROR(__xludf.DUMMYFUNCTION("""COMPUTED_VALUE"""),0.0)</f>
        <v>0</v>
      </c>
    </row>
    <row r="99" ht="15.75" customHeight="1">
      <c r="A99" s="6" t="str">
        <f>IFERROR(__xludf.DUMMYFUNCTION("""COMPUTED_VALUE"""),"5269f35d5665dd7c25aa81eac9fa9e452b693897")</f>
        <v>5269f35d5665dd7c25aa81eac9fa9e452b693897</v>
      </c>
      <c r="B99" s="6" t="str">
        <f>IFERROR(__xludf.DUMMYFUNCTION("""COMPUTED_VALUE"""),"Her Royal Vampire")</f>
        <v>Her Royal Vampire</v>
      </c>
      <c r="C99" s="6" t="str">
        <f>IFERROR(__xludf.DUMMYFUNCTION("""COMPUTED_VALUE"""),"Romantasy")</f>
        <v>Romantasy</v>
      </c>
      <c r="D99" s="17">
        <f>IFERROR(__xludf.DUMMYFUNCTION("""COMPUTED_VALUE"""),1237.0)</f>
        <v>1237</v>
      </c>
      <c r="E99" s="8">
        <f>IFERROR(__xludf.DUMMYFUNCTION("""COMPUTED_VALUE"""),0.965238480194017)</f>
        <v>0.9652384802</v>
      </c>
      <c r="F99" s="8">
        <f>IFERROR(__xludf.DUMMYFUNCTION("""COMPUTED_VALUE"""),0.639676113360323)</f>
        <v>0.6396761134</v>
      </c>
      <c r="G99" s="8">
        <f>IFERROR(__xludf.DUMMYFUNCTION("""COMPUTED_VALUE"""),0.575708502024291)</f>
        <v>0.575708502</v>
      </c>
      <c r="H99" s="8">
        <f>IFERROR(__xludf.DUMMYFUNCTION("""COMPUTED_VALUE"""),0.53160453808752)</f>
        <v>0.5316045381</v>
      </c>
      <c r="I99" s="8">
        <f>IFERROR(__xludf.DUMMYFUNCTION("""COMPUTED_VALUE"""),0.49633848657445)</f>
        <v>0.4963384866</v>
      </c>
      <c r="J99" s="8">
        <f>IFERROR(__xludf.DUMMYFUNCTION("""COMPUTED_VALUE"""),0.477587612061939)</f>
        <v>0.4775876121</v>
      </c>
      <c r="K99" s="8">
        <f>IFERROR(__xludf.DUMMYFUNCTION("""COMPUTED_VALUE"""),0.466557911908646)</f>
        <v>0.4665579119</v>
      </c>
      <c r="L99" s="8">
        <f>IFERROR(__xludf.DUMMYFUNCTION("""COMPUTED_VALUE"""),0.453802125919869)</f>
        <v>0.4538021259</v>
      </c>
      <c r="M99" s="8">
        <f>IFERROR(__xludf.DUMMYFUNCTION("""COMPUTED_VALUE"""),0.442986054142739)</f>
        <v>0.4429860541</v>
      </c>
      <c r="N99" s="8">
        <f>IFERROR(__xludf.DUMMYFUNCTION("""COMPUTED_VALUE"""),0.423171733771569)</f>
        <v>0.4231717338</v>
      </c>
      <c r="O99" s="8">
        <f>IFERROR(__xludf.DUMMYFUNCTION("""COMPUTED_VALUE"""),0.375779162956366)</f>
        <v>0.375779163</v>
      </c>
      <c r="P99" s="8">
        <f>IFERROR(__xludf.DUMMYFUNCTION("""COMPUTED_VALUE"""),0.286764705882352)</f>
        <v>0.2867647059</v>
      </c>
      <c r="Q99" s="8">
        <f>IFERROR(__xludf.DUMMYFUNCTION("""COMPUTED_VALUE"""),0.193033381712627)</f>
        <v>0.1930333817</v>
      </c>
      <c r="R99" s="8">
        <f>IFERROR(__xludf.DUMMYFUNCTION("""COMPUTED_VALUE"""),0.114197530864197)</f>
        <v>0.1141975309</v>
      </c>
      <c r="S99" s="8">
        <f>IFERROR(__xludf.DUMMYFUNCTION("""COMPUTED_VALUE"""),0.0952380952380952)</f>
        <v>0.09523809524</v>
      </c>
      <c r="T99" s="8">
        <f>IFERROR(__xludf.DUMMYFUNCTION("""COMPUTED_VALUE"""),0.0425531914893617)</f>
        <v>0.04255319149</v>
      </c>
      <c r="U99" s="8">
        <f>IFERROR(__xludf.DUMMYFUNCTION("""COMPUTED_VALUE"""),0.0)</f>
        <v>0</v>
      </c>
      <c r="V99" s="8">
        <f>IFERROR(__xludf.DUMMYFUNCTION("""COMPUTED_VALUE"""),0.0)</f>
        <v>0</v>
      </c>
      <c r="W99" s="8">
        <f>IFERROR(__xludf.DUMMYFUNCTION("""COMPUTED_VALUE"""),0.0)</f>
        <v>0</v>
      </c>
      <c r="X99" s="8">
        <f>IFERROR(__xludf.DUMMYFUNCTION("""COMPUTED_VALUE"""),0.0)</f>
        <v>0</v>
      </c>
      <c r="Y99" s="8">
        <f>IFERROR(__xludf.DUMMYFUNCTION("""COMPUTED_VALUE"""),0.0)</f>
        <v>0</v>
      </c>
      <c r="Z99" s="8">
        <f>IFERROR(__xludf.DUMMYFUNCTION("""COMPUTED_VALUE"""),0.0)</f>
        <v>0</v>
      </c>
      <c r="AA99" s="8">
        <f>IFERROR(__xludf.DUMMYFUNCTION("""COMPUTED_VALUE"""),0.0)</f>
        <v>0</v>
      </c>
      <c r="AB99" s="8">
        <f>IFERROR(__xludf.DUMMYFUNCTION("""COMPUTED_VALUE"""),0.0)</f>
        <v>0</v>
      </c>
      <c r="AC99" s="8">
        <f>IFERROR(__xludf.DUMMYFUNCTION("""COMPUTED_VALUE"""),0.0)</f>
        <v>0</v>
      </c>
    </row>
    <row r="100" ht="15.75" customHeight="1">
      <c r="A100" s="6" t="str">
        <f>IFERROR(__xludf.DUMMYFUNCTION("""COMPUTED_VALUE"""),"5276da779c8fe48836102d34eea2143d4421865c")</f>
        <v>5276da779c8fe48836102d34eea2143d4421865c</v>
      </c>
      <c r="B100" s="6" t="str">
        <f>IFERROR(__xludf.DUMMYFUNCTION("""COMPUTED_VALUE"""),"The Single Father's Surrender")</f>
        <v>The Single Father's Surrender</v>
      </c>
      <c r="C100" s="6" t="str">
        <f>IFERROR(__xludf.DUMMYFUNCTION("""COMPUTED_VALUE"""),"Romance")</f>
        <v>Romance</v>
      </c>
      <c r="D100" s="17">
        <f>IFERROR(__xludf.DUMMYFUNCTION("""COMPUTED_VALUE"""),481.0)</f>
        <v>481</v>
      </c>
      <c r="E100" s="8">
        <f>IFERROR(__xludf.DUMMYFUNCTION("""COMPUTED_VALUE"""),0.970711297071129)</f>
        <v>0.9707112971</v>
      </c>
      <c r="F100" s="8">
        <f>IFERROR(__xludf.DUMMYFUNCTION("""COMPUTED_VALUE"""),0.643312101910828)</f>
        <v>0.6433121019</v>
      </c>
      <c r="G100" s="8">
        <f>IFERROR(__xludf.DUMMYFUNCTION("""COMPUTED_VALUE"""),0.550537634408602)</f>
        <v>0.5505376344</v>
      </c>
      <c r="H100" s="8">
        <f>IFERROR(__xludf.DUMMYFUNCTION("""COMPUTED_VALUE"""),0.507625272331154)</f>
        <v>0.5076252723</v>
      </c>
      <c r="I100" s="8">
        <f>IFERROR(__xludf.DUMMYFUNCTION("""COMPUTED_VALUE"""),0.489977728285077)</f>
        <v>0.4899777283</v>
      </c>
      <c r="J100" s="8">
        <f>IFERROR(__xludf.DUMMYFUNCTION("""COMPUTED_VALUE"""),0.472850678733031)</f>
        <v>0.4728506787</v>
      </c>
      <c r="K100" s="8">
        <f>IFERROR(__xludf.DUMMYFUNCTION("""COMPUTED_VALUE"""),0.437357630979498)</f>
        <v>0.437357631</v>
      </c>
      <c r="L100" s="8">
        <f>IFERROR(__xludf.DUMMYFUNCTION("""COMPUTED_VALUE"""),0.433255269320843)</f>
        <v>0.4332552693</v>
      </c>
      <c r="M100" s="8">
        <f>IFERROR(__xludf.DUMMYFUNCTION("""COMPUTED_VALUE"""),0.392682926829268)</f>
        <v>0.3926829268</v>
      </c>
      <c r="N100" s="8">
        <f>IFERROR(__xludf.DUMMYFUNCTION("""COMPUTED_VALUE"""),0.39010989010989)</f>
        <v>0.3901098901</v>
      </c>
      <c r="O100" s="8">
        <f>IFERROR(__xludf.DUMMYFUNCTION("""COMPUTED_VALUE"""),0.47191011235955)</f>
        <v>0.4719101124</v>
      </c>
      <c r="P100" s="8">
        <f>IFERROR(__xludf.DUMMYFUNCTION("""COMPUTED_VALUE"""),0.266666666666666)</f>
        <v>0.2666666667</v>
      </c>
      <c r="Q100" s="8">
        <f>IFERROR(__xludf.DUMMYFUNCTION("""COMPUTED_VALUE"""),0.115384615384615)</f>
        <v>0.1153846154</v>
      </c>
      <c r="R100" s="8">
        <f>IFERROR(__xludf.DUMMYFUNCTION("""COMPUTED_VALUE"""),0.0)</f>
        <v>0</v>
      </c>
      <c r="S100" s="8">
        <f>IFERROR(__xludf.DUMMYFUNCTION("""COMPUTED_VALUE"""),0.0)</f>
        <v>0</v>
      </c>
      <c r="T100" s="8">
        <f>IFERROR(__xludf.DUMMYFUNCTION("""COMPUTED_VALUE"""),0.0)</f>
        <v>0</v>
      </c>
      <c r="U100" s="8">
        <f>IFERROR(__xludf.DUMMYFUNCTION("""COMPUTED_VALUE"""),0.0)</f>
        <v>0</v>
      </c>
      <c r="V100" s="8">
        <f>IFERROR(__xludf.DUMMYFUNCTION("""COMPUTED_VALUE"""),0.0)</f>
        <v>0</v>
      </c>
      <c r="W100" s="8">
        <f>IFERROR(__xludf.DUMMYFUNCTION("""COMPUTED_VALUE"""),0.0)</f>
        <v>0</v>
      </c>
      <c r="X100" s="8">
        <f>IFERROR(__xludf.DUMMYFUNCTION("""COMPUTED_VALUE"""),0.0)</f>
        <v>0</v>
      </c>
      <c r="Y100" s="8">
        <f>IFERROR(__xludf.DUMMYFUNCTION("""COMPUTED_VALUE"""),0.0)</f>
        <v>0</v>
      </c>
      <c r="Z100" s="8">
        <f>IFERROR(__xludf.DUMMYFUNCTION("""COMPUTED_VALUE"""),0.0)</f>
        <v>0</v>
      </c>
      <c r="AA100" s="8">
        <f>IFERROR(__xludf.DUMMYFUNCTION("""COMPUTED_VALUE"""),0.0)</f>
        <v>0</v>
      </c>
      <c r="AB100" s="8">
        <f>IFERROR(__xludf.DUMMYFUNCTION("""COMPUTED_VALUE"""),0.0)</f>
        <v>0</v>
      </c>
      <c r="AC100" s="8">
        <f>IFERROR(__xludf.DUMMYFUNCTION("""COMPUTED_VALUE"""),0.0)</f>
        <v>0</v>
      </c>
    </row>
    <row r="101" ht="15.75" customHeight="1">
      <c r="A101" s="6" t="str">
        <f>IFERROR(__xludf.DUMMYFUNCTION("""COMPUTED_VALUE"""),"53bd90147df4228136243c0a218345e3a338b8c1")</f>
        <v>53bd90147df4228136243c0a218345e3a338b8c1</v>
      </c>
      <c r="B101" s="6" t="str">
        <f>IFERROR(__xludf.DUMMYFUNCTION("""COMPUTED_VALUE"""),"His Abandoned Wife")</f>
        <v>His Abandoned Wife</v>
      </c>
      <c r="C101" s="6" t="str">
        <f>IFERROR(__xludf.DUMMYFUNCTION("""COMPUTED_VALUE"""),"Romance")</f>
        <v>Romance</v>
      </c>
      <c r="D101" s="17">
        <f>IFERROR(__xludf.DUMMYFUNCTION("""COMPUTED_VALUE"""),41.0)</f>
        <v>41</v>
      </c>
      <c r="E101" s="8">
        <f>IFERROR(__xludf.DUMMYFUNCTION("""COMPUTED_VALUE"""),1.0)</f>
        <v>1</v>
      </c>
      <c r="F101" s="8">
        <f>IFERROR(__xludf.DUMMYFUNCTION("""COMPUTED_VALUE"""),0.586206896551724)</f>
        <v>0.5862068966</v>
      </c>
      <c r="G101" s="8">
        <f>IFERROR(__xludf.DUMMYFUNCTION("""COMPUTED_VALUE"""),0.5)</f>
        <v>0.5</v>
      </c>
      <c r="H101" s="8">
        <f>IFERROR(__xludf.DUMMYFUNCTION("""COMPUTED_VALUE"""),0.4)</f>
        <v>0.4</v>
      </c>
      <c r="I101" s="8">
        <f>IFERROR(__xludf.DUMMYFUNCTION("""COMPUTED_VALUE"""),0.388888888888888)</f>
        <v>0.3888888889</v>
      </c>
      <c r="J101" s="8">
        <f>IFERROR(__xludf.DUMMYFUNCTION("""COMPUTED_VALUE"""),0.545454545454545)</f>
        <v>0.5454545455</v>
      </c>
      <c r="K101" s="8">
        <f>IFERROR(__xludf.DUMMYFUNCTION("""COMPUTED_VALUE"""),0.5)</f>
        <v>0.5</v>
      </c>
      <c r="L101" s="8">
        <f>IFERROR(__xludf.DUMMYFUNCTION("""COMPUTED_VALUE"""),0.5)</f>
        <v>0.5</v>
      </c>
      <c r="M101" s="8">
        <f>IFERROR(__xludf.DUMMYFUNCTION("""COMPUTED_VALUE"""),0.4)</f>
        <v>0.4</v>
      </c>
      <c r="N101" s="8">
        <f>IFERROR(__xludf.DUMMYFUNCTION("""COMPUTED_VALUE"""),0.3)</f>
        <v>0.3</v>
      </c>
      <c r="O101" s="8">
        <f>IFERROR(__xludf.DUMMYFUNCTION("""COMPUTED_VALUE"""),0.333333333333333)</f>
        <v>0.3333333333</v>
      </c>
      <c r="P101" s="8">
        <f>IFERROR(__xludf.DUMMYFUNCTION("""COMPUTED_VALUE"""),0.142857142857142)</f>
        <v>0.1428571429</v>
      </c>
      <c r="Q101" s="8">
        <f>IFERROR(__xludf.DUMMYFUNCTION("""COMPUTED_VALUE"""),0.0)</f>
        <v>0</v>
      </c>
      <c r="R101" s="8">
        <f>IFERROR(__xludf.DUMMYFUNCTION("""COMPUTED_VALUE"""),0.0)</f>
        <v>0</v>
      </c>
      <c r="S101" s="8">
        <f>IFERROR(__xludf.DUMMYFUNCTION("""COMPUTED_VALUE"""),0.0)</f>
        <v>0</v>
      </c>
      <c r="T101" s="8">
        <f>IFERROR(__xludf.DUMMYFUNCTION("""COMPUTED_VALUE"""),0.0)</f>
        <v>0</v>
      </c>
      <c r="U101" s="8">
        <f>IFERROR(__xludf.DUMMYFUNCTION("""COMPUTED_VALUE"""),0.0)</f>
        <v>0</v>
      </c>
      <c r="V101" s="8">
        <f>IFERROR(__xludf.DUMMYFUNCTION("""COMPUTED_VALUE"""),0.0)</f>
        <v>0</v>
      </c>
      <c r="W101" s="8">
        <f>IFERROR(__xludf.DUMMYFUNCTION("""COMPUTED_VALUE"""),0.0)</f>
        <v>0</v>
      </c>
      <c r="X101" s="8">
        <f>IFERROR(__xludf.DUMMYFUNCTION("""COMPUTED_VALUE"""),0.0)</f>
        <v>0</v>
      </c>
      <c r="Y101" s="8">
        <f>IFERROR(__xludf.DUMMYFUNCTION("""COMPUTED_VALUE"""),0.0)</f>
        <v>0</v>
      </c>
      <c r="Z101" s="8">
        <f>IFERROR(__xludf.DUMMYFUNCTION("""COMPUTED_VALUE"""),0.0)</f>
        <v>0</v>
      </c>
      <c r="AA101" s="8">
        <f>IFERROR(__xludf.DUMMYFUNCTION("""COMPUTED_VALUE"""),0.0)</f>
        <v>0</v>
      </c>
      <c r="AB101" s="8">
        <f>IFERROR(__xludf.DUMMYFUNCTION("""COMPUTED_VALUE"""),0.0)</f>
        <v>0</v>
      </c>
      <c r="AC101" s="8">
        <f>IFERROR(__xludf.DUMMYFUNCTION("""COMPUTED_VALUE"""),0.0)</f>
        <v>0</v>
      </c>
    </row>
    <row r="102" ht="15.75" customHeight="1">
      <c r="A102" s="6" t="str">
        <f>IFERROR(__xludf.DUMMYFUNCTION("""COMPUTED_VALUE"""),"54a2cb963cd2e93491b9f03d9cf379ed72d3271f")</f>
        <v>54a2cb963cd2e93491b9f03d9cf379ed72d3271f</v>
      </c>
      <c r="B102" s="6" t="str">
        <f>IFERROR(__xludf.DUMMYFUNCTION("""COMPUTED_VALUE"""),"The One He Can't Break")</f>
        <v>The One He Can't Break</v>
      </c>
      <c r="C102" s="6" t="str">
        <f>IFERROR(__xludf.DUMMYFUNCTION("""COMPUTED_VALUE"""),"Romance")</f>
        <v>Romance</v>
      </c>
      <c r="D102" s="17">
        <f>IFERROR(__xludf.DUMMYFUNCTION("""COMPUTED_VALUE"""),755.0)</f>
        <v>755</v>
      </c>
      <c r="E102" s="8">
        <f>IFERROR(__xludf.DUMMYFUNCTION("""COMPUTED_VALUE"""),0.981456953642384)</f>
        <v>0.9814569536</v>
      </c>
      <c r="F102" s="8">
        <f>IFERROR(__xludf.DUMMYFUNCTION("""COMPUTED_VALUE"""),0.596816976127321)</f>
        <v>0.5968169761</v>
      </c>
      <c r="G102" s="8">
        <f>IFERROR(__xludf.DUMMYFUNCTION("""COMPUTED_VALUE"""),0.53183023872679)</f>
        <v>0.5318302387</v>
      </c>
      <c r="H102" s="8">
        <f>IFERROR(__xludf.DUMMYFUNCTION("""COMPUTED_VALUE"""),0.454545454545454)</f>
        <v>0.4545454545</v>
      </c>
      <c r="I102" s="8">
        <f>IFERROR(__xludf.DUMMYFUNCTION("""COMPUTED_VALUE"""),0.431818181818181)</f>
        <v>0.4318181818</v>
      </c>
      <c r="J102" s="8">
        <f>IFERROR(__xludf.DUMMYFUNCTION("""COMPUTED_VALUE"""),0.381720430107526)</f>
        <v>0.3817204301</v>
      </c>
      <c r="K102" s="8">
        <f>IFERROR(__xludf.DUMMYFUNCTION("""COMPUTED_VALUE"""),0.361673414304993)</f>
        <v>0.3616734143</v>
      </c>
      <c r="L102" s="8">
        <f>IFERROR(__xludf.DUMMYFUNCTION("""COMPUTED_VALUE"""),0.318941504178273)</f>
        <v>0.3189415042</v>
      </c>
      <c r="M102" s="8">
        <f>IFERROR(__xludf.DUMMYFUNCTION("""COMPUTED_VALUE"""),0.314112291350531)</f>
        <v>0.3141122914</v>
      </c>
      <c r="N102" s="8">
        <f>IFERROR(__xludf.DUMMYFUNCTION("""COMPUTED_VALUE"""),0.290035587188612)</f>
        <v>0.2900355872</v>
      </c>
      <c r="O102" s="8">
        <f>IFERROR(__xludf.DUMMYFUNCTION("""COMPUTED_VALUE"""),0.274678111587982)</f>
        <v>0.2746781116</v>
      </c>
      <c r="P102" s="8">
        <f>IFERROR(__xludf.DUMMYFUNCTION("""COMPUTED_VALUE"""),0.160550458715596)</f>
        <v>0.1605504587</v>
      </c>
      <c r="Q102" s="8">
        <f>IFERROR(__xludf.DUMMYFUNCTION("""COMPUTED_VALUE"""),0.0932642487046632)</f>
        <v>0.0932642487</v>
      </c>
      <c r="R102" s="8">
        <f>IFERROR(__xludf.DUMMYFUNCTION("""COMPUTED_VALUE"""),0.1)</f>
        <v>0.1</v>
      </c>
      <c r="S102" s="8">
        <f>IFERROR(__xludf.DUMMYFUNCTION("""COMPUTED_VALUE"""),0.0975609756097561)</f>
        <v>0.09756097561</v>
      </c>
      <c r="T102" s="8">
        <f>IFERROR(__xludf.DUMMYFUNCTION("""COMPUTED_VALUE"""),0.0)</f>
        <v>0</v>
      </c>
      <c r="U102" s="8">
        <f>IFERROR(__xludf.DUMMYFUNCTION("""COMPUTED_VALUE"""),0.0)</f>
        <v>0</v>
      </c>
      <c r="V102" s="8">
        <f>IFERROR(__xludf.DUMMYFUNCTION("""COMPUTED_VALUE"""),0.0)</f>
        <v>0</v>
      </c>
      <c r="W102" s="8">
        <f>IFERROR(__xludf.DUMMYFUNCTION("""COMPUTED_VALUE"""),0.0)</f>
        <v>0</v>
      </c>
      <c r="X102" s="8">
        <f>IFERROR(__xludf.DUMMYFUNCTION("""COMPUTED_VALUE"""),0.0)</f>
        <v>0</v>
      </c>
      <c r="Y102" s="8">
        <f>IFERROR(__xludf.DUMMYFUNCTION("""COMPUTED_VALUE"""),0.0)</f>
        <v>0</v>
      </c>
      <c r="Z102" s="8">
        <f>IFERROR(__xludf.DUMMYFUNCTION("""COMPUTED_VALUE"""),0.0)</f>
        <v>0</v>
      </c>
      <c r="AA102" s="8">
        <f>IFERROR(__xludf.DUMMYFUNCTION("""COMPUTED_VALUE"""),0.0)</f>
        <v>0</v>
      </c>
      <c r="AB102" s="8">
        <f>IFERROR(__xludf.DUMMYFUNCTION("""COMPUTED_VALUE"""),0.0)</f>
        <v>0</v>
      </c>
      <c r="AC102" s="8">
        <f>IFERROR(__xludf.DUMMYFUNCTION("""COMPUTED_VALUE"""),0.0)</f>
        <v>0</v>
      </c>
    </row>
    <row r="103" ht="15.75" customHeight="1">
      <c r="A103" s="6" t="str">
        <f>IFERROR(__xludf.DUMMYFUNCTION("""COMPUTED_VALUE"""),"55254a77c40862bb825ededf69a85438157d664f")</f>
        <v>55254a77c40862bb825ededf69a85438157d664f</v>
      </c>
      <c r="B103" s="6" t="str">
        <f>IFERROR(__xludf.DUMMYFUNCTION("""COMPUTED_VALUE"""),"The Billionaire With Mask")</f>
        <v>The Billionaire With Mask</v>
      </c>
      <c r="C103" s="6" t="str">
        <f>IFERROR(__xludf.DUMMYFUNCTION("""COMPUTED_VALUE"""),"Drama")</f>
        <v>Drama</v>
      </c>
      <c r="D103" s="17">
        <f>IFERROR(__xludf.DUMMYFUNCTION("""COMPUTED_VALUE"""),95.0)</f>
        <v>95</v>
      </c>
      <c r="E103" s="8">
        <f>IFERROR(__xludf.DUMMYFUNCTION("""COMPUTED_VALUE"""),0.96629213483146)</f>
        <v>0.9662921348</v>
      </c>
      <c r="F103" s="8">
        <f>IFERROR(__xludf.DUMMYFUNCTION("""COMPUTED_VALUE"""),0.629213483146067)</f>
        <v>0.6292134831</v>
      </c>
      <c r="G103" s="8">
        <f>IFERROR(__xludf.DUMMYFUNCTION("""COMPUTED_VALUE"""),0.48314606741573)</f>
        <v>0.4831460674</v>
      </c>
      <c r="H103" s="8">
        <f>IFERROR(__xludf.DUMMYFUNCTION("""COMPUTED_VALUE"""),0.48314606741573)</f>
        <v>0.4831460674</v>
      </c>
      <c r="I103" s="8">
        <f>IFERROR(__xludf.DUMMYFUNCTION("""COMPUTED_VALUE"""),0.46067415730337)</f>
        <v>0.4606741573</v>
      </c>
      <c r="J103" s="8">
        <f>IFERROR(__xludf.DUMMYFUNCTION("""COMPUTED_VALUE"""),0.438202247191011)</f>
        <v>0.4382022472</v>
      </c>
      <c r="K103" s="8">
        <f>IFERROR(__xludf.DUMMYFUNCTION("""COMPUTED_VALUE"""),0.426966292134831)</f>
        <v>0.4269662921</v>
      </c>
      <c r="L103" s="8">
        <f>IFERROR(__xludf.DUMMYFUNCTION("""COMPUTED_VALUE"""),0.426966292134831)</f>
        <v>0.4269662921</v>
      </c>
      <c r="M103" s="8">
        <f>IFERROR(__xludf.DUMMYFUNCTION("""COMPUTED_VALUE"""),0.404494382022471)</f>
        <v>0.404494382</v>
      </c>
      <c r="N103" s="8">
        <f>IFERROR(__xludf.DUMMYFUNCTION("""COMPUTED_VALUE"""),0.393258426966292)</f>
        <v>0.393258427</v>
      </c>
      <c r="O103" s="8">
        <f>IFERROR(__xludf.DUMMYFUNCTION("""COMPUTED_VALUE"""),0.359550561797752)</f>
        <v>0.3595505618</v>
      </c>
      <c r="P103" s="8">
        <f>IFERROR(__xludf.DUMMYFUNCTION("""COMPUTED_VALUE"""),0.367088607594936)</f>
        <v>0.3670886076</v>
      </c>
      <c r="Q103" s="8">
        <f>IFERROR(__xludf.DUMMYFUNCTION("""COMPUTED_VALUE"""),0.192307692307692)</f>
        <v>0.1923076923</v>
      </c>
      <c r="R103" s="8">
        <f>IFERROR(__xludf.DUMMYFUNCTION("""COMPUTED_VALUE"""),0.159090909090909)</f>
        <v>0.1590909091</v>
      </c>
      <c r="S103" s="8">
        <f>IFERROR(__xludf.DUMMYFUNCTION("""COMPUTED_VALUE"""),0.108108108108108)</f>
        <v>0.1081081081</v>
      </c>
      <c r="T103" s="8">
        <f>IFERROR(__xludf.DUMMYFUNCTION("""COMPUTED_VALUE"""),0.0)</f>
        <v>0</v>
      </c>
      <c r="U103" s="8">
        <f>IFERROR(__xludf.DUMMYFUNCTION("""COMPUTED_VALUE"""),0.0)</f>
        <v>0</v>
      </c>
      <c r="V103" s="8">
        <f>IFERROR(__xludf.DUMMYFUNCTION("""COMPUTED_VALUE"""),0.0)</f>
        <v>0</v>
      </c>
      <c r="W103" s="8">
        <f>IFERROR(__xludf.DUMMYFUNCTION("""COMPUTED_VALUE"""),0.0)</f>
        <v>0</v>
      </c>
      <c r="X103" s="8">
        <f>IFERROR(__xludf.DUMMYFUNCTION("""COMPUTED_VALUE"""),0.0)</f>
        <v>0</v>
      </c>
      <c r="Y103" s="8">
        <f>IFERROR(__xludf.DUMMYFUNCTION("""COMPUTED_VALUE"""),0.0)</f>
        <v>0</v>
      </c>
      <c r="Z103" s="8">
        <f>IFERROR(__xludf.DUMMYFUNCTION("""COMPUTED_VALUE"""),0.0)</f>
        <v>0</v>
      </c>
      <c r="AA103" s="8">
        <f>IFERROR(__xludf.DUMMYFUNCTION("""COMPUTED_VALUE"""),0.0)</f>
        <v>0</v>
      </c>
      <c r="AB103" s="8">
        <f>IFERROR(__xludf.DUMMYFUNCTION("""COMPUTED_VALUE"""),0.0)</f>
        <v>0</v>
      </c>
      <c r="AC103" s="8">
        <f>IFERROR(__xludf.DUMMYFUNCTION("""COMPUTED_VALUE"""),0.0)</f>
        <v>0</v>
      </c>
    </row>
    <row r="104" ht="15.75" customHeight="1">
      <c r="A104" s="6" t="str">
        <f>IFERROR(__xludf.DUMMYFUNCTION("""COMPUTED_VALUE"""),"559db21e99cf5bc0720a814784386a0617e020b9")</f>
        <v>559db21e99cf5bc0720a814784386a0617e020b9</v>
      </c>
      <c r="B104" s="6" t="str">
        <f>IFERROR(__xludf.DUMMYFUNCTION("""COMPUTED_VALUE"""),"The Reborn Sovereign")</f>
        <v>The Reborn Sovereign</v>
      </c>
      <c r="C104" s="6" t="str">
        <f>IFERROR(__xludf.DUMMYFUNCTION("""COMPUTED_VALUE"""),"Fantasy")</f>
        <v>Fantasy</v>
      </c>
      <c r="D104" s="17">
        <f>IFERROR(__xludf.DUMMYFUNCTION("""COMPUTED_VALUE"""),1750.0)</f>
        <v>1750</v>
      </c>
      <c r="E104" s="8">
        <f>IFERROR(__xludf.DUMMYFUNCTION("""COMPUTED_VALUE"""),0.966042154566744)</f>
        <v>0.9660421546</v>
      </c>
      <c r="F104" s="8">
        <f>IFERROR(__xludf.DUMMYFUNCTION("""COMPUTED_VALUE"""),0.734208880550344)</f>
        <v>0.7342088806</v>
      </c>
      <c r="G104" s="8">
        <f>IFERROR(__xludf.DUMMYFUNCTION("""COMPUTED_VALUE"""),0.712975098296199)</f>
        <v>0.7129750983</v>
      </c>
      <c r="H104" s="8">
        <f>IFERROR(__xludf.DUMMYFUNCTION("""COMPUTED_VALUE"""),0.704415954415954)</f>
        <v>0.7044159544</v>
      </c>
      <c r="I104" s="8">
        <f>IFERROR(__xludf.DUMMYFUNCTION("""COMPUTED_VALUE"""),0.688790560471976)</f>
        <v>0.6887905605</v>
      </c>
      <c r="J104" s="8">
        <f>IFERROR(__xludf.DUMMYFUNCTION("""COMPUTED_VALUE"""),0.675459632294164)</f>
        <v>0.6754596323</v>
      </c>
      <c r="K104" s="8">
        <f>IFERROR(__xludf.DUMMYFUNCTION("""COMPUTED_VALUE"""),0.666944213155703)</f>
        <v>0.6669442132</v>
      </c>
      <c r="L104" s="8">
        <f>IFERROR(__xludf.DUMMYFUNCTION("""COMPUTED_VALUE"""),0.656756756756756)</f>
        <v>0.6567567568</v>
      </c>
      <c r="M104" s="8">
        <f>IFERROR(__xludf.DUMMYFUNCTION("""COMPUTED_VALUE"""),0.653195488721804)</f>
        <v>0.6531954887</v>
      </c>
      <c r="N104" s="8">
        <f>IFERROR(__xludf.DUMMYFUNCTION("""COMPUTED_VALUE"""),0.649140546006066)</f>
        <v>0.649140546</v>
      </c>
      <c r="O104" s="8">
        <f>IFERROR(__xludf.DUMMYFUNCTION("""COMPUTED_VALUE"""),0.578125)</f>
        <v>0.578125</v>
      </c>
      <c r="P104" s="8">
        <f>IFERROR(__xludf.DUMMYFUNCTION("""COMPUTED_VALUE"""),0.449414270500532)</f>
        <v>0.4494142705</v>
      </c>
      <c r="Q104" s="8">
        <f>IFERROR(__xludf.DUMMYFUNCTION("""COMPUTED_VALUE"""),0.3355629877369)</f>
        <v>0.3355629877</v>
      </c>
      <c r="R104" s="8">
        <f>IFERROR(__xludf.DUMMYFUNCTION("""COMPUTED_VALUE"""),0.235915492957746)</f>
        <v>0.235915493</v>
      </c>
      <c r="S104" s="8">
        <f>IFERROR(__xludf.DUMMYFUNCTION("""COMPUTED_VALUE"""),0.17219387755102)</f>
        <v>0.1721938776</v>
      </c>
      <c r="T104" s="8">
        <f>IFERROR(__xludf.DUMMYFUNCTION("""COMPUTED_VALUE"""),0.0)</f>
        <v>0</v>
      </c>
      <c r="U104" s="8">
        <f>IFERROR(__xludf.DUMMYFUNCTION("""COMPUTED_VALUE"""),0.0)</f>
        <v>0</v>
      </c>
      <c r="V104" s="8">
        <f>IFERROR(__xludf.DUMMYFUNCTION("""COMPUTED_VALUE"""),0.0)</f>
        <v>0</v>
      </c>
      <c r="W104" s="8">
        <f>IFERROR(__xludf.DUMMYFUNCTION("""COMPUTED_VALUE"""),0.0)</f>
        <v>0</v>
      </c>
      <c r="X104" s="8">
        <f>IFERROR(__xludf.DUMMYFUNCTION("""COMPUTED_VALUE"""),0.0)</f>
        <v>0</v>
      </c>
      <c r="Y104" s="8">
        <f>IFERROR(__xludf.DUMMYFUNCTION("""COMPUTED_VALUE"""),0.0)</f>
        <v>0</v>
      </c>
      <c r="Z104" s="8">
        <f>IFERROR(__xludf.DUMMYFUNCTION("""COMPUTED_VALUE"""),0.0)</f>
        <v>0</v>
      </c>
      <c r="AA104" s="8">
        <f>IFERROR(__xludf.DUMMYFUNCTION("""COMPUTED_VALUE"""),0.0)</f>
        <v>0</v>
      </c>
      <c r="AB104" s="8">
        <f>IFERROR(__xludf.DUMMYFUNCTION("""COMPUTED_VALUE"""),0.0)</f>
        <v>0</v>
      </c>
      <c r="AC104" s="8">
        <f>IFERROR(__xludf.DUMMYFUNCTION("""COMPUTED_VALUE"""),0.0)</f>
        <v>0</v>
      </c>
    </row>
    <row r="105" ht="15.75" customHeight="1">
      <c r="A105" s="6" t="str">
        <f>IFERROR(__xludf.DUMMYFUNCTION("""COMPUTED_VALUE"""),"562f725dcc83392df0b3d429b6d1ff538f81e71b")</f>
        <v>562f725dcc83392df0b3d429b6d1ff538f81e71b</v>
      </c>
      <c r="B105" s="6" t="str">
        <f>IFERROR(__xludf.DUMMYFUNCTION("""COMPUTED_VALUE"""),"Their Contracted Hearts")</f>
        <v>Their Contracted Hearts</v>
      </c>
      <c r="C105" s="6" t="str">
        <f>IFERROR(__xludf.DUMMYFUNCTION("""COMPUTED_VALUE"""),"Romance")</f>
        <v>Romance</v>
      </c>
      <c r="D105" s="17">
        <f>IFERROR(__xludf.DUMMYFUNCTION("""COMPUTED_VALUE"""),628.0)</f>
        <v>628</v>
      </c>
      <c r="E105" s="8">
        <f>IFERROR(__xludf.DUMMYFUNCTION("""COMPUTED_VALUE"""),0.966507177033492)</f>
        <v>0.966507177</v>
      </c>
      <c r="F105" s="8">
        <f>IFERROR(__xludf.DUMMYFUNCTION("""COMPUTED_VALUE"""),0.625199362041467)</f>
        <v>0.625199362</v>
      </c>
      <c r="G105" s="8">
        <f>IFERROR(__xludf.DUMMYFUNCTION("""COMPUTED_VALUE"""),0.645933014354067)</f>
        <v>0.6459330144</v>
      </c>
      <c r="H105" s="8">
        <f>IFERROR(__xludf.DUMMYFUNCTION("""COMPUTED_VALUE"""),0.592651757188498)</f>
        <v>0.5926517572</v>
      </c>
      <c r="I105" s="8">
        <f>IFERROR(__xludf.DUMMYFUNCTION("""COMPUTED_VALUE"""),0.595846645367412)</f>
        <v>0.5958466454</v>
      </c>
      <c r="J105" s="8">
        <f>IFERROR(__xludf.DUMMYFUNCTION("""COMPUTED_VALUE"""),0.5376)</f>
        <v>0.5376</v>
      </c>
      <c r="K105" s="8">
        <f>IFERROR(__xludf.DUMMYFUNCTION("""COMPUTED_VALUE"""),0.504)</f>
        <v>0.504</v>
      </c>
      <c r="L105" s="8">
        <f>IFERROR(__xludf.DUMMYFUNCTION("""COMPUTED_VALUE"""),0.5168)</f>
        <v>0.5168</v>
      </c>
      <c r="M105" s="8">
        <f>IFERROR(__xludf.DUMMYFUNCTION("""COMPUTED_VALUE"""),0.48)</f>
        <v>0.48</v>
      </c>
      <c r="N105" s="8">
        <f>IFERROR(__xludf.DUMMYFUNCTION("""COMPUTED_VALUE"""),0.451923076923076)</f>
        <v>0.4519230769</v>
      </c>
      <c r="O105" s="8">
        <f>IFERROR(__xludf.DUMMYFUNCTION("""COMPUTED_VALUE"""),0.350565428109854)</f>
        <v>0.3505654281</v>
      </c>
      <c r="P105" s="8">
        <f>IFERROR(__xludf.DUMMYFUNCTION("""COMPUTED_VALUE"""),0.168026101141924)</f>
        <v>0.1680261011</v>
      </c>
      <c r="Q105" s="8">
        <f>IFERROR(__xludf.DUMMYFUNCTION("""COMPUTED_VALUE"""),0.241935483870967)</f>
        <v>0.2419354839</v>
      </c>
      <c r="R105" s="8">
        <f>IFERROR(__xludf.DUMMYFUNCTION("""COMPUTED_VALUE"""),0.175438596491228)</f>
        <v>0.1754385965</v>
      </c>
      <c r="S105" s="8">
        <f>IFERROR(__xludf.DUMMYFUNCTION("""COMPUTED_VALUE"""),0.0425531914893617)</f>
        <v>0.04255319149</v>
      </c>
      <c r="T105" s="8">
        <f>IFERROR(__xludf.DUMMYFUNCTION("""COMPUTED_VALUE"""),0.0)</f>
        <v>0</v>
      </c>
      <c r="U105" s="8">
        <f>IFERROR(__xludf.DUMMYFUNCTION("""COMPUTED_VALUE"""),0.0)</f>
        <v>0</v>
      </c>
      <c r="V105" s="8">
        <f>IFERROR(__xludf.DUMMYFUNCTION("""COMPUTED_VALUE"""),0.0)</f>
        <v>0</v>
      </c>
      <c r="W105" s="8">
        <f>IFERROR(__xludf.DUMMYFUNCTION("""COMPUTED_VALUE"""),0.0)</f>
        <v>0</v>
      </c>
      <c r="X105" s="8">
        <f>IFERROR(__xludf.DUMMYFUNCTION("""COMPUTED_VALUE"""),0.0)</f>
        <v>0</v>
      </c>
      <c r="Y105" s="8">
        <f>IFERROR(__xludf.DUMMYFUNCTION("""COMPUTED_VALUE"""),0.0)</f>
        <v>0</v>
      </c>
      <c r="Z105" s="8">
        <f>IFERROR(__xludf.DUMMYFUNCTION("""COMPUTED_VALUE"""),0.0)</f>
        <v>0</v>
      </c>
      <c r="AA105" s="8">
        <f>IFERROR(__xludf.DUMMYFUNCTION("""COMPUTED_VALUE"""),0.0)</f>
        <v>0</v>
      </c>
      <c r="AB105" s="8">
        <f>IFERROR(__xludf.DUMMYFUNCTION("""COMPUTED_VALUE"""),0.0)</f>
        <v>0</v>
      </c>
      <c r="AC105" s="8">
        <f>IFERROR(__xludf.DUMMYFUNCTION("""COMPUTED_VALUE"""),0.0)</f>
        <v>0</v>
      </c>
    </row>
    <row r="106" ht="15.75" customHeight="1">
      <c r="A106" s="6" t="str">
        <f>IFERROR(__xludf.DUMMYFUNCTION("""COMPUTED_VALUE"""),"56fd2f13dbccca0c55f9b02f7334d302737ec3df")</f>
        <v>56fd2f13dbccca0c55f9b02f7334d302737ec3df</v>
      </c>
      <c r="B106" s="6" t="str">
        <f>IFERROR(__xludf.DUMMYFUNCTION("""COMPUTED_VALUE"""),"Heaven-Shaking Doctor")</f>
        <v>Heaven-Shaking Doctor</v>
      </c>
      <c r="C106" s="6" t="str">
        <f>IFERROR(__xludf.DUMMYFUNCTION("""COMPUTED_VALUE"""),"Drama")</f>
        <v>Drama</v>
      </c>
      <c r="D106" s="17">
        <f>IFERROR(__xludf.DUMMYFUNCTION("""COMPUTED_VALUE"""),594.0)</f>
        <v>594</v>
      </c>
      <c r="E106" s="8">
        <f>IFERROR(__xludf.DUMMYFUNCTION("""COMPUTED_VALUE"""),0.993265993265993)</f>
        <v>0.9932659933</v>
      </c>
      <c r="F106" s="8">
        <f>IFERROR(__xludf.DUMMYFUNCTION("""COMPUTED_VALUE"""),0.601010101010101)</f>
        <v>0.601010101</v>
      </c>
      <c r="G106" s="8">
        <f>IFERROR(__xludf.DUMMYFUNCTION("""COMPUTED_VALUE"""),0.47804054054054)</f>
        <v>0.4780405405</v>
      </c>
      <c r="H106" s="8">
        <f>IFERROR(__xludf.DUMMYFUNCTION("""COMPUTED_VALUE"""),0.402027027027027)</f>
        <v>0.402027027</v>
      </c>
      <c r="I106" s="8">
        <f>IFERROR(__xludf.DUMMYFUNCTION("""COMPUTED_VALUE"""),0.333898305084745)</f>
        <v>0.3338983051</v>
      </c>
      <c r="J106" s="8">
        <f>IFERROR(__xludf.DUMMYFUNCTION("""COMPUTED_VALUE"""),0.286440677966101)</f>
        <v>0.286440678</v>
      </c>
      <c r="K106" s="8">
        <f>IFERROR(__xludf.DUMMYFUNCTION("""COMPUTED_VALUE"""),0.25593220338983)</f>
        <v>0.2559322034</v>
      </c>
      <c r="L106" s="8">
        <f>IFERROR(__xludf.DUMMYFUNCTION("""COMPUTED_VALUE"""),0.216949152542372)</f>
        <v>0.2169491525</v>
      </c>
      <c r="M106" s="8">
        <f>IFERROR(__xludf.DUMMYFUNCTION("""COMPUTED_VALUE"""),0.189830508474576)</f>
        <v>0.1898305085</v>
      </c>
      <c r="N106" s="8">
        <f>IFERROR(__xludf.DUMMYFUNCTION("""COMPUTED_VALUE"""),0.173469387755102)</f>
        <v>0.1734693878</v>
      </c>
      <c r="O106" s="8">
        <f>IFERROR(__xludf.DUMMYFUNCTION("""COMPUTED_VALUE"""),0.120274914089347)</f>
        <v>0.1202749141</v>
      </c>
      <c r="P106" s="8">
        <f>IFERROR(__xludf.DUMMYFUNCTION("""COMPUTED_VALUE"""),0.0647985989492119)</f>
        <v>0.06479859895</v>
      </c>
      <c r="Q106" s="8">
        <f>IFERROR(__xludf.DUMMYFUNCTION("""COMPUTED_VALUE"""),0.0)</f>
        <v>0</v>
      </c>
      <c r="R106" s="8">
        <f>IFERROR(__xludf.DUMMYFUNCTION("""COMPUTED_VALUE"""),0.0)</f>
        <v>0</v>
      </c>
      <c r="S106" s="8">
        <f>IFERROR(__xludf.DUMMYFUNCTION("""COMPUTED_VALUE"""),0.0)</f>
        <v>0</v>
      </c>
      <c r="T106" s="8">
        <f>IFERROR(__xludf.DUMMYFUNCTION("""COMPUTED_VALUE"""),0.0)</f>
        <v>0</v>
      </c>
      <c r="U106" s="8">
        <f>IFERROR(__xludf.DUMMYFUNCTION("""COMPUTED_VALUE"""),0.0)</f>
        <v>0</v>
      </c>
      <c r="V106" s="8">
        <f>IFERROR(__xludf.DUMMYFUNCTION("""COMPUTED_VALUE"""),0.0)</f>
        <v>0</v>
      </c>
      <c r="W106" s="8">
        <f>IFERROR(__xludf.DUMMYFUNCTION("""COMPUTED_VALUE"""),0.0)</f>
        <v>0</v>
      </c>
      <c r="X106" s="8">
        <f>IFERROR(__xludf.DUMMYFUNCTION("""COMPUTED_VALUE"""),0.0)</f>
        <v>0</v>
      </c>
      <c r="Y106" s="8">
        <f>IFERROR(__xludf.DUMMYFUNCTION("""COMPUTED_VALUE"""),0.0)</f>
        <v>0</v>
      </c>
      <c r="Z106" s="8">
        <f>IFERROR(__xludf.DUMMYFUNCTION("""COMPUTED_VALUE"""),0.0)</f>
        <v>0</v>
      </c>
      <c r="AA106" s="8">
        <f>IFERROR(__xludf.DUMMYFUNCTION("""COMPUTED_VALUE"""),0.0)</f>
        <v>0</v>
      </c>
      <c r="AB106" s="8">
        <f>IFERROR(__xludf.DUMMYFUNCTION("""COMPUTED_VALUE"""),0.0)</f>
        <v>0</v>
      </c>
      <c r="AC106" s="8">
        <f>IFERROR(__xludf.DUMMYFUNCTION("""COMPUTED_VALUE"""),0.0)</f>
        <v>0</v>
      </c>
    </row>
    <row r="107" ht="15.75" customHeight="1">
      <c r="A107" s="6" t="str">
        <f>IFERROR(__xludf.DUMMYFUNCTION("""COMPUTED_VALUE"""),"5710ee62e2cd01947d8f11e6bcaaa653fd1281b2")</f>
        <v>5710ee62e2cd01947d8f11e6bcaaa653fd1281b2</v>
      </c>
      <c r="B107" s="6" t="str">
        <f>IFERROR(__xludf.DUMMYFUNCTION("""COMPUTED_VALUE"""),"The Greatest Son-in-Law")</f>
        <v>The Greatest Son-in-Law</v>
      </c>
      <c r="C107" s="6" t="str">
        <f>IFERROR(__xludf.DUMMYFUNCTION("""COMPUTED_VALUE"""),"Drama")</f>
        <v>Drama</v>
      </c>
      <c r="D107" s="17">
        <f>IFERROR(__xludf.DUMMYFUNCTION("""COMPUTED_VALUE"""),619.0)</f>
        <v>619</v>
      </c>
      <c r="E107" s="8">
        <f>IFERROR(__xludf.DUMMYFUNCTION("""COMPUTED_VALUE"""),0.980551053484602)</f>
        <v>0.9805510535</v>
      </c>
      <c r="F107" s="8">
        <f>IFERROR(__xludf.DUMMYFUNCTION("""COMPUTED_VALUE"""),0.537337662337662)</f>
        <v>0.5373376623</v>
      </c>
      <c r="G107" s="8">
        <f>IFERROR(__xludf.DUMMYFUNCTION("""COMPUTED_VALUE"""),0.434146341463414)</f>
        <v>0.4341463415</v>
      </c>
      <c r="H107" s="8">
        <f>IFERROR(__xludf.DUMMYFUNCTION("""COMPUTED_VALUE"""),0.370675453047775)</f>
        <v>0.370675453</v>
      </c>
      <c r="I107" s="8">
        <f>IFERROR(__xludf.DUMMYFUNCTION("""COMPUTED_VALUE"""),0.314432989690721)</f>
        <v>0.3144329897</v>
      </c>
      <c r="J107" s="8">
        <f>IFERROR(__xludf.DUMMYFUNCTION("""COMPUTED_VALUE"""),0.274509803921568)</f>
        <v>0.2745098039</v>
      </c>
      <c r="K107" s="8">
        <f>IFERROR(__xludf.DUMMYFUNCTION("""COMPUTED_VALUE"""),0.248407643312101)</f>
        <v>0.2484076433</v>
      </c>
      <c r="L107" s="8">
        <f>IFERROR(__xludf.DUMMYFUNCTION("""COMPUTED_VALUE"""),0.235827664399092)</f>
        <v>0.2358276644</v>
      </c>
      <c r="M107" s="8">
        <f>IFERROR(__xludf.DUMMYFUNCTION("""COMPUTED_VALUE"""),0.217270194986072)</f>
        <v>0.217270195</v>
      </c>
      <c r="N107" s="8">
        <f>IFERROR(__xludf.DUMMYFUNCTION("""COMPUTED_VALUE"""),0.217054263565891)</f>
        <v>0.2170542636</v>
      </c>
      <c r="O107" s="8">
        <f>IFERROR(__xludf.DUMMYFUNCTION("""COMPUTED_VALUE"""),0.180327868852459)</f>
        <v>0.1803278689</v>
      </c>
      <c r="P107" s="8">
        <f>IFERROR(__xludf.DUMMYFUNCTION("""COMPUTED_VALUE"""),0.122807017543859)</f>
        <v>0.1228070175</v>
      </c>
      <c r="Q107" s="8">
        <f>IFERROR(__xludf.DUMMYFUNCTION("""COMPUTED_VALUE"""),0.142857142857142)</f>
        <v>0.1428571429</v>
      </c>
      <c r="R107" s="8">
        <f>IFERROR(__xludf.DUMMYFUNCTION("""COMPUTED_VALUE"""),0.0)</f>
        <v>0</v>
      </c>
      <c r="S107" s="8">
        <f>IFERROR(__xludf.DUMMYFUNCTION("""COMPUTED_VALUE"""),0.0)</f>
        <v>0</v>
      </c>
      <c r="T107" s="8">
        <f>IFERROR(__xludf.DUMMYFUNCTION("""COMPUTED_VALUE"""),0.0)</f>
        <v>0</v>
      </c>
      <c r="U107" s="8">
        <f>IFERROR(__xludf.DUMMYFUNCTION("""COMPUTED_VALUE"""),0.0)</f>
        <v>0</v>
      </c>
      <c r="V107" s="8">
        <f>IFERROR(__xludf.DUMMYFUNCTION("""COMPUTED_VALUE"""),0.0)</f>
        <v>0</v>
      </c>
      <c r="W107" s="8">
        <f>IFERROR(__xludf.DUMMYFUNCTION("""COMPUTED_VALUE"""),0.0)</f>
        <v>0</v>
      </c>
      <c r="X107" s="8">
        <f>IFERROR(__xludf.DUMMYFUNCTION("""COMPUTED_VALUE"""),0.0)</f>
        <v>0</v>
      </c>
      <c r="Y107" s="8">
        <f>IFERROR(__xludf.DUMMYFUNCTION("""COMPUTED_VALUE"""),0.0)</f>
        <v>0</v>
      </c>
      <c r="Z107" s="8">
        <f>IFERROR(__xludf.DUMMYFUNCTION("""COMPUTED_VALUE"""),0.0)</f>
        <v>0</v>
      </c>
      <c r="AA107" s="8">
        <f>IFERROR(__xludf.DUMMYFUNCTION("""COMPUTED_VALUE"""),0.0)</f>
        <v>0</v>
      </c>
      <c r="AB107" s="8">
        <f>IFERROR(__xludf.DUMMYFUNCTION("""COMPUTED_VALUE"""),0.0)</f>
        <v>0</v>
      </c>
      <c r="AC107" s="8">
        <f>IFERROR(__xludf.DUMMYFUNCTION("""COMPUTED_VALUE"""),0.0)</f>
        <v>0</v>
      </c>
    </row>
    <row r="108" ht="15.75" customHeight="1">
      <c r="A108" s="6" t="str">
        <f>IFERROR(__xludf.DUMMYFUNCTION("""COMPUTED_VALUE"""),"57c4ad36d88c94c3d6132c931c371b08f21ab0e1")</f>
        <v>57c4ad36d88c94c3d6132c931c371b08f21ab0e1</v>
      </c>
      <c r="B108" s="6" t="str">
        <f>IFERROR(__xludf.DUMMYFUNCTION("""COMPUTED_VALUE"""),"Warlord of the Frozen Daw")</f>
        <v>Warlord of the Frozen Daw</v>
      </c>
      <c r="C108" s="6" t="str">
        <f>IFERROR(__xludf.DUMMYFUNCTION("""COMPUTED_VALUE"""),"Drama")</f>
        <v>Drama</v>
      </c>
      <c r="D108" s="17">
        <f>IFERROR(__xludf.DUMMYFUNCTION("""COMPUTED_VALUE"""),14.0)</f>
        <v>14</v>
      </c>
      <c r="E108" s="8">
        <f>IFERROR(__xludf.DUMMYFUNCTION("""COMPUTED_VALUE"""),1.0)</f>
        <v>1</v>
      </c>
      <c r="F108" s="8">
        <f>IFERROR(__xludf.DUMMYFUNCTION("""COMPUTED_VALUE"""),0.571428571428571)</f>
        <v>0.5714285714</v>
      </c>
      <c r="G108" s="8">
        <f>IFERROR(__xludf.DUMMYFUNCTION("""COMPUTED_VALUE"""),0.571428571428571)</f>
        <v>0.5714285714</v>
      </c>
      <c r="H108" s="8">
        <f>IFERROR(__xludf.DUMMYFUNCTION("""COMPUTED_VALUE"""),0.5)</f>
        <v>0.5</v>
      </c>
      <c r="I108" s="8">
        <f>IFERROR(__xludf.DUMMYFUNCTION("""COMPUTED_VALUE"""),0.428571428571428)</f>
        <v>0.4285714286</v>
      </c>
      <c r="J108" s="8">
        <f>IFERROR(__xludf.DUMMYFUNCTION("""COMPUTED_VALUE"""),0.428571428571428)</f>
        <v>0.4285714286</v>
      </c>
      <c r="K108" s="8">
        <f>IFERROR(__xludf.DUMMYFUNCTION("""COMPUTED_VALUE"""),0.384615384615384)</f>
        <v>0.3846153846</v>
      </c>
      <c r="L108" s="8">
        <f>IFERROR(__xludf.DUMMYFUNCTION("""COMPUTED_VALUE"""),0.333333333333333)</f>
        <v>0.3333333333</v>
      </c>
      <c r="M108" s="8">
        <f>IFERROR(__xludf.DUMMYFUNCTION("""COMPUTED_VALUE"""),0.333333333333333)</f>
        <v>0.3333333333</v>
      </c>
      <c r="N108" s="8">
        <f>IFERROR(__xludf.DUMMYFUNCTION("""COMPUTED_VALUE"""),0.333333333333333)</f>
        <v>0.3333333333</v>
      </c>
      <c r="O108" s="8">
        <f>IFERROR(__xludf.DUMMYFUNCTION("""COMPUTED_VALUE"""),0.5)</f>
        <v>0.5</v>
      </c>
      <c r="P108" s="8">
        <f>IFERROR(__xludf.DUMMYFUNCTION("""COMPUTED_VALUE"""),0.3)</f>
        <v>0.3</v>
      </c>
      <c r="Q108" s="8">
        <f>IFERROR(__xludf.DUMMYFUNCTION("""COMPUTED_VALUE"""),0.222222222222222)</f>
        <v>0.2222222222</v>
      </c>
      <c r="R108" s="8">
        <f>IFERROR(__xludf.DUMMYFUNCTION("""COMPUTED_VALUE"""),0.111111111111111)</f>
        <v>0.1111111111</v>
      </c>
      <c r="S108" s="8">
        <f>IFERROR(__xludf.DUMMYFUNCTION("""COMPUTED_VALUE"""),0.0)</f>
        <v>0</v>
      </c>
      <c r="T108" s="8">
        <f>IFERROR(__xludf.DUMMYFUNCTION("""COMPUTED_VALUE"""),0.0)</f>
        <v>0</v>
      </c>
      <c r="U108" s="8">
        <f>IFERROR(__xludf.DUMMYFUNCTION("""COMPUTED_VALUE"""),0.0)</f>
        <v>0</v>
      </c>
      <c r="V108" s="8">
        <f>IFERROR(__xludf.DUMMYFUNCTION("""COMPUTED_VALUE"""),0.0)</f>
        <v>0</v>
      </c>
      <c r="W108" s="8">
        <f>IFERROR(__xludf.DUMMYFUNCTION("""COMPUTED_VALUE"""),0.0)</f>
        <v>0</v>
      </c>
      <c r="X108" s="8">
        <f>IFERROR(__xludf.DUMMYFUNCTION("""COMPUTED_VALUE"""),0.0)</f>
        <v>0</v>
      </c>
      <c r="Y108" s="8">
        <f>IFERROR(__xludf.DUMMYFUNCTION("""COMPUTED_VALUE"""),0.0)</f>
        <v>0</v>
      </c>
      <c r="Z108" s="8">
        <f>IFERROR(__xludf.DUMMYFUNCTION("""COMPUTED_VALUE"""),0.0)</f>
        <v>0</v>
      </c>
      <c r="AA108" s="8">
        <f>IFERROR(__xludf.DUMMYFUNCTION("""COMPUTED_VALUE"""),0.0)</f>
        <v>0</v>
      </c>
      <c r="AB108" s="8">
        <f>IFERROR(__xludf.DUMMYFUNCTION("""COMPUTED_VALUE"""),0.0)</f>
        <v>0</v>
      </c>
      <c r="AC108" s="8">
        <f>IFERROR(__xludf.DUMMYFUNCTION("""COMPUTED_VALUE"""),0.0)</f>
        <v>0</v>
      </c>
    </row>
    <row r="109" ht="15.75" customHeight="1">
      <c r="A109" s="6" t="str">
        <f>IFERROR(__xludf.DUMMYFUNCTION("""COMPUTED_VALUE"""),"57e670da35fed12abf270953b1cf3cf942fc89e1")</f>
        <v>57e670da35fed12abf270953b1cf3cf942fc89e1</v>
      </c>
      <c r="B109" s="6" t="str">
        <f>IFERROR(__xludf.DUMMYFUNCTION("""COMPUTED_VALUE"""),"You Are Mine Alone, Love")</f>
        <v>You Are Mine Alone, Love</v>
      </c>
      <c r="C109" s="6" t="str">
        <f>IFERROR(__xludf.DUMMYFUNCTION("""COMPUTED_VALUE"""),"Romance")</f>
        <v>Romance</v>
      </c>
      <c r="D109" s="17">
        <f>IFERROR(__xludf.DUMMYFUNCTION("""COMPUTED_VALUE"""),186.0)</f>
        <v>186</v>
      </c>
      <c r="E109" s="8">
        <f>IFERROR(__xludf.DUMMYFUNCTION("""COMPUTED_VALUE"""),0.978378378378378)</f>
        <v>0.9783783784</v>
      </c>
      <c r="F109" s="8">
        <f>IFERROR(__xludf.DUMMYFUNCTION("""COMPUTED_VALUE"""),0.576923076923076)</f>
        <v>0.5769230769</v>
      </c>
      <c r="G109" s="8">
        <f>IFERROR(__xludf.DUMMYFUNCTION("""COMPUTED_VALUE"""),0.477777777777777)</f>
        <v>0.4777777778</v>
      </c>
      <c r="H109" s="8">
        <f>IFERROR(__xludf.DUMMYFUNCTION("""COMPUTED_VALUE"""),0.414201183431952)</f>
        <v>0.4142011834</v>
      </c>
      <c r="I109" s="8">
        <f>IFERROR(__xludf.DUMMYFUNCTION("""COMPUTED_VALUE"""),0.40625)</f>
        <v>0.40625</v>
      </c>
      <c r="J109" s="8">
        <f>IFERROR(__xludf.DUMMYFUNCTION("""COMPUTED_VALUE"""),0.370860927152317)</f>
        <v>0.3708609272</v>
      </c>
      <c r="K109" s="8">
        <f>IFERROR(__xludf.DUMMYFUNCTION("""COMPUTED_VALUE"""),0.331081081081081)</f>
        <v>0.3310810811</v>
      </c>
      <c r="L109" s="8">
        <f>IFERROR(__xludf.DUMMYFUNCTION("""COMPUTED_VALUE"""),0.31060606060606)</f>
        <v>0.3106060606</v>
      </c>
      <c r="M109" s="8">
        <f>IFERROR(__xludf.DUMMYFUNCTION("""COMPUTED_VALUE"""),0.275862068965517)</f>
        <v>0.275862069</v>
      </c>
      <c r="N109" s="8">
        <f>IFERROR(__xludf.DUMMYFUNCTION("""COMPUTED_VALUE"""),0.275510204081632)</f>
        <v>0.2755102041</v>
      </c>
      <c r="O109" s="8">
        <f>IFERROR(__xludf.DUMMYFUNCTION("""COMPUTED_VALUE"""),0.211764705882352)</f>
        <v>0.2117647059</v>
      </c>
      <c r="P109" s="8">
        <f>IFERROR(__xludf.DUMMYFUNCTION("""COMPUTED_VALUE"""),0.157142857142857)</f>
        <v>0.1571428571</v>
      </c>
      <c r="Q109" s="8">
        <f>IFERROR(__xludf.DUMMYFUNCTION("""COMPUTED_VALUE"""),0.114754098360655)</f>
        <v>0.1147540984</v>
      </c>
      <c r="R109" s="8">
        <f>IFERROR(__xludf.DUMMYFUNCTION("""COMPUTED_VALUE"""),0.0)</f>
        <v>0</v>
      </c>
      <c r="S109" s="8">
        <f>IFERROR(__xludf.DUMMYFUNCTION("""COMPUTED_VALUE"""),0.0)</f>
        <v>0</v>
      </c>
      <c r="T109" s="8">
        <f>IFERROR(__xludf.DUMMYFUNCTION("""COMPUTED_VALUE"""),0.0)</f>
        <v>0</v>
      </c>
      <c r="U109" s="8">
        <f>IFERROR(__xludf.DUMMYFUNCTION("""COMPUTED_VALUE"""),0.0)</f>
        <v>0</v>
      </c>
      <c r="V109" s="8">
        <f>IFERROR(__xludf.DUMMYFUNCTION("""COMPUTED_VALUE"""),0.0)</f>
        <v>0</v>
      </c>
      <c r="W109" s="8">
        <f>IFERROR(__xludf.DUMMYFUNCTION("""COMPUTED_VALUE"""),0.0)</f>
        <v>0</v>
      </c>
      <c r="X109" s="8">
        <f>IFERROR(__xludf.DUMMYFUNCTION("""COMPUTED_VALUE"""),0.0)</f>
        <v>0</v>
      </c>
      <c r="Y109" s="8">
        <f>IFERROR(__xludf.DUMMYFUNCTION("""COMPUTED_VALUE"""),0.0)</f>
        <v>0</v>
      </c>
      <c r="Z109" s="8">
        <f>IFERROR(__xludf.DUMMYFUNCTION("""COMPUTED_VALUE"""),0.0)</f>
        <v>0</v>
      </c>
      <c r="AA109" s="8">
        <f>IFERROR(__xludf.DUMMYFUNCTION("""COMPUTED_VALUE"""),0.0)</f>
        <v>0</v>
      </c>
      <c r="AB109" s="8">
        <f>IFERROR(__xludf.DUMMYFUNCTION("""COMPUTED_VALUE"""),0.0)</f>
        <v>0</v>
      </c>
      <c r="AC109" s="8">
        <f>IFERROR(__xludf.DUMMYFUNCTION("""COMPUTED_VALUE"""),0.0)</f>
        <v>0</v>
      </c>
    </row>
    <row r="110" ht="15.75" customHeight="1">
      <c r="A110" s="6" t="str">
        <f>IFERROR(__xludf.DUMMYFUNCTION("""COMPUTED_VALUE"""),"57ebfa5b58a3257a521a5b9c12c5af19771e4403")</f>
        <v>57ebfa5b58a3257a521a5b9c12c5af19771e4403</v>
      </c>
      <c r="B110" s="6" t="str">
        <f>IFERROR(__xludf.DUMMYFUNCTION("""COMPUTED_VALUE"""),"Unmasking the Bride")</f>
        <v>Unmasking the Bride</v>
      </c>
      <c r="C110" s="6" t="str">
        <f>IFERROR(__xludf.DUMMYFUNCTION("""COMPUTED_VALUE"""),"Romance")</f>
        <v>Romance</v>
      </c>
      <c r="D110" s="17">
        <f>IFERROR(__xludf.DUMMYFUNCTION("""COMPUTED_VALUE"""),79.0)</f>
        <v>79</v>
      </c>
      <c r="E110" s="8">
        <f>IFERROR(__xludf.DUMMYFUNCTION("""COMPUTED_VALUE"""),0.936708860759493)</f>
        <v>0.9367088608</v>
      </c>
      <c r="F110" s="8">
        <f>IFERROR(__xludf.DUMMYFUNCTION("""COMPUTED_VALUE"""),0.468354430379746)</f>
        <v>0.4683544304</v>
      </c>
      <c r="G110" s="8">
        <f>IFERROR(__xludf.DUMMYFUNCTION("""COMPUTED_VALUE"""),0.481012658227848)</f>
        <v>0.4810126582</v>
      </c>
      <c r="H110" s="8">
        <f>IFERROR(__xludf.DUMMYFUNCTION("""COMPUTED_VALUE"""),0.430379746835443)</f>
        <v>0.4303797468</v>
      </c>
      <c r="I110" s="8">
        <f>IFERROR(__xludf.DUMMYFUNCTION("""COMPUTED_VALUE"""),0.354430379746835)</f>
        <v>0.3544303797</v>
      </c>
      <c r="J110" s="8">
        <f>IFERROR(__xludf.DUMMYFUNCTION("""COMPUTED_VALUE"""),0.329113924050632)</f>
        <v>0.3291139241</v>
      </c>
      <c r="K110" s="8">
        <f>IFERROR(__xludf.DUMMYFUNCTION("""COMPUTED_VALUE"""),0.341772151898734)</f>
        <v>0.3417721519</v>
      </c>
      <c r="L110" s="8">
        <f>IFERROR(__xludf.DUMMYFUNCTION("""COMPUTED_VALUE"""),0.341772151898734)</f>
        <v>0.3417721519</v>
      </c>
      <c r="M110" s="8">
        <f>IFERROR(__xludf.DUMMYFUNCTION("""COMPUTED_VALUE"""),0.278481012658227)</f>
        <v>0.2784810127</v>
      </c>
      <c r="N110" s="8">
        <f>IFERROR(__xludf.DUMMYFUNCTION("""COMPUTED_VALUE"""),0.240506329113924)</f>
        <v>0.2405063291</v>
      </c>
      <c r="O110" s="8">
        <f>IFERROR(__xludf.DUMMYFUNCTION("""COMPUTED_VALUE"""),0.285714285714285)</f>
        <v>0.2857142857</v>
      </c>
      <c r="P110" s="8">
        <f>IFERROR(__xludf.DUMMYFUNCTION("""COMPUTED_VALUE"""),0.0588235294117647)</f>
        <v>0.05882352941</v>
      </c>
      <c r="Q110" s="8">
        <f>IFERROR(__xludf.DUMMYFUNCTION("""COMPUTED_VALUE"""),0.0333333333333333)</f>
        <v>0.03333333333</v>
      </c>
      <c r="R110" s="8">
        <f>IFERROR(__xludf.DUMMYFUNCTION("""COMPUTED_VALUE"""),0.0)</f>
        <v>0</v>
      </c>
      <c r="S110" s="8">
        <f>IFERROR(__xludf.DUMMYFUNCTION("""COMPUTED_VALUE"""),0.0)</f>
        <v>0</v>
      </c>
      <c r="T110" s="8">
        <f>IFERROR(__xludf.DUMMYFUNCTION("""COMPUTED_VALUE"""),0.0)</f>
        <v>0</v>
      </c>
      <c r="U110" s="8">
        <f>IFERROR(__xludf.DUMMYFUNCTION("""COMPUTED_VALUE"""),0.0)</f>
        <v>0</v>
      </c>
      <c r="V110" s="8">
        <f>IFERROR(__xludf.DUMMYFUNCTION("""COMPUTED_VALUE"""),0.0)</f>
        <v>0</v>
      </c>
      <c r="W110" s="8">
        <f>IFERROR(__xludf.DUMMYFUNCTION("""COMPUTED_VALUE"""),0.0)</f>
        <v>0</v>
      </c>
      <c r="X110" s="8">
        <f>IFERROR(__xludf.DUMMYFUNCTION("""COMPUTED_VALUE"""),0.0)</f>
        <v>0</v>
      </c>
      <c r="Y110" s="8">
        <f>IFERROR(__xludf.DUMMYFUNCTION("""COMPUTED_VALUE"""),0.0)</f>
        <v>0</v>
      </c>
      <c r="Z110" s="8">
        <f>IFERROR(__xludf.DUMMYFUNCTION("""COMPUTED_VALUE"""),0.0)</f>
        <v>0</v>
      </c>
      <c r="AA110" s="8">
        <f>IFERROR(__xludf.DUMMYFUNCTION("""COMPUTED_VALUE"""),0.0)</f>
        <v>0</v>
      </c>
      <c r="AB110" s="8">
        <f>IFERROR(__xludf.DUMMYFUNCTION("""COMPUTED_VALUE"""),0.0)</f>
        <v>0</v>
      </c>
      <c r="AC110" s="8">
        <f>IFERROR(__xludf.DUMMYFUNCTION("""COMPUTED_VALUE"""),0.0)</f>
        <v>0</v>
      </c>
    </row>
    <row r="111" ht="15.75" customHeight="1">
      <c r="A111" s="6" t="str">
        <f>IFERROR(__xludf.DUMMYFUNCTION("""COMPUTED_VALUE"""),"5843f25ac24c8ba34301e2cfe9e73ddc0bfd8fc7")</f>
        <v>5843f25ac24c8ba34301e2cfe9e73ddc0bfd8fc7</v>
      </c>
      <c r="B111" s="6" t="str">
        <f>IFERROR(__xludf.DUMMYFUNCTION("""COMPUTED_VALUE"""),"The Fire Reborn Xavier")</f>
        <v>The Fire Reborn Xavier</v>
      </c>
      <c r="C111" s="6" t="str">
        <f>IFERROR(__xludf.DUMMYFUNCTION("""COMPUTED_VALUE"""),"System and Superpower")</f>
        <v>System and Superpower</v>
      </c>
      <c r="D111" s="17">
        <f>IFERROR(__xludf.DUMMYFUNCTION("""COMPUTED_VALUE"""),674.0)</f>
        <v>674</v>
      </c>
      <c r="E111" s="8">
        <f>IFERROR(__xludf.DUMMYFUNCTION("""COMPUTED_VALUE"""),0.982195845697329)</f>
        <v>0.9821958457</v>
      </c>
      <c r="F111" s="8">
        <f>IFERROR(__xludf.DUMMYFUNCTION("""COMPUTED_VALUE"""),0.514115898959881)</f>
        <v>0.514115899</v>
      </c>
      <c r="G111" s="8">
        <f>IFERROR(__xludf.DUMMYFUNCTION("""COMPUTED_VALUE"""),0.449925261584454)</f>
        <v>0.4499252616</v>
      </c>
      <c r="H111" s="8">
        <f>IFERROR(__xludf.DUMMYFUNCTION("""COMPUTED_VALUE"""),0.4)</f>
        <v>0.4</v>
      </c>
      <c r="I111" s="8">
        <f>IFERROR(__xludf.DUMMYFUNCTION("""COMPUTED_VALUE"""),0.368024132730015)</f>
        <v>0.3680241327</v>
      </c>
      <c r="J111" s="8">
        <f>IFERROR(__xludf.DUMMYFUNCTION("""COMPUTED_VALUE"""),0.339879154078549)</f>
        <v>0.3398791541</v>
      </c>
      <c r="K111" s="8">
        <f>IFERROR(__xludf.DUMMYFUNCTION("""COMPUTED_VALUE"""),0.314112291350531)</f>
        <v>0.3141122914</v>
      </c>
      <c r="L111" s="8">
        <f>IFERROR(__xludf.DUMMYFUNCTION("""COMPUTED_VALUE"""),0.308411214953271)</f>
        <v>0.308411215</v>
      </c>
      <c r="M111" s="8">
        <f>IFERROR(__xludf.DUMMYFUNCTION("""COMPUTED_VALUE"""),0.287931034482758)</f>
        <v>0.2879310345</v>
      </c>
      <c r="N111" s="8">
        <f>IFERROR(__xludf.DUMMYFUNCTION("""COMPUTED_VALUE"""),0.265748031496063)</f>
        <v>0.2657480315</v>
      </c>
      <c r="O111" s="8">
        <f>IFERROR(__xludf.DUMMYFUNCTION("""COMPUTED_VALUE"""),0.275)</f>
        <v>0.275</v>
      </c>
      <c r="P111" s="8">
        <f>IFERROR(__xludf.DUMMYFUNCTION("""COMPUTED_VALUE"""),0.210526315789473)</f>
        <v>0.2105263158</v>
      </c>
      <c r="Q111" s="8">
        <f>IFERROR(__xludf.DUMMYFUNCTION("""COMPUTED_VALUE"""),0.167883211678832)</f>
        <v>0.1678832117</v>
      </c>
      <c r="R111" s="8">
        <f>IFERROR(__xludf.DUMMYFUNCTION("""COMPUTED_VALUE"""),0.113043478260869)</f>
        <v>0.1130434783</v>
      </c>
      <c r="S111" s="8">
        <f>IFERROR(__xludf.DUMMYFUNCTION("""COMPUTED_VALUE"""),0.0697674418604651)</f>
        <v>0.06976744186</v>
      </c>
      <c r="T111" s="8">
        <f>IFERROR(__xludf.DUMMYFUNCTION("""COMPUTED_VALUE"""),0.0)</f>
        <v>0</v>
      </c>
      <c r="U111" s="8">
        <f>IFERROR(__xludf.DUMMYFUNCTION("""COMPUTED_VALUE"""),0.0)</f>
        <v>0</v>
      </c>
      <c r="V111" s="8">
        <f>IFERROR(__xludf.DUMMYFUNCTION("""COMPUTED_VALUE"""),0.0)</f>
        <v>0</v>
      </c>
      <c r="W111" s="8">
        <f>IFERROR(__xludf.DUMMYFUNCTION("""COMPUTED_VALUE"""),0.0)</f>
        <v>0</v>
      </c>
      <c r="X111" s="8">
        <f>IFERROR(__xludf.DUMMYFUNCTION("""COMPUTED_VALUE"""),0.0)</f>
        <v>0</v>
      </c>
      <c r="Y111" s="8">
        <f>IFERROR(__xludf.DUMMYFUNCTION("""COMPUTED_VALUE"""),0.0)</f>
        <v>0</v>
      </c>
      <c r="Z111" s="8">
        <f>IFERROR(__xludf.DUMMYFUNCTION("""COMPUTED_VALUE"""),0.0)</f>
        <v>0</v>
      </c>
      <c r="AA111" s="8">
        <f>IFERROR(__xludf.DUMMYFUNCTION("""COMPUTED_VALUE"""),0.0)</f>
        <v>0</v>
      </c>
      <c r="AB111" s="8">
        <f>IFERROR(__xludf.DUMMYFUNCTION("""COMPUTED_VALUE"""),0.0)</f>
        <v>0</v>
      </c>
      <c r="AC111" s="8">
        <f>IFERROR(__xludf.DUMMYFUNCTION("""COMPUTED_VALUE"""),0.0)</f>
        <v>0</v>
      </c>
    </row>
    <row r="112" ht="15.75" customHeight="1">
      <c r="A112" s="6" t="str">
        <f>IFERROR(__xludf.DUMMYFUNCTION("""COMPUTED_VALUE"""),"596d213162507bbf543b3c2a618f8bb54acd4623")</f>
        <v>596d213162507bbf543b3c2a618f8bb54acd4623</v>
      </c>
      <c r="B112" s="6" t="str">
        <f>IFERROR(__xludf.DUMMYFUNCTION("""COMPUTED_VALUE"""),"Echoes of Regrets")</f>
        <v>Echoes of Regrets</v>
      </c>
      <c r="C112" s="6" t="str">
        <f>IFERROR(__xludf.DUMMYFUNCTION("""COMPUTED_VALUE"""),"Romance")</f>
        <v>Romance</v>
      </c>
      <c r="D112" s="17">
        <f>IFERROR(__xludf.DUMMYFUNCTION("""COMPUTED_VALUE"""),258.0)</f>
        <v>258</v>
      </c>
      <c r="E112" s="8">
        <f>IFERROR(__xludf.DUMMYFUNCTION("""COMPUTED_VALUE"""),0.979079497907949)</f>
        <v>0.9790794979</v>
      </c>
      <c r="F112" s="8">
        <f>IFERROR(__xludf.DUMMYFUNCTION("""COMPUTED_VALUE"""),0.608695652173913)</f>
        <v>0.6086956522</v>
      </c>
      <c r="G112" s="8">
        <f>IFERROR(__xludf.DUMMYFUNCTION("""COMPUTED_VALUE"""),0.553299492385786)</f>
        <v>0.5532994924</v>
      </c>
      <c r="H112" s="8">
        <f>IFERROR(__xludf.DUMMYFUNCTION("""COMPUTED_VALUE"""),0.45054945054945)</f>
        <v>0.4505494505</v>
      </c>
      <c r="I112" s="8">
        <f>IFERROR(__xludf.DUMMYFUNCTION("""COMPUTED_VALUE"""),0.406976744186046)</f>
        <v>0.4069767442</v>
      </c>
      <c r="J112" s="8">
        <f>IFERROR(__xludf.DUMMYFUNCTION("""COMPUTED_VALUE"""),0.36)</f>
        <v>0.36</v>
      </c>
      <c r="K112" s="8">
        <f>IFERROR(__xludf.DUMMYFUNCTION("""COMPUTED_VALUE"""),0.340425531914893)</f>
        <v>0.3404255319</v>
      </c>
      <c r="L112" s="8">
        <f>IFERROR(__xludf.DUMMYFUNCTION("""COMPUTED_VALUE"""),0.351851851851851)</f>
        <v>0.3518518519</v>
      </c>
      <c r="M112" s="8">
        <f>IFERROR(__xludf.DUMMYFUNCTION("""COMPUTED_VALUE"""),0.355555555555555)</f>
        <v>0.3555555556</v>
      </c>
      <c r="N112" s="8">
        <f>IFERROR(__xludf.DUMMYFUNCTION("""COMPUTED_VALUE"""),0.276315789473684)</f>
        <v>0.2763157895</v>
      </c>
      <c r="O112" s="8">
        <f>IFERROR(__xludf.DUMMYFUNCTION("""COMPUTED_VALUE"""),0.311475409836065)</f>
        <v>0.3114754098</v>
      </c>
      <c r="P112" s="8">
        <f>IFERROR(__xludf.DUMMYFUNCTION("""COMPUTED_VALUE"""),0.262295081967213)</f>
        <v>0.262295082</v>
      </c>
      <c r="Q112" s="8">
        <f>IFERROR(__xludf.DUMMYFUNCTION("""COMPUTED_VALUE"""),0.189189189189189)</f>
        <v>0.1891891892</v>
      </c>
      <c r="R112" s="8">
        <f>IFERROR(__xludf.DUMMYFUNCTION("""COMPUTED_VALUE"""),0.0)</f>
        <v>0</v>
      </c>
      <c r="S112" s="8">
        <f>IFERROR(__xludf.DUMMYFUNCTION("""COMPUTED_VALUE"""),0.0)</f>
        <v>0</v>
      </c>
      <c r="T112" s="8">
        <f>IFERROR(__xludf.DUMMYFUNCTION("""COMPUTED_VALUE"""),0.0)</f>
        <v>0</v>
      </c>
      <c r="U112" s="8">
        <f>IFERROR(__xludf.DUMMYFUNCTION("""COMPUTED_VALUE"""),0.0)</f>
        <v>0</v>
      </c>
      <c r="V112" s="8">
        <f>IFERROR(__xludf.DUMMYFUNCTION("""COMPUTED_VALUE"""),0.0)</f>
        <v>0</v>
      </c>
      <c r="W112" s="8">
        <f>IFERROR(__xludf.DUMMYFUNCTION("""COMPUTED_VALUE"""),0.0)</f>
        <v>0</v>
      </c>
      <c r="X112" s="8">
        <f>IFERROR(__xludf.DUMMYFUNCTION("""COMPUTED_VALUE"""),0.0)</f>
        <v>0</v>
      </c>
      <c r="Y112" s="8">
        <f>IFERROR(__xludf.DUMMYFUNCTION("""COMPUTED_VALUE"""),0.0)</f>
        <v>0</v>
      </c>
      <c r="Z112" s="8">
        <f>IFERROR(__xludf.DUMMYFUNCTION("""COMPUTED_VALUE"""),0.0)</f>
        <v>0</v>
      </c>
      <c r="AA112" s="8">
        <f>IFERROR(__xludf.DUMMYFUNCTION("""COMPUTED_VALUE"""),0.0)</f>
        <v>0</v>
      </c>
      <c r="AB112" s="8">
        <f>IFERROR(__xludf.DUMMYFUNCTION("""COMPUTED_VALUE"""),0.0)</f>
        <v>0</v>
      </c>
      <c r="AC112" s="8">
        <f>IFERROR(__xludf.DUMMYFUNCTION("""COMPUTED_VALUE"""),0.0)</f>
        <v>0</v>
      </c>
    </row>
    <row r="113" ht="15.75" customHeight="1">
      <c r="A113" s="6" t="str">
        <f>IFERROR(__xludf.DUMMYFUNCTION("""COMPUTED_VALUE"""),"5c0a4a3bda3c16a4ed94c8945bade52e165a2848")</f>
        <v>5c0a4a3bda3c16a4ed94c8945bade52e165a2848</v>
      </c>
      <c r="B113" s="6" t="str">
        <f>IFERROR(__xludf.DUMMYFUNCTION("""COMPUTED_VALUE"""),"Bound to Reclusive Alpha")</f>
        <v>Bound to Reclusive Alpha</v>
      </c>
      <c r="C113" s="6" t="str">
        <f>IFERROR(__xludf.DUMMYFUNCTION("""COMPUTED_VALUE"""),"Fantasy")</f>
        <v>Fantasy</v>
      </c>
      <c r="D113" s="17">
        <f>IFERROR(__xludf.DUMMYFUNCTION("""COMPUTED_VALUE"""),715.0)</f>
        <v>715</v>
      </c>
      <c r="E113" s="8">
        <f>IFERROR(__xludf.DUMMYFUNCTION("""COMPUTED_VALUE"""),0.983216783216783)</f>
        <v>0.9832167832</v>
      </c>
      <c r="F113" s="8">
        <f>IFERROR(__xludf.DUMMYFUNCTION("""COMPUTED_VALUE"""),0.53641456582633)</f>
        <v>0.5364145658</v>
      </c>
      <c r="G113" s="8">
        <f>IFERROR(__xludf.DUMMYFUNCTION("""COMPUTED_VALUE"""),0.465149359886202)</f>
        <v>0.4651493599</v>
      </c>
      <c r="H113" s="8">
        <f>IFERROR(__xludf.DUMMYFUNCTION("""COMPUTED_VALUE"""),0.420118343195266)</f>
        <v>0.4201183432</v>
      </c>
      <c r="I113" s="8">
        <f>IFERROR(__xludf.DUMMYFUNCTION("""COMPUTED_VALUE"""),0.383928571428571)</f>
        <v>0.3839285714</v>
      </c>
      <c r="J113" s="8">
        <f>IFERROR(__xludf.DUMMYFUNCTION("""COMPUTED_VALUE"""),0.348942598187311)</f>
        <v>0.3489425982</v>
      </c>
      <c r="K113" s="8">
        <f>IFERROR(__xludf.DUMMYFUNCTION("""COMPUTED_VALUE"""),0.321156773211567)</f>
        <v>0.3211567732</v>
      </c>
      <c r="L113" s="8">
        <f>IFERROR(__xludf.DUMMYFUNCTION("""COMPUTED_VALUE"""),0.307692307692307)</f>
        <v>0.3076923077</v>
      </c>
      <c r="M113" s="8">
        <f>IFERROR(__xludf.DUMMYFUNCTION("""COMPUTED_VALUE"""),0.283870967741935)</f>
        <v>0.2838709677</v>
      </c>
      <c r="N113" s="8">
        <f>IFERROR(__xludf.DUMMYFUNCTION("""COMPUTED_VALUE"""),0.25)</f>
        <v>0.25</v>
      </c>
      <c r="O113" s="8">
        <f>IFERROR(__xludf.DUMMYFUNCTION("""COMPUTED_VALUE"""),0.195372750642673)</f>
        <v>0.1953727506</v>
      </c>
      <c r="P113" s="8">
        <f>IFERROR(__xludf.DUMMYFUNCTION("""COMPUTED_VALUE"""),0.189473684210526)</f>
        <v>0.1894736842</v>
      </c>
      <c r="Q113" s="8">
        <f>IFERROR(__xludf.DUMMYFUNCTION("""COMPUTED_VALUE"""),0.0376344086021505)</f>
        <v>0.0376344086</v>
      </c>
      <c r="R113" s="8">
        <f>IFERROR(__xludf.DUMMYFUNCTION("""COMPUTED_VALUE"""),0.0273972602739726)</f>
        <v>0.02739726027</v>
      </c>
      <c r="S113" s="8">
        <f>IFERROR(__xludf.DUMMYFUNCTION("""COMPUTED_VALUE"""),0.0666666666666666)</f>
        <v>0.06666666667</v>
      </c>
      <c r="T113" s="8">
        <f>IFERROR(__xludf.DUMMYFUNCTION("""COMPUTED_VALUE"""),0.0)</f>
        <v>0</v>
      </c>
      <c r="U113" s="8">
        <f>IFERROR(__xludf.DUMMYFUNCTION("""COMPUTED_VALUE"""),0.0)</f>
        <v>0</v>
      </c>
      <c r="V113" s="8">
        <f>IFERROR(__xludf.DUMMYFUNCTION("""COMPUTED_VALUE"""),0.0)</f>
        <v>0</v>
      </c>
      <c r="W113" s="8">
        <f>IFERROR(__xludf.DUMMYFUNCTION("""COMPUTED_VALUE"""),0.0)</f>
        <v>0</v>
      </c>
      <c r="X113" s="8">
        <f>IFERROR(__xludf.DUMMYFUNCTION("""COMPUTED_VALUE"""),0.0)</f>
        <v>0</v>
      </c>
      <c r="Y113" s="8">
        <f>IFERROR(__xludf.DUMMYFUNCTION("""COMPUTED_VALUE"""),0.0)</f>
        <v>0</v>
      </c>
      <c r="Z113" s="8">
        <f>IFERROR(__xludf.DUMMYFUNCTION("""COMPUTED_VALUE"""),0.0)</f>
        <v>0</v>
      </c>
      <c r="AA113" s="8">
        <f>IFERROR(__xludf.DUMMYFUNCTION("""COMPUTED_VALUE"""),0.0)</f>
        <v>0</v>
      </c>
      <c r="AB113" s="8">
        <f>IFERROR(__xludf.DUMMYFUNCTION("""COMPUTED_VALUE"""),0.0)</f>
        <v>0</v>
      </c>
      <c r="AC113" s="8">
        <f>IFERROR(__xludf.DUMMYFUNCTION("""COMPUTED_VALUE"""),0.0)</f>
        <v>0</v>
      </c>
    </row>
    <row r="114" ht="15.75" customHeight="1">
      <c r="A114" s="6" t="str">
        <f>IFERROR(__xludf.DUMMYFUNCTION("""COMPUTED_VALUE"""),"5cf4b46f18d6bb7294440595874ef70922a2b9a3")</f>
        <v>5cf4b46f18d6bb7294440595874ef70922a2b9a3</v>
      </c>
      <c r="B114" s="6" t="str">
        <f>IFERROR(__xludf.DUMMYFUNCTION("""COMPUTED_VALUE"""),"Alabama Royal")</f>
        <v>Alabama Royal</v>
      </c>
      <c r="C114" s="6" t="str">
        <f>IFERROR(__xludf.DUMMYFUNCTION("""COMPUTED_VALUE"""),"Romance")</f>
        <v>Romance</v>
      </c>
      <c r="D114" s="17">
        <f>IFERROR(__xludf.DUMMYFUNCTION("""COMPUTED_VALUE"""),607.0)</f>
        <v>607</v>
      </c>
      <c r="E114" s="8">
        <f>IFERROR(__xludf.DUMMYFUNCTION("""COMPUTED_VALUE"""),0.976935749588138)</f>
        <v>0.9769357496</v>
      </c>
      <c r="F114" s="8">
        <f>IFERROR(__xludf.DUMMYFUNCTION("""COMPUTED_VALUE"""),0.477759472817133)</f>
        <v>0.4777594728</v>
      </c>
      <c r="G114" s="8">
        <f>IFERROR(__xludf.DUMMYFUNCTION("""COMPUTED_VALUE"""),0.42833607907743)</f>
        <v>0.4283360791</v>
      </c>
      <c r="H114" s="8">
        <f>IFERROR(__xludf.DUMMYFUNCTION("""COMPUTED_VALUE"""),0.389438943894389)</f>
        <v>0.3894389439</v>
      </c>
      <c r="I114" s="8">
        <f>IFERROR(__xludf.DUMMYFUNCTION("""COMPUTED_VALUE"""),0.360330578512396)</f>
        <v>0.3603305785</v>
      </c>
      <c r="J114" s="8">
        <f>IFERROR(__xludf.DUMMYFUNCTION("""COMPUTED_VALUE"""),0.322314049586776)</f>
        <v>0.3223140496</v>
      </c>
      <c r="K114" s="8">
        <f>IFERROR(__xludf.DUMMYFUNCTION("""COMPUTED_VALUE"""),0.310743801652892)</f>
        <v>0.3107438017</v>
      </c>
      <c r="L114" s="8">
        <f>IFERROR(__xludf.DUMMYFUNCTION("""COMPUTED_VALUE"""),0.29090909090909)</f>
        <v>0.2909090909</v>
      </c>
      <c r="M114" s="8">
        <f>IFERROR(__xludf.DUMMYFUNCTION("""COMPUTED_VALUE"""),0.273178807947019)</f>
        <v>0.2731788079</v>
      </c>
      <c r="N114" s="8">
        <f>IFERROR(__xludf.DUMMYFUNCTION("""COMPUTED_VALUE"""),0.263681592039801)</f>
        <v>0.263681592</v>
      </c>
      <c r="O114" s="8">
        <f>IFERROR(__xludf.DUMMYFUNCTION("""COMPUTED_VALUE"""),0.223728813559322)</f>
        <v>0.2237288136</v>
      </c>
      <c r="P114" s="8">
        <f>IFERROR(__xludf.DUMMYFUNCTION("""COMPUTED_VALUE"""),0.187285223367697)</f>
        <v>0.1872852234</v>
      </c>
      <c r="Q114" s="8">
        <f>IFERROR(__xludf.DUMMYFUNCTION("""COMPUTED_VALUE"""),0.131147540983606)</f>
        <v>0.131147541</v>
      </c>
      <c r="R114" s="8">
        <f>IFERROR(__xludf.DUMMYFUNCTION("""COMPUTED_VALUE"""),0.0)</f>
        <v>0</v>
      </c>
      <c r="S114" s="8">
        <f>IFERROR(__xludf.DUMMYFUNCTION("""COMPUTED_VALUE"""),0.0)</f>
        <v>0</v>
      </c>
      <c r="T114" s="8">
        <f>IFERROR(__xludf.DUMMYFUNCTION("""COMPUTED_VALUE"""),0.0)</f>
        <v>0</v>
      </c>
      <c r="U114" s="8">
        <f>IFERROR(__xludf.DUMMYFUNCTION("""COMPUTED_VALUE"""),0.0)</f>
        <v>0</v>
      </c>
      <c r="V114" s="8">
        <f>IFERROR(__xludf.DUMMYFUNCTION("""COMPUTED_VALUE"""),0.0)</f>
        <v>0</v>
      </c>
      <c r="W114" s="8">
        <f>IFERROR(__xludf.DUMMYFUNCTION("""COMPUTED_VALUE"""),0.0)</f>
        <v>0</v>
      </c>
      <c r="X114" s="8">
        <f>IFERROR(__xludf.DUMMYFUNCTION("""COMPUTED_VALUE"""),0.0)</f>
        <v>0</v>
      </c>
      <c r="Y114" s="8">
        <f>IFERROR(__xludf.DUMMYFUNCTION("""COMPUTED_VALUE"""),0.0)</f>
        <v>0</v>
      </c>
      <c r="Z114" s="8">
        <f>IFERROR(__xludf.DUMMYFUNCTION("""COMPUTED_VALUE"""),0.0)</f>
        <v>0</v>
      </c>
      <c r="AA114" s="8">
        <f>IFERROR(__xludf.DUMMYFUNCTION("""COMPUTED_VALUE"""),0.0)</f>
        <v>0</v>
      </c>
      <c r="AB114" s="8">
        <f>IFERROR(__xludf.DUMMYFUNCTION("""COMPUTED_VALUE"""),0.0)</f>
        <v>0</v>
      </c>
      <c r="AC114" s="8">
        <f>IFERROR(__xludf.DUMMYFUNCTION("""COMPUTED_VALUE"""),0.0)</f>
        <v>0</v>
      </c>
    </row>
    <row r="115" ht="15.75" customHeight="1">
      <c r="A115" s="6" t="str">
        <f>IFERROR(__xludf.DUMMYFUNCTION("""COMPUTED_VALUE"""),"5d4e7e8696e74e383e0ea0e4f4f535ba9758496a")</f>
        <v>5d4e7e8696e74e383e0ea0e4f4f535ba9758496a</v>
      </c>
      <c r="B115" s="6" t="str">
        <f>IFERROR(__xludf.DUMMYFUNCTION("""COMPUTED_VALUE"""),"Who Fathered My Twins")</f>
        <v>Who Fathered My Twins</v>
      </c>
      <c r="C115" s="6" t="str">
        <f>IFERROR(__xludf.DUMMYFUNCTION("""COMPUTED_VALUE"""),"Romance")</f>
        <v>Romance</v>
      </c>
      <c r="D115" s="17">
        <f>IFERROR(__xludf.DUMMYFUNCTION("""COMPUTED_VALUE"""),111.0)</f>
        <v>111</v>
      </c>
      <c r="E115" s="8">
        <f>IFERROR(__xludf.DUMMYFUNCTION("""COMPUTED_VALUE"""),0.945945945945945)</f>
        <v>0.9459459459</v>
      </c>
      <c r="F115" s="8">
        <f>IFERROR(__xludf.DUMMYFUNCTION("""COMPUTED_VALUE"""),0.648648648648648)</f>
        <v>0.6486486486</v>
      </c>
      <c r="G115" s="8">
        <f>IFERROR(__xludf.DUMMYFUNCTION("""COMPUTED_VALUE"""),0.594594594594594)</f>
        <v>0.5945945946</v>
      </c>
      <c r="H115" s="8">
        <f>IFERROR(__xludf.DUMMYFUNCTION("""COMPUTED_VALUE"""),0.567567567567567)</f>
        <v>0.5675675676</v>
      </c>
      <c r="I115" s="8">
        <f>IFERROR(__xludf.DUMMYFUNCTION("""COMPUTED_VALUE"""),0.531531531531531)</f>
        <v>0.5315315315</v>
      </c>
      <c r="J115" s="8">
        <f>IFERROR(__xludf.DUMMYFUNCTION("""COMPUTED_VALUE"""),0.558558558558558)</f>
        <v>0.5585585586</v>
      </c>
      <c r="K115" s="8">
        <f>IFERROR(__xludf.DUMMYFUNCTION("""COMPUTED_VALUE"""),0.504504504504504)</f>
        <v>0.5045045045</v>
      </c>
      <c r="L115" s="8">
        <f>IFERROR(__xludf.DUMMYFUNCTION("""COMPUTED_VALUE"""),0.477477477477477)</f>
        <v>0.4774774775</v>
      </c>
      <c r="M115" s="8">
        <f>IFERROR(__xludf.DUMMYFUNCTION("""COMPUTED_VALUE"""),0.504504504504504)</f>
        <v>0.5045045045</v>
      </c>
      <c r="N115" s="8">
        <f>IFERROR(__xludf.DUMMYFUNCTION("""COMPUTED_VALUE"""),0.5)</f>
        <v>0.5</v>
      </c>
      <c r="O115" s="8">
        <f>IFERROR(__xludf.DUMMYFUNCTION("""COMPUTED_VALUE"""),0.478260869565217)</f>
        <v>0.4782608696</v>
      </c>
      <c r="P115" s="8">
        <f>IFERROR(__xludf.DUMMYFUNCTION("""COMPUTED_VALUE"""),0.222222222222222)</f>
        <v>0.2222222222</v>
      </c>
      <c r="Q115" s="8">
        <f>IFERROR(__xludf.DUMMYFUNCTION("""COMPUTED_VALUE"""),0.0657894736842105)</f>
        <v>0.06578947368</v>
      </c>
      <c r="R115" s="8">
        <f>IFERROR(__xludf.DUMMYFUNCTION("""COMPUTED_VALUE"""),0.103448275862068)</f>
        <v>0.1034482759</v>
      </c>
      <c r="S115" s="8">
        <f>IFERROR(__xludf.DUMMYFUNCTION("""COMPUTED_VALUE"""),0.0)</f>
        <v>0</v>
      </c>
      <c r="T115" s="8">
        <f>IFERROR(__xludf.DUMMYFUNCTION("""COMPUTED_VALUE"""),0.0)</f>
        <v>0</v>
      </c>
      <c r="U115" s="8">
        <f>IFERROR(__xludf.DUMMYFUNCTION("""COMPUTED_VALUE"""),0.0)</f>
        <v>0</v>
      </c>
      <c r="V115" s="8">
        <f>IFERROR(__xludf.DUMMYFUNCTION("""COMPUTED_VALUE"""),0.0)</f>
        <v>0</v>
      </c>
      <c r="W115" s="8">
        <f>IFERROR(__xludf.DUMMYFUNCTION("""COMPUTED_VALUE"""),0.0)</f>
        <v>0</v>
      </c>
      <c r="X115" s="8">
        <f>IFERROR(__xludf.DUMMYFUNCTION("""COMPUTED_VALUE"""),0.0)</f>
        <v>0</v>
      </c>
      <c r="Y115" s="8">
        <f>IFERROR(__xludf.DUMMYFUNCTION("""COMPUTED_VALUE"""),0.0)</f>
        <v>0</v>
      </c>
      <c r="Z115" s="8">
        <f>IFERROR(__xludf.DUMMYFUNCTION("""COMPUTED_VALUE"""),0.0)</f>
        <v>0</v>
      </c>
      <c r="AA115" s="8">
        <f>IFERROR(__xludf.DUMMYFUNCTION("""COMPUTED_VALUE"""),0.0)</f>
        <v>0</v>
      </c>
      <c r="AB115" s="8">
        <f>IFERROR(__xludf.DUMMYFUNCTION("""COMPUTED_VALUE"""),0.0)</f>
        <v>0</v>
      </c>
      <c r="AC115" s="8">
        <f>IFERROR(__xludf.DUMMYFUNCTION("""COMPUTED_VALUE"""),0.0)</f>
        <v>0</v>
      </c>
    </row>
    <row r="116" ht="15.75" customHeight="1">
      <c r="A116" s="6" t="str">
        <f>IFERROR(__xludf.DUMMYFUNCTION("""COMPUTED_VALUE"""),"5e570d3fccfb5029774b4d9f9669429f580d0791")</f>
        <v>5e570d3fccfb5029774b4d9f9669429f580d0791</v>
      </c>
      <c r="B116" s="6" t="str">
        <f>IFERROR(__xludf.DUMMYFUNCTION("""COMPUTED_VALUE"""),"Princess Ebony &amp; the Silver Dragon")</f>
        <v>Princess Ebony &amp; the Silver Dragon</v>
      </c>
      <c r="C116" s="6" t="str">
        <f>IFERROR(__xludf.DUMMYFUNCTION("""COMPUTED_VALUE"""),"Fantasy")</f>
        <v>Fantasy</v>
      </c>
      <c r="D116" s="17">
        <f>IFERROR(__xludf.DUMMYFUNCTION("""COMPUTED_VALUE"""),1742.0)</f>
        <v>1742</v>
      </c>
      <c r="E116" s="8">
        <f>IFERROR(__xludf.DUMMYFUNCTION("""COMPUTED_VALUE"""),0.928776565192418)</f>
        <v>0.9287765652</v>
      </c>
      <c r="F116" s="8">
        <f>IFERROR(__xludf.DUMMYFUNCTION("""COMPUTED_VALUE"""),0.608294930875576)</f>
        <v>0.6082949309</v>
      </c>
      <c r="G116" s="8">
        <f>IFERROR(__xludf.DUMMYFUNCTION("""COMPUTED_VALUE"""),0.553571428571428)</f>
        <v>0.5535714286</v>
      </c>
      <c r="H116" s="8">
        <f>IFERROR(__xludf.DUMMYFUNCTION("""COMPUTED_VALUE"""),0.524193548387096)</f>
        <v>0.5241935484</v>
      </c>
      <c r="I116" s="8">
        <f>IFERROR(__xludf.DUMMYFUNCTION("""COMPUTED_VALUE"""),0.513544668587896)</f>
        <v>0.5135446686</v>
      </c>
      <c r="J116" s="8">
        <f>IFERROR(__xludf.DUMMYFUNCTION("""COMPUTED_VALUE"""),0.497406340057636)</f>
        <v>0.4974063401</v>
      </c>
      <c r="K116" s="8">
        <f>IFERROR(__xludf.DUMMYFUNCTION("""COMPUTED_VALUE"""),0.474927953890489)</f>
        <v>0.4749279539</v>
      </c>
      <c r="L116" s="8">
        <f>IFERROR(__xludf.DUMMYFUNCTION("""COMPUTED_VALUE"""),0.46743515850144)</f>
        <v>0.4674351585</v>
      </c>
      <c r="M116" s="8">
        <f>IFERROR(__xludf.DUMMYFUNCTION("""COMPUTED_VALUE"""),0.461095100864553)</f>
        <v>0.4610951009</v>
      </c>
      <c r="N116" s="8">
        <f>IFERROR(__xludf.DUMMYFUNCTION("""COMPUTED_VALUE"""),0.449567723342939)</f>
        <v>0.4495677233</v>
      </c>
      <c r="O116" s="8">
        <f>IFERROR(__xludf.DUMMYFUNCTION("""COMPUTED_VALUE"""),0.413832853025936)</f>
        <v>0.413832853</v>
      </c>
      <c r="P116" s="8">
        <f>IFERROR(__xludf.DUMMYFUNCTION("""COMPUTED_VALUE"""),0.360230547550432)</f>
        <v>0.3602305476</v>
      </c>
      <c r="Q116" s="8">
        <f>IFERROR(__xludf.DUMMYFUNCTION("""COMPUTED_VALUE"""),0.288760806916426)</f>
        <v>0.2887608069</v>
      </c>
      <c r="R116" s="8">
        <f>IFERROR(__xludf.DUMMYFUNCTION("""COMPUTED_VALUE"""),0.260092272202998)</f>
        <v>0.2600922722</v>
      </c>
      <c r="S116" s="8">
        <f>IFERROR(__xludf.DUMMYFUNCTION("""COMPUTED_VALUE"""),0.226643598615916)</f>
        <v>0.2266435986</v>
      </c>
      <c r="T116" s="8">
        <f>IFERROR(__xludf.DUMMYFUNCTION("""COMPUTED_VALUE"""),0.190888119953863)</f>
        <v>0.19088812</v>
      </c>
      <c r="U116" s="8">
        <f>IFERROR(__xludf.DUMMYFUNCTION("""COMPUTED_VALUE"""),0.143086816720257)</f>
        <v>0.1430868167</v>
      </c>
      <c r="V116" s="8">
        <f>IFERROR(__xludf.DUMMYFUNCTION("""COMPUTED_VALUE"""),0.0997624703087886)</f>
        <v>0.09976247031</v>
      </c>
      <c r="W116" s="8">
        <f>IFERROR(__xludf.DUMMYFUNCTION("""COMPUTED_VALUE"""),0.0966386554621848)</f>
        <v>0.09663865546</v>
      </c>
      <c r="X116" s="8">
        <f>IFERROR(__xludf.DUMMYFUNCTION("""COMPUTED_VALUE"""),0.0218978102189781)</f>
        <v>0.02189781022</v>
      </c>
      <c r="Y116" s="8">
        <f>IFERROR(__xludf.DUMMYFUNCTION("""COMPUTED_VALUE"""),0.037037037037037)</f>
        <v>0.03703703704</v>
      </c>
      <c r="Z116" s="8">
        <f>IFERROR(__xludf.DUMMYFUNCTION("""COMPUTED_VALUE"""),0.0)</f>
        <v>0</v>
      </c>
      <c r="AA116" s="8">
        <f>IFERROR(__xludf.DUMMYFUNCTION("""COMPUTED_VALUE"""),0.0)</f>
        <v>0</v>
      </c>
      <c r="AB116" s="8">
        <f>IFERROR(__xludf.DUMMYFUNCTION("""COMPUTED_VALUE"""),0.0)</f>
        <v>0</v>
      </c>
      <c r="AC116" s="8">
        <f>IFERROR(__xludf.DUMMYFUNCTION("""COMPUTED_VALUE"""),0.0)</f>
        <v>0</v>
      </c>
    </row>
    <row r="117" ht="15.75" customHeight="1">
      <c r="A117" s="6" t="str">
        <f>IFERROR(__xludf.DUMMYFUNCTION("""COMPUTED_VALUE"""),"600fd3dce36442cc62b42d3dc874d91d13e1d8e4")</f>
        <v>600fd3dce36442cc62b42d3dc874d91d13e1d8e4</v>
      </c>
      <c r="B117" s="6" t="str">
        <f>IFERROR(__xludf.DUMMYFUNCTION("""COMPUTED_VALUE"""),"Solo Leveling Respawn")</f>
        <v>Solo Leveling Respawn</v>
      </c>
      <c r="C117" s="6" t="str">
        <f>IFERROR(__xludf.DUMMYFUNCTION("""COMPUTED_VALUE"""),"System and Superpower")</f>
        <v>System and Superpower</v>
      </c>
      <c r="D117" s="17">
        <f>IFERROR(__xludf.DUMMYFUNCTION("""COMPUTED_VALUE"""),70.0)</f>
        <v>70</v>
      </c>
      <c r="E117" s="8">
        <f>IFERROR(__xludf.DUMMYFUNCTION("""COMPUTED_VALUE"""),0.985714285714285)</f>
        <v>0.9857142857</v>
      </c>
      <c r="F117" s="8">
        <f>IFERROR(__xludf.DUMMYFUNCTION("""COMPUTED_VALUE"""),0.485714285714285)</f>
        <v>0.4857142857</v>
      </c>
      <c r="G117" s="8">
        <f>IFERROR(__xludf.DUMMYFUNCTION("""COMPUTED_VALUE"""),0.328571428571428)</f>
        <v>0.3285714286</v>
      </c>
      <c r="H117" s="8">
        <f>IFERROR(__xludf.DUMMYFUNCTION("""COMPUTED_VALUE"""),0.271428571428571)</f>
        <v>0.2714285714</v>
      </c>
      <c r="I117" s="8">
        <f>IFERROR(__xludf.DUMMYFUNCTION("""COMPUTED_VALUE"""),0.228571428571428)</f>
        <v>0.2285714286</v>
      </c>
      <c r="J117" s="8">
        <f>IFERROR(__xludf.DUMMYFUNCTION("""COMPUTED_VALUE"""),0.188405797101449)</f>
        <v>0.1884057971</v>
      </c>
      <c r="K117" s="8">
        <f>IFERROR(__xludf.DUMMYFUNCTION("""COMPUTED_VALUE"""),0.144927536231884)</f>
        <v>0.1449275362</v>
      </c>
      <c r="L117" s="8">
        <f>IFERROR(__xludf.DUMMYFUNCTION("""COMPUTED_VALUE"""),0.149253731343283)</f>
        <v>0.1492537313</v>
      </c>
      <c r="M117" s="8">
        <f>IFERROR(__xludf.DUMMYFUNCTION("""COMPUTED_VALUE"""),0.136363636363636)</f>
        <v>0.1363636364</v>
      </c>
      <c r="N117" s="8">
        <f>IFERROR(__xludf.DUMMYFUNCTION("""COMPUTED_VALUE"""),0.107692307692307)</f>
        <v>0.1076923077</v>
      </c>
      <c r="O117" s="8">
        <f>IFERROR(__xludf.DUMMYFUNCTION("""COMPUTED_VALUE"""),0.109375)</f>
        <v>0.109375</v>
      </c>
      <c r="P117" s="8">
        <f>IFERROR(__xludf.DUMMYFUNCTION("""COMPUTED_VALUE"""),0.112903225806451)</f>
        <v>0.1129032258</v>
      </c>
      <c r="Q117" s="8">
        <f>IFERROR(__xludf.DUMMYFUNCTION("""COMPUTED_VALUE"""),0.0517241379310344)</f>
        <v>0.05172413793</v>
      </c>
      <c r="R117" s="8">
        <f>IFERROR(__xludf.DUMMYFUNCTION("""COMPUTED_VALUE"""),0.0192307692307692)</f>
        <v>0.01923076923</v>
      </c>
      <c r="S117" s="8">
        <f>IFERROR(__xludf.DUMMYFUNCTION("""COMPUTED_VALUE"""),0.0444444444444444)</f>
        <v>0.04444444444</v>
      </c>
      <c r="T117" s="8">
        <f>IFERROR(__xludf.DUMMYFUNCTION("""COMPUTED_VALUE"""),0.027027027027027)</f>
        <v>0.02702702703</v>
      </c>
      <c r="U117" s="8">
        <f>IFERROR(__xludf.DUMMYFUNCTION("""COMPUTED_VALUE"""),0.032258064516129)</f>
        <v>0.03225806452</v>
      </c>
      <c r="V117" s="8">
        <f>IFERROR(__xludf.DUMMYFUNCTION("""COMPUTED_VALUE"""),0.0)</f>
        <v>0</v>
      </c>
      <c r="W117" s="8">
        <f>IFERROR(__xludf.DUMMYFUNCTION("""COMPUTED_VALUE"""),0.0)</f>
        <v>0</v>
      </c>
      <c r="X117" s="8">
        <f>IFERROR(__xludf.DUMMYFUNCTION("""COMPUTED_VALUE"""),0.0)</f>
        <v>0</v>
      </c>
      <c r="Y117" s="8">
        <f>IFERROR(__xludf.DUMMYFUNCTION("""COMPUTED_VALUE"""),0.0)</f>
        <v>0</v>
      </c>
      <c r="Z117" s="8">
        <f>IFERROR(__xludf.DUMMYFUNCTION("""COMPUTED_VALUE"""),0.0)</f>
        <v>0</v>
      </c>
      <c r="AA117" s="8">
        <f>IFERROR(__xludf.DUMMYFUNCTION("""COMPUTED_VALUE"""),0.0)</f>
        <v>0</v>
      </c>
      <c r="AB117" s="8">
        <f>IFERROR(__xludf.DUMMYFUNCTION("""COMPUTED_VALUE"""),0.0)</f>
        <v>0</v>
      </c>
      <c r="AC117" s="8">
        <f>IFERROR(__xludf.DUMMYFUNCTION("""COMPUTED_VALUE"""),0.0)</f>
        <v>0</v>
      </c>
    </row>
    <row r="118" ht="15.75" customHeight="1">
      <c r="A118" s="6" t="str">
        <f>IFERROR(__xludf.DUMMYFUNCTION("""COMPUTED_VALUE"""),"607c0f609185406d26ef53f75ec53702dfb292d7")</f>
        <v>607c0f609185406d26ef53f75ec53702dfb292d7</v>
      </c>
      <c r="B118" s="6" t="str">
        <f>IFERROR(__xludf.DUMMYFUNCTION("""COMPUTED_VALUE"""),"The Chaosborn Child")</f>
        <v>The Chaosborn Child</v>
      </c>
      <c r="C118" s="6" t="str">
        <f>IFERROR(__xludf.DUMMYFUNCTION("""COMPUTED_VALUE"""),"Fantasy")</f>
        <v>Fantasy</v>
      </c>
      <c r="D118" s="17">
        <f>IFERROR(__xludf.DUMMYFUNCTION("""COMPUTED_VALUE"""),47.0)</f>
        <v>47</v>
      </c>
      <c r="E118" s="8">
        <f>IFERROR(__xludf.DUMMYFUNCTION("""COMPUTED_VALUE"""),0.978723404255319)</f>
        <v>0.9787234043</v>
      </c>
      <c r="F118" s="8">
        <f>IFERROR(__xludf.DUMMYFUNCTION("""COMPUTED_VALUE"""),0.574468085106383)</f>
        <v>0.5744680851</v>
      </c>
      <c r="G118" s="8">
        <f>IFERROR(__xludf.DUMMYFUNCTION("""COMPUTED_VALUE"""),0.489361702127659)</f>
        <v>0.4893617021</v>
      </c>
      <c r="H118" s="8">
        <f>IFERROR(__xludf.DUMMYFUNCTION("""COMPUTED_VALUE"""),0.489361702127659)</f>
        <v>0.4893617021</v>
      </c>
      <c r="I118" s="8">
        <f>IFERROR(__xludf.DUMMYFUNCTION("""COMPUTED_VALUE"""),0.446808510638297)</f>
        <v>0.4468085106</v>
      </c>
      <c r="J118" s="8">
        <f>IFERROR(__xludf.DUMMYFUNCTION("""COMPUTED_VALUE"""),0.425531914893617)</f>
        <v>0.4255319149</v>
      </c>
      <c r="K118" s="8">
        <f>IFERROR(__xludf.DUMMYFUNCTION("""COMPUTED_VALUE"""),0.425531914893617)</f>
        <v>0.4255319149</v>
      </c>
      <c r="L118" s="8">
        <f>IFERROR(__xludf.DUMMYFUNCTION("""COMPUTED_VALUE"""),0.382978723404255)</f>
        <v>0.3829787234</v>
      </c>
      <c r="M118" s="8">
        <f>IFERROR(__xludf.DUMMYFUNCTION("""COMPUTED_VALUE"""),0.391304347826087)</f>
        <v>0.3913043478</v>
      </c>
      <c r="N118" s="8">
        <f>IFERROR(__xludf.DUMMYFUNCTION("""COMPUTED_VALUE"""),0.347826086956521)</f>
        <v>0.347826087</v>
      </c>
      <c r="O118" s="8">
        <f>IFERROR(__xludf.DUMMYFUNCTION("""COMPUTED_VALUE"""),0.302325581395348)</f>
        <v>0.3023255814</v>
      </c>
      <c r="P118" s="8">
        <f>IFERROR(__xludf.DUMMYFUNCTION("""COMPUTED_VALUE"""),0.266666666666666)</f>
        <v>0.2666666667</v>
      </c>
      <c r="Q118" s="8">
        <f>IFERROR(__xludf.DUMMYFUNCTION("""COMPUTED_VALUE"""),0.105263157894736)</f>
        <v>0.1052631579</v>
      </c>
      <c r="R118" s="8">
        <f>IFERROR(__xludf.DUMMYFUNCTION("""COMPUTED_VALUE"""),0.0)</f>
        <v>0</v>
      </c>
      <c r="S118" s="8">
        <f>IFERROR(__xludf.DUMMYFUNCTION("""COMPUTED_VALUE"""),0.0)</f>
        <v>0</v>
      </c>
      <c r="T118" s="8">
        <f>IFERROR(__xludf.DUMMYFUNCTION("""COMPUTED_VALUE"""),0.0)</f>
        <v>0</v>
      </c>
      <c r="U118" s="8">
        <f>IFERROR(__xludf.DUMMYFUNCTION("""COMPUTED_VALUE"""),0.0)</f>
        <v>0</v>
      </c>
      <c r="V118" s="8">
        <f>IFERROR(__xludf.DUMMYFUNCTION("""COMPUTED_VALUE"""),0.0)</f>
        <v>0</v>
      </c>
      <c r="W118" s="8">
        <f>IFERROR(__xludf.DUMMYFUNCTION("""COMPUTED_VALUE"""),0.0)</f>
        <v>0</v>
      </c>
      <c r="X118" s="8">
        <f>IFERROR(__xludf.DUMMYFUNCTION("""COMPUTED_VALUE"""),0.0)</f>
        <v>0</v>
      </c>
      <c r="Y118" s="8">
        <f>IFERROR(__xludf.DUMMYFUNCTION("""COMPUTED_VALUE"""),0.0)</f>
        <v>0</v>
      </c>
      <c r="Z118" s="8">
        <f>IFERROR(__xludf.DUMMYFUNCTION("""COMPUTED_VALUE"""),0.0)</f>
        <v>0</v>
      </c>
      <c r="AA118" s="8">
        <f>IFERROR(__xludf.DUMMYFUNCTION("""COMPUTED_VALUE"""),0.0)</f>
        <v>0</v>
      </c>
      <c r="AB118" s="8">
        <f>IFERROR(__xludf.DUMMYFUNCTION("""COMPUTED_VALUE"""),0.0)</f>
        <v>0</v>
      </c>
      <c r="AC118" s="8">
        <f>IFERROR(__xludf.DUMMYFUNCTION("""COMPUTED_VALUE"""),0.0)</f>
        <v>0</v>
      </c>
    </row>
    <row r="119" ht="15.75" customHeight="1">
      <c r="A119" s="6" t="str">
        <f>IFERROR(__xludf.DUMMYFUNCTION("""COMPUTED_VALUE"""),"616431aa030a50bfb34a59a1919f5a8db0c29017")</f>
        <v>616431aa030a50bfb34a59a1919f5a8db0c29017</v>
      </c>
      <c r="B119" s="6" t="str">
        <f>IFERROR(__xludf.DUMMYFUNCTION("""COMPUTED_VALUE"""),"She Came Back Fabulous")</f>
        <v>She Came Back Fabulous</v>
      </c>
      <c r="C119" s="6" t="str">
        <f>IFERROR(__xludf.DUMMYFUNCTION("""COMPUTED_VALUE"""),"Romance")</f>
        <v>Romance</v>
      </c>
      <c r="D119" s="17">
        <f>IFERROR(__xludf.DUMMYFUNCTION("""COMPUTED_VALUE"""),568.0)</f>
        <v>568</v>
      </c>
      <c r="E119" s="8">
        <f>IFERROR(__xludf.DUMMYFUNCTION("""COMPUTED_VALUE"""),0.964601769911504)</f>
        <v>0.9646017699</v>
      </c>
      <c r="F119" s="8">
        <f>IFERROR(__xludf.DUMMYFUNCTION("""COMPUTED_VALUE"""),0.589189189189189)</f>
        <v>0.5891891892</v>
      </c>
      <c r="G119" s="8">
        <f>IFERROR(__xludf.DUMMYFUNCTION("""COMPUTED_VALUE"""),0.536363636363636)</f>
        <v>0.5363636364</v>
      </c>
      <c r="H119" s="8">
        <f>IFERROR(__xludf.DUMMYFUNCTION("""COMPUTED_VALUE"""),0.488847583643122)</f>
        <v>0.4888475836</v>
      </c>
      <c r="I119" s="8">
        <f>IFERROR(__xludf.DUMMYFUNCTION("""COMPUTED_VALUE"""),0.43796992481203)</f>
        <v>0.4379699248</v>
      </c>
      <c r="J119" s="8">
        <f>IFERROR(__xludf.DUMMYFUNCTION("""COMPUTED_VALUE"""),0.401904761904761)</f>
        <v>0.4019047619</v>
      </c>
      <c r="K119" s="8">
        <f>IFERROR(__xludf.DUMMYFUNCTION("""COMPUTED_VALUE"""),0.379576107899807)</f>
        <v>0.3795761079</v>
      </c>
      <c r="L119" s="8">
        <f>IFERROR(__xludf.DUMMYFUNCTION("""COMPUTED_VALUE"""),0.344)</f>
        <v>0.344</v>
      </c>
      <c r="M119" s="8">
        <f>IFERROR(__xludf.DUMMYFUNCTION("""COMPUTED_VALUE"""),0.373673036093418)</f>
        <v>0.3736730361</v>
      </c>
      <c r="N119" s="8">
        <f>IFERROR(__xludf.DUMMYFUNCTION("""COMPUTED_VALUE"""),0.365758754863813)</f>
        <v>0.3657587549</v>
      </c>
      <c r="O119" s="8">
        <f>IFERROR(__xludf.DUMMYFUNCTION("""COMPUTED_VALUE"""),0.291139240506329)</f>
        <v>0.2911392405</v>
      </c>
      <c r="P119" s="8">
        <f>IFERROR(__xludf.DUMMYFUNCTION("""COMPUTED_VALUE"""),0.337662337662337)</f>
        <v>0.3376623377</v>
      </c>
      <c r="Q119" s="8">
        <f>IFERROR(__xludf.DUMMYFUNCTION("""COMPUTED_VALUE"""),0.142857142857142)</f>
        <v>0.1428571429</v>
      </c>
      <c r="R119" s="8">
        <f>IFERROR(__xludf.DUMMYFUNCTION("""COMPUTED_VALUE"""),0.0)</f>
        <v>0</v>
      </c>
      <c r="S119" s="8">
        <f>IFERROR(__xludf.DUMMYFUNCTION("""COMPUTED_VALUE"""),0.0)</f>
        <v>0</v>
      </c>
      <c r="T119" s="8">
        <f>IFERROR(__xludf.DUMMYFUNCTION("""COMPUTED_VALUE"""),0.0)</f>
        <v>0</v>
      </c>
      <c r="U119" s="8">
        <f>IFERROR(__xludf.DUMMYFUNCTION("""COMPUTED_VALUE"""),0.0)</f>
        <v>0</v>
      </c>
      <c r="V119" s="8">
        <f>IFERROR(__xludf.DUMMYFUNCTION("""COMPUTED_VALUE"""),0.0)</f>
        <v>0</v>
      </c>
      <c r="W119" s="8">
        <f>IFERROR(__xludf.DUMMYFUNCTION("""COMPUTED_VALUE"""),0.0)</f>
        <v>0</v>
      </c>
      <c r="X119" s="8">
        <f>IFERROR(__xludf.DUMMYFUNCTION("""COMPUTED_VALUE"""),0.0)</f>
        <v>0</v>
      </c>
      <c r="Y119" s="8">
        <f>IFERROR(__xludf.DUMMYFUNCTION("""COMPUTED_VALUE"""),0.0)</f>
        <v>0</v>
      </c>
      <c r="Z119" s="8">
        <f>IFERROR(__xludf.DUMMYFUNCTION("""COMPUTED_VALUE"""),0.0)</f>
        <v>0</v>
      </c>
      <c r="AA119" s="8">
        <f>IFERROR(__xludf.DUMMYFUNCTION("""COMPUTED_VALUE"""),0.0)</f>
        <v>0</v>
      </c>
      <c r="AB119" s="8">
        <f>IFERROR(__xludf.DUMMYFUNCTION("""COMPUTED_VALUE"""),0.0)</f>
        <v>0</v>
      </c>
      <c r="AC119" s="8">
        <f>IFERROR(__xludf.DUMMYFUNCTION("""COMPUTED_VALUE"""),0.0)</f>
        <v>0</v>
      </c>
    </row>
    <row r="120" ht="15.75" customHeight="1">
      <c r="A120" s="6" t="str">
        <f>IFERROR(__xludf.DUMMYFUNCTION("""COMPUTED_VALUE"""),"6214ecac2801afde28aa63c555faf06203321c85")</f>
        <v>6214ecac2801afde28aa63c555faf06203321c85</v>
      </c>
      <c r="B120" s="6" t="str">
        <f>IFERROR(__xludf.DUMMYFUNCTION("""COMPUTED_VALUE"""),"Love Behind the Screen")</f>
        <v>Love Behind the Screen</v>
      </c>
      <c r="C120" s="6" t="str">
        <f>IFERROR(__xludf.DUMMYFUNCTION("""COMPUTED_VALUE"""),"Romance")</f>
        <v>Romance</v>
      </c>
      <c r="D120" s="17">
        <f>IFERROR(__xludf.DUMMYFUNCTION("""COMPUTED_VALUE"""),921.0)</f>
        <v>921</v>
      </c>
      <c r="E120" s="8">
        <f>IFERROR(__xludf.DUMMYFUNCTION("""COMPUTED_VALUE"""),0.958695652173913)</f>
        <v>0.9586956522</v>
      </c>
      <c r="F120" s="8">
        <f>IFERROR(__xludf.DUMMYFUNCTION("""COMPUTED_VALUE"""),0.555070883315158)</f>
        <v>0.5550708833</v>
      </c>
      <c r="G120" s="8">
        <f>IFERROR(__xludf.DUMMYFUNCTION("""COMPUTED_VALUE"""),0.494541484716157)</f>
        <v>0.4945414847</v>
      </c>
      <c r="H120" s="8">
        <f>IFERROR(__xludf.DUMMYFUNCTION("""COMPUTED_VALUE"""),0.479212253829321)</f>
        <v>0.4792122538</v>
      </c>
      <c r="I120" s="8">
        <f>IFERROR(__xludf.DUMMYFUNCTION("""COMPUTED_VALUE"""),0.431072210065645)</f>
        <v>0.4310722101</v>
      </c>
      <c r="J120" s="8">
        <f>IFERROR(__xludf.DUMMYFUNCTION("""COMPUTED_VALUE"""),0.415570175438596)</f>
        <v>0.4155701754</v>
      </c>
      <c r="K120" s="8">
        <f>IFERROR(__xludf.DUMMYFUNCTION("""COMPUTED_VALUE"""),0.39297475301866)</f>
        <v>0.392974753</v>
      </c>
      <c r="L120" s="8">
        <f>IFERROR(__xludf.DUMMYFUNCTION("""COMPUTED_VALUE"""),0.376923076923076)</f>
        <v>0.3769230769</v>
      </c>
      <c r="M120" s="8">
        <f>IFERROR(__xludf.DUMMYFUNCTION("""COMPUTED_VALUE"""),0.36083608360836)</f>
        <v>0.3608360836</v>
      </c>
      <c r="N120" s="8">
        <f>IFERROR(__xludf.DUMMYFUNCTION("""COMPUTED_VALUE"""),0.348401323042998)</f>
        <v>0.348401323</v>
      </c>
      <c r="O120" s="8">
        <f>IFERROR(__xludf.DUMMYFUNCTION("""COMPUTED_VALUE"""),0.324200913242009)</f>
        <v>0.3242009132</v>
      </c>
      <c r="P120" s="8">
        <f>IFERROR(__xludf.DUMMYFUNCTION("""COMPUTED_VALUE"""),0.201273885350318)</f>
        <v>0.2012738854</v>
      </c>
      <c r="Q120" s="8">
        <f>IFERROR(__xludf.DUMMYFUNCTION("""COMPUTED_VALUE"""),0.135906040268456)</f>
        <v>0.1359060403</v>
      </c>
      <c r="R120" s="8">
        <f>IFERROR(__xludf.DUMMYFUNCTION("""COMPUTED_VALUE"""),0.10234899328859)</f>
        <v>0.1023489933</v>
      </c>
      <c r="S120" s="8">
        <f>IFERROR(__xludf.DUMMYFUNCTION("""COMPUTED_VALUE"""),0.072356215213358)</f>
        <v>0.07235621521</v>
      </c>
      <c r="T120" s="8">
        <f>IFERROR(__xludf.DUMMYFUNCTION("""COMPUTED_VALUE"""),0.0)</f>
        <v>0</v>
      </c>
      <c r="U120" s="8">
        <f>IFERROR(__xludf.DUMMYFUNCTION("""COMPUTED_VALUE"""),0.0)</f>
        <v>0</v>
      </c>
      <c r="V120" s="8">
        <f>IFERROR(__xludf.DUMMYFUNCTION("""COMPUTED_VALUE"""),0.0)</f>
        <v>0</v>
      </c>
      <c r="W120" s="8">
        <f>IFERROR(__xludf.DUMMYFUNCTION("""COMPUTED_VALUE"""),0.0)</f>
        <v>0</v>
      </c>
      <c r="X120" s="8">
        <f>IFERROR(__xludf.DUMMYFUNCTION("""COMPUTED_VALUE"""),0.0)</f>
        <v>0</v>
      </c>
      <c r="Y120" s="8">
        <f>IFERROR(__xludf.DUMMYFUNCTION("""COMPUTED_VALUE"""),0.0)</f>
        <v>0</v>
      </c>
      <c r="Z120" s="8">
        <f>IFERROR(__xludf.DUMMYFUNCTION("""COMPUTED_VALUE"""),0.0)</f>
        <v>0</v>
      </c>
      <c r="AA120" s="8">
        <f>IFERROR(__xludf.DUMMYFUNCTION("""COMPUTED_VALUE"""),0.0)</f>
        <v>0</v>
      </c>
      <c r="AB120" s="8">
        <f>IFERROR(__xludf.DUMMYFUNCTION("""COMPUTED_VALUE"""),0.0)</f>
        <v>0</v>
      </c>
      <c r="AC120" s="8">
        <f>IFERROR(__xludf.DUMMYFUNCTION("""COMPUTED_VALUE"""),0.0)</f>
        <v>0</v>
      </c>
    </row>
    <row r="121" ht="15.75" customHeight="1">
      <c r="A121" s="6" t="str">
        <f>IFERROR(__xludf.DUMMYFUNCTION("""COMPUTED_VALUE"""),"622c96a576425047d6bff8447205921132d7f61c")</f>
        <v>622c96a576425047d6bff8447205921132d7f61c</v>
      </c>
      <c r="B121" s="6" t="str">
        <f>IFERROR(__xludf.DUMMYFUNCTION("""COMPUTED_VALUE"""),"The Exit Nobody Expected")</f>
        <v>The Exit Nobody Expected</v>
      </c>
      <c r="C121" s="6" t="str">
        <f>IFERROR(__xludf.DUMMYFUNCTION("""COMPUTED_VALUE"""),"Suspense or Thriller")</f>
        <v>Suspense or Thriller</v>
      </c>
      <c r="D121" s="17">
        <f>IFERROR(__xludf.DUMMYFUNCTION("""COMPUTED_VALUE"""),64.0)</f>
        <v>64</v>
      </c>
      <c r="E121" s="8">
        <f>IFERROR(__xludf.DUMMYFUNCTION("""COMPUTED_VALUE"""),0.95)</f>
        <v>0.95</v>
      </c>
      <c r="F121" s="8">
        <f>IFERROR(__xludf.DUMMYFUNCTION("""COMPUTED_VALUE"""),0.339622641509433)</f>
        <v>0.3396226415</v>
      </c>
      <c r="G121" s="8">
        <f>IFERROR(__xludf.DUMMYFUNCTION("""COMPUTED_VALUE"""),0.333333333333333)</f>
        <v>0.3333333333</v>
      </c>
      <c r="H121" s="8">
        <f>IFERROR(__xludf.DUMMYFUNCTION("""COMPUTED_VALUE"""),0.3125)</f>
        <v>0.3125</v>
      </c>
      <c r="I121" s="8">
        <f>IFERROR(__xludf.DUMMYFUNCTION("""COMPUTED_VALUE"""),0.209302325581395)</f>
        <v>0.2093023256</v>
      </c>
      <c r="J121" s="8">
        <f>IFERROR(__xludf.DUMMYFUNCTION("""COMPUTED_VALUE"""),0.205128205128205)</f>
        <v>0.2051282051</v>
      </c>
      <c r="K121" s="8">
        <f>IFERROR(__xludf.DUMMYFUNCTION("""COMPUTED_VALUE"""),0.228571428571428)</f>
        <v>0.2285714286</v>
      </c>
      <c r="L121" s="8">
        <f>IFERROR(__xludf.DUMMYFUNCTION("""COMPUTED_VALUE"""),0.133333333333333)</f>
        <v>0.1333333333</v>
      </c>
      <c r="M121" s="8">
        <f>IFERROR(__xludf.DUMMYFUNCTION("""COMPUTED_VALUE"""),0.137931034482758)</f>
        <v>0.1379310345</v>
      </c>
      <c r="N121" s="8">
        <f>IFERROR(__xludf.DUMMYFUNCTION("""COMPUTED_VALUE"""),0.0869565217391304)</f>
        <v>0.08695652174</v>
      </c>
      <c r="O121" s="8">
        <f>IFERROR(__xludf.DUMMYFUNCTION("""COMPUTED_VALUE"""),0.0769230769230769)</f>
        <v>0.07692307692</v>
      </c>
      <c r="P121" s="8">
        <f>IFERROR(__xludf.DUMMYFUNCTION("""COMPUTED_VALUE"""),0.0)</f>
        <v>0</v>
      </c>
      <c r="Q121" s="8">
        <f>IFERROR(__xludf.DUMMYFUNCTION("""COMPUTED_VALUE"""),0.111111111111111)</f>
        <v>0.1111111111</v>
      </c>
      <c r="R121" s="8">
        <f>IFERROR(__xludf.DUMMYFUNCTION("""COMPUTED_VALUE"""),0.0)</f>
        <v>0</v>
      </c>
      <c r="S121" s="8">
        <f>IFERROR(__xludf.DUMMYFUNCTION("""COMPUTED_VALUE"""),0.0)</f>
        <v>0</v>
      </c>
      <c r="T121" s="8">
        <f>IFERROR(__xludf.DUMMYFUNCTION("""COMPUTED_VALUE"""),0.0)</f>
        <v>0</v>
      </c>
      <c r="U121" s="8">
        <f>IFERROR(__xludf.DUMMYFUNCTION("""COMPUTED_VALUE"""),0.0)</f>
        <v>0</v>
      </c>
      <c r="V121" s="8">
        <f>IFERROR(__xludf.DUMMYFUNCTION("""COMPUTED_VALUE"""),0.0)</f>
        <v>0</v>
      </c>
      <c r="W121" s="8">
        <f>IFERROR(__xludf.DUMMYFUNCTION("""COMPUTED_VALUE"""),0.0)</f>
        <v>0</v>
      </c>
      <c r="X121" s="8">
        <f>IFERROR(__xludf.DUMMYFUNCTION("""COMPUTED_VALUE"""),0.0)</f>
        <v>0</v>
      </c>
      <c r="Y121" s="8">
        <f>IFERROR(__xludf.DUMMYFUNCTION("""COMPUTED_VALUE"""),0.0)</f>
        <v>0</v>
      </c>
      <c r="Z121" s="8">
        <f>IFERROR(__xludf.DUMMYFUNCTION("""COMPUTED_VALUE"""),0.0)</f>
        <v>0</v>
      </c>
      <c r="AA121" s="8">
        <f>IFERROR(__xludf.DUMMYFUNCTION("""COMPUTED_VALUE"""),0.0)</f>
        <v>0</v>
      </c>
      <c r="AB121" s="8">
        <f>IFERROR(__xludf.DUMMYFUNCTION("""COMPUTED_VALUE"""),0.0)</f>
        <v>0</v>
      </c>
      <c r="AC121" s="8">
        <f>IFERROR(__xludf.DUMMYFUNCTION("""COMPUTED_VALUE"""),0.0)</f>
        <v>0</v>
      </c>
    </row>
    <row r="122" ht="15.75" customHeight="1">
      <c r="A122" s="6" t="str">
        <f>IFERROR(__xludf.DUMMYFUNCTION("""COMPUTED_VALUE"""),"6346e154f10078de4f17cbc6268066519b02789f")</f>
        <v>6346e154f10078de4f17cbc6268066519b02789f</v>
      </c>
      <c r="B122" s="6" t="str">
        <f>IFERROR(__xludf.DUMMYFUNCTION("""COMPUTED_VALUE"""),"Doctor Young")</f>
        <v>Doctor Young</v>
      </c>
      <c r="C122" s="6" t="str">
        <f>IFERROR(__xludf.DUMMYFUNCTION("""COMPUTED_VALUE"""),"Suspense or Thriller")</f>
        <v>Suspense or Thriller</v>
      </c>
      <c r="D122" s="17">
        <f>IFERROR(__xludf.DUMMYFUNCTION("""COMPUTED_VALUE"""),237.0)</f>
        <v>237</v>
      </c>
      <c r="E122" s="8">
        <f>IFERROR(__xludf.DUMMYFUNCTION("""COMPUTED_VALUE"""),0.952789699570815)</f>
        <v>0.9527896996</v>
      </c>
      <c r="F122" s="8">
        <f>IFERROR(__xludf.DUMMYFUNCTION("""COMPUTED_VALUE"""),0.497835497835497)</f>
        <v>0.4978354978</v>
      </c>
      <c r="G122" s="8">
        <f>IFERROR(__xludf.DUMMYFUNCTION("""COMPUTED_VALUE"""),0.413043478260869)</f>
        <v>0.4130434783</v>
      </c>
      <c r="H122" s="8">
        <f>IFERROR(__xludf.DUMMYFUNCTION("""COMPUTED_VALUE"""),0.375)</f>
        <v>0.375</v>
      </c>
      <c r="I122" s="8">
        <f>IFERROR(__xludf.DUMMYFUNCTION("""COMPUTED_VALUE"""),0.339285714285714)</f>
        <v>0.3392857143</v>
      </c>
      <c r="J122" s="8">
        <f>IFERROR(__xludf.DUMMYFUNCTION("""COMPUTED_VALUE"""),0.333333333333333)</f>
        <v>0.3333333333</v>
      </c>
      <c r="K122" s="8">
        <f>IFERROR(__xludf.DUMMYFUNCTION("""COMPUTED_VALUE"""),0.295454545454545)</f>
        <v>0.2954545455</v>
      </c>
      <c r="L122" s="8">
        <f>IFERROR(__xludf.DUMMYFUNCTION("""COMPUTED_VALUE"""),0.276995305164319)</f>
        <v>0.2769953052</v>
      </c>
      <c r="M122" s="8">
        <f>IFERROR(__xludf.DUMMYFUNCTION("""COMPUTED_VALUE"""),0.254716981132075)</f>
        <v>0.2547169811</v>
      </c>
      <c r="N122" s="8">
        <f>IFERROR(__xludf.DUMMYFUNCTION("""COMPUTED_VALUE"""),0.252427184466019)</f>
        <v>0.2524271845</v>
      </c>
      <c r="O122" s="8">
        <f>IFERROR(__xludf.DUMMYFUNCTION("""COMPUTED_VALUE"""),0.242424242424242)</f>
        <v>0.2424242424</v>
      </c>
      <c r="P122" s="8">
        <f>IFERROR(__xludf.DUMMYFUNCTION("""COMPUTED_VALUE"""),0.2)</f>
        <v>0.2</v>
      </c>
      <c r="Q122" s="8">
        <f>IFERROR(__xludf.DUMMYFUNCTION("""COMPUTED_VALUE"""),0.128205128205128)</f>
        <v>0.1282051282</v>
      </c>
      <c r="R122" s="8">
        <f>IFERROR(__xludf.DUMMYFUNCTION("""COMPUTED_VALUE"""),0.103896103896103)</f>
        <v>0.1038961039</v>
      </c>
      <c r="S122" s="8">
        <f>IFERROR(__xludf.DUMMYFUNCTION("""COMPUTED_VALUE"""),0.0)</f>
        <v>0</v>
      </c>
      <c r="T122" s="8">
        <f>IFERROR(__xludf.DUMMYFUNCTION("""COMPUTED_VALUE"""),0.0)</f>
        <v>0</v>
      </c>
      <c r="U122" s="8">
        <f>IFERROR(__xludf.DUMMYFUNCTION("""COMPUTED_VALUE"""),0.0)</f>
        <v>0</v>
      </c>
      <c r="V122" s="8">
        <f>IFERROR(__xludf.DUMMYFUNCTION("""COMPUTED_VALUE"""),0.0)</f>
        <v>0</v>
      </c>
      <c r="W122" s="8">
        <f>IFERROR(__xludf.DUMMYFUNCTION("""COMPUTED_VALUE"""),0.0)</f>
        <v>0</v>
      </c>
      <c r="X122" s="8">
        <f>IFERROR(__xludf.DUMMYFUNCTION("""COMPUTED_VALUE"""),0.0)</f>
        <v>0</v>
      </c>
      <c r="Y122" s="8">
        <f>IFERROR(__xludf.DUMMYFUNCTION("""COMPUTED_VALUE"""),0.0)</f>
        <v>0</v>
      </c>
      <c r="Z122" s="8">
        <f>IFERROR(__xludf.DUMMYFUNCTION("""COMPUTED_VALUE"""),0.0)</f>
        <v>0</v>
      </c>
      <c r="AA122" s="8">
        <f>IFERROR(__xludf.DUMMYFUNCTION("""COMPUTED_VALUE"""),0.0)</f>
        <v>0</v>
      </c>
      <c r="AB122" s="8">
        <f>IFERROR(__xludf.DUMMYFUNCTION("""COMPUTED_VALUE"""),0.0)</f>
        <v>0</v>
      </c>
      <c r="AC122" s="8">
        <f>IFERROR(__xludf.DUMMYFUNCTION("""COMPUTED_VALUE"""),0.0)</f>
        <v>0</v>
      </c>
    </row>
    <row r="123" ht="15.75" customHeight="1">
      <c r="A123" s="6" t="str">
        <f>IFERROR(__xludf.DUMMYFUNCTION("""COMPUTED_VALUE"""),"646112abf2d6a5c232155a853f029ad1737b504e")</f>
        <v>646112abf2d6a5c232155a853f029ad1737b504e</v>
      </c>
      <c r="B123" s="6" t="str">
        <f>IFERROR(__xludf.DUMMYFUNCTION("""COMPUTED_VALUE"""),"Gatebreak")</f>
        <v>Gatebreak</v>
      </c>
      <c r="C123" s="6" t="str">
        <f>IFERROR(__xludf.DUMMYFUNCTION("""COMPUTED_VALUE"""),"Fantasy")</f>
        <v>Fantasy</v>
      </c>
      <c r="D123" s="17">
        <f>IFERROR(__xludf.DUMMYFUNCTION("""COMPUTED_VALUE"""),846.0)</f>
        <v>846</v>
      </c>
      <c r="E123" s="8">
        <f>IFERROR(__xludf.DUMMYFUNCTION("""COMPUTED_VALUE"""),0.968047337278106)</f>
        <v>0.9680473373</v>
      </c>
      <c r="F123" s="8">
        <f>IFERROR(__xludf.DUMMYFUNCTION("""COMPUTED_VALUE"""),0.66785290628707)</f>
        <v>0.6678529063</v>
      </c>
      <c r="G123" s="8">
        <f>IFERROR(__xludf.DUMMYFUNCTION("""COMPUTED_VALUE"""),0.622327790973871)</f>
        <v>0.622327791</v>
      </c>
      <c r="H123" s="8">
        <f>IFERROR(__xludf.DUMMYFUNCTION("""COMPUTED_VALUE"""),0.589988081048867)</f>
        <v>0.589988081</v>
      </c>
      <c r="I123" s="8">
        <f>IFERROR(__xludf.DUMMYFUNCTION("""COMPUTED_VALUE"""),0.569212410501193)</f>
        <v>0.5692124105</v>
      </c>
      <c r="J123" s="8">
        <f>IFERROR(__xludf.DUMMYFUNCTION("""COMPUTED_VALUE"""),0.559281437125748)</f>
        <v>0.5592814371</v>
      </c>
      <c r="K123" s="8">
        <f>IFERROR(__xludf.DUMMYFUNCTION("""COMPUTED_VALUE"""),0.547961630695443)</f>
        <v>0.5479616307</v>
      </c>
      <c r="L123" s="8">
        <f>IFERROR(__xludf.DUMMYFUNCTION("""COMPUTED_VALUE"""),0.540865384615384)</f>
        <v>0.5408653846</v>
      </c>
      <c r="M123" s="8">
        <f>IFERROR(__xludf.DUMMYFUNCTION("""COMPUTED_VALUE"""),0.528846153846153)</f>
        <v>0.5288461538</v>
      </c>
      <c r="N123" s="8">
        <f>IFERROR(__xludf.DUMMYFUNCTION("""COMPUTED_VALUE"""),0.524096385542168)</f>
        <v>0.5240963855</v>
      </c>
      <c r="O123" s="8">
        <f>IFERROR(__xludf.DUMMYFUNCTION("""COMPUTED_VALUE"""),0.45919610231425)</f>
        <v>0.4591961023</v>
      </c>
      <c r="P123" s="8">
        <f>IFERROR(__xludf.DUMMYFUNCTION("""COMPUTED_VALUE"""),0.34239802224969)</f>
        <v>0.3423980222</v>
      </c>
      <c r="Q123" s="8">
        <f>IFERROR(__xludf.DUMMYFUNCTION("""COMPUTED_VALUE"""),0.246487867177522)</f>
        <v>0.2464878672</v>
      </c>
      <c r="R123" s="8">
        <f>IFERROR(__xludf.DUMMYFUNCTION("""COMPUTED_VALUE"""),0.163870967741935)</f>
        <v>0.1638709677</v>
      </c>
      <c r="S123" s="8">
        <f>IFERROR(__xludf.DUMMYFUNCTION("""COMPUTED_VALUE"""),0.126482213438735)</f>
        <v>0.1264822134</v>
      </c>
      <c r="T123" s="8">
        <f>IFERROR(__xludf.DUMMYFUNCTION("""COMPUTED_VALUE"""),0.108516483516483)</f>
        <v>0.1085164835</v>
      </c>
      <c r="U123" s="8">
        <f>IFERROR(__xludf.DUMMYFUNCTION("""COMPUTED_VALUE"""),0.0769230769230769)</f>
        <v>0.07692307692</v>
      </c>
      <c r="V123" s="8">
        <f>IFERROR(__xludf.DUMMYFUNCTION("""COMPUTED_VALUE"""),0.0)</f>
        <v>0</v>
      </c>
      <c r="W123" s="8">
        <f>IFERROR(__xludf.DUMMYFUNCTION("""COMPUTED_VALUE"""),0.0)</f>
        <v>0</v>
      </c>
      <c r="X123" s="8">
        <f>IFERROR(__xludf.DUMMYFUNCTION("""COMPUTED_VALUE"""),0.0)</f>
        <v>0</v>
      </c>
      <c r="Y123" s="8">
        <f>IFERROR(__xludf.DUMMYFUNCTION("""COMPUTED_VALUE"""),0.0)</f>
        <v>0</v>
      </c>
      <c r="Z123" s="8">
        <f>IFERROR(__xludf.DUMMYFUNCTION("""COMPUTED_VALUE"""),0.0)</f>
        <v>0</v>
      </c>
      <c r="AA123" s="8">
        <f>IFERROR(__xludf.DUMMYFUNCTION("""COMPUTED_VALUE"""),0.0)</f>
        <v>0</v>
      </c>
      <c r="AB123" s="8">
        <f>IFERROR(__xludf.DUMMYFUNCTION("""COMPUTED_VALUE"""),0.0)</f>
        <v>0</v>
      </c>
      <c r="AC123" s="8">
        <f>IFERROR(__xludf.DUMMYFUNCTION("""COMPUTED_VALUE"""),0.0)</f>
        <v>0</v>
      </c>
    </row>
    <row r="124" ht="15.75" customHeight="1">
      <c r="A124" s="6" t="str">
        <f>IFERROR(__xludf.DUMMYFUNCTION("""COMPUTED_VALUE"""),"6537ebcf99ebb2572c378cc92edd07b6d165b13b")</f>
        <v>6537ebcf99ebb2572c378cc92edd07b6d165b13b</v>
      </c>
      <c r="B124" s="6" t="str">
        <f>IFERROR(__xludf.DUMMYFUNCTION("""COMPUTED_VALUE"""),"The Legendary Beast Archi")</f>
        <v>The Legendary Beast Archi</v>
      </c>
      <c r="C124" s="6" t="str">
        <f>IFERROR(__xludf.DUMMYFUNCTION("""COMPUTED_VALUE"""),"Fantasy")</f>
        <v>Fantasy</v>
      </c>
      <c r="D124" s="17">
        <f>IFERROR(__xludf.DUMMYFUNCTION("""COMPUTED_VALUE"""),621.0)</f>
        <v>621</v>
      </c>
      <c r="E124" s="8">
        <f>IFERROR(__xludf.DUMMYFUNCTION("""COMPUTED_VALUE"""),0.993548387096774)</f>
        <v>0.9935483871</v>
      </c>
      <c r="F124" s="8">
        <f>IFERROR(__xludf.DUMMYFUNCTION("""COMPUTED_VALUE"""),0.598373983739837)</f>
        <v>0.5983739837</v>
      </c>
      <c r="G124" s="8">
        <f>IFERROR(__xludf.DUMMYFUNCTION("""COMPUTED_VALUE"""),0.541463414634146)</f>
        <v>0.5414634146</v>
      </c>
      <c r="H124" s="8">
        <f>IFERROR(__xludf.DUMMYFUNCTION("""COMPUTED_VALUE"""),0.504065040650406)</f>
        <v>0.5040650407</v>
      </c>
      <c r="I124" s="8">
        <f>IFERROR(__xludf.DUMMYFUNCTION("""COMPUTED_VALUE"""),0.470588235294117)</f>
        <v>0.4705882353</v>
      </c>
      <c r="J124" s="8">
        <f>IFERROR(__xludf.DUMMYFUNCTION("""COMPUTED_VALUE"""),0.428571428571428)</f>
        <v>0.4285714286</v>
      </c>
      <c r="K124" s="8">
        <f>IFERROR(__xludf.DUMMYFUNCTION("""COMPUTED_VALUE"""),0.413612565445026)</f>
        <v>0.4136125654</v>
      </c>
      <c r="L124" s="8">
        <f>IFERROR(__xludf.DUMMYFUNCTION("""COMPUTED_VALUE"""),0.393088552915766)</f>
        <v>0.3930885529</v>
      </c>
      <c r="M124" s="8">
        <f>IFERROR(__xludf.DUMMYFUNCTION("""COMPUTED_VALUE"""),0.371111111111111)</f>
        <v>0.3711111111</v>
      </c>
      <c r="N124" s="8">
        <f>IFERROR(__xludf.DUMMYFUNCTION("""COMPUTED_VALUE"""),0.328413284132841)</f>
        <v>0.3284132841</v>
      </c>
      <c r="O124" s="8">
        <f>IFERROR(__xludf.DUMMYFUNCTION("""COMPUTED_VALUE"""),0.111111111111111)</f>
        <v>0.1111111111</v>
      </c>
      <c r="P124" s="8">
        <f>IFERROR(__xludf.DUMMYFUNCTION("""COMPUTED_VALUE"""),0.166666666666666)</f>
        <v>0.1666666667</v>
      </c>
      <c r="Q124" s="8">
        <f>IFERROR(__xludf.DUMMYFUNCTION("""COMPUTED_VALUE"""),0.0)</f>
        <v>0</v>
      </c>
      <c r="R124" s="8">
        <f>IFERROR(__xludf.DUMMYFUNCTION("""COMPUTED_VALUE"""),0.0)</f>
        <v>0</v>
      </c>
      <c r="S124" s="8">
        <f>IFERROR(__xludf.DUMMYFUNCTION("""COMPUTED_VALUE"""),0.0)</f>
        <v>0</v>
      </c>
      <c r="T124" s="8">
        <f>IFERROR(__xludf.DUMMYFUNCTION("""COMPUTED_VALUE"""),0.0)</f>
        <v>0</v>
      </c>
      <c r="U124" s="8">
        <f>IFERROR(__xludf.DUMMYFUNCTION("""COMPUTED_VALUE"""),0.0)</f>
        <v>0</v>
      </c>
      <c r="V124" s="8">
        <f>IFERROR(__xludf.DUMMYFUNCTION("""COMPUTED_VALUE"""),0.0)</f>
        <v>0</v>
      </c>
      <c r="W124" s="8">
        <f>IFERROR(__xludf.DUMMYFUNCTION("""COMPUTED_VALUE"""),0.0)</f>
        <v>0</v>
      </c>
      <c r="X124" s="8">
        <f>IFERROR(__xludf.DUMMYFUNCTION("""COMPUTED_VALUE"""),0.0)</f>
        <v>0</v>
      </c>
      <c r="Y124" s="8">
        <f>IFERROR(__xludf.DUMMYFUNCTION("""COMPUTED_VALUE"""),0.0)</f>
        <v>0</v>
      </c>
      <c r="Z124" s="8">
        <f>IFERROR(__xludf.DUMMYFUNCTION("""COMPUTED_VALUE"""),0.0)</f>
        <v>0</v>
      </c>
      <c r="AA124" s="8">
        <f>IFERROR(__xludf.DUMMYFUNCTION("""COMPUTED_VALUE"""),0.0)</f>
        <v>0</v>
      </c>
      <c r="AB124" s="8">
        <f>IFERROR(__xludf.DUMMYFUNCTION("""COMPUTED_VALUE"""),0.0)</f>
        <v>0</v>
      </c>
      <c r="AC124" s="8">
        <f>IFERROR(__xludf.DUMMYFUNCTION("""COMPUTED_VALUE"""),0.0)</f>
        <v>0</v>
      </c>
    </row>
    <row r="125" ht="15.75" customHeight="1">
      <c r="A125" s="6" t="str">
        <f>IFERROR(__xludf.DUMMYFUNCTION("""COMPUTED_VALUE"""),"66e5597d741c6d87c2bc8e35ec83065242c0e34d")</f>
        <v>66e5597d741c6d87c2bc8e35ec83065242c0e34d</v>
      </c>
      <c r="B125" s="6" t="str">
        <f>IFERROR(__xludf.DUMMYFUNCTION("""COMPUTED_VALUE"""),"Sky Lord")</f>
        <v>Sky Lord</v>
      </c>
      <c r="C125" s="6" t="str">
        <f>IFERROR(__xludf.DUMMYFUNCTION("""COMPUTED_VALUE"""),"Fantasy")</f>
        <v>Fantasy</v>
      </c>
      <c r="D125" s="17">
        <f>IFERROR(__xludf.DUMMYFUNCTION("""COMPUTED_VALUE"""),681.0)</f>
        <v>681</v>
      </c>
      <c r="E125" s="8">
        <f>IFERROR(__xludf.DUMMYFUNCTION("""COMPUTED_VALUE"""),0.976401179941003)</f>
        <v>0.9764011799</v>
      </c>
      <c r="F125" s="8">
        <f>IFERROR(__xludf.DUMMYFUNCTION("""COMPUTED_VALUE"""),0.679049034175334)</f>
        <v>0.6790490342</v>
      </c>
      <c r="G125" s="8">
        <f>IFERROR(__xludf.DUMMYFUNCTION("""COMPUTED_VALUE"""),0.63001485884101)</f>
        <v>0.6300148588</v>
      </c>
      <c r="H125" s="8">
        <f>IFERROR(__xludf.DUMMYFUNCTION("""COMPUTED_VALUE"""),0.617117117117117)</f>
        <v>0.6171171171</v>
      </c>
      <c r="I125" s="8">
        <f>IFERROR(__xludf.DUMMYFUNCTION("""COMPUTED_VALUE"""),0.557894736842105)</f>
        <v>0.5578947368</v>
      </c>
      <c r="J125" s="8">
        <f>IFERROR(__xludf.DUMMYFUNCTION("""COMPUTED_VALUE"""),0.534246575342465)</f>
        <v>0.5342465753</v>
      </c>
      <c r="K125" s="8">
        <f>IFERROR(__xludf.DUMMYFUNCTION("""COMPUTED_VALUE"""),0.502290076335877)</f>
        <v>0.5022900763</v>
      </c>
      <c r="L125" s="8">
        <f>IFERROR(__xludf.DUMMYFUNCTION("""COMPUTED_VALUE"""),0.474339035769828)</f>
        <v>0.4743390358</v>
      </c>
      <c r="M125" s="8">
        <f>IFERROR(__xludf.DUMMYFUNCTION("""COMPUTED_VALUE"""),0.458598726114649)</f>
        <v>0.4585987261</v>
      </c>
      <c r="N125" s="8">
        <f>IFERROR(__xludf.DUMMYFUNCTION("""COMPUTED_VALUE"""),0.437389770723104)</f>
        <v>0.4373897707</v>
      </c>
      <c r="O125" s="8">
        <f>IFERROR(__xludf.DUMMYFUNCTION("""COMPUTED_VALUE"""),0.5)</f>
        <v>0.5</v>
      </c>
      <c r="P125" s="8">
        <f>IFERROR(__xludf.DUMMYFUNCTION("""COMPUTED_VALUE"""),0.384615384615384)</f>
        <v>0.3846153846</v>
      </c>
      <c r="Q125" s="8">
        <f>IFERROR(__xludf.DUMMYFUNCTION("""COMPUTED_VALUE"""),0.0)</f>
        <v>0</v>
      </c>
      <c r="R125" s="8">
        <f>IFERROR(__xludf.DUMMYFUNCTION("""COMPUTED_VALUE"""),0.0)</f>
        <v>0</v>
      </c>
      <c r="S125" s="8">
        <f>IFERROR(__xludf.DUMMYFUNCTION("""COMPUTED_VALUE"""),0.0)</f>
        <v>0</v>
      </c>
      <c r="T125" s="8">
        <f>IFERROR(__xludf.DUMMYFUNCTION("""COMPUTED_VALUE"""),0.0)</f>
        <v>0</v>
      </c>
      <c r="U125" s="8">
        <f>IFERROR(__xludf.DUMMYFUNCTION("""COMPUTED_VALUE"""),0.0)</f>
        <v>0</v>
      </c>
      <c r="V125" s="8">
        <f>IFERROR(__xludf.DUMMYFUNCTION("""COMPUTED_VALUE"""),0.0)</f>
        <v>0</v>
      </c>
      <c r="W125" s="8">
        <f>IFERROR(__xludf.DUMMYFUNCTION("""COMPUTED_VALUE"""),0.0)</f>
        <v>0</v>
      </c>
      <c r="X125" s="8">
        <f>IFERROR(__xludf.DUMMYFUNCTION("""COMPUTED_VALUE"""),0.0)</f>
        <v>0</v>
      </c>
      <c r="Y125" s="8">
        <f>IFERROR(__xludf.DUMMYFUNCTION("""COMPUTED_VALUE"""),0.0)</f>
        <v>0</v>
      </c>
      <c r="Z125" s="8">
        <f>IFERROR(__xludf.DUMMYFUNCTION("""COMPUTED_VALUE"""),0.0)</f>
        <v>0</v>
      </c>
      <c r="AA125" s="8">
        <f>IFERROR(__xludf.DUMMYFUNCTION("""COMPUTED_VALUE"""),0.0)</f>
        <v>0</v>
      </c>
      <c r="AB125" s="8">
        <f>IFERROR(__xludf.DUMMYFUNCTION("""COMPUTED_VALUE"""),0.0)</f>
        <v>0</v>
      </c>
      <c r="AC125" s="8">
        <f>IFERROR(__xludf.DUMMYFUNCTION("""COMPUTED_VALUE"""),0.0)</f>
        <v>0</v>
      </c>
    </row>
    <row r="126" ht="15.75" customHeight="1">
      <c r="A126" s="6" t="str">
        <f>IFERROR(__xludf.DUMMYFUNCTION("""COMPUTED_VALUE"""),"69e29d606b65c300fffe9a9af149d4b81b170a78")</f>
        <v>69e29d606b65c300fffe9a9af149d4b81b170a78</v>
      </c>
      <c r="B126" s="6" t="str">
        <f>IFERROR(__xludf.DUMMYFUNCTION("""COMPUTED_VALUE"""),"Unexpectedly Entwined")</f>
        <v>Unexpectedly Entwined</v>
      </c>
      <c r="C126" s="6" t="str">
        <f>IFERROR(__xludf.DUMMYFUNCTION("""COMPUTED_VALUE"""),"Romance")</f>
        <v>Romance</v>
      </c>
      <c r="D126" s="17">
        <f>IFERROR(__xludf.DUMMYFUNCTION("""COMPUTED_VALUE"""),159.0)</f>
        <v>159</v>
      </c>
      <c r="E126" s="8">
        <f>IFERROR(__xludf.DUMMYFUNCTION("""COMPUTED_VALUE"""),0.943396226415094)</f>
        <v>0.9433962264</v>
      </c>
      <c r="F126" s="8">
        <f>IFERROR(__xludf.DUMMYFUNCTION("""COMPUTED_VALUE"""),0.584905660377358)</f>
        <v>0.5849056604</v>
      </c>
      <c r="G126" s="8">
        <f>IFERROR(__xludf.DUMMYFUNCTION("""COMPUTED_VALUE"""),0.528301886792452)</f>
        <v>0.5283018868</v>
      </c>
      <c r="H126" s="8">
        <f>IFERROR(__xludf.DUMMYFUNCTION("""COMPUTED_VALUE"""),0.468354430379746)</f>
        <v>0.4683544304</v>
      </c>
      <c r="I126" s="8">
        <f>IFERROR(__xludf.DUMMYFUNCTION("""COMPUTED_VALUE"""),0.436708860759493)</f>
        <v>0.4367088608</v>
      </c>
      <c r="J126" s="8">
        <f>IFERROR(__xludf.DUMMYFUNCTION("""COMPUTED_VALUE"""),0.386075949367088)</f>
        <v>0.3860759494</v>
      </c>
      <c r="K126" s="8">
        <f>IFERROR(__xludf.DUMMYFUNCTION("""COMPUTED_VALUE"""),0.348101265822784)</f>
        <v>0.3481012658</v>
      </c>
      <c r="L126" s="8">
        <f>IFERROR(__xludf.DUMMYFUNCTION("""COMPUTED_VALUE"""),0.367088607594936)</f>
        <v>0.3670886076</v>
      </c>
      <c r="M126" s="8">
        <f>IFERROR(__xludf.DUMMYFUNCTION("""COMPUTED_VALUE"""),0.310126582278481)</f>
        <v>0.3101265823</v>
      </c>
      <c r="N126" s="8">
        <f>IFERROR(__xludf.DUMMYFUNCTION("""COMPUTED_VALUE"""),0.322784810126582)</f>
        <v>0.3227848101</v>
      </c>
      <c r="O126" s="8">
        <f>IFERROR(__xludf.DUMMYFUNCTION("""COMPUTED_VALUE"""),0.24516129032258)</f>
        <v>0.2451612903</v>
      </c>
      <c r="P126" s="8">
        <f>IFERROR(__xludf.DUMMYFUNCTION("""COMPUTED_VALUE"""),0.131578947368421)</f>
        <v>0.1315789474</v>
      </c>
      <c r="Q126" s="8">
        <f>IFERROR(__xludf.DUMMYFUNCTION("""COMPUTED_VALUE"""),0.0972222222222222)</f>
        <v>0.09722222222</v>
      </c>
      <c r="R126" s="8">
        <f>IFERROR(__xludf.DUMMYFUNCTION("""COMPUTED_VALUE"""),0.105882352941176)</f>
        <v>0.1058823529</v>
      </c>
      <c r="S126" s="8">
        <f>IFERROR(__xludf.DUMMYFUNCTION("""COMPUTED_VALUE"""),0.147058823529411)</f>
        <v>0.1470588235</v>
      </c>
      <c r="T126" s="8">
        <f>IFERROR(__xludf.DUMMYFUNCTION("""COMPUTED_VALUE"""),0.0465116279069767)</f>
        <v>0.04651162791</v>
      </c>
      <c r="U126" s="8">
        <f>IFERROR(__xludf.DUMMYFUNCTION("""COMPUTED_VALUE"""),0.0)</f>
        <v>0</v>
      </c>
      <c r="V126" s="8">
        <f>IFERROR(__xludf.DUMMYFUNCTION("""COMPUTED_VALUE"""),0.0)</f>
        <v>0</v>
      </c>
      <c r="W126" s="8">
        <f>IFERROR(__xludf.DUMMYFUNCTION("""COMPUTED_VALUE"""),0.0)</f>
        <v>0</v>
      </c>
      <c r="X126" s="8">
        <f>IFERROR(__xludf.DUMMYFUNCTION("""COMPUTED_VALUE"""),0.0)</f>
        <v>0</v>
      </c>
      <c r="Y126" s="8">
        <f>IFERROR(__xludf.DUMMYFUNCTION("""COMPUTED_VALUE"""),0.0)</f>
        <v>0</v>
      </c>
      <c r="Z126" s="8">
        <f>IFERROR(__xludf.DUMMYFUNCTION("""COMPUTED_VALUE"""),0.0)</f>
        <v>0</v>
      </c>
      <c r="AA126" s="8">
        <f>IFERROR(__xludf.DUMMYFUNCTION("""COMPUTED_VALUE"""),0.0)</f>
        <v>0</v>
      </c>
      <c r="AB126" s="8">
        <f>IFERROR(__xludf.DUMMYFUNCTION("""COMPUTED_VALUE"""),0.0)</f>
        <v>0</v>
      </c>
      <c r="AC126" s="8">
        <f>IFERROR(__xludf.DUMMYFUNCTION("""COMPUTED_VALUE"""),0.0)</f>
        <v>0</v>
      </c>
    </row>
    <row r="127" ht="15.75" customHeight="1">
      <c r="A127" s="6" t="str">
        <f>IFERROR(__xludf.DUMMYFUNCTION("""COMPUTED_VALUE"""),"69e2eb3772b49e749fed57ae96a86147dde154cb")</f>
        <v>69e2eb3772b49e749fed57ae96a86147dde154cb</v>
      </c>
      <c r="B127" s="6" t="str">
        <f>IFERROR(__xludf.DUMMYFUNCTION("""COMPUTED_VALUE"""),"The Alpha She Chose")</f>
        <v>The Alpha She Chose</v>
      </c>
      <c r="C127" s="6" t="str">
        <f>IFERROR(__xludf.DUMMYFUNCTION("""COMPUTED_VALUE"""),"Romantasy")</f>
        <v>Romantasy</v>
      </c>
      <c r="D127" s="17">
        <f>IFERROR(__xludf.DUMMYFUNCTION("""COMPUTED_VALUE"""),773.0)</f>
        <v>773</v>
      </c>
      <c r="E127" s="8">
        <f>IFERROR(__xludf.DUMMYFUNCTION("""COMPUTED_VALUE"""),0.962288686605981)</f>
        <v>0.9622886866</v>
      </c>
      <c r="F127" s="8">
        <f>IFERROR(__xludf.DUMMYFUNCTION("""COMPUTED_VALUE"""),0.638381201044386)</f>
        <v>0.638381201</v>
      </c>
      <c r="G127" s="8">
        <f>IFERROR(__xludf.DUMMYFUNCTION("""COMPUTED_VALUE"""),0.60761154855643)</f>
        <v>0.6076115486</v>
      </c>
      <c r="H127" s="8">
        <f>IFERROR(__xludf.DUMMYFUNCTION("""COMPUTED_VALUE"""),0.579155672823219)</f>
        <v>0.5791556728</v>
      </c>
      <c r="I127" s="8">
        <f>IFERROR(__xludf.DUMMYFUNCTION("""COMPUTED_VALUE"""),0.547619047619047)</f>
        <v>0.5476190476</v>
      </c>
      <c r="J127" s="8">
        <f>IFERROR(__xludf.DUMMYFUNCTION("""COMPUTED_VALUE"""),0.529880478087649)</f>
        <v>0.5298804781</v>
      </c>
      <c r="K127" s="8">
        <f>IFERROR(__xludf.DUMMYFUNCTION("""COMPUTED_VALUE"""),0.510666666666666)</f>
        <v>0.5106666667</v>
      </c>
      <c r="L127" s="8">
        <f>IFERROR(__xludf.DUMMYFUNCTION("""COMPUTED_VALUE"""),0.488651535380507)</f>
        <v>0.4886515354</v>
      </c>
      <c r="M127" s="8">
        <f>IFERROR(__xludf.DUMMYFUNCTION("""COMPUTED_VALUE"""),0.46971736204576)</f>
        <v>0.469717362</v>
      </c>
      <c r="N127" s="8">
        <f>IFERROR(__xludf.DUMMYFUNCTION("""COMPUTED_VALUE"""),0.459972862957937)</f>
        <v>0.459972863</v>
      </c>
      <c r="O127" s="8">
        <f>IFERROR(__xludf.DUMMYFUNCTION("""COMPUTED_VALUE"""),0.428785607196401)</f>
        <v>0.4287856072</v>
      </c>
      <c r="P127" s="8">
        <f>IFERROR(__xludf.DUMMYFUNCTION("""COMPUTED_VALUE"""),0.3265625)</f>
        <v>0.3265625</v>
      </c>
      <c r="Q127" s="8">
        <f>IFERROR(__xludf.DUMMYFUNCTION("""COMPUTED_VALUE"""),0.274478330658105)</f>
        <v>0.2744783307</v>
      </c>
      <c r="R127" s="8">
        <f>IFERROR(__xludf.DUMMYFUNCTION("""COMPUTED_VALUE"""),0.225524475524475)</f>
        <v>0.2255244755</v>
      </c>
      <c r="S127" s="8">
        <f>IFERROR(__xludf.DUMMYFUNCTION("""COMPUTED_VALUE"""),0.142857142857142)</f>
        <v>0.1428571429</v>
      </c>
      <c r="T127" s="8">
        <f>IFERROR(__xludf.DUMMYFUNCTION("""COMPUTED_VALUE"""),0.0)</f>
        <v>0</v>
      </c>
      <c r="U127" s="8">
        <f>IFERROR(__xludf.DUMMYFUNCTION("""COMPUTED_VALUE"""),0.0)</f>
        <v>0</v>
      </c>
      <c r="V127" s="8">
        <f>IFERROR(__xludf.DUMMYFUNCTION("""COMPUTED_VALUE"""),0.0)</f>
        <v>0</v>
      </c>
      <c r="W127" s="8">
        <f>IFERROR(__xludf.DUMMYFUNCTION("""COMPUTED_VALUE"""),0.0)</f>
        <v>0</v>
      </c>
      <c r="X127" s="8">
        <f>IFERROR(__xludf.DUMMYFUNCTION("""COMPUTED_VALUE"""),0.0)</f>
        <v>0</v>
      </c>
      <c r="Y127" s="8">
        <f>IFERROR(__xludf.DUMMYFUNCTION("""COMPUTED_VALUE"""),0.0)</f>
        <v>0</v>
      </c>
      <c r="Z127" s="8">
        <f>IFERROR(__xludf.DUMMYFUNCTION("""COMPUTED_VALUE"""),0.0)</f>
        <v>0</v>
      </c>
      <c r="AA127" s="8">
        <f>IFERROR(__xludf.DUMMYFUNCTION("""COMPUTED_VALUE"""),0.0)</f>
        <v>0</v>
      </c>
      <c r="AB127" s="8">
        <f>IFERROR(__xludf.DUMMYFUNCTION("""COMPUTED_VALUE"""),0.0)</f>
        <v>0</v>
      </c>
      <c r="AC127" s="8">
        <f>IFERROR(__xludf.DUMMYFUNCTION("""COMPUTED_VALUE"""),0.0)</f>
        <v>0</v>
      </c>
    </row>
    <row r="128" ht="15.75" customHeight="1">
      <c r="A128" s="6" t="str">
        <f>IFERROR(__xludf.DUMMYFUNCTION("""COMPUTED_VALUE"""),"6c13ac0e01a86e60a2d75bbcee5bb8f9be472700")</f>
        <v>6c13ac0e01a86e60a2d75bbcee5bb8f9be472700</v>
      </c>
      <c r="B128" s="6" t="str">
        <f>IFERROR(__xludf.DUMMYFUNCTION("""COMPUTED_VALUE"""),"Fated to You")</f>
        <v>Fated to You</v>
      </c>
      <c r="C128" s="6" t="str">
        <f>IFERROR(__xludf.DUMMYFUNCTION("""COMPUTED_VALUE"""),"Romance")</f>
        <v>Romance</v>
      </c>
      <c r="D128" s="17">
        <f>IFERROR(__xludf.DUMMYFUNCTION("""COMPUTED_VALUE"""),108.0)</f>
        <v>108</v>
      </c>
      <c r="E128" s="8">
        <f>IFERROR(__xludf.DUMMYFUNCTION("""COMPUTED_VALUE"""),0.546296296296296)</f>
        <v>0.5462962963</v>
      </c>
      <c r="F128" s="8">
        <f>IFERROR(__xludf.DUMMYFUNCTION("""COMPUTED_VALUE"""),0.388888888888888)</f>
        <v>0.3888888889</v>
      </c>
      <c r="G128" s="8">
        <f>IFERROR(__xludf.DUMMYFUNCTION("""COMPUTED_VALUE"""),0.361111111111111)</f>
        <v>0.3611111111</v>
      </c>
      <c r="H128" s="8">
        <f>IFERROR(__xludf.DUMMYFUNCTION("""COMPUTED_VALUE"""),0.336448598130841)</f>
        <v>0.3364485981</v>
      </c>
      <c r="I128" s="8">
        <f>IFERROR(__xludf.DUMMYFUNCTION("""COMPUTED_VALUE"""),0.271028037383177)</f>
        <v>0.2710280374</v>
      </c>
      <c r="J128" s="8">
        <f>IFERROR(__xludf.DUMMYFUNCTION("""COMPUTED_VALUE"""),0.271028037383177)</f>
        <v>0.2710280374</v>
      </c>
      <c r="K128" s="8">
        <f>IFERROR(__xludf.DUMMYFUNCTION("""COMPUTED_VALUE"""),0.25233644859813)</f>
        <v>0.2523364486</v>
      </c>
      <c r="L128" s="8">
        <f>IFERROR(__xludf.DUMMYFUNCTION("""COMPUTED_VALUE"""),0.25233644859813)</f>
        <v>0.2523364486</v>
      </c>
      <c r="M128" s="8">
        <f>IFERROR(__xludf.DUMMYFUNCTION("""COMPUTED_VALUE"""),0.235849056603773)</f>
        <v>0.2358490566</v>
      </c>
      <c r="N128" s="8">
        <f>IFERROR(__xludf.DUMMYFUNCTION("""COMPUTED_VALUE"""),0.266666666666666)</f>
        <v>0.2666666667</v>
      </c>
      <c r="O128" s="8">
        <f>IFERROR(__xludf.DUMMYFUNCTION("""COMPUTED_VALUE"""),0.207920792079207)</f>
        <v>0.2079207921</v>
      </c>
      <c r="P128" s="8">
        <f>IFERROR(__xludf.DUMMYFUNCTION("""COMPUTED_VALUE"""),0.217821782178217)</f>
        <v>0.2178217822</v>
      </c>
      <c r="Q128" s="8">
        <f>IFERROR(__xludf.DUMMYFUNCTION("""COMPUTED_VALUE"""),0.08)</f>
        <v>0.08</v>
      </c>
      <c r="R128" s="8">
        <f>IFERROR(__xludf.DUMMYFUNCTION("""COMPUTED_VALUE"""),0.0612244897959183)</f>
        <v>0.0612244898</v>
      </c>
      <c r="S128" s="8">
        <f>IFERROR(__xludf.DUMMYFUNCTION("""COMPUTED_VALUE"""),0.0519480519480519)</f>
        <v>0.05194805195</v>
      </c>
      <c r="T128" s="8">
        <f>IFERROR(__xludf.DUMMYFUNCTION("""COMPUTED_VALUE"""),0.0454545454545454)</f>
        <v>0.04545454545</v>
      </c>
      <c r="U128" s="8">
        <f>IFERROR(__xludf.DUMMYFUNCTION("""COMPUTED_VALUE"""),0.0307692307692307)</f>
        <v>0.03076923077</v>
      </c>
      <c r="V128" s="8">
        <f>IFERROR(__xludf.DUMMYFUNCTION("""COMPUTED_VALUE"""),0.0153846153846153)</f>
        <v>0.01538461538</v>
      </c>
      <c r="W128" s="8">
        <f>IFERROR(__xludf.DUMMYFUNCTION("""COMPUTED_VALUE"""),0.0)</f>
        <v>0</v>
      </c>
      <c r="X128" s="8">
        <f>IFERROR(__xludf.DUMMYFUNCTION("""COMPUTED_VALUE"""),0.015625)</f>
        <v>0.015625</v>
      </c>
      <c r="Y128" s="8">
        <f>IFERROR(__xludf.DUMMYFUNCTION("""COMPUTED_VALUE"""),0.0)</f>
        <v>0</v>
      </c>
      <c r="Z128" s="8">
        <f>IFERROR(__xludf.DUMMYFUNCTION("""COMPUTED_VALUE"""),0.0)</f>
        <v>0</v>
      </c>
      <c r="AA128" s="8">
        <f>IFERROR(__xludf.DUMMYFUNCTION("""COMPUTED_VALUE"""),0.0)</f>
        <v>0</v>
      </c>
      <c r="AB128" s="8">
        <f>IFERROR(__xludf.DUMMYFUNCTION("""COMPUTED_VALUE"""),0.0)</f>
        <v>0</v>
      </c>
      <c r="AC128" s="8">
        <f>IFERROR(__xludf.DUMMYFUNCTION("""COMPUTED_VALUE"""),0.0)</f>
        <v>0</v>
      </c>
    </row>
    <row r="129" ht="15.75" customHeight="1">
      <c r="A129" s="6" t="str">
        <f>IFERROR(__xludf.DUMMYFUNCTION("""COMPUTED_VALUE"""),"6e9cd8b5ce597e73f12a6a180c18888a89f8aac3")</f>
        <v>6e9cd8b5ce597e73f12a6a180c18888a89f8aac3</v>
      </c>
      <c r="B129" s="6" t="str">
        <f>IFERROR(__xludf.DUMMYFUNCTION("""COMPUTED_VALUE"""),"Sovereign Retribution")</f>
        <v>Sovereign Retribution</v>
      </c>
      <c r="C129" s="6" t="str">
        <f>IFERROR(__xludf.DUMMYFUNCTION("""COMPUTED_VALUE"""),"Drama")</f>
        <v>Drama</v>
      </c>
      <c r="D129" s="17">
        <f>IFERROR(__xludf.DUMMYFUNCTION("""COMPUTED_VALUE"""),935.0)</f>
        <v>935</v>
      </c>
      <c r="E129" s="8">
        <f>IFERROR(__xludf.DUMMYFUNCTION("""COMPUTED_VALUE"""),0.961497326203208)</f>
        <v>0.9614973262</v>
      </c>
      <c r="F129" s="8">
        <f>IFERROR(__xludf.DUMMYFUNCTION("""COMPUTED_VALUE"""),0.782887700534759)</f>
        <v>0.7828877005</v>
      </c>
      <c r="G129" s="8">
        <f>IFERROR(__xludf.DUMMYFUNCTION("""COMPUTED_VALUE"""),0.751605995717344)</f>
        <v>0.7516059957</v>
      </c>
      <c r="H129" s="8">
        <f>IFERROR(__xludf.DUMMYFUNCTION("""COMPUTED_VALUE"""),0.723768736616702)</f>
        <v>0.7237687366</v>
      </c>
      <c r="I129" s="8">
        <f>IFERROR(__xludf.DUMMYFUNCTION("""COMPUTED_VALUE"""),0.701284796573875)</f>
        <v>0.7012847966</v>
      </c>
      <c r="J129" s="8">
        <f>IFERROR(__xludf.DUMMYFUNCTION("""COMPUTED_VALUE"""),0.688102893890675)</f>
        <v>0.6881028939</v>
      </c>
      <c r="K129" s="8">
        <f>IFERROR(__xludf.DUMMYFUNCTION("""COMPUTED_VALUE"""),0.666309012875536)</f>
        <v>0.6663090129</v>
      </c>
      <c r="L129" s="8">
        <f>IFERROR(__xludf.DUMMYFUNCTION("""COMPUTED_VALUE"""),0.646236559139785)</f>
        <v>0.6462365591</v>
      </c>
      <c r="M129" s="8">
        <f>IFERROR(__xludf.DUMMYFUNCTION("""COMPUTED_VALUE"""),0.634015069967707)</f>
        <v>0.63401507</v>
      </c>
      <c r="N129" s="8">
        <f>IFERROR(__xludf.DUMMYFUNCTION("""COMPUTED_VALUE"""),0.623922413793103)</f>
        <v>0.6239224138</v>
      </c>
      <c r="O129" s="8">
        <f>IFERROR(__xludf.DUMMYFUNCTION("""COMPUTED_VALUE"""),0.556531284302963)</f>
        <v>0.5565312843</v>
      </c>
      <c r="P129" s="8">
        <f>IFERROR(__xludf.DUMMYFUNCTION("""COMPUTED_VALUE"""),0.430424528301886)</f>
        <v>0.4304245283</v>
      </c>
      <c r="Q129" s="8">
        <f>IFERROR(__xludf.DUMMYFUNCTION("""COMPUTED_VALUE"""),0.288590604026845)</f>
        <v>0.288590604</v>
      </c>
      <c r="R129" s="8">
        <f>IFERROR(__xludf.DUMMYFUNCTION("""COMPUTED_VALUE"""),0.285714285714285)</f>
        <v>0.2857142857</v>
      </c>
      <c r="S129" s="8">
        <f>IFERROR(__xludf.DUMMYFUNCTION("""COMPUTED_VALUE"""),0.157894736842105)</f>
        <v>0.1578947368</v>
      </c>
      <c r="T129" s="8">
        <f>IFERROR(__xludf.DUMMYFUNCTION("""COMPUTED_VALUE"""),0.0)</f>
        <v>0</v>
      </c>
      <c r="U129" s="8">
        <f>IFERROR(__xludf.DUMMYFUNCTION("""COMPUTED_VALUE"""),0.0)</f>
        <v>0</v>
      </c>
      <c r="V129" s="8">
        <f>IFERROR(__xludf.DUMMYFUNCTION("""COMPUTED_VALUE"""),0.0)</f>
        <v>0</v>
      </c>
      <c r="W129" s="8">
        <f>IFERROR(__xludf.DUMMYFUNCTION("""COMPUTED_VALUE"""),0.0)</f>
        <v>0</v>
      </c>
      <c r="X129" s="8">
        <f>IFERROR(__xludf.DUMMYFUNCTION("""COMPUTED_VALUE"""),0.0)</f>
        <v>0</v>
      </c>
      <c r="Y129" s="8">
        <f>IFERROR(__xludf.DUMMYFUNCTION("""COMPUTED_VALUE"""),0.0)</f>
        <v>0</v>
      </c>
      <c r="Z129" s="8">
        <f>IFERROR(__xludf.DUMMYFUNCTION("""COMPUTED_VALUE"""),0.0)</f>
        <v>0</v>
      </c>
      <c r="AA129" s="8">
        <f>IFERROR(__xludf.DUMMYFUNCTION("""COMPUTED_VALUE"""),0.0)</f>
        <v>0</v>
      </c>
      <c r="AB129" s="8">
        <f>IFERROR(__xludf.DUMMYFUNCTION("""COMPUTED_VALUE"""),0.0)</f>
        <v>0</v>
      </c>
      <c r="AC129" s="8">
        <f>IFERROR(__xludf.DUMMYFUNCTION("""COMPUTED_VALUE"""),0.0)</f>
        <v>0</v>
      </c>
    </row>
    <row r="130" ht="15.75" customHeight="1">
      <c r="A130" s="6" t="str">
        <f>IFERROR(__xludf.DUMMYFUNCTION("""COMPUTED_VALUE"""),"6f82cdfa2792a89aec9172918610c124246ad8bd")</f>
        <v>6f82cdfa2792a89aec9172918610c124246ad8bd</v>
      </c>
      <c r="B130" s="6" t="str">
        <f>IFERROR(__xludf.DUMMYFUNCTION("""COMPUTED_VALUE"""),"Hector's Rise to Power")</f>
        <v>Hector's Rise to Power</v>
      </c>
      <c r="C130" s="6" t="str">
        <f>IFERROR(__xludf.DUMMYFUNCTION("""COMPUTED_VALUE"""),"Drama")</f>
        <v>Drama</v>
      </c>
      <c r="D130" s="17">
        <f>IFERROR(__xludf.DUMMYFUNCTION("""COMPUTED_VALUE"""),82.0)</f>
        <v>82</v>
      </c>
      <c r="E130" s="8">
        <f>IFERROR(__xludf.DUMMYFUNCTION("""COMPUTED_VALUE"""),0.951219512195121)</f>
        <v>0.9512195122</v>
      </c>
      <c r="F130" s="8">
        <f>IFERROR(__xludf.DUMMYFUNCTION("""COMPUTED_VALUE"""),0.790123456790123)</f>
        <v>0.7901234568</v>
      </c>
      <c r="G130" s="8">
        <f>IFERROR(__xludf.DUMMYFUNCTION("""COMPUTED_VALUE"""),0.604938271604938)</f>
        <v>0.6049382716</v>
      </c>
      <c r="H130" s="8">
        <f>IFERROR(__xludf.DUMMYFUNCTION("""COMPUTED_VALUE"""),0.543209876543209)</f>
        <v>0.5432098765</v>
      </c>
      <c r="I130" s="8">
        <f>IFERROR(__xludf.DUMMYFUNCTION("""COMPUTED_VALUE"""),0.432098765432098)</f>
        <v>0.4320987654</v>
      </c>
      <c r="J130" s="8">
        <f>IFERROR(__xludf.DUMMYFUNCTION("""COMPUTED_VALUE"""),0.435897435897435)</f>
        <v>0.4358974359</v>
      </c>
      <c r="K130" s="8">
        <f>IFERROR(__xludf.DUMMYFUNCTION("""COMPUTED_VALUE"""),0.368421052631578)</f>
        <v>0.3684210526</v>
      </c>
      <c r="L130" s="8">
        <f>IFERROR(__xludf.DUMMYFUNCTION("""COMPUTED_VALUE"""),0.368421052631578)</f>
        <v>0.3684210526</v>
      </c>
      <c r="M130" s="8">
        <f>IFERROR(__xludf.DUMMYFUNCTION("""COMPUTED_VALUE"""),0.31578947368421)</f>
        <v>0.3157894737</v>
      </c>
      <c r="N130" s="8">
        <f>IFERROR(__xludf.DUMMYFUNCTION("""COMPUTED_VALUE"""),0.293333333333333)</f>
        <v>0.2933333333</v>
      </c>
      <c r="O130" s="8">
        <f>IFERROR(__xludf.DUMMYFUNCTION("""COMPUTED_VALUE"""),0.232876712328767)</f>
        <v>0.2328767123</v>
      </c>
      <c r="P130" s="8">
        <f>IFERROR(__xludf.DUMMYFUNCTION("""COMPUTED_VALUE"""),0.177777777777777)</f>
        <v>0.1777777778</v>
      </c>
      <c r="Q130" s="8">
        <f>IFERROR(__xludf.DUMMYFUNCTION("""COMPUTED_VALUE"""),0.0789473684210526)</f>
        <v>0.07894736842</v>
      </c>
      <c r="R130" s="8">
        <f>IFERROR(__xludf.DUMMYFUNCTION("""COMPUTED_VALUE"""),0.0)</f>
        <v>0</v>
      </c>
      <c r="S130" s="8">
        <f>IFERROR(__xludf.DUMMYFUNCTION("""COMPUTED_VALUE"""),0.0)</f>
        <v>0</v>
      </c>
      <c r="T130" s="8">
        <f>IFERROR(__xludf.DUMMYFUNCTION("""COMPUTED_VALUE"""),0.0)</f>
        <v>0</v>
      </c>
      <c r="U130" s="8">
        <f>IFERROR(__xludf.DUMMYFUNCTION("""COMPUTED_VALUE"""),0.0)</f>
        <v>0</v>
      </c>
      <c r="V130" s="8">
        <f>IFERROR(__xludf.DUMMYFUNCTION("""COMPUTED_VALUE"""),0.0)</f>
        <v>0</v>
      </c>
      <c r="W130" s="8">
        <f>IFERROR(__xludf.DUMMYFUNCTION("""COMPUTED_VALUE"""),0.0)</f>
        <v>0</v>
      </c>
      <c r="X130" s="8">
        <f>IFERROR(__xludf.DUMMYFUNCTION("""COMPUTED_VALUE"""),0.0)</f>
        <v>0</v>
      </c>
      <c r="Y130" s="8">
        <f>IFERROR(__xludf.DUMMYFUNCTION("""COMPUTED_VALUE"""),0.0)</f>
        <v>0</v>
      </c>
      <c r="Z130" s="8">
        <f>IFERROR(__xludf.DUMMYFUNCTION("""COMPUTED_VALUE"""),0.0)</f>
        <v>0</v>
      </c>
      <c r="AA130" s="8">
        <f>IFERROR(__xludf.DUMMYFUNCTION("""COMPUTED_VALUE"""),0.0)</f>
        <v>0</v>
      </c>
      <c r="AB130" s="8">
        <f>IFERROR(__xludf.DUMMYFUNCTION("""COMPUTED_VALUE"""),0.0)</f>
        <v>0</v>
      </c>
      <c r="AC130" s="8">
        <f>IFERROR(__xludf.DUMMYFUNCTION("""COMPUTED_VALUE"""),0.0)</f>
        <v>0</v>
      </c>
    </row>
    <row r="131" ht="15.75" customHeight="1">
      <c r="A131" s="6" t="str">
        <f>IFERROR(__xludf.DUMMYFUNCTION("""COMPUTED_VALUE"""),"6f907f1e2ab28d03dcc8246bf380f11b97d00c06")</f>
        <v>6f907f1e2ab28d03dcc8246bf380f11b97d00c06</v>
      </c>
      <c r="B131" s="6" t="str">
        <f>IFERROR(__xludf.DUMMYFUNCTION("""COMPUTED_VALUE"""),"CEO Inherited Bride ")</f>
        <v>CEO Inherited Bride </v>
      </c>
      <c r="C131" s="6" t="str">
        <f>IFERROR(__xludf.DUMMYFUNCTION("""COMPUTED_VALUE"""),"Romance")</f>
        <v>Romance</v>
      </c>
      <c r="D131" s="17">
        <f>IFERROR(__xludf.DUMMYFUNCTION("""COMPUTED_VALUE"""),54.0)</f>
        <v>54</v>
      </c>
      <c r="E131" s="8">
        <f>IFERROR(__xludf.DUMMYFUNCTION("""COMPUTED_VALUE"""),0.981481481481481)</f>
        <v>0.9814814815</v>
      </c>
      <c r="F131" s="8">
        <f>IFERROR(__xludf.DUMMYFUNCTION("""COMPUTED_VALUE"""),0.685185185185185)</f>
        <v>0.6851851852</v>
      </c>
      <c r="G131" s="8">
        <f>IFERROR(__xludf.DUMMYFUNCTION("""COMPUTED_VALUE"""),0.611111111111111)</f>
        <v>0.6111111111</v>
      </c>
      <c r="H131" s="8">
        <f>IFERROR(__xludf.DUMMYFUNCTION("""COMPUTED_VALUE"""),0.592592592592592)</f>
        <v>0.5925925926</v>
      </c>
      <c r="I131" s="8">
        <f>IFERROR(__xludf.DUMMYFUNCTION("""COMPUTED_VALUE"""),0.555555555555555)</f>
        <v>0.5555555556</v>
      </c>
      <c r="J131" s="8">
        <f>IFERROR(__xludf.DUMMYFUNCTION("""COMPUTED_VALUE"""),0.555555555555555)</f>
        <v>0.5555555556</v>
      </c>
      <c r="K131" s="8">
        <f>IFERROR(__xludf.DUMMYFUNCTION("""COMPUTED_VALUE"""),0.518518518518518)</f>
        <v>0.5185185185</v>
      </c>
      <c r="L131" s="8">
        <f>IFERROR(__xludf.DUMMYFUNCTION("""COMPUTED_VALUE"""),0.462962962962962)</f>
        <v>0.462962963</v>
      </c>
      <c r="M131" s="8">
        <f>IFERROR(__xludf.DUMMYFUNCTION("""COMPUTED_VALUE"""),0.444444444444444)</f>
        <v>0.4444444444</v>
      </c>
      <c r="N131" s="8">
        <f>IFERROR(__xludf.DUMMYFUNCTION("""COMPUTED_VALUE"""),0.444444444444444)</f>
        <v>0.4444444444</v>
      </c>
      <c r="O131" s="8">
        <f>IFERROR(__xludf.DUMMYFUNCTION("""COMPUTED_VALUE"""),0.326923076923076)</f>
        <v>0.3269230769</v>
      </c>
      <c r="P131" s="8">
        <f>IFERROR(__xludf.DUMMYFUNCTION("""COMPUTED_VALUE"""),0.254901960784313)</f>
        <v>0.2549019608</v>
      </c>
      <c r="Q131" s="8">
        <f>IFERROR(__xludf.DUMMYFUNCTION("""COMPUTED_VALUE"""),0.170212765957446)</f>
        <v>0.170212766</v>
      </c>
      <c r="R131" s="8">
        <f>IFERROR(__xludf.DUMMYFUNCTION("""COMPUTED_VALUE"""),0.0851063829787234)</f>
        <v>0.08510638298</v>
      </c>
      <c r="S131" s="8">
        <f>IFERROR(__xludf.DUMMYFUNCTION("""COMPUTED_VALUE"""),0.0333333333333333)</f>
        <v>0.03333333333</v>
      </c>
      <c r="T131" s="8">
        <f>IFERROR(__xludf.DUMMYFUNCTION("""COMPUTED_VALUE"""),0.0952380952380952)</f>
        <v>0.09523809524</v>
      </c>
      <c r="U131" s="8">
        <f>IFERROR(__xludf.DUMMYFUNCTION("""COMPUTED_VALUE"""),0.0)</f>
        <v>0</v>
      </c>
      <c r="V131" s="8">
        <f>IFERROR(__xludf.DUMMYFUNCTION("""COMPUTED_VALUE"""),0.0)</f>
        <v>0</v>
      </c>
      <c r="W131" s="8">
        <f>IFERROR(__xludf.DUMMYFUNCTION("""COMPUTED_VALUE"""),0.0)</f>
        <v>0</v>
      </c>
      <c r="X131" s="8">
        <f>IFERROR(__xludf.DUMMYFUNCTION("""COMPUTED_VALUE"""),0.0)</f>
        <v>0</v>
      </c>
      <c r="Y131" s="8">
        <f>IFERROR(__xludf.DUMMYFUNCTION("""COMPUTED_VALUE"""),0.0)</f>
        <v>0</v>
      </c>
      <c r="Z131" s="8">
        <f>IFERROR(__xludf.DUMMYFUNCTION("""COMPUTED_VALUE"""),0.0)</f>
        <v>0</v>
      </c>
      <c r="AA131" s="8">
        <f>IFERROR(__xludf.DUMMYFUNCTION("""COMPUTED_VALUE"""),0.0)</f>
        <v>0</v>
      </c>
      <c r="AB131" s="8">
        <f>IFERROR(__xludf.DUMMYFUNCTION("""COMPUTED_VALUE"""),0.0)</f>
        <v>0</v>
      </c>
      <c r="AC131" s="8">
        <f>IFERROR(__xludf.DUMMYFUNCTION("""COMPUTED_VALUE"""),0.0)</f>
        <v>0</v>
      </c>
    </row>
    <row r="132" ht="15.75" customHeight="1">
      <c r="A132" s="6" t="str">
        <f>IFERROR(__xludf.DUMMYFUNCTION("""COMPUTED_VALUE"""),"71bfacd374965f4c980894477e36ea695b41c609")</f>
        <v>71bfacd374965f4c980894477e36ea695b41c609</v>
      </c>
      <c r="B132" s="6" t="str">
        <f>IFERROR(__xludf.DUMMYFUNCTION("""COMPUTED_VALUE"""),"Bride Who Didn't Want Him")</f>
        <v>Bride Who Didn't Want Him</v>
      </c>
      <c r="C132" s="6" t="str">
        <f>IFERROR(__xludf.DUMMYFUNCTION("""COMPUTED_VALUE"""),"Romance")</f>
        <v>Romance</v>
      </c>
      <c r="D132" s="17">
        <f>IFERROR(__xludf.DUMMYFUNCTION("""COMPUTED_VALUE"""),656.0)</f>
        <v>656</v>
      </c>
      <c r="E132" s="8">
        <f>IFERROR(__xludf.DUMMYFUNCTION("""COMPUTED_VALUE"""),0.974085365853658)</f>
        <v>0.9740853659</v>
      </c>
      <c r="F132" s="8">
        <f>IFERROR(__xludf.DUMMYFUNCTION("""COMPUTED_VALUE"""),0.574695121951219)</f>
        <v>0.574695122</v>
      </c>
      <c r="G132" s="8">
        <f>IFERROR(__xludf.DUMMYFUNCTION("""COMPUTED_VALUE"""),0.501524390243902)</f>
        <v>0.5015243902</v>
      </c>
      <c r="H132" s="8">
        <f>IFERROR(__xludf.DUMMYFUNCTION("""COMPUTED_VALUE"""),0.446646341463414)</f>
        <v>0.4466463415</v>
      </c>
      <c r="I132" s="8">
        <f>IFERROR(__xludf.DUMMYFUNCTION("""COMPUTED_VALUE"""),0.420731707317073)</f>
        <v>0.4207317073</v>
      </c>
      <c r="J132" s="8">
        <f>IFERROR(__xludf.DUMMYFUNCTION("""COMPUTED_VALUE"""),0.403963414634146)</f>
        <v>0.4039634146</v>
      </c>
      <c r="K132" s="8">
        <f>IFERROR(__xludf.DUMMYFUNCTION("""COMPUTED_VALUE"""),0.388719512195121)</f>
        <v>0.3887195122</v>
      </c>
      <c r="L132" s="8">
        <f>IFERROR(__xludf.DUMMYFUNCTION("""COMPUTED_VALUE"""),0.370426829268292)</f>
        <v>0.3704268293</v>
      </c>
      <c r="M132" s="8">
        <f>IFERROR(__xludf.DUMMYFUNCTION("""COMPUTED_VALUE"""),0.36280487804878)</f>
        <v>0.362804878</v>
      </c>
      <c r="N132" s="8">
        <f>IFERROR(__xludf.DUMMYFUNCTION("""COMPUTED_VALUE"""),0.351145038167938)</f>
        <v>0.3511450382</v>
      </c>
      <c r="O132" s="8">
        <f>IFERROR(__xludf.DUMMYFUNCTION("""COMPUTED_VALUE"""),0.324159021406727)</f>
        <v>0.3241590214</v>
      </c>
      <c r="P132" s="8">
        <f>IFERROR(__xludf.DUMMYFUNCTION("""COMPUTED_VALUE"""),0.248073959938366)</f>
        <v>0.2480739599</v>
      </c>
      <c r="Q132" s="8">
        <f>IFERROR(__xludf.DUMMYFUNCTION("""COMPUTED_VALUE"""),0.126805778491171)</f>
        <v>0.1268057785</v>
      </c>
      <c r="R132" s="8">
        <f>IFERROR(__xludf.DUMMYFUNCTION("""COMPUTED_VALUE"""),0.0)</f>
        <v>0</v>
      </c>
      <c r="S132" s="8">
        <f>IFERROR(__xludf.DUMMYFUNCTION("""COMPUTED_VALUE"""),0.0)</f>
        <v>0</v>
      </c>
      <c r="T132" s="8">
        <f>IFERROR(__xludf.DUMMYFUNCTION("""COMPUTED_VALUE"""),0.0)</f>
        <v>0</v>
      </c>
      <c r="U132" s="8">
        <f>IFERROR(__xludf.DUMMYFUNCTION("""COMPUTED_VALUE"""),0.0)</f>
        <v>0</v>
      </c>
      <c r="V132" s="8">
        <f>IFERROR(__xludf.DUMMYFUNCTION("""COMPUTED_VALUE"""),0.0)</f>
        <v>0</v>
      </c>
      <c r="W132" s="8">
        <f>IFERROR(__xludf.DUMMYFUNCTION("""COMPUTED_VALUE"""),0.0)</f>
        <v>0</v>
      </c>
      <c r="X132" s="8">
        <f>IFERROR(__xludf.DUMMYFUNCTION("""COMPUTED_VALUE"""),0.0)</f>
        <v>0</v>
      </c>
      <c r="Y132" s="8">
        <f>IFERROR(__xludf.DUMMYFUNCTION("""COMPUTED_VALUE"""),0.0)</f>
        <v>0</v>
      </c>
      <c r="Z132" s="8">
        <f>IFERROR(__xludf.DUMMYFUNCTION("""COMPUTED_VALUE"""),0.0)</f>
        <v>0</v>
      </c>
      <c r="AA132" s="8">
        <f>IFERROR(__xludf.DUMMYFUNCTION("""COMPUTED_VALUE"""),0.0)</f>
        <v>0</v>
      </c>
      <c r="AB132" s="8">
        <f>IFERROR(__xludf.DUMMYFUNCTION("""COMPUTED_VALUE"""),0.0)</f>
        <v>0</v>
      </c>
      <c r="AC132" s="8">
        <f>IFERROR(__xludf.DUMMYFUNCTION("""COMPUTED_VALUE"""),0.0)</f>
        <v>0</v>
      </c>
    </row>
    <row r="133" ht="15.75" customHeight="1">
      <c r="A133" s="6" t="str">
        <f>IFERROR(__xludf.DUMMYFUNCTION("""COMPUTED_VALUE"""),"730a3d0d6b094f151aed0a3dff6794a1d2fedee3")</f>
        <v>730a3d0d6b094f151aed0a3dff6794a1d2fedee3</v>
      </c>
      <c r="B133" s="6" t="str">
        <f>IFERROR(__xludf.DUMMYFUNCTION("""COMPUTED_VALUE"""),"Her Beauty Is Reborn")</f>
        <v>Her Beauty Is Reborn</v>
      </c>
      <c r="C133" s="6" t="str">
        <f>IFERROR(__xludf.DUMMYFUNCTION("""COMPUTED_VALUE"""),"Romance")</f>
        <v>Romance</v>
      </c>
      <c r="D133" s="17">
        <f>IFERROR(__xludf.DUMMYFUNCTION("""COMPUTED_VALUE"""),3800.0)</f>
        <v>3800</v>
      </c>
      <c r="E133" s="8">
        <f>IFERROR(__xludf.DUMMYFUNCTION("""COMPUTED_VALUE"""),0.957105263157894)</f>
        <v>0.9571052632</v>
      </c>
      <c r="F133" s="8">
        <f>IFERROR(__xludf.DUMMYFUNCTION("""COMPUTED_VALUE"""),0.610526315789473)</f>
        <v>0.6105263158</v>
      </c>
      <c r="G133" s="8">
        <f>IFERROR(__xludf.DUMMYFUNCTION("""COMPUTED_VALUE"""),0.550526315789473)</f>
        <v>0.5505263158</v>
      </c>
      <c r="H133" s="8">
        <f>IFERROR(__xludf.DUMMYFUNCTION("""COMPUTED_VALUE"""),0.513684210526315)</f>
        <v>0.5136842105</v>
      </c>
      <c r="I133" s="8">
        <f>IFERROR(__xludf.DUMMYFUNCTION("""COMPUTED_VALUE"""),0.495526315789473)</f>
        <v>0.4955263158</v>
      </c>
      <c r="J133" s="8">
        <f>IFERROR(__xludf.DUMMYFUNCTION("""COMPUTED_VALUE"""),0.471052631578947)</f>
        <v>0.4710526316</v>
      </c>
      <c r="K133" s="8">
        <f>IFERROR(__xludf.DUMMYFUNCTION("""COMPUTED_VALUE"""),0.45578947368421)</f>
        <v>0.4557894737</v>
      </c>
      <c r="L133" s="8">
        <f>IFERROR(__xludf.DUMMYFUNCTION("""COMPUTED_VALUE"""),0.443127962085308)</f>
        <v>0.4431279621</v>
      </c>
      <c r="M133" s="8">
        <f>IFERROR(__xludf.DUMMYFUNCTION("""COMPUTED_VALUE"""),0.433385992627698)</f>
        <v>0.4333859926</v>
      </c>
      <c r="N133" s="8">
        <f>IFERROR(__xludf.DUMMYFUNCTION("""COMPUTED_VALUE"""),0.424433912585571)</f>
        <v>0.4244339126</v>
      </c>
      <c r="O133" s="8">
        <f>IFERROR(__xludf.DUMMYFUNCTION("""COMPUTED_VALUE"""),0.390971488912354)</f>
        <v>0.3909714889</v>
      </c>
      <c r="P133" s="8">
        <f>IFERROR(__xludf.DUMMYFUNCTION("""COMPUTED_VALUE"""),0.332979851537645)</f>
        <v>0.3329798515</v>
      </c>
      <c r="Q133" s="8">
        <f>IFERROR(__xludf.DUMMYFUNCTION("""COMPUTED_VALUE"""),0.273358248798718)</f>
        <v>0.2733582488</v>
      </c>
      <c r="R133" s="8">
        <f>IFERROR(__xludf.DUMMYFUNCTION("""COMPUTED_VALUE"""),0.218195836545875)</f>
        <v>0.2181958365</v>
      </c>
      <c r="S133" s="8">
        <f>IFERROR(__xludf.DUMMYFUNCTION("""COMPUTED_VALUE"""),0.187587494167055)</f>
        <v>0.1875874942</v>
      </c>
      <c r="T133" s="8">
        <f>IFERROR(__xludf.DUMMYFUNCTION("""COMPUTED_VALUE"""),0.166666666666666)</f>
        <v>0.1666666667</v>
      </c>
      <c r="U133" s="8">
        <f>IFERROR(__xludf.DUMMYFUNCTION("""COMPUTED_VALUE"""),0.131522516082916)</f>
        <v>0.1315225161</v>
      </c>
      <c r="V133" s="8">
        <f>IFERROR(__xludf.DUMMYFUNCTION("""COMPUTED_VALUE"""),0.117548278757346)</f>
        <v>0.1175482788</v>
      </c>
      <c r="W133" s="8">
        <f>IFERROR(__xludf.DUMMYFUNCTION("""COMPUTED_VALUE"""),0.103884372177055)</f>
        <v>0.1038843722</v>
      </c>
      <c r="X133" s="8">
        <f>IFERROR(__xludf.DUMMYFUNCTION("""COMPUTED_VALUE"""),0.090721649484536)</f>
        <v>0.09072164948</v>
      </c>
      <c r="Y133" s="8">
        <f>IFERROR(__xludf.DUMMYFUNCTION("""COMPUTED_VALUE"""),0.0144927536231884)</f>
        <v>0.01449275362</v>
      </c>
      <c r="Z133" s="8">
        <f>IFERROR(__xludf.DUMMYFUNCTION("""COMPUTED_VALUE"""),0.0)</f>
        <v>0</v>
      </c>
      <c r="AA133" s="8">
        <f>IFERROR(__xludf.DUMMYFUNCTION("""COMPUTED_VALUE"""),0.0)</f>
        <v>0</v>
      </c>
      <c r="AB133" s="8">
        <f>IFERROR(__xludf.DUMMYFUNCTION("""COMPUTED_VALUE"""),0.0)</f>
        <v>0</v>
      </c>
      <c r="AC133" s="8">
        <f>IFERROR(__xludf.DUMMYFUNCTION("""COMPUTED_VALUE"""),0.0)</f>
        <v>0</v>
      </c>
    </row>
    <row r="134" ht="15.75" customHeight="1">
      <c r="A134" s="6" t="str">
        <f>IFERROR(__xludf.DUMMYFUNCTION("""COMPUTED_VALUE"""),"7315dca13e406894d8407cd6d050c5d3b69eec10")</f>
        <v>7315dca13e406894d8407cd6d050c5d3b69eec10</v>
      </c>
      <c r="B134" s="6" t="str">
        <f>IFERROR(__xludf.DUMMYFUNCTION("""COMPUTED_VALUE"""),"The Uncle Who Chose Me")</f>
        <v>The Uncle Who Chose Me</v>
      </c>
      <c r="C134" s="6" t="str">
        <f>IFERROR(__xludf.DUMMYFUNCTION("""COMPUTED_VALUE"""),"Romance")</f>
        <v>Romance</v>
      </c>
      <c r="D134" s="17">
        <f>IFERROR(__xludf.DUMMYFUNCTION("""COMPUTED_VALUE"""),611.0)</f>
        <v>611</v>
      </c>
      <c r="E134" s="8">
        <f>IFERROR(__xludf.DUMMYFUNCTION("""COMPUTED_VALUE"""),0.980360065466448)</f>
        <v>0.9803600655</v>
      </c>
      <c r="F134" s="8">
        <f>IFERROR(__xludf.DUMMYFUNCTION("""COMPUTED_VALUE"""),0.638297872340425)</f>
        <v>0.6382978723</v>
      </c>
      <c r="G134" s="8">
        <f>IFERROR(__xludf.DUMMYFUNCTION("""COMPUTED_VALUE"""),0.53355155482815)</f>
        <v>0.5335515548</v>
      </c>
      <c r="H134" s="8">
        <f>IFERROR(__xludf.DUMMYFUNCTION("""COMPUTED_VALUE"""),0.485245901639344)</f>
        <v>0.4852459016</v>
      </c>
      <c r="I134" s="8">
        <f>IFERROR(__xludf.DUMMYFUNCTION("""COMPUTED_VALUE"""),0.442622950819672)</f>
        <v>0.4426229508</v>
      </c>
      <c r="J134" s="8">
        <f>IFERROR(__xludf.DUMMYFUNCTION("""COMPUTED_VALUE"""),0.41311475409836)</f>
        <v>0.4131147541</v>
      </c>
      <c r="K134" s="8">
        <f>IFERROR(__xludf.DUMMYFUNCTION("""COMPUTED_VALUE"""),0.395081967213114)</f>
        <v>0.3950819672</v>
      </c>
      <c r="L134" s="8">
        <f>IFERROR(__xludf.DUMMYFUNCTION("""COMPUTED_VALUE"""),0.377668308702791)</f>
        <v>0.3776683087</v>
      </c>
      <c r="M134" s="8">
        <f>IFERROR(__xludf.DUMMYFUNCTION("""COMPUTED_VALUE"""),0.367816091954023)</f>
        <v>0.367816092</v>
      </c>
      <c r="N134" s="8">
        <f>IFERROR(__xludf.DUMMYFUNCTION("""COMPUTED_VALUE"""),0.338259441707717)</f>
        <v>0.3382594417</v>
      </c>
      <c r="O134" s="8">
        <f>IFERROR(__xludf.DUMMYFUNCTION("""COMPUTED_VALUE"""),0.273026315789473)</f>
        <v>0.2730263158</v>
      </c>
      <c r="P134" s="8">
        <f>IFERROR(__xludf.DUMMYFUNCTION("""COMPUTED_VALUE"""),0.182885906040268)</f>
        <v>0.182885906</v>
      </c>
      <c r="Q134" s="8">
        <f>IFERROR(__xludf.DUMMYFUNCTION("""COMPUTED_VALUE"""),0.0826161790017211)</f>
        <v>0.082616179</v>
      </c>
      <c r="R134" s="8">
        <f>IFERROR(__xludf.DUMMYFUNCTION("""COMPUTED_VALUE"""),0.0)</f>
        <v>0</v>
      </c>
      <c r="S134" s="8">
        <f>IFERROR(__xludf.DUMMYFUNCTION("""COMPUTED_VALUE"""),0.0)</f>
        <v>0</v>
      </c>
      <c r="T134" s="8">
        <f>IFERROR(__xludf.DUMMYFUNCTION("""COMPUTED_VALUE"""),0.0)</f>
        <v>0</v>
      </c>
      <c r="U134" s="8">
        <f>IFERROR(__xludf.DUMMYFUNCTION("""COMPUTED_VALUE"""),0.0)</f>
        <v>0</v>
      </c>
      <c r="V134" s="8">
        <f>IFERROR(__xludf.DUMMYFUNCTION("""COMPUTED_VALUE"""),0.0)</f>
        <v>0</v>
      </c>
      <c r="W134" s="8">
        <f>IFERROR(__xludf.DUMMYFUNCTION("""COMPUTED_VALUE"""),0.0)</f>
        <v>0</v>
      </c>
      <c r="X134" s="8">
        <f>IFERROR(__xludf.DUMMYFUNCTION("""COMPUTED_VALUE"""),0.0)</f>
        <v>0</v>
      </c>
      <c r="Y134" s="8">
        <f>IFERROR(__xludf.DUMMYFUNCTION("""COMPUTED_VALUE"""),0.0)</f>
        <v>0</v>
      </c>
      <c r="Z134" s="8">
        <f>IFERROR(__xludf.DUMMYFUNCTION("""COMPUTED_VALUE"""),0.0)</f>
        <v>0</v>
      </c>
      <c r="AA134" s="8">
        <f>IFERROR(__xludf.DUMMYFUNCTION("""COMPUTED_VALUE"""),0.0)</f>
        <v>0</v>
      </c>
      <c r="AB134" s="8">
        <f>IFERROR(__xludf.DUMMYFUNCTION("""COMPUTED_VALUE"""),0.0)</f>
        <v>0</v>
      </c>
      <c r="AC134" s="8">
        <f>IFERROR(__xludf.DUMMYFUNCTION("""COMPUTED_VALUE"""),0.0)</f>
        <v>0</v>
      </c>
    </row>
    <row r="135" ht="15.75" customHeight="1">
      <c r="A135" s="6" t="str">
        <f>IFERROR(__xludf.DUMMYFUNCTION("""COMPUTED_VALUE"""),"749524eadbd429949b1a44242bd8fb3559f3626c")</f>
        <v>749524eadbd429949b1a44242bd8fb3559f3626c</v>
      </c>
      <c r="B135" s="6" t="str">
        <f>IFERROR(__xludf.DUMMYFUNCTION("""COMPUTED_VALUE"""),"Monarch of His Shadows")</f>
        <v>Monarch of His Shadows</v>
      </c>
      <c r="C135" s="6" t="str">
        <f>IFERROR(__xludf.DUMMYFUNCTION("""COMPUTED_VALUE"""),"Fantasy")</f>
        <v>Fantasy</v>
      </c>
      <c r="D135" s="17">
        <f>IFERROR(__xludf.DUMMYFUNCTION("""COMPUTED_VALUE"""),77.0)</f>
        <v>77</v>
      </c>
      <c r="E135" s="8">
        <f>IFERROR(__xludf.DUMMYFUNCTION("""COMPUTED_VALUE"""),0.934210526315789)</f>
        <v>0.9342105263</v>
      </c>
      <c r="F135" s="8">
        <f>IFERROR(__xludf.DUMMYFUNCTION("""COMPUTED_VALUE"""),0.573333333333333)</f>
        <v>0.5733333333</v>
      </c>
      <c r="G135" s="8">
        <f>IFERROR(__xludf.DUMMYFUNCTION("""COMPUTED_VALUE"""),0.506666666666666)</f>
        <v>0.5066666667</v>
      </c>
      <c r="H135" s="8">
        <f>IFERROR(__xludf.DUMMYFUNCTION("""COMPUTED_VALUE"""),0.52)</f>
        <v>0.52</v>
      </c>
      <c r="I135" s="8">
        <f>IFERROR(__xludf.DUMMYFUNCTION("""COMPUTED_VALUE"""),0.445945945945945)</f>
        <v>0.4459459459</v>
      </c>
      <c r="J135" s="8">
        <f>IFERROR(__xludf.DUMMYFUNCTION("""COMPUTED_VALUE"""),0.452054794520547)</f>
        <v>0.4520547945</v>
      </c>
      <c r="K135" s="8">
        <f>IFERROR(__xludf.DUMMYFUNCTION("""COMPUTED_VALUE"""),0.438356164383561)</f>
        <v>0.4383561644</v>
      </c>
      <c r="L135" s="8">
        <f>IFERROR(__xludf.DUMMYFUNCTION("""COMPUTED_VALUE"""),0.397260273972602)</f>
        <v>0.397260274</v>
      </c>
      <c r="M135" s="8">
        <f>IFERROR(__xludf.DUMMYFUNCTION("""COMPUTED_VALUE"""),0.36986301369863)</f>
        <v>0.3698630137</v>
      </c>
      <c r="N135" s="8">
        <f>IFERROR(__xludf.DUMMYFUNCTION("""COMPUTED_VALUE"""),0.36986301369863)</f>
        <v>0.3698630137</v>
      </c>
      <c r="O135" s="8">
        <f>IFERROR(__xludf.DUMMYFUNCTION("""COMPUTED_VALUE"""),0.28169014084507)</f>
        <v>0.2816901408</v>
      </c>
      <c r="P135" s="8">
        <f>IFERROR(__xludf.DUMMYFUNCTION("""COMPUTED_VALUE"""),0.112676056338028)</f>
        <v>0.1126760563</v>
      </c>
      <c r="Q135" s="8">
        <f>IFERROR(__xludf.DUMMYFUNCTION("""COMPUTED_VALUE"""),0.0)</f>
        <v>0</v>
      </c>
      <c r="R135" s="8">
        <f>IFERROR(__xludf.DUMMYFUNCTION("""COMPUTED_VALUE"""),0.0)</f>
        <v>0</v>
      </c>
      <c r="S135" s="8">
        <f>IFERROR(__xludf.DUMMYFUNCTION("""COMPUTED_VALUE"""),0.0)</f>
        <v>0</v>
      </c>
      <c r="T135" s="8">
        <f>IFERROR(__xludf.DUMMYFUNCTION("""COMPUTED_VALUE"""),0.0)</f>
        <v>0</v>
      </c>
      <c r="U135" s="8">
        <f>IFERROR(__xludf.DUMMYFUNCTION("""COMPUTED_VALUE"""),0.0)</f>
        <v>0</v>
      </c>
      <c r="V135" s="8">
        <f>IFERROR(__xludf.DUMMYFUNCTION("""COMPUTED_VALUE"""),0.0)</f>
        <v>0</v>
      </c>
      <c r="W135" s="8">
        <f>IFERROR(__xludf.DUMMYFUNCTION("""COMPUTED_VALUE"""),0.0)</f>
        <v>0</v>
      </c>
      <c r="X135" s="8">
        <f>IFERROR(__xludf.DUMMYFUNCTION("""COMPUTED_VALUE"""),0.0)</f>
        <v>0</v>
      </c>
      <c r="Y135" s="8">
        <f>IFERROR(__xludf.DUMMYFUNCTION("""COMPUTED_VALUE"""),0.0)</f>
        <v>0</v>
      </c>
      <c r="Z135" s="8">
        <f>IFERROR(__xludf.DUMMYFUNCTION("""COMPUTED_VALUE"""),0.0)</f>
        <v>0</v>
      </c>
      <c r="AA135" s="8">
        <f>IFERROR(__xludf.DUMMYFUNCTION("""COMPUTED_VALUE"""),0.0)</f>
        <v>0</v>
      </c>
      <c r="AB135" s="8">
        <f>IFERROR(__xludf.DUMMYFUNCTION("""COMPUTED_VALUE"""),0.0)</f>
        <v>0</v>
      </c>
      <c r="AC135" s="8">
        <f>IFERROR(__xludf.DUMMYFUNCTION("""COMPUTED_VALUE"""),0.0)</f>
        <v>0</v>
      </c>
    </row>
    <row r="136" ht="15.75" customHeight="1">
      <c r="A136" s="6" t="str">
        <f>IFERROR(__xludf.DUMMYFUNCTION("""COMPUTED_VALUE"""),"75537e31c1c79bdbb6ca1cd286c8e6bcb2697a51")</f>
        <v>75537e31c1c79bdbb6ca1cd286c8e6bcb2697a51</v>
      </c>
      <c r="B136" s="6" t="str">
        <f>IFERROR(__xludf.DUMMYFUNCTION("""COMPUTED_VALUE"""),"The Story of the CEO and the Heiress")</f>
        <v>The Story of the CEO and the Heiress</v>
      </c>
      <c r="C136" s="6" t="str">
        <f>IFERROR(__xludf.DUMMYFUNCTION("""COMPUTED_VALUE"""),"Romance")</f>
        <v>Romance</v>
      </c>
      <c r="D136" s="17">
        <f>IFERROR(__xludf.DUMMYFUNCTION("""COMPUTED_VALUE"""),6091.0)</f>
        <v>6091</v>
      </c>
      <c r="E136" s="8">
        <f>IFERROR(__xludf.DUMMYFUNCTION("""COMPUTED_VALUE"""),0.941350418925579)</f>
        <v>0.9413504189</v>
      </c>
      <c r="F136" s="8">
        <f>IFERROR(__xludf.DUMMYFUNCTION("""COMPUTED_VALUE"""),0.566589937520552)</f>
        <v>0.5665899375</v>
      </c>
      <c r="G136" s="8">
        <f>IFERROR(__xludf.DUMMYFUNCTION("""COMPUTED_VALUE"""),0.504197530864197)</f>
        <v>0.5041975309</v>
      </c>
      <c r="H136" s="8">
        <f>IFERROR(__xludf.DUMMYFUNCTION("""COMPUTED_VALUE"""),0.476033602371932)</f>
        <v>0.4760336024</v>
      </c>
      <c r="I136" s="8">
        <f>IFERROR(__xludf.DUMMYFUNCTION("""COMPUTED_VALUE"""),0.450469754409098)</f>
        <v>0.4504697544</v>
      </c>
      <c r="J136" s="8">
        <f>IFERROR(__xludf.DUMMYFUNCTION("""COMPUTED_VALUE"""),0.43441676291041)</f>
        <v>0.4344167629</v>
      </c>
      <c r="K136" s="8">
        <f>IFERROR(__xludf.DUMMYFUNCTION("""COMPUTED_VALUE"""),0.421712588681735)</f>
        <v>0.4217125887</v>
      </c>
      <c r="L136" s="8">
        <f>IFERROR(__xludf.DUMMYFUNCTION("""COMPUTED_VALUE"""),0.416983314059144)</f>
        <v>0.4169833141</v>
      </c>
      <c r="M136" s="8">
        <f>IFERROR(__xludf.DUMMYFUNCTION("""COMPUTED_VALUE"""),0.406379110890761)</f>
        <v>0.4063791109</v>
      </c>
      <c r="N136" s="8">
        <f>IFERROR(__xludf.DUMMYFUNCTION("""COMPUTED_VALUE"""),0.397486772486772)</f>
        <v>0.3974867725</v>
      </c>
      <c r="O136" s="8">
        <f>IFERROR(__xludf.DUMMYFUNCTION("""COMPUTED_VALUE"""),0.38615997344839)</f>
        <v>0.3861599734</v>
      </c>
      <c r="P136" s="8">
        <f>IFERROR(__xludf.DUMMYFUNCTION("""COMPUTED_VALUE"""),0.347050983005664)</f>
        <v>0.347050983</v>
      </c>
      <c r="Q136" s="8">
        <f>IFERROR(__xludf.DUMMYFUNCTION("""COMPUTED_VALUE"""),0.291785654291953)</f>
        <v>0.2917856543</v>
      </c>
      <c r="R136" s="8">
        <f>IFERROR(__xludf.DUMMYFUNCTION("""COMPUTED_VALUE"""),0.243544303797468)</f>
        <v>0.2435443038</v>
      </c>
      <c r="S136" s="8">
        <f>IFERROR(__xludf.DUMMYFUNCTION("""COMPUTED_VALUE"""),0.211329715061058)</f>
        <v>0.2113297151</v>
      </c>
      <c r="T136" s="8">
        <f>IFERROR(__xludf.DUMMYFUNCTION("""COMPUTED_VALUE"""),0.138033029332018)</f>
        <v>0.1380330293</v>
      </c>
      <c r="U136" s="8">
        <f>IFERROR(__xludf.DUMMYFUNCTION("""COMPUTED_VALUE"""),0.110395880270357)</f>
        <v>0.1103958803</v>
      </c>
      <c r="V136" s="8">
        <f>IFERROR(__xludf.DUMMYFUNCTION("""COMPUTED_VALUE"""),0.0803604956815621)</f>
        <v>0.08036049568</v>
      </c>
      <c r="W136" s="8">
        <f>IFERROR(__xludf.DUMMYFUNCTION("""COMPUTED_VALUE"""),0.0594841930116472)</f>
        <v>0.05948419301</v>
      </c>
      <c r="X136" s="8">
        <f>IFERROR(__xludf.DUMMYFUNCTION("""COMPUTED_VALUE"""),0.0)</f>
        <v>0</v>
      </c>
      <c r="Y136" s="8">
        <f>IFERROR(__xludf.DUMMYFUNCTION("""COMPUTED_VALUE"""),0.0)</f>
        <v>0</v>
      </c>
      <c r="Z136" s="8">
        <f>IFERROR(__xludf.DUMMYFUNCTION("""COMPUTED_VALUE"""),0.0)</f>
        <v>0</v>
      </c>
      <c r="AA136" s="8">
        <f>IFERROR(__xludf.DUMMYFUNCTION("""COMPUTED_VALUE"""),0.0)</f>
        <v>0</v>
      </c>
      <c r="AB136" s="8">
        <f>IFERROR(__xludf.DUMMYFUNCTION("""COMPUTED_VALUE"""),0.0)</f>
        <v>0</v>
      </c>
      <c r="AC136" s="8">
        <f>IFERROR(__xludf.DUMMYFUNCTION("""COMPUTED_VALUE"""),0.0)</f>
        <v>0</v>
      </c>
    </row>
    <row r="137" ht="15.75" customHeight="1">
      <c r="A137" s="6" t="str">
        <f>IFERROR(__xludf.DUMMYFUNCTION("""COMPUTED_VALUE"""),"767e135d338072c6a947db01691ead3f3174c6e1")</f>
        <v>767e135d338072c6a947db01691ead3f3174c6e1</v>
      </c>
      <c r="B137" s="6" t="str">
        <f>IFERROR(__xludf.DUMMYFUNCTION("""COMPUTED_VALUE"""),"The Hidden Heir Returns")</f>
        <v>The Hidden Heir Returns</v>
      </c>
      <c r="C137" s="6" t="str">
        <f>IFERROR(__xludf.DUMMYFUNCTION("""COMPUTED_VALUE"""),"Drama")</f>
        <v>Drama</v>
      </c>
      <c r="D137" s="17">
        <f>IFERROR(__xludf.DUMMYFUNCTION("""COMPUTED_VALUE"""),3814.0)</f>
        <v>3814</v>
      </c>
      <c r="E137" s="8">
        <f>IFERROR(__xludf.DUMMYFUNCTION("""COMPUTED_VALUE"""),0.866369125754791)</f>
        <v>0.8663691258</v>
      </c>
      <c r="F137" s="8">
        <f>IFERROR(__xludf.DUMMYFUNCTION("""COMPUTED_VALUE"""),0.482977038796516)</f>
        <v>0.4829770388</v>
      </c>
      <c r="G137" s="8">
        <f>IFERROR(__xludf.DUMMYFUNCTION("""COMPUTED_VALUE"""),0.442679375165475)</f>
        <v>0.4426793752</v>
      </c>
      <c r="H137" s="8">
        <f>IFERROR(__xludf.DUMMYFUNCTION("""COMPUTED_VALUE"""),0.404102290889717)</f>
        <v>0.4041022909</v>
      </c>
      <c r="I137" s="8">
        <f>IFERROR(__xludf.DUMMYFUNCTION("""COMPUTED_VALUE"""),0.374198717948717)</f>
        <v>0.3741987179</v>
      </c>
      <c r="J137" s="8">
        <f>IFERROR(__xludf.DUMMYFUNCTION("""COMPUTED_VALUE"""),0.353714132475194)</f>
        <v>0.3537141325</v>
      </c>
      <c r="K137" s="8">
        <f>IFERROR(__xludf.DUMMYFUNCTION("""COMPUTED_VALUE"""),0.340333871836295)</f>
        <v>0.3403338718</v>
      </c>
      <c r="L137" s="8">
        <f>IFERROR(__xludf.DUMMYFUNCTION("""COMPUTED_VALUE"""),0.322222222222222)</f>
        <v>0.3222222222</v>
      </c>
      <c r="M137" s="8">
        <f>IFERROR(__xludf.DUMMYFUNCTION("""COMPUTED_VALUE"""),0.309426786199402)</f>
        <v>0.3094267862</v>
      </c>
      <c r="N137" s="8">
        <f>IFERROR(__xludf.DUMMYFUNCTION("""COMPUTED_VALUE"""),0.291996722207047)</f>
        <v>0.2919967222</v>
      </c>
      <c r="O137" s="8">
        <f>IFERROR(__xludf.DUMMYFUNCTION("""COMPUTED_VALUE"""),0.255664335664335)</f>
        <v>0.2556643357</v>
      </c>
      <c r="P137" s="8">
        <f>IFERROR(__xludf.DUMMYFUNCTION("""COMPUTED_VALUE"""),0.22530775837389)</f>
        <v>0.2253077584</v>
      </c>
      <c r="Q137" s="8">
        <f>IFERROR(__xludf.DUMMYFUNCTION("""COMPUTED_VALUE"""),0.167169583584791)</f>
        <v>0.1671695836</v>
      </c>
      <c r="R137" s="8">
        <f>IFERROR(__xludf.DUMMYFUNCTION("""COMPUTED_VALUE"""),0.11622125543816)</f>
        <v>0.1162212554</v>
      </c>
      <c r="S137" s="8">
        <f>IFERROR(__xludf.DUMMYFUNCTION("""COMPUTED_VALUE"""),0.0875679130712687)</f>
        <v>0.08756791307</v>
      </c>
      <c r="T137" s="8">
        <f>IFERROR(__xludf.DUMMYFUNCTION("""COMPUTED_VALUE"""),0.0700657894736842)</f>
        <v>0.07006578947</v>
      </c>
      <c r="U137" s="8">
        <f>IFERROR(__xludf.DUMMYFUNCTION("""COMPUTED_VALUE"""),0.0580357142857142)</f>
        <v>0.05803571429</v>
      </c>
      <c r="V137" s="8">
        <f>IFERROR(__xludf.DUMMYFUNCTION("""COMPUTED_VALUE"""),0.0536037667511771)</f>
        <v>0.05360376675</v>
      </c>
      <c r="W137" s="8">
        <f>IFERROR(__xludf.DUMMYFUNCTION("""COMPUTED_VALUE"""),0.0480549199084668)</f>
        <v>0.04805491991</v>
      </c>
      <c r="X137" s="8">
        <f>IFERROR(__xludf.DUMMYFUNCTION("""COMPUTED_VALUE"""),0.0442270058708414)</f>
        <v>0.04422700587</v>
      </c>
      <c r="Y137" s="8">
        <f>IFERROR(__xludf.DUMMYFUNCTION("""COMPUTED_VALUE"""),0.0446465481603968)</f>
        <v>0.04464654816</v>
      </c>
      <c r="Z137" s="8">
        <f>IFERROR(__xludf.DUMMYFUNCTION("""COMPUTED_VALUE"""),0.0365058670143415)</f>
        <v>0.03650586701</v>
      </c>
      <c r="AA137" s="8">
        <f>IFERROR(__xludf.DUMMYFUNCTION("""COMPUTED_VALUE"""),0.0264930399640772)</f>
        <v>0.02649303996</v>
      </c>
      <c r="AB137" s="8">
        <f>IFERROR(__xludf.DUMMYFUNCTION("""COMPUTED_VALUE"""),0.0184104176021553)</f>
        <v>0.0184104176</v>
      </c>
      <c r="AC137" s="8">
        <f>IFERROR(__xludf.DUMMYFUNCTION("""COMPUTED_VALUE"""),5.4259359739555E-4)</f>
        <v>0.0005425935974</v>
      </c>
    </row>
    <row r="138" ht="15.75" customHeight="1">
      <c r="A138" s="6" t="str">
        <f>IFERROR(__xludf.DUMMYFUNCTION("""COMPUTED_VALUE"""),"778663539ccabc8ee781b66d2bf6ff6a7f527163")</f>
        <v>778663539ccabc8ee781b66d2bf6ff6a7f527163</v>
      </c>
      <c r="B138" s="6" t="str">
        <f>IFERROR(__xludf.DUMMYFUNCTION("""COMPUTED_VALUE"""),"The Lazuras Engine System")</f>
        <v>The Lazuras Engine System</v>
      </c>
      <c r="C138" s="6" t="str">
        <f>IFERROR(__xludf.DUMMYFUNCTION("""COMPUTED_VALUE"""),"System and Superpower")</f>
        <v>System and Superpower</v>
      </c>
      <c r="D138" s="17">
        <f>IFERROR(__xludf.DUMMYFUNCTION("""COMPUTED_VALUE"""),57.0)</f>
        <v>57</v>
      </c>
      <c r="E138" s="8">
        <f>IFERROR(__xludf.DUMMYFUNCTION("""COMPUTED_VALUE"""),0.929824561403508)</f>
        <v>0.9298245614</v>
      </c>
      <c r="F138" s="8">
        <f>IFERROR(__xludf.DUMMYFUNCTION("""COMPUTED_VALUE"""),0.473684210526315)</f>
        <v>0.4736842105</v>
      </c>
      <c r="G138" s="8">
        <f>IFERROR(__xludf.DUMMYFUNCTION("""COMPUTED_VALUE"""),0.403508771929824)</f>
        <v>0.4035087719</v>
      </c>
      <c r="H138" s="8">
        <f>IFERROR(__xludf.DUMMYFUNCTION("""COMPUTED_VALUE"""),0.333333333333333)</f>
        <v>0.3333333333</v>
      </c>
      <c r="I138" s="8">
        <f>IFERROR(__xludf.DUMMYFUNCTION("""COMPUTED_VALUE"""),0.31578947368421)</f>
        <v>0.3157894737</v>
      </c>
      <c r="J138" s="8">
        <f>IFERROR(__xludf.DUMMYFUNCTION("""COMPUTED_VALUE"""),0.298245614035087)</f>
        <v>0.298245614</v>
      </c>
      <c r="K138" s="8">
        <f>IFERROR(__xludf.DUMMYFUNCTION("""COMPUTED_VALUE"""),0.298245614035087)</f>
        <v>0.298245614</v>
      </c>
      <c r="L138" s="8">
        <f>IFERROR(__xludf.DUMMYFUNCTION("""COMPUTED_VALUE"""),0.31578947368421)</f>
        <v>0.3157894737</v>
      </c>
      <c r="M138" s="8">
        <f>IFERROR(__xludf.DUMMYFUNCTION("""COMPUTED_VALUE"""),0.280701754385964)</f>
        <v>0.2807017544</v>
      </c>
      <c r="N138" s="8">
        <f>IFERROR(__xludf.DUMMYFUNCTION("""COMPUTED_VALUE"""),0.245614035087719)</f>
        <v>0.2456140351</v>
      </c>
      <c r="O138" s="8">
        <f>IFERROR(__xludf.DUMMYFUNCTION("""COMPUTED_VALUE"""),0.129629629629629)</f>
        <v>0.1296296296</v>
      </c>
      <c r="P138" s="8">
        <f>IFERROR(__xludf.DUMMYFUNCTION("""COMPUTED_VALUE"""),0.0869565217391304)</f>
        <v>0.08695652174</v>
      </c>
      <c r="Q138" s="8">
        <f>IFERROR(__xludf.DUMMYFUNCTION("""COMPUTED_VALUE"""),0.0357142857142857)</f>
        <v>0.03571428571</v>
      </c>
      <c r="R138" s="8">
        <f>IFERROR(__xludf.DUMMYFUNCTION("""COMPUTED_VALUE"""),0.0)</f>
        <v>0</v>
      </c>
      <c r="S138" s="8">
        <f>IFERROR(__xludf.DUMMYFUNCTION("""COMPUTED_VALUE"""),0.0)</f>
        <v>0</v>
      </c>
      <c r="T138" s="8">
        <f>IFERROR(__xludf.DUMMYFUNCTION("""COMPUTED_VALUE"""),0.0)</f>
        <v>0</v>
      </c>
      <c r="U138" s="8">
        <f>IFERROR(__xludf.DUMMYFUNCTION("""COMPUTED_VALUE"""),0.0)</f>
        <v>0</v>
      </c>
      <c r="V138" s="8">
        <f>IFERROR(__xludf.DUMMYFUNCTION("""COMPUTED_VALUE"""),0.0)</f>
        <v>0</v>
      </c>
      <c r="W138" s="8">
        <f>IFERROR(__xludf.DUMMYFUNCTION("""COMPUTED_VALUE"""),0.0)</f>
        <v>0</v>
      </c>
      <c r="X138" s="8">
        <f>IFERROR(__xludf.DUMMYFUNCTION("""COMPUTED_VALUE"""),0.0)</f>
        <v>0</v>
      </c>
      <c r="Y138" s="8">
        <f>IFERROR(__xludf.DUMMYFUNCTION("""COMPUTED_VALUE"""),0.0)</f>
        <v>0</v>
      </c>
      <c r="Z138" s="8">
        <f>IFERROR(__xludf.DUMMYFUNCTION("""COMPUTED_VALUE"""),0.0)</f>
        <v>0</v>
      </c>
      <c r="AA138" s="8">
        <f>IFERROR(__xludf.DUMMYFUNCTION("""COMPUTED_VALUE"""),0.0)</f>
        <v>0</v>
      </c>
      <c r="AB138" s="8">
        <f>IFERROR(__xludf.DUMMYFUNCTION("""COMPUTED_VALUE"""),0.0)</f>
        <v>0</v>
      </c>
      <c r="AC138" s="8">
        <f>IFERROR(__xludf.DUMMYFUNCTION("""COMPUTED_VALUE"""),0.0)</f>
        <v>0</v>
      </c>
    </row>
    <row r="139" ht="15.75" customHeight="1">
      <c r="A139" s="6" t="str">
        <f>IFERROR(__xludf.DUMMYFUNCTION("""COMPUTED_VALUE"""),"7b3a625b0f5bbaa9080a6795b2d70e994716f8a5")</f>
        <v>7b3a625b0f5bbaa9080a6795b2d70e994716f8a5</v>
      </c>
      <c r="B139" s="6" t="str">
        <f>IFERROR(__xludf.DUMMYFUNCTION("""COMPUTED_VALUE"""),"Unexpectedly Yours")</f>
        <v>Unexpectedly Yours</v>
      </c>
      <c r="C139" s="6" t="str">
        <f>IFERROR(__xludf.DUMMYFUNCTION("""COMPUTED_VALUE"""),"Romance")</f>
        <v>Romance</v>
      </c>
      <c r="D139" s="17">
        <f>IFERROR(__xludf.DUMMYFUNCTION("""COMPUTED_VALUE"""),178.0)</f>
        <v>178</v>
      </c>
      <c r="E139" s="8">
        <f>IFERROR(__xludf.DUMMYFUNCTION("""COMPUTED_VALUE"""),0.939024390243902)</f>
        <v>0.9390243902</v>
      </c>
      <c r="F139" s="8">
        <f>IFERROR(__xludf.DUMMYFUNCTION("""COMPUTED_VALUE"""),0.398496240601503)</f>
        <v>0.3984962406</v>
      </c>
      <c r="G139" s="8">
        <f>IFERROR(__xludf.DUMMYFUNCTION("""COMPUTED_VALUE"""),0.372881355932203)</f>
        <v>0.3728813559</v>
      </c>
      <c r="H139" s="8">
        <f>IFERROR(__xludf.DUMMYFUNCTION("""COMPUTED_VALUE"""),0.271428571428571)</f>
        <v>0.2714285714</v>
      </c>
      <c r="I139" s="8">
        <f>IFERROR(__xludf.DUMMYFUNCTION("""COMPUTED_VALUE"""),0.318181818181818)</f>
        <v>0.3181818182</v>
      </c>
      <c r="J139" s="8">
        <f>IFERROR(__xludf.DUMMYFUNCTION("""COMPUTED_VALUE"""),0.244897959183673)</f>
        <v>0.2448979592</v>
      </c>
      <c r="K139" s="8">
        <f>IFERROR(__xludf.DUMMYFUNCTION("""COMPUTED_VALUE"""),0.25)</f>
        <v>0.25</v>
      </c>
      <c r="L139" s="8">
        <f>IFERROR(__xludf.DUMMYFUNCTION("""COMPUTED_VALUE"""),0.25)</f>
        <v>0.25</v>
      </c>
      <c r="M139" s="8">
        <f>IFERROR(__xludf.DUMMYFUNCTION("""COMPUTED_VALUE"""),0.208333333333333)</f>
        <v>0.2083333333</v>
      </c>
      <c r="N139" s="8">
        <f>IFERROR(__xludf.DUMMYFUNCTION("""COMPUTED_VALUE"""),0.212765957446808)</f>
        <v>0.2127659574</v>
      </c>
      <c r="O139" s="8">
        <f>IFERROR(__xludf.DUMMYFUNCTION("""COMPUTED_VALUE"""),0.0769230769230769)</f>
        <v>0.07692307692</v>
      </c>
      <c r="P139" s="8">
        <f>IFERROR(__xludf.DUMMYFUNCTION("""COMPUTED_VALUE"""),0.0967741935483871)</f>
        <v>0.09677419355</v>
      </c>
      <c r="Q139" s="8">
        <f>IFERROR(__xludf.DUMMYFUNCTION("""COMPUTED_VALUE"""),0.0)</f>
        <v>0</v>
      </c>
      <c r="R139" s="8">
        <f>IFERROR(__xludf.DUMMYFUNCTION("""COMPUTED_VALUE"""),0.0)</f>
        <v>0</v>
      </c>
      <c r="S139" s="8">
        <f>IFERROR(__xludf.DUMMYFUNCTION("""COMPUTED_VALUE"""),0.0)</f>
        <v>0</v>
      </c>
      <c r="T139" s="8">
        <f>IFERROR(__xludf.DUMMYFUNCTION("""COMPUTED_VALUE"""),0.0)</f>
        <v>0</v>
      </c>
      <c r="U139" s="8">
        <f>IFERROR(__xludf.DUMMYFUNCTION("""COMPUTED_VALUE"""),0.0)</f>
        <v>0</v>
      </c>
      <c r="V139" s="8">
        <f>IFERROR(__xludf.DUMMYFUNCTION("""COMPUTED_VALUE"""),0.0)</f>
        <v>0</v>
      </c>
      <c r="W139" s="8">
        <f>IFERROR(__xludf.DUMMYFUNCTION("""COMPUTED_VALUE"""),0.0)</f>
        <v>0</v>
      </c>
      <c r="X139" s="8">
        <f>IFERROR(__xludf.DUMMYFUNCTION("""COMPUTED_VALUE"""),0.0)</f>
        <v>0</v>
      </c>
      <c r="Y139" s="8">
        <f>IFERROR(__xludf.DUMMYFUNCTION("""COMPUTED_VALUE"""),0.0)</f>
        <v>0</v>
      </c>
      <c r="Z139" s="8">
        <f>IFERROR(__xludf.DUMMYFUNCTION("""COMPUTED_VALUE"""),0.0)</f>
        <v>0</v>
      </c>
      <c r="AA139" s="8">
        <f>IFERROR(__xludf.DUMMYFUNCTION("""COMPUTED_VALUE"""),0.0)</f>
        <v>0</v>
      </c>
      <c r="AB139" s="8">
        <f>IFERROR(__xludf.DUMMYFUNCTION("""COMPUTED_VALUE"""),0.0)</f>
        <v>0</v>
      </c>
      <c r="AC139" s="8">
        <f>IFERROR(__xludf.DUMMYFUNCTION("""COMPUTED_VALUE"""),0.0)</f>
        <v>0</v>
      </c>
    </row>
    <row r="140" ht="15.75" customHeight="1">
      <c r="A140" s="6" t="str">
        <f>IFERROR(__xludf.DUMMYFUNCTION("""COMPUTED_VALUE"""),"7c9e3c835e58a5ec8e21381910eaaf785ea5ddfc")</f>
        <v>7c9e3c835e58a5ec8e21381910eaaf785ea5ddfc</v>
      </c>
      <c r="B140" s="6" t="str">
        <f>IFERROR(__xludf.DUMMYFUNCTION("""COMPUTED_VALUE"""),"I Do ... Or Do I? ")</f>
        <v>I Do ... Or Do I? </v>
      </c>
      <c r="C140" s="6" t="str">
        <f>IFERROR(__xludf.DUMMYFUNCTION("""COMPUTED_VALUE"""),"Romance")</f>
        <v>Romance</v>
      </c>
      <c r="D140" s="17">
        <f>IFERROR(__xludf.DUMMYFUNCTION("""COMPUTED_VALUE"""),333.0)</f>
        <v>333</v>
      </c>
      <c r="E140" s="8">
        <f>IFERROR(__xludf.DUMMYFUNCTION("""COMPUTED_VALUE"""),0.975903614457831)</f>
        <v>0.9759036145</v>
      </c>
      <c r="F140" s="8">
        <f>IFERROR(__xludf.DUMMYFUNCTION("""COMPUTED_VALUE"""),0.59090909090909)</f>
        <v>0.5909090909</v>
      </c>
      <c r="G140" s="8">
        <f>IFERROR(__xludf.DUMMYFUNCTION("""COMPUTED_VALUE"""),0.562310030395136)</f>
        <v>0.5623100304</v>
      </c>
      <c r="H140" s="8">
        <f>IFERROR(__xludf.DUMMYFUNCTION("""COMPUTED_VALUE"""),0.546325878594249)</f>
        <v>0.5463258786</v>
      </c>
      <c r="I140" s="8">
        <f>IFERROR(__xludf.DUMMYFUNCTION("""COMPUTED_VALUE"""),0.529801324503311)</f>
        <v>0.5298013245</v>
      </c>
      <c r="J140" s="8">
        <f>IFERROR(__xludf.DUMMYFUNCTION("""COMPUTED_VALUE"""),0.5)</f>
        <v>0.5</v>
      </c>
      <c r="K140" s="8">
        <f>IFERROR(__xludf.DUMMYFUNCTION("""COMPUTED_VALUE"""),0.472413793103448)</f>
        <v>0.4724137931</v>
      </c>
      <c r="L140" s="8">
        <f>IFERROR(__xludf.DUMMYFUNCTION("""COMPUTED_VALUE"""),0.425)</f>
        <v>0.425</v>
      </c>
      <c r="M140" s="8">
        <f>IFERROR(__xludf.DUMMYFUNCTION("""COMPUTED_VALUE"""),0.37007874015748)</f>
        <v>0.3700787402</v>
      </c>
      <c r="N140" s="8">
        <f>IFERROR(__xludf.DUMMYFUNCTION("""COMPUTED_VALUE"""),0.38235294117647)</f>
        <v>0.3823529412</v>
      </c>
      <c r="O140" s="8">
        <f>IFERROR(__xludf.DUMMYFUNCTION("""COMPUTED_VALUE"""),0.448598130841121)</f>
        <v>0.4485981308</v>
      </c>
      <c r="P140" s="8">
        <f>IFERROR(__xludf.DUMMYFUNCTION("""COMPUTED_VALUE"""),0.215384615384615)</f>
        <v>0.2153846154</v>
      </c>
      <c r="Q140" s="8">
        <f>IFERROR(__xludf.DUMMYFUNCTION("""COMPUTED_VALUE"""),0.137931034482758)</f>
        <v>0.1379310345</v>
      </c>
      <c r="R140" s="8">
        <f>IFERROR(__xludf.DUMMYFUNCTION("""COMPUTED_VALUE"""),0.0)</f>
        <v>0</v>
      </c>
      <c r="S140" s="8">
        <f>IFERROR(__xludf.DUMMYFUNCTION("""COMPUTED_VALUE"""),0.0)</f>
        <v>0</v>
      </c>
      <c r="T140" s="8">
        <f>IFERROR(__xludf.DUMMYFUNCTION("""COMPUTED_VALUE"""),0.0)</f>
        <v>0</v>
      </c>
      <c r="U140" s="8">
        <f>IFERROR(__xludf.DUMMYFUNCTION("""COMPUTED_VALUE"""),0.0)</f>
        <v>0</v>
      </c>
      <c r="V140" s="8">
        <f>IFERROR(__xludf.DUMMYFUNCTION("""COMPUTED_VALUE"""),0.0)</f>
        <v>0</v>
      </c>
      <c r="W140" s="8">
        <f>IFERROR(__xludf.DUMMYFUNCTION("""COMPUTED_VALUE"""),0.0)</f>
        <v>0</v>
      </c>
      <c r="X140" s="8">
        <f>IFERROR(__xludf.DUMMYFUNCTION("""COMPUTED_VALUE"""),0.0)</f>
        <v>0</v>
      </c>
      <c r="Y140" s="8">
        <f>IFERROR(__xludf.DUMMYFUNCTION("""COMPUTED_VALUE"""),0.0)</f>
        <v>0</v>
      </c>
      <c r="Z140" s="8">
        <f>IFERROR(__xludf.DUMMYFUNCTION("""COMPUTED_VALUE"""),0.0)</f>
        <v>0</v>
      </c>
      <c r="AA140" s="8">
        <f>IFERROR(__xludf.DUMMYFUNCTION("""COMPUTED_VALUE"""),0.0)</f>
        <v>0</v>
      </c>
      <c r="AB140" s="8">
        <f>IFERROR(__xludf.DUMMYFUNCTION("""COMPUTED_VALUE"""),0.0)</f>
        <v>0</v>
      </c>
      <c r="AC140" s="8">
        <f>IFERROR(__xludf.DUMMYFUNCTION("""COMPUTED_VALUE"""),0.0)</f>
        <v>0</v>
      </c>
    </row>
    <row r="141" ht="15.75" customHeight="1">
      <c r="A141" s="6" t="str">
        <f>IFERROR(__xludf.DUMMYFUNCTION("""COMPUTED_VALUE"""),"7d18c26c9a61af0d543d74280e7328e01a907988")</f>
        <v>7d18c26c9a61af0d543d74280e7328e01a907988</v>
      </c>
      <c r="B141" s="6" t="str">
        <f>IFERROR(__xludf.DUMMYFUNCTION("""COMPUTED_VALUE"""),"Empire of Love and War")</f>
        <v>Empire of Love and War</v>
      </c>
      <c r="C141" s="6" t="str">
        <f>IFERROR(__xludf.DUMMYFUNCTION("""COMPUTED_VALUE"""),"Romance")</f>
        <v>Romance</v>
      </c>
      <c r="D141" s="17">
        <f>IFERROR(__xludf.DUMMYFUNCTION("""COMPUTED_VALUE"""),533.0)</f>
        <v>533</v>
      </c>
      <c r="E141" s="8">
        <f>IFERROR(__xludf.DUMMYFUNCTION("""COMPUTED_VALUE"""),0.964015151515151)</f>
        <v>0.9640151515</v>
      </c>
      <c r="F141" s="8">
        <f>IFERROR(__xludf.DUMMYFUNCTION("""COMPUTED_VALUE"""),0.617760617760617)</f>
        <v>0.6177606178</v>
      </c>
      <c r="G141" s="8">
        <f>IFERROR(__xludf.DUMMYFUNCTION("""COMPUTED_VALUE"""),0.587548638132295)</f>
        <v>0.5875486381</v>
      </c>
      <c r="H141" s="8">
        <f>IFERROR(__xludf.DUMMYFUNCTION("""COMPUTED_VALUE"""),0.557344064386317)</f>
        <v>0.5573440644</v>
      </c>
      <c r="I141" s="8">
        <f>IFERROR(__xludf.DUMMYFUNCTION("""COMPUTED_VALUE"""),0.525458248472505)</f>
        <v>0.5254582485</v>
      </c>
      <c r="J141" s="8">
        <f>IFERROR(__xludf.DUMMYFUNCTION("""COMPUTED_VALUE"""),0.491666666666666)</f>
        <v>0.4916666667</v>
      </c>
      <c r="K141" s="8">
        <f>IFERROR(__xludf.DUMMYFUNCTION("""COMPUTED_VALUE"""),0.46021505376344)</f>
        <v>0.4602150538</v>
      </c>
      <c r="L141" s="8">
        <f>IFERROR(__xludf.DUMMYFUNCTION("""COMPUTED_VALUE"""),0.421750663129973)</f>
        <v>0.4217506631</v>
      </c>
      <c r="M141" s="8">
        <f>IFERROR(__xludf.DUMMYFUNCTION("""COMPUTED_VALUE"""),0.417956656346749)</f>
        <v>0.4179566563</v>
      </c>
      <c r="N141" s="8">
        <f>IFERROR(__xludf.DUMMYFUNCTION("""COMPUTED_VALUE"""),0.374485596707818)</f>
        <v>0.3744855967</v>
      </c>
      <c r="O141" s="8">
        <f>IFERROR(__xludf.DUMMYFUNCTION("""COMPUTED_VALUE"""),0.290816326530612)</f>
        <v>0.2908163265</v>
      </c>
      <c r="P141" s="8">
        <f>IFERROR(__xludf.DUMMYFUNCTION("""COMPUTED_VALUE"""),0.164179104477611)</f>
        <v>0.1641791045</v>
      </c>
      <c r="Q141" s="8">
        <f>IFERROR(__xludf.DUMMYFUNCTION("""COMPUTED_VALUE"""),0.0681818181818181)</f>
        <v>0.06818181818</v>
      </c>
      <c r="R141" s="8">
        <f>IFERROR(__xludf.DUMMYFUNCTION("""COMPUTED_VALUE"""),0.0)</f>
        <v>0</v>
      </c>
      <c r="S141" s="8">
        <f>IFERROR(__xludf.DUMMYFUNCTION("""COMPUTED_VALUE"""),0.0)</f>
        <v>0</v>
      </c>
      <c r="T141" s="8">
        <f>IFERROR(__xludf.DUMMYFUNCTION("""COMPUTED_VALUE"""),0.0)</f>
        <v>0</v>
      </c>
      <c r="U141" s="8">
        <f>IFERROR(__xludf.DUMMYFUNCTION("""COMPUTED_VALUE"""),0.0)</f>
        <v>0</v>
      </c>
      <c r="V141" s="8">
        <f>IFERROR(__xludf.DUMMYFUNCTION("""COMPUTED_VALUE"""),0.0)</f>
        <v>0</v>
      </c>
      <c r="W141" s="8">
        <f>IFERROR(__xludf.DUMMYFUNCTION("""COMPUTED_VALUE"""),0.0)</f>
        <v>0</v>
      </c>
      <c r="X141" s="8">
        <f>IFERROR(__xludf.DUMMYFUNCTION("""COMPUTED_VALUE"""),0.0)</f>
        <v>0</v>
      </c>
      <c r="Y141" s="8">
        <f>IFERROR(__xludf.DUMMYFUNCTION("""COMPUTED_VALUE"""),0.0)</f>
        <v>0</v>
      </c>
      <c r="Z141" s="8">
        <f>IFERROR(__xludf.DUMMYFUNCTION("""COMPUTED_VALUE"""),0.0)</f>
        <v>0</v>
      </c>
      <c r="AA141" s="8">
        <f>IFERROR(__xludf.DUMMYFUNCTION("""COMPUTED_VALUE"""),0.0)</f>
        <v>0</v>
      </c>
      <c r="AB141" s="8">
        <f>IFERROR(__xludf.DUMMYFUNCTION("""COMPUTED_VALUE"""),0.0)</f>
        <v>0</v>
      </c>
      <c r="AC141" s="8">
        <f>IFERROR(__xludf.DUMMYFUNCTION("""COMPUTED_VALUE"""),0.0)</f>
        <v>0</v>
      </c>
    </row>
    <row r="142" ht="15.75" customHeight="1">
      <c r="A142" s="6" t="str">
        <f>IFERROR(__xludf.DUMMYFUNCTION("""COMPUTED_VALUE"""),"7dcd0d4c632448440b17285c811990532a31efec")</f>
        <v>7dcd0d4c632448440b17285c811990532a31efec</v>
      </c>
      <c r="B142" s="6" t="str">
        <f>IFERROR(__xludf.DUMMYFUNCTION("""COMPUTED_VALUE"""),"The Scentless Luna")</f>
        <v>The Scentless Luna</v>
      </c>
      <c r="C142" s="6" t="str">
        <f>IFERROR(__xludf.DUMMYFUNCTION("""COMPUTED_VALUE"""),"Romantasy")</f>
        <v>Romantasy</v>
      </c>
      <c r="D142" s="17">
        <f>IFERROR(__xludf.DUMMYFUNCTION("""COMPUTED_VALUE"""),481.0)</f>
        <v>481</v>
      </c>
      <c r="E142" s="8">
        <f>IFERROR(__xludf.DUMMYFUNCTION("""COMPUTED_VALUE"""),0.987341772151898)</f>
        <v>0.9873417722</v>
      </c>
      <c r="F142" s="8">
        <f>IFERROR(__xludf.DUMMYFUNCTION("""COMPUTED_VALUE"""),0.566308243727598)</f>
        <v>0.5663082437</v>
      </c>
      <c r="G142" s="8">
        <f>IFERROR(__xludf.DUMMYFUNCTION("""COMPUTED_VALUE"""),0.496688741721854)</f>
        <v>0.4966887417</v>
      </c>
      <c r="H142" s="8">
        <f>IFERROR(__xludf.DUMMYFUNCTION("""COMPUTED_VALUE"""),0.406593406593406)</f>
        <v>0.4065934066</v>
      </c>
      <c r="I142" s="8">
        <f>IFERROR(__xludf.DUMMYFUNCTION("""COMPUTED_VALUE"""),0.373626373626373)</f>
        <v>0.3736263736</v>
      </c>
      <c r="J142" s="8">
        <f>IFERROR(__xludf.DUMMYFUNCTION("""COMPUTED_VALUE"""),0.362637362637362)</f>
        <v>0.3626373626</v>
      </c>
      <c r="K142" s="8">
        <f>IFERROR(__xludf.DUMMYFUNCTION("""COMPUTED_VALUE"""),0.318681318681318)</f>
        <v>0.3186813187</v>
      </c>
      <c r="L142" s="8">
        <f>IFERROR(__xludf.DUMMYFUNCTION("""COMPUTED_VALUE"""),0.277777777777777)</f>
        <v>0.2777777778</v>
      </c>
      <c r="M142" s="8">
        <f>IFERROR(__xludf.DUMMYFUNCTION("""COMPUTED_VALUE"""),0.255555555555555)</f>
        <v>0.2555555556</v>
      </c>
      <c r="N142" s="8">
        <f>IFERROR(__xludf.DUMMYFUNCTION("""COMPUTED_VALUE"""),0.258426966292134)</f>
        <v>0.2584269663</v>
      </c>
      <c r="O142" s="8">
        <f>IFERROR(__xludf.DUMMYFUNCTION("""COMPUTED_VALUE"""),0.209302325581395)</f>
        <v>0.2093023256</v>
      </c>
      <c r="P142" s="8">
        <f>IFERROR(__xludf.DUMMYFUNCTION("""COMPUTED_VALUE"""),0.13095238095238)</f>
        <v>0.130952381</v>
      </c>
      <c r="Q142" s="8">
        <f>IFERROR(__xludf.DUMMYFUNCTION("""COMPUTED_VALUE"""),0.087719298245614)</f>
        <v>0.08771929825</v>
      </c>
      <c r="R142" s="8">
        <f>IFERROR(__xludf.DUMMYFUNCTION("""COMPUTED_VALUE"""),0.137931034482758)</f>
        <v>0.1379310345</v>
      </c>
      <c r="S142" s="8">
        <f>IFERROR(__xludf.DUMMYFUNCTION("""COMPUTED_VALUE"""),0.0)</f>
        <v>0</v>
      </c>
      <c r="T142" s="8">
        <f>IFERROR(__xludf.DUMMYFUNCTION("""COMPUTED_VALUE"""),0.0)</f>
        <v>0</v>
      </c>
      <c r="U142" s="8">
        <f>IFERROR(__xludf.DUMMYFUNCTION("""COMPUTED_VALUE"""),0.0)</f>
        <v>0</v>
      </c>
      <c r="V142" s="8">
        <f>IFERROR(__xludf.DUMMYFUNCTION("""COMPUTED_VALUE"""),0.0)</f>
        <v>0</v>
      </c>
      <c r="W142" s="8">
        <f>IFERROR(__xludf.DUMMYFUNCTION("""COMPUTED_VALUE"""),0.0)</f>
        <v>0</v>
      </c>
      <c r="X142" s="8">
        <f>IFERROR(__xludf.DUMMYFUNCTION("""COMPUTED_VALUE"""),0.0)</f>
        <v>0</v>
      </c>
      <c r="Y142" s="8">
        <f>IFERROR(__xludf.DUMMYFUNCTION("""COMPUTED_VALUE"""),0.0)</f>
        <v>0</v>
      </c>
      <c r="Z142" s="8">
        <f>IFERROR(__xludf.DUMMYFUNCTION("""COMPUTED_VALUE"""),0.0)</f>
        <v>0</v>
      </c>
      <c r="AA142" s="8">
        <f>IFERROR(__xludf.DUMMYFUNCTION("""COMPUTED_VALUE"""),0.0)</f>
        <v>0</v>
      </c>
      <c r="AB142" s="8">
        <f>IFERROR(__xludf.DUMMYFUNCTION("""COMPUTED_VALUE"""),0.0)</f>
        <v>0</v>
      </c>
      <c r="AC142" s="8">
        <f>IFERROR(__xludf.DUMMYFUNCTION("""COMPUTED_VALUE"""),0.0)</f>
        <v>0</v>
      </c>
    </row>
    <row r="143" ht="15.75" customHeight="1">
      <c r="A143" s="6" t="str">
        <f>IFERROR(__xludf.DUMMYFUNCTION("""COMPUTED_VALUE"""),"7fb3b080b1ad8976195f7a18e1df497bc23037fa")</f>
        <v>7fb3b080b1ad8976195f7a18e1df497bc23037fa</v>
      </c>
      <c r="B143" s="6" t="str">
        <f>IFERROR(__xludf.DUMMYFUNCTION("""COMPUTED_VALUE"""),"The Ghostwalker")</f>
        <v>The Ghostwalker</v>
      </c>
      <c r="C143" s="6" t="str">
        <f>IFERROR(__xludf.DUMMYFUNCTION("""COMPUTED_VALUE"""),"Suspense or Thriller")</f>
        <v>Suspense or Thriller</v>
      </c>
      <c r="D143" s="17">
        <f>IFERROR(__xludf.DUMMYFUNCTION("""COMPUTED_VALUE"""),1355.0)</f>
        <v>1355</v>
      </c>
      <c r="E143" s="8">
        <f>IFERROR(__xludf.DUMMYFUNCTION("""COMPUTED_VALUE"""),0.986696230598669)</f>
        <v>0.9866962306</v>
      </c>
      <c r="F143" s="8">
        <f>IFERROR(__xludf.DUMMYFUNCTION("""COMPUTED_VALUE"""),0.441808747220163)</f>
        <v>0.4418087472</v>
      </c>
      <c r="G143" s="8">
        <f>IFERROR(__xludf.DUMMYFUNCTION("""COMPUTED_VALUE"""),0.344699777613046)</f>
        <v>0.3446997776</v>
      </c>
      <c r="H143" s="8">
        <f>IFERROR(__xludf.DUMMYFUNCTION("""COMPUTED_VALUE"""),0.304832713754646)</f>
        <v>0.3048327138</v>
      </c>
      <c r="I143" s="8">
        <f>IFERROR(__xludf.DUMMYFUNCTION("""COMPUTED_VALUE"""),0.272727272727272)</f>
        <v>0.2727272727</v>
      </c>
      <c r="J143" s="8">
        <f>IFERROR(__xludf.DUMMYFUNCTION("""COMPUTED_VALUE"""),0.244029850746268)</f>
        <v>0.2440298507</v>
      </c>
      <c r="K143" s="8">
        <f>IFERROR(__xludf.DUMMYFUNCTION("""COMPUTED_VALUE"""),0.215568862275449)</f>
        <v>0.2155688623</v>
      </c>
      <c r="L143" s="8">
        <f>IFERROR(__xludf.DUMMYFUNCTION("""COMPUTED_VALUE"""),0.200301204819277)</f>
        <v>0.2003012048</v>
      </c>
      <c r="M143" s="8">
        <f>IFERROR(__xludf.DUMMYFUNCTION("""COMPUTED_VALUE"""),0.182779456193353)</f>
        <v>0.1827794562</v>
      </c>
      <c r="N143" s="8">
        <f>IFERROR(__xludf.DUMMYFUNCTION("""COMPUTED_VALUE"""),0.169465648854961)</f>
        <v>0.1694656489</v>
      </c>
      <c r="O143" s="8">
        <f>IFERROR(__xludf.DUMMYFUNCTION("""COMPUTED_VALUE"""),0.130397236614853)</f>
        <v>0.1303972366</v>
      </c>
      <c r="P143" s="8">
        <f>IFERROR(__xludf.DUMMYFUNCTION("""COMPUTED_VALUE"""),0.0988372093023255)</f>
        <v>0.0988372093</v>
      </c>
      <c r="Q143" s="8">
        <f>IFERROR(__xludf.DUMMYFUNCTION("""COMPUTED_VALUE"""),0.0)</f>
        <v>0</v>
      </c>
      <c r="R143" s="8">
        <f>IFERROR(__xludf.DUMMYFUNCTION("""COMPUTED_VALUE"""),0.0)</f>
        <v>0</v>
      </c>
      <c r="S143" s="8">
        <f>IFERROR(__xludf.DUMMYFUNCTION("""COMPUTED_VALUE"""),0.0)</f>
        <v>0</v>
      </c>
      <c r="T143" s="8">
        <f>IFERROR(__xludf.DUMMYFUNCTION("""COMPUTED_VALUE"""),0.0)</f>
        <v>0</v>
      </c>
      <c r="U143" s="8">
        <f>IFERROR(__xludf.DUMMYFUNCTION("""COMPUTED_VALUE"""),0.0)</f>
        <v>0</v>
      </c>
      <c r="V143" s="8">
        <f>IFERROR(__xludf.DUMMYFUNCTION("""COMPUTED_VALUE"""),0.0)</f>
        <v>0</v>
      </c>
      <c r="W143" s="8">
        <f>IFERROR(__xludf.DUMMYFUNCTION("""COMPUTED_VALUE"""),0.0)</f>
        <v>0</v>
      </c>
      <c r="X143" s="8">
        <f>IFERROR(__xludf.DUMMYFUNCTION("""COMPUTED_VALUE"""),0.0)</f>
        <v>0</v>
      </c>
      <c r="Y143" s="8">
        <f>IFERROR(__xludf.DUMMYFUNCTION("""COMPUTED_VALUE"""),0.0)</f>
        <v>0</v>
      </c>
      <c r="Z143" s="8">
        <f>IFERROR(__xludf.DUMMYFUNCTION("""COMPUTED_VALUE"""),0.0)</f>
        <v>0</v>
      </c>
      <c r="AA143" s="8">
        <f>IFERROR(__xludf.DUMMYFUNCTION("""COMPUTED_VALUE"""),0.0)</f>
        <v>0</v>
      </c>
      <c r="AB143" s="8">
        <f>IFERROR(__xludf.DUMMYFUNCTION("""COMPUTED_VALUE"""),0.0)</f>
        <v>0</v>
      </c>
      <c r="AC143" s="8">
        <f>IFERROR(__xludf.DUMMYFUNCTION("""COMPUTED_VALUE"""),0.0)</f>
        <v>0</v>
      </c>
    </row>
    <row r="144" ht="15.75" customHeight="1">
      <c r="A144" s="6" t="str">
        <f>IFERROR(__xludf.DUMMYFUNCTION("""COMPUTED_VALUE"""),"7fd747e6520471a8653824ad1a2ba2ad33b91835")</f>
        <v>7fd747e6520471a8653824ad1a2ba2ad33b91835</v>
      </c>
      <c r="B144" s="6" t="str">
        <f>IFERROR(__xludf.DUMMYFUNCTION("""COMPUTED_VALUE"""),"Evolution Online")</f>
        <v>Evolution Online</v>
      </c>
      <c r="C144" s="6" t="str">
        <f>IFERROR(__xludf.DUMMYFUNCTION("""COMPUTED_VALUE"""),"Fantasy")</f>
        <v>Fantasy</v>
      </c>
      <c r="D144" s="17">
        <f>IFERROR(__xludf.DUMMYFUNCTION("""COMPUTED_VALUE"""),55.0)</f>
        <v>55</v>
      </c>
      <c r="E144" s="8">
        <f>IFERROR(__xludf.DUMMYFUNCTION("""COMPUTED_VALUE"""),0.963636363636363)</f>
        <v>0.9636363636</v>
      </c>
      <c r="F144" s="8">
        <f>IFERROR(__xludf.DUMMYFUNCTION("""COMPUTED_VALUE"""),0.584905660377358)</f>
        <v>0.5849056604</v>
      </c>
      <c r="G144" s="8">
        <f>IFERROR(__xludf.DUMMYFUNCTION("""COMPUTED_VALUE"""),0.339622641509433)</f>
        <v>0.3396226415</v>
      </c>
      <c r="H144" s="8">
        <f>IFERROR(__xludf.DUMMYFUNCTION("""COMPUTED_VALUE"""),0.326923076923076)</f>
        <v>0.3269230769</v>
      </c>
      <c r="I144" s="8">
        <f>IFERROR(__xludf.DUMMYFUNCTION("""COMPUTED_VALUE"""),0.326923076923076)</f>
        <v>0.3269230769</v>
      </c>
      <c r="J144" s="8">
        <f>IFERROR(__xludf.DUMMYFUNCTION("""COMPUTED_VALUE"""),0.326923076923076)</f>
        <v>0.3269230769</v>
      </c>
      <c r="K144" s="8">
        <f>IFERROR(__xludf.DUMMYFUNCTION("""COMPUTED_VALUE"""),0.288461538461538)</f>
        <v>0.2884615385</v>
      </c>
      <c r="L144" s="8">
        <f>IFERROR(__xludf.DUMMYFUNCTION("""COMPUTED_VALUE"""),0.25)</f>
        <v>0.25</v>
      </c>
      <c r="M144" s="8">
        <f>IFERROR(__xludf.DUMMYFUNCTION("""COMPUTED_VALUE"""),0.23076923076923)</f>
        <v>0.2307692308</v>
      </c>
      <c r="N144" s="8">
        <f>IFERROR(__xludf.DUMMYFUNCTION("""COMPUTED_VALUE"""),0.211538461538461)</f>
        <v>0.2115384615</v>
      </c>
      <c r="O144" s="8">
        <f>IFERROR(__xludf.DUMMYFUNCTION("""COMPUTED_VALUE"""),0.12)</f>
        <v>0.12</v>
      </c>
      <c r="P144" s="8">
        <f>IFERROR(__xludf.DUMMYFUNCTION("""COMPUTED_VALUE"""),0.0816326530612244)</f>
        <v>0.08163265306</v>
      </c>
      <c r="Q144" s="8">
        <f>IFERROR(__xludf.DUMMYFUNCTION("""COMPUTED_VALUE"""),0.0851063829787234)</f>
        <v>0.08510638298</v>
      </c>
      <c r="R144" s="8">
        <f>IFERROR(__xludf.DUMMYFUNCTION("""COMPUTED_VALUE"""),0.0)</f>
        <v>0</v>
      </c>
      <c r="S144" s="8">
        <f>IFERROR(__xludf.DUMMYFUNCTION("""COMPUTED_VALUE"""),0.0)</f>
        <v>0</v>
      </c>
      <c r="T144" s="8">
        <f>IFERROR(__xludf.DUMMYFUNCTION("""COMPUTED_VALUE"""),0.0)</f>
        <v>0</v>
      </c>
      <c r="U144" s="8">
        <f>IFERROR(__xludf.DUMMYFUNCTION("""COMPUTED_VALUE"""),0.0)</f>
        <v>0</v>
      </c>
      <c r="V144" s="8">
        <f>IFERROR(__xludf.DUMMYFUNCTION("""COMPUTED_VALUE"""),0.0)</f>
        <v>0</v>
      </c>
      <c r="W144" s="8">
        <f>IFERROR(__xludf.DUMMYFUNCTION("""COMPUTED_VALUE"""),0.0)</f>
        <v>0</v>
      </c>
      <c r="X144" s="8">
        <f>IFERROR(__xludf.DUMMYFUNCTION("""COMPUTED_VALUE"""),0.0)</f>
        <v>0</v>
      </c>
      <c r="Y144" s="8">
        <f>IFERROR(__xludf.DUMMYFUNCTION("""COMPUTED_VALUE"""),0.0)</f>
        <v>0</v>
      </c>
      <c r="Z144" s="8">
        <f>IFERROR(__xludf.DUMMYFUNCTION("""COMPUTED_VALUE"""),0.0)</f>
        <v>0</v>
      </c>
      <c r="AA144" s="8">
        <f>IFERROR(__xludf.DUMMYFUNCTION("""COMPUTED_VALUE"""),0.0)</f>
        <v>0</v>
      </c>
      <c r="AB144" s="8">
        <f>IFERROR(__xludf.DUMMYFUNCTION("""COMPUTED_VALUE"""),0.0)</f>
        <v>0</v>
      </c>
      <c r="AC144" s="8">
        <f>IFERROR(__xludf.DUMMYFUNCTION("""COMPUTED_VALUE"""),0.0)</f>
        <v>0</v>
      </c>
    </row>
    <row r="145" ht="15.75" customHeight="1">
      <c r="A145" s="6" t="str">
        <f>IFERROR(__xludf.DUMMYFUNCTION("""COMPUTED_VALUE"""),"80e6be6f7d165552c60a2fc7cbf39746d2ab2466")</f>
        <v>80e6be6f7d165552c60a2fc7cbf39746d2ab2466</v>
      </c>
      <c r="B145" s="6" t="str">
        <f>IFERROR(__xludf.DUMMYFUNCTION("""COMPUTED_VALUE"""),"Marked by Him: True Mate")</f>
        <v>Marked by Him: True Mate</v>
      </c>
      <c r="C145" s="6" t="str">
        <f>IFERROR(__xludf.DUMMYFUNCTION("""COMPUTED_VALUE"""),"Romantasy")</f>
        <v>Romantasy</v>
      </c>
      <c r="D145" s="17">
        <f>IFERROR(__xludf.DUMMYFUNCTION("""COMPUTED_VALUE"""),1174.0)</f>
        <v>1174</v>
      </c>
      <c r="E145" s="8">
        <f>IFERROR(__xludf.DUMMYFUNCTION("""COMPUTED_VALUE"""),0.968483816013628)</f>
        <v>0.968483816</v>
      </c>
      <c r="F145" s="8">
        <f>IFERROR(__xludf.DUMMYFUNCTION("""COMPUTED_VALUE"""),0.615515771526001)</f>
        <v>0.6155157715</v>
      </c>
      <c r="G145" s="8">
        <f>IFERROR(__xludf.DUMMYFUNCTION("""COMPUTED_VALUE"""),0.568259385665529)</f>
        <v>0.5682593857</v>
      </c>
      <c r="H145" s="8">
        <f>IFERROR(__xludf.DUMMYFUNCTION("""COMPUTED_VALUE"""),0.535836177474402)</f>
        <v>0.5358361775</v>
      </c>
      <c r="I145" s="8">
        <f>IFERROR(__xludf.DUMMYFUNCTION("""COMPUTED_VALUE"""),0.521367521367521)</f>
        <v>0.5213675214</v>
      </c>
      <c r="J145" s="8">
        <f>IFERROR(__xludf.DUMMYFUNCTION("""COMPUTED_VALUE"""),0.489307100085543)</f>
        <v>0.4893071001</v>
      </c>
      <c r="K145" s="8">
        <f>IFERROR(__xludf.DUMMYFUNCTION("""COMPUTED_VALUE"""),0.476027397260274)</f>
        <v>0.4760273973</v>
      </c>
      <c r="L145" s="8">
        <f>IFERROR(__xludf.DUMMYFUNCTION("""COMPUTED_VALUE"""),0.465576592082616)</f>
        <v>0.4655765921</v>
      </c>
      <c r="M145" s="8">
        <f>IFERROR(__xludf.DUMMYFUNCTION("""COMPUTED_VALUE"""),0.452031114952463)</f>
        <v>0.452031115</v>
      </c>
      <c r="N145" s="8">
        <f>IFERROR(__xludf.DUMMYFUNCTION("""COMPUTED_VALUE"""),0.451263537906137)</f>
        <v>0.4512635379</v>
      </c>
      <c r="O145" s="8">
        <f>IFERROR(__xludf.DUMMYFUNCTION("""COMPUTED_VALUE"""),0.456460674157303)</f>
        <v>0.4564606742</v>
      </c>
      <c r="P145" s="8">
        <f>IFERROR(__xludf.DUMMYFUNCTION("""COMPUTED_VALUE"""),0.363636363636363)</f>
        <v>0.3636363636</v>
      </c>
      <c r="Q145" s="8">
        <f>IFERROR(__xludf.DUMMYFUNCTION("""COMPUTED_VALUE"""),0.22564935064935)</f>
        <v>0.2256493506</v>
      </c>
      <c r="R145" s="8">
        <f>IFERROR(__xludf.DUMMYFUNCTION("""COMPUTED_VALUE"""),0.117647058823529)</f>
        <v>0.1176470588</v>
      </c>
      <c r="S145" s="8">
        <f>IFERROR(__xludf.DUMMYFUNCTION("""COMPUTED_VALUE"""),0.0)</f>
        <v>0</v>
      </c>
      <c r="T145" s="8">
        <f>IFERROR(__xludf.DUMMYFUNCTION("""COMPUTED_VALUE"""),0.0)</f>
        <v>0</v>
      </c>
      <c r="U145" s="8">
        <f>IFERROR(__xludf.DUMMYFUNCTION("""COMPUTED_VALUE"""),0.0)</f>
        <v>0</v>
      </c>
      <c r="V145" s="8">
        <f>IFERROR(__xludf.DUMMYFUNCTION("""COMPUTED_VALUE"""),0.0)</f>
        <v>0</v>
      </c>
      <c r="W145" s="8">
        <f>IFERROR(__xludf.DUMMYFUNCTION("""COMPUTED_VALUE"""),0.0)</f>
        <v>0</v>
      </c>
      <c r="X145" s="8">
        <f>IFERROR(__xludf.DUMMYFUNCTION("""COMPUTED_VALUE"""),0.0)</f>
        <v>0</v>
      </c>
      <c r="Y145" s="8">
        <f>IFERROR(__xludf.DUMMYFUNCTION("""COMPUTED_VALUE"""),0.0)</f>
        <v>0</v>
      </c>
      <c r="Z145" s="8">
        <f>IFERROR(__xludf.DUMMYFUNCTION("""COMPUTED_VALUE"""),0.0)</f>
        <v>0</v>
      </c>
      <c r="AA145" s="8">
        <f>IFERROR(__xludf.DUMMYFUNCTION("""COMPUTED_VALUE"""),0.0)</f>
        <v>0</v>
      </c>
      <c r="AB145" s="8">
        <f>IFERROR(__xludf.DUMMYFUNCTION("""COMPUTED_VALUE"""),0.0)</f>
        <v>0</v>
      </c>
      <c r="AC145" s="8">
        <f>IFERROR(__xludf.DUMMYFUNCTION("""COMPUTED_VALUE"""),0.0)</f>
        <v>0</v>
      </c>
    </row>
    <row r="146" ht="15.75" customHeight="1">
      <c r="A146" s="6" t="str">
        <f>IFERROR(__xludf.DUMMYFUNCTION("""COMPUTED_VALUE"""),"820e3a2951adfcd3997c3ea5696cb62bc975f0a0")</f>
        <v>820e3a2951adfcd3997c3ea5696cb62bc975f0a0</v>
      </c>
      <c r="B146" s="6" t="str">
        <f>IFERROR(__xludf.DUMMYFUNCTION("""COMPUTED_VALUE"""),"The Return of Master ")</f>
        <v>The Return of Master </v>
      </c>
      <c r="C146" s="6" t="str">
        <f>IFERROR(__xludf.DUMMYFUNCTION("""COMPUTED_VALUE"""),"Fantasy")</f>
        <v>Fantasy</v>
      </c>
      <c r="D146" s="17">
        <f>IFERROR(__xludf.DUMMYFUNCTION("""COMPUTED_VALUE"""),29.0)</f>
        <v>29</v>
      </c>
      <c r="E146" s="8">
        <f>IFERROR(__xludf.DUMMYFUNCTION("""COMPUTED_VALUE"""),0.96551724137931)</f>
        <v>0.9655172414</v>
      </c>
      <c r="F146" s="8">
        <f>IFERROR(__xludf.DUMMYFUNCTION("""COMPUTED_VALUE"""),0.862068965517241)</f>
        <v>0.8620689655</v>
      </c>
      <c r="G146" s="8">
        <f>IFERROR(__xludf.DUMMYFUNCTION("""COMPUTED_VALUE"""),0.793103448275862)</f>
        <v>0.7931034483</v>
      </c>
      <c r="H146" s="8">
        <f>IFERROR(__xludf.DUMMYFUNCTION("""COMPUTED_VALUE"""),0.655172413793103)</f>
        <v>0.6551724138</v>
      </c>
      <c r="I146" s="8">
        <f>IFERROR(__xludf.DUMMYFUNCTION("""COMPUTED_VALUE"""),0.620689655172413)</f>
        <v>0.6206896552</v>
      </c>
      <c r="J146" s="8">
        <f>IFERROR(__xludf.DUMMYFUNCTION("""COMPUTED_VALUE"""),0.620689655172413)</f>
        <v>0.6206896552</v>
      </c>
      <c r="K146" s="8">
        <f>IFERROR(__xludf.DUMMYFUNCTION("""COMPUTED_VALUE"""),0.620689655172413)</f>
        <v>0.6206896552</v>
      </c>
      <c r="L146" s="8">
        <f>IFERROR(__xludf.DUMMYFUNCTION("""COMPUTED_VALUE"""),0.586206896551724)</f>
        <v>0.5862068966</v>
      </c>
      <c r="M146" s="8">
        <f>IFERROR(__xludf.DUMMYFUNCTION("""COMPUTED_VALUE"""),0.551724137931034)</f>
        <v>0.5517241379</v>
      </c>
      <c r="N146" s="8">
        <f>IFERROR(__xludf.DUMMYFUNCTION("""COMPUTED_VALUE"""),0.586206896551724)</f>
        <v>0.5862068966</v>
      </c>
      <c r="O146" s="8">
        <f>IFERROR(__xludf.DUMMYFUNCTION("""COMPUTED_VALUE"""),0.344827586206896)</f>
        <v>0.3448275862</v>
      </c>
      <c r="P146" s="8">
        <f>IFERROR(__xludf.DUMMYFUNCTION("""COMPUTED_VALUE"""),0.107142857142857)</f>
        <v>0.1071428571</v>
      </c>
      <c r="Q146" s="8">
        <f>IFERROR(__xludf.DUMMYFUNCTION("""COMPUTED_VALUE"""),0.0)</f>
        <v>0</v>
      </c>
      <c r="R146" s="8">
        <f>IFERROR(__xludf.DUMMYFUNCTION("""COMPUTED_VALUE"""),0.0)</f>
        <v>0</v>
      </c>
      <c r="S146" s="8">
        <f>IFERROR(__xludf.DUMMYFUNCTION("""COMPUTED_VALUE"""),0.0)</f>
        <v>0</v>
      </c>
      <c r="T146" s="8">
        <f>IFERROR(__xludf.DUMMYFUNCTION("""COMPUTED_VALUE"""),0.0)</f>
        <v>0</v>
      </c>
      <c r="U146" s="8">
        <f>IFERROR(__xludf.DUMMYFUNCTION("""COMPUTED_VALUE"""),0.0)</f>
        <v>0</v>
      </c>
      <c r="V146" s="8">
        <f>IFERROR(__xludf.DUMMYFUNCTION("""COMPUTED_VALUE"""),0.0)</f>
        <v>0</v>
      </c>
      <c r="W146" s="8">
        <f>IFERROR(__xludf.DUMMYFUNCTION("""COMPUTED_VALUE"""),0.0)</f>
        <v>0</v>
      </c>
      <c r="X146" s="8">
        <f>IFERROR(__xludf.DUMMYFUNCTION("""COMPUTED_VALUE"""),0.0)</f>
        <v>0</v>
      </c>
      <c r="Y146" s="8">
        <f>IFERROR(__xludf.DUMMYFUNCTION("""COMPUTED_VALUE"""),0.0)</f>
        <v>0</v>
      </c>
      <c r="Z146" s="8">
        <f>IFERROR(__xludf.DUMMYFUNCTION("""COMPUTED_VALUE"""),0.0)</f>
        <v>0</v>
      </c>
      <c r="AA146" s="8">
        <f>IFERROR(__xludf.DUMMYFUNCTION("""COMPUTED_VALUE"""),0.0)</f>
        <v>0</v>
      </c>
      <c r="AB146" s="8">
        <f>IFERROR(__xludf.DUMMYFUNCTION("""COMPUTED_VALUE"""),0.0)</f>
        <v>0</v>
      </c>
      <c r="AC146" s="8">
        <f>IFERROR(__xludf.DUMMYFUNCTION("""COMPUTED_VALUE"""),0.0)</f>
        <v>0</v>
      </c>
    </row>
    <row r="147" ht="15.75" customHeight="1">
      <c r="A147" s="6" t="str">
        <f>IFERROR(__xludf.DUMMYFUNCTION("""COMPUTED_VALUE"""),"82ff8ba01d1e1fbcea7c734b687b1a9ff858733d")</f>
        <v>82ff8ba01d1e1fbcea7c734b687b1a9ff858733d</v>
      </c>
      <c r="B147" s="6" t="str">
        <f>IFERROR(__xludf.DUMMYFUNCTION("""COMPUTED_VALUE"""),"Twin Realms Traveler")</f>
        <v>Twin Realms Traveler</v>
      </c>
      <c r="C147" s="6" t="str">
        <f>IFERROR(__xludf.DUMMYFUNCTION("""COMPUTED_VALUE"""),"System and Superpower")</f>
        <v>System and Superpower</v>
      </c>
      <c r="D147" s="17">
        <f>IFERROR(__xludf.DUMMYFUNCTION("""COMPUTED_VALUE"""),17.0)</f>
        <v>17</v>
      </c>
      <c r="E147" s="8">
        <f>IFERROR(__xludf.DUMMYFUNCTION("""COMPUTED_VALUE"""),1.0)</f>
        <v>1</v>
      </c>
      <c r="F147" s="8">
        <f>IFERROR(__xludf.DUMMYFUNCTION("""COMPUTED_VALUE"""),0.235294117647058)</f>
        <v>0.2352941176</v>
      </c>
      <c r="G147" s="8">
        <f>IFERROR(__xludf.DUMMYFUNCTION("""COMPUTED_VALUE"""),0.117647058823529)</f>
        <v>0.1176470588</v>
      </c>
      <c r="H147" s="8">
        <f>IFERROR(__xludf.DUMMYFUNCTION("""COMPUTED_VALUE"""),0.125)</f>
        <v>0.125</v>
      </c>
      <c r="I147" s="8">
        <f>IFERROR(__xludf.DUMMYFUNCTION("""COMPUTED_VALUE"""),0.125)</f>
        <v>0.125</v>
      </c>
      <c r="J147" s="8">
        <f>IFERROR(__xludf.DUMMYFUNCTION("""COMPUTED_VALUE"""),0.125)</f>
        <v>0.125</v>
      </c>
      <c r="K147" s="8">
        <f>IFERROR(__xludf.DUMMYFUNCTION("""COMPUTED_VALUE"""),0.125)</f>
        <v>0.125</v>
      </c>
      <c r="L147" s="8">
        <f>IFERROR(__xludf.DUMMYFUNCTION("""COMPUTED_VALUE"""),0.125)</f>
        <v>0.125</v>
      </c>
      <c r="M147" s="8">
        <f>IFERROR(__xludf.DUMMYFUNCTION("""COMPUTED_VALUE"""),0.125)</f>
        <v>0.125</v>
      </c>
      <c r="N147" s="8">
        <f>IFERROR(__xludf.DUMMYFUNCTION("""COMPUTED_VALUE"""),0.125)</f>
        <v>0.125</v>
      </c>
      <c r="O147" s="8">
        <f>IFERROR(__xludf.DUMMYFUNCTION("""COMPUTED_VALUE"""),0.125)</f>
        <v>0.125</v>
      </c>
      <c r="P147" s="8">
        <f>IFERROR(__xludf.DUMMYFUNCTION("""COMPUTED_VALUE"""),0.133333333333333)</f>
        <v>0.1333333333</v>
      </c>
      <c r="Q147" s="8">
        <f>IFERROR(__xludf.DUMMYFUNCTION("""COMPUTED_VALUE"""),0.181818181818181)</f>
        <v>0.1818181818</v>
      </c>
      <c r="R147" s="8">
        <f>IFERROR(__xludf.DUMMYFUNCTION("""COMPUTED_VALUE"""),0.2)</f>
        <v>0.2</v>
      </c>
      <c r="S147" s="8">
        <f>IFERROR(__xludf.DUMMYFUNCTION("""COMPUTED_VALUE"""),0.285714285714285)</f>
        <v>0.2857142857</v>
      </c>
      <c r="T147" s="8">
        <f>IFERROR(__xludf.DUMMYFUNCTION("""COMPUTED_VALUE"""),0.4)</f>
        <v>0.4</v>
      </c>
      <c r="U147" s="8">
        <f>IFERROR(__xludf.DUMMYFUNCTION("""COMPUTED_VALUE"""),0.5)</f>
        <v>0.5</v>
      </c>
      <c r="V147" s="8">
        <f>IFERROR(__xludf.DUMMYFUNCTION("""COMPUTED_VALUE"""),0.0)</f>
        <v>0</v>
      </c>
      <c r="W147" s="8">
        <f>IFERROR(__xludf.DUMMYFUNCTION("""COMPUTED_VALUE"""),0.0)</f>
        <v>0</v>
      </c>
      <c r="X147" s="8">
        <f>IFERROR(__xludf.DUMMYFUNCTION("""COMPUTED_VALUE"""),0.0)</f>
        <v>0</v>
      </c>
      <c r="Y147" s="8">
        <f>IFERROR(__xludf.DUMMYFUNCTION("""COMPUTED_VALUE"""),0.0)</f>
        <v>0</v>
      </c>
      <c r="Z147" s="8">
        <f>IFERROR(__xludf.DUMMYFUNCTION("""COMPUTED_VALUE"""),0.0)</f>
        <v>0</v>
      </c>
      <c r="AA147" s="8">
        <f>IFERROR(__xludf.DUMMYFUNCTION("""COMPUTED_VALUE"""),0.0)</f>
        <v>0</v>
      </c>
      <c r="AB147" s="8">
        <f>IFERROR(__xludf.DUMMYFUNCTION("""COMPUTED_VALUE"""),0.0)</f>
        <v>0</v>
      </c>
      <c r="AC147" s="8">
        <f>IFERROR(__xludf.DUMMYFUNCTION("""COMPUTED_VALUE"""),0.0)</f>
        <v>0</v>
      </c>
    </row>
    <row r="148" ht="15.75" customHeight="1">
      <c r="A148" s="6" t="str">
        <f>IFERROR(__xludf.DUMMYFUNCTION("""COMPUTED_VALUE"""),"84289ce4a2b527c3aa47651760eaff877da6adad")</f>
        <v>84289ce4a2b527c3aa47651760eaff877da6adad</v>
      </c>
      <c r="B148" s="6" t="str">
        <f>IFERROR(__xludf.DUMMYFUNCTION("""COMPUTED_VALUE"""),"Contracted by Love")</f>
        <v>Contracted by Love</v>
      </c>
      <c r="C148" s="6" t="str">
        <f>IFERROR(__xludf.DUMMYFUNCTION("""COMPUTED_VALUE"""),"Romance")</f>
        <v>Romance</v>
      </c>
      <c r="D148" s="17">
        <f>IFERROR(__xludf.DUMMYFUNCTION("""COMPUTED_VALUE"""),711.0)</f>
        <v>711</v>
      </c>
      <c r="E148" s="8">
        <f>IFERROR(__xludf.DUMMYFUNCTION("""COMPUTED_VALUE"""),0.984528832630098)</f>
        <v>0.9845288326</v>
      </c>
      <c r="F148" s="8">
        <f>IFERROR(__xludf.DUMMYFUNCTION("""COMPUTED_VALUE"""),0.543018335684062)</f>
        <v>0.5430183357</v>
      </c>
      <c r="G148" s="8">
        <f>IFERROR(__xludf.DUMMYFUNCTION("""COMPUTED_VALUE"""),0.493653032440056)</f>
        <v>0.4936530324</v>
      </c>
      <c r="H148" s="8">
        <f>IFERROR(__xludf.DUMMYFUNCTION("""COMPUTED_VALUE"""),0.465444287729196)</f>
        <v>0.4654442877</v>
      </c>
      <c r="I148" s="8">
        <f>IFERROR(__xludf.DUMMYFUNCTION("""COMPUTED_VALUE"""),0.423131170662905)</f>
        <v>0.4231311707</v>
      </c>
      <c r="J148" s="8">
        <f>IFERROR(__xludf.DUMMYFUNCTION("""COMPUTED_VALUE"""),0.3954802259887)</f>
        <v>0.395480226</v>
      </c>
      <c r="K148" s="8">
        <f>IFERROR(__xludf.DUMMYFUNCTION("""COMPUTED_VALUE"""),0.36864406779661)</f>
        <v>0.3686440678</v>
      </c>
      <c r="L148" s="8">
        <f>IFERROR(__xludf.DUMMYFUNCTION("""COMPUTED_VALUE"""),0.34322033898305)</f>
        <v>0.343220339</v>
      </c>
      <c r="M148" s="8">
        <f>IFERROR(__xludf.DUMMYFUNCTION("""COMPUTED_VALUE"""),0.31728045325779)</f>
        <v>0.3172804533</v>
      </c>
      <c r="N148" s="8">
        <f>IFERROR(__xludf.DUMMYFUNCTION("""COMPUTED_VALUE"""),0.310198300283286)</f>
        <v>0.3101983003</v>
      </c>
      <c r="O148" s="8">
        <f>IFERROR(__xludf.DUMMYFUNCTION("""COMPUTED_VALUE"""),0.265508684863523)</f>
        <v>0.2655086849</v>
      </c>
      <c r="P148" s="8">
        <f>IFERROR(__xludf.DUMMYFUNCTION("""COMPUTED_VALUE"""),0.222222222222222)</f>
        <v>0.2222222222</v>
      </c>
      <c r="Q148" s="8">
        <f>IFERROR(__xludf.DUMMYFUNCTION("""COMPUTED_VALUE"""),0.0)</f>
        <v>0</v>
      </c>
      <c r="R148" s="8">
        <f>IFERROR(__xludf.DUMMYFUNCTION("""COMPUTED_VALUE"""),0.0)</f>
        <v>0</v>
      </c>
      <c r="S148" s="8">
        <f>IFERROR(__xludf.DUMMYFUNCTION("""COMPUTED_VALUE"""),0.0)</f>
        <v>0</v>
      </c>
      <c r="T148" s="8">
        <f>IFERROR(__xludf.DUMMYFUNCTION("""COMPUTED_VALUE"""),0.0)</f>
        <v>0</v>
      </c>
      <c r="U148" s="8">
        <f>IFERROR(__xludf.DUMMYFUNCTION("""COMPUTED_VALUE"""),0.0)</f>
        <v>0</v>
      </c>
      <c r="V148" s="8">
        <f>IFERROR(__xludf.DUMMYFUNCTION("""COMPUTED_VALUE"""),0.0)</f>
        <v>0</v>
      </c>
      <c r="W148" s="8">
        <f>IFERROR(__xludf.DUMMYFUNCTION("""COMPUTED_VALUE"""),0.0)</f>
        <v>0</v>
      </c>
      <c r="X148" s="8">
        <f>IFERROR(__xludf.DUMMYFUNCTION("""COMPUTED_VALUE"""),0.0)</f>
        <v>0</v>
      </c>
      <c r="Y148" s="8">
        <f>IFERROR(__xludf.DUMMYFUNCTION("""COMPUTED_VALUE"""),0.0)</f>
        <v>0</v>
      </c>
      <c r="Z148" s="8">
        <f>IFERROR(__xludf.DUMMYFUNCTION("""COMPUTED_VALUE"""),0.0)</f>
        <v>0</v>
      </c>
      <c r="AA148" s="8">
        <f>IFERROR(__xludf.DUMMYFUNCTION("""COMPUTED_VALUE"""),0.0)</f>
        <v>0</v>
      </c>
      <c r="AB148" s="8">
        <f>IFERROR(__xludf.DUMMYFUNCTION("""COMPUTED_VALUE"""),0.0)</f>
        <v>0</v>
      </c>
      <c r="AC148" s="8">
        <f>IFERROR(__xludf.DUMMYFUNCTION("""COMPUTED_VALUE"""),0.0)</f>
        <v>0</v>
      </c>
    </row>
    <row r="149" ht="15.75" customHeight="1">
      <c r="A149" s="6" t="str">
        <f>IFERROR(__xludf.DUMMYFUNCTION("""COMPUTED_VALUE"""),"87b65acb9b6fcd4bc45f30d46f017fa847a0ce3c")</f>
        <v>87b65acb9b6fcd4bc45f30d46f017fa847a0ce3c</v>
      </c>
      <c r="B149" s="6" t="str">
        <f>IFERROR(__xludf.DUMMYFUNCTION("""COMPUTED_VALUE"""),"The Wife's Sweet Revenge")</f>
        <v>The Wife's Sweet Revenge</v>
      </c>
      <c r="C149" s="6" t="str">
        <f>IFERROR(__xludf.DUMMYFUNCTION("""COMPUTED_VALUE"""),"Romance")</f>
        <v>Romance</v>
      </c>
      <c r="D149" s="17">
        <f>IFERROR(__xludf.DUMMYFUNCTION("""COMPUTED_VALUE"""),105.0)</f>
        <v>105</v>
      </c>
      <c r="E149" s="8">
        <f>IFERROR(__xludf.DUMMYFUNCTION("""COMPUTED_VALUE"""),0.951219512195121)</f>
        <v>0.9512195122</v>
      </c>
      <c r="F149" s="8">
        <f>IFERROR(__xludf.DUMMYFUNCTION("""COMPUTED_VALUE"""),0.666666666666666)</f>
        <v>0.6666666667</v>
      </c>
      <c r="G149" s="8">
        <f>IFERROR(__xludf.DUMMYFUNCTION("""COMPUTED_VALUE"""),0.666666666666666)</f>
        <v>0.6666666667</v>
      </c>
      <c r="H149" s="8">
        <f>IFERROR(__xludf.DUMMYFUNCTION("""COMPUTED_VALUE"""),0.555555555555555)</f>
        <v>0.5555555556</v>
      </c>
      <c r="I149" s="8">
        <f>IFERROR(__xludf.DUMMYFUNCTION("""COMPUTED_VALUE"""),0.444444444444444)</f>
        <v>0.4444444444</v>
      </c>
      <c r="J149" s="8">
        <f>IFERROR(__xludf.DUMMYFUNCTION("""COMPUTED_VALUE"""),0.625)</f>
        <v>0.625</v>
      </c>
      <c r="K149" s="8">
        <f>IFERROR(__xludf.DUMMYFUNCTION("""COMPUTED_VALUE"""),0.625)</f>
        <v>0.625</v>
      </c>
      <c r="L149" s="8">
        <f>IFERROR(__xludf.DUMMYFUNCTION("""COMPUTED_VALUE"""),0.625)</f>
        <v>0.625</v>
      </c>
      <c r="M149" s="8">
        <f>IFERROR(__xludf.DUMMYFUNCTION("""COMPUTED_VALUE"""),0.571428571428571)</f>
        <v>0.5714285714</v>
      </c>
      <c r="N149" s="8">
        <f>IFERROR(__xludf.DUMMYFUNCTION("""COMPUTED_VALUE"""),0.5)</f>
        <v>0.5</v>
      </c>
      <c r="O149" s="8">
        <f>IFERROR(__xludf.DUMMYFUNCTION("""COMPUTED_VALUE"""),0.0)</f>
        <v>0</v>
      </c>
      <c r="P149" s="8">
        <f>IFERROR(__xludf.DUMMYFUNCTION("""COMPUTED_VALUE"""),0.0)</f>
        <v>0</v>
      </c>
      <c r="Q149" s="8">
        <f>IFERROR(__xludf.DUMMYFUNCTION("""COMPUTED_VALUE"""),0.0)</f>
        <v>0</v>
      </c>
      <c r="R149" s="8">
        <f>IFERROR(__xludf.DUMMYFUNCTION("""COMPUTED_VALUE"""),0.0)</f>
        <v>0</v>
      </c>
      <c r="S149" s="8">
        <f>IFERROR(__xludf.DUMMYFUNCTION("""COMPUTED_VALUE"""),0.0)</f>
        <v>0</v>
      </c>
      <c r="T149" s="8">
        <f>IFERROR(__xludf.DUMMYFUNCTION("""COMPUTED_VALUE"""),0.0)</f>
        <v>0</v>
      </c>
      <c r="U149" s="8">
        <f>IFERROR(__xludf.DUMMYFUNCTION("""COMPUTED_VALUE"""),0.0)</f>
        <v>0</v>
      </c>
      <c r="V149" s="8">
        <f>IFERROR(__xludf.DUMMYFUNCTION("""COMPUTED_VALUE"""),0.0)</f>
        <v>0</v>
      </c>
      <c r="W149" s="8">
        <f>IFERROR(__xludf.DUMMYFUNCTION("""COMPUTED_VALUE"""),0.0)</f>
        <v>0</v>
      </c>
      <c r="X149" s="8">
        <f>IFERROR(__xludf.DUMMYFUNCTION("""COMPUTED_VALUE"""),0.0)</f>
        <v>0</v>
      </c>
      <c r="Y149" s="8">
        <f>IFERROR(__xludf.DUMMYFUNCTION("""COMPUTED_VALUE"""),0.0)</f>
        <v>0</v>
      </c>
      <c r="Z149" s="8">
        <f>IFERROR(__xludf.DUMMYFUNCTION("""COMPUTED_VALUE"""),0.0)</f>
        <v>0</v>
      </c>
      <c r="AA149" s="8">
        <f>IFERROR(__xludf.DUMMYFUNCTION("""COMPUTED_VALUE"""),0.0)</f>
        <v>0</v>
      </c>
      <c r="AB149" s="8">
        <f>IFERROR(__xludf.DUMMYFUNCTION("""COMPUTED_VALUE"""),0.0)</f>
        <v>0</v>
      </c>
      <c r="AC149" s="8">
        <f>IFERROR(__xludf.DUMMYFUNCTION("""COMPUTED_VALUE"""),0.0)</f>
        <v>0</v>
      </c>
    </row>
    <row r="150" ht="15.75" customHeight="1">
      <c r="A150" s="6" t="str">
        <f>IFERROR(__xludf.DUMMYFUNCTION("""COMPUTED_VALUE"""),"8824fc43e4267c5a0e2b7acff644eae4b8b2222d")</f>
        <v>8824fc43e4267c5a0e2b7acff644eae4b8b2222d</v>
      </c>
      <c r="B150" s="6" t="str">
        <f>IFERROR(__xludf.DUMMYFUNCTION("""COMPUTED_VALUE"""),"Was It Only Lust?")</f>
        <v>Was It Only Lust?</v>
      </c>
      <c r="C150" s="6" t="str">
        <f>IFERROR(__xludf.DUMMYFUNCTION("""COMPUTED_VALUE"""),"Romance")</f>
        <v>Romance</v>
      </c>
      <c r="D150" s="17">
        <f>IFERROR(__xludf.DUMMYFUNCTION("""COMPUTED_VALUE"""),678.0)</f>
        <v>678</v>
      </c>
      <c r="E150" s="8">
        <f>IFERROR(__xludf.DUMMYFUNCTION("""COMPUTED_VALUE"""),0.969026548672566)</f>
        <v>0.9690265487</v>
      </c>
      <c r="F150" s="8">
        <f>IFERROR(__xludf.DUMMYFUNCTION("""COMPUTED_VALUE"""),0.570796460176991)</f>
        <v>0.5707964602</v>
      </c>
      <c r="G150" s="8">
        <f>IFERROR(__xludf.DUMMYFUNCTION("""COMPUTED_VALUE"""),0.501474926253687)</f>
        <v>0.5014749263</v>
      </c>
      <c r="H150" s="8">
        <f>IFERROR(__xludf.DUMMYFUNCTION("""COMPUTED_VALUE"""),0.470501474926253)</f>
        <v>0.4705014749</v>
      </c>
      <c r="I150" s="8">
        <f>IFERROR(__xludf.DUMMYFUNCTION("""COMPUTED_VALUE"""),0.445427728613569)</f>
        <v>0.4454277286</v>
      </c>
      <c r="J150" s="8">
        <f>IFERROR(__xludf.DUMMYFUNCTION("""COMPUTED_VALUE"""),0.43952802359882)</f>
        <v>0.4395280236</v>
      </c>
      <c r="K150" s="8">
        <f>IFERROR(__xludf.DUMMYFUNCTION("""COMPUTED_VALUE"""),0.415929203539823)</f>
        <v>0.4159292035</v>
      </c>
      <c r="L150" s="8">
        <f>IFERROR(__xludf.DUMMYFUNCTION("""COMPUTED_VALUE"""),0.363501483679525)</f>
        <v>0.3635014837</v>
      </c>
      <c r="M150" s="8">
        <f>IFERROR(__xludf.DUMMYFUNCTION("""COMPUTED_VALUE"""),0.337797619047619)</f>
        <v>0.337797619</v>
      </c>
      <c r="N150" s="8">
        <f>IFERROR(__xludf.DUMMYFUNCTION("""COMPUTED_VALUE"""),0.3125)</f>
        <v>0.3125</v>
      </c>
      <c r="O150" s="8">
        <f>IFERROR(__xludf.DUMMYFUNCTION("""COMPUTED_VALUE"""),0.199699699699699)</f>
        <v>0.1996996997</v>
      </c>
      <c r="P150" s="8">
        <f>IFERROR(__xludf.DUMMYFUNCTION("""COMPUTED_VALUE"""),0.100303951367781)</f>
        <v>0.1003039514</v>
      </c>
      <c r="Q150" s="8">
        <f>IFERROR(__xludf.DUMMYFUNCTION("""COMPUTED_VALUE"""),0.0886075949367088)</f>
        <v>0.08860759494</v>
      </c>
      <c r="R150" s="8">
        <f>IFERROR(__xludf.DUMMYFUNCTION("""COMPUTED_VALUE"""),0.0)</f>
        <v>0</v>
      </c>
      <c r="S150" s="8">
        <f>IFERROR(__xludf.DUMMYFUNCTION("""COMPUTED_VALUE"""),0.0)</f>
        <v>0</v>
      </c>
      <c r="T150" s="8">
        <f>IFERROR(__xludf.DUMMYFUNCTION("""COMPUTED_VALUE"""),0.0)</f>
        <v>0</v>
      </c>
      <c r="U150" s="8">
        <f>IFERROR(__xludf.DUMMYFUNCTION("""COMPUTED_VALUE"""),0.0)</f>
        <v>0</v>
      </c>
      <c r="V150" s="8">
        <f>IFERROR(__xludf.DUMMYFUNCTION("""COMPUTED_VALUE"""),0.0)</f>
        <v>0</v>
      </c>
      <c r="W150" s="8">
        <f>IFERROR(__xludf.DUMMYFUNCTION("""COMPUTED_VALUE"""),0.0)</f>
        <v>0</v>
      </c>
      <c r="X150" s="8">
        <f>IFERROR(__xludf.DUMMYFUNCTION("""COMPUTED_VALUE"""),0.0)</f>
        <v>0</v>
      </c>
      <c r="Y150" s="8">
        <f>IFERROR(__xludf.DUMMYFUNCTION("""COMPUTED_VALUE"""),0.0)</f>
        <v>0</v>
      </c>
      <c r="Z150" s="8">
        <f>IFERROR(__xludf.DUMMYFUNCTION("""COMPUTED_VALUE"""),0.0)</f>
        <v>0</v>
      </c>
      <c r="AA150" s="8">
        <f>IFERROR(__xludf.DUMMYFUNCTION("""COMPUTED_VALUE"""),0.0)</f>
        <v>0</v>
      </c>
      <c r="AB150" s="8">
        <f>IFERROR(__xludf.DUMMYFUNCTION("""COMPUTED_VALUE"""),0.0)</f>
        <v>0</v>
      </c>
      <c r="AC150" s="8">
        <f>IFERROR(__xludf.DUMMYFUNCTION("""COMPUTED_VALUE"""),0.0)</f>
        <v>0</v>
      </c>
    </row>
    <row r="151" ht="15.75" customHeight="1">
      <c r="A151" s="6" t="str">
        <f>IFERROR(__xludf.DUMMYFUNCTION("""COMPUTED_VALUE"""),"8aab13cef66595bf85428c05007cefe16b733ba5")</f>
        <v>8aab13cef66595bf85428c05007cefe16b733ba5</v>
      </c>
      <c r="B151" s="6" t="str">
        <f>IFERROR(__xludf.DUMMYFUNCTION("""COMPUTED_VALUE"""),"Reborn Heartbeat")</f>
        <v>Reborn Heartbeat</v>
      </c>
      <c r="C151" s="6" t="str">
        <f>IFERROR(__xludf.DUMMYFUNCTION("""COMPUTED_VALUE"""),"Romance")</f>
        <v>Romance</v>
      </c>
      <c r="D151" s="17">
        <f>IFERROR(__xludf.DUMMYFUNCTION("""COMPUTED_VALUE"""),1319.0)</f>
        <v>1319</v>
      </c>
      <c r="E151" s="8">
        <f>IFERROR(__xludf.DUMMYFUNCTION("""COMPUTED_VALUE"""),0.940060698027314)</f>
        <v>0.940060698</v>
      </c>
      <c r="F151" s="8">
        <f>IFERROR(__xludf.DUMMYFUNCTION("""COMPUTED_VALUE"""),0.616907844630616)</f>
        <v>0.6169078446</v>
      </c>
      <c r="G151" s="8">
        <f>IFERROR(__xludf.DUMMYFUNCTION("""COMPUTED_VALUE"""),0.570556826849733)</f>
        <v>0.5705568268</v>
      </c>
      <c r="H151" s="8">
        <f>IFERROR(__xludf.DUMMYFUNCTION("""COMPUTED_VALUE"""),0.545454545454545)</f>
        <v>0.5454545455</v>
      </c>
      <c r="I151" s="8">
        <f>IFERROR(__xludf.DUMMYFUNCTION("""COMPUTED_VALUE"""),0.537051184110007)</f>
        <v>0.5370511841</v>
      </c>
      <c r="J151" s="8">
        <f>IFERROR(__xludf.DUMMYFUNCTION("""COMPUTED_VALUE"""),0.511128165771297)</f>
        <v>0.5111281658</v>
      </c>
      <c r="K151" s="8">
        <f>IFERROR(__xludf.DUMMYFUNCTION("""COMPUTED_VALUE"""),0.508487654320987)</f>
        <v>0.5084876543</v>
      </c>
      <c r="L151" s="8">
        <f>IFERROR(__xludf.DUMMYFUNCTION("""COMPUTED_VALUE"""),0.497674418604651)</f>
        <v>0.4976744186</v>
      </c>
      <c r="M151" s="8">
        <f>IFERROR(__xludf.DUMMYFUNCTION("""COMPUTED_VALUE"""),0.483670295489891)</f>
        <v>0.4836702955</v>
      </c>
      <c r="N151" s="8">
        <f>IFERROR(__xludf.DUMMYFUNCTION("""COMPUTED_VALUE"""),0.490625)</f>
        <v>0.490625</v>
      </c>
      <c r="O151" s="8">
        <f>IFERROR(__xludf.DUMMYFUNCTION("""COMPUTED_VALUE"""),0.480478087649402)</f>
        <v>0.4804780876</v>
      </c>
      <c r="P151" s="8">
        <f>IFERROR(__xludf.DUMMYFUNCTION("""COMPUTED_VALUE"""),0.337859424920127)</f>
        <v>0.3378594249</v>
      </c>
      <c r="Q151" s="8">
        <f>IFERROR(__xludf.DUMMYFUNCTION("""COMPUTED_VALUE"""),0.257831325301204)</f>
        <v>0.2578313253</v>
      </c>
      <c r="R151" s="8">
        <f>IFERROR(__xludf.DUMMYFUNCTION("""COMPUTED_VALUE"""),0.0)</f>
        <v>0</v>
      </c>
      <c r="S151" s="8">
        <f>IFERROR(__xludf.DUMMYFUNCTION("""COMPUTED_VALUE"""),0.0)</f>
        <v>0</v>
      </c>
      <c r="T151" s="8">
        <f>IFERROR(__xludf.DUMMYFUNCTION("""COMPUTED_VALUE"""),0.0)</f>
        <v>0</v>
      </c>
      <c r="U151" s="8">
        <f>IFERROR(__xludf.DUMMYFUNCTION("""COMPUTED_VALUE"""),0.0)</f>
        <v>0</v>
      </c>
      <c r="V151" s="8">
        <f>IFERROR(__xludf.DUMMYFUNCTION("""COMPUTED_VALUE"""),0.0)</f>
        <v>0</v>
      </c>
      <c r="W151" s="8">
        <f>IFERROR(__xludf.DUMMYFUNCTION("""COMPUTED_VALUE"""),0.0)</f>
        <v>0</v>
      </c>
      <c r="X151" s="8">
        <f>IFERROR(__xludf.DUMMYFUNCTION("""COMPUTED_VALUE"""),0.0)</f>
        <v>0</v>
      </c>
      <c r="Y151" s="8">
        <f>IFERROR(__xludf.DUMMYFUNCTION("""COMPUTED_VALUE"""),0.0)</f>
        <v>0</v>
      </c>
      <c r="Z151" s="8">
        <f>IFERROR(__xludf.DUMMYFUNCTION("""COMPUTED_VALUE"""),0.0)</f>
        <v>0</v>
      </c>
      <c r="AA151" s="8">
        <f>IFERROR(__xludf.DUMMYFUNCTION("""COMPUTED_VALUE"""),0.0)</f>
        <v>0</v>
      </c>
      <c r="AB151" s="8">
        <f>IFERROR(__xludf.DUMMYFUNCTION("""COMPUTED_VALUE"""),0.0)</f>
        <v>0</v>
      </c>
      <c r="AC151" s="8">
        <f>IFERROR(__xludf.DUMMYFUNCTION("""COMPUTED_VALUE"""),0.0)</f>
        <v>0</v>
      </c>
    </row>
    <row r="152" ht="15.75" customHeight="1">
      <c r="A152" s="6" t="str">
        <f>IFERROR(__xludf.DUMMYFUNCTION("""COMPUTED_VALUE"""),"8b0fd7aa03d26e2de1586a0fe7c91505431575cc")</f>
        <v>8b0fd7aa03d26e2de1586a0fe7c91505431575cc</v>
      </c>
      <c r="B152" s="6" t="str">
        <f>IFERROR(__xludf.DUMMYFUNCTION("""COMPUTED_VALUE"""),"The Midnight Luna")</f>
        <v>The Midnight Luna</v>
      </c>
      <c r="C152" s="6" t="str">
        <f>IFERROR(__xludf.DUMMYFUNCTION("""COMPUTED_VALUE"""),"Romantasy")</f>
        <v>Romantasy</v>
      </c>
      <c r="D152" s="17">
        <f>IFERROR(__xludf.DUMMYFUNCTION("""COMPUTED_VALUE"""),1126.0)</f>
        <v>1126</v>
      </c>
      <c r="E152" s="8">
        <f>IFERROR(__xludf.DUMMYFUNCTION("""COMPUTED_VALUE"""),0.974222222222222)</f>
        <v>0.9742222222</v>
      </c>
      <c r="F152" s="8">
        <f>IFERROR(__xludf.DUMMYFUNCTION("""COMPUTED_VALUE"""),0.635472370766488)</f>
        <v>0.6354723708</v>
      </c>
      <c r="G152" s="8">
        <f>IFERROR(__xludf.DUMMYFUNCTION("""COMPUTED_VALUE"""),0.56951871657754)</f>
        <v>0.5695187166</v>
      </c>
      <c r="H152" s="8">
        <f>IFERROR(__xludf.DUMMYFUNCTION("""COMPUTED_VALUE"""),0.528150134048257)</f>
        <v>0.528150134</v>
      </c>
      <c r="I152" s="8">
        <f>IFERROR(__xludf.DUMMYFUNCTION("""COMPUTED_VALUE"""),0.50491510277033)</f>
        <v>0.5049151028</v>
      </c>
      <c r="J152" s="8">
        <f>IFERROR(__xludf.DUMMYFUNCTION("""COMPUTED_VALUE"""),0.489266547406082)</f>
        <v>0.4892665474</v>
      </c>
      <c r="K152" s="8">
        <f>IFERROR(__xludf.DUMMYFUNCTION("""COMPUTED_VALUE"""),0.477987421383647)</f>
        <v>0.4779874214</v>
      </c>
      <c r="L152" s="8">
        <f>IFERROR(__xludf.DUMMYFUNCTION("""COMPUTED_VALUE"""),0.452641165755919)</f>
        <v>0.4526411658</v>
      </c>
      <c r="M152" s="8">
        <f>IFERROR(__xludf.DUMMYFUNCTION("""COMPUTED_VALUE"""),0.436928702010968)</f>
        <v>0.436928702</v>
      </c>
      <c r="N152" s="8">
        <f>IFERROR(__xludf.DUMMYFUNCTION("""COMPUTED_VALUE"""),0.425022999080036)</f>
        <v>0.4250229991</v>
      </c>
      <c r="O152" s="8">
        <f>IFERROR(__xludf.DUMMYFUNCTION("""COMPUTED_VALUE"""),0.396255850234009)</f>
        <v>0.3962558502</v>
      </c>
      <c r="P152" s="8">
        <f>IFERROR(__xludf.DUMMYFUNCTION("""COMPUTED_VALUE"""),0.25)</f>
        <v>0.25</v>
      </c>
      <c r="Q152" s="8">
        <f>IFERROR(__xludf.DUMMYFUNCTION("""COMPUTED_VALUE"""),0.0)</f>
        <v>0</v>
      </c>
      <c r="R152" s="8">
        <f>IFERROR(__xludf.DUMMYFUNCTION("""COMPUTED_VALUE"""),0.0)</f>
        <v>0</v>
      </c>
      <c r="S152" s="8">
        <f>IFERROR(__xludf.DUMMYFUNCTION("""COMPUTED_VALUE"""),0.0)</f>
        <v>0</v>
      </c>
      <c r="T152" s="8">
        <f>IFERROR(__xludf.DUMMYFUNCTION("""COMPUTED_VALUE"""),0.0)</f>
        <v>0</v>
      </c>
      <c r="U152" s="8">
        <f>IFERROR(__xludf.DUMMYFUNCTION("""COMPUTED_VALUE"""),0.0)</f>
        <v>0</v>
      </c>
      <c r="V152" s="8">
        <f>IFERROR(__xludf.DUMMYFUNCTION("""COMPUTED_VALUE"""),0.0)</f>
        <v>0</v>
      </c>
      <c r="W152" s="8">
        <f>IFERROR(__xludf.DUMMYFUNCTION("""COMPUTED_VALUE"""),0.0)</f>
        <v>0</v>
      </c>
      <c r="X152" s="8">
        <f>IFERROR(__xludf.DUMMYFUNCTION("""COMPUTED_VALUE"""),0.0)</f>
        <v>0</v>
      </c>
      <c r="Y152" s="8">
        <f>IFERROR(__xludf.DUMMYFUNCTION("""COMPUTED_VALUE"""),0.0)</f>
        <v>0</v>
      </c>
      <c r="Z152" s="8">
        <f>IFERROR(__xludf.DUMMYFUNCTION("""COMPUTED_VALUE"""),0.0)</f>
        <v>0</v>
      </c>
      <c r="AA152" s="8">
        <f>IFERROR(__xludf.DUMMYFUNCTION("""COMPUTED_VALUE"""),0.0)</f>
        <v>0</v>
      </c>
      <c r="AB152" s="8">
        <f>IFERROR(__xludf.DUMMYFUNCTION("""COMPUTED_VALUE"""),0.0)</f>
        <v>0</v>
      </c>
      <c r="AC152" s="8">
        <f>IFERROR(__xludf.DUMMYFUNCTION("""COMPUTED_VALUE"""),0.0)</f>
        <v>0</v>
      </c>
    </row>
    <row r="153" ht="15.75" customHeight="1">
      <c r="A153" s="6" t="str">
        <f>IFERROR(__xludf.DUMMYFUNCTION("""COMPUTED_VALUE"""),"8bba1c491698de2d4d33abe2f115e5d666e141b2")</f>
        <v>8bba1c491698de2d4d33abe2f115e5d666e141b2</v>
      </c>
      <c r="B153" s="6" t="str">
        <f>IFERROR(__xludf.DUMMYFUNCTION("""COMPUTED_VALUE"""),"Until He Remembers Me")</f>
        <v>Until He Remembers Me</v>
      </c>
      <c r="C153" s="6" t="str">
        <f>IFERROR(__xludf.DUMMYFUNCTION("""COMPUTED_VALUE"""),"Romance")</f>
        <v>Romance</v>
      </c>
      <c r="D153" s="17">
        <f>IFERROR(__xludf.DUMMYFUNCTION("""COMPUTED_VALUE"""),163.0)</f>
        <v>163</v>
      </c>
      <c r="E153" s="8">
        <f>IFERROR(__xludf.DUMMYFUNCTION("""COMPUTED_VALUE"""),0.962264150943396)</f>
        <v>0.9622641509</v>
      </c>
      <c r="F153" s="8">
        <f>IFERROR(__xludf.DUMMYFUNCTION("""COMPUTED_VALUE"""),0.613333333333333)</f>
        <v>0.6133333333</v>
      </c>
      <c r="G153" s="8">
        <f>IFERROR(__xludf.DUMMYFUNCTION("""COMPUTED_VALUE"""),0.554054054054054)</f>
        <v>0.5540540541</v>
      </c>
      <c r="H153" s="8">
        <f>IFERROR(__xludf.DUMMYFUNCTION("""COMPUTED_VALUE"""),0.517482517482517)</f>
        <v>0.5174825175</v>
      </c>
      <c r="I153" s="8">
        <f>IFERROR(__xludf.DUMMYFUNCTION("""COMPUTED_VALUE"""),0.496453900709219)</f>
        <v>0.4964539007</v>
      </c>
      <c r="J153" s="8">
        <f>IFERROR(__xludf.DUMMYFUNCTION("""COMPUTED_VALUE"""),0.437956204379562)</f>
        <v>0.4379562044</v>
      </c>
      <c r="K153" s="8">
        <f>IFERROR(__xludf.DUMMYFUNCTION("""COMPUTED_VALUE"""),0.398496240601503)</f>
        <v>0.3984962406</v>
      </c>
      <c r="L153" s="8">
        <f>IFERROR(__xludf.DUMMYFUNCTION("""COMPUTED_VALUE"""),0.390625)</f>
        <v>0.390625</v>
      </c>
      <c r="M153" s="8">
        <f>IFERROR(__xludf.DUMMYFUNCTION("""COMPUTED_VALUE"""),0.36)</f>
        <v>0.36</v>
      </c>
      <c r="N153" s="8">
        <f>IFERROR(__xludf.DUMMYFUNCTION("""COMPUTED_VALUE"""),0.361344537815126)</f>
        <v>0.3613445378</v>
      </c>
      <c r="O153" s="8">
        <f>IFERROR(__xludf.DUMMYFUNCTION("""COMPUTED_VALUE"""),0.324324324324324)</f>
        <v>0.3243243243</v>
      </c>
      <c r="P153" s="8">
        <f>IFERROR(__xludf.DUMMYFUNCTION("""COMPUTED_VALUE"""),0.2)</f>
        <v>0.2</v>
      </c>
      <c r="Q153" s="8">
        <f>IFERROR(__xludf.DUMMYFUNCTION("""COMPUTED_VALUE"""),0.0)</f>
        <v>0</v>
      </c>
      <c r="R153" s="8">
        <f>IFERROR(__xludf.DUMMYFUNCTION("""COMPUTED_VALUE"""),0.0)</f>
        <v>0</v>
      </c>
      <c r="S153" s="8">
        <f>IFERROR(__xludf.DUMMYFUNCTION("""COMPUTED_VALUE"""),0.0)</f>
        <v>0</v>
      </c>
      <c r="T153" s="8">
        <f>IFERROR(__xludf.DUMMYFUNCTION("""COMPUTED_VALUE"""),0.0)</f>
        <v>0</v>
      </c>
      <c r="U153" s="8">
        <f>IFERROR(__xludf.DUMMYFUNCTION("""COMPUTED_VALUE"""),0.0)</f>
        <v>0</v>
      </c>
      <c r="V153" s="8">
        <f>IFERROR(__xludf.DUMMYFUNCTION("""COMPUTED_VALUE"""),0.0)</f>
        <v>0</v>
      </c>
      <c r="W153" s="8">
        <f>IFERROR(__xludf.DUMMYFUNCTION("""COMPUTED_VALUE"""),0.0)</f>
        <v>0</v>
      </c>
      <c r="X153" s="8">
        <f>IFERROR(__xludf.DUMMYFUNCTION("""COMPUTED_VALUE"""),0.0)</f>
        <v>0</v>
      </c>
      <c r="Y153" s="8">
        <f>IFERROR(__xludf.DUMMYFUNCTION("""COMPUTED_VALUE"""),0.0)</f>
        <v>0</v>
      </c>
      <c r="Z153" s="8">
        <f>IFERROR(__xludf.DUMMYFUNCTION("""COMPUTED_VALUE"""),0.0)</f>
        <v>0</v>
      </c>
      <c r="AA153" s="8">
        <f>IFERROR(__xludf.DUMMYFUNCTION("""COMPUTED_VALUE"""),0.0)</f>
        <v>0</v>
      </c>
      <c r="AB153" s="8">
        <f>IFERROR(__xludf.DUMMYFUNCTION("""COMPUTED_VALUE"""),0.0)</f>
        <v>0</v>
      </c>
      <c r="AC153" s="8">
        <f>IFERROR(__xludf.DUMMYFUNCTION("""COMPUTED_VALUE"""),0.0)</f>
        <v>0</v>
      </c>
    </row>
    <row r="154" ht="15.75" customHeight="1">
      <c r="A154" s="6" t="str">
        <f>IFERROR(__xludf.DUMMYFUNCTION("""COMPUTED_VALUE"""),"8bcd1b852cfa9d73ac3583317066946ad2b0abf7")</f>
        <v>8bcd1b852cfa9d73ac3583317066946ad2b0abf7</v>
      </c>
      <c r="B154" s="6" t="str">
        <f>IFERROR(__xludf.DUMMYFUNCTION("""COMPUTED_VALUE"""),"Heir to Draconic Dominion")</f>
        <v>Heir to Draconic Dominion</v>
      </c>
      <c r="C154" s="6" t="str">
        <f>IFERROR(__xludf.DUMMYFUNCTION("""COMPUTED_VALUE"""),"Fantasy")</f>
        <v>Fantasy</v>
      </c>
      <c r="D154" s="17">
        <f>IFERROR(__xludf.DUMMYFUNCTION("""COMPUTED_VALUE"""),1016.0)</f>
        <v>1016</v>
      </c>
      <c r="E154" s="8">
        <f>IFERROR(__xludf.DUMMYFUNCTION("""COMPUTED_VALUE"""),0.975369458128078)</f>
        <v>0.9753694581</v>
      </c>
      <c r="F154" s="8">
        <f>IFERROR(__xludf.DUMMYFUNCTION("""COMPUTED_VALUE"""),0.641584158415841)</f>
        <v>0.6415841584</v>
      </c>
      <c r="G154" s="8">
        <f>IFERROR(__xludf.DUMMYFUNCTION("""COMPUTED_VALUE"""),0.601787487586891)</f>
        <v>0.6017874876</v>
      </c>
      <c r="H154" s="8">
        <f>IFERROR(__xludf.DUMMYFUNCTION("""COMPUTED_VALUE"""),0.575697211155378)</f>
        <v>0.5756972112</v>
      </c>
      <c r="I154" s="8">
        <f>IFERROR(__xludf.DUMMYFUNCTION("""COMPUTED_VALUE"""),0.555444555444555)</f>
        <v>0.5554445554</v>
      </c>
      <c r="J154" s="8">
        <f>IFERROR(__xludf.DUMMYFUNCTION("""COMPUTED_VALUE"""),0.546)</f>
        <v>0.546</v>
      </c>
      <c r="K154" s="8">
        <f>IFERROR(__xludf.DUMMYFUNCTION("""COMPUTED_VALUE"""),0.530060120240481)</f>
        <v>0.5300601202</v>
      </c>
      <c r="L154" s="8">
        <f>IFERROR(__xludf.DUMMYFUNCTION("""COMPUTED_VALUE"""),0.512639029322548)</f>
        <v>0.5126390293</v>
      </c>
      <c r="M154" s="8">
        <f>IFERROR(__xludf.DUMMYFUNCTION("""COMPUTED_VALUE"""),0.494416243654822)</f>
        <v>0.4944162437</v>
      </c>
      <c r="N154" s="8">
        <f>IFERROR(__xludf.DUMMYFUNCTION("""COMPUTED_VALUE"""),0.484167517875383)</f>
        <v>0.4841675179</v>
      </c>
      <c r="O154" s="8">
        <f>IFERROR(__xludf.DUMMYFUNCTION("""COMPUTED_VALUE"""),0.445141065830721)</f>
        <v>0.4451410658</v>
      </c>
      <c r="P154" s="8">
        <f>IFERROR(__xludf.DUMMYFUNCTION("""COMPUTED_VALUE"""),0.361936193619361)</f>
        <v>0.3619361936</v>
      </c>
      <c r="Q154" s="8">
        <f>IFERROR(__xludf.DUMMYFUNCTION("""COMPUTED_VALUE"""),0.2157394843962)</f>
        <v>0.2157394844</v>
      </c>
      <c r="R154" s="8">
        <f>IFERROR(__xludf.DUMMYFUNCTION("""COMPUTED_VALUE"""),0.142857142857142)</f>
        <v>0.1428571429</v>
      </c>
      <c r="S154" s="8">
        <f>IFERROR(__xludf.DUMMYFUNCTION("""COMPUTED_VALUE"""),0.0)</f>
        <v>0</v>
      </c>
      <c r="T154" s="8">
        <f>IFERROR(__xludf.DUMMYFUNCTION("""COMPUTED_VALUE"""),0.0)</f>
        <v>0</v>
      </c>
      <c r="U154" s="8">
        <f>IFERROR(__xludf.DUMMYFUNCTION("""COMPUTED_VALUE"""),0.0)</f>
        <v>0</v>
      </c>
      <c r="V154" s="8">
        <f>IFERROR(__xludf.DUMMYFUNCTION("""COMPUTED_VALUE"""),0.0)</f>
        <v>0</v>
      </c>
      <c r="W154" s="8">
        <f>IFERROR(__xludf.DUMMYFUNCTION("""COMPUTED_VALUE"""),0.0)</f>
        <v>0</v>
      </c>
      <c r="X154" s="8">
        <f>IFERROR(__xludf.DUMMYFUNCTION("""COMPUTED_VALUE"""),0.0)</f>
        <v>0</v>
      </c>
      <c r="Y154" s="8">
        <f>IFERROR(__xludf.DUMMYFUNCTION("""COMPUTED_VALUE"""),0.0)</f>
        <v>0</v>
      </c>
      <c r="Z154" s="8">
        <f>IFERROR(__xludf.DUMMYFUNCTION("""COMPUTED_VALUE"""),0.0)</f>
        <v>0</v>
      </c>
      <c r="AA154" s="8">
        <f>IFERROR(__xludf.DUMMYFUNCTION("""COMPUTED_VALUE"""),0.0)</f>
        <v>0</v>
      </c>
      <c r="AB154" s="8">
        <f>IFERROR(__xludf.DUMMYFUNCTION("""COMPUTED_VALUE"""),0.0)</f>
        <v>0</v>
      </c>
      <c r="AC154" s="8">
        <f>IFERROR(__xludf.DUMMYFUNCTION("""COMPUTED_VALUE"""),0.0)</f>
        <v>0</v>
      </c>
    </row>
    <row r="155" ht="15.75" customHeight="1">
      <c r="A155" s="6" t="str">
        <f>IFERROR(__xludf.DUMMYFUNCTION("""COMPUTED_VALUE"""),"8e36a60de34dcee5a96156507eb902741b36cc77")</f>
        <v>8e36a60de34dcee5a96156507eb902741b36cc77</v>
      </c>
      <c r="B155" s="6" t="str">
        <f>IFERROR(__xludf.DUMMYFUNCTION("""COMPUTED_VALUE"""),"It's Crystal")</f>
        <v>It's Crystal</v>
      </c>
      <c r="C155" s="6" t="str">
        <f>IFERROR(__xludf.DUMMYFUNCTION("""COMPUTED_VALUE"""),"Romance")</f>
        <v>Romance</v>
      </c>
      <c r="D155" s="17">
        <f>IFERROR(__xludf.DUMMYFUNCTION("""COMPUTED_VALUE"""),597.0)</f>
        <v>597</v>
      </c>
      <c r="E155" s="8">
        <f>IFERROR(__xludf.DUMMYFUNCTION("""COMPUTED_VALUE"""),0.963149078726968)</f>
        <v>0.9631490787</v>
      </c>
      <c r="F155" s="8">
        <f>IFERROR(__xludf.DUMMYFUNCTION("""COMPUTED_VALUE"""),0.675041876046901)</f>
        <v>0.675041876</v>
      </c>
      <c r="G155" s="8">
        <f>IFERROR(__xludf.DUMMYFUNCTION("""COMPUTED_VALUE"""),0.628140703517588)</f>
        <v>0.6281407035</v>
      </c>
      <c r="H155" s="8">
        <f>IFERROR(__xludf.DUMMYFUNCTION("""COMPUTED_VALUE"""),0.603015075376884)</f>
        <v>0.6030150754</v>
      </c>
      <c r="I155" s="8">
        <f>IFERROR(__xludf.DUMMYFUNCTION("""COMPUTED_VALUE"""),0.609715242881072)</f>
        <v>0.6097152429</v>
      </c>
      <c r="J155" s="8">
        <f>IFERROR(__xludf.DUMMYFUNCTION("""COMPUTED_VALUE"""),0.57788944723618)</f>
        <v>0.5778894472</v>
      </c>
      <c r="K155" s="8">
        <f>IFERROR(__xludf.DUMMYFUNCTION("""COMPUTED_VALUE"""),0.553691275167785)</f>
        <v>0.5536912752</v>
      </c>
      <c r="L155" s="8">
        <f>IFERROR(__xludf.DUMMYFUNCTION("""COMPUTED_VALUE"""),0.521812080536912)</f>
        <v>0.5218120805</v>
      </c>
      <c r="M155" s="8">
        <f>IFERROR(__xludf.DUMMYFUNCTION("""COMPUTED_VALUE"""),0.481543624161073)</f>
        <v>0.4815436242</v>
      </c>
      <c r="N155" s="8">
        <f>IFERROR(__xludf.DUMMYFUNCTION("""COMPUTED_VALUE"""),0.473154362416107)</f>
        <v>0.4731543624</v>
      </c>
      <c r="O155" s="8">
        <f>IFERROR(__xludf.DUMMYFUNCTION("""COMPUTED_VALUE"""),0.400337837837837)</f>
        <v>0.4003378378</v>
      </c>
      <c r="P155" s="8">
        <f>IFERROR(__xludf.DUMMYFUNCTION("""COMPUTED_VALUE"""),0.269949066213921)</f>
        <v>0.2699490662</v>
      </c>
      <c r="Q155" s="8">
        <f>IFERROR(__xludf.DUMMYFUNCTION("""COMPUTED_VALUE"""),0.151245551601423)</f>
        <v>0.1512455516</v>
      </c>
      <c r="R155" s="8">
        <f>IFERROR(__xludf.DUMMYFUNCTION("""COMPUTED_VALUE"""),0.105960264900662)</f>
        <v>0.1059602649</v>
      </c>
      <c r="S155" s="8">
        <f>IFERROR(__xludf.DUMMYFUNCTION("""COMPUTED_VALUE"""),0.0)</f>
        <v>0</v>
      </c>
      <c r="T155" s="8">
        <f>IFERROR(__xludf.DUMMYFUNCTION("""COMPUTED_VALUE"""),0.0)</f>
        <v>0</v>
      </c>
      <c r="U155" s="8">
        <f>IFERROR(__xludf.DUMMYFUNCTION("""COMPUTED_VALUE"""),0.0)</f>
        <v>0</v>
      </c>
      <c r="V155" s="8">
        <f>IFERROR(__xludf.DUMMYFUNCTION("""COMPUTED_VALUE"""),0.0)</f>
        <v>0</v>
      </c>
      <c r="W155" s="8">
        <f>IFERROR(__xludf.DUMMYFUNCTION("""COMPUTED_VALUE"""),0.0)</f>
        <v>0</v>
      </c>
      <c r="X155" s="8">
        <f>IFERROR(__xludf.DUMMYFUNCTION("""COMPUTED_VALUE"""),0.0)</f>
        <v>0</v>
      </c>
      <c r="Y155" s="8">
        <f>IFERROR(__xludf.DUMMYFUNCTION("""COMPUTED_VALUE"""),0.0)</f>
        <v>0</v>
      </c>
      <c r="Z155" s="8">
        <f>IFERROR(__xludf.DUMMYFUNCTION("""COMPUTED_VALUE"""),0.0)</f>
        <v>0</v>
      </c>
      <c r="AA155" s="8">
        <f>IFERROR(__xludf.DUMMYFUNCTION("""COMPUTED_VALUE"""),0.0)</f>
        <v>0</v>
      </c>
      <c r="AB155" s="8">
        <f>IFERROR(__xludf.DUMMYFUNCTION("""COMPUTED_VALUE"""),0.0)</f>
        <v>0</v>
      </c>
      <c r="AC155" s="8">
        <f>IFERROR(__xludf.DUMMYFUNCTION("""COMPUTED_VALUE"""),0.0)</f>
        <v>0</v>
      </c>
    </row>
    <row r="156" ht="15.75" customHeight="1">
      <c r="A156" s="6" t="str">
        <f>IFERROR(__xludf.DUMMYFUNCTION("""COMPUTED_VALUE"""),"8e3c4698dede52f8548d10d283645c3e3f83c04a")</f>
        <v>8e3c4698dede52f8548d10d283645c3e3f83c04a</v>
      </c>
      <c r="B156" s="6" t="str">
        <f>IFERROR(__xludf.DUMMYFUNCTION("""COMPUTED_VALUE"""),"The Celestial God’s Heir")</f>
        <v>The Celestial God’s Heir</v>
      </c>
      <c r="C156" s="6" t="str">
        <f>IFERROR(__xludf.DUMMYFUNCTION("""COMPUTED_VALUE"""),"Fantasy")</f>
        <v>Fantasy</v>
      </c>
      <c r="D156" s="17">
        <f>IFERROR(__xludf.DUMMYFUNCTION("""COMPUTED_VALUE"""),89.0)</f>
        <v>89</v>
      </c>
      <c r="E156" s="8">
        <f>IFERROR(__xludf.DUMMYFUNCTION("""COMPUTED_VALUE"""),0.977011494252873)</f>
        <v>0.9770114943</v>
      </c>
      <c r="F156" s="8">
        <f>IFERROR(__xludf.DUMMYFUNCTION("""COMPUTED_VALUE"""),0.57471264367816)</f>
        <v>0.5747126437</v>
      </c>
      <c r="G156" s="8">
        <f>IFERROR(__xludf.DUMMYFUNCTION("""COMPUTED_VALUE"""),0.494252873563218)</f>
        <v>0.4942528736</v>
      </c>
      <c r="H156" s="8">
        <f>IFERROR(__xludf.DUMMYFUNCTION("""COMPUTED_VALUE"""),0.451219512195121)</f>
        <v>0.4512195122</v>
      </c>
      <c r="I156" s="8">
        <f>IFERROR(__xludf.DUMMYFUNCTION("""COMPUTED_VALUE"""),0.41025641025641)</f>
        <v>0.4102564103</v>
      </c>
      <c r="J156" s="8">
        <f>IFERROR(__xludf.DUMMYFUNCTION("""COMPUTED_VALUE"""),0.361111111111111)</f>
        <v>0.3611111111</v>
      </c>
      <c r="K156" s="8">
        <f>IFERROR(__xludf.DUMMYFUNCTION("""COMPUTED_VALUE"""),0.36231884057971)</f>
        <v>0.3623188406</v>
      </c>
      <c r="L156" s="8">
        <f>IFERROR(__xludf.DUMMYFUNCTION("""COMPUTED_VALUE"""),0.363636363636363)</f>
        <v>0.3636363636</v>
      </c>
      <c r="M156" s="8">
        <f>IFERROR(__xludf.DUMMYFUNCTION("""COMPUTED_VALUE"""),0.363636363636363)</f>
        <v>0.3636363636</v>
      </c>
      <c r="N156" s="8">
        <f>IFERROR(__xludf.DUMMYFUNCTION("""COMPUTED_VALUE"""),0.316666666666666)</f>
        <v>0.3166666667</v>
      </c>
      <c r="O156" s="8">
        <f>IFERROR(__xludf.DUMMYFUNCTION("""COMPUTED_VALUE"""),0.0)</f>
        <v>0</v>
      </c>
      <c r="P156" s="8">
        <f>IFERROR(__xludf.DUMMYFUNCTION("""COMPUTED_VALUE"""),0.0)</f>
        <v>0</v>
      </c>
      <c r="Q156" s="8">
        <f>IFERROR(__xludf.DUMMYFUNCTION("""COMPUTED_VALUE"""),0.0)</f>
        <v>0</v>
      </c>
      <c r="R156" s="8">
        <f>IFERROR(__xludf.DUMMYFUNCTION("""COMPUTED_VALUE"""),0.0)</f>
        <v>0</v>
      </c>
      <c r="S156" s="8">
        <f>IFERROR(__xludf.DUMMYFUNCTION("""COMPUTED_VALUE"""),0.0)</f>
        <v>0</v>
      </c>
      <c r="T156" s="8">
        <f>IFERROR(__xludf.DUMMYFUNCTION("""COMPUTED_VALUE"""),0.0)</f>
        <v>0</v>
      </c>
      <c r="U156" s="8">
        <f>IFERROR(__xludf.DUMMYFUNCTION("""COMPUTED_VALUE"""),0.0)</f>
        <v>0</v>
      </c>
      <c r="V156" s="8">
        <f>IFERROR(__xludf.DUMMYFUNCTION("""COMPUTED_VALUE"""),0.0)</f>
        <v>0</v>
      </c>
      <c r="W156" s="8">
        <f>IFERROR(__xludf.DUMMYFUNCTION("""COMPUTED_VALUE"""),0.0)</f>
        <v>0</v>
      </c>
      <c r="X156" s="8">
        <f>IFERROR(__xludf.DUMMYFUNCTION("""COMPUTED_VALUE"""),0.0)</f>
        <v>0</v>
      </c>
      <c r="Y156" s="8">
        <f>IFERROR(__xludf.DUMMYFUNCTION("""COMPUTED_VALUE"""),0.0)</f>
        <v>0</v>
      </c>
      <c r="Z156" s="8">
        <f>IFERROR(__xludf.DUMMYFUNCTION("""COMPUTED_VALUE"""),0.0)</f>
        <v>0</v>
      </c>
      <c r="AA156" s="8">
        <f>IFERROR(__xludf.DUMMYFUNCTION("""COMPUTED_VALUE"""),0.0)</f>
        <v>0</v>
      </c>
      <c r="AB156" s="8">
        <f>IFERROR(__xludf.DUMMYFUNCTION("""COMPUTED_VALUE"""),0.0)</f>
        <v>0</v>
      </c>
      <c r="AC156" s="8">
        <f>IFERROR(__xludf.DUMMYFUNCTION("""COMPUTED_VALUE"""),0.0)</f>
        <v>0</v>
      </c>
    </row>
    <row r="157" ht="15.75" customHeight="1">
      <c r="A157" s="6" t="str">
        <f>IFERROR(__xludf.DUMMYFUNCTION("""COMPUTED_VALUE"""),"8f0fa62650413483426bef0ac7d66ca7627ab11f")</f>
        <v>8f0fa62650413483426bef0ac7d66ca7627ab11f</v>
      </c>
      <c r="B157" s="6" t="str">
        <f>IFERROR(__xludf.DUMMYFUNCTION("""COMPUTED_VALUE"""),"The Mind Reader: A Son-in-Law’s Revenge")</f>
        <v>The Mind Reader: A Son-in-Law’s Revenge</v>
      </c>
      <c r="C157" s="6" t="str">
        <f>IFERROR(__xludf.DUMMYFUNCTION("""COMPUTED_VALUE"""),"Drama")</f>
        <v>Drama</v>
      </c>
      <c r="D157" s="17">
        <f>IFERROR(__xludf.DUMMYFUNCTION("""COMPUTED_VALUE"""),679.0)</f>
        <v>679</v>
      </c>
      <c r="E157" s="8">
        <f>IFERROR(__xludf.DUMMYFUNCTION("""COMPUTED_VALUE"""),0.960848287112561)</f>
        <v>0.9608482871</v>
      </c>
      <c r="F157" s="8">
        <f>IFERROR(__xludf.DUMMYFUNCTION("""COMPUTED_VALUE"""),0.72255489021956)</f>
        <v>0.7225548902</v>
      </c>
      <c r="G157" s="8">
        <f>IFERROR(__xludf.DUMMYFUNCTION("""COMPUTED_VALUE"""),0.608315098468271)</f>
        <v>0.6083150985</v>
      </c>
      <c r="H157" s="8">
        <f>IFERROR(__xludf.DUMMYFUNCTION("""COMPUTED_VALUE"""),0.571428571428571)</f>
        <v>0.5714285714</v>
      </c>
      <c r="I157" s="8">
        <f>IFERROR(__xludf.DUMMYFUNCTION("""COMPUTED_VALUE"""),0.508474576271186)</f>
        <v>0.5084745763</v>
      </c>
      <c r="J157" s="8">
        <f>IFERROR(__xludf.DUMMYFUNCTION("""COMPUTED_VALUE"""),0.462469733656174)</f>
        <v>0.4624697337</v>
      </c>
      <c r="K157" s="8">
        <f>IFERROR(__xludf.DUMMYFUNCTION("""COMPUTED_VALUE"""),0.430992736077481)</f>
        <v>0.4309927361</v>
      </c>
      <c r="L157" s="8">
        <f>IFERROR(__xludf.DUMMYFUNCTION("""COMPUTED_VALUE"""),0.389830508474576)</f>
        <v>0.3898305085</v>
      </c>
      <c r="M157" s="8">
        <f>IFERROR(__xludf.DUMMYFUNCTION("""COMPUTED_VALUE"""),0.384987893462469)</f>
        <v>0.3849878935</v>
      </c>
      <c r="N157" s="8">
        <f>IFERROR(__xludf.DUMMYFUNCTION("""COMPUTED_VALUE"""),0.349514563106796)</f>
        <v>0.3495145631</v>
      </c>
      <c r="O157" s="8">
        <f>IFERROR(__xludf.DUMMYFUNCTION("""COMPUTED_VALUE"""),0.317961165048543)</f>
        <v>0.317961165</v>
      </c>
      <c r="P157" s="8">
        <f>IFERROR(__xludf.DUMMYFUNCTION("""COMPUTED_VALUE"""),0.235436893203883)</f>
        <v>0.2354368932</v>
      </c>
      <c r="Q157" s="8">
        <f>IFERROR(__xludf.DUMMYFUNCTION("""COMPUTED_VALUE"""),0.0684596577017114)</f>
        <v>0.0684596577</v>
      </c>
      <c r="R157" s="8">
        <f>IFERROR(__xludf.DUMMYFUNCTION("""COMPUTED_VALUE"""),0.0317848410757946)</f>
        <v>0.03178484108</v>
      </c>
      <c r="S157" s="8">
        <f>IFERROR(__xludf.DUMMYFUNCTION("""COMPUTED_VALUE"""),0.0)</f>
        <v>0</v>
      </c>
      <c r="T157" s="8">
        <f>IFERROR(__xludf.DUMMYFUNCTION("""COMPUTED_VALUE"""),0.0)</f>
        <v>0</v>
      </c>
      <c r="U157" s="8">
        <f>IFERROR(__xludf.DUMMYFUNCTION("""COMPUTED_VALUE"""),0.0)</f>
        <v>0</v>
      </c>
      <c r="V157" s="8">
        <f>IFERROR(__xludf.DUMMYFUNCTION("""COMPUTED_VALUE"""),0.0)</f>
        <v>0</v>
      </c>
      <c r="W157" s="8">
        <f>IFERROR(__xludf.DUMMYFUNCTION("""COMPUTED_VALUE"""),0.0)</f>
        <v>0</v>
      </c>
      <c r="X157" s="8">
        <f>IFERROR(__xludf.DUMMYFUNCTION("""COMPUTED_VALUE"""),0.0)</f>
        <v>0</v>
      </c>
      <c r="Y157" s="8">
        <f>IFERROR(__xludf.DUMMYFUNCTION("""COMPUTED_VALUE"""),0.0)</f>
        <v>0</v>
      </c>
      <c r="Z157" s="8">
        <f>IFERROR(__xludf.DUMMYFUNCTION("""COMPUTED_VALUE"""),0.0)</f>
        <v>0</v>
      </c>
      <c r="AA157" s="8">
        <f>IFERROR(__xludf.DUMMYFUNCTION("""COMPUTED_VALUE"""),0.0)</f>
        <v>0</v>
      </c>
      <c r="AB157" s="8">
        <f>IFERROR(__xludf.DUMMYFUNCTION("""COMPUTED_VALUE"""),0.0)</f>
        <v>0</v>
      </c>
      <c r="AC157" s="8">
        <f>IFERROR(__xludf.DUMMYFUNCTION("""COMPUTED_VALUE"""),0.0)</f>
        <v>0</v>
      </c>
    </row>
    <row r="158" ht="15.75" customHeight="1">
      <c r="A158" s="6" t="str">
        <f>IFERROR(__xludf.DUMMYFUNCTION("""COMPUTED_VALUE"""),"8f9097f70a41e0a3a637a3eb2b6551e036eb16b7")</f>
        <v>8f9097f70a41e0a3a637a3eb2b6551e036eb16b7</v>
      </c>
      <c r="B158" s="6" t="str">
        <f>IFERROR(__xludf.DUMMYFUNCTION("""COMPUTED_VALUE"""),"The Devine Root")</f>
        <v>The Devine Root</v>
      </c>
      <c r="C158" s="6" t="str">
        <f>IFERROR(__xludf.DUMMYFUNCTION("""COMPUTED_VALUE"""),"Fantasy")</f>
        <v>Fantasy</v>
      </c>
      <c r="D158" s="17">
        <f>IFERROR(__xludf.DUMMYFUNCTION("""COMPUTED_VALUE"""),161.0)</f>
        <v>161</v>
      </c>
      <c r="E158" s="8">
        <f>IFERROR(__xludf.DUMMYFUNCTION("""COMPUTED_VALUE"""),1.0)</f>
        <v>1</v>
      </c>
      <c r="F158" s="8">
        <f>IFERROR(__xludf.DUMMYFUNCTION("""COMPUTED_VALUE"""),0.5)</f>
        <v>0.5</v>
      </c>
      <c r="G158" s="8">
        <f>IFERROR(__xludf.DUMMYFUNCTION("""COMPUTED_VALUE"""),0.5)</f>
        <v>0.5</v>
      </c>
      <c r="H158" s="8">
        <f>IFERROR(__xludf.DUMMYFUNCTION("""COMPUTED_VALUE"""),0.5)</f>
        <v>0.5</v>
      </c>
      <c r="I158" s="8">
        <f>IFERROR(__xludf.DUMMYFUNCTION("""COMPUTED_VALUE"""),0.25)</f>
        <v>0.25</v>
      </c>
      <c r="J158" s="8">
        <f>IFERROR(__xludf.DUMMYFUNCTION("""COMPUTED_VALUE"""),0.5)</f>
        <v>0.5</v>
      </c>
      <c r="K158" s="8">
        <f>IFERROR(__xludf.DUMMYFUNCTION("""COMPUTED_VALUE"""),0.666666666666666)</f>
        <v>0.6666666667</v>
      </c>
      <c r="L158" s="8">
        <f>IFERROR(__xludf.DUMMYFUNCTION("""COMPUTED_VALUE"""),0.666666666666666)</f>
        <v>0.6666666667</v>
      </c>
      <c r="M158" s="8">
        <f>IFERROR(__xludf.DUMMYFUNCTION("""COMPUTED_VALUE"""),0.666666666666666)</f>
        <v>0.6666666667</v>
      </c>
      <c r="N158" s="8">
        <f>IFERROR(__xludf.DUMMYFUNCTION("""COMPUTED_VALUE"""),1.0)</f>
        <v>1</v>
      </c>
      <c r="O158" s="8">
        <f>IFERROR(__xludf.DUMMYFUNCTION("""COMPUTED_VALUE"""),0.0)</f>
        <v>0</v>
      </c>
      <c r="P158" s="8">
        <f>IFERROR(__xludf.DUMMYFUNCTION("""COMPUTED_VALUE"""),0.0)</f>
        <v>0</v>
      </c>
      <c r="Q158" s="8">
        <f>IFERROR(__xludf.DUMMYFUNCTION("""COMPUTED_VALUE"""),0.0)</f>
        <v>0</v>
      </c>
      <c r="R158" s="8">
        <f>IFERROR(__xludf.DUMMYFUNCTION("""COMPUTED_VALUE"""),0.0)</f>
        <v>0</v>
      </c>
      <c r="S158" s="8">
        <f>IFERROR(__xludf.DUMMYFUNCTION("""COMPUTED_VALUE"""),0.0)</f>
        <v>0</v>
      </c>
      <c r="T158" s="8">
        <f>IFERROR(__xludf.DUMMYFUNCTION("""COMPUTED_VALUE"""),0.0)</f>
        <v>0</v>
      </c>
      <c r="U158" s="8">
        <f>IFERROR(__xludf.DUMMYFUNCTION("""COMPUTED_VALUE"""),0.0)</f>
        <v>0</v>
      </c>
      <c r="V158" s="8">
        <f>IFERROR(__xludf.DUMMYFUNCTION("""COMPUTED_VALUE"""),0.0)</f>
        <v>0</v>
      </c>
      <c r="W158" s="8">
        <f>IFERROR(__xludf.DUMMYFUNCTION("""COMPUTED_VALUE"""),0.0)</f>
        <v>0</v>
      </c>
      <c r="X158" s="8">
        <f>IFERROR(__xludf.DUMMYFUNCTION("""COMPUTED_VALUE"""),0.0)</f>
        <v>0</v>
      </c>
      <c r="Y158" s="8">
        <f>IFERROR(__xludf.DUMMYFUNCTION("""COMPUTED_VALUE"""),0.0)</f>
        <v>0</v>
      </c>
      <c r="Z158" s="8">
        <f>IFERROR(__xludf.DUMMYFUNCTION("""COMPUTED_VALUE"""),0.0)</f>
        <v>0</v>
      </c>
      <c r="AA158" s="8">
        <f>IFERROR(__xludf.DUMMYFUNCTION("""COMPUTED_VALUE"""),0.0)</f>
        <v>0</v>
      </c>
      <c r="AB158" s="8">
        <f>IFERROR(__xludf.DUMMYFUNCTION("""COMPUTED_VALUE"""),0.0)</f>
        <v>0</v>
      </c>
      <c r="AC158" s="8">
        <f>IFERROR(__xludf.DUMMYFUNCTION("""COMPUTED_VALUE"""),0.0)</f>
        <v>0</v>
      </c>
    </row>
    <row r="159" ht="15.75" customHeight="1">
      <c r="A159" s="6" t="str">
        <f>IFERROR(__xludf.DUMMYFUNCTION("""COMPUTED_VALUE"""),"8fc0fc1659f3b419e6fa13d9cb59b0e57bfec096")</f>
        <v>8fc0fc1659f3b419e6fa13d9cb59b0e57bfec096</v>
      </c>
      <c r="B159" s="6" t="str">
        <f>IFERROR(__xludf.DUMMYFUNCTION("""COMPUTED_VALUE"""),"The Exiled Heir")</f>
        <v>The Exiled Heir</v>
      </c>
      <c r="C159" s="6" t="str">
        <f>IFERROR(__xludf.DUMMYFUNCTION("""COMPUTED_VALUE"""),"Drama")</f>
        <v>Drama</v>
      </c>
      <c r="D159" s="17">
        <f>IFERROR(__xludf.DUMMYFUNCTION("""COMPUTED_VALUE"""),5860.0)</f>
        <v>5860</v>
      </c>
      <c r="E159" s="8">
        <f>IFERROR(__xludf.DUMMYFUNCTION("""COMPUTED_VALUE"""),0.948069695934403)</f>
        <v>0.9480696959</v>
      </c>
      <c r="F159" s="8">
        <f>IFERROR(__xludf.DUMMYFUNCTION("""COMPUTED_VALUE"""),0.683390410958904)</f>
        <v>0.683390411</v>
      </c>
      <c r="G159" s="8">
        <f>IFERROR(__xludf.DUMMYFUNCTION("""COMPUTED_VALUE"""),0.620157696263284)</f>
        <v>0.6201576963</v>
      </c>
      <c r="H159" s="8">
        <f>IFERROR(__xludf.DUMMYFUNCTION("""COMPUTED_VALUE"""),0.58280309544282)</f>
        <v>0.5828030954</v>
      </c>
      <c r="I159" s="8">
        <f>IFERROR(__xludf.DUMMYFUNCTION("""COMPUTED_VALUE"""),0.54393521709166)</f>
        <v>0.5439352171</v>
      </c>
      <c r="J159" s="8">
        <f>IFERROR(__xludf.DUMMYFUNCTION("""COMPUTED_VALUE"""),0.51778314917127)</f>
        <v>0.5177831492</v>
      </c>
      <c r="K159" s="8">
        <f>IFERROR(__xludf.DUMMYFUNCTION("""COMPUTED_VALUE"""),0.486864846180435)</f>
        <v>0.4868648462</v>
      </c>
      <c r="L159" s="8">
        <f>IFERROR(__xludf.DUMMYFUNCTION("""COMPUTED_VALUE"""),0.46802980419338)</f>
        <v>0.4680298042</v>
      </c>
      <c r="M159" s="8">
        <f>IFERROR(__xludf.DUMMYFUNCTION("""COMPUTED_VALUE"""),0.450806871421134)</f>
        <v>0.4508068714</v>
      </c>
      <c r="N159" s="8">
        <f>IFERROR(__xludf.DUMMYFUNCTION("""COMPUTED_VALUE"""),0.43448036148766)</f>
        <v>0.4344803615</v>
      </c>
      <c r="O159" s="8">
        <f>IFERROR(__xludf.DUMMYFUNCTION("""COMPUTED_VALUE"""),0.399684044233807)</f>
        <v>0.3996840442</v>
      </c>
      <c r="P159" s="8">
        <f>IFERROR(__xludf.DUMMYFUNCTION("""COMPUTED_VALUE"""),0.315733143061006)</f>
        <v>0.3157331431</v>
      </c>
      <c r="Q159" s="8">
        <f>IFERROR(__xludf.DUMMYFUNCTION("""COMPUTED_VALUE"""),0.213311209439528)</f>
        <v>0.2133112094</v>
      </c>
      <c r="R159" s="8">
        <f>IFERROR(__xludf.DUMMYFUNCTION("""COMPUTED_VALUE"""),0.147524946194482)</f>
        <v>0.1475249462</v>
      </c>
      <c r="S159" s="8">
        <f>IFERROR(__xludf.DUMMYFUNCTION("""COMPUTED_VALUE"""),0.125724637681159)</f>
        <v>0.1257246377</v>
      </c>
      <c r="T159" s="8">
        <f>IFERROR(__xludf.DUMMYFUNCTION("""COMPUTED_VALUE"""),0.0763535400277649)</f>
        <v>0.07635354003</v>
      </c>
      <c r="U159" s="8">
        <f>IFERROR(__xludf.DUMMYFUNCTION("""COMPUTED_VALUE"""),0.0)</f>
        <v>0</v>
      </c>
      <c r="V159" s="8">
        <f>IFERROR(__xludf.DUMMYFUNCTION("""COMPUTED_VALUE"""),0.0)</f>
        <v>0</v>
      </c>
      <c r="W159" s="8">
        <f>IFERROR(__xludf.DUMMYFUNCTION("""COMPUTED_VALUE"""),0.0)</f>
        <v>0</v>
      </c>
      <c r="X159" s="8">
        <f>IFERROR(__xludf.DUMMYFUNCTION("""COMPUTED_VALUE"""),0.0)</f>
        <v>0</v>
      </c>
      <c r="Y159" s="8">
        <f>IFERROR(__xludf.DUMMYFUNCTION("""COMPUTED_VALUE"""),0.0)</f>
        <v>0</v>
      </c>
      <c r="Z159" s="8">
        <f>IFERROR(__xludf.DUMMYFUNCTION("""COMPUTED_VALUE"""),0.0)</f>
        <v>0</v>
      </c>
      <c r="AA159" s="8">
        <f>IFERROR(__xludf.DUMMYFUNCTION("""COMPUTED_VALUE"""),0.0)</f>
        <v>0</v>
      </c>
      <c r="AB159" s="8">
        <f>IFERROR(__xludf.DUMMYFUNCTION("""COMPUTED_VALUE"""),0.0)</f>
        <v>0</v>
      </c>
      <c r="AC159" s="8">
        <f>IFERROR(__xludf.DUMMYFUNCTION("""COMPUTED_VALUE"""),0.0)</f>
        <v>0</v>
      </c>
    </row>
    <row r="160" ht="15.75" customHeight="1">
      <c r="A160" s="6" t="str">
        <f>IFERROR(__xludf.DUMMYFUNCTION("""COMPUTED_VALUE"""),"9187815245dbab381e06e99b89e34db3f811e066")</f>
        <v>9187815245dbab381e06e99b89e34db3f811e066</v>
      </c>
      <c r="B160" s="6" t="str">
        <f>IFERROR(__xludf.DUMMYFUNCTION("""COMPUTED_VALUE"""),"Billionaire's Pursuit")</f>
        <v>Billionaire's Pursuit</v>
      </c>
      <c r="C160" s="6" t="str">
        <f>IFERROR(__xludf.DUMMYFUNCTION("""COMPUTED_VALUE"""),"Romance")</f>
        <v>Romance</v>
      </c>
      <c r="D160" s="17">
        <f>IFERROR(__xludf.DUMMYFUNCTION("""COMPUTED_VALUE"""),161.0)</f>
        <v>161</v>
      </c>
      <c r="E160" s="8">
        <f>IFERROR(__xludf.DUMMYFUNCTION("""COMPUTED_VALUE"""),0.961038961038961)</f>
        <v>0.961038961</v>
      </c>
      <c r="F160" s="8">
        <f>IFERROR(__xludf.DUMMYFUNCTION("""COMPUTED_VALUE"""),0.478873239436619)</f>
        <v>0.4788732394</v>
      </c>
      <c r="G160" s="8">
        <f>IFERROR(__xludf.DUMMYFUNCTION("""COMPUTED_VALUE"""),0.433070866141732)</f>
        <v>0.4330708661</v>
      </c>
      <c r="H160" s="8">
        <f>IFERROR(__xludf.DUMMYFUNCTION("""COMPUTED_VALUE"""),0.407407407407407)</f>
        <v>0.4074074074</v>
      </c>
      <c r="I160" s="8">
        <f>IFERROR(__xludf.DUMMYFUNCTION("""COMPUTED_VALUE"""),0.378640776699029)</f>
        <v>0.3786407767</v>
      </c>
      <c r="J160" s="8">
        <f>IFERROR(__xludf.DUMMYFUNCTION("""COMPUTED_VALUE"""),0.310679611650485)</f>
        <v>0.3106796117</v>
      </c>
      <c r="K160" s="8">
        <f>IFERROR(__xludf.DUMMYFUNCTION("""COMPUTED_VALUE"""),0.320388349514563)</f>
        <v>0.3203883495</v>
      </c>
      <c r="L160" s="8">
        <f>IFERROR(__xludf.DUMMYFUNCTION("""COMPUTED_VALUE"""),0.339805825242718)</f>
        <v>0.3398058252</v>
      </c>
      <c r="M160" s="8">
        <f>IFERROR(__xludf.DUMMYFUNCTION("""COMPUTED_VALUE"""),0.262135922330097)</f>
        <v>0.2621359223</v>
      </c>
      <c r="N160" s="8">
        <f>IFERROR(__xludf.DUMMYFUNCTION("""COMPUTED_VALUE"""),0.252427184466019)</f>
        <v>0.2524271845</v>
      </c>
      <c r="O160" s="8">
        <f>IFERROR(__xludf.DUMMYFUNCTION("""COMPUTED_VALUE"""),0.239130434782608)</f>
        <v>0.2391304348</v>
      </c>
      <c r="P160" s="8">
        <f>IFERROR(__xludf.DUMMYFUNCTION("""COMPUTED_VALUE"""),0.0769230769230769)</f>
        <v>0.07692307692</v>
      </c>
      <c r="Q160" s="8">
        <f>IFERROR(__xludf.DUMMYFUNCTION("""COMPUTED_VALUE"""),0.0)</f>
        <v>0</v>
      </c>
      <c r="R160" s="8">
        <f>IFERROR(__xludf.DUMMYFUNCTION("""COMPUTED_VALUE"""),0.0)</f>
        <v>0</v>
      </c>
      <c r="S160" s="8">
        <f>IFERROR(__xludf.DUMMYFUNCTION("""COMPUTED_VALUE"""),0.0)</f>
        <v>0</v>
      </c>
      <c r="T160" s="8">
        <f>IFERROR(__xludf.DUMMYFUNCTION("""COMPUTED_VALUE"""),0.0)</f>
        <v>0</v>
      </c>
      <c r="U160" s="8">
        <f>IFERROR(__xludf.DUMMYFUNCTION("""COMPUTED_VALUE"""),0.0)</f>
        <v>0</v>
      </c>
      <c r="V160" s="8">
        <f>IFERROR(__xludf.DUMMYFUNCTION("""COMPUTED_VALUE"""),0.0)</f>
        <v>0</v>
      </c>
      <c r="W160" s="8">
        <f>IFERROR(__xludf.DUMMYFUNCTION("""COMPUTED_VALUE"""),0.0)</f>
        <v>0</v>
      </c>
      <c r="X160" s="8">
        <f>IFERROR(__xludf.DUMMYFUNCTION("""COMPUTED_VALUE"""),0.0)</f>
        <v>0</v>
      </c>
      <c r="Y160" s="8">
        <f>IFERROR(__xludf.DUMMYFUNCTION("""COMPUTED_VALUE"""),0.0)</f>
        <v>0</v>
      </c>
      <c r="Z160" s="8">
        <f>IFERROR(__xludf.DUMMYFUNCTION("""COMPUTED_VALUE"""),0.0)</f>
        <v>0</v>
      </c>
      <c r="AA160" s="8">
        <f>IFERROR(__xludf.DUMMYFUNCTION("""COMPUTED_VALUE"""),0.0)</f>
        <v>0</v>
      </c>
      <c r="AB160" s="8">
        <f>IFERROR(__xludf.DUMMYFUNCTION("""COMPUTED_VALUE"""),0.0)</f>
        <v>0</v>
      </c>
      <c r="AC160" s="8">
        <f>IFERROR(__xludf.DUMMYFUNCTION("""COMPUTED_VALUE"""),0.0)</f>
        <v>0</v>
      </c>
    </row>
    <row r="161" ht="15.75" customHeight="1">
      <c r="A161" s="6" t="str">
        <f>IFERROR(__xludf.DUMMYFUNCTION("""COMPUTED_VALUE"""),"91df72ab8ef7c2a2797ba2a98264b6e4037cebc4")</f>
        <v>91df72ab8ef7c2a2797ba2a98264b6e4037cebc4</v>
      </c>
      <c r="B161" s="6" t="str">
        <f>IFERROR(__xludf.DUMMYFUNCTION("""COMPUTED_VALUE"""),"The Upgrade Gamer")</f>
        <v>The Upgrade Gamer</v>
      </c>
      <c r="C161" s="6" t="str">
        <f>IFERROR(__xludf.DUMMYFUNCTION("""COMPUTED_VALUE"""),"System and Superpower")</f>
        <v>System and Superpower</v>
      </c>
      <c r="D161" s="17">
        <f>IFERROR(__xludf.DUMMYFUNCTION("""COMPUTED_VALUE"""),635.0)</f>
        <v>635</v>
      </c>
      <c r="E161" s="8">
        <f>IFERROR(__xludf.DUMMYFUNCTION("""COMPUTED_VALUE"""),0.992113564668769)</f>
        <v>0.9921135647</v>
      </c>
      <c r="F161" s="8">
        <f>IFERROR(__xludf.DUMMYFUNCTION("""COMPUTED_VALUE"""),0.667194928684627)</f>
        <v>0.6671949287</v>
      </c>
      <c r="G161" s="8">
        <f>IFERROR(__xludf.DUMMYFUNCTION("""COMPUTED_VALUE"""),0.553259141494435)</f>
        <v>0.5532591415</v>
      </c>
      <c r="H161" s="8">
        <f>IFERROR(__xludf.DUMMYFUNCTION("""COMPUTED_VALUE"""),0.4896)</f>
        <v>0.4896</v>
      </c>
      <c r="I161" s="8">
        <f>IFERROR(__xludf.DUMMYFUNCTION("""COMPUTED_VALUE"""),0.448)</f>
        <v>0.448</v>
      </c>
      <c r="J161" s="8">
        <f>IFERROR(__xludf.DUMMYFUNCTION("""COMPUTED_VALUE"""),0.420032310177706)</f>
        <v>0.4200323102</v>
      </c>
      <c r="K161" s="8">
        <f>IFERROR(__xludf.DUMMYFUNCTION("""COMPUTED_VALUE"""),0.400651465798045)</f>
        <v>0.4006514658</v>
      </c>
      <c r="L161" s="8">
        <f>IFERROR(__xludf.DUMMYFUNCTION("""COMPUTED_VALUE"""),0.361842105263157)</f>
        <v>0.3618421053</v>
      </c>
      <c r="M161" s="8">
        <f>IFERROR(__xludf.DUMMYFUNCTION("""COMPUTED_VALUE"""),0.31719532554257)</f>
        <v>0.3171953255</v>
      </c>
      <c r="N161" s="8">
        <f>IFERROR(__xludf.DUMMYFUNCTION("""COMPUTED_VALUE"""),0.309782608695652)</f>
        <v>0.3097826087</v>
      </c>
      <c r="O161" s="8">
        <f>IFERROR(__xludf.DUMMYFUNCTION("""COMPUTED_VALUE"""),0.222222222222222)</f>
        <v>0.2222222222</v>
      </c>
      <c r="P161" s="8">
        <f>IFERROR(__xludf.DUMMYFUNCTION("""COMPUTED_VALUE"""),0.2)</f>
        <v>0.2</v>
      </c>
      <c r="Q161" s="8">
        <f>IFERROR(__xludf.DUMMYFUNCTION("""COMPUTED_VALUE"""),0.0)</f>
        <v>0</v>
      </c>
      <c r="R161" s="8">
        <f>IFERROR(__xludf.DUMMYFUNCTION("""COMPUTED_VALUE"""),0.0)</f>
        <v>0</v>
      </c>
      <c r="S161" s="8">
        <f>IFERROR(__xludf.DUMMYFUNCTION("""COMPUTED_VALUE"""),0.0)</f>
        <v>0</v>
      </c>
      <c r="T161" s="8">
        <f>IFERROR(__xludf.DUMMYFUNCTION("""COMPUTED_VALUE"""),0.0)</f>
        <v>0</v>
      </c>
      <c r="U161" s="8">
        <f>IFERROR(__xludf.DUMMYFUNCTION("""COMPUTED_VALUE"""),0.0)</f>
        <v>0</v>
      </c>
      <c r="V161" s="8">
        <f>IFERROR(__xludf.DUMMYFUNCTION("""COMPUTED_VALUE"""),0.0)</f>
        <v>0</v>
      </c>
      <c r="W161" s="8">
        <f>IFERROR(__xludf.DUMMYFUNCTION("""COMPUTED_VALUE"""),0.0)</f>
        <v>0</v>
      </c>
      <c r="X161" s="8">
        <f>IFERROR(__xludf.DUMMYFUNCTION("""COMPUTED_VALUE"""),0.0)</f>
        <v>0</v>
      </c>
      <c r="Y161" s="8">
        <f>IFERROR(__xludf.DUMMYFUNCTION("""COMPUTED_VALUE"""),0.0)</f>
        <v>0</v>
      </c>
      <c r="Z161" s="8">
        <f>IFERROR(__xludf.DUMMYFUNCTION("""COMPUTED_VALUE"""),0.0)</f>
        <v>0</v>
      </c>
      <c r="AA161" s="8">
        <f>IFERROR(__xludf.DUMMYFUNCTION("""COMPUTED_VALUE"""),0.0)</f>
        <v>0</v>
      </c>
      <c r="AB161" s="8">
        <f>IFERROR(__xludf.DUMMYFUNCTION("""COMPUTED_VALUE"""),0.0)</f>
        <v>0</v>
      </c>
      <c r="AC161" s="8">
        <f>IFERROR(__xludf.DUMMYFUNCTION("""COMPUTED_VALUE"""),0.0)</f>
        <v>0</v>
      </c>
    </row>
    <row r="162" ht="15.75" customHeight="1">
      <c r="A162" s="6" t="str">
        <f>IFERROR(__xludf.DUMMYFUNCTION("""COMPUTED_VALUE"""),"9236a79ea4f06488372a41ebcc7a4f0fbfc7b1c3")</f>
        <v>9236a79ea4f06488372a41ebcc7a4f0fbfc7b1c3</v>
      </c>
      <c r="B162" s="6" t="str">
        <f>IFERROR(__xludf.DUMMYFUNCTION("""COMPUTED_VALUE"""),"King of Mercenaries")</f>
        <v>King of Mercenaries</v>
      </c>
      <c r="C162" s="6" t="str">
        <f>IFERROR(__xludf.DUMMYFUNCTION("""COMPUTED_VALUE"""),"Suspense or Thriller")</f>
        <v>Suspense or Thriller</v>
      </c>
      <c r="D162" s="17">
        <f>IFERROR(__xludf.DUMMYFUNCTION("""COMPUTED_VALUE"""),76.0)</f>
        <v>76</v>
      </c>
      <c r="E162" s="8">
        <f>IFERROR(__xludf.DUMMYFUNCTION("""COMPUTED_VALUE"""),1.0)</f>
        <v>1</v>
      </c>
      <c r="F162" s="8">
        <f>IFERROR(__xludf.DUMMYFUNCTION("""COMPUTED_VALUE"""),0.343283582089552)</f>
        <v>0.3432835821</v>
      </c>
      <c r="G162" s="8">
        <f>IFERROR(__xludf.DUMMYFUNCTION("""COMPUTED_VALUE"""),0.354838709677419)</f>
        <v>0.3548387097</v>
      </c>
      <c r="H162" s="8">
        <f>IFERROR(__xludf.DUMMYFUNCTION("""COMPUTED_VALUE"""),0.285714285714285)</f>
        <v>0.2857142857</v>
      </c>
      <c r="I162" s="8">
        <f>IFERROR(__xludf.DUMMYFUNCTION("""COMPUTED_VALUE"""),0.227272727272727)</f>
        <v>0.2272727273</v>
      </c>
      <c r="J162" s="8">
        <f>IFERROR(__xludf.DUMMYFUNCTION("""COMPUTED_VALUE"""),0.184210526315789)</f>
        <v>0.1842105263</v>
      </c>
      <c r="K162" s="8">
        <f>IFERROR(__xludf.DUMMYFUNCTION("""COMPUTED_VALUE"""),0.166666666666666)</f>
        <v>0.1666666667</v>
      </c>
      <c r="L162" s="8">
        <f>IFERROR(__xludf.DUMMYFUNCTION("""COMPUTED_VALUE"""),0.0769230769230769)</f>
        <v>0.07692307692</v>
      </c>
      <c r="M162" s="8">
        <f>IFERROR(__xludf.DUMMYFUNCTION("""COMPUTED_VALUE"""),0.0909090909090909)</f>
        <v>0.09090909091</v>
      </c>
      <c r="N162" s="8">
        <f>IFERROR(__xludf.DUMMYFUNCTION("""COMPUTED_VALUE"""),0.0769230769230769)</f>
        <v>0.07692307692</v>
      </c>
      <c r="O162" s="8">
        <f>IFERROR(__xludf.DUMMYFUNCTION("""COMPUTED_VALUE"""),0.0)</f>
        <v>0</v>
      </c>
      <c r="P162" s="8">
        <f>IFERROR(__xludf.DUMMYFUNCTION("""COMPUTED_VALUE"""),0.0)</f>
        <v>0</v>
      </c>
      <c r="Q162" s="8">
        <f>IFERROR(__xludf.DUMMYFUNCTION("""COMPUTED_VALUE"""),0.0)</f>
        <v>0</v>
      </c>
      <c r="R162" s="8">
        <f>IFERROR(__xludf.DUMMYFUNCTION("""COMPUTED_VALUE"""),0.0)</f>
        <v>0</v>
      </c>
      <c r="S162" s="8">
        <f>IFERROR(__xludf.DUMMYFUNCTION("""COMPUTED_VALUE"""),0.0)</f>
        <v>0</v>
      </c>
      <c r="T162" s="8">
        <f>IFERROR(__xludf.DUMMYFUNCTION("""COMPUTED_VALUE"""),0.0)</f>
        <v>0</v>
      </c>
      <c r="U162" s="8">
        <f>IFERROR(__xludf.DUMMYFUNCTION("""COMPUTED_VALUE"""),0.0)</f>
        <v>0</v>
      </c>
      <c r="V162" s="8">
        <f>IFERROR(__xludf.DUMMYFUNCTION("""COMPUTED_VALUE"""),0.0)</f>
        <v>0</v>
      </c>
      <c r="W162" s="8">
        <f>IFERROR(__xludf.DUMMYFUNCTION("""COMPUTED_VALUE"""),0.0)</f>
        <v>0</v>
      </c>
      <c r="X162" s="8">
        <f>IFERROR(__xludf.DUMMYFUNCTION("""COMPUTED_VALUE"""),0.0)</f>
        <v>0</v>
      </c>
      <c r="Y162" s="8">
        <f>IFERROR(__xludf.DUMMYFUNCTION("""COMPUTED_VALUE"""),0.0)</f>
        <v>0</v>
      </c>
      <c r="Z162" s="8">
        <f>IFERROR(__xludf.DUMMYFUNCTION("""COMPUTED_VALUE"""),0.0)</f>
        <v>0</v>
      </c>
      <c r="AA162" s="8">
        <f>IFERROR(__xludf.DUMMYFUNCTION("""COMPUTED_VALUE"""),0.0)</f>
        <v>0</v>
      </c>
      <c r="AB162" s="8">
        <f>IFERROR(__xludf.DUMMYFUNCTION("""COMPUTED_VALUE"""),0.0)</f>
        <v>0</v>
      </c>
      <c r="AC162" s="8">
        <f>IFERROR(__xludf.DUMMYFUNCTION("""COMPUTED_VALUE"""),0.0)</f>
        <v>0</v>
      </c>
    </row>
    <row r="163" ht="15.75" customHeight="1">
      <c r="A163" s="6" t="str">
        <f>IFERROR(__xludf.DUMMYFUNCTION("""COMPUTED_VALUE"""),"94d808231f41a64988f80a2739e6a748f1278c28")</f>
        <v>94d808231f41a64988f80a2739e6a748f1278c28</v>
      </c>
      <c r="B163" s="6" t="str">
        <f>IFERROR(__xludf.DUMMYFUNCTION("""COMPUTED_VALUE"""),"My Amazing Husband's Life")</f>
        <v>My Amazing Husband's Life</v>
      </c>
      <c r="C163" s="6" t="str">
        <f>IFERROR(__xludf.DUMMYFUNCTION("""COMPUTED_VALUE"""),"Drama")</f>
        <v>Drama</v>
      </c>
      <c r="D163" s="17">
        <f>IFERROR(__xludf.DUMMYFUNCTION("""COMPUTED_VALUE"""),435.0)</f>
        <v>435</v>
      </c>
      <c r="E163" s="8">
        <f>IFERROR(__xludf.DUMMYFUNCTION("""COMPUTED_VALUE"""),0.979695431472081)</f>
        <v>0.9796954315</v>
      </c>
      <c r="F163" s="8">
        <f>IFERROR(__xludf.DUMMYFUNCTION("""COMPUTED_VALUE"""),0.564383561643835)</f>
        <v>0.5643835616</v>
      </c>
      <c r="G163" s="8">
        <f>IFERROR(__xludf.DUMMYFUNCTION("""COMPUTED_VALUE"""),0.48695652173913)</f>
        <v>0.4869565217</v>
      </c>
      <c r="H163" s="8">
        <f>IFERROR(__xludf.DUMMYFUNCTION("""COMPUTED_VALUE"""),0.43598615916955)</f>
        <v>0.4359861592</v>
      </c>
      <c r="I163" s="8">
        <f>IFERROR(__xludf.DUMMYFUNCTION("""COMPUTED_VALUE"""),0.391634980988593)</f>
        <v>0.391634981</v>
      </c>
      <c r="J163" s="8">
        <f>IFERROR(__xludf.DUMMYFUNCTION("""COMPUTED_VALUE"""),0.371794871794871)</f>
        <v>0.3717948718</v>
      </c>
      <c r="K163" s="8">
        <f>IFERROR(__xludf.DUMMYFUNCTION("""COMPUTED_VALUE"""),0.347031963470319)</f>
        <v>0.3470319635</v>
      </c>
      <c r="L163" s="8">
        <f>IFERROR(__xludf.DUMMYFUNCTION("""COMPUTED_VALUE"""),0.325966850828729)</f>
        <v>0.3259668508</v>
      </c>
      <c r="M163" s="8">
        <f>IFERROR(__xludf.DUMMYFUNCTION("""COMPUTED_VALUE"""),0.310126582278481)</f>
        <v>0.3101265823</v>
      </c>
      <c r="N163" s="8">
        <f>IFERROR(__xludf.DUMMYFUNCTION("""COMPUTED_VALUE"""),0.330882352941176)</f>
        <v>0.3308823529</v>
      </c>
      <c r="O163" s="8">
        <f>IFERROR(__xludf.DUMMYFUNCTION("""COMPUTED_VALUE"""),0.283018867924528)</f>
        <v>0.2830188679</v>
      </c>
      <c r="P163" s="8">
        <f>IFERROR(__xludf.DUMMYFUNCTION("""COMPUTED_VALUE"""),0.245283018867924)</f>
        <v>0.2452830189</v>
      </c>
      <c r="Q163" s="8">
        <f>IFERROR(__xludf.DUMMYFUNCTION("""COMPUTED_VALUE"""),0.0454545454545454)</f>
        <v>0.04545454545</v>
      </c>
      <c r="R163" s="8">
        <f>IFERROR(__xludf.DUMMYFUNCTION("""COMPUTED_VALUE"""),0.0)</f>
        <v>0</v>
      </c>
      <c r="S163" s="8">
        <f>IFERROR(__xludf.DUMMYFUNCTION("""COMPUTED_VALUE"""),0.0)</f>
        <v>0</v>
      </c>
      <c r="T163" s="8">
        <f>IFERROR(__xludf.DUMMYFUNCTION("""COMPUTED_VALUE"""),0.0)</f>
        <v>0</v>
      </c>
      <c r="U163" s="8">
        <f>IFERROR(__xludf.DUMMYFUNCTION("""COMPUTED_VALUE"""),0.0)</f>
        <v>0</v>
      </c>
      <c r="V163" s="8">
        <f>IFERROR(__xludf.DUMMYFUNCTION("""COMPUTED_VALUE"""),0.0)</f>
        <v>0</v>
      </c>
      <c r="W163" s="8">
        <f>IFERROR(__xludf.DUMMYFUNCTION("""COMPUTED_VALUE"""),0.0)</f>
        <v>0</v>
      </c>
      <c r="X163" s="8">
        <f>IFERROR(__xludf.DUMMYFUNCTION("""COMPUTED_VALUE"""),0.0)</f>
        <v>0</v>
      </c>
      <c r="Y163" s="8">
        <f>IFERROR(__xludf.DUMMYFUNCTION("""COMPUTED_VALUE"""),0.0)</f>
        <v>0</v>
      </c>
      <c r="Z163" s="8">
        <f>IFERROR(__xludf.DUMMYFUNCTION("""COMPUTED_VALUE"""),0.0)</f>
        <v>0</v>
      </c>
      <c r="AA163" s="8">
        <f>IFERROR(__xludf.DUMMYFUNCTION("""COMPUTED_VALUE"""),0.0)</f>
        <v>0</v>
      </c>
      <c r="AB163" s="8">
        <f>IFERROR(__xludf.DUMMYFUNCTION("""COMPUTED_VALUE"""),0.0)</f>
        <v>0</v>
      </c>
      <c r="AC163" s="8">
        <f>IFERROR(__xludf.DUMMYFUNCTION("""COMPUTED_VALUE"""),0.0)</f>
        <v>0</v>
      </c>
    </row>
    <row r="164" ht="15.75" customHeight="1">
      <c r="A164" s="6" t="str">
        <f>IFERROR(__xludf.DUMMYFUNCTION("""COMPUTED_VALUE"""),"95cfee76565a1eb0481e08f4f0da75fa4a0cdb74")</f>
        <v>95cfee76565a1eb0481e08f4f0da75fa4a0cdb74</v>
      </c>
      <c r="B164" s="6" t="str">
        <f>IFERROR(__xludf.DUMMYFUNCTION("""COMPUTED_VALUE"""),"Revenge Called Athena")</f>
        <v>Revenge Called Athena</v>
      </c>
      <c r="C164" s="6" t="str">
        <f>IFERROR(__xludf.DUMMYFUNCTION("""COMPUTED_VALUE"""),"Drama")</f>
        <v>Drama</v>
      </c>
      <c r="D164" s="17">
        <f>IFERROR(__xludf.DUMMYFUNCTION("""COMPUTED_VALUE"""),1183.0)</f>
        <v>1183</v>
      </c>
      <c r="E164" s="8">
        <f>IFERROR(__xludf.DUMMYFUNCTION("""COMPUTED_VALUE"""),0.955160744500846)</f>
        <v>0.9551607445</v>
      </c>
      <c r="F164" s="8">
        <f>IFERROR(__xludf.DUMMYFUNCTION("""COMPUTED_VALUE"""),0.713801862828111)</f>
        <v>0.7138018628</v>
      </c>
      <c r="G164" s="8">
        <f>IFERROR(__xludf.DUMMYFUNCTION("""COMPUTED_VALUE"""),0.669771380186282)</f>
        <v>0.6697713802</v>
      </c>
      <c r="H164" s="8">
        <f>IFERROR(__xludf.DUMMYFUNCTION("""COMPUTED_VALUE"""),0.641525423728813)</f>
        <v>0.6415254237</v>
      </c>
      <c r="I164" s="8">
        <f>IFERROR(__xludf.DUMMYFUNCTION("""COMPUTED_VALUE"""),0.619491525423728)</f>
        <v>0.6194915254</v>
      </c>
      <c r="J164" s="8">
        <f>IFERROR(__xludf.DUMMYFUNCTION("""COMPUTED_VALUE"""),0.593696763202725)</f>
        <v>0.5936967632</v>
      </c>
      <c r="K164" s="8">
        <f>IFERROR(__xludf.DUMMYFUNCTION("""COMPUTED_VALUE"""),0.567291311754684)</f>
        <v>0.5672913118</v>
      </c>
      <c r="L164" s="8">
        <f>IFERROR(__xludf.DUMMYFUNCTION("""COMPUTED_VALUE"""),0.539777587681779)</f>
        <v>0.5397775877</v>
      </c>
      <c r="M164" s="8">
        <f>IFERROR(__xludf.DUMMYFUNCTION("""COMPUTED_VALUE"""),0.530017152658662)</f>
        <v>0.5300171527</v>
      </c>
      <c r="N164" s="8">
        <f>IFERROR(__xludf.DUMMYFUNCTION("""COMPUTED_VALUE"""),0.518260869565217)</f>
        <v>0.5182608696</v>
      </c>
      <c r="O164" s="8">
        <f>IFERROR(__xludf.DUMMYFUNCTION("""COMPUTED_VALUE"""),0.522160664819944)</f>
        <v>0.5221606648</v>
      </c>
      <c r="P164" s="8">
        <f>IFERROR(__xludf.DUMMYFUNCTION("""COMPUTED_VALUE"""),0.384397163120567)</f>
        <v>0.3843971631</v>
      </c>
      <c r="Q164" s="8">
        <f>IFERROR(__xludf.DUMMYFUNCTION("""COMPUTED_VALUE"""),0.284892086330935)</f>
        <v>0.2848920863</v>
      </c>
      <c r="R164" s="8">
        <f>IFERROR(__xludf.DUMMYFUNCTION("""COMPUTED_VALUE"""),0.125)</f>
        <v>0.125</v>
      </c>
      <c r="S164" s="8">
        <f>IFERROR(__xludf.DUMMYFUNCTION("""COMPUTED_VALUE"""),0.25)</f>
        <v>0.25</v>
      </c>
      <c r="T164" s="8">
        <f>IFERROR(__xludf.DUMMYFUNCTION("""COMPUTED_VALUE"""),0.0)</f>
        <v>0</v>
      </c>
      <c r="U164" s="8">
        <f>IFERROR(__xludf.DUMMYFUNCTION("""COMPUTED_VALUE"""),0.0)</f>
        <v>0</v>
      </c>
      <c r="V164" s="8">
        <f>IFERROR(__xludf.DUMMYFUNCTION("""COMPUTED_VALUE"""),0.0)</f>
        <v>0</v>
      </c>
      <c r="W164" s="8">
        <f>IFERROR(__xludf.DUMMYFUNCTION("""COMPUTED_VALUE"""),0.0)</f>
        <v>0</v>
      </c>
      <c r="X164" s="8">
        <f>IFERROR(__xludf.DUMMYFUNCTION("""COMPUTED_VALUE"""),0.0)</f>
        <v>0</v>
      </c>
      <c r="Y164" s="8">
        <f>IFERROR(__xludf.DUMMYFUNCTION("""COMPUTED_VALUE"""),0.0)</f>
        <v>0</v>
      </c>
      <c r="Z164" s="8">
        <f>IFERROR(__xludf.DUMMYFUNCTION("""COMPUTED_VALUE"""),0.0)</f>
        <v>0</v>
      </c>
      <c r="AA164" s="8">
        <f>IFERROR(__xludf.DUMMYFUNCTION("""COMPUTED_VALUE"""),0.0)</f>
        <v>0</v>
      </c>
      <c r="AB164" s="8">
        <f>IFERROR(__xludf.DUMMYFUNCTION("""COMPUTED_VALUE"""),0.0)</f>
        <v>0</v>
      </c>
      <c r="AC164" s="8">
        <f>IFERROR(__xludf.DUMMYFUNCTION("""COMPUTED_VALUE"""),0.0)</f>
        <v>0</v>
      </c>
    </row>
    <row r="165" ht="15.75" customHeight="1">
      <c r="A165" s="6" t="str">
        <f>IFERROR(__xludf.DUMMYFUNCTION("""COMPUTED_VALUE"""),"964c4dbd3e851f0d215e0fc68b9c364303676665")</f>
        <v>964c4dbd3e851f0d215e0fc68b9c364303676665</v>
      </c>
      <c r="B165" s="6" t="str">
        <f>IFERROR(__xludf.DUMMYFUNCTION("""COMPUTED_VALUE"""),"The Governor's Wife")</f>
        <v>The Governor's Wife</v>
      </c>
      <c r="C165" s="6" t="str">
        <f>IFERROR(__xludf.DUMMYFUNCTION("""COMPUTED_VALUE"""),"Romance")</f>
        <v>Romance</v>
      </c>
      <c r="D165" s="17">
        <f>IFERROR(__xludf.DUMMYFUNCTION("""COMPUTED_VALUE"""),278.0)</f>
        <v>278</v>
      </c>
      <c r="E165" s="8">
        <f>IFERROR(__xludf.DUMMYFUNCTION("""COMPUTED_VALUE"""),0.962962962962962)</f>
        <v>0.962962963</v>
      </c>
      <c r="F165" s="8">
        <f>IFERROR(__xludf.DUMMYFUNCTION("""COMPUTED_VALUE"""),0.794466403162055)</f>
        <v>0.7944664032</v>
      </c>
      <c r="G165" s="8">
        <f>IFERROR(__xludf.DUMMYFUNCTION("""COMPUTED_VALUE"""),0.779661016949152)</f>
        <v>0.7796610169</v>
      </c>
      <c r="H165" s="8">
        <f>IFERROR(__xludf.DUMMYFUNCTION("""COMPUTED_VALUE"""),0.731132075471698)</f>
        <v>0.7311320755</v>
      </c>
      <c r="I165" s="8">
        <f>IFERROR(__xludf.DUMMYFUNCTION("""COMPUTED_VALUE"""),0.666666666666666)</f>
        <v>0.6666666667</v>
      </c>
      <c r="J165" s="8">
        <f>IFERROR(__xludf.DUMMYFUNCTION("""COMPUTED_VALUE"""),0.55813953488372)</f>
        <v>0.5581395349</v>
      </c>
      <c r="K165" s="8">
        <f>IFERROR(__xludf.DUMMYFUNCTION("""COMPUTED_VALUE"""),0.5375)</f>
        <v>0.5375</v>
      </c>
      <c r="L165" s="8">
        <f>IFERROR(__xludf.DUMMYFUNCTION("""COMPUTED_VALUE"""),0.5234375)</f>
        <v>0.5234375</v>
      </c>
      <c r="M165" s="8">
        <f>IFERROR(__xludf.DUMMYFUNCTION("""COMPUTED_VALUE"""),0.504950495049505)</f>
        <v>0.504950495</v>
      </c>
      <c r="N165" s="8">
        <f>IFERROR(__xludf.DUMMYFUNCTION("""COMPUTED_VALUE"""),0.403225806451612)</f>
        <v>0.4032258065</v>
      </c>
      <c r="O165" s="8">
        <f>IFERROR(__xludf.DUMMYFUNCTION("""COMPUTED_VALUE"""),0.375)</f>
        <v>0.375</v>
      </c>
      <c r="P165" s="8">
        <f>IFERROR(__xludf.DUMMYFUNCTION("""COMPUTED_VALUE"""),0.25)</f>
        <v>0.25</v>
      </c>
      <c r="Q165" s="8">
        <f>IFERROR(__xludf.DUMMYFUNCTION("""COMPUTED_VALUE"""),0.0)</f>
        <v>0</v>
      </c>
      <c r="R165" s="8">
        <f>IFERROR(__xludf.DUMMYFUNCTION("""COMPUTED_VALUE"""),0.0)</f>
        <v>0</v>
      </c>
      <c r="S165" s="8">
        <f>IFERROR(__xludf.DUMMYFUNCTION("""COMPUTED_VALUE"""),0.0)</f>
        <v>0</v>
      </c>
      <c r="T165" s="8">
        <f>IFERROR(__xludf.DUMMYFUNCTION("""COMPUTED_VALUE"""),0.0)</f>
        <v>0</v>
      </c>
      <c r="U165" s="8">
        <f>IFERROR(__xludf.DUMMYFUNCTION("""COMPUTED_VALUE"""),0.0)</f>
        <v>0</v>
      </c>
      <c r="V165" s="8">
        <f>IFERROR(__xludf.DUMMYFUNCTION("""COMPUTED_VALUE"""),0.0)</f>
        <v>0</v>
      </c>
      <c r="W165" s="8">
        <f>IFERROR(__xludf.DUMMYFUNCTION("""COMPUTED_VALUE"""),0.0)</f>
        <v>0</v>
      </c>
      <c r="X165" s="8">
        <f>IFERROR(__xludf.DUMMYFUNCTION("""COMPUTED_VALUE"""),0.0)</f>
        <v>0</v>
      </c>
      <c r="Y165" s="8">
        <f>IFERROR(__xludf.DUMMYFUNCTION("""COMPUTED_VALUE"""),0.0)</f>
        <v>0</v>
      </c>
      <c r="Z165" s="8">
        <f>IFERROR(__xludf.DUMMYFUNCTION("""COMPUTED_VALUE"""),0.0)</f>
        <v>0</v>
      </c>
      <c r="AA165" s="8">
        <f>IFERROR(__xludf.DUMMYFUNCTION("""COMPUTED_VALUE"""),0.0)</f>
        <v>0</v>
      </c>
      <c r="AB165" s="8">
        <f>IFERROR(__xludf.DUMMYFUNCTION("""COMPUTED_VALUE"""),0.0)</f>
        <v>0</v>
      </c>
      <c r="AC165" s="8">
        <f>IFERROR(__xludf.DUMMYFUNCTION("""COMPUTED_VALUE"""),0.0)</f>
        <v>0</v>
      </c>
    </row>
    <row r="166" ht="15.75" customHeight="1">
      <c r="A166" s="6" t="str">
        <f>IFERROR(__xludf.DUMMYFUNCTION("""COMPUTED_VALUE"""),"96f6721dc499b730f42b02d86e640d682f4f665d")</f>
        <v>96f6721dc499b730f42b02d86e640d682f4f665d</v>
      </c>
      <c r="B166" s="6" t="str">
        <f>IFERROR(__xludf.DUMMYFUNCTION("""COMPUTED_VALUE"""),"Last Witch of Swendel")</f>
        <v>Last Witch of Swendel</v>
      </c>
      <c r="C166" s="6" t="str">
        <f>IFERROR(__xludf.DUMMYFUNCTION("""COMPUTED_VALUE"""),"Romantasy")</f>
        <v>Romantasy</v>
      </c>
      <c r="D166" s="17">
        <f>IFERROR(__xludf.DUMMYFUNCTION("""COMPUTED_VALUE"""),2591.0)</f>
        <v>2591</v>
      </c>
      <c r="E166" s="8">
        <f>IFERROR(__xludf.DUMMYFUNCTION("""COMPUTED_VALUE"""),0.966808182169046)</f>
        <v>0.9668081822</v>
      </c>
      <c r="F166" s="8">
        <f>IFERROR(__xludf.DUMMYFUNCTION("""COMPUTED_VALUE"""),0.567181467181467)</f>
        <v>0.5671814672</v>
      </c>
      <c r="G166" s="8">
        <f>IFERROR(__xludf.DUMMYFUNCTION("""COMPUTED_VALUE"""),0.516602316602316)</f>
        <v>0.5166023166</v>
      </c>
      <c r="H166" s="8">
        <f>IFERROR(__xludf.DUMMYFUNCTION("""COMPUTED_VALUE"""),0.476631904210119)</f>
        <v>0.4766319042</v>
      </c>
      <c r="I166" s="8">
        <f>IFERROR(__xludf.DUMMYFUNCTION("""COMPUTED_VALUE"""),0.44998068752414)</f>
        <v>0.4499806875</v>
      </c>
      <c r="J166" s="8">
        <f>IFERROR(__xludf.DUMMYFUNCTION("""COMPUTED_VALUE"""),0.435085007727975)</f>
        <v>0.4350850077</v>
      </c>
      <c r="K166" s="8">
        <f>IFERROR(__xludf.DUMMYFUNCTION("""COMPUTED_VALUE"""),0.418083462132921)</f>
        <v>0.4180834621</v>
      </c>
      <c r="L166" s="8">
        <f>IFERROR(__xludf.DUMMYFUNCTION("""COMPUTED_VALUE"""),0.400850405875531)</f>
        <v>0.4008504059</v>
      </c>
      <c r="M166" s="8">
        <f>IFERROR(__xludf.DUMMYFUNCTION("""COMPUTED_VALUE"""),0.393119443370699)</f>
        <v>0.3931194434</v>
      </c>
      <c r="N166" s="8">
        <f>IFERROR(__xludf.DUMMYFUNCTION("""COMPUTED_VALUE"""),0.38568665377176)</f>
        <v>0.3856866538</v>
      </c>
      <c r="O166" s="8">
        <f>IFERROR(__xludf.DUMMYFUNCTION("""COMPUTED_VALUE"""),0.355038759689922)</f>
        <v>0.3550387597</v>
      </c>
      <c r="P166" s="8">
        <f>IFERROR(__xludf.DUMMYFUNCTION("""COMPUTED_VALUE"""),0.281262173743669)</f>
        <v>0.2812621737</v>
      </c>
      <c r="Q166" s="8">
        <f>IFERROR(__xludf.DUMMYFUNCTION("""COMPUTED_VALUE"""),0.240445859872611)</f>
        <v>0.2404458599</v>
      </c>
      <c r="R166" s="8">
        <f>IFERROR(__xludf.DUMMYFUNCTION("""COMPUTED_VALUE"""),0.191097467382962)</f>
        <v>0.1910974674</v>
      </c>
      <c r="S166" s="8">
        <f>IFERROR(__xludf.DUMMYFUNCTION("""COMPUTED_VALUE"""),0.129539951573849)</f>
        <v>0.1295399516</v>
      </c>
      <c r="T166" s="8">
        <f>IFERROR(__xludf.DUMMYFUNCTION("""COMPUTED_VALUE"""),0.1)</f>
        <v>0.1</v>
      </c>
      <c r="U166" s="8">
        <f>IFERROR(__xludf.DUMMYFUNCTION("""COMPUTED_VALUE"""),0.0818791946308724)</f>
        <v>0.08187919463</v>
      </c>
      <c r="V166" s="8">
        <f>IFERROR(__xludf.DUMMYFUNCTION("""COMPUTED_VALUE"""),0.0673758865248227)</f>
        <v>0.06737588652</v>
      </c>
      <c r="W166" s="8">
        <f>IFERROR(__xludf.DUMMYFUNCTION("""COMPUTED_VALUE"""),0.0697674418604651)</f>
        <v>0.06976744186</v>
      </c>
      <c r="X166" s="8">
        <f>IFERROR(__xludf.DUMMYFUNCTION("""COMPUTED_VALUE"""),0.0)</f>
        <v>0</v>
      </c>
      <c r="Y166" s="8">
        <f>IFERROR(__xludf.DUMMYFUNCTION("""COMPUTED_VALUE"""),0.0)</f>
        <v>0</v>
      </c>
      <c r="Z166" s="8">
        <f>IFERROR(__xludf.DUMMYFUNCTION("""COMPUTED_VALUE"""),0.0)</f>
        <v>0</v>
      </c>
      <c r="AA166" s="8">
        <f>IFERROR(__xludf.DUMMYFUNCTION("""COMPUTED_VALUE"""),0.0)</f>
        <v>0</v>
      </c>
      <c r="AB166" s="8">
        <f>IFERROR(__xludf.DUMMYFUNCTION("""COMPUTED_VALUE"""),0.0)</f>
        <v>0</v>
      </c>
      <c r="AC166" s="8">
        <f>IFERROR(__xludf.DUMMYFUNCTION("""COMPUTED_VALUE"""),0.0)</f>
        <v>0</v>
      </c>
    </row>
    <row r="167" ht="15.75" customHeight="1">
      <c r="A167" s="6" t="str">
        <f>IFERROR(__xludf.DUMMYFUNCTION("""COMPUTED_VALUE"""),"97bf3d3427830d8b1bc0c5929b0c0832cbf02a25")</f>
        <v>97bf3d3427830d8b1bc0c5929b0c0832cbf02a25</v>
      </c>
      <c r="B167" s="6" t="str">
        <f>IFERROR(__xludf.DUMMYFUNCTION("""COMPUTED_VALUE"""),"The Miraculous Physician")</f>
        <v>The Miraculous Physician</v>
      </c>
      <c r="C167" s="6" t="str">
        <f>IFERROR(__xludf.DUMMYFUNCTION("""COMPUTED_VALUE"""),"System and Superpower")</f>
        <v>System and Superpower</v>
      </c>
      <c r="D167" s="17">
        <f>IFERROR(__xludf.DUMMYFUNCTION("""COMPUTED_VALUE"""),210.0)</f>
        <v>210</v>
      </c>
      <c r="E167" s="8">
        <f>IFERROR(__xludf.DUMMYFUNCTION("""COMPUTED_VALUE"""),0.965)</f>
        <v>0.965</v>
      </c>
      <c r="F167" s="8">
        <f>IFERROR(__xludf.DUMMYFUNCTION("""COMPUTED_VALUE"""),0.524064171122994)</f>
        <v>0.5240641711</v>
      </c>
      <c r="G167" s="8">
        <f>IFERROR(__xludf.DUMMYFUNCTION("""COMPUTED_VALUE"""),0.410112359550561)</f>
        <v>0.4101123596</v>
      </c>
      <c r="H167" s="8">
        <f>IFERROR(__xludf.DUMMYFUNCTION("""COMPUTED_VALUE"""),0.339285714285714)</f>
        <v>0.3392857143</v>
      </c>
      <c r="I167" s="8">
        <f>IFERROR(__xludf.DUMMYFUNCTION("""COMPUTED_VALUE"""),0.317073170731707)</f>
        <v>0.3170731707</v>
      </c>
      <c r="J167" s="8">
        <f>IFERROR(__xludf.DUMMYFUNCTION("""COMPUTED_VALUE"""),0.283870967741935)</f>
        <v>0.2838709677</v>
      </c>
      <c r="K167" s="8">
        <f>IFERROR(__xludf.DUMMYFUNCTION("""COMPUTED_VALUE"""),0.251655629139072)</f>
        <v>0.2516556291</v>
      </c>
      <c r="L167" s="8">
        <f>IFERROR(__xludf.DUMMYFUNCTION("""COMPUTED_VALUE"""),0.217054263565891)</f>
        <v>0.2170542636</v>
      </c>
      <c r="M167" s="8">
        <f>IFERROR(__xludf.DUMMYFUNCTION("""COMPUTED_VALUE"""),0.18095238095238)</f>
        <v>0.180952381</v>
      </c>
      <c r="N167" s="8">
        <f>IFERROR(__xludf.DUMMYFUNCTION("""COMPUTED_VALUE"""),0.126984126984126)</f>
        <v>0.126984127</v>
      </c>
      <c r="O167" s="8">
        <f>IFERROR(__xludf.DUMMYFUNCTION("""COMPUTED_VALUE"""),0.6)</f>
        <v>0.6</v>
      </c>
      <c r="P167" s="8">
        <f>IFERROR(__xludf.DUMMYFUNCTION("""COMPUTED_VALUE"""),0.666666666666666)</f>
        <v>0.6666666667</v>
      </c>
      <c r="Q167" s="8">
        <f>IFERROR(__xludf.DUMMYFUNCTION("""COMPUTED_VALUE"""),0.0)</f>
        <v>0</v>
      </c>
      <c r="R167" s="8">
        <f>IFERROR(__xludf.DUMMYFUNCTION("""COMPUTED_VALUE"""),0.0)</f>
        <v>0</v>
      </c>
      <c r="S167" s="8">
        <f>IFERROR(__xludf.DUMMYFUNCTION("""COMPUTED_VALUE"""),0.0)</f>
        <v>0</v>
      </c>
      <c r="T167" s="8">
        <f>IFERROR(__xludf.DUMMYFUNCTION("""COMPUTED_VALUE"""),0.0)</f>
        <v>0</v>
      </c>
      <c r="U167" s="8">
        <f>IFERROR(__xludf.DUMMYFUNCTION("""COMPUTED_VALUE"""),0.0)</f>
        <v>0</v>
      </c>
      <c r="V167" s="8">
        <f>IFERROR(__xludf.DUMMYFUNCTION("""COMPUTED_VALUE"""),0.0)</f>
        <v>0</v>
      </c>
      <c r="W167" s="8">
        <f>IFERROR(__xludf.DUMMYFUNCTION("""COMPUTED_VALUE"""),0.0)</f>
        <v>0</v>
      </c>
      <c r="X167" s="8">
        <f>IFERROR(__xludf.DUMMYFUNCTION("""COMPUTED_VALUE"""),0.0)</f>
        <v>0</v>
      </c>
      <c r="Y167" s="8">
        <f>IFERROR(__xludf.DUMMYFUNCTION("""COMPUTED_VALUE"""),0.0)</f>
        <v>0</v>
      </c>
      <c r="Z167" s="8">
        <f>IFERROR(__xludf.DUMMYFUNCTION("""COMPUTED_VALUE"""),0.0)</f>
        <v>0</v>
      </c>
      <c r="AA167" s="8">
        <f>IFERROR(__xludf.DUMMYFUNCTION("""COMPUTED_VALUE"""),0.0)</f>
        <v>0</v>
      </c>
      <c r="AB167" s="8">
        <f>IFERROR(__xludf.DUMMYFUNCTION("""COMPUTED_VALUE"""),0.0)</f>
        <v>0</v>
      </c>
      <c r="AC167" s="8">
        <f>IFERROR(__xludf.DUMMYFUNCTION("""COMPUTED_VALUE"""),0.0)</f>
        <v>0</v>
      </c>
    </row>
    <row r="168" ht="15.75" customHeight="1">
      <c r="A168" s="6" t="str">
        <f>IFERROR(__xludf.DUMMYFUNCTION("""COMPUTED_VALUE"""),"97d2593a35303e42da5da630e9d8848fa086fc93")</f>
        <v>97d2593a35303e42da5da630e9d8848fa086fc93</v>
      </c>
      <c r="B168" s="6" t="str">
        <f>IFERROR(__xludf.DUMMYFUNCTION("""COMPUTED_VALUE"""),"Spying on My Rebel Alpha")</f>
        <v>Spying on My Rebel Alpha</v>
      </c>
      <c r="C168" s="6" t="str">
        <f>IFERROR(__xludf.DUMMYFUNCTION("""COMPUTED_VALUE"""),"Romantasy")</f>
        <v>Romantasy</v>
      </c>
      <c r="D168" s="17">
        <f>IFERROR(__xludf.DUMMYFUNCTION("""COMPUTED_VALUE"""),1570.0)</f>
        <v>1570</v>
      </c>
      <c r="E168" s="8">
        <f>IFERROR(__xludf.DUMMYFUNCTION("""COMPUTED_VALUE"""),0.97452229299363)</f>
        <v>0.974522293</v>
      </c>
      <c r="F168" s="8">
        <f>IFERROR(__xludf.DUMMYFUNCTION("""COMPUTED_VALUE"""),0.547133757961783)</f>
        <v>0.547133758</v>
      </c>
      <c r="G168" s="8">
        <f>IFERROR(__xludf.DUMMYFUNCTION("""COMPUTED_VALUE"""),0.477707006369426)</f>
        <v>0.4777070064</v>
      </c>
      <c r="H168" s="8">
        <f>IFERROR(__xludf.DUMMYFUNCTION("""COMPUTED_VALUE"""),0.431760204081632)</f>
        <v>0.4317602041</v>
      </c>
      <c r="I168" s="8">
        <f>IFERROR(__xludf.DUMMYFUNCTION("""COMPUTED_VALUE"""),0.394132653061224)</f>
        <v>0.3941326531</v>
      </c>
      <c r="J168" s="8">
        <f>IFERROR(__xludf.DUMMYFUNCTION("""COMPUTED_VALUE"""),0.368622448979591)</f>
        <v>0.368622449</v>
      </c>
      <c r="K168" s="8">
        <f>IFERROR(__xludf.DUMMYFUNCTION("""COMPUTED_VALUE"""),0.355867346938775)</f>
        <v>0.3558673469</v>
      </c>
      <c r="L168" s="8">
        <f>IFERROR(__xludf.DUMMYFUNCTION("""COMPUTED_VALUE"""),0.342290467050543)</f>
        <v>0.3422904671</v>
      </c>
      <c r="M168" s="8">
        <f>IFERROR(__xludf.DUMMYFUNCTION("""COMPUTED_VALUE"""),0.330316742081447)</f>
        <v>0.3303167421</v>
      </c>
      <c r="N168" s="8">
        <f>IFERROR(__xludf.DUMMYFUNCTION("""COMPUTED_VALUE"""),0.325065274151436)</f>
        <v>0.3250652742</v>
      </c>
      <c r="O168" s="8">
        <f>IFERROR(__xludf.DUMMYFUNCTION("""COMPUTED_VALUE"""),0.283717679944095)</f>
        <v>0.2837176799</v>
      </c>
      <c r="P168" s="8">
        <f>IFERROR(__xludf.DUMMYFUNCTION("""COMPUTED_VALUE"""),0.227477477477477)</f>
        <v>0.2274774775</v>
      </c>
      <c r="Q168" s="8">
        <f>IFERROR(__xludf.DUMMYFUNCTION("""COMPUTED_VALUE"""),0.134078212290502)</f>
        <v>0.1340782123</v>
      </c>
      <c r="R168" s="8">
        <f>IFERROR(__xludf.DUMMYFUNCTION("""COMPUTED_VALUE"""),0.0)</f>
        <v>0</v>
      </c>
      <c r="S168" s="8">
        <f>IFERROR(__xludf.DUMMYFUNCTION("""COMPUTED_VALUE"""),0.0)</f>
        <v>0</v>
      </c>
      <c r="T168" s="8">
        <f>IFERROR(__xludf.DUMMYFUNCTION("""COMPUTED_VALUE"""),0.0)</f>
        <v>0</v>
      </c>
      <c r="U168" s="8">
        <f>IFERROR(__xludf.DUMMYFUNCTION("""COMPUTED_VALUE"""),0.0)</f>
        <v>0</v>
      </c>
      <c r="V168" s="8">
        <f>IFERROR(__xludf.DUMMYFUNCTION("""COMPUTED_VALUE"""),0.0)</f>
        <v>0</v>
      </c>
      <c r="W168" s="8">
        <f>IFERROR(__xludf.DUMMYFUNCTION("""COMPUTED_VALUE"""),0.0)</f>
        <v>0</v>
      </c>
      <c r="X168" s="8">
        <f>IFERROR(__xludf.DUMMYFUNCTION("""COMPUTED_VALUE"""),0.0)</f>
        <v>0</v>
      </c>
      <c r="Y168" s="8">
        <f>IFERROR(__xludf.DUMMYFUNCTION("""COMPUTED_VALUE"""),0.0)</f>
        <v>0</v>
      </c>
      <c r="Z168" s="8">
        <f>IFERROR(__xludf.DUMMYFUNCTION("""COMPUTED_VALUE"""),0.0)</f>
        <v>0</v>
      </c>
      <c r="AA168" s="8">
        <f>IFERROR(__xludf.DUMMYFUNCTION("""COMPUTED_VALUE"""),0.0)</f>
        <v>0</v>
      </c>
      <c r="AB168" s="8">
        <f>IFERROR(__xludf.DUMMYFUNCTION("""COMPUTED_VALUE"""),0.0)</f>
        <v>0</v>
      </c>
      <c r="AC168" s="8">
        <f>IFERROR(__xludf.DUMMYFUNCTION("""COMPUTED_VALUE"""),0.0)</f>
        <v>0</v>
      </c>
    </row>
    <row r="169" ht="15.75" customHeight="1">
      <c r="A169" s="6" t="str">
        <f>IFERROR(__xludf.DUMMYFUNCTION("""COMPUTED_VALUE"""),"9897c34ca7143cb319fd56943504e8f8be1550c2")</f>
        <v>9897c34ca7143cb319fd56943504e8f8be1550c2</v>
      </c>
      <c r="B169" s="6" t="str">
        <f>IFERROR(__xludf.DUMMYFUNCTION("""COMPUTED_VALUE"""),"Priced Royal Kiss")</f>
        <v>Priced Royal Kiss</v>
      </c>
      <c r="C169" s="6" t="str">
        <f>IFERROR(__xludf.DUMMYFUNCTION("""COMPUTED_VALUE"""),"Drama")</f>
        <v>Drama</v>
      </c>
      <c r="D169" s="17">
        <f>IFERROR(__xludf.DUMMYFUNCTION("""COMPUTED_VALUE"""),149.0)</f>
        <v>149</v>
      </c>
      <c r="E169" s="8">
        <f>IFERROR(__xludf.DUMMYFUNCTION("""COMPUTED_VALUE"""),0.958620689655172)</f>
        <v>0.9586206897</v>
      </c>
      <c r="F169" s="8">
        <f>IFERROR(__xludf.DUMMYFUNCTION("""COMPUTED_VALUE"""),0.555555555555555)</f>
        <v>0.5555555556</v>
      </c>
      <c r="G169" s="8">
        <f>IFERROR(__xludf.DUMMYFUNCTION("""COMPUTED_VALUE"""),0.5)</f>
        <v>0.5</v>
      </c>
      <c r="H169" s="8">
        <f>IFERROR(__xludf.DUMMYFUNCTION("""COMPUTED_VALUE"""),0.485714285714285)</f>
        <v>0.4857142857</v>
      </c>
      <c r="I169" s="8">
        <f>IFERROR(__xludf.DUMMYFUNCTION("""COMPUTED_VALUE"""),0.466666666666666)</f>
        <v>0.4666666667</v>
      </c>
      <c r="J169" s="8">
        <f>IFERROR(__xludf.DUMMYFUNCTION("""COMPUTED_VALUE"""),0.3984375)</f>
        <v>0.3984375</v>
      </c>
      <c r="K169" s="8">
        <f>IFERROR(__xludf.DUMMYFUNCTION("""COMPUTED_VALUE"""),0.44)</f>
        <v>0.44</v>
      </c>
      <c r="L169" s="8">
        <f>IFERROR(__xludf.DUMMYFUNCTION("""COMPUTED_VALUE"""),0.440677966101694)</f>
        <v>0.4406779661</v>
      </c>
      <c r="M169" s="8">
        <f>IFERROR(__xludf.DUMMYFUNCTION("""COMPUTED_VALUE"""),0.444444444444444)</f>
        <v>0.4444444444</v>
      </c>
      <c r="N169" s="8">
        <f>IFERROR(__xludf.DUMMYFUNCTION("""COMPUTED_VALUE"""),0.449541284403669)</f>
        <v>0.4495412844</v>
      </c>
      <c r="O169" s="8">
        <f>IFERROR(__xludf.DUMMYFUNCTION("""COMPUTED_VALUE"""),0.421686746987951)</f>
        <v>0.421686747</v>
      </c>
      <c r="P169" s="8">
        <f>IFERROR(__xludf.DUMMYFUNCTION("""COMPUTED_VALUE"""),0.341772151898734)</f>
        <v>0.3417721519</v>
      </c>
      <c r="Q169" s="8">
        <f>IFERROR(__xludf.DUMMYFUNCTION("""COMPUTED_VALUE"""),0.210526315789473)</f>
        <v>0.2105263158</v>
      </c>
      <c r="R169" s="8">
        <f>IFERROR(__xludf.DUMMYFUNCTION("""COMPUTED_VALUE"""),0.194029850746268)</f>
        <v>0.1940298507</v>
      </c>
      <c r="S169" s="8">
        <f>IFERROR(__xludf.DUMMYFUNCTION("""COMPUTED_VALUE"""),0.157894736842105)</f>
        <v>0.1578947368</v>
      </c>
      <c r="T169" s="8">
        <f>IFERROR(__xludf.DUMMYFUNCTION("""COMPUTED_VALUE"""),0.125)</f>
        <v>0.125</v>
      </c>
      <c r="U169" s="8">
        <f>IFERROR(__xludf.DUMMYFUNCTION("""COMPUTED_VALUE"""),0.0238095238095238)</f>
        <v>0.02380952381</v>
      </c>
      <c r="V169" s="8">
        <f>IFERROR(__xludf.DUMMYFUNCTION("""COMPUTED_VALUE"""),0.0)</f>
        <v>0</v>
      </c>
      <c r="W169" s="8">
        <f>IFERROR(__xludf.DUMMYFUNCTION("""COMPUTED_VALUE"""),0.0)</f>
        <v>0</v>
      </c>
      <c r="X169" s="8">
        <f>IFERROR(__xludf.DUMMYFUNCTION("""COMPUTED_VALUE"""),0.0)</f>
        <v>0</v>
      </c>
      <c r="Y169" s="8">
        <f>IFERROR(__xludf.DUMMYFUNCTION("""COMPUTED_VALUE"""),0.0)</f>
        <v>0</v>
      </c>
      <c r="Z169" s="8">
        <f>IFERROR(__xludf.DUMMYFUNCTION("""COMPUTED_VALUE"""),0.0)</f>
        <v>0</v>
      </c>
      <c r="AA169" s="8">
        <f>IFERROR(__xludf.DUMMYFUNCTION("""COMPUTED_VALUE"""),0.0)</f>
        <v>0</v>
      </c>
      <c r="AB169" s="8">
        <f>IFERROR(__xludf.DUMMYFUNCTION("""COMPUTED_VALUE"""),0.0)</f>
        <v>0</v>
      </c>
      <c r="AC169" s="8">
        <f>IFERROR(__xludf.DUMMYFUNCTION("""COMPUTED_VALUE"""),0.0)</f>
        <v>0</v>
      </c>
    </row>
    <row r="170" ht="15.75" customHeight="1">
      <c r="A170" s="6" t="str">
        <f>IFERROR(__xludf.DUMMYFUNCTION("""COMPUTED_VALUE"""),"9b25cb8fec3919f6398cf69f6cec44382a44749e")</f>
        <v>9b25cb8fec3919f6398cf69f6cec44382a44749e</v>
      </c>
      <c r="B170" s="6" t="str">
        <f>IFERROR(__xludf.DUMMYFUNCTION("""COMPUTED_VALUE"""),"The Immortal's Mark")</f>
        <v>The Immortal's Mark</v>
      </c>
      <c r="C170" s="6" t="str">
        <f>IFERROR(__xludf.DUMMYFUNCTION("""COMPUTED_VALUE"""),"Romantasy")</f>
        <v>Romantasy</v>
      </c>
      <c r="D170" s="17">
        <f>IFERROR(__xludf.DUMMYFUNCTION("""COMPUTED_VALUE"""),1401.0)</f>
        <v>1401</v>
      </c>
      <c r="E170" s="8">
        <f>IFERROR(__xludf.DUMMYFUNCTION("""COMPUTED_VALUE"""),0.974783861671469)</f>
        <v>0.9747838617</v>
      </c>
      <c r="F170" s="8">
        <f>IFERROR(__xludf.DUMMYFUNCTION("""COMPUTED_VALUE"""),0.611312545322697)</f>
        <v>0.6113125453</v>
      </c>
      <c r="G170" s="8">
        <f>IFERROR(__xludf.DUMMYFUNCTION("""COMPUTED_VALUE"""),0.518195050946142)</f>
        <v>0.5181950509</v>
      </c>
      <c r="H170" s="8">
        <f>IFERROR(__xludf.DUMMYFUNCTION("""COMPUTED_VALUE"""),0.442647058823529)</f>
        <v>0.4426470588</v>
      </c>
      <c r="I170" s="8">
        <f>IFERROR(__xludf.DUMMYFUNCTION("""COMPUTED_VALUE"""),0.399852180339985)</f>
        <v>0.3998521803</v>
      </c>
      <c r="J170" s="8">
        <f>IFERROR(__xludf.DUMMYFUNCTION("""COMPUTED_VALUE"""),0.369597615499254)</f>
        <v>0.3695976155</v>
      </c>
      <c r="K170" s="8">
        <f>IFERROR(__xludf.DUMMYFUNCTION("""COMPUTED_VALUE"""),0.337331334332833)</f>
        <v>0.3373313343</v>
      </c>
      <c r="L170" s="8">
        <f>IFERROR(__xludf.DUMMYFUNCTION("""COMPUTED_VALUE"""),0.318456883509833)</f>
        <v>0.3184568835</v>
      </c>
      <c r="M170" s="8">
        <f>IFERROR(__xludf.DUMMYFUNCTION("""COMPUTED_VALUE"""),0.312594840667678)</f>
        <v>0.3125948407</v>
      </c>
      <c r="N170" s="8">
        <f>IFERROR(__xludf.DUMMYFUNCTION("""COMPUTED_VALUE"""),0.29623944742901)</f>
        <v>0.2962394474</v>
      </c>
      <c r="O170" s="8">
        <f>IFERROR(__xludf.DUMMYFUNCTION("""COMPUTED_VALUE"""),0.255758538522637)</f>
        <v>0.2557585385</v>
      </c>
      <c r="P170" s="8">
        <f>IFERROR(__xludf.DUMMYFUNCTION("""COMPUTED_VALUE"""),0.195101351351351)</f>
        <v>0.1951013514</v>
      </c>
      <c r="Q170" s="8">
        <f>IFERROR(__xludf.DUMMYFUNCTION("""COMPUTED_VALUE"""),0.132743362831858)</f>
        <v>0.1327433628</v>
      </c>
      <c r="R170" s="8">
        <f>IFERROR(__xludf.DUMMYFUNCTION("""COMPUTED_VALUE"""),0.11049723756906)</f>
        <v>0.1104972376</v>
      </c>
      <c r="S170" s="8">
        <f>IFERROR(__xludf.DUMMYFUNCTION("""COMPUTED_VALUE"""),0.0728395061728395)</f>
        <v>0.07283950617</v>
      </c>
      <c r="T170" s="8">
        <f>IFERROR(__xludf.DUMMYFUNCTION("""COMPUTED_VALUE"""),0.0718954248366013)</f>
        <v>0.07189542484</v>
      </c>
      <c r="U170" s="8">
        <f>IFERROR(__xludf.DUMMYFUNCTION("""COMPUTED_VALUE"""),0.0909090909090909)</f>
        <v>0.09090909091</v>
      </c>
      <c r="V170" s="8">
        <f>IFERROR(__xludf.DUMMYFUNCTION("""COMPUTED_VALUE"""),0.0)</f>
        <v>0</v>
      </c>
      <c r="W170" s="8">
        <f>IFERROR(__xludf.DUMMYFUNCTION("""COMPUTED_VALUE"""),0.0)</f>
        <v>0</v>
      </c>
      <c r="X170" s="8">
        <f>IFERROR(__xludf.DUMMYFUNCTION("""COMPUTED_VALUE"""),0.0)</f>
        <v>0</v>
      </c>
      <c r="Y170" s="8">
        <f>IFERROR(__xludf.DUMMYFUNCTION("""COMPUTED_VALUE"""),0.0)</f>
        <v>0</v>
      </c>
      <c r="Z170" s="8">
        <f>IFERROR(__xludf.DUMMYFUNCTION("""COMPUTED_VALUE"""),0.0)</f>
        <v>0</v>
      </c>
      <c r="AA170" s="8">
        <f>IFERROR(__xludf.DUMMYFUNCTION("""COMPUTED_VALUE"""),0.0)</f>
        <v>0</v>
      </c>
      <c r="AB170" s="8">
        <f>IFERROR(__xludf.DUMMYFUNCTION("""COMPUTED_VALUE"""),0.0)</f>
        <v>0</v>
      </c>
      <c r="AC170" s="8">
        <f>IFERROR(__xludf.DUMMYFUNCTION("""COMPUTED_VALUE"""),0.0)</f>
        <v>0</v>
      </c>
    </row>
    <row r="171" ht="15.75" customHeight="1">
      <c r="A171" s="6" t="str">
        <f>IFERROR(__xludf.DUMMYFUNCTION("""COMPUTED_VALUE"""),"9c5a320e8591b0aad996347bc17f53479097ac00")</f>
        <v>9c5a320e8591b0aad996347bc17f53479097ac00</v>
      </c>
      <c r="B171" s="6" t="str">
        <f>IFERROR(__xludf.DUMMYFUNCTION("""COMPUTED_VALUE"""),"Dad's a Billionaire")</f>
        <v>Dad's a Billionaire</v>
      </c>
      <c r="C171" s="6" t="str">
        <f>IFERROR(__xludf.DUMMYFUNCTION("""COMPUTED_VALUE"""),"Romance")</f>
        <v>Romance</v>
      </c>
      <c r="D171" s="17">
        <f>IFERROR(__xludf.DUMMYFUNCTION("""COMPUTED_VALUE"""),167.0)</f>
        <v>167</v>
      </c>
      <c r="E171" s="8">
        <f>IFERROR(__xludf.DUMMYFUNCTION("""COMPUTED_VALUE"""),0.98)</f>
        <v>0.98</v>
      </c>
      <c r="F171" s="8">
        <f>IFERROR(__xludf.DUMMYFUNCTION("""COMPUTED_VALUE"""),0.566037735849056)</f>
        <v>0.5660377358</v>
      </c>
      <c r="G171" s="8">
        <f>IFERROR(__xludf.DUMMYFUNCTION("""COMPUTED_VALUE"""),0.483516483516483)</f>
        <v>0.4835164835</v>
      </c>
      <c r="H171" s="8">
        <f>IFERROR(__xludf.DUMMYFUNCTION("""COMPUTED_VALUE"""),0.52112676056338)</f>
        <v>0.5211267606</v>
      </c>
      <c r="I171" s="8">
        <f>IFERROR(__xludf.DUMMYFUNCTION("""COMPUTED_VALUE"""),0.477611940298507)</f>
        <v>0.4776119403</v>
      </c>
      <c r="J171" s="8">
        <f>IFERROR(__xludf.DUMMYFUNCTION("""COMPUTED_VALUE"""),0.444444444444444)</f>
        <v>0.4444444444</v>
      </c>
      <c r="K171" s="8">
        <f>IFERROR(__xludf.DUMMYFUNCTION("""COMPUTED_VALUE"""),0.392156862745098)</f>
        <v>0.3921568627</v>
      </c>
      <c r="L171" s="8">
        <f>IFERROR(__xludf.DUMMYFUNCTION("""COMPUTED_VALUE"""),0.470588235294117)</f>
        <v>0.4705882353</v>
      </c>
      <c r="M171" s="8">
        <f>IFERROR(__xludf.DUMMYFUNCTION("""COMPUTED_VALUE"""),0.431372549019607)</f>
        <v>0.431372549</v>
      </c>
      <c r="N171" s="8">
        <f>IFERROR(__xludf.DUMMYFUNCTION("""COMPUTED_VALUE"""),0.372549019607843)</f>
        <v>0.3725490196</v>
      </c>
      <c r="O171" s="8">
        <f>IFERROR(__xludf.DUMMYFUNCTION("""COMPUTED_VALUE"""),0.36734693877551)</f>
        <v>0.3673469388</v>
      </c>
      <c r="P171" s="8">
        <f>IFERROR(__xludf.DUMMYFUNCTION("""COMPUTED_VALUE"""),0.23076923076923)</f>
        <v>0.2307692308</v>
      </c>
      <c r="Q171" s="8">
        <f>IFERROR(__xludf.DUMMYFUNCTION("""COMPUTED_VALUE"""),0.0)</f>
        <v>0</v>
      </c>
      <c r="R171" s="8">
        <f>IFERROR(__xludf.DUMMYFUNCTION("""COMPUTED_VALUE"""),0.0)</f>
        <v>0</v>
      </c>
      <c r="S171" s="8">
        <f>IFERROR(__xludf.DUMMYFUNCTION("""COMPUTED_VALUE"""),0.0)</f>
        <v>0</v>
      </c>
      <c r="T171" s="8">
        <f>IFERROR(__xludf.DUMMYFUNCTION("""COMPUTED_VALUE"""),0.0)</f>
        <v>0</v>
      </c>
      <c r="U171" s="8">
        <f>IFERROR(__xludf.DUMMYFUNCTION("""COMPUTED_VALUE"""),0.0)</f>
        <v>0</v>
      </c>
      <c r="V171" s="8">
        <f>IFERROR(__xludf.DUMMYFUNCTION("""COMPUTED_VALUE"""),0.0)</f>
        <v>0</v>
      </c>
      <c r="W171" s="8">
        <f>IFERROR(__xludf.DUMMYFUNCTION("""COMPUTED_VALUE"""),0.0)</f>
        <v>0</v>
      </c>
      <c r="X171" s="8">
        <f>IFERROR(__xludf.DUMMYFUNCTION("""COMPUTED_VALUE"""),0.0)</f>
        <v>0</v>
      </c>
      <c r="Y171" s="8">
        <f>IFERROR(__xludf.DUMMYFUNCTION("""COMPUTED_VALUE"""),0.0)</f>
        <v>0</v>
      </c>
      <c r="Z171" s="8">
        <f>IFERROR(__xludf.DUMMYFUNCTION("""COMPUTED_VALUE"""),0.0)</f>
        <v>0</v>
      </c>
      <c r="AA171" s="8">
        <f>IFERROR(__xludf.DUMMYFUNCTION("""COMPUTED_VALUE"""),0.0)</f>
        <v>0</v>
      </c>
      <c r="AB171" s="8">
        <f>IFERROR(__xludf.DUMMYFUNCTION("""COMPUTED_VALUE"""),0.0)</f>
        <v>0</v>
      </c>
      <c r="AC171" s="8">
        <f>IFERROR(__xludf.DUMMYFUNCTION("""COMPUTED_VALUE"""),0.0)</f>
        <v>0</v>
      </c>
    </row>
    <row r="172" ht="15.75" customHeight="1">
      <c r="A172" s="6" t="str">
        <f>IFERROR(__xludf.DUMMYFUNCTION("""COMPUTED_VALUE"""),"9d3f3024e967ac2c104ada98aa10c481cd0f9e38")</f>
        <v>9d3f3024e967ac2c104ada98aa10c481cd0f9e38</v>
      </c>
      <c r="B172" s="6" t="str">
        <f>IFERROR(__xludf.DUMMYFUNCTION("""COMPUTED_VALUE"""),"The Wrong Mrs. Carter")</f>
        <v>The Wrong Mrs. Carter</v>
      </c>
      <c r="C172" s="6" t="str">
        <f>IFERROR(__xludf.DUMMYFUNCTION("""COMPUTED_VALUE"""),"Romance")</f>
        <v>Romance</v>
      </c>
      <c r="D172" s="17">
        <f>IFERROR(__xludf.DUMMYFUNCTION("""COMPUTED_VALUE"""),202.0)</f>
        <v>202</v>
      </c>
      <c r="E172" s="8">
        <f>IFERROR(__xludf.DUMMYFUNCTION("""COMPUTED_VALUE"""),0.94047619047619)</f>
        <v>0.9404761905</v>
      </c>
      <c r="F172" s="8">
        <f>IFERROR(__xludf.DUMMYFUNCTION("""COMPUTED_VALUE"""),0.663366336633663)</f>
        <v>0.6633663366</v>
      </c>
      <c r="G172" s="8">
        <f>IFERROR(__xludf.DUMMYFUNCTION("""COMPUTED_VALUE"""),0.623529411764705)</f>
        <v>0.6235294118</v>
      </c>
      <c r="H172" s="8">
        <f>IFERROR(__xludf.DUMMYFUNCTION("""COMPUTED_VALUE"""),0.561403508771929)</f>
        <v>0.5614035088</v>
      </c>
      <c r="I172" s="8">
        <f>IFERROR(__xludf.DUMMYFUNCTION("""COMPUTED_VALUE"""),0.491228070175438)</f>
        <v>0.4912280702</v>
      </c>
      <c r="J172" s="8">
        <f>IFERROR(__xludf.DUMMYFUNCTION("""COMPUTED_VALUE"""),0.456140350877192)</f>
        <v>0.4561403509</v>
      </c>
      <c r="K172" s="8">
        <f>IFERROR(__xludf.DUMMYFUNCTION("""COMPUTED_VALUE"""),0.43859649122807)</f>
        <v>0.4385964912</v>
      </c>
      <c r="L172" s="8">
        <f>IFERROR(__xludf.DUMMYFUNCTION("""COMPUTED_VALUE"""),0.385964912280701)</f>
        <v>0.3859649123</v>
      </c>
      <c r="M172" s="8">
        <f>IFERROR(__xludf.DUMMYFUNCTION("""COMPUTED_VALUE"""),0.346153846153846)</f>
        <v>0.3461538462</v>
      </c>
      <c r="N172" s="8">
        <f>IFERROR(__xludf.DUMMYFUNCTION("""COMPUTED_VALUE"""),0.403846153846153)</f>
        <v>0.4038461538</v>
      </c>
      <c r="O172" s="8">
        <f>IFERROR(__xludf.DUMMYFUNCTION("""COMPUTED_VALUE"""),0.176470588235294)</f>
        <v>0.1764705882</v>
      </c>
      <c r="P172" s="8">
        <f>IFERROR(__xludf.DUMMYFUNCTION("""COMPUTED_VALUE"""),0.1)</f>
        <v>0.1</v>
      </c>
      <c r="Q172" s="8">
        <f>IFERROR(__xludf.DUMMYFUNCTION("""COMPUTED_VALUE"""),0.0217391304347826)</f>
        <v>0.02173913043</v>
      </c>
      <c r="R172" s="8">
        <f>IFERROR(__xludf.DUMMYFUNCTION("""COMPUTED_VALUE"""),0.0)</f>
        <v>0</v>
      </c>
      <c r="S172" s="8">
        <f>IFERROR(__xludf.DUMMYFUNCTION("""COMPUTED_VALUE"""),0.0)</f>
        <v>0</v>
      </c>
      <c r="T172" s="8">
        <f>IFERROR(__xludf.DUMMYFUNCTION("""COMPUTED_VALUE"""),0.0)</f>
        <v>0</v>
      </c>
      <c r="U172" s="8">
        <f>IFERROR(__xludf.DUMMYFUNCTION("""COMPUTED_VALUE"""),0.0)</f>
        <v>0</v>
      </c>
      <c r="V172" s="8">
        <f>IFERROR(__xludf.DUMMYFUNCTION("""COMPUTED_VALUE"""),0.0)</f>
        <v>0</v>
      </c>
      <c r="W172" s="8">
        <f>IFERROR(__xludf.DUMMYFUNCTION("""COMPUTED_VALUE"""),0.0)</f>
        <v>0</v>
      </c>
      <c r="X172" s="8">
        <f>IFERROR(__xludf.DUMMYFUNCTION("""COMPUTED_VALUE"""),0.0)</f>
        <v>0</v>
      </c>
      <c r="Y172" s="8">
        <f>IFERROR(__xludf.DUMMYFUNCTION("""COMPUTED_VALUE"""),0.0)</f>
        <v>0</v>
      </c>
      <c r="Z172" s="8">
        <f>IFERROR(__xludf.DUMMYFUNCTION("""COMPUTED_VALUE"""),0.0)</f>
        <v>0</v>
      </c>
      <c r="AA172" s="8">
        <f>IFERROR(__xludf.DUMMYFUNCTION("""COMPUTED_VALUE"""),0.0)</f>
        <v>0</v>
      </c>
      <c r="AB172" s="8">
        <f>IFERROR(__xludf.DUMMYFUNCTION("""COMPUTED_VALUE"""),0.0)</f>
        <v>0</v>
      </c>
      <c r="AC172" s="8">
        <f>IFERROR(__xludf.DUMMYFUNCTION("""COMPUTED_VALUE"""),0.0)</f>
        <v>0</v>
      </c>
    </row>
    <row r="173" ht="15.75" customHeight="1">
      <c r="A173" s="6" t="str">
        <f>IFERROR(__xludf.DUMMYFUNCTION("""COMPUTED_VALUE"""),"9eb4932b6e7663416bee5ea2d2dd1b2ced5727be")</f>
        <v>9eb4932b6e7663416bee5ea2d2dd1b2ced5727be</v>
      </c>
      <c r="B173" s="6" t="str">
        <f>IFERROR(__xludf.DUMMYFUNCTION("""COMPUTED_VALUE"""),"Rise of the God Mage")</f>
        <v>Rise of the God Mage</v>
      </c>
      <c r="C173" s="6" t="str">
        <f>IFERROR(__xludf.DUMMYFUNCTION("""COMPUTED_VALUE"""),"Fantasy")</f>
        <v>Fantasy</v>
      </c>
      <c r="D173" s="17">
        <f>IFERROR(__xludf.DUMMYFUNCTION("""COMPUTED_VALUE"""),682.0)</f>
        <v>682</v>
      </c>
      <c r="E173" s="8">
        <f>IFERROR(__xludf.DUMMYFUNCTION("""COMPUTED_VALUE"""),0.986784140969163)</f>
        <v>0.986784141</v>
      </c>
      <c r="F173" s="8">
        <f>IFERROR(__xludf.DUMMYFUNCTION("""COMPUTED_VALUE"""),0.725925925925926)</f>
        <v>0.7259259259</v>
      </c>
      <c r="G173" s="8">
        <f>IFERROR(__xludf.DUMMYFUNCTION("""COMPUTED_VALUE"""),0.644873699851411)</f>
        <v>0.6448736999</v>
      </c>
      <c r="H173" s="8">
        <f>IFERROR(__xludf.DUMMYFUNCTION("""COMPUTED_VALUE"""),0.618834080717488)</f>
        <v>0.6188340807</v>
      </c>
      <c r="I173" s="8">
        <f>IFERROR(__xludf.DUMMYFUNCTION("""COMPUTED_VALUE"""),0.583208395802098)</f>
        <v>0.5832083958</v>
      </c>
      <c r="J173" s="8">
        <f>IFERROR(__xludf.DUMMYFUNCTION("""COMPUTED_VALUE"""),0.542944785276073)</f>
        <v>0.5429447853</v>
      </c>
      <c r="K173" s="8">
        <f>IFERROR(__xludf.DUMMYFUNCTION("""COMPUTED_VALUE"""),0.53883495145631)</f>
        <v>0.5388349515</v>
      </c>
      <c r="L173" s="8">
        <f>IFERROR(__xludf.DUMMYFUNCTION("""COMPUTED_VALUE"""),0.510204081632653)</f>
        <v>0.5102040816</v>
      </c>
      <c r="M173" s="8">
        <f>IFERROR(__xludf.DUMMYFUNCTION("""COMPUTED_VALUE"""),0.497899159663865)</f>
        <v>0.4978991597</v>
      </c>
      <c r="N173" s="8">
        <f>IFERROR(__xludf.DUMMYFUNCTION("""COMPUTED_VALUE"""),0.448412698412698)</f>
        <v>0.4484126984</v>
      </c>
      <c r="O173" s="8">
        <f>IFERROR(__xludf.DUMMYFUNCTION("""COMPUTED_VALUE"""),0.529411764705882)</f>
        <v>0.5294117647</v>
      </c>
      <c r="P173" s="8">
        <f>IFERROR(__xludf.DUMMYFUNCTION("""COMPUTED_VALUE"""),0.5)</f>
        <v>0.5</v>
      </c>
      <c r="Q173" s="8">
        <f>IFERROR(__xludf.DUMMYFUNCTION("""COMPUTED_VALUE"""),0.0)</f>
        <v>0</v>
      </c>
      <c r="R173" s="8">
        <f>IFERROR(__xludf.DUMMYFUNCTION("""COMPUTED_VALUE"""),0.0)</f>
        <v>0</v>
      </c>
      <c r="S173" s="8">
        <f>IFERROR(__xludf.DUMMYFUNCTION("""COMPUTED_VALUE"""),0.0)</f>
        <v>0</v>
      </c>
      <c r="T173" s="8">
        <f>IFERROR(__xludf.DUMMYFUNCTION("""COMPUTED_VALUE"""),0.0)</f>
        <v>0</v>
      </c>
      <c r="U173" s="8">
        <f>IFERROR(__xludf.DUMMYFUNCTION("""COMPUTED_VALUE"""),0.0)</f>
        <v>0</v>
      </c>
      <c r="V173" s="8">
        <f>IFERROR(__xludf.DUMMYFUNCTION("""COMPUTED_VALUE"""),0.0)</f>
        <v>0</v>
      </c>
      <c r="W173" s="8">
        <f>IFERROR(__xludf.DUMMYFUNCTION("""COMPUTED_VALUE"""),0.0)</f>
        <v>0</v>
      </c>
      <c r="X173" s="8">
        <f>IFERROR(__xludf.DUMMYFUNCTION("""COMPUTED_VALUE"""),0.0)</f>
        <v>0</v>
      </c>
      <c r="Y173" s="8">
        <f>IFERROR(__xludf.DUMMYFUNCTION("""COMPUTED_VALUE"""),0.0)</f>
        <v>0</v>
      </c>
      <c r="Z173" s="8">
        <f>IFERROR(__xludf.DUMMYFUNCTION("""COMPUTED_VALUE"""),0.0)</f>
        <v>0</v>
      </c>
      <c r="AA173" s="8">
        <f>IFERROR(__xludf.DUMMYFUNCTION("""COMPUTED_VALUE"""),0.0)</f>
        <v>0</v>
      </c>
      <c r="AB173" s="8">
        <f>IFERROR(__xludf.DUMMYFUNCTION("""COMPUTED_VALUE"""),0.0)</f>
        <v>0</v>
      </c>
      <c r="AC173" s="8">
        <f>IFERROR(__xludf.DUMMYFUNCTION("""COMPUTED_VALUE"""),0.0)</f>
        <v>0</v>
      </c>
    </row>
    <row r="174" ht="15.75" customHeight="1">
      <c r="A174" s="6" t="str">
        <f>IFERROR(__xludf.DUMMYFUNCTION("""COMPUTED_VALUE"""),"9f288c1b7bcd6e6181338579ca44a178a5b21573")</f>
        <v>9f288c1b7bcd6e6181338579ca44a178a5b21573</v>
      </c>
      <c r="B174" s="6" t="str">
        <f>IFERROR(__xludf.DUMMYFUNCTION("""COMPUTED_VALUE"""),"Vows of Blood &amp; Diamonds")</f>
        <v>Vows of Blood &amp; Diamonds</v>
      </c>
      <c r="C174" s="6" t="str">
        <f>IFERROR(__xludf.DUMMYFUNCTION("""COMPUTED_VALUE"""),"Romance")</f>
        <v>Romance</v>
      </c>
      <c r="D174" s="17">
        <f>IFERROR(__xludf.DUMMYFUNCTION("""COMPUTED_VALUE"""),100.0)</f>
        <v>100</v>
      </c>
      <c r="E174" s="8">
        <f>IFERROR(__xludf.DUMMYFUNCTION("""COMPUTED_VALUE"""),0.989583333333333)</f>
        <v>0.9895833333</v>
      </c>
      <c r="F174" s="8">
        <f>IFERROR(__xludf.DUMMYFUNCTION("""COMPUTED_VALUE"""),0.376344086021505)</f>
        <v>0.376344086</v>
      </c>
      <c r="G174" s="8">
        <f>IFERROR(__xludf.DUMMYFUNCTION("""COMPUTED_VALUE"""),0.325842696629213)</f>
        <v>0.3258426966</v>
      </c>
      <c r="H174" s="8">
        <f>IFERROR(__xludf.DUMMYFUNCTION("""COMPUTED_VALUE"""),0.325)</f>
        <v>0.325</v>
      </c>
      <c r="I174" s="8">
        <f>IFERROR(__xludf.DUMMYFUNCTION("""COMPUTED_VALUE"""),0.293333333333333)</f>
        <v>0.2933333333</v>
      </c>
      <c r="J174" s="8">
        <f>IFERROR(__xludf.DUMMYFUNCTION("""COMPUTED_VALUE"""),0.235294117647058)</f>
        <v>0.2352941176</v>
      </c>
      <c r="K174" s="8">
        <f>IFERROR(__xludf.DUMMYFUNCTION("""COMPUTED_VALUE"""),0.225806451612903)</f>
        <v>0.2258064516</v>
      </c>
      <c r="L174" s="8">
        <f>IFERROR(__xludf.DUMMYFUNCTION("""COMPUTED_VALUE"""),0.185185185185185)</f>
        <v>0.1851851852</v>
      </c>
      <c r="M174" s="8">
        <f>IFERROR(__xludf.DUMMYFUNCTION("""COMPUTED_VALUE"""),0.137254901960784)</f>
        <v>0.137254902</v>
      </c>
      <c r="N174" s="8">
        <f>IFERROR(__xludf.DUMMYFUNCTION("""COMPUTED_VALUE"""),0.0975609756097561)</f>
        <v>0.09756097561</v>
      </c>
      <c r="O174" s="8">
        <f>IFERROR(__xludf.DUMMYFUNCTION("""COMPUTED_VALUE"""),0.0909090909090909)</f>
        <v>0.09090909091</v>
      </c>
      <c r="P174" s="8">
        <f>IFERROR(__xludf.DUMMYFUNCTION("""COMPUTED_VALUE"""),0.0909090909090909)</f>
        <v>0.09090909091</v>
      </c>
      <c r="Q174" s="8">
        <f>IFERROR(__xludf.DUMMYFUNCTION("""COMPUTED_VALUE"""),0.222222222222222)</f>
        <v>0.2222222222</v>
      </c>
      <c r="R174" s="8">
        <f>IFERROR(__xludf.DUMMYFUNCTION("""COMPUTED_VALUE"""),0.142857142857142)</f>
        <v>0.1428571429</v>
      </c>
      <c r="S174" s="8">
        <f>IFERROR(__xludf.DUMMYFUNCTION("""COMPUTED_VALUE"""),0.0)</f>
        <v>0</v>
      </c>
      <c r="T174" s="8">
        <f>IFERROR(__xludf.DUMMYFUNCTION("""COMPUTED_VALUE"""),0.0)</f>
        <v>0</v>
      </c>
      <c r="U174" s="8">
        <f>IFERROR(__xludf.DUMMYFUNCTION("""COMPUTED_VALUE"""),0.0)</f>
        <v>0</v>
      </c>
      <c r="V174" s="8">
        <f>IFERROR(__xludf.DUMMYFUNCTION("""COMPUTED_VALUE"""),0.0)</f>
        <v>0</v>
      </c>
      <c r="W174" s="8">
        <f>IFERROR(__xludf.DUMMYFUNCTION("""COMPUTED_VALUE"""),0.0)</f>
        <v>0</v>
      </c>
      <c r="X174" s="8">
        <f>IFERROR(__xludf.DUMMYFUNCTION("""COMPUTED_VALUE"""),0.0)</f>
        <v>0</v>
      </c>
      <c r="Y174" s="8">
        <f>IFERROR(__xludf.DUMMYFUNCTION("""COMPUTED_VALUE"""),0.0)</f>
        <v>0</v>
      </c>
      <c r="Z174" s="8">
        <f>IFERROR(__xludf.DUMMYFUNCTION("""COMPUTED_VALUE"""),0.0)</f>
        <v>0</v>
      </c>
      <c r="AA174" s="8">
        <f>IFERROR(__xludf.DUMMYFUNCTION("""COMPUTED_VALUE"""),0.0)</f>
        <v>0</v>
      </c>
      <c r="AB174" s="8">
        <f>IFERROR(__xludf.DUMMYFUNCTION("""COMPUTED_VALUE"""),0.0)</f>
        <v>0</v>
      </c>
      <c r="AC174" s="8">
        <f>IFERROR(__xludf.DUMMYFUNCTION("""COMPUTED_VALUE"""),0.0)</f>
        <v>0</v>
      </c>
    </row>
    <row r="175" ht="15.75" customHeight="1">
      <c r="A175" s="6" t="str">
        <f>IFERROR(__xludf.DUMMYFUNCTION("""COMPUTED_VALUE"""),"a028c06a528d6bc1425340cbedd71880abd4ad2b")</f>
        <v>a028c06a528d6bc1425340cbedd71880abd4ad2b</v>
      </c>
      <c r="B175" s="6" t="str">
        <f>IFERROR(__xludf.DUMMYFUNCTION("""COMPUTED_VALUE"""),"Rejected Luna's Secret")</f>
        <v>Rejected Luna's Secret</v>
      </c>
      <c r="C175" s="6" t="str">
        <f>IFERROR(__xludf.DUMMYFUNCTION("""COMPUTED_VALUE"""),"Romantasy")</f>
        <v>Romantasy</v>
      </c>
      <c r="D175" s="17">
        <f>IFERROR(__xludf.DUMMYFUNCTION("""COMPUTED_VALUE"""),398.0)</f>
        <v>398</v>
      </c>
      <c r="E175" s="8">
        <f>IFERROR(__xludf.DUMMYFUNCTION("""COMPUTED_VALUE"""),0.983498349834983)</f>
        <v>0.9834983498</v>
      </c>
      <c r="F175" s="8">
        <f>IFERROR(__xludf.DUMMYFUNCTION("""COMPUTED_VALUE"""),0.647540983606557)</f>
        <v>0.6475409836</v>
      </c>
      <c r="G175" s="8">
        <f>IFERROR(__xludf.DUMMYFUNCTION("""COMPUTED_VALUE"""),0.530612244897959)</f>
        <v>0.5306122449</v>
      </c>
      <c r="H175" s="8">
        <f>IFERROR(__xludf.DUMMYFUNCTION("""COMPUTED_VALUE"""),0.0)</f>
        <v>0</v>
      </c>
      <c r="I175" s="8">
        <f>IFERROR(__xludf.DUMMYFUNCTION("""COMPUTED_VALUE"""),0.0)</f>
        <v>0</v>
      </c>
      <c r="J175" s="8">
        <f>IFERROR(__xludf.DUMMYFUNCTION("""COMPUTED_VALUE"""),0.0)</f>
        <v>0</v>
      </c>
      <c r="K175" s="8">
        <f>IFERROR(__xludf.DUMMYFUNCTION("""COMPUTED_VALUE"""),0.0)</f>
        <v>0</v>
      </c>
      <c r="L175" s="8">
        <f>IFERROR(__xludf.DUMMYFUNCTION("""COMPUTED_VALUE"""),0.0)</f>
        <v>0</v>
      </c>
      <c r="M175" s="8">
        <f>IFERROR(__xludf.DUMMYFUNCTION("""COMPUTED_VALUE"""),0.0)</f>
        <v>0</v>
      </c>
      <c r="N175" s="8">
        <f>IFERROR(__xludf.DUMMYFUNCTION("""COMPUTED_VALUE"""),0.0)</f>
        <v>0</v>
      </c>
      <c r="O175" s="8">
        <f>IFERROR(__xludf.DUMMYFUNCTION("""COMPUTED_VALUE"""),0.0)</f>
        <v>0</v>
      </c>
      <c r="P175" s="8">
        <f>IFERROR(__xludf.DUMMYFUNCTION("""COMPUTED_VALUE"""),0.0)</f>
        <v>0</v>
      </c>
      <c r="Q175" s="8">
        <f>IFERROR(__xludf.DUMMYFUNCTION("""COMPUTED_VALUE"""),0.0)</f>
        <v>0</v>
      </c>
      <c r="R175" s="8">
        <f>IFERROR(__xludf.DUMMYFUNCTION("""COMPUTED_VALUE"""),0.0)</f>
        <v>0</v>
      </c>
      <c r="S175" s="8">
        <f>IFERROR(__xludf.DUMMYFUNCTION("""COMPUTED_VALUE"""),0.0)</f>
        <v>0</v>
      </c>
      <c r="T175" s="8">
        <f>IFERROR(__xludf.DUMMYFUNCTION("""COMPUTED_VALUE"""),0.0)</f>
        <v>0</v>
      </c>
      <c r="U175" s="8">
        <f>IFERROR(__xludf.DUMMYFUNCTION("""COMPUTED_VALUE"""),0.0)</f>
        <v>0</v>
      </c>
      <c r="V175" s="8">
        <f>IFERROR(__xludf.DUMMYFUNCTION("""COMPUTED_VALUE"""),0.0)</f>
        <v>0</v>
      </c>
      <c r="W175" s="8">
        <f>IFERROR(__xludf.DUMMYFUNCTION("""COMPUTED_VALUE"""),0.0)</f>
        <v>0</v>
      </c>
      <c r="X175" s="8">
        <f>IFERROR(__xludf.DUMMYFUNCTION("""COMPUTED_VALUE"""),0.0)</f>
        <v>0</v>
      </c>
      <c r="Y175" s="8">
        <f>IFERROR(__xludf.DUMMYFUNCTION("""COMPUTED_VALUE"""),0.0)</f>
        <v>0</v>
      </c>
      <c r="Z175" s="8">
        <f>IFERROR(__xludf.DUMMYFUNCTION("""COMPUTED_VALUE"""),0.0)</f>
        <v>0</v>
      </c>
      <c r="AA175" s="8">
        <f>IFERROR(__xludf.DUMMYFUNCTION("""COMPUTED_VALUE"""),0.0)</f>
        <v>0</v>
      </c>
      <c r="AB175" s="8">
        <f>IFERROR(__xludf.DUMMYFUNCTION("""COMPUTED_VALUE"""),0.0)</f>
        <v>0</v>
      </c>
      <c r="AC175" s="8">
        <f>IFERROR(__xludf.DUMMYFUNCTION("""COMPUTED_VALUE"""),0.0)</f>
        <v>0</v>
      </c>
    </row>
    <row r="176" ht="15.75" customHeight="1">
      <c r="A176" s="6" t="str">
        <f>IFERROR(__xludf.DUMMYFUNCTION("""COMPUTED_VALUE"""),"a09fd281233c0dee7a45d32647f68bb0142a3b96")</f>
        <v>a09fd281233c0dee7a45d32647f68bb0142a3b96</v>
      </c>
      <c r="B176" s="6" t="str">
        <f>IFERROR(__xludf.DUMMYFUNCTION("""COMPUTED_VALUE"""),"The Comatose Billionaire")</f>
        <v>The Comatose Billionaire</v>
      </c>
      <c r="C176" s="6" t="str">
        <f>IFERROR(__xludf.DUMMYFUNCTION("""COMPUTED_VALUE"""),"Romance")</f>
        <v>Romance</v>
      </c>
      <c r="D176" s="17">
        <f>IFERROR(__xludf.DUMMYFUNCTION("""COMPUTED_VALUE"""),707.0)</f>
        <v>707</v>
      </c>
      <c r="E176" s="8">
        <f>IFERROR(__xludf.DUMMYFUNCTION("""COMPUTED_VALUE"""),0.956090651558073)</f>
        <v>0.9560906516</v>
      </c>
      <c r="F176" s="8">
        <f>IFERROR(__xludf.DUMMYFUNCTION("""COMPUTED_VALUE"""),0.643059490084985)</f>
        <v>0.6430594901</v>
      </c>
      <c r="G176" s="8">
        <f>IFERROR(__xludf.DUMMYFUNCTION("""COMPUTED_VALUE"""),0.589235127478753)</f>
        <v>0.5892351275</v>
      </c>
      <c r="H176" s="8">
        <f>IFERROR(__xludf.DUMMYFUNCTION("""COMPUTED_VALUE"""),0.558238636363636)</f>
        <v>0.5582386364</v>
      </c>
      <c r="I176" s="8">
        <f>IFERROR(__xludf.DUMMYFUNCTION("""COMPUTED_VALUE"""),0.534090909090909)</f>
        <v>0.5340909091</v>
      </c>
      <c r="J176" s="8">
        <f>IFERROR(__xludf.DUMMYFUNCTION("""COMPUTED_VALUE"""),0.526988636363636)</f>
        <v>0.5269886364</v>
      </c>
      <c r="K176" s="8">
        <f>IFERROR(__xludf.DUMMYFUNCTION("""COMPUTED_VALUE"""),0.498579545454545)</f>
        <v>0.4985795455</v>
      </c>
      <c r="L176" s="8">
        <f>IFERROR(__xludf.DUMMYFUNCTION("""COMPUTED_VALUE"""),0.453125)</f>
        <v>0.453125</v>
      </c>
      <c r="M176" s="8">
        <f>IFERROR(__xludf.DUMMYFUNCTION("""COMPUTED_VALUE"""),0.430397727272727)</f>
        <v>0.4303977273</v>
      </c>
      <c r="N176" s="8">
        <f>IFERROR(__xludf.DUMMYFUNCTION("""COMPUTED_VALUE"""),0.377840909090909)</f>
        <v>0.3778409091</v>
      </c>
      <c r="O176" s="8">
        <f>IFERROR(__xludf.DUMMYFUNCTION("""COMPUTED_VALUE"""),0.315714285714285)</f>
        <v>0.3157142857</v>
      </c>
      <c r="P176" s="8">
        <f>IFERROR(__xludf.DUMMYFUNCTION("""COMPUTED_VALUE"""),0.188872620790629)</f>
        <v>0.1888726208</v>
      </c>
      <c r="Q176" s="8">
        <f>IFERROR(__xludf.DUMMYFUNCTION("""COMPUTED_VALUE"""),0.0943113772455089)</f>
        <v>0.09431137725</v>
      </c>
      <c r="R176" s="8">
        <f>IFERROR(__xludf.DUMMYFUNCTION("""COMPUTED_VALUE"""),0.0531914893617021)</f>
        <v>0.05319148936</v>
      </c>
      <c r="S176" s="8">
        <f>IFERROR(__xludf.DUMMYFUNCTION("""COMPUTED_VALUE"""),0.0)</f>
        <v>0</v>
      </c>
      <c r="T176" s="8">
        <f>IFERROR(__xludf.DUMMYFUNCTION("""COMPUTED_VALUE"""),0.0)</f>
        <v>0</v>
      </c>
      <c r="U176" s="8">
        <f>IFERROR(__xludf.DUMMYFUNCTION("""COMPUTED_VALUE"""),0.0)</f>
        <v>0</v>
      </c>
      <c r="V176" s="8">
        <f>IFERROR(__xludf.DUMMYFUNCTION("""COMPUTED_VALUE"""),0.0)</f>
        <v>0</v>
      </c>
      <c r="W176" s="8">
        <f>IFERROR(__xludf.DUMMYFUNCTION("""COMPUTED_VALUE"""),0.0)</f>
        <v>0</v>
      </c>
      <c r="X176" s="8">
        <f>IFERROR(__xludf.DUMMYFUNCTION("""COMPUTED_VALUE"""),0.0)</f>
        <v>0</v>
      </c>
      <c r="Y176" s="8">
        <f>IFERROR(__xludf.DUMMYFUNCTION("""COMPUTED_VALUE"""),0.0)</f>
        <v>0</v>
      </c>
      <c r="Z176" s="8">
        <f>IFERROR(__xludf.DUMMYFUNCTION("""COMPUTED_VALUE"""),0.0)</f>
        <v>0</v>
      </c>
      <c r="AA176" s="8">
        <f>IFERROR(__xludf.DUMMYFUNCTION("""COMPUTED_VALUE"""),0.0)</f>
        <v>0</v>
      </c>
      <c r="AB176" s="8">
        <f>IFERROR(__xludf.DUMMYFUNCTION("""COMPUTED_VALUE"""),0.0)</f>
        <v>0</v>
      </c>
      <c r="AC176" s="8">
        <f>IFERROR(__xludf.DUMMYFUNCTION("""COMPUTED_VALUE"""),0.0)</f>
        <v>0</v>
      </c>
    </row>
    <row r="177" ht="15.75" customHeight="1">
      <c r="A177" s="6" t="str">
        <f>IFERROR(__xludf.DUMMYFUNCTION("""COMPUTED_VALUE"""),"a0f8c5bd5bdb02bdaa499febc39e36611127769b")</f>
        <v>a0f8c5bd5bdb02bdaa499febc39e36611127769b</v>
      </c>
      <c r="B177" s="6" t="str">
        <f>IFERROR(__xludf.DUMMYFUNCTION("""COMPUTED_VALUE"""),"The Wedding He Stole")</f>
        <v>The Wedding He Stole</v>
      </c>
      <c r="C177" s="6" t="str">
        <f>IFERROR(__xludf.DUMMYFUNCTION("""COMPUTED_VALUE"""),"Romance")</f>
        <v>Romance</v>
      </c>
      <c r="D177" s="17">
        <f>IFERROR(__xludf.DUMMYFUNCTION("""COMPUTED_VALUE"""),626.0)</f>
        <v>626</v>
      </c>
      <c r="E177" s="8">
        <f>IFERROR(__xludf.DUMMYFUNCTION("""COMPUTED_VALUE"""),0.963258785942492)</f>
        <v>0.9632587859</v>
      </c>
      <c r="F177" s="8">
        <f>IFERROR(__xludf.DUMMYFUNCTION("""COMPUTED_VALUE"""),0.6752)</f>
        <v>0.6752</v>
      </c>
      <c r="G177" s="8">
        <f>IFERROR(__xludf.DUMMYFUNCTION("""COMPUTED_VALUE"""),0.6512)</f>
        <v>0.6512</v>
      </c>
      <c r="H177" s="8">
        <f>IFERROR(__xludf.DUMMYFUNCTION("""COMPUTED_VALUE"""),0.61637239165329)</f>
        <v>0.6163723917</v>
      </c>
      <c r="I177" s="8">
        <f>IFERROR(__xludf.DUMMYFUNCTION("""COMPUTED_VALUE"""),0.561797752808988)</f>
        <v>0.5617977528</v>
      </c>
      <c r="J177" s="8">
        <f>IFERROR(__xludf.DUMMYFUNCTION("""COMPUTED_VALUE"""),0.468699839486356)</f>
        <v>0.4686998395</v>
      </c>
      <c r="K177" s="8">
        <f>IFERROR(__xludf.DUMMYFUNCTION("""COMPUTED_VALUE"""),0.416398713826366)</f>
        <v>0.4163987138</v>
      </c>
      <c r="L177" s="8">
        <f>IFERROR(__xludf.DUMMYFUNCTION("""COMPUTED_VALUE"""),0.404186795491143)</f>
        <v>0.4041867955</v>
      </c>
      <c r="M177" s="8">
        <f>IFERROR(__xludf.DUMMYFUNCTION("""COMPUTED_VALUE"""),0.338709677419354)</f>
        <v>0.3387096774</v>
      </c>
      <c r="N177" s="8">
        <f>IFERROR(__xludf.DUMMYFUNCTION("""COMPUTED_VALUE"""),0.308562197092084)</f>
        <v>0.3085621971</v>
      </c>
      <c r="O177" s="8">
        <f>IFERROR(__xludf.DUMMYFUNCTION("""COMPUTED_VALUE"""),0.220032840722495)</f>
        <v>0.2200328407</v>
      </c>
      <c r="P177" s="8">
        <f>IFERROR(__xludf.DUMMYFUNCTION("""COMPUTED_VALUE"""),0.104602510460251)</f>
        <v>0.1046025105</v>
      </c>
      <c r="Q177" s="8">
        <f>IFERROR(__xludf.DUMMYFUNCTION("""COMPUTED_VALUE"""),0.0)</f>
        <v>0</v>
      </c>
      <c r="R177" s="8">
        <f>IFERROR(__xludf.DUMMYFUNCTION("""COMPUTED_VALUE"""),0.0)</f>
        <v>0</v>
      </c>
      <c r="S177" s="8">
        <f>IFERROR(__xludf.DUMMYFUNCTION("""COMPUTED_VALUE"""),0.0)</f>
        <v>0</v>
      </c>
      <c r="T177" s="8">
        <f>IFERROR(__xludf.DUMMYFUNCTION("""COMPUTED_VALUE"""),0.0)</f>
        <v>0</v>
      </c>
      <c r="U177" s="8">
        <f>IFERROR(__xludf.DUMMYFUNCTION("""COMPUTED_VALUE"""),0.0)</f>
        <v>0</v>
      </c>
      <c r="V177" s="8">
        <f>IFERROR(__xludf.DUMMYFUNCTION("""COMPUTED_VALUE"""),0.0)</f>
        <v>0</v>
      </c>
      <c r="W177" s="8">
        <f>IFERROR(__xludf.DUMMYFUNCTION("""COMPUTED_VALUE"""),0.0)</f>
        <v>0</v>
      </c>
      <c r="X177" s="8">
        <f>IFERROR(__xludf.DUMMYFUNCTION("""COMPUTED_VALUE"""),0.0)</f>
        <v>0</v>
      </c>
      <c r="Y177" s="8">
        <f>IFERROR(__xludf.DUMMYFUNCTION("""COMPUTED_VALUE"""),0.0)</f>
        <v>0</v>
      </c>
      <c r="Z177" s="8">
        <f>IFERROR(__xludf.DUMMYFUNCTION("""COMPUTED_VALUE"""),0.0)</f>
        <v>0</v>
      </c>
      <c r="AA177" s="8">
        <f>IFERROR(__xludf.DUMMYFUNCTION("""COMPUTED_VALUE"""),0.0)</f>
        <v>0</v>
      </c>
      <c r="AB177" s="8">
        <f>IFERROR(__xludf.DUMMYFUNCTION("""COMPUTED_VALUE"""),0.0)</f>
        <v>0</v>
      </c>
      <c r="AC177" s="8">
        <f>IFERROR(__xludf.DUMMYFUNCTION("""COMPUTED_VALUE"""),0.0)</f>
        <v>0</v>
      </c>
    </row>
    <row r="178" ht="15.75" customHeight="1">
      <c r="A178" s="6" t="str">
        <f>IFERROR(__xludf.DUMMYFUNCTION("""COMPUTED_VALUE"""),"a20d15b2c087672afecf4c46baa7e9368a4cbb9f")</f>
        <v>a20d15b2c087672afecf4c46baa7e9368a4cbb9f</v>
      </c>
      <c r="B178" s="6" t="str">
        <f>IFERROR(__xludf.DUMMYFUNCTION("""COMPUTED_VALUE"""),"Secrets and Bloodline")</f>
        <v>Secrets and Bloodline</v>
      </c>
      <c r="C178" s="6" t="str">
        <f>IFERROR(__xludf.DUMMYFUNCTION("""COMPUTED_VALUE"""),"Romance")</f>
        <v>Romance</v>
      </c>
      <c r="D178" s="17">
        <f>IFERROR(__xludf.DUMMYFUNCTION("""COMPUTED_VALUE"""),138.0)</f>
        <v>138</v>
      </c>
      <c r="E178" s="8">
        <f>IFERROR(__xludf.DUMMYFUNCTION("""COMPUTED_VALUE"""),0.963235294117647)</f>
        <v>0.9632352941</v>
      </c>
      <c r="F178" s="8">
        <f>IFERROR(__xludf.DUMMYFUNCTION("""COMPUTED_VALUE"""),0.511627906976744)</f>
        <v>0.511627907</v>
      </c>
      <c r="G178" s="8">
        <f>IFERROR(__xludf.DUMMYFUNCTION("""COMPUTED_VALUE"""),0.472)</f>
        <v>0.472</v>
      </c>
      <c r="H178" s="8">
        <f>IFERROR(__xludf.DUMMYFUNCTION("""COMPUTED_VALUE"""),0.418803418803418)</f>
        <v>0.4188034188</v>
      </c>
      <c r="I178" s="8">
        <f>IFERROR(__xludf.DUMMYFUNCTION("""COMPUTED_VALUE"""),0.424778761061946)</f>
        <v>0.4247787611</v>
      </c>
      <c r="J178" s="8">
        <f>IFERROR(__xludf.DUMMYFUNCTION("""COMPUTED_VALUE"""),0.342857142857142)</f>
        <v>0.3428571429</v>
      </c>
      <c r="K178" s="8">
        <f>IFERROR(__xludf.DUMMYFUNCTION("""COMPUTED_VALUE"""),0.353535353535353)</f>
        <v>0.3535353535</v>
      </c>
      <c r="L178" s="8">
        <f>IFERROR(__xludf.DUMMYFUNCTION("""COMPUTED_VALUE"""),0.34090909090909)</f>
        <v>0.3409090909</v>
      </c>
      <c r="M178" s="8">
        <f>IFERROR(__xludf.DUMMYFUNCTION("""COMPUTED_VALUE"""),0.364705882352941)</f>
        <v>0.3647058824</v>
      </c>
      <c r="N178" s="8">
        <f>IFERROR(__xludf.DUMMYFUNCTION("""COMPUTED_VALUE"""),0.345679012345679)</f>
        <v>0.3456790123</v>
      </c>
      <c r="O178" s="8">
        <f>IFERROR(__xludf.DUMMYFUNCTION("""COMPUTED_VALUE"""),0.363636363636363)</f>
        <v>0.3636363636</v>
      </c>
      <c r="P178" s="8">
        <f>IFERROR(__xludf.DUMMYFUNCTION("""COMPUTED_VALUE"""),0.277777777777777)</f>
        <v>0.2777777778</v>
      </c>
      <c r="Q178" s="8">
        <f>IFERROR(__xludf.DUMMYFUNCTION("""COMPUTED_VALUE"""),0.12)</f>
        <v>0.12</v>
      </c>
      <c r="R178" s="8">
        <f>IFERROR(__xludf.DUMMYFUNCTION("""COMPUTED_VALUE"""),0.0)</f>
        <v>0</v>
      </c>
      <c r="S178" s="8">
        <f>IFERROR(__xludf.DUMMYFUNCTION("""COMPUTED_VALUE"""),0.0)</f>
        <v>0</v>
      </c>
      <c r="T178" s="8">
        <f>IFERROR(__xludf.DUMMYFUNCTION("""COMPUTED_VALUE"""),0.0)</f>
        <v>0</v>
      </c>
      <c r="U178" s="8">
        <f>IFERROR(__xludf.DUMMYFUNCTION("""COMPUTED_VALUE"""),0.0)</f>
        <v>0</v>
      </c>
      <c r="V178" s="8">
        <f>IFERROR(__xludf.DUMMYFUNCTION("""COMPUTED_VALUE"""),0.0)</f>
        <v>0</v>
      </c>
      <c r="W178" s="8">
        <f>IFERROR(__xludf.DUMMYFUNCTION("""COMPUTED_VALUE"""),0.0)</f>
        <v>0</v>
      </c>
      <c r="X178" s="8">
        <f>IFERROR(__xludf.DUMMYFUNCTION("""COMPUTED_VALUE"""),0.0)</f>
        <v>0</v>
      </c>
      <c r="Y178" s="8">
        <f>IFERROR(__xludf.DUMMYFUNCTION("""COMPUTED_VALUE"""),0.0)</f>
        <v>0</v>
      </c>
      <c r="Z178" s="8">
        <f>IFERROR(__xludf.DUMMYFUNCTION("""COMPUTED_VALUE"""),0.0)</f>
        <v>0</v>
      </c>
      <c r="AA178" s="8">
        <f>IFERROR(__xludf.DUMMYFUNCTION("""COMPUTED_VALUE"""),0.0)</f>
        <v>0</v>
      </c>
      <c r="AB178" s="8">
        <f>IFERROR(__xludf.DUMMYFUNCTION("""COMPUTED_VALUE"""),0.0)</f>
        <v>0</v>
      </c>
      <c r="AC178" s="8">
        <f>IFERROR(__xludf.DUMMYFUNCTION("""COMPUTED_VALUE"""),0.0)</f>
        <v>0</v>
      </c>
    </row>
    <row r="179" ht="15.75" customHeight="1">
      <c r="A179" s="6" t="str">
        <f>IFERROR(__xludf.DUMMYFUNCTION("""COMPUTED_VALUE"""),"a3d40a3745a853e245e802a317e3934318836a28")</f>
        <v>a3d40a3745a853e245e802a317e3934318836a28</v>
      </c>
      <c r="B179" s="6" t="str">
        <f>IFERROR(__xludf.DUMMYFUNCTION("""COMPUTED_VALUE"""),"The Amazing Idiot Man")</f>
        <v>The Amazing Idiot Man</v>
      </c>
      <c r="C179" s="6" t="str">
        <f>IFERROR(__xludf.DUMMYFUNCTION("""COMPUTED_VALUE"""),"Drama")</f>
        <v>Drama</v>
      </c>
      <c r="D179" s="17">
        <f>IFERROR(__xludf.DUMMYFUNCTION("""COMPUTED_VALUE"""),658.0)</f>
        <v>658</v>
      </c>
      <c r="E179" s="8">
        <f>IFERROR(__xludf.DUMMYFUNCTION("""COMPUTED_VALUE"""),0.969604863221884)</f>
        <v>0.9696048632</v>
      </c>
      <c r="F179" s="8">
        <f>IFERROR(__xludf.DUMMYFUNCTION("""COMPUTED_VALUE"""),0.558599695585997)</f>
        <v>0.5585996956</v>
      </c>
      <c r="G179" s="8">
        <f>IFERROR(__xludf.DUMMYFUNCTION("""COMPUTED_VALUE"""),0.488584474885844)</f>
        <v>0.4885844749</v>
      </c>
      <c r="H179" s="8">
        <f>IFERROR(__xludf.DUMMYFUNCTION("""COMPUTED_VALUE"""),0.429223744292237)</f>
        <v>0.4292237443</v>
      </c>
      <c r="I179" s="8">
        <f>IFERROR(__xludf.DUMMYFUNCTION("""COMPUTED_VALUE"""),0.400914634146341)</f>
        <v>0.4009146341</v>
      </c>
      <c r="J179" s="8">
        <f>IFERROR(__xludf.DUMMYFUNCTION("""COMPUTED_VALUE"""),0.380152671755725)</f>
        <v>0.3801526718</v>
      </c>
      <c r="K179" s="8">
        <f>IFERROR(__xludf.DUMMYFUNCTION("""COMPUTED_VALUE"""),0.355725190839694)</f>
        <v>0.3557251908</v>
      </c>
      <c r="L179" s="8">
        <f>IFERROR(__xludf.DUMMYFUNCTION("""COMPUTED_VALUE"""),0.331297709923664)</f>
        <v>0.3312977099</v>
      </c>
      <c r="M179" s="8">
        <f>IFERROR(__xludf.DUMMYFUNCTION("""COMPUTED_VALUE"""),0.3206106870229)</f>
        <v>0.320610687</v>
      </c>
      <c r="N179" s="8">
        <f>IFERROR(__xludf.DUMMYFUNCTION("""COMPUTED_VALUE"""),0.302611367127496)</f>
        <v>0.3026113671</v>
      </c>
      <c r="O179" s="8">
        <f>IFERROR(__xludf.DUMMYFUNCTION("""COMPUTED_VALUE"""),0.246913580246913)</f>
        <v>0.2469135802</v>
      </c>
      <c r="P179" s="8">
        <f>IFERROR(__xludf.DUMMYFUNCTION("""COMPUTED_VALUE"""),0.175)</f>
        <v>0.175</v>
      </c>
      <c r="Q179" s="8">
        <f>IFERROR(__xludf.DUMMYFUNCTION("""COMPUTED_VALUE"""),0.0)</f>
        <v>0</v>
      </c>
      <c r="R179" s="8">
        <f>IFERROR(__xludf.DUMMYFUNCTION("""COMPUTED_VALUE"""),0.0)</f>
        <v>0</v>
      </c>
      <c r="S179" s="8">
        <f>IFERROR(__xludf.DUMMYFUNCTION("""COMPUTED_VALUE"""),0.0)</f>
        <v>0</v>
      </c>
      <c r="T179" s="8">
        <f>IFERROR(__xludf.DUMMYFUNCTION("""COMPUTED_VALUE"""),0.0)</f>
        <v>0</v>
      </c>
      <c r="U179" s="8">
        <f>IFERROR(__xludf.DUMMYFUNCTION("""COMPUTED_VALUE"""),0.0)</f>
        <v>0</v>
      </c>
      <c r="V179" s="8">
        <f>IFERROR(__xludf.DUMMYFUNCTION("""COMPUTED_VALUE"""),0.0)</f>
        <v>0</v>
      </c>
      <c r="W179" s="8">
        <f>IFERROR(__xludf.DUMMYFUNCTION("""COMPUTED_VALUE"""),0.0)</f>
        <v>0</v>
      </c>
      <c r="X179" s="8">
        <f>IFERROR(__xludf.DUMMYFUNCTION("""COMPUTED_VALUE"""),0.0)</f>
        <v>0</v>
      </c>
      <c r="Y179" s="8">
        <f>IFERROR(__xludf.DUMMYFUNCTION("""COMPUTED_VALUE"""),0.0)</f>
        <v>0</v>
      </c>
      <c r="Z179" s="8">
        <f>IFERROR(__xludf.DUMMYFUNCTION("""COMPUTED_VALUE"""),0.0)</f>
        <v>0</v>
      </c>
      <c r="AA179" s="8">
        <f>IFERROR(__xludf.DUMMYFUNCTION("""COMPUTED_VALUE"""),0.0)</f>
        <v>0</v>
      </c>
      <c r="AB179" s="8">
        <f>IFERROR(__xludf.DUMMYFUNCTION("""COMPUTED_VALUE"""),0.0)</f>
        <v>0</v>
      </c>
      <c r="AC179" s="8">
        <f>IFERROR(__xludf.DUMMYFUNCTION("""COMPUTED_VALUE"""),0.0)</f>
        <v>0</v>
      </c>
    </row>
    <row r="180" ht="15.75" customHeight="1">
      <c r="A180" s="6" t="str">
        <f>IFERROR(__xludf.DUMMYFUNCTION("""COMPUTED_VALUE"""),"a48f5e77f994307c8a39968302f28c62b0c654af")</f>
        <v>a48f5e77f994307c8a39968302f28c62b0c654af</v>
      </c>
      <c r="B180" s="6" t="str">
        <f>IFERROR(__xludf.DUMMYFUNCTION("""COMPUTED_VALUE"""),"Battle Master")</f>
        <v>Battle Master</v>
      </c>
      <c r="C180" s="6" t="str">
        <f>IFERROR(__xludf.DUMMYFUNCTION("""COMPUTED_VALUE"""),"Fantasy")</f>
        <v>Fantasy</v>
      </c>
      <c r="D180" s="17">
        <f>IFERROR(__xludf.DUMMYFUNCTION("""COMPUTED_VALUE"""),561.0)</f>
        <v>561</v>
      </c>
      <c r="E180" s="8">
        <f>IFERROR(__xludf.DUMMYFUNCTION("""COMPUTED_VALUE"""),0.984189723320158)</f>
        <v>0.9841897233</v>
      </c>
      <c r="F180" s="8">
        <f>IFERROR(__xludf.DUMMYFUNCTION("""COMPUTED_VALUE"""),0.618181818181818)</f>
        <v>0.6181818182</v>
      </c>
      <c r="G180" s="8">
        <f>IFERROR(__xludf.DUMMYFUNCTION("""COMPUTED_VALUE"""),0.584795321637426)</f>
        <v>0.5847953216</v>
      </c>
      <c r="H180" s="8">
        <f>IFERROR(__xludf.DUMMYFUNCTION("""COMPUTED_VALUE"""),0.455445544554455)</f>
        <v>0.4554455446</v>
      </c>
      <c r="I180" s="8">
        <f>IFERROR(__xludf.DUMMYFUNCTION("""COMPUTED_VALUE"""),0.428571428571428)</f>
        <v>0.4285714286</v>
      </c>
      <c r="J180" s="8">
        <f>IFERROR(__xludf.DUMMYFUNCTION("""COMPUTED_VALUE"""),0.4375)</f>
        <v>0.4375</v>
      </c>
      <c r="K180" s="8">
        <f>IFERROR(__xludf.DUMMYFUNCTION("""COMPUTED_VALUE"""),1.0)</f>
        <v>1</v>
      </c>
      <c r="L180" s="8">
        <f>IFERROR(__xludf.DUMMYFUNCTION("""COMPUTED_VALUE"""),0.0)</f>
        <v>0</v>
      </c>
      <c r="M180" s="8">
        <f>IFERROR(__xludf.DUMMYFUNCTION("""COMPUTED_VALUE"""),0.0)</f>
        <v>0</v>
      </c>
      <c r="N180" s="8">
        <f>IFERROR(__xludf.DUMMYFUNCTION("""COMPUTED_VALUE"""),0.0)</f>
        <v>0</v>
      </c>
      <c r="O180" s="8">
        <f>IFERROR(__xludf.DUMMYFUNCTION("""COMPUTED_VALUE"""),0.0)</f>
        <v>0</v>
      </c>
      <c r="P180" s="8">
        <f>IFERROR(__xludf.DUMMYFUNCTION("""COMPUTED_VALUE"""),0.0)</f>
        <v>0</v>
      </c>
      <c r="Q180" s="8">
        <f>IFERROR(__xludf.DUMMYFUNCTION("""COMPUTED_VALUE"""),0.0)</f>
        <v>0</v>
      </c>
      <c r="R180" s="8">
        <f>IFERROR(__xludf.DUMMYFUNCTION("""COMPUTED_VALUE"""),0.0)</f>
        <v>0</v>
      </c>
      <c r="S180" s="8">
        <f>IFERROR(__xludf.DUMMYFUNCTION("""COMPUTED_VALUE"""),0.0)</f>
        <v>0</v>
      </c>
      <c r="T180" s="8">
        <f>IFERROR(__xludf.DUMMYFUNCTION("""COMPUTED_VALUE"""),0.0)</f>
        <v>0</v>
      </c>
      <c r="U180" s="8">
        <f>IFERROR(__xludf.DUMMYFUNCTION("""COMPUTED_VALUE"""),0.0)</f>
        <v>0</v>
      </c>
      <c r="V180" s="8">
        <f>IFERROR(__xludf.DUMMYFUNCTION("""COMPUTED_VALUE"""),0.0)</f>
        <v>0</v>
      </c>
      <c r="W180" s="8">
        <f>IFERROR(__xludf.DUMMYFUNCTION("""COMPUTED_VALUE"""),0.0)</f>
        <v>0</v>
      </c>
      <c r="X180" s="8">
        <f>IFERROR(__xludf.DUMMYFUNCTION("""COMPUTED_VALUE"""),0.0)</f>
        <v>0</v>
      </c>
      <c r="Y180" s="8">
        <f>IFERROR(__xludf.DUMMYFUNCTION("""COMPUTED_VALUE"""),0.0)</f>
        <v>0</v>
      </c>
      <c r="Z180" s="8">
        <f>IFERROR(__xludf.DUMMYFUNCTION("""COMPUTED_VALUE"""),0.0)</f>
        <v>0</v>
      </c>
      <c r="AA180" s="8">
        <f>IFERROR(__xludf.DUMMYFUNCTION("""COMPUTED_VALUE"""),0.0)</f>
        <v>0</v>
      </c>
      <c r="AB180" s="8">
        <f>IFERROR(__xludf.DUMMYFUNCTION("""COMPUTED_VALUE"""),0.0)</f>
        <v>0</v>
      </c>
      <c r="AC180" s="8">
        <f>IFERROR(__xludf.DUMMYFUNCTION("""COMPUTED_VALUE"""),0.0)</f>
        <v>0</v>
      </c>
    </row>
    <row r="181" ht="15.75" customHeight="1">
      <c r="A181" s="6" t="str">
        <f>IFERROR(__xludf.DUMMYFUNCTION("""COMPUTED_VALUE"""),"a4dd4053a025d38e2c0410dbcf348862c41c4c5b")</f>
        <v>a4dd4053a025d38e2c0410dbcf348862c41c4c5b</v>
      </c>
      <c r="B181" s="6" t="str">
        <f>IFERROR(__xludf.DUMMYFUNCTION("""COMPUTED_VALUE"""),"Twin Betrayal, Enemy Love")</f>
        <v>Twin Betrayal, Enemy Love</v>
      </c>
      <c r="C181" s="6" t="str">
        <f>IFERROR(__xludf.DUMMYFUNCTION("""COMPUTED_VALUE"""),"Romance")</f>
        <v>Romance</v>
      </c>
      <c r="D181" s="17">
        <f>IFERROR(__xludf.DUMMYFUNCTION("""COMPUTED_VALUE"""),670.0)</f>
        <v>670</v>
      </c>
      <c r="E181" s="8">
        <f>IFERROR(__xludf.DUMMYFUNCTION("""COMPUTED_VALUE"""),0.952238805970149)</f>
        <v>0.952238806</v>
      </c>
      <c r="F181" s="8">
        <f>IFERROR(__xludf.DUMMYFUNCTION("""COMPUTED_VALUE"""),0.58955223880597)</f>
        <v>0.5895522388</v>
      </c>
      <c r="G181" s="8">
        <f>IFERROR(__xludf.DUMMYFUNCTION("""COMPUTED_VALUE"""),0.507462686567164)</f>
        <v>0.5074626866</v>
      </c>
      <c r="H181" s="8">
        <f>IFERROR(__xludf.DUMMYFUNCTION("""COMPUTED_VALUE"""),0.485074626865671)</f>
        <v>0.4850746269</v>
      </c>
      <c r="I181" s="8">
        <f>IFERROR(__xludf.DUMMYFUNCTION("""COMPUTED_VALUE"""),0.484304932735426)</f>
        <v>0.4843049327</v>
      </c>
      <c r="J181" s="8">
        <f>IFERROR(__xludf.DUMMYFUNCTION("""COMPUTED_VALUE"""),0.4304932735426)</f>
        <v>0.4304932735</v>
      </c>
      <c r="K181" s="8">
        <f>IFERROR(__xludf.DUMMYFUNCTION("""COMPUTED_VALUE"""),0.403587443946188)</f>
        <v>0.4035874439</v>
      </c>
      <c r="L181" s="8">
        <f>IFERROR(__xludf.DUMMYFUNCTION("""COMPUTED_VALUE"""),0.386227544910179)</f>
        <v>0.3862275449</v>
      </c>
      <c r="M181" s="8">
        <f>IFERROR(__xludf.DUMMYFUNCTION("""COMPUTED_VALUE"""),0.357784431137724)</f>
        <v>0.3577844311</v>
      </c>
      <c r="N181" s="8">
        <f>IFERROR(__xludf.DUMMYFUNCTION("""COMPUTED_VALUE"""),0.326347305389221)</f>
        <v>0.3263473054</v>
      </c>
      <c r="O181" s="8">
        <f>IFERROR(__xludf.DUMMYFUNCTION("""COMPUTED_VALUE"""),0.290419161676646)</f>
        <v>0.2904191617</v>
      </c>
      <c r="P181" s="8">
        <f>IFERROR(__xludf.DUMMYFUNCTION("""COMPUTED_VALUE"""),0.212349397590361)</f>
        <v>0.2123493976</v>
      </c>
      <c r="Q181" s="8">
        <f>IFERROR(__xludf.DUMMYFUNCTION("""COMPUTED_VALUE"""),0.160550458715596)</f>
        <v>0.1605504587</v>
      </c>
      <c r="R181" s="8">
        <f>IFERROR(__xludf.DUMMYFUNCTION("""COMPUTED_VALUE"""),0.0963222416812609)</f>
        <v>0.09632224168</v>
      </c>
      <c r="S181" s="8">
        <f>IFERROR(__xludf.DUMMYFUNCTION("""COMPUTED_VALUE"""),0.0603112840466926)</f>
        <v>0.06031128405</v>
      </c>
      <c r="T181" s="8">
        <f>IFERROR(__xludf.DUMMYFUNCTION("""COMPUTED_VALUE"""),0.0)</f>
        <v>0</v>
      </c>
      <c r="U181" s="8">
        <f>IFERROR(__xludf.DUMMYFUNCTION("""COMPUTED_VALUE"""),0.0)</f>
        <v>0</v>
      </c>
      <c r="V181" s="8">
        <f>IFERROR(__xludf.DUMMYFUNCTION("""COMPUTED_VALUE"""),0.0)</f>
        <v>0</v>
      </c>
      <c r="W181" s="8">
        <f>IFERROR(__xludf.DUMMYFUNCTION("""COMPUTED_VALUE"""),0.0)</f>
        <v>0</v>
      </c>
      <c r="X181" s="8">
        <f>IFERROR(__xludf.DUMMYFUNCTION("""COMPUTED_VALUE"""),0.0)</f>
        <v>0</v>
      </c>
      <c r="Y181" s="8">
        <f>IFERROR(__xludf.DUMMYFUNCTION("""COMPUTED_VALUE"""),0.0)</f>
        <v>0</v>
      </c>
      <c r="Z181" s="8">
        <f>IFERROR(__xludf.DUMMYFUNCTION("""COMPUTED_VALUE"""),0.0)</f>
        <v>0</v>
      </c>
      <c r="AA181" s="8">
        <f>IFERROR(__xludf.DUMMYFUNCTION("""COMPUTED_VALUE"""),0.0)</f>
        <v>0</v>
      </c>
      <c r="AB181" s="8">
        <f>IFERROR(__xludf.DUMMYFUNCTION("""COMPUTED_VALUE"""),0.0)</f>
        <v>0</v>
      </c>
      <c r="AC181" s="8">
        <f>IFERROR(__xludf.DUMMYFUNCTION("""COMPUTED_VALUE"""),0.0)</f>
        <v>0</v>
      </c>
    </row>
    <row r="182" ht="15.75" customHeight="1">
      <c r="A182" s="6" t="str">
        <f>IFERROR(__xludf.DUMMYFUNCTION("""COMPUTED_VALUE"""),"a58a0944241952550b248f5ed8bc3d2647482fe5")</f>
        <v>a58a0944241952550b248f5ed8bc3d2647482fe5</v>
      </c>
      <c r="B182" s="6" t="str">
        <f>IFERROR(__xludf.DUMMYFUNCTION("""COMPUTED_VALUE"""),"Miraculous Eyes")</f>
        <v>Miraculous Eyes</v>
      </c>
      <c r="C182" s="6" t="str">
        <f>IFERROR(__xludf.DUMMYFUNCTION("""COMPUTED_VALUE"""),"Drama")</f>
        <v>Drama</v>
      </c>
      <c r="D182" s="17">
        <f>IFERROR(__xludf.DUMMYFUNCTION("""COMPUTED_VALUE"""),627.0)</f>
        <v>627</v>
      </c>
      <c r="E182" s="8">
        <f>IFERROR(__xludf.DUMMYFUNCTION("""COMPUTED_VALUE"""),0.984051036682615)</f>
        <v>0.9840510367</v>
      </c>
      <c r="F182" s="8">
        <f>IFERROR(__xludf.DUMMYFUNCTION("""COMPUTED_VALUE"""),0.63738019169329)</f>
        <v>0.6373801917</v>
      </c>
      <c r="G182" s="8">
        <f>IFERROR(__xludf.DUMMYFUNCTION("""COMPUTED_VALUE"""),0.570287539936102)</f>
        <v>0.5702875399</v>
      </c>
      <c r="H182" s="8">
        <f>IFERROR(__xludf.DUMMYFUNCTION("""COMPUTED_VALUE"""),0.5168)</f>
        <v>0.5168</v>
      </c>
      <c r="I182" s="8">
        <f>IFERROR(__xludf.DUMMYFUNCTION("""COMPUTED_VALUE"""),0.4544)</f>
        <v>0.4544</v>
      </c>
      <c r="J182" s="8">
        <f>IFERROR(__xludf.DUMMYFUNCTION("""COMPUTED_VALUE"""),0.403846153846153)</f>
        <v>0.4038461538</v>
      </c>
      <c r="K182" s="8">
        <f>IFERROR(__xludf.DUMMYFUNCTION("""COMPUTED_VALUE"""),0.366987179487179)</f>
        <v>0.3669871795</v>
      </c>
      <c r="L182" s="8">
        <f>IFERROR(__xludf.DUMMYFUNCTION("""COMPUTED_VALUE"""),0.333868378812199)</f>
        <v>0.3338683788</v>
      </c>
      <c r="M182" s="8">
        <f>IFERROR(__xludf.DUMMYFUNCTION("""COMPUTED_VALUE"""),0.321027287319422)</f>
        <v>0.3210272873</v>
      </c>
      <c r="N182" s="8">
        <f>IFERROR(__xludf.DUMMYFUNCTION("""COMPUTED_VALUE"""),0.305466237942122)</f>
        <v>0.3054662379</v>
      </c>
      <c r="O182" s="8">
        <f>IFERROR(__xludf.DUMMYFUNCTION("""COMPUTED_VALUE"""),0.213826366559485)</f>
        <v>0.2138263666</v>
      </c>
      <c r="P182" s="8">
        <f>IFERROR(__xludf.DUMMYFUNCTION("""COMPUTED_VALUE"""),0.0998389694041868)</f>
        <v>0.0998389694</v>
      </c>
      <c r="Q182" s="8">
        <f>IFERROR(__xludf.DUMMYFUNCTION("""COMPUTED_VALUE"""),0.0204081632653061)</f>
        <v>0.02040816327</v>
      </c>
      <c r="R182" s="8">
        <f>IFERROR(__xludf.DUMMYFUNCTION("""COMPUTED_VALUE"""),0.0)</f>
        <v>0</v>
      </c>
      <c r="S182" s="8">
        <f>IFERROR(__xludf.DUMMYFUNCTION("""COMPUTED_VALUE"""),0.0)</f>
        <v>0</v>
      </c>
      <c r="T182" s="8">
        <f>IFERROR(__xludf.DUMMYFUNCTION("""COMPUTED_VALUE"""),0.0)</f>
        <v>0</v>
      </c>
      <c r="U182" s="8">
        <f>IFERROR(__xludf.DUMMYFUNCTION("""COMPUTED_VALUE"""),0.0)</f>
        <v>0</v>
      </c>
      <c r="V182" s="8">
        <f>IFERROR(__xludf.DUMMYFUNCTION("""COMPUTED_VALUE"""),0.0)</f>
        <v>0</v>
      </c>
      <c r="W182" s="8">
        <f>IFERROR(__xludf.DUMMYFUNCTION("""COMPUTED_VALUE"""),0.0)</f>
        <v>0</v>
      </c>
      <c r="X182" s="8">
        <f>IFERROR(__xludf.DUMMYFUNCTION("""COMPUTED_VALUE"""),0.0)</f>
        <v>0</v>
      </c>
      <c r="Y182" s="8">
        <f>IFERROR(__xludf.DUMMYFUNCTION("""COMPUTED_VALUE"""),0.0)</f>
        <v>0</v>
      </c>
      <c r="Z182" s="8">
        <f>IFERROR(__xludf.DUMMYFUNCTION("""COMPUTED_VALUE"""),0.0)</f>
        <v>0</v>
      </c>
      <c r="AA182" s="8">
        <f>IFERROR(__xludf.DUMMYFUNCTION("""COMPUTED_VALUE"""),0.0)</f>
        <v>0</v>
      </c>
      <c r="AB182" s="8">
        <f>IFERROR(__xludf.DUMMYFUNCTION("""COMPUTED_VALUE"""),0.0)</f>
        <v>0</v>
      </c>
      <c r="AC182" s="8">
        <f>IFERROR(__xludf.DUMMYFUNCTION("""COMPUTED_VALUE"""),0.0)</f>
        <v>0</v>
      </c>
    </row>
    <row r="183" ht="15.75" customHeight="1">
      <c r="A183" s="6" t="str">
        <f>IFERROR(__xludf.DUMMYFUNCTION("""COMPUTED_VALUE"""),"a6268ee1800866a09bab6b47c61f885556992b45")</f>
        <v>a6268ee1800866a09bab6b47c61f885556992b45</v>
      </c>
      <c r="B183" s="6" t="str">
        <f>IFERROR(__xludf.DUMMYFUNCTION("""COMPUTED_VALUE"""),"The System Creation: Intergalactic Entry")</f>
        <v>The System Creation: Intergalactic Entry</v>
      </c>
      <c r="C183" s="6" t="str">
        <f>IFERROR(__xludf.DUMMYFUNCTION("""COMPUTED_VALUE"""),"System and Superpower")</f>
        <v>System and Superpower</v>
      </c>
      <c r="D183" s="17">
        <f>IFERROR(__xludf.DUMMYFUNCTION("""COMPUTED_VALUE"""),8537.0)</f>
        <v>8537</v>
      </c>
      <c r="E183" s="8">
        <f>IFERROR(__xludf.DUMMYFUNCTION("""COMPUTED_VALUE"""),0.941624662993787)</f>
        <v>0.941624663</v>
      </c>
      <c r="F183" s="8">
        <f>IFERROR(__xludf.DUMMYFUNCTION("""COMPUTED_VALUE"""),0.501350557839107)</f>
        <v>0.5013505578</v>
      </c>
      <c r="G183" s="8">
        <f>IFERROR(__xludf.DUMMYFUNCTION("""COMPUTED_VALUE"""),0.436861270997298)</f>
        <v>0.436861271</v>
      </c>
      <c r="H183" s="8">
        <f>IFERROR(__xludf.DUMMYFUNCTION("""COMPUTED_VALUE"""),0.393957206677639)</f>
        <v>0.3939572067</v>
      </c>
      <c r="I183" s="8">
        <f>IFERROR(__xludf.DUMMYFUNCTION("""COMPUTED_VALUE"""),0.372705882352941)</f>
        <v>0.3727058824</v>
      </c>
      <c r="J183" s="8">
        <f>IFERROR(__xludf.DUMMYFUNCTION("""COMPUTED_VALUE"""),0.35311432944778)</f>
        <v>0.3531143294</v>
      </c>
      <c r="K183" s="8">
        <f>IFERROR(__xludf.DUMMYFUNCTION("""COMPUTED_VALUE"""),0.340718915733647)</f>
        <v>0.3407189157</v>
      </c>
      <c r="L183" s="8">
        <f>IFERROR(__xludf.DUMMYFUNCTION("""COMPUTED_VALUE"""),0.327472268114231)</f>
        <v>0.3274722681</v>
      </c>
      <c r="M183" s="8">
        <f>IFERROR(__xludf.DUMMYFUNCTION("""COMPUTED_VALUE"""),0.312987012987013)</f>
        <v>0.312987013</v>
      </c>
      <c r="N183" s="8">
        <f>IFERROR(__xludf.DUMMYFUNCTION("""COMPUTED_VALUE"""),0.299066524872976)</f>
        <v>0.2990665249</v>
      </c>
      <c r="O183" s="8">
        <f>IFERROR(__xludf.DUMMYFUNCTION("""COMPUTED_VALUE"""),0.274786527514231)</f>
        <v>0.2747865275</v>
      </c>
      <c r="P183" s="8">
        <f>IFERROR(__xludf.DUMMYFUNCTION("""COMPUTED_VALUE"""),0.226536445926631)</f>
        <v>0.2265364459</v>
      </c>
      <c r="Q183" s="8">
        <f>IFERROR(__xludf.DUMMYFUNCTION("""COMPUTED_VALUE"""),0.178429722255621)</f>
        <v>0.1784297223</v>
      </c>
      <c r="R183" s="8">
        <f>IFERROR(__xludf.DUMMYFUNCTION("""COMPUTED_VALUE"""),0.157106629634102)</f>
        <v>0.1571066296</v>
      </c>
      <c r="S183" s="8">
        <f>IFERROR(__xludf.DUMMYFUNCTION("""COMPUTED_VALUE"""),0.139912706110572)</f>
        <v>0.1399127061</v>
      </c>
      <c r="T183" s="8">
        <f>IFERROR(__xludf.DUMMYFUNCTION("""COMPUTED_VALUE"""),0.128226984900146)</f>
        <v>0.1282269849</v>
      </c>
      <c r="U183" s="8">
        <f>IFERROR(__xludf.DUMMYFUNCTION("""COMPUTED_VALUE"""),0.118913628578419)</f>
        <v>0.1189136286</v>
      </c>
      <c r="V183" s="8">
        <f>IFERROR(__xludf.DUMMYFUNCTION("""COMPUTED_VALUE"""),0.111288735858337)</f>
        <v>0.1112887359</v>
      </c>
      <c r="W183" s="8">
        <f>IFERROR(__xludf.DUMMYFUNCTION("""COMPUTED_VALUE"""),0.101272076077559)</f>
        <v>0.1012720761</v>
      </c>
      <c r="X183" s="8">
        <f>IFERROR(__xludf.DUMMYFUNCTION("""COMPUTED_VALUE"""),0.0918240556660039)</f>
        <v>0.09182405567</v>
      </c>
      <c r="Y183" s="8">
        <f>IFERROR(__xludf.DUMMYFUNCTION("""COMPUTED_VALUE"""),0.0758408146857832)</f>
        <v>0.07584081469</v>
      </c>
      <c r="Z183" s="8">
        <f>IFERROR(__xludf.DUMMYFUNCTION("""COMPUTED_VALUE"""),0.0672448109183963)</f>
        <v>0.06724481092</v>
      </c>
      <c r="AA183" s="8">
        <f>IFERROR(__xludf.DUMMYFUNCTION("""COMPUTED_VALUE"""),0.0599180069378744)</f>
        <v>0.05991800694</v>
      </c>
      <c r="AB183" s="8">
        <f>IFERROR(__xludf.DUMMYFUNCTION("""COMPUTED_VALUE"""),0.0493314058547163)</f>
        <v>0.04933140585</v>
      </c>
      <c r="AC183" s="8">
        <f>IFERROR(__xludf.DUMMYFUNCTION("""COMPUTED_VALUE"""),0.0387243735763098)</f>
        <v>0.03872437358</v>
      </c>
    </row>
    <row r="184" ht="15.75" customHeight="1">
      <c r="A184" s="6" t="str">
        <f>IFERROR(__xludf.DUMMYFUNCTION("""COMPUTED_VALUE"""),"a6f94887cb30090252bc97e34a7a53c7a6555b8d")</f>
        <v>a6f94887cb30090252bc97e34a7a53c7a6555b8d</v>
      </c>
      <c r="B184" s="6" t="str">
        <f>IFERROR(__xludf.DUMMYFUNCTION("""COMPUTED_VALUE"""),"A Surrogate Bride for a Paralyzed Ceo")</f>
        <v>A Surrogate Bride for a Paralyzed Ceo</v>
      </c>
      <c r="C184" s="6" t="str">
        <f>IFERROR(__xludf.DUMMYFUNCTION("""COMPUTED_VALUE"""),"Drama")</f>
        <v>Drama</v>
      </c>
      <c r="D184" s="17">
        <f>IFERROR(__xludf.DUMMYFUNCTION("""COMPUTED_VALUE"""),5620.0)</f>
        <v>5620</v>
      </c>
      <c r="E184" s="8">
        <f>IFERROR(__xludf.DUMMYFUNCTION("""COMPUTED_VALUE"""),0.898166280932882)</f>
        <v>0.8981662809</v>
      </c>
      <c r="F184" s="8">
        <f>IFERROR(__xludf.DUMMYFUNCTION("""COMPUTED_VALUE"""),0.590099715099715)</f>
        <v>0.5900997151</v>
      </c>
      <c r="G184" s="8">
        <f>IFERROR(__xludf.DUMMYFUNCTION("""COMPUTED_VALUE"""),0.533748886910062)</f>
        <v>0.5337488869</v>
      </c>
      <c r="H184" s="8">
        <f>IFERROR(__xludf.DUMMYFUNCTION("""COMPUTED_VALUE"""),0.493941553813257)</f>
        <v>0.4939415538</v>
      </c>
      <c r="I184" s="8">
        <f>IFERROR(__xludf.DUMMYFUNCTION("""COMPUTED_VALUE"""),0.473984319315751)</f>
        <v>0.4739843193</v>
      </c>
      <c r="J184" s="8">
        <f>IFERROR(__xludf.DUMMYFUNCTION("""COMPUTED_VALUE"""),0.458192191121412)</f>
        <v>0.4581921911</v>
      </c>
      <c r="K184" s="8">
        <f>IFERROR(__xludf.DUMMYFUNCTION("""COMPUTED_VALUE"""),0.443394544482082)</f>
        <v>0.4433945445</v>
      </c>
      <c r="L184" s="8">
        <f>IFERROR(__xludf.DUMMYFUNCTION("""COMPUTED_VALUE"""),0.423042625289816)</f>
        <v>0.4230426253</v>
      </c>
      <c r="M184" s="8">
        <f>IFERROR(__xludf.DUMMYFUNCTION("""COMPUTED_VALUE"""),0.409561184445237)</f>
        <v>0.4095611844</v>
      </c>
      <c r="N184" s="8">
        <f>IFERROR(__xludf.DUMMYFUNCTION("""COMPUTED_VALUE"""),0.395502409423523)</f>
        <v>0.3955024094</v>
      </c>
      <c r="O184" s="8">
        <f>IFERROR(__xludf.DUMMYFUNCTION("""COMPUTED_VALUE"""),0.361572832886505)</f>
        <v>0.3615728329</v>
      </c>
      <c r="P184" s="8">
        <f>IFERROR(__xludf.DUMMYFUNCTION("""COMPUTED_VALUE"""),0.32444523979957)</f>
        <v>0.3244452398</v>
      </c>
      <c r="Q184" s="8">
        <f>IFERROR(__xludf.DUMMYFUNCTION("""COMPUTED_VALUE"""),0.279978490768955)</f>
        <v>0.2799784908</v>
      </c>
      <c r="R184" s="8">
        <f>IFERROR(__xludf.DUMMYFUNCTION("""COMPUTED_VALUE"""),0.24048132183908)</f>
        <v>0.2404813218</v>
      </c>
      <c r="S184" s="8">
        <f>IFERROR(__xludf.DUMMYFUNCTION("""COMPUTED_VALUE"""),0.211379186172128)</f>
        <v>0.2113791862</v>
      </c>
      <c r="T184" s="8">
        <f>IFERROR(__xludf.DUMMYFUNCTION("""COMPUTED_VALUE"""),0.176587301587301)</f>
        <v>0.1765873016</v>
      </c>
      <c r="U184" s="8">
        <f>IFERROR(__xludf.DUMMYFUNCTION("""COMPUTED_VALUE"""),0.158598265895953)</f>
        <v>0.1585982659</v>
      </c>
      <c r="V184" s="8">
        <f>IFERROR(__xludf.DUMMYFUNCTION("""COMPUTED_VALUE"""),0.137265917602996)</f>
        <v>0.1372659176</v>
      </c>
      <c r="W184" s="8">
        <f>IFERROR(__xludf.DUMMYFUNCTION("""COMPUTED_VALUE"""),0.128954833078769)</f>
        <v>0.1289548331</v>
      </c>
      <c r="X184" s="8">
        <f>IFERROR(__xludf.DUMMYFUNCTION("""COMPUTED_VALUE"""),0.121608980355472)</f>
        <v>0.1216089804</v>
      </c>
      <c r="Y184" s="8">
        <f>IFERROR(__xludf.DUMMYFUNCTION("""COMPUTED_VALUE"""),0.0826985854189336)</f>
        <v>0.08269858542</v>
      </c>
      <c r="Z184" s="8">
        <f>IFERROR(__xludf.DUMMYFUNCTION("""COMPUTED_VALUE"""),0.0631239935587761)</f>
        <v>0.06312399356</v>
      </c>
      <c r="AA184" s="8">
        <f>IFERROR(__xludf.DUMMYFUNCTION("""COMPUTED_VALUE"""),0.0462140063988624)</f>
        <v>0.0462140064</v>
      </c>
      <c r="AB184" s="8">
        <f>IFERROR(__xludf.DUMMYFUNCTION("""COMPUTED_VALUE"""),0.0358408822371012)</f>
        <v>0.03584088224</v>
      </c>
      <c r="AC184" s="8">
        <f>IFERROR(__xludf.DUMMYFUNCTION("""COMPUTED_VALUE"""),0.0206489675516224)</f>
        <v>0.02064896755</v>
      </c>
    </row>
    <row r="185" ht="15.75" customHeight="1">
      <c r="A185" s="6" t="str">
        <f>IFERROR(__xludf.DUMMYFUNCTION("""COMPUTED_VALUE"""),"a830c3a71510f0594792edb43a5e99b9da02d7e7")</f>
        <v>a830c3a71510f0594792edb43a5e99b9da02d7e7</v>
      </c>
      <c r="B185" s="6" t="str">
        <f>IFERROR(__xludf.DUMMYFUNCTION("""COMPUTED_VALUE"""),"Married to a Dying Prince")</f>
        <v>Married to a Dying Prince</v>
      </c>
      <c r="C185" s="6" t="str">
        <f>IFERROR(__xludf.DUMMYFUNCTION("""COMPUTED_VALUE"""),"Romantasy")</f>
        <v>Romantasy</v>
      </c>
      <c r="D185" s="17">
        <f>IFERROR(__xludf.DUMMYFUNCTION("""COMPUTED_VALUE"""),581.0)</f>
        <v>581</v>
      </c>
      <c r="E185" s="8">
        <f>IFERROR(__xludf.DUMMYFUNCTION("""COMPUTED_VALUE"""),0.970740103270223)</f>
        <v>0.9707401033</v>
      </c>
      <c r="F185" s="8">
        <f>IFERROR(__xludf.DUMMYFUNCTION("""COMPUTED_VALUE"""),0.55249569707401)</f>
        <v>0.5524956971</v>
      </c>
      <c r="G185" s="8">
        <f>IFERROR(__xludf.DUMMYFUNCTION("""COMPUTED_VALUE"""),0.506896551724138)</f>
        <v>0.5068965517</v>
      </c>
      <c r="H185" s="8">
        <f>IFERROR(__xludf.DUMMYFUNCTION("""COMPUTED_VALUE"""),0.441379310344827)</f>
        <v>0.4413793103</v>
      </c>
      <c r="I185" s="8">
        <f>IFERROR(__xludf.DUMMYFUNCTION("""COMPUTED_VALUE"""),0.444636678200692)</f>
        <v>0.4446366782</v>
      </c>
      <c r="J185" s="8">
        <f>IFERROR(__xludf.DUMMYFUNCTION("""COMPUTED_VALUE"""),0.424610051993067)</f>
        <v>0.424610052</v>
      </c>
      <c r="K185" s="8">
        <f>IFERROR(__xludf.DUMMYFUNCTION("""COMPUTED_VALUE"""),0.412478336221837)</f>
        <v>0.4124783362</v>
      </c>
      <c r="L185" s="8">
        <f>IFERROR(__xludf.DUMMYFUNCTION("""COMPUTED_VALUE"""),0.40695652173913)</f>
        <v>0.4069565217</v>
      </c>
      <c r="M185" s="8">
        <f>IFERROR(__xludf.DUMMYFUNCTION("""COMPUTED_VALUE"""),0.400696864111498)</f>
        <v>0.4006968641</v>
      </c>
      <c r="N185" s="8">
        <f>IFERROR(__xludf.DUMMYFUNCTION("""COMPUTED_VALUE"""),0.389179755671902)</f>
        <v>0.3891797557</v>
      </c>
      <c r="O185" s="8">
        <f>IFERROR(__xludf.DUMMYFUNCTION("""COMPUTED_VALUE"""),0.358024691358024)</f>
        <v>0.3580246914</v>
      </c>
      <c r="P185" s="8">
        <f>IFERROR(__xludf.DUMMYFUNCTION("""COMPUTED_VALUE"""),0.291071428571428)</f>
        <v>0.2910714286</v>
      </c>
      <c r="Q185" s="8">
        <f>IFERROR(__xludf.DUMMYFUNCTION("""COMPUTED_VALUE"""),0.229050279329608)</f>
        <v>0.2290502793</v>
      </c>
      <c r="R185" s="8">
        <f>IFERROR(__xludf.DUMMYFUNCTION("""COMPUTED_VALUE"""),0.0)</f>
        <v>0</v>
      </c>
      <c r="S185" s="8">
        <f>IFERROR(__xludf.DUMMYFUNCTION("""COMPUTED_VALUE"""),0.0)</f>
        <v>0</v>
      </c>
      <c r="T185" s="8">
        <f>IFERROR(__xludf.DUMMYFUNCTION("""COMPUTED_VALUE"""),0.0)</f>
        <v>0</v>
      </c>
      <c r="U185" s="8">
        <f>IFERROR(__xludf.DUMMYFUNCTION("""COMPUTED_VALUE"""),0.0)</f>
        <v>0</v>
      </c>
      <c r="V185" s="8">
        <f>IFERROR(__xludf.DUMMYFUNCTION("""COMPUTED_VALUE"""),0.0)</f>
        <v>0</v>
      </c>
      <c r="W185" s="8">
        <f>IFERROR(__xludf.DUMMYFUNCTION("""COMPUTED_VALUE"""),0.0)</f>
        <v>0</v>
      </c>
      <c r="X185" s="8">
        <f>IFERROR(__xludf.DUMMYFUNCTION("""COMPUTED_VALUE"""),0.0)</f>
        <v>0</v>
      </c>
      <c r="Y185" s="8">
        <f>IFERROR(__xludf.DUMMYFUNCTION("""COMPUTED_VALUE"""),0.0)</f>
        <v>0</v>
      </c>
      <c r="Z185" s="8">
        <f>IFERROR(__xludf.DUMMYFUNCTION("""COMPUTED_VALUE"""),0.0)</f>
        <v>0</v>
      </c>
      <c r="AA185" s="8">
        <f>IFERROR(__xludf.DUMMYFUNCTION("""COMPUTED_VALUE"""),0.0)</f>
        <v>0</v>
      </c>
      <c r="AB185" s="8">
        <f>IFERROR(__xludf.DUMMYFUNCTION("""COMPUTED_VALUE"""),0.0)</f>
        <v>0</v>
      </c>
      <c r="AC185" s="8">
        <f>IFERROR(__xludf.DUMMYFUNCTION("""COMPUTED_VALUE"""),0.0)</f>
        <v>0</v>
      </c>
    </row>
    <row r="186" ht="15.75" customHeight="1">
      <c r="A186" s="6" t="str">
        <f>IFERROR(__xludf.DUMMYFUNCTION("""COMPUTED_VALUE"""),"a877c7bd8a3facfb24f79b876674d1437dd52fb5")</f>
        <v>a877c7bd8a3facfb24f79b876674d1437dd52fb5</v>
      </c>
      <c r="B186" s="6" t="str">
        <f>IFERROR(__xludf.DUMMYFUNCTION("""COMPUTED_VALUE"""),"Dragon System Awakening")</f>
        <v>Dragon System Awakening</v>
      </c>
      <c r="C186" s="6" t="str">
        <f>IFERROR(__xludf.DUMMYFUNCTION("""COMPUTED_VALUE"""),"System and Superpower")</f>
        <v>System and Superpower</v>
      </c>
      <c r="D186" s="17">
        <f>IFERROR(__xludf.DUMMYFUNCTION("""COMPUTED_VALUE"""),19065.0)</f>
        <v>19065</v>
      </c>
      <c r="E186" s="8">
        <f>IFERROR(__xludf.DUMMYFUNCTION("""COMPUTED_VALUE"""),0.953043022035676)</f>
        <v>0.953043022</v>
      </c>
      <c r="F186" s="8">
        <f>IFERROR(__xludf.DUMMYFUNCTION("""COMPUTED_VALUE"""),0.691325592392161)</f>
        <v>0.6913255924</v>
      </c>
      <c r="G186" s="8">
        <f>IFERROR(__xludf.DUMMYFUNCTION("""COMPUTED_VALUE"""),0.641448924872509)</f>
        <v>0.6414489249</v>
      </c>
      <c r="H186" s="8">
        <f>IFERROR(__xludf.DUMMYFUNCTION("""COMPUTED_VALUE"""),0.610084741302173)</f>
        <v>0.6100847413</v>
      </c>
      <c r="I186" s="8">
        <f>IFERROR(__xludf.DUMMYFUNCTION("""COMPUTED_VALUE"""),0.579923105282561)</f>
        <v>0.5799231053</v>
      </c>
      <c r="J186" s="8">
        <f>IFERROR(__xludf.DUMMYFUNCTION("""COMPUTED_VALUE"""),0.562984445030319)</f>
        <v>0.562984445</v>
      </c>
      <c r="K186" s="8">
        <f>IFERROR(__xludf.DUMMYFUNCTION("""COMPUTED_VALUE"""),0.543588390501319)</f>
        <v>0.5435883905</v>
      </c>
      <c r="L186" s="8">
        <f>IFERROR(__xludf.DUMMYFUNCTION("""COMPUTED_VALUE"""),0.528892413428495)</f>
        <v>0.5288924134</v>
      </c>
      <c r="M186" s="8">
        <f>IFERROR(__xludf.DUMMYFUNCTION("""COMPUTED_VALUE"""),0.512486772486772)</f>
        <v>0.5124867725</v>
      </c>
      <c r="N186" s="8">
        <f>IFERROR(__xludf.DUMMYFUNCTION("""COMPUTED_VALUE"""),0.498569612205975)</f>
        <v>0.4985696122</v>
      </c>
      <c r="O186" s="8">
        <f>IFERROR(__xludf.DUMMYFUNCTION("""COMPUTED_VALUE"""),0.449032876858315)</f>
        <v>0.4490328769</v>
      </c>
      <c r="P186" s="8">
        <f>IFERROR(__xludf.DUMMYFUNCTION("""COMPUTED_VALUE"""),0.375873186458893)</f>
        <v>0.3758731865</v>
      </c>
      <c r="Q186" s="8">
        <f>IFERROR(__xludf.DUMMYFUNCTION("""COMPUTED_VALUE"""),0.288544925627092)</f>
        <v>0.2885449256</v>
      </c>
      <c r="R186" s="8">
        <f>IFERROR(__xludf.DUMMYFUNCTION("""COMPUTED_VALUE"""),0.253209780060288)</f>
        <v>0.2532097801</v>
      </c>
      <c r="S186" s="8">
        <f>IFERROR(__xludf.DUMMYFUNCTION("""COMPUTED_VALUE"""),0.227606740149499)</f>
        <v>0.2276067401</v>
      </c>
      <c r="T186" s="8">
        <f>IFERROR(__xludf.DUMMYFUNCTION("""COMPUTED_VALUE"""),0.204322047121235)</f>
        <v>0.2043220471</v>
      </c>
      <c r="U186" s="8">
        <f>IFERROR(__xludf.DUMMYFUNCTION("""COMPUTED_VALUE"""),0.184961427641974)</f>
        <v>0.1849614276</v>
      </c>
      <c r="V186" s="8">
        <f>IFERROR(__xludf.DUMMYFUNCTION("""COMPUTED_VALUE"""),0.161719896174246)</f>
        <v>0.1617198962</v>
      </c>
      <c r="W186" s="8">
        <f>IFERROR(__xludf.DUMMYFUNCTION("""COMPUTED_VALUE"""),0.140455250905328)</f>
        <v>0.1404552509</v>
      </c>
      <c r="X186" s="8">
        <f>IFERROR(__xludf.DUMMYFUNCTION("""COMPUTED_VALUE"""),0.121777637197532)</f>
        <v>0.1217776372</v>
      </c>
      <c r="Y186" s="8">
        <f>IFERROR(__xludf.DUMMYFUNCTION("""COMPUTED_VALUE"""),0.0789571694599627)</f>
        <v>0.07895716946</v>
      </c>
      <c r="Z186" s="8">
        <f>IFERROR(__xludf.DUMMYFUNCTION("""COMPUTED_VALUE"""),0.0)</f>
        <v>0</v>
      </c>
      <c r="AA186" s="8">
        <f>IFERROR(__xludf.DUMMYFUNCTION("""COMPUTED_VALUE"""),0.0)</f>
        <v>0</v>
      </c>
      <c r="AB186" s="8">
        <f>IFERROR(__xludf.DUMMYFUNCTION("""COMPUTED_VALUE"""),0.0)</f>
        <v>0</v>
      </c>
      <c r="AC186" s="8">
        <f>IFERROR(__xludf.DUMMYFUNCTION("""COMPUTED_VALUE"""),0.0)</f>
        <v>0</v>
      </c>
    </row>
    <row r="187" ht="15.75" customHeight="1">
      <c r="A187" s="6" t="str">
        <f>IFERROR(__xludf.DUMMYFUNCTION("""COMPUTED_VALUE"""),"a901618b218023453e7ca53e9fa1d9940b094e69")</f>
        <v>a901618b218023453e7ca53e9fa1d9940b094e69</v>
      </c>
      <c r="B187" s="6" t="str">
        <f>IFERROR(__xludf.DUMMYFUNCTION("""COMPUTED_VALUE"""),"The Devil's New Assistant")</f>
        <v>The Devil's New Assistant</v>
      </c>
      <c r="C187" s="6" t="str">
        <f>IFERROR(__xludf.DUMMYFUNCTION("""COMPUTED_VALUE"""),"Romance")</f>
        <v>Romance</v>
      </c>
      <c r="D187" s="17">
        <f>IFERROR(__xludf.DUMMYFUNCTION("""COMPUTED_VALUE"""),203.0)</f>
        <v>203</v>
      </c>
      <c r="E187" s="8">
        <f>IFERROR(__xludf.DUMMYFUNCTION("""COMPUTED_VALUE"""),0.958823529411764)</f>
        <v>0.9588235294</v>
      </c>
      <c r="F187" s="8">
        <f>IFERROR(__xludf.DUMMYFUNCTION("""COMPUTED_VALUE"""),0.465116279069767)</f>
        <v>0.4651162791</v>
      </c>
      <c r="G187" s="8">
        <f>IFERROR(__xludf.DUMMYFUNCTION("""COMPUTED_VALUE"""),0.43076923076923)</f>
        <v>0.4307692308</v>
      </c>
      <c r="H187" s="8">
        <f>IFERROR(__xludf.DUMMYFUNCTION("""COMPUTED_VALUE"""),0.285714285714285)</f>
        <v>0.2857142857</v>
      </c>
      <c r="I187" s="8">
        <f>IFERROR(__xludf.DUMMYFUNCTION("""COMPUTED_VALUE"""),0.28125)</f>
        <v>0.28125</v>
      </c>
      <c r="J187" s="8">
        <f>IFERROR(__xludf.DUMMYFUNCTION("""COMPUTED_VALUE"""),0.31578947368421)</f>
        <v>0.3157894737</v>
      </c>
      <c r="K187" s="8">
        <f>IFERROR(__xludf.DUMMYFUNCTION("""COMPUTED_VALUE"""),0.352941176470588)</f>
        <v>0.3529411765</v>
      </c>
      <c r="L187" s="8">
        <f>IFERROR(__xludf.DUMMYFUNCTION("""COMPUTED_VALUE"""),0.411764705882352)</f>
        <v>0.4117647059</v>
      </c>
      <c r="M187" s="8">
        <f>IFERROR(__xludf.DUMMYFUNCTION("""COMPUTED_VALUE"""),0.411764705882352)</f>
        <v>0.4117647059</v>
      </c>
      <c r="N187" s="8">
        <f>IFERROR(__xludf.DUMMYFUNCTION("""COMPUTED_VALUE"""),0.4375)</f>
        <v>0.4375</v>
      </c>
      <c r="O187" s="8">
        <f>IFERROR(__xludf.DUMMYFUNCTION("""COMPUTED_VALUE"""),0.4375)</f>
        <v>0.4375</v>
      </c>
      <c r="P187" s="8">
        <f>IFERROR(__xludf.DUMMYFUNCTION("""COMPUTED_VALUE"""),0.461538461538461)</f>
        <v>0.4615384615</v>
      </c>
      <c r="Q187" s="8">
        <f>IFERROR(__xludf.DUMMYFUNCTION("""COMPUTED_VALUE"""),0.0)</f>
        <v>0</v>
      </c>
      <c r="R187" s="8">
        <f>IFERROR(__xludf.DUMMYFUNCTION("""COMPUTED_VALUE"""),0.0)</f>
        <v>0</v>
      </c>
      <c r="S187" s="8">
        <f>IFERROR(__xludf.DUMMYFUNCTION("""COMPUTED_VALUE"""),0.0)</f>
        <v>0</v>
      </c>
      <c r="T187" s="8">
        <f>IFERROR(__xludf.DUMMYFUNCTION("""COMPUTED_VALUE"""),0.0)</f>
        <v>0</v>
      </c>
      <c r="U187" s="8">
        <f>IFERROR(__xludf.DUMMYFUNCTION("""COMPUTED_VALUE"""),0.0)</f>
        <v>0</v>
      </c>
      <c r="V187" s="8">
        <f>IFERROR(__xludf.DUMMYFUNCTION("""COMPUTED_VALUE"""),0.0)</f>
        <v>0</v>
      </c>
      <c r="W187" s="8">
        <f>IFERROR(__xludf.DUMMYFUNCTION("""COMPUTED_VALUE"""),0.0)</f>
        <v>0</v>
      </c>
      <c r="X187" s="8">
        <f>IFERROR(__xludf.DUMMYFUNCTION("""COMPUTED_VALUE"""),0.0)</f>
        <v>0</v>
      </c>
      <c r="Y187" s="8">
        <f>IFERROR(__xludf.DUMMYFUNCTION("""COMPUTED_VALUE"""),0.0)</f>
        <v>0</v>
      </c>
      <c r="Z187" s="8">
        <f>IFERROR(__xludf.DUMMYFUNCTION("""COMPUTED_VALUE"""),0.0)</f>
        <v>0</v>
      </c>
      <c r="AA187" s="8">
        <f>IFERROR(__xludf.DUMMYFUNCTION("""COMPUTED_VALUE"""),0.0)</f>
        <v>0</v>
      </c>
      <c r="AB187" s="8">
        <f>IFERROR(__xludf.DUMMYFUNCTION("""COMPUTED_VALUE"""),0.0)</f>
        <v>0</v>
      </c>
      <c r="AC187" s="8">
        <f>IFERROR(__xludf.DUMMYFUNCTION("""COMPUTED_VALUE"""),0.0)</f>
        <v>0</v>
      </c>
    </row>
    <row r="188" ht="15.75" customHeight="1">
      <c r="A188" s="6" t="str">
        <f>IFERROR(__xludf.DUMMYFUNCTION("""COMPUTED_VALUE"""),"a92aaf29dca1833b578f42a2abbcdab8db2ff12e")</f>
        <v>a92aaf29dca1833b578f42a2abbcdab8db2ff12e</v>
      </c>
      <c r="B188" s="6" t="str">
        <f>IFERROR(__xludf.DUMMYFUNCTION("""COMPUTED_VALUE"""),"Bought for the Ice Ceo")</f>
        <v>Bought for the Ice Ceo</v>
      </c>
      <c r="C188" s="6" t="str">
        <f>IFERROR(__xludf.DUMMYFUNCTION("""COMPUTED_VALUE"""),"Romance")</f>
        <v>Romance</v>
      </c>
      <c r="D188" s="17">
        <f>IFERROR(__xludf.DUMMYFUNCTION("""COMPUTED_VALUE"""),716.0)</f>
        <v>716</v>
      </c>
      <c r="E188" s="8">
        <f>IFERROR(__xludf.DUMMYFUNCTION("""COMPUTED_VALUE"""),0.972027972027972)</f>
        <v>0.972027972</v>
      </c>
      <c r="F188" s="8">
        <f>IFERROR(__xludf.DUMMYFUNCTION("""COMPUTED_VALUE"""),0.692307692307692)</f>
        <v>0.6923076923</v>
      </c>
      <c r="G188" s="8">
        <f>IFERROR(__xludf.DUMMYFUNCTION("""COMPUTED_VALUE"""),0.629370629370629)</f>
        <v>0.6293706294</v>
      </c>
      <c r="H188" s="8">
        <f>IFERROR(__xludf.DUMMYFUNCTION("""COMPUTED_VALUE"""),0.584033613445378)</f>
        <v>0.5840336134</v>
      </c>
      <c r="I188" s="8">
        <f>IFERROR(__xludf.DUMMYFUNCTION("""COMPUTED_VALUE"""),0.544817927170868)</f>
        <v>0.5448179272</v>
      </c>
      <c r="J188" s="8">
        <f>IFERROR(__xludf.DUMMYFUNCTION("""COMPUTED_VALUE"""),0.516129032258064)</f>
        <v>0.5161290323</v>
      </c>
      <c r="K188" s="8">
        <f>IFERROR(__xludf.DUMMYFUNCTION("""COMPUTED_VALUE"""),0.49789621318373)</f>
        <v>0.4978962132</v>
      </c>
      <c r="L188" s="8">
        <f>IFERROR(__xludf.DUMMYFUNCTION("""COMPUTED_VALUE"""),0.474053295932678)</f>
        <v>0.4740532959</v>
      </c>
      <c r="M188" s="8">
        <f>IFERROR(__xludf.DUMMYFUNCTION("""COMPUTED_VALUE"""),0.462833099579242)</f>
        <v>0.4628330996</v>
      </c>
      <c r="N188" s="8">
        <f>IFERROR(__xludf.DUMMYFUNCTION("""COMPUTED_VALUE"""),0.433380084151472)</f>
        <v>0.4333800842</v>
      </c>
      <c r="O188" s="8">
        <f>IFERROR(__xludf.DUMMYFUNCTION("""COMPUTED_VALUE"""),0.376056338028169)</f>
        <v>0.376056338</v>
      </c>
      <c r="P188" s="8">
        <f>IFERROR(__xludf.DUMMYFUNCTION("""COMPUTED_VALUE"""),0.221906116642958)</f>
        <v>0.2219061166</v>
      </c>
      <c r="Q188" s="8">
        <f>IFERROR(__xludf.DUMMYFUNCTION("""COMPUTED_VALUE"""),0.087149187592319)</f>
        <v>0.08714918759</v>
      </c>
      <c r="R188" s="8">
        <f>IFERROR(__xludf.DUMMYFUNCTION("""COMPUTED_VALUE"""),0.0)</f>
        <v>0</v>
      </c>
      <c r="S188" s="8">
        <f>IFERROR(__xludf.DUMMYFUNCTION("""COMPUTED_VALUE"""),0.0)</f>
        <v>0</v>
      </c>
      <c r="T188" s="8">
        <f>IFERROR(__xludf.DUMMYFUNCTION("""COMPUTED_VALUE"""),0.0)</f>
        <v>0</v>
      </c>
      <c r="U188" s="8">
        <f>IFERROR(__xludf.DUMMYFUNCTION("""COMPUTED_VALUE"""),0.0)</f>
        <v>0</v>
      </c>
      <c r="V188" s="8">
        <f>IFERROR(__xludf.DUMMYFUNCTION("""COMPUTED_VALUE"""),0.0)</f>
        <v>0</v>
      </c>
      <c r="W188" s="8">
        <f>IFERROR(__xludf.DUMMYFUNCTION("""COMPUTED_VALUE"""),0.0)</f>
        <v>0</v>
      </c>
      <c r="X188" s="8">
        <f>IFERROR(__xludf.DUMMYFUNCTION("""COMPUTED_VALUE"""),0.0)</f>
        <v>0</v>
      </c>
      <c r="Y188" s="8">
        <f>IFERROR(__xludf.DUMMYFUNCTION("""COMPUTED_VALUE"""),0.0)</f>
        <v>0</v>
      </c>
      <c r="Z188" s="8">
        <f>IFERROR(__xludf.DUMMYFUNCTION("""COMPUTED_VALUE"""),0.0)</f>
        <v>0</v>
      </c>
      <c r="AA188" s="8">
        <f>IFERROR(__xludf.DUMMYFUNCTION("""COMPUTED_VALUE"""),0.0)</f>
        <v>0</v>
      </c>
      <c r="AB188" s="8">
        <f>IFERROR(__xludf.DUMMYFUNCTION("""COMPUTED_VALUE"""),0.0)</f>
        <v>0</v>
      </c>
      <c r="AC188" s="8">
        <f>IFERROR(__xludf.DUMMYFUNCTION("""COMPUTED_VALUE"""),0.0)</f>
        <v>0</v>
      </c>
    </row>
    <row r="189" ht="15.75" customHeight="1">
      <c r="A189" s="6" t="str">
        <f>IFERROR(__xludf.DUMMYFUNCTION("""COMPUTED_VALUE"""),"a978831eb87b7d63024465fa4df9a779feeaaf5a")</f>
        <v>a978831eb87b7d63024465fa4df9a779feeaaf5a</v>
      </c>
      <c r="B189" s="6" t="str">
        <f>IFERROR(__xludf.DUMMYFUNCTION("""COMPUTED_VALUE"""),"Extreme Medical Sage")</f>
        <v>Extreme Medical Sage</v>
      </c>
      <c r="C189" s="6" t="str">
        <f>IFERROR(__xludf.DUMMYFUNCTION("""COMPUTED_VALUE"""),"Fantasy")</f>
        <v>Fantasy</v>
      </c>
      <c r="D189" s="17">
        <f>IFERROR(__xludf.DUMMYFUNCTION("""COMPUTED_VALUE"""),499.0)</f>
        <v>499</v>
      </c>
      <c r="E189" s="8">
        <f>IFERROR(__xludf.DUMMYFUNCTION("""COMPUTED_VALUE"""),0.959514170040485)</f>
        <v>0.95951417</v>
      </c>
      <c r="F189" s="8">
        <f>IFERROR(__xludf.DUMMYFUNCTION("""COMPUTED_VALUE"""),0.646569646569646)</f>
        <v>0.6465696466</v>
      </c>
      <c r="G189" s="8">
        <f>IFERROR(__xludf.DUMMYFUNCTION("""COMPUTED_VALUE"""),0.556521739130434)</f>
        <v>0.5565217391</v>
      </c>
      <c r="H189" s="8">
        <f>IFERROR(__xludf.DUMMYFUNCTION("""COMPUTED_VALUE"""),0.544987146529562)</f>
        <v>0.5449871465</v>
      </c>
      <c r="I189" s="8">
        <f>IFERROR(__xludf.DUMMYFUNCTION("""COMPUTED_VALUE"""),0.51490514905149)</f>
        <v>0.5149051491</v>
      </c>
      <c r="J189" s="8">
        <f>IFERROR(__xludf.DUMMYFUNCTION("""COMPUTED_VALUE"""),0.504398826979472)</f>
        <v>0.504398827</v>
      </c>
      <c r="K189" s="8">
        <f>IFERROR(__xludf.DUMMYFUNCTION("""COMPUTED_VALUE"""),0.458966565349544)</f>
        <v>0.4589665653</v>
      </c>
      <c r="L189" s="8">
        <f>IFERROR(__xludf.DUMMYFUNCTION("""COMPUTED_VALUE"""),0.426751592356687)</f>
        <v>0.4267515924</v>
      </c>
      <c r="M189" s="8">
        <f>IFERROR(__xludf.DUMMYFUNCTION("""COMPUTED_VALUE"""),0.416949152542372)</f>
        <v>0.4169491525</v>
      </c>
      <c r="N189" s="8">
        <f>IFERROR(__xludf.DUMMYFUNCTION("""COMPUTED_VALUE"""),0.421052631578947)</f>
        <v>0.4210526316</v>
      </c>
      <c r="O189" s="8">
        <f>IFERROR(__xludf.DUMMYFUNCTION("""COMPUTED_VALUE"""),0.385321100917431)</f>
        <v>0.3853211009</v>
      </c>
      <c r="P189" s="8">
        <f>IFERROR(__xludf.DUMMYFUNCTION("""COMPUTED_VALUE"""),0.277486910994764)</f>
        <v>0.277486911</v>
      </c>
      <c r="Q189" s="8">
        <f>IFERROR(__xludf.DUMMYFUNCTION("""COMPUTED_VALUE"""),0.0727272727272727)</f>
        <v>0.07272727273</v>
      </c>
      <c r="R189" s="8">
        <f>IFERROR(__xludf.DUMMYFUNCTION("""COMPUTED_VALUE"""),0.0566037735849056)</f>
        <v>0.05660377358</v>
      </c>
      <c r="S189" s="8">
        <f>IFERROR(__xludf.DUMMYFUNCTION("""COMPUTED_VALUE"""),0.0204081632653061)</f>
        <v>0.02040816327</v>
      </c>
      <c r="T189" s="8">
        <f>IFERROR(__xludf.DUMMYFUNCTION("""COMPUTED_VALUE"""),0.0208333333333333)</f>
        <v>0.02083333333</v>
      </c>
      <c r="U189" s="8">
        <f>IFERROR(__xludf.DUMMYFUNCTION("""COMPUTED_VALUE"""),0.0222222222222222)</f>
        <v>0.02222222222</v>
      </c>
      <c r="V189" s="8">
        <f>IFERROR(__xludf.DUMMYFUNCTION("""COMPUTED_VALUE"""),0.0238095238095238)</f>
        <v>0.02380952381</v>
      </c>
      <c r="W189" s="8">
        <f>IFERROR(__xludf.DUMMYFUNCTION("""COMPUTED_VALUE"""),0.0277777777777777)</f>
        <v>0.02777777778</v>
      </c>
      <c r="X189" s="8">
        <f>IFERROR(__xludf.DUMMYFUNCTION("""COMPUTED_VALUE"""),0.0285714285714285)</f>
        <v>0.02857142857</v>
      </c>
      <c r="Y189" s="8">
        <f>IFERROR(__xludf.DUMMYFUNCTION("""COMPUTED_VALUE"""),0.03125)</f>
        <v>0.03125</v>
      </c>
      <c r="Z189" s="8">
        <f>IFERROR(__xludf.DUMMYFUNCTION("""COMPUTED_VALUE"""),0.04)</f>
        <v>0.04</v>
      </c>
      <c r="AA189" s="8">
        <f>IFERROR(__xludf.DUMMYFUNCTION("""COMPUTED_VALUE"""),0.05)</f>
        <v>0.05</v>
      </c>
      <c r="AB189" s="8">
        <f>IFERROR(__xludf.DUMMYFUNCTION("""COMPUTED_VALUE"""),0.05)</f>
        <v>0.05</v>
      </c>
      <c r="AC189" s="8">
        <f>IFERROR(__xludf.DUMMYFUNCTION("""COMPUTED_VALUE"""),0.05)</f>
        <v>0.05</v>
      </c>
    </row>
    <row r="190" ht="15.75" customHeight="1">
      <c r="A190" s="6" t="str">
        <f>IFERROR(__xludf.DUMMYFUNCTION("""COMPUTED_VALUE"""),"a9dd2d51d9347ce1a50ee64d1a38a6c33539ebc1")</f>
        <v>a9dd2d51d9347ce1a50ee64d1a38a6c33539ebc1</v>
      </c>
      <c r="B190" s="6" t="str">
        <f>IFERROR(__xludf.DUMMYFUNCTION("""COMPUTED_VALUE"""),"Billionaires Love Me")</f>
        <v>Billionaires Love Me</v>
      </c>
      <c r="C190" s="6" t="str">
        <f>IFERROR(__xludf.DUMMYFUNCTION("""COMPUTED_VALUE"""),"Romance")</f>
        <v>Romance</v>
      </c>
      <c r="D190" s="17">
        <f>IFERROR(__xludf.DUMMYFUNCTION("""COMPUTED_VALUE"""),292.0)</f>
        <v>292</v>
      </c>
      <c r="E190" s="8">
        <f>IFERROR(__xludf.DUMMYFUNCTION("""COMPUTED_VALUE"""),0.979310344827586)</f>
        <v>0.9793103448</v>
      </c>
      <c r="F190" s="8">
        <f>IFERROR(__xludf.DUMMYFUNCTION("""COMPUTED_VALUE"""),0.600719424460431)</f>
        <v>0.6007194245</v>
      </c>
      <c r="G190" s="8">
        <f>IFERROR(__xludf.DUMMYFUNCTION("""COMPUTED_VALUE"""),0.474264705882352)</f>
        <v>0.4742647059</v>
      </c>
      <c r="H190" s="8">
        <f>IFERROR(__xludf.DUMMYFUNCTION("""COMPUTED_VALUE"""),0.423312883435582)</f>
        <v>0.4233128834</v>
      </c>
      <c r="I190" s="8">
        <f>IFERROR(__xludf.DUMMYFUNCTION("""COMPUTED_VALUE"""),0.405405405405405)</f>
        <v>0.4054054054</v>
      </c>
      <c r="J190" s="8">
        <f>IFERROR(__xludf.DUMMYFUNCTION("""COMPUTED_VALUE"""),0.405405405405405)</f>
        <v>0.4054054054</v>
      </c>
      <c r="K190" s="8">
        <f>IFERROR(__xludf.DUMMYFUNCTION("""COMPUTED_VALUE"""),0.369369369369369)</f>
        <v>0.3693693694</v>
      </c>
      <c r="L190" s="8">
        <f>IFERROR(__xludf.DUMMYFUNCTION("""COMPUTED_VALUE"""),0.306306306306306)</f>
        <v>0.3063063063</v>
      </c>
      <c r="M190" s="8">
        <f>IFERROR(__xludf.DUMMYFUNCTION("""COMPUTED_VALUE"""),0.297297297297297)</f>
        <v>0.2972972973</v>
      </c>
      <c r="N190" s="8">
        <f>IFERROR(__xludf.DUMMYFUNCTION("""COMPUTED_VALUE"""),0.261261261261261)</f>
        <v>0.2612612613</v>
      </c>
      <c r="O190" s="8">
        <f>IFERROR(__xludf.DUMMYFUNCTION("""COMPUTED_VALUE"""),0.259615384615384)</f>
        <v>0.2596153846</v>
      </c>
      <c r="P190" s="8">
        <f>IFERROR(__xludf.DUMMYFUNCTION("""COMPUTED_VALUE"""),0.208333333333333)</f>
        <v>0.2083333333</v>
      </c>
      <c r="Q190" s="8">
        <f>IFERROR(__xludf.DUMMYFUNCTION("""COMPUTED_VALUE"""),0.166666666666666)</f>
        <v>0.1666666667</v>
      </c>
      <c r="R190" s="8">
        <f>IFERROR(__xludf.DUMMYFUNCTION("""COMPUTED_VALUE"""),0.128205128205128)</f>
        <v>0.1282051282</v>
      </c>
      <c r="S190" s="8">
        <f>IFERROR(__xludf.DUMMYFUNCTION("""COMPUTED_VALUE"""),0.0)</f>
        <v>0</v>
      </c>
      <c r="T190" s="8">
        <f>IFERROR(__xludf.DUMMYFUNCTION("""COMPUTED_VALUE"""),0.0)</f>
        <v>0</v>
      </c>
      <c r="U190" s="8">
        <f>IFERROR(__xludf.DUMMYFUNCTION("""COMPUTED_VALUE"""),0.0)</f>
        <v>0</v>
      </c>
      <c r="V190" s="8">
        <f>IFERROR(__xludf.DUMMYFUNCTION("""COMPUTED_VALUE"""),0.0)</f>
        <v>0</v>
      </c>
      <c r="W190" s="8">
        <f>IFERROR(__xludf.DUMMYFUNCTION("""COMPUTED_VALUE"""),0.0)</f>
        <v>0</v>
      </c>
      <c r="X190" s="8">
        <f>IFERROR(__xludf.DUMMYFUNCTION("""COMPUTED_VALUE"""),0.0)</f>
        <v>0</v>
      </c>
      <c r="Y190" s="8">
        <f>IFERROR(__xludf.DUMMYFUNCTION("""COMPUTED_VALUE"""),0.0)</f>
        <v>0</v>
      </c>
      <c r="Z190" s="8">
        <f>IFERROR(__xludf.DUMMYFUNCTION("""COMPUTED_VALUE"""),0.0)</f>
        <v>0</v>
      </c>
      <c r="AA190" s="8">
        <f>IFERROR(__xludf.DUMMYFUNCTION("""COMPUTED_VALUE"""),0.0)</f>
        <v>0</v>
      </c>
      <c r="AB190" s="8">
        <f>IFERROR(__xludf.DUMMYFUNCTION("""COMPUTED_VALUE"""),0.0)</f>
        <v>0</v>
      </c>
      <c r="AC190" s="8">
        <f>IFERROR(__xludf.DUMMYFUNCTION("""COMPUTED_VALUE"""),0.0)</f>
        <v>0</v>
      </c>
    </row>
    <row r="191" ht="15.75" customHeight="1">
      <c r="A191" s="6" t="str">
        <f>IFERROR(__xludf.DUMMYFUNCTION("""COMPUTED_VALUE"""),"aaa698f296d8b031a8ae9b94897fb07edda92f97")</f>
        <v>aaa698f296d8b031a8ae9b94897fb07edda92f97</v>
      </c>
      <c r="B191" s="6" t="str">
        <f>IFERROR(__xludf.DUMMYFUNCTION("""COMPUTED_VALUE"""),"A Heart Divided")</f>
        <v>A Heart Divided</v>
      </c>
      <c r="C191" s="6" t="str">
        <f>IFERROR(__xludf.DUMMYFUNCTION("""COMPUTED_VALUE"""),"Romance")</f>
        <v>Romance</v>
      </c>
      <c r="D191" s="17">
        <f>IFERROR(__xludf.DUMMYFUNCTION("""COMPUTED_VALUE"""),188.0)</f>
        <v>188</v>
      </c>
      <c r="E191" s="8">
        <f>IFERROR(__xludf.DUMMYFUNCTION("""COMPUTED_VALUE"""),0.920212765957446)</f>
        <v>0.920212766</v>
      </c>
      <c r="F191" s="8">
        <f>IFERROR(__xludf.DUMMYFUNCTION("""COMPUTED_VALUE"""),0.723404255319149)</f>
        <v>0.7234042553</v>
      </c>
      <c r="G191" s="8">
        <f>IFERROR(__xludf.DUMMYFUNCTION("""COMPUTED_VALUE"""),0.664893617021276)</f>
        <v>0.664893617</v>
      </c>
      <c r="H191" s="8">
        <f>IFERROR(__xludf.DUMMYFUNCTION("""COMPUTED_VALUE"""),0.622340425531914)</f>
        <v>0.6223404255</v>
      </c>
      <c r="I191" s="8">
        <f>IFERROR(__xludf.DUMMYFUNCTION("""COMPUTED_VALUE"""),0.590425531914893)</f>
        <v>0.5904255319</v>
      </c>
      <c r="J191" s="8">
        <f>IFERROR(__xludf.DUMMYFUNCTION("""COMPUTED_VALUE"""),0.569148936170212)</f>
        <v>0.5691489362</v>
      </c>
      <c r="K191" s="8">
        <f>IFERROR(__xludf.DUMMYFUNCTION("""COMPUTED_VALUE"""),0.531914893617021)</f>
        <v>0.5319148936</v>
      </c>
      <c r="L191" s="8">
        <f>IFERROR(__xludf.DUMMYFUNCTION("""COMPUTED_VALUE"""),0.5)</f>
        <v>0.5</v>
      </c>
      <c r="M191" s="8">
        <f>IFERROR(__xludf.DUMMYFUNCTION("""COMPUTED_VALUE"""),0.457446808510638)</f>
        <v>0.4574468085</v>
      </c>
      <c r="N191" s="8">
        <f>IFERROR(__xludf.DUMMYFUNCTION("""COMPUTED_VALUE"""),0.414893617021276)</f>
        <v>0.414893617</v>
      </c>
      <c r="O191" s="8">
        <f>IFERROR(__xludf.DUMMYFUNCTION("""COMPUTED_VALUE"""),0.329787234042553)</f>
        <v>0.329787234</v>
      </c>
      <c r="P191" s="8">
        <f>IFERROR(__xludf.DUMMYFUNCTION("""COMPUTED_VALUE"""),0.213903743315508)</f>
        <v>0.2139037433</v>
      </c>
      <c r="Q191" s="8">
        <f>IFERROR(__xludf.DUMMYFUNCTION("""COMPUTED_VALUE"""),0.0815217391304347)</f>
        <v>0.08152173913</v>
      </c>
      <c r="R191" s="8">
        <f>IFERROR(__xludf.DUMMYFUNCTION("""COMPUTED_VALUE"""),0.0652173913043478)</f>
        <v>0.0652173913</v>
      </c>
      <c r="S191" s="8">
        <f>IFERROR(__xludf.DUMMYFUNCTION("""COMPUTED_VALUE"""),0.0)</f>
        <v>0</v>
      </c>
      <c r="T191" s="8">
        <f>IFERROR(__xludf.DUMMYFUNCTION("""COMPUTED_VALUE"""),0.0)</f>
        <v>0</v>
      </c>
      <c r="U191" s="8">
        <f>IFERROR(__xludf.DUMMYFUNCTION("""COMPUTED_VALUE"""),0.0)</f>
        <v>0</v>
      </c>
      <c r="V191" s="8">
        <f>IFERROR(__xludf.DUMMYFUNCTION("""COMPUTED_VALUE"""),0.0)</f>
        <v>0</v>
      </c>
      <c r="W191" s="8">
        <f>IFERROR(__xludf.DUMMYFUNCTION("""COMPUTED_VALUE"""),0.0)</f>
        <v>0</v>
      </c>
      <c r="X191" s="8">
        <f>IFERROR(__xludf.DUMMYFUNCTION("""COMPUTED_VALUE"""),0.0)</f>
        <v>0</v>
      </c>
      <c r="Y191" s="8">
        <f>IFERROR(__xludf.DUMMYFUNCTION("""COMPUTED_VALUE"""),0.0)</f>
        <v>0</v>
      </c>
      <c r="Z191" s="8">
        <f>IFERROR(__xludf.DUMMYFUNCTION("""COMPUTED_VALUE"""),0.0)</f>
        <v>0</v>
      </c>
      <c r="AA191" s="8">
        <f>IFERROR(__xludf.DUMMYFUNCTION("""COMPUTED_VALUE"""),0.0)</f>
        <v>0</v>
      </c>
      <c r="AB191" s="8">
        <f>IFERROR(__xludf.DUMMYFUNCTION("""COMPUTED_VALUE"""),0.0)</f>
        <v>0</v>
      </c>
      <c r="AC191" s="8">
        <f>IFERROR(__xludf.DUMMYFUNCTION("""COMPUTED_VALUE"""),0.0)</f>
        <v>0</v>
      </c>
    </row>
    <row r="192" ht="15.75" customHeight="1">
      <c r="A192" s="6" t="str">
        <f>IFERROR(__xludf.DUMMYFUNCTION("""COMPUTED_VALUE"""),"aab4996493c32f1ec5e010a7e9b25c3e280e1445")</f>
        <v>aab4996493c32f1ec5e010a7e9b25c3e280e1445</v>
      </c>
      <c r="B192" s="6" t="str">
        <f>IFERROR(__xludf.DUMMYFUNCTION("""COMPUTED_VALUE"""),"Love Forever")</f>
        <v>Love Forever</v>
      </c>
      <c r="C192" s="6" t="str">
        <f>IFERROR(__xludf.DUMMYFUNCTION("""COMPUTED_VALUE"""),"Romance")</f>
        <v>Romance</v>
      </c>
      <c r="D192" s="17">
        <f>IFERROR(__xludf.DUMMYFUNCTION("""COMPUTED_VALUE"""),97.0)</f>
        <v>97</v>
      </c>
      <c r="E192" s="8">
        <f>IFERROR(__xludf.DUMMYFUNCTION("""COMPUTED_VALUE"""),0.979381443298969)</f>
        <v>0.9793814433</v>
      </c>
      <c r="F192" s="8">
        <f>IFERROR(__xludf.DUMMYFUNCTION("""COMPUTED_VALUE"""),0.587628865979381)</f>
        <v>0.587628866</v>
      </c>
      <c r="G192" s="8">
        <f>IFERROR(__xludf.DUMMYFUNCTION("""COMPUTED_VALUE"""),0.505154639175257)</f>
        <v>0.5051546392</v>
      </c>
      <c r="H192" s="8">
        <f>IFERROR(__xludf.DUMMYFUNCTION("""COMPUTED_VALUE"""),0.45360824742268)</f>
        <v>0.4536082474</v>
      </c>
      <c r="I192" s="8">
        <f>IFERROR(__xludf.DUMMYFUNCTION("""COMPUTED_VALUE"""),0.402061855670103)</f>
        <v>0.4020618557</v>
      </c>
      <c r="J192" s="8">
        <f>IFERROR(__xludf.DUMMYFUNCTION("""COMPUTED_VALUE"""),0.402061855670103)</f>
        <v>0.4020618557</v>
      </c>
      <c r="K192" s="8">
        <f>IFERROR(__xludf.DUMMYFUNCTION("""COMPUTED_VALUE"""),0.381443298969072)</f>
        <v>0.381443299</v>
      </c>
      <c r="L192" s="8">
        <f>IFERROR(__xludf.DUMMYFUNCTION("""COMPUTED_VALUE"""),0.360824742268041)</f>
        <v>0.3608247423</v>
      </c>
      <c r="M192" s="8">
        <f>IFERROR(__xludf.DUMMYFUNCTION("""COMPUTED_VALUE"""),0.40625)</f>
        <v>0.40625</v>
      </c>
      <c r="N192" s="8">
        <f>IFERROR(__xludf.DUMMYFUNCTION("""COMPUTED_VALUE"""),0.302083333333333)</f>
        <v>0.3020833333</v>
      </c>
      <c r="O192" s="8">
        <f>IFERROR(__xludf.DUMMYFUNCTION("""COMPUTED_VALUE"""),0.333333333333333)</f>
        <v>0.3333333333</v>
      </c>
      <c r="P192" s="8">
        <f>IFERROR(__xludf.DUMMYFUNCTION("""COMPUTED_VALUE"""),0.15625)</f>
        <v>0.15625</v>
      </c>
      <c r="Q192" s="8">
        <f>IFERROR(__xludf.DUMMYFUNCTION("""COMPUTED_VALUE"""),0.0947368421052631)</f>
        <v>0.09473684211</v>
      </c>
      <c r="R192" s="8">
        <f>IFERROR(__xludf.DUMMYFUNCTION("""COMPUTED_VALUE"""),0.0736842105263157)</f>
        <v>0.07368421053</v>
      </c>
      <c r="S192" s="8">
        <f>IFERROR(__xludf.DUMMYFUNCTION("""COMPUTED_VALUE"""),0.0)</f>
        <v>0</v>
      </c>
      <c r="T192" s="8">
        <f>IFERROR(__xludf.DUMMYFUNCTION("""COMPUTED_VALUE"""),0.0)</f>
        <v>0</v>
      </c>
      <c r="U192" s="8">
        <f>IFERROR(__xludf.DUMMYFUNCTION("""COMPUTED_VALUE"""),0.0)</f>
        <v>0</v>
      </c>
      <c r="V192" s="8">
        <f>IFERROR(__xludf.DUMMYFUNCTION("""COMPUTED_VALUE"""),0.0)</f>
        <v>0</v>
      </c>
      <c r="W192" s="8">
        <f>IFERROR(__xludf.DUMMYFUNCTION("""COMPUTED_VALUE"""),0.0)</f>
        <v>0</v>
      </c>
      <c r="X192" s="8">
        <f>IFERROR(__xludf.DUMMYFUNCTION("""COMPUTED_VALUE"""),0.0)</f>
        <v>0</v>
      </c>
      <c r="Y192" s="8">
        <f>IFERROR(__xludf.DUMMYFUNCTION("""COMPUTED_VALUE"""),0.0)</f>
        <v>0</v>
      </c>
      <c r="Z192" s="8">
        <f>IFERROR(__xludf.DUMMYFUNCTION("""COMPUTED_VALUE"""),0.0)</f>
        <v>0</v>
      </c>
      <c r="AA192" s="8">
        <f>IFERROR(__xludf.DUMMYFUNCTION("""COMPUTED_VALUE"""),0.0)</f>
        <v>0</v>
      </c>
      <c r="AB192" s="8">
        <f>IFERROR(__xludf.DUMMYFUNCTION("""COMPUTED_VALUE"""),0.0)</f>
        <v>0</v>
      </c>
      <c r="AC192" s="8">
        <f>IFERROR(__xludf.DUMMYFUNCTION("""COMPUTED_VALUE"""),0.0)</f>
        <v>0</v>
      </c>
    </row>
    <row r="193" ht="15.75" customHeight="1">
      <c r="A193" s="6" t="str">
        <f>IFERROR(__xludf.DUMMYFUNCTION("""COMPUTED_VALUE"""),"ab0abb1b032efe35c0bd9be9cb6f80f8738dc1c9")</f>
        <v>ab0abb1b032efe35c0bd9be9cb6f80f8738dc1c9</v>
      </c>
      <c r="B193" s="6" t="str">
        <f>IFERROR(__xludf.DUMMYFUNCTION("""COMPUTED_VALUE"""),"Kaizen Aritoku Rise")</f>
        <v>Kaizen Aritoku Rise</v>
      </c>
      <c r="C193" s="6" t="str">
        <f>IFERROR(__xludf.DUMMYFUNCTION("""COMPUTED_VALUE"""),"System and Superpower")</f>
        <v>System and Superpower</v>
      </c>
      <c r="D193" s="17">
        <f>IFERROR(__xludf.DUMMYFUNCTION("""COMPUTED_VALUE"""),27.0)</f>
        <v>27</v>
      </c>
      <c r="E193" s="8">
        <f>IFERROR(__xludf.DUMMYFUNCTION("""COMPUTED_VALUE"""),1.0)</f>
        <v>1</v>
      </c>
      <c r="F193" s="8">
        <f>IFERROR(__xludf.DUMMYFUNCTION("""COMPUTED_VALUE"""),0.555555555555555)</f>
        <v>0.5555555556</v>
      </c>
      <c r="G193" s="8">
        <f>IFERROR(__xludf.DUMMYFUNCTION("""COMPUTED_VALUE"""),0.481481481481481)</f>
        <v>0.4814814815</v>
      </c>
      <c r="H193" s="8">
        <f>IFERROR(__xludf.DUMMYFUNCTION("""COMPUTED_VALUE"""),0.37037037037037)</f>
        <v>0.3703703704</v>
      </c>
      <c r="I193" s="8">
        <f>IFERROR(__xludf.DUMMYFUNCTION("""COMPUTED_VALUE"""),0.333333333333333)</f>
        <v>0.3333333333</v>
      </c>
      <c r="J193" s="8">
        <f>IFERROR(__xludf.DUMMYFUNCTION("""COMPUTED_VALUE"""),0.333333333333333)</f>
        <v>0.3333333333</v>
      </c>
      <c r="K193" s="8">
        <f>IFERROR(__xludf.DUMMYFUNCTION("""COMPUTED_VALUE"""),0.333333333333333)</f>
        <v>0.3333333333</v>
      </c>
      <c r="L193" s="8">
        <f>IFERROR(__xludf.DUMMYFUNCTION("""COMPUTED_VALUE"""),0.269230769230769)</f>
        <v>0.2692307692</v>
      </c>
      <c r="M193" s="8">
        <f>IFERROR(__xludf.DUMMYFUNCTION("""COMPUTED_VALUE"""),0.269230769230769)</f>
        <v>0.2692307692</v>
      </c>
      <c r="N193" s="8">
        <f>IFERROR(__xludf.DUMMYFUNCTION("""COMPUTED_VALUE"""),0.307692307692307)</f>
        <v>0.3076923077</v>
      </c>
      <c r="O193" s="8">
        <f>IFERROR(__xludf.DUMMYFUNCTION("""COMPUTED_VALUE"""),0.115384615384615)</f>
        <v>0.1153846154</v>
      </c>
      <c r="P193" s="8">
        <f>IFERROR(__xludf.DUMMYFUNCTION("""COMPUTED_VALUE"""),0.0769230769230769)</f>
        <v>0.07692307692</v>
      </c>
      <c r="Q193" s="8">
        <f>IFERROR(__xludf.DUMMYFUNCTION("""COMPUTED_VALUE"""),0.0416666666666666)</f>
        <v>0.04166666667</v>
      </c>
      <c r="R193" s="8">
        <f>IFERROR(__xludf.DUMMYFUNCTION("""COMPUTED_VALUE"""),0.0)</f>
        <v>0</v>
      </c>
      <c r="S193" s="8">
        <f>IFERROR(__xludf.DUMMYFUNCTION("""COMPUTED_VALUE"""),0.0)</f>
        <v>0</v>
      </c>
      <c r="T193" s="8">
        <f>IFERROR(__xludf.DUMMYFUNCTION("""COMPUTED_VALUE"""),0.0)</f>
        <v>0</v>
      </c>
      <c r="U193" s="8">
        <f>IFERROR(__xludf.DUMMYFUNCTION("""COMPUTED_VALUE"""),0.0)</f>
        <v>0</v>
      </c>
      <c r="V193" s="8">
        <f>IFERROR(__xludf.DUMMYFUNCTION("""COMPUTED_VALUE"""),0.0)</f>
        <v>0</v>
      </c>
      <c r="W193" s="8">
        <f>IFERROR(__xludf.DUMMYFUNCTION("""COMPUTED_VALUE"""),0.0)</f>
        <v>0</v>
      </c>
      <c r="X193" s="8">
        <f>IFERROR(__xludf.DUMMYFUNCTION("""COMPUTED_VALUE"""),0.0)</f>
        <v>0</v>
      </c>
      <c r="Y193" s="8">
        <f>IFERROR(__xludf.DUMMYFUNCTION("""COMPUTED_VALUE"""),0.0)</f>
        <v>0</v>
      </c>
      <c r="Z193" s="8">
        <f>IFERROR(__xludf.DUMMYFUNCTION("""COMPUTED_VALUE"""),0.0)</f>
        <v>0</v>
      </c>
      <c r="AA193" s="8">
        <f>IFERROR(__xludf.DUMMYFUNCTION("""COMPUTED_VALUE"""),0.0)</f>
        <v>0</v>
      </c>
      <c r="AB193" s="8">
        <f>IFERROR(__xludf.DUMMYFUNCTION("""COMPUTED_VALUE"""),0.0)</f>
        <v>0</v>
      </c>
      <c r="AC193" s="8">
        <f>IFERROR(__xludf.DUMMYFUNCTION("""COMPUTED_VALUE"""),0.0)</f>
        <v>0</v>
      </c>
    </row>
    <row r="194" ht="15.75" customHeight="1">
      <c r="A194" s="6" t="str">
        <f>IFERROR(__xludf.DUMMYFUNCTION("""COMPUTED_VALUE"""),"abe99e0d615e9d7ebbf5d941810842cf64a74c6c")</f>
        <v>abe99e0d615e9d7ebbf5d941810842cf64a74c6c</v>
      </c>
      <c r="B194" s="6" t="str">
        <f>IFERROR(__xludf.DUMMYFUNCTION("""COMPUTED_VALUE"""),"Forgetting You, Lily")</f>
        <v>Forgetting You, Lily</v>
      </c>
      <c r="C194" s="6" t="str">
        <f>IFERROR(__xludf.DUMMYFUNCTION("""COMPUTED_VALUE"""),"Romance")</f>
        <v>Romance</v>
      </c>
      <c r="D194" s="17">
        <f>IFERROR(__xludf.DUMMYFUNCTION("""COMPUTED_VALUE"""),97.0)</f>
        <v>97</v>
      </c>
      <c r="E194" s="8">
        <f>IFERROR(__xludf.DUMMYFUNCTION("""COMPUTED_VALUE"""),0.988505747126436)</f>
        <v>0.9885057471</v>
      </c>
      <c r="F194" s="8">
        <f>IFERROR(__xludf.DUMMYFUNCTION("""COMPUTED_VALUE"""),0.430379746835443)</f>
        <v>0.4303797468</v>
      </c>
      <c r="G194" s="8">
        <f>IFERROR(__xludf.DUMMYFUNCTION("""COMPUTED_VALUE"""),0.302631578947368)</f>
        <v>0.3026315789</v>
      </c>
      <c r="H194" s="8">
        <f>IFERROR(__xludf.DUMMYFUNCTION("""COMPUTED_VALUE"""),0.253731343283582)</f>
        <v>0.2537313433</v>
      </c>
      <c r="I194" s="8">
        <f>IFERROR(__xludf.DUMMYFUNCTION("""COMPUTED_VALUE"""),0.21875)</f>
        <v>0.21875</v>
      </c>
      <c r="J194" s="8">
        <f>IFERROR(__xludf.DUMMYFUNCTION("""COMPUTED_VALUE"""),0.209677419354838)</f>
        <v>0.2096774194</v>
      </c>
      <c r="K194" s="8">
        <f>IFERROR(__xludf.DUMMYFUNCTION("""COMPUTED_VALUE"""),0.152542372881355)</f>
        <v>0.1525423729</v>
      </c>
      <c r="L194" s="8">
        <f>IFERROR(__xludf.DUMMYFUNCTION("""COMPUTED_VALUE"""),0.176470588235294)</f>
        <v>0.1764705882</v>
      </c>
      <c r="M194" s="8">
        <f>IFERROR(__xludf.DUMMYFUNCTION("""COMPUTED_VALUE"""),0.181818181818181)</f>
        <v>0.1818181818</v>
      </c>
      <c r="N194" s="8">
        <f>IFERROR(__xludf.DUMMYFUNCTION("""COMPUTED_VALUE"""),0.138888888888888)</f>
        <v>0.1388888889</v>
      </c>
      <c r="O194" s="8">
        <f>IFERROR(__xludf.DUMMYFUNCTION("""COMPUTED_VALUE"""),0.04)</f>
        <v>0.04</v>
      </c>
      <c r="P194" s="8">
        <f>IFERROR(__xludf.DUMMYFUNCTION("""COMPUTED_VALUE"""),0.0434782608695652)</f>
        <v>0.04347826087</v>
      </c>
      <c r="Q194" s="8">
        <f>IFERROR(__xludf.DUMMYFUNCTION("""COMPUTED_VALUE"""),0.0)</f>
        <v>0</v>
      </c>
      <c r="R194" s="8">
        <f>IFERROR(__xludf.DUMMYFUNCTION("""COMPUTED_VALUE"""),0.0)</f>
        <v>0</v>
      </c>
      <c r="S194" s="8">
        <f>IFERROR(__xludf.DUMMYFUNCTION("""COMPUTED_VALUE"""),0.0)</f>
        <v>0</v>
      </c>
      <c r="T194" s="8">
        <f>IFERROR(__xludf.DUMMYFUNCTION("""COMPUTED_VALUE"""),0.0)</f>
        <v>0</v>
      </c>
      <c r="U194" s="8">
        <f>IFERROR(__xludf.DUMMYFUNCTION("""COMPUTED_VALUE"""),0.0)</f>
        <v>0</v>
      </c>
      <c r="V194" s="8">
        <f>IFERROR(__xludf.DUMMYFUNCTION("""COMPUTED_VALUE"""),0.0)</f>
        <v>0</v>
      </c>
      <c r="W194" s="8">
        <f>IFERROR(__xludf.DUMMYFUNCTION("""COMPUTED_VALUE"""),0.0)</f>
        <v>0</v>
      </c>
      <c r="X194" s="8">
        <f>IFERROR(__xludf.DUMMYFUNCTION("""COMPUTED_VALUE"""),0.0)</f>
        <v>0</v>
      </c>
      <c r="Y194" s="8">
        <f>IFERROR(__xludf.DUMMYFUNCTION("""COMPUTED_VALUE"""),0.0)</f>
        <v>0</v>
      </c>
      <c r="Z194" s="8">
        <f>IFERROR(__xludf.DUMMYFUNCTION("""COMPUTED_VALUE"""),0.0)</f>
        <v>0</v>
      </c>
      <c r="AA194" s="8">
        <f>IFERROR(__xludf.DUMMYFUNCTION("""COMPUTED_VALUE"""),0.0)</f>
        <v>0</v>
      </c>
      <c r="AB194" s="8">
        <f>IFERROR(__xludf.DUMMYFUNCTION("""COMPUTED_VALUE"""),0.0)</f>
        <v>0</v>
      </c>
      <c r="AC194" s="8">
        <f>IFERROR(__xludf.DUMMYFUNCTION("""COMPUTED_VALUE"""),0.0)</f>
        <v>0</v>
      </c>
    </row>
    <row r="195" ht="15.75" customHeight="1">
      <c r="A195" s="6" t="str">
        <f>IFERROR(__xludf.DUMMYFUNCTION("""COMPUTED_VALUE"""),"ac20da1af1ee60dd2020e8ff294c8c9dcf5be7ba")</f>
        <v>ac20da1af1ee60dd2020e8ff294c8c9dcf5be7ba</v>
      </c>
      <c r="B195" s="6" t="str">
        <f>IFERROR(__xludf.DUMMYFUNCTION("""COMPUTED_VALUE"""),"General Drake")</f>
        <v>General Drake</v>
      </c>
      <c r="C195" s="6" t="str">
        <f>IFERROR(__xludf.DUMMYFUNCTION("""COMPUTED_VALUE"""),"Suspense or Thriller")</f>
        <v>Suspense or Thriller</v>
      </c>
      <c r="D195" s="17">
        <f>IFERROR(__xludf.DUMMYFUNCTION("""COMPUTED_VALUE"""),131.0)</f>
        <v>131</v>
      </c>
      <c r="E195" s="8">
        <f>IFERROR(__xludf.DUMMYFUNCTION("""COMPUTED_VALUE"""),0.977099236641221)</f>
        <v>0.9770992366</v>
      </c>
      <c r="F195" s="8">
        <f>IFERROR(__xludf.DUMMYFUNCTION("""COMPUTED_VALUE"""),0.770992366412213)</f>
        <v>0.7709923664</v>
      </c>
      <c r="G195" s="8">
        <f>IFERROR(__xludf.DUMMYFUNCTION("""COMPUTED_VALUE"""),0.679389312977099)</f>
        <v>0.679389313</v>
      </c>
      <c r="H195" s="8">
        <f>IFERROR(__xludf.DUMMYFUNCTION("""COMPUTED_VALUE"""),0.633587786259541)</f>
        <v>0.6335877863</v>
      </c>
      <c r="I195" s="8">
        <f>IFERROR(__xludf.DUMMYFUNCTION("""COMPUTED_VALUE"""),0.587786259541984)</f>
        <v>0.5877862595</v>
      </c>
      <c r="J195" s="8">
        <f>IFERROR(__xludf.DUMMYFUNCTION("""COMPUTED_VALUE"""),0.534351145038167)</f>
        <v>0.534351145</v>
      </c>
      <c r="K195" s="8">
        <f>IFERROR(__xludf.DUMMYFUNCTION("""COMPUTED_VALUE"""),0.49618320610687)</f>
        <v>0.4961832061</v>
      </c>
      <c r="L195" s="8">
        <f>IFERROR(__xludf.DUMMYFUNCTION("""COMPUTED_VALUE"""),0.426229508196721)</f>
        <v>0.4262295082</v>
      </c>
      <c r="M195" s="8">
        <f>IFERROR(__xludf.DUMMYFUNCTION("""COMPUTED_VALUE"""),0.40983606557377)</f>
        <v>0.4098360656</v>
      </c>
      <c r="N195" s="8">
        <f>IFERROR(__xludf.DUMMYFUNCTION("""COMPUTED_VALUE"""),0.393442622950819)</f>
        <v>0.393442623</v>
      </c>
      <c r="O195" s="8">
        <f>IFERROR(__xludf.DUMMYFUNCTION("""COMPUTED_VALUE"""),0.313559322033898)</f>
        <v>0.313559322</v>
      </c>
      <c r="P195" s="8">
        <f>IFERROR(__xludf.DUMMYFUNCTION("""COMPUTED_VALUE"""),0.161904761904761)</f>
        <v>0.1619047619</v>
      </c>
      <c r="Q195" s="8">
        <f>IFERROR(__xludf.DUMMYFUNCTION("""COMPUTED_VALUE"""),0.148148148148148)</f>
        <v>0.1481481481</v>
      </c>
      <c r="R195" s="8">
        <f>IFERROR(__xludf.DUMMYFUNCTION("""COMPUTED_VALUE"""),0.0)</f>
        <v>0</v>
      </c>
      <c r="S195" s="8">
        <f>IFERROR(__xludf.DUMMYFUNCTION("""COMPUTED_VALUE"""),0.0)</f>
        <v>0</v>
      </c>
      <c r="T195" s="8">
        <f>IFERROR(__xludf.DUMMYFUNCTION("""COMPUTED_VALUE"""),0.0)</f>
        <v>0</v>
      </c>
      <c r="U195" s="8">
        <f>IFERROR(__xludf.DUMMYFUNCTION("""COMPUTED_VALUE"""),0.0)</f>
        <v>0</v>
      </c>
      <c r="V195" s="8">
        <f>IFERROR(__xludf.DUMMYFUNCTION("""COMPUTED_VALUE"""),0.0)</f>
        <v>0</v>
      </c>
      <c r="W195" s="8">
        <f>IFERROR(__xludf.DUMMYFUNCTION("""COMPUTED_VALUE"""),0.0)</f>
        <v>0</v>
      </c>
      <c r="X195" s="8">
        <f>IFERROR(__xludf.DUMMYFUNCTION("""COMPUTED_VALUE"""),0.0)</f>
        <v>0</v>
      </c>
      <c r="Y195" s="8">
        <f>IFERROR(__xludf.DUMMYFUNCTION("""COMPUTED_VALUE"""),0.0)</f>
        <v>0</v>
      </c>
      <c r="Z195" s="8">
        <f>IFERROR(__xludf.DUMMYFUNCTION("""COMPUTED_VALUE"""),0.0)</f>
        <v>0</v>
      </c>
      <c r="AA195" s="8">
        <f>IFERROR(__xludf.DUMMYFUNCTION("""COMPUTED_VALUE"""),0.0)</f>
        <v>0</v>
      </c>
      <c r="AB195" s="8">
        <f>IFERROR(__xludf.DUMMYFUNCTION("""COMPUTED_VALUE"""),0.0)</f>
        <v>0</v>
      </c>
      <c r="AC195" s="8">
        <f>IFERROR(__xludf.DUMMYFUNCTION("""COMPUTED_VALUE"""),0.0)</f>
        <v>0</v>
      </c>
    </row>
    <row r="196" ht="15.75" customHeight="1">
      <c r="A196" s="6" t="str">
        <f>IFERROR(__xludf.DUMMYFUNCTION("""COMPUTED_VALUE"""),"ad2e8d85f798bb8f66e9add56b1e29d7018e06fb")</f>
        <v>ad2e8d85f798bb8f66e9add56b1e29d7018e06fb</v>
      </c>
      <c r="B196" s="6" t="str">
        <f>IFERROR(__xludf.DUMMYFUNCTION("""COMPUTED_VALUE"""),"Embezzling Simp Funds")</f>
        <v>Embezzling Simp Funds</v>
      </c>
      <c r="C196" s="6" t="str">
        <f>IFERROR(__xludf.DUMMYFUNCTION("""COMPUTED_VALUE"""),"System and Superpower")</f>
        <v>System and Superpower</v>
      </c>
      <c r="D196" s="17">
        <f>IFERROR(__xludf.DUMMYFUNCTION("""COMPUTED_VALUE"""),603.0)</f>
        <v>603</v>
      </c>
      <c r="E196" s="8">
        <f>IFERROR(__xludf.DUMMYFUNCTION("""COMPUTED_VALUE"""),0.991708126036484)</f>
        <v>0.991708126</v>
      </c>
      <c r="F196" s="8">
        <f>IFERROR(__xludf.DUMMYFUNCTION("""COMPUTED_VALUE"""),0.51328903654485)</f>
        <v>0.5132890365</v>
      </c>
      <c r="G196" s="8">
        <f>IFERROR(__xludf.DUMMYFUNCTION("""COMPUTED_VALUE"""),0.451827242524916)</f>
        <v>0.4518272425</v>
      </c>
      <c r="H196" s="8">
        <f>IFERROR(__xludf.DUMMYFUNCTION("""COMPUTED_VALUE"""),0.406976744186046)</f>
        <v>0.4069767442</v>
      </c>
      <c r="I196" s="8">
        <f>IFERROR(__xludf.DUMMYFUNCTION("""COMPUTED_VALUE"""),0.374376039933444)</f>
        <v>0.3743760399</v>
      </c>
      <c r="J196" s="8">
        <f>IFERROR(__xludf.DUMMYFUNCTION("""COMPUTED_VALUE"""),0.35440931780366)</f>
        <v>0.3544093178</v>
      </c>
      <c r="K196" s="8">
        <f>IFERROR(__xludf.DUMMYFUNCTION("""COMPUTED_VALUE"""),0.334442595673876)</f>
        <v>0.3344425957</v>
      </c>
      <c r="L196" s="8">
        <f>IFERROR(__xludf.DUMMYFUNCTION("""COMPUTED_VALUE"""),0.307820299500831)</f>
        <v>0.3078202995</v>
      </c>
      <c r="M196" s="8">
        <f>IFERROR(__xludf.DUMMYFUNCTION("""COMPUTED_VALUE"""),0.298333333333333)</f>
        <v>0.2983333333</v>
      </c>
      <c r="N196" s="8">
        <f>IFERROR(__xludf.DUMMYFUNCTION("""COMPUTED_VALUE"""),0.288333333333333)</f>
        <v>0.2883333333</v>
      </c>
      <c r="O196" s="8">
        <f>IFERROR(__xludf.DUMMYFUNCTION("""COMPUTED_VALUE"""),0.219819819819819)</f>
        <v>0.2198198198</v>
      </c>
      <c r="P196" s="8">
        <f>IFERROR(__xludf.DUMMYFUNCTION("""COMPUTED_VALUE"""),0.175166297117516)</f>
        <v>0.1751662971</v>
      </c>
      <c r="Q196" s="8">
        <f>IFERROR(__xludf.DUMMYFUNCTION("""COMPUTED_VALUE"""),0.162162162162162)</f>
        <v>0.1621621622</v>
      </c>
      <c r="R196" s="8">
        <f>IFERROR(__xludf.DUMMYFUNCTION("""COMPUTED_VALUE"""),0.137931034482758)</f>
        <v>0.1379310345</v>
      </c>
      <c r="S196" s="8">
        <f>IFERROR(__xludf.DUMMYFUNCTION("""COMPUTED_VALUE"""),0.074074074074074)</f>
        <v>0.07407407407</v>
      </c>
      <c r="T196" s="8">
        <f>IFERROR(__xludf.DUMMYFUNCTION("""COMPUTED_VALUE"""),0.0869565217391304)</f>
        <v>0.08695652174</v>
      </c>
      <c r="U196" s="8">
        <f>IFERROR(__xludf.DUMMYFUNCTION("""COMPUTED_VALUE"""),0.1)</f>
        <v>0.1</v>
      </c>
      <c r="V196" s="8">
        <f>IFERROR(__xludf.DUMMYFUNCTION("""COMPUTED_VALUE"""),0.0555555555555555)</f>
        <v>0.05555555556</v>
      </c>
      <c r="W196" s="8">
        <f>IFERROR(__xludf.DUMMYFUNCTION("""COMPUTED_VALUE"""),0.0588235294117647)</f>
        <v>0.05882352941</v>
      </c>
      <c r="X196" s="8">
        <f>IFERROR(__xludf.DUMMYFUNCTION("""COMPUTED_VALUE"""),0.0)</f>
        <v>0</v>
      </c>
      <c r="Y196" s="8">
        <f>IFERROR(__xludf.DUMMYFUNCTION("""COMPUTED_VALUE"""),0.0)</f>
        <v>0</v>
      </c>
      <c r="Z196" s="8">
        <f>IFERROR(__xludf.DUMMYFUNCTION("""COMPUTED_VALUE"""),0.0)</f>
        <v>0</v>
      </c>
      <c r="AA196" s="8">
        <f>IFERROR(__xludf.DUMMYFUNCTION("""COMPUTED_VALUE"""),0.0)</f>
        <v>0</v>
      </c>
      <c r="AB196" s="8">
        <f>IFERROR(__xludf.DUMMYFUNCTION("""COMPUTED_VALUE"""),0.0)</f>
        <v>0</v>
      </c>
      <c r="AC196" s="8">
        <f>IFERROR(__xludf.DUMMYFUNCTION("""COMPUTED_VALUE"""),0.0)</f>
        <v>0</v>
      </c>
    </row>
    <row r="197" ht="15.75" customHeight="1">
      <c r="A197" s="6" t="str">
        <f>IFERROR(__xludf.DUMMYFUNCTION("""COMPUTED_VALUE"""),"ad877b024bb7b2c30b52737ab2d9d8d49cc89f77")</f>
        <v>ad877b024bb7b2c30b52737ab2d9d8d49cc89f77</v>
      </c>
      <c r="B197" s="6" t="str">
        <f>IFERROR(__xludf.DUMMYFUNCTION("""COMPUTED_VALUE"""),"The Master at Heart Work ")</f>
        <v>The Master at Heart Work </v>
      </c>
      <c r="C197" s="6" t="str">
        <f>IFERROR(__xludf.DUMMYFUNCTION("""COMPUTED_VALUE"""),"System and Superpower")</f>
        <v>System and Superpower</v>
      </c>
      <c r="D197" s="17">
        <f>IFERROR(__xludf.DUMMYFUNCTION("""COMPUTED_VALUE"""),151.0)</f>
        <v>151</v>
      </c>
      <c r="E197" s="8">
        <f>IFERROR(__xludf.DUMMYFUNCTION("""COMPUTED_VALUE"""),0.960264900662251)</f>
        <v>0.9602649007</v>
      </c>
      <c r="F197" s="8">
        <f>IFERROR(__xludf.DUMMYFUNCTION("""COMPUTED_VALUE"""),0.748344370860927)</f>
        <v>0.7483443709</v>
      </c>
      <c r="G197" s="8">
        <f>IFERROR(__xludf.DUMMYFUNCTION("""COMPUTED_VALUE"""),0.708609271523178)</f>
        <v>0.7086092715</v>
      </c>
      <c r="H197" s="8">
        <f>IFERROR(__xludf.DUMMYFUNCTION("""COMPUTED_VALUE"""),0.649006622516556)</f>
        <v>0.6490066225</v>
      </c>
      <c r="I197" s="8">
        <f>IFERROR(__xludf.DUMMYFUNCTION("""COMPUTED_VALUE"""),0.629139072847682)</f>
        <v>0.6291390728</v>
      </c>
      <c r="J197" s="8">
        <f>IFERROR(__xludf.DUMMYFUNCTION("""COMPUTED_VALUE"""),0.546666666666666)</f>
        <v>0.5466666667</v>
      </c>
      <c r="K197" s="8">
        <f>IFERROR(__xludf.DUMMYFUNCTION("""COMPUTED_VALUE"""),0.510067114093959)</f>
        <v>0.5100671141</v>
      </c>
      <c r="L197" s="8">
        <f>IFERROR(__xludf.DUMMYFUNCTION("""COMPUTED_VALUE"""),0.503401360544217)</f>
        <v>0.5034013605</v>
      </c>
      <c r="M197" s="8">
        <f>IFERROR(__xludf.DUMMYFUNCTION("""COMPUTED_VALUE"""),0.482993197278911)</f>
        <v>0.4829931973</v>
      </c>
      <c r="N197" s="8">
        <f>IFERROR(__xludf.DUMMYFUNCTION("""COMPUTED_VALUE"""),0.438356164383561)</f>
        <v>0.4383561644</v>
      </c>
      <c r="O197" s="8">
        <f>IFERROR(__xludf.DUMMYFUNCTION("""COMPUTED_VALUE"""),0.359154929577464)</f>
        <v>0.3591549296</v>
      </c>
      <c r="P197" s="8">
        <f>IFERROR(__xludf.DUMMYFUNCTION("""COMPUTED_VALUE"""),0.230215827338129)</f>
        <v>0.2302158273</v>
      </c>
      <c r="Q197" s="8">
        <f>IFERROR(__xludf.DUMMYFUNCTION("""COMPUTED_VALUE"""),0.155038759689922)</f>
        <v>0.1550387597</v>
      </c>
      <c r="R197" s="8">
        <f>IFERROR(__xludf.DUMMYFUNCTION("""COMPUTED_VALUE"""),0.14516129032258)</f>
        <v>0.1451612903</v>
      </c>
      <c r="S197" s="8">
        <f>IFERROR(__xludf.DUMMYFUNCTION("""COMPUTED_VALUE"""),0.153153153153153)</f>
        <v>0.1531531532</v>
      </c>
      <c r="T197" s="8">
        <f>IFERROR(__xludf.DUMMYFUNCTION("""COMPUTED_VALUE"""),0.10576923076923)</f>
        <v>0.1057692308</v>
      </c>
      <c r="U197" s="8">
        <f>IFERROR(__xludf.DUMMYFUNCTION("""COMPUTED_VALUE"""),0.0843373493975903)</f>
        <v>0.0843373494</v>
      </c>
      <c r="V197" s="8">
        <f>IFERROR(__xludf.DUMMYFUNCTION("""COMPUTED_VALUE"""),0.0833333333333333)</f>
        <v>0.08333333333</v>
      </c>
      <c r="W197" s="8">
        <f>IFERROR(__xludf.DUMMYFUNCTION("""COMPUTED_VALUE"""),0.0615384615384615)</f>
        <v>0.06153846154</v>
      </c>
      <c r="X197" s="8">
        <f>IFERROR(__xludf.DUMMYFUNCTION("""COMPUTED_VALUE"""),0.0212765957446808)</f>
        <v>0.02127659574</v>
      </c>
      <c r="Y197" s="8">
        <f>IFERROR(__xludf.DUMMYFUNCTION("""COMPUTED_VALUE"""),0.0)</f>
        <v>0</v>
      </c>
      <c r="Z197" s="8">
        <f>IFERROR(__xludf.DUMMYFUNCTION("""COMPUTED_VALUE"""),0.0)</f>
        <v>0</v>
      </c>
      <c r="AA197" s="8">
        <f>IFERROR(__xludf.DUMMYFUNCTION("""COMPUTED_VALUE"""),0.0)</f>
        <v>0</v>
      </c>
      <c r="AB197" s="8">
        <f>IFERROR(__xludf.DUMMYFUNCTION("""COMPUTED_VALUE"""),0.0)</f>
        <v>0</v>
      </c>
      <c r="AC197" s="8">
        <f>IFERROR(__xludf.DUMMYFUNCTION("""COMPUTED_VALUE"""),0.0)</f>
        <v>0</v>
      </c>
    </row>
    <row r="198" ht="15.75" customHeight="1">
      <c r="A198" s="6" t="str">
        <f>IFERROR(__xludf.DUMMYFUNCTION("""COMPUTED_VALUE"""),"afc4914ba536580c6c21a79231a73b9e6dc67e1a")</f>
        <v>afc4914ba536580c6c21a79231a73b9e6dc67e1a</v>
      </c>
      <c r="B198" s="6" t="str">
        <f>IFERROR(__xludf.DUMMYFUNCTION("""COMPUTED_VALUE"""),"Her Cupid Curse")</f>
        <v>Her Cupid Curse</v>
      </c>
      <c r="C198" s="6" t="str">
        <f>IFERROR(__xludf.DUMMYFUNCTION("""COMPUTED_VALUE"""),"Romance")</f>
        <v>Romance</v>
      </c>
      <c r="D198" s="17">
        <f>IFERROR(__xludf.DUMMYFUNCTION("""COMPUTED_VALUE"""),542.0)</f>
        <v>542</v>
      </c>
      <c r="E198" s="8">
        <f>IFERROR(__xludf.DUMMYFUNCTION("""COMPUTED_VALUE"""),0.977818853974122)</f>
        <v>0.977818854</v>
      </c>
      <c r="F198" s="8">
        <f>IFERROR(__xludf.DUMMYFUNCTION("""COMPUTED_VALUE"""),0.65267175572519)</f>
        <v>0.6526717557</v>
      </c>
      <c r="G198" s="8">
        <f>IFERROR(__xludf.DUMMYFUNCTION("""COMPUTED_VALUE"""),0.607920792079207)</f>
        <v>0.6079207921</v>
      </c>
      <c r="H198" s="8">
        <f>IFERROR(__xludf.DUMMYFUNCTION("""COMPUTED_VALUE"""),0.550321199143469)</f>
        <v>0.5503211991</v>
      </c>
      <c r="I198" s="8">
        <f>IFERROR(__xludf.DUMMYFUNCTION("""COMPUTED_VALUE"""),0.501193317422434)</f>
        <v>0.5011933174</v>
      </c>
      <c r="J198" s="8">
        <f>IFERROR(__xludf.DUMMYFUNCTION("""COMPUTED_VALUE"""),0.451443569553805)</f>
        <v>0.4514435696</v>
      </c>
      <c r="K198" s="8">
        <f>IFERROR(__xludf.DUMMYFUNCTION("""COMPUTED_VALUE"""),0.433962264150943)</f>
        <v>0.4339622642</v>
      </c>
      <c r="L198" s="8">
        <f>IFERROR(__xludf.DUMMYFUNCTION("""COMPUTED_VALUE"""),0.425287356321839)</f>
        <v>0.4252873563</v>
      </c>
      <c r="M198" s="8">
        <f>IFERROR(__xludf.DUMMYFUNCTION("""COMPUTED_VALUE"""),0.384615384615384)</f>
        <v>0.3846153846</v>
      </c>
      <c r="N198" s="8">
        <f>IFERROR(__xludf.DUMMYFUNCTION("""COMPUTED_VALUE"""),0.263157894736842)</f>
        <v>0.2631578947</v>
      </c>
      <c r="O198" s="8">
        <f>IFERROR(__xludf.DUMMYFUNCTION("""COMPUTED_VALUE"""),0.461538461538461)</f>
        <v>0.4615384615</v>
      </c>
      <c r="P198" s="8">
        <f>IFERROR(__xludf.DUMMYFUNCTION("""COMPUTED_VALUE"""),0.0)</f>
        <v>0</v>
      </c>
      <c r="Q198" s="8">
        <f>IFERROR(__xludf.DUMMYFUNCTION("""COMPUTED_VALUE"""),0.0)</f>
        <v>0</v>
      </c>
      <c r="R198" s="8">
        <f>IFERROR(__xludf.DUMMYFUNCTION("""COMPUTED_VALUE"""),0.0)</f>
        <v>0</v>
      </c>
      <c r="S198" s="8">
        <f>IFERROR(__xludf.DUMMYFUNCTION("""COMPUTED_VALUE"""),0.0)</f>
        <v>0</v>
      </c>
      <c r="T198" s="8">
        <f>IFERROR(__xludf.DUMMYFUNCTION("""COMPUTED_VALUE"""),0.0)</f>
        <v>0</v>
      </c>
      <c r="U198" s="8">
        <f>IFERROR(__xludf.DUMMYFUNCTION("""COMPUTED_VALUE"""),0.0)</f>
        <v>0</v>
      </c>
      <c r="V198" s="8">
        <f>IFERROR(__xludf.DUMMYFUNCTION("""COMPUTED_VALUE"""),0.0)</f>
        <v>0</v>
      </c>
      <c r="W198" s="8">
        <f>IFERROR(__xludf.DUMMYFUNCTION("""COMPUTED_VALUE"""),0.0)</f>
        <v>0</v>
      </c>
      <c r="X198" s="8">
        <f>IFERROR(__xludf.DUMMYFUNCTION("""COMPUTED_VALUE"""),0.0)</f>
        <v>0</v>
      </c>
      <c r="Y198" s="8">
        <f>IFERROR(__xludf.DUMMYFUNCTION("""COMPUTED_VALUE"""),0.0)</f>
        <v>0</v>
      </c>
      <c r="Z198" s="8">
        <f>IFERROR(__xludf.DUMMYFUNCTION("""COMPUTED_VALUE"""),0.0)</f>
        <v>0</v>
      </c>
      <c r="AA198" s="8">
        <f>IFERROR(__xludf.DUMMYFUNCTION("""COMPUTED_VALUE"""),0.0)</f>
        <v>0</v>
      </c>
      <c r="AB198" s="8">
        <f>IFERROR(__xludf.DUMMYFUNCTION("""COMPUTED_VALUE"""),0.0)</f>
        <v>0</v>
      </c>
      <c r="AC198" s="8">
        <f>IFERROR(__xludf.DUMMYFUNCTION("""COMPUTED_VALUE"""),0.0)</f>
        <v>0</v>
      </c>
    </row>
    <row r="199" ht="15.75" customHeight="1">
      <c r="A199" s="6" t="str">
        <f>IFERROR(__xludf.DUMMYFUNCTION("""COMPUTED_VALUE"""),"b035f182bb6d36439bba21081e89b0cb80ad7d57")</f>
        <v>b035f182bb6d36439bba21081e89b0cb80ad7d57</v>
      </c>
      <c r="B199" s="6" t="str">
        <f>IFERROR(__xludf.DUMMYFUNCTION("""COMPUTED_VALUE"""),"Glory After Loss")</f>
        <v>Glory After Loss</v>
      </c>
      <c r="C199" s="6" t="str">
        <f>IFERROR(__xludf.DUMMYFUNCTION("""COMPUTED_VALUE"""),"System and Superpower")</f>
        <v>System and Superpower</v>
      </c>
      <c r="D199" s="17">
        <f>IFERROR(__xludf.DUMMYFUNCTION("""COMPUTED_VALUE"""),171.0)</f>
        <v>171</v>
      </c>
      <c r="E199" s="8">
        <f>IFERROR(__xludf.DUMMYFUNCTION("""COMPUTED_VALUE"""),0.970760233918128)</f>
        <v>0.9707602339</v>
      </c>
      <c r="F199" s="8">
        <f>IFERROR(__xludf.DUMMYFUNCTION("""COMPUTED_VALUE"""),0.735294117647058)</f>
        <v>0.7352941176</v>
      </c>
      <c r="G199" s="8">
        <f>IFERROR(__xludf.DUMMYFUNCTION("""COMPUTED_VALUE"""),0.664705882352941)</f>
        <v>0.6647058824</v>
      </c>
      <c r="H199" s="8">
        <f>IFERROR(__xludf.DUMMYFUNCTION("""COMPUTED_VALUE"""),0.617647058823529)</f>
        <v>0.6176470588</v>
      </c>
      <c r="I199" s="8">
        <f>IFERROR(__xludf.DUMMYFUNCTION("""COMPUTED_VALUE"""),0.57396449704142)</f>
        <v>0.573964497</v>
      </c>
      <c r="J199" s="8">
        <f>IFERROR(__xludf.DUMMYFUNCTION("""COMPUTED_VALUE"""),0.547619047619047)</f>
        <v>0.5476190476</v>
      </c>
      <c r="K199" s="8">
        <f>IFERROR(__xludf.DUMMYFUNCTION("""COMPUTED_VALUE"""),0.511904761904761)</f>
        <v>0.5119047619</v>
      </c>
      <c r="L199" s="8">
        <f>IFERROR(__xludf.DUMMYFUNCTION("""COMPUTED_VALUE"""),0.48502994011976)</f>
        <v>0.4850299401</v>
      </c>
      <c r="M199" s="8">
        <f>IFERROR(__xludf.DUMMYFUNCTION("""COMPUTED_VALUE"""),0.479041916167664)</f>
        <v>0.4790419162</v>
      </c>
      <c r="N199" s="8">
        <f>IFERROR(__xludf.DUMMYFUNCTION("""COMPUTED_VALUE"""),0.439759036144578)</f>
        <v>0.4397590361</v>
      </c>
      <c r="O199" s="8">
        <f>IFERROR(__xludf.DUMMYFUNCTION("""COMPUTED_VALUE"""),0.374233128834355)</f>
        <v>0.3742331288</v>
      </c>
      <c r="P199" s="8">
        <f>IFERROR(__xludf.DUMMYFUNCTION("""COMPUTED_VALUE"""),0.30379746835443)</f>
        <v>0.3037974684</v>
      </c>
      <c r="Q199" s="8">
        <f>IFERROR(__xludf.DUMMYFUNCTION("""COMPUTED_VALUE"""),0.193798449612403)</f>
        <v>0.1937984496</v>
      </c>
      <c r="R199" s="8">
        <f>IFERROR(__xludf.DUMMYFUNCTION("""COMPUTED_VALUE"""),0.0)</f>
        <v>0</v>
      </c>
      <c r="S199" s="8">
        <f>IFERROR(__xludf.DUMMYFUNCTION("""COMPUTED_VALUE"""),0.0)</f>
        <v>0</v>
      </c>
      <c r="T199" s="8">
        <f>IFERROR(__xludf.DUMMYFUNCTION("""COMPUTED_VALUE"""),0.0)</f>
        <v>0</v>
      </c>
      <c r="U199" s="8">
        <f>IFERROR(__xludf.DUMMYFUNCTION("""COMPUTED_VALUE"""),0.0)</f>
        <v>0</v>
      </c>
      <c r="V199" s="8">
        <f>IFERROR(__xludf.DUMMYFUNCTION("""COMPUTED_VALUE"""),0.0)</f>
        <v>0</v>
      </c>
      <c r="W199" s="8">
        <f>IFERROR(__xludf.DUMMYFUNCTION("""COMPUTED_VALUE"""),0.0)</f>
        <v>0</v>
      </c>
      <c r="X199" s="8">
        <f>IFERROR(__xludf.DUMMYFUNCTION("""COMPUTED_VALUE"""),0.0)</f>
        <v>0</v>
      </c>
      <c r="Y199" s="8">
        <f>IFERROR(__xludf.DUMMYFUNCTION("""COMPUTED_VALUE"""),0.0)</f>
        <v>0</v>
      </c>
      <c r="Z199" s="8">
        <f>IFERROR(__xludf.DUMMYFUNCTION("""COMPUTED_VALUE"""),0.0)</f>
        <v>0</v>
      </c>
      <c r="AA199" s="8">
        <f>IFERROR(__xludf.DUMMYFUNCTION("""COMPUTED_VALUE"""),0.0)</f>
        <v>0</v>
      </c>
      <c r="AB199" s="8">
        <f>IFERROR(__xludf.DUMMYFUNCTION("""COMPUTED_VALUE"""),0.0)</f>
        <v>0</v>
      </c>
      <c r="AC199" s="8">
        <f>IFERROR(__xludf.DUMMYFUNCTION("""COMPUTED_VALUE"""),0.0)</f>
        <v>0</v>
      </c>
    </row>
    <row r="200" ht="15.75" customHeight="1">
      <c r="A200" s="6" t="str">
        <f>IFERROR(__xludf.DUMMYFUNCTION("""COMPUTED_VALUE"""),"b0cb1a15751b32389e6dc5643df14e64f65a78e6")</f>
        <v>b0cb1a15751b32389e6dc5643df14e64f65a78e6</v>
      </c>
      <c r="B200" s="6" t="str">
        <f>IFERROR(__xludf.DUMMYFUNCTION("""COMPUTED_VALUE"""),"Desire of the Billionaire")</f>
        <v>Desire of the Billionaire</v>
      </c>
      <c r="C200" s="6" t="str">
        <f>IFERROR(__xludf.DUMMYFUNCTION("""COMPUTED_VALUE"""),"Romance")</f>
        <v>Romance</v>
      </c>
      <c r="D200" s="17">
        <f>IFERROR(__xludf.DUMMYFUNCTION("""COMPUTED_VALUE"""),20.0)</f>
        <v>20</v>
      </c>
      <c r="E200" s="8">
        <f>IFERROR(__xludf.DUMMYFUNCTION("""COMPUTED_VALUE"""),1.0)</f>
        <v>1</v>
      </c>
      <c r="F200" s="8">
        <f>IFERROR(__xludf.DUMMYFUNCTION("""COMPUTED_VALUE"""),0.55)</f>
        <v>0.55</v>
      </c>
      <c r="G200" s="8">
        <f>IFERROR(__xludf.DUMMYFUNCTION("""COMPUTED_VALUE"""),0.6)</f>
        <v>0.6</v>
      </c>
      <c r="H200" s="8">
        <f>IFERROR(__xludf.DUMMYFUNCTION("""COMPUTED_VALUE"""),0.4)</f>
        <v>0.4</v>
      </c>
      <c r="I200" s="8">
        <f>IFERROR(__xludf.DUMMYFUNCTION("""COMPUTED_VALUE"""),0.473684210526315)</f>
        <v>0.4736842105</v>
      </c>
      <c r="J200" s="8">
        <f>IFERROR(__xludf.DUMMYFUNCTION("""COMPUTED_VALUE"""),0.473684210526315)</f>
        <v>0.4736842105</v>
      </c>
      <c r="K200" s="8">
        <f>IFERROR(__xludf.DUMMYFUNCTION("""COMPUTED_VALUE"""),0.368421052631578)</f>
        <v>0.3684210526</v>
      </c>
      <c r="L200" s="8">
        <f>IFERROR(__xludf.DUMMYFUNCTION("""COMPUTED_VALUE"""),0.368421052631578)</f>
        <v>0.3684210526</v>
      </c>
      <c r="M200" s="8">
        <f>IFERROR(__xludf.DUMMYFUNCTION("""COMPUTED_VALUE"""),0.421052631578947)</f>
        <v>0.4210526316</v>
      </c>
      <c r="N200" s="8">
        <f>IFERROR(__xludf.DUMMYFUNCTION("""COMPUTED_VALUE"""),0.368421052631578)</f>
        <v>0.3684210526</v>
      </c>
      <c r="O200" s="8">
        <f>IFERROR(__xludf.DUMMYFUNCTION("""COMPUTED_VALUE"""),0.222222222222222)</f>
        <v>0.2222222222</v>
      </c>
      <c r="P200" s="8">
        <f>IFERROR(__xludf.DUMMYFUNCTION("""COMPUTED_VALUE"""),0.1875)</f>
        <v>0.1875</v>
      </c>
      <c r="Q200" s="8">
        <f>IFERROR(__xludf.DUMMYFUNCTION("""COMPUTED_VALUE"""),0.0)</f>
        <v>0</v>
      </c>
      <c r="R200" s="8">
        <f>IFERROR(__xludf.DUMMYFUNCTION("""COMPUTED_VALUE"""),0.0)</f>
        <v>0</v>
      </c>
      <c r="S200" s="8">
        <f>IFERROR(__xludf.DUMMYFUNCTION("""COMPUTED_VALUE"""),0.0)</f>
        <v>0</v>
      </c>
      <c r="T200" s="8">
        <f>IFERROR(__xludf.DUMMYFUNCTION("""COMPUTED_VALUE"""),0.0)</f>
        <v>0</v>
      </c>
      <c r="U200" s="8">
        <f>IFERROR(__xludf.DUMMYFUNCTION("""COMPUTED_VALUE"""),0.0)</f>
        <v>0</v>
      </c>
      <c r="V200" s="8">
        <f>IFERROR(__xludf.DUMMYFUNCTION("""COMPUTED_VALUE"""),0.0)</f>
        <v>0</v>
      </c>
      <c r="W200" s="8">
        <f>IFERROR(__xludf.DUMMYFUNCTION("""COMPUTED_VALUE"""),0.0)</f>
        <v>0</v>
      </c>
      <c r="X200" s="8">
        <f>IFERROR(__xludf.DUMMYFUNCTION("""COMPUTED_VALUE"""),0.0)</f>
        <v>0</v>
      </c>
      <c r="Y200" s="8">
        <f>IFERROR(__xludf.DUMMYFUNCTION("""COMPUTED_VALUE"""),0.0)</f>
        <v>0</v>
      </c>
      <c r="Z200" s="8">
        <f>IFERROR(__xludf.DUMMYFUNCTION("""COMPUTED_VALUE"""),0.0)</f>
        <v>0</v>
      </c>
      <c r="AA200" s="8">
        <f>IFERROR(__xludf.DUMMYFUNCTION("""COMPUTED_VALUE"""),0.0)</f>
        <v>0</v>
      </c>
      <c r="AB200" s="8">
        <f>IFERROR(__xludf.DUMMYFUNCTION("""COMPUTED_VALUE"""),0.0)</f>
        <v>0</v>
      </c>
      <c r="AC200" s="8">
        <f>IFERROR(__xludf.DUMMYFUNCTION("""COMPUTED_VALUE"""),0.0)</f>
        <v>0</v>
      </c>
    </row>
    <row r="201" ht="15.75" customHeight="1">
      <c r="A201" s="6" t="str">
        <f>IFERROR(__xludf.DUMMYFUNCTION("""COMPUTED_VALUE"""),"b164057dc6b8df1ba1289d383220147f237b7dfa")</f>
        <v>b164057dc6b8df1ba1289d383220147f237b7dfa</v>
      </c>
      <c r="B201" s="6" t="str">
        <f>IFERROR(__xludf.DUMMYFUNCTION("""COMPUTED_VALUE"""),"Rush Marriage")</f>
        <v>Rush Marriage</v>
      </c>
      <c r="C201" s="6" t="str">
        <f>IFERROR(__xludf.DUMMYFUNCTION("""COMPUTED_VALUE"""),"Romance")</f>
        <v>Romance</v>
      </c>
      <c r="D201" s="17">
        <f>IFERROR(__xludf.DUMMYFUNCTION("""COMPUTED_VALUE"""),706.0)</f>
        <v>706</v>
      </c>
      <c r="E201" s="8">
        <f>IFERROR(__xludf.DUMMYFUNCTION("""COMPUTED_VALUE"""),0.974504249291784)</f>
        <v>0.9745042493</v>
      </c>
      <c r="F201" s="8">
        <f>IFERROR(__xludf.DUMMYFUNCTION("""COMPUTED_VALUE"""),0.656737588652482)</f>
        <v>0.6567375887</v>
      </c>
      <c r="G201" s="8">
        <f>IFERROR(__xludf.DUMMYFUNCTION("""COMPUTED_VALUE"""),0.537588652482269)</f>
        <v>0.5375886525</v>
      </c>
      <c r="H201" s="8">
        <f>IFERROR(__xludf.DUMMYFUNCTION("""COMPUTED_VALUE"""),0.486486486486486)</f>
        <v>0.4864864865</v>
      </c>
      <c r="I201" s="8">
        <f>IFERROR(__xludf.DUMMYFUNCTION("""COMPUTED_VALUE"""),0.450924608819345)</f>
        <v>0.4509246088</v>
      </c>
      <c r="J201" s="8">
        <f>IFERROR(__xludf.DUMMYFUNCTION("""COMPUTED_VALUE"""),0.441595441595441)</f>
        <v>0.4415954416</v>
      </c>
      <c r="K201" s="8">
        <f>IFERROR(__xludf.DUMMYFUNCTION("""COMPUTED_VALUE"""),0.387464387464387)</f>
        <v>0.3874643875</v>
      </c>
      <c r="L201" s="8">
        <f>IFERROR(__xludf.DUMMYFUNCTION("""COMPUTED_VALUE"""),0.346153846153846)</f>
        <v>0.3461538462</v>
      </c>
      <c r="M201" s="8">
        <f>IFERROR(__xludf.DUMMYFUNCTION("""COMPUTED_VALUE"""),0.326676176890156)</f>
        <v>0.3266761769</v>
      </c>
      <c r="N201" s="8">
        <f>IFERROR(__xludf.DUMMYFUNCTION("""COMPUTED_VALUE"""),0.316690442225392)</f>
        <v>0.3166904422</v>
      </c>
      <c r="O201" s="8">
        <f>IFERROR(__xludf.DUMMYFUNCTION("""COMPUTED_VALUE"""),0.312680115273775)</f>
        <v>0.3126801153</v>
      </c>
      <c r="P201" s="8">
        <f>IFERROR(__xludf.DUMMYFUNCTION("""COMPUTED_VALUE"""),0.19619326500732)</f>
        <v>0.196193265</v>
      </c>
      <c r="Q201" s="8">
        <f>IFERROR(__xludf.DUMMYFUNCTION("""COMPUTED_VALUE"""),0.148936170212765)</f>
        <v>0.1489361702</v>
      </c>
      <c r="R201" s="8">
        <f>IFERROR(__xludf.DUMMYFUNCTION("""COMPUTED_VALUE"""),0.1)</f>
        <v>0.1</v>
      </c>
      <c r="S201" s="8">
        <f>IFERROR(__xludf.DUMMYFUNCTION("""COMPUTED_VALUE"""),0.0674157303370786)</f>
        <v>0.06741573034</v>
      </c>
      <c r="T201" s="8">
        <f>IFERROR(__xludf.DUMMYFUNCTION("""COMPUTED_VALUE"""),0.0697674418604651)</f>
        <v>0.06976744186</v>
      </c>
      <c r="U201" s="8">
        <f>IFERROR(__xludf.DUMMYFUNCTION("""COMPUTED_VALUE"""),0.0394736842105263)</f>
        <v>0.03947368421</v>
      </c>
      <c r="V201" s="8">
        <f>IFERROR(__xludf.DUMMYFUNCTION("""COMPUTED_VALUE"""),0.0144927536231884)</f>
        <v>0.01449275362</v>
      </c>
      <c r="W201" s="8">
        <f>IFERROR(__xludf.DUMMYFUNCTION("""COMPUTED_VALUE"""),0.0)</f>
        <v>0</v>
      </c>
      <c r="X201" s="8">
        <f>IFERROR(__xludf.DUMMYFUNCTION("""COMPUTED_VALUE"""),0.0)</f>
        <v>0</v>
      </c>
      <c r="Y201" s="8">
        <f>IFERROR(__xludf.DUMMYFUNCTION("""COMPUTED_VALUE"""),0.0)</f>
        <v>0</v>
      </c>
      <c r="Z201" s="8">
        <f>IFERROR(__xludf.DUMMYFUNCTION("""COMPUTED_VALUE"""),0.0)</f>
        <v>0</v>
      </c>
      <c r="AA201" s="8">
        <f>IFERROR(__xludf.DUMMYFUNCTION("""COMPUTED_VALUE"""),0.0)</f>
        <v>0</v>
      </c>
      <c r="AB201" s="8">
        <f>IFERROR(__xludf.DUMMYFUNCTION("""COMPUTED_VALUE"""),0.0)</f>
        <v>0</v>
      </c>
      <c r="AC201" s="8">
        <f>IFERROR(__xludf.DUMMYFUNCTION("""COMPUTED_VALUE"""),0.0)</f>
        <v>0</v>
      </c>
    </row>
    <row r="202" ht="15.75" customHeight="1">
      <c r="A202" s="6" t="str">
        <f>IFERROR(__xludf.DUMMYFUNCTION("""COMPUTED_VALUE"""),"b26d8e5052a2beb1af4ffc462d31141bb635a5b5")</f>
        <v>b26d8e5052a2beb1af4ffc462d31141bb635a5b5</v>
      </c>
      <c r="B202" s="6" t="str">
        <f>IFERROR(__xludf.DUMMYFUNCTION("""COMPUTED_VALUE"""),"The Revenge Marriage")</f>
        <v>The Revenge Marriage</v>
      </c>
      <c r="C202" s="6" t="str">
        <f>IFERROR(__xludf.DUMMYFUNCTION("""COMPUTED_VALUE"""),"Romance")</f>
        <v>Romance</v>
      </c>
      <c r="D202" s="17">
        <f>IFERROR(__xludf.DUMMYFUNCTION("""COMPUTED_VALUE"""),796.0)</f>
        <v>796</v>
      </c>
      <c r="E202" s="8">
        <f>IFERROR(__xludf.DUMMYFUNCTION("""COMPUTED_VALUE"""),0.964779874213836)</f>
        <v>0.9647798742</v>
      </c>
      <c r="F202" s="8">
        <f>IFERROR(__xludf.DUMMYFUNCTION("""COMPUTED_VALUE"""),0.673803526448362)</f>
        <v>0.6738035264</v>
      </c>
      <c r="G202" s="8">
        <f>IFERROR(__xludf.DUMMYFUNCTION("""COMPUTED_VALUE"""),0.612862547288776)</f>
        <v>0.6128625473</v>
      </c>
      <c r="H202" s="8">
        <f>IFERROR(__xludf.DUMMYFUNCTION("""COMPUTED_VALUE"""),0.541666666666666)</f>
        <v>0.5416666667</v>
      </c>
      <c r="I202" s="8">
        <f>IFERROR(__xludf.DUMMYFUNCTION("""COMPUTED_VALUE"""),0.503787878787878)</f>
        <v>0.5037878788</v>
      </c>
      <c r="J202" s="8">
        <f>IFERROR(__xludf.DUMMYFUNCTION("""COMPUTED_VALUE"""),0.492424242424242)</f>
        <v>0.4924242424</v>
      </c>
      <c r="K202" s="8">
        <f>IFERROR(__xludf.DUMMYFUNCTION("""COMPUTED_VALUE"""),0.459493670886075)</f>
        <v>0.4594936709</v>
      </c>
      <c r="L202" s="8">
        <f>IFERROR(__xludf.DUMMYFUNCTION("""COMPUTED_VALUE"""),0.436708860759493)</f>
        <v>0.4367088608</v>
      </c>
      <c r="M202" s="8">
        <f>IFERROR(__xludf.DUMMYFUNCTION("""COMPUTED_VALUE"""),0.416455696202531)</f>
        <v>0.4164556962</v>
      </c>
      <c r="N202" s="8">
        <f>IFERROR(__xludf.DUMMYFUNCTION("""COMPUTED_VALUE"""),0.40379746835443)</f>
        <v>0.4037974684</v>
      </c>
      <c r="O202" s="8">
        <f>IFERROR(__xludf.DUMMYFUNCTION("""COMPUTED_VALUE"""),0.322250639386189)</f>
        <v>0.3222506394</v>
      </c>
      <c r="P202" s="8">
        <f>IFERROR(__xludf.DUMMYFUNCTION("""COMPUTED_VALUE"""),0.226857887874837)</f>
        <v>0.2268578879</v>
      </c>
      <c r="Q202" s="8">
        <f>IFERROR(__xludf.DUMMYFUNCTION("""COMPUTED_VALUE"""),0.148907103825136)</f>
        <v>0.1489071038</v>
      </c>
      <c r="R202" s="8">
        <f>IFERROR(__xludf.DUMMYFUNCTION("""COMPUTED_VALUE"""),0.0812883435582822)</f>
        <v>0.08128834356</v>
      </c>
      <c r="S202" s="8">
        <f>IFERROR(__xludf.DUMMYFUNCTION("""COMPUTED_VALUE"""),0.0755813953488372)</f>
        <v>0.07558139535</v>
      </c>
      <c r="T202" s="8">
        <f>IFERROR(__xludf.DUMMYFUNCTION("""COMPUTED_VALUE"""),0.0)</f>
        <v>0</v>
      </c>
      <c r="U202" s="8">
        <f>IFERROR(__xludf.DUMMYFUNCTION("""COMPUTED_VALUE"""),0.0)</f>
        <v>0</v>
      </c>
      <c r="V202" s="8">
        <f>IFERROR(__xludf.DUMMYFUNCTION("""COMPUTED_VALUE"""),0.0)</f>
        <v>0</v>
      </c>
      <c r="W202" s="8">
        <f>IFERROR(__xludf.DUMMYFUNCTION("""COMPUTED_VALUE"""),0.0)</f>
        <v>0</v>
      </c>
      <c r="X202" s="8">
        <f>IFERROR(__xludf.DUMMYFUNCTION("""COMPUTED_VALUE"""),0.0)</f>
        <v>0</v>
      </c>
      <c r="Y202" s="8">
        <f>IFERROR(__xludf.DUMMYFUNCTION("""COMPUTED_VALUE"""),0.0)</f>
        <v>0</v>
      </c>
      <c r="Z202" s="8">
        <f>IFERROR(__xludf.DUMMYFUNCTION("""COMPUTED_VALUE"""),0.0)</f>
        <v>0</v>
      </c>
      <c r="AA202" s="8">
        <f>IFERROR(__xludf.DUMMYFUNCTION("""COMPUTED_VALUE"""),0.0)</f>
        <v>0</v>
      </c>
      <c r="AB202" s="8">
        <f>IFERROR(__xludf.DUMMYFUNCTION("""COMPUTED_VALUE"""),0.0)</f>
        <v>0</v>
      </c>
      <c r="AC202" s="8">
        <f>IFERROR(__xludf.DUMMYFUNCTION("""COMPUTED_VALUE"""),0.0)</f>
        <v>0</v>
      </c>
    </row>
    <row r="203" ht="15.75" customHeight="1">
      <c r="A203" s="6" t="str">
        <f>IFERROR(__xludf.DUMMYFUNCTION("""COMPUTED_VALUE"""),"b2e0e008665e30068057a1556346d5473a8ed579")</f>
        <v>b2e0e008665e30068057a1556346d5473a8ed579</v>
      </c>
      <c r="B203" s="6" t="str">
        <f>IFERROR(__xludf.DUMMYFUNCTION("""COMPUTED_VALUE"""),"Legend of Cursed Blood ")</f>
        <v>Legend of Cursed Blood </v>
      </c>
      <c r="C203" s="6" t="str">
        <f>IFERROR(__xludf.DUMMYFUNCTION("""COMPUTED_VALUE"""),"Fantasy")</f>
        <v>Fantasy</v>
      </c>
      <c r="D203" s="17">
        <f>IFERROR(__xludf.DUMMYFUNCTION("""COMPUTED_VALUE"""),385.0)</f>
        <v>385</v>
      </c>
      <c r="E203" s="8">
        <f>IFERROR(__xludf.DUMMYFUNCTION("""COMPUTED_VALUE"""),0.973404255319149)</f>
        <v>0.9734042553</v>
      </c>
      <c r="F203" s="8">
        <f>IFERROR(__xludf.DUMMYFUNCTION("""COMPUTED_VALUE"""),0.502732240437158)</f>
        <v>0.5027322404</v>
      </c>
      <c r="G203" s="8">
        <f>IFERROR(__xludf.DUMMYFUNCTION("""COMPUTED_VALUE"""),0.426592797783933)</f>
        <v>0.4265927978</v>
      </c>
      <c r="H203" s="8">
        <f>IFERROR(__xludf.DUMMYFUNCTION("""COMPUTED_VALUE"""),0.36734693877551)</f>
        <v>0.3673469388</v>
      </c>
      <c r="I203" s="8">
        <f>IFERROR(__xludf.DUMMYFUNCTION("""COMPUTED_VALUE"""),0.303571428571428)</f>
        <v>0.3035714286</v>
      </c>
      <c r="J203" s="8">
        <f>IFERROR(__xludf.DUMMYFUNCTION("""COMPUTED_VALUE"""),0.252279635258358)</f>
        <v>0.2522796353</v>
      </c>
      <c r="K203" s="8">
        <f>IFERROR(__xludf.DUMMYFUNCTION("""COMPUTED_VALUE"""),0.236024844720496)</f>
        <v>0.2360248447</v>
      </c>
      <c r="L203" s="8">
        <f>IFERROR(__xludf.DUMMYFUNCTION("""COMPUTED_VALUE"""),0.241935483870967)</f>
        <v>0.2419354839</v>
      </c>
      <c r="M203" s="8">
        <f>IFERROR(__xludf.DUMMYFUNCTION("""COMPUTED_VALUE"""),0.217993079584775)</f>
        <v>0.2179930796</v>
      </c>
      <c r="N203" s="8">
        <f>IFERROR(__xludf.DUMMYFUNCTION("""COMPUTED_VALUE"""),0.221774193548387)</f>
        <v>0.2217741935</v>
      </c>
      <c r="O203" s="8">
        <f>IFERROR(__xludf.DUMMYFUNCTION("""COMPUTED_VALUE"""),0.135678391959799)</f>
        <v>0.135678392</v>
      </c>
      <c r="P203" s="8">
        <f>IFERROR(__xludf.DUMMYFUNCTION("""COMPUTED_VALUE"""),0.0842105263157894)</f>
        <v>0.08421052632</v>
      </c>
      <c r="Q203" s="8">
        <f>IFERROR(__xludf.DUMMYFUNCTION("""COMPUTED_VALUE"""),0.0397727272727272)</f>
        <v>0.03977272727</v>
      </c>
      <c r="R203" s="8">
        <f>IFERROR(__xludf.DUMMYFUNCTION("""COMPUTED_VALUE"""),0.031055900621118)</f>
        <v>0.03105590062</v>
      </c>
      <c r="S203" s="8">
        <f>IFERROR(__xludf.DUMMYFUNCTION("""COMPUTED_VALUE"""),0.0208333333333333)</f>
        <v>0.02083333333</v>
      </c>
      <c r="T203" s="8">
        <f>IFERROR(__xludf.DUMMYFUNCTION("""COMPUTED_VALUE"""),0.00775193798449612)</f>
        <v>0.007751937984</v>
      </c>
      <c r="U203" s="8">
        <f>IFERROR(__xludf.DUMMYFUNCTION("""COMPUTED_VALUE"""),0.00943396226415094)</f>
        <v>0.009433962264</v>
      </c>
      <c r="V203" s="8">
        <f>IFERROR(__xludf.DUMMYFUNCTION("""COMPUTED_VALUE"""),0.0106382978723404)</f>
        <v>0.01063829787</v>
      </c>
      <c r="W203" s="8">
        <f>IFERROR(__xludf.DUMMYFUNCTION("""COMPUTED_VALUE"""),0.0)</f>
        <v>0</v>
      </c>
      <c r="X203" s="8">
        <f>IFERROR(__xludf.DUMMYFUNCTION("""COMPUTED_VALUE"""),0.0)</f>
        <v>0</v>
      </c>
      <c r="Y203" s="8">
        <f>IFERROR(__xludf.DUMMYFUNCTION("""COMPUTED_VALUE"""),0.0)</f>
        <v>0</v>
      </c>
      <c r="Z203" s="8">
        <f>IFERROR(__xludf.DUMMYFUNCTION("""COMPUTED_VALUE"""),0.0)</f>
        <v>0</v>
      </c>
      <c r="AA203" s="8">
        <f>IFERROR(__xludf.DUMMYFUNCTION("""COMPUTED_VALUE"""),0.0)</f>
        <v>0</v>
      </c>
      <c r="AB203" s="8">
        <f>IFERROR(__xludf.DUMMYFUNCTION("""COMPUTED_VALUE"""),0.0)</f>
        <v>0</v>
      </c>
      <c r="AC203" s="8">
        <f>IFERROR(__xludf.DUMMYFUNCTION("""COMPUTED_VALUE"""),0.0)</f>
        <v>0</v>
      </c>
    </row>
    <row r="204" ht="15.75" customHeight="1">
      <c r="A204" s="6" t="str">
        <f>IFERROR(__xludf.DUMMYFUNCTION("""COMPUTED_VALUE"""),"b4357a596922bd37b47ec2573cd92ac18997c713")</f>
        <v>b4357a596922bd37b47ec2573cd92ac18997c713</v>
      </c>
      <c r="B204" s="6" t="str">
        <f>IFERROR(__xludf.DUMMYFUNCTION("""COMPUTED_VALUE"""),"Immortal Ascension")</f>
        <v>Immortal Ascension</v>
      </c>
      <c r="C204" s="6" t="str">
        <f>IFERROR(__xludf.DUMMYFUNCTION("""COMPUTED_VALUE"""),"System and Superpower")</f>
        <v>System and Superpower</v>
      </c>
      <c r="D204" s="17">
        <f>IFERROR(__xludf.DUMMYFUNCTION("""COMPUTED_VALUE"""),709.0)</f>
        <v>709</v>
      </c>
      <c r="E204" s="8">
        <f>IFERROR(__xludf.DUMMYFUNCTION("""COMPUTED_VALUE"""),0.98166431593794)</f>
        <v>0.9816643159</v>
      </c>
      <c r="F204" s="8">
        <f>IFERROR(__xludf.DUMMYFUNCTION("""COMPUTED_VALUE"""),0.521861777150916)</f>
        <v>0.5218617772</v>
      </c>
      <c r="G204" s="8">
        <f>IFERROR(__xludf.DUMMYFUNCTION("""COMPUTED_VALUE"""),0.436440677966101)</f>
        <v>0.436440678</v>
      </c>
      <c r="H204" s="8">
        <f>IFERROR(__xludf.DUMMYFUNCTION("""COMPUTED_VALUE"""),0.413841807909604)</f>
        <v>0.4138418079</v>
      </c>
      <c r="I204" s="8">
        <f>IFERROR(__xludf.DUMMYFUNCTION("""COMPUTED_VALUE"""),0.39038189533239)</f>
        <v>0.3903818953</v>
      </c>
      <c r="J204" s="8">
        <f>IFERROR(__xludf.DUMMYFUNCTION("""COMPUTED_VALUE"""),0.356435643564356)</f>
        <v>0.3564356436</v>
      </c>
      <c r="K204" s="8">
        <f>IFERROR(__xludf.DUMMYFUNCTION("""COMPUTED_VALUE"""),0.332390381895332)</f>
        <v>0.3323903819</v>
      </c>
      <c r="L204" s="8">
        <f>IFERROR(__xludf.DUMMYFUNCTION("""COMPUTED_VALUE"""),0.28995756718529)</f>
        <v>0.2899575672</v>
      </c>
      <c r="M204" s="8">
        <f>IFERROR(__xludf.DUMMYFUNCTION("""COMPUTED_VALUE"""),0.26770538243626)</f>
        <v>0.2677053824</v>
      </c>
      <c r="N204" s="8">
        <f>IFERROR(__xludf.DUMMYFUNCTION("""COMPUTED_VALUE"""),0.256045519203413)</f>
        <v>0.2560455192</v>
      </c>
      <c r="O204" s="8">
        <f>IFERROR(__xludf.DUMMYFUNCTION("""COMPUTED_VALUE"""),0.192582025677603)</f>
        <v>0.1925820257</v>
      </c>
      <c r="P204" s="8">
        <f>IFERROR(__xludf.DUMMYFUNCTION("""COMPUTED_VALUE"""),0.0940665701881331)</f>
        <v>0.09406657019</v>
      </c>
      <c r="Q204" s="8">
        <f>IFERROR(__xludf.DUMMYFUNCTION("""COMPUTED_VALUE"""),0.0625)</f>
        <v>0.0625</v>
      </c>
      <c r="R204" s="8">
        <f>IFERROR(__xludf.DUMMYFUNCTION("""COMPUTED_VALUE"""),0.0714285714285714)</f>
        <v>0.07142857143</v>
      </c>
      <c r="S204" s="8">
        <f>IFERROR(__xludf.DUMMYFUNCTION("""COMPUTED_VALUE"""),0.0)</f>
        <v>0</v>
      </c>
      <c r="T204" s="8">
        <f>IFERROR(__xludf.DUMMYFUNCTION("""COMPUTED_VALUE"""),0.0)</f>
        <v>0</v>
      </c>
      <c r="U204" s="8">
        <f>IFERROR(__xludf.DUMMYFUNCTION("""COMPUTED_VALUE"""),0.0)</f>
        <v>0</v>
      </c>
      <c r="V204" s="8">
        <f>IFERROR(__xludf.DUMMYFUNCTION("""COMPUTED_VALUE"""),0.0)</f>
        <v>0</v>
      </c>
      <c r="W204" s="8">
        <f>IFERROR(__xludf.DUMMYFUNCTION("""COMPUTED_VALUE"""),0.0)</f>
        <v>0</v>
      </c>
      <c r="X204" s="8">
        <f>IFERROR(__xludf.DUMMYFUNCTION("""COMPUTED_VALUE"""),0.0)</f>
        <v>0</v>
      </c>
      <c r="Y204" s="8">
        <f>IFERROR(__xludf.DUMMYFUNCTION("""COMPUTED_VALUE"""),0.0)</f>
        <v>0</v>
      </c>
      <c r="Z204" s="8">
        <f>IFERROR(__xludf.DUMMYFUNCTION("""COMPUTED_VALUE"""),0.0)</f>
        <v>0</v>
      </c>
      <c r="AA204" s="8">
        <f>IFERROR(__xludf.DUMMYFUNCTION("""COMPUTED_VALUE"""),0.0)</f>
        <v>0</v>
      </c>
      <c r="AB204" s="8">
        <f>IFERROR(__xludf.DUMMYFUNCTION("""COMPUTED_VALUE"""),0.0)</f>
        <v>0</v>
      </c>
      <c r="AC204" s="8">
        <f>IFERROR(__xludf.DUMMYFUNCTION("""COMPUTED_VALUE"""),0.0)</f>
        <v>0</v>
      </c>
    </row>
    <row r="205" ht="15.75" customHeight="1">
      <c r="A205" s="6" t="str">
        <f>IFERROR(__xludf.DUMMYFUNCTION("""COMPUTED_VALUE"""),"b4ba67822e15bf23c0044676b09f1aeb405d154f")</f>
        <v>b4ba67822e15bf23c0044676b09f1aeb405d154f</v>
      </c>
      <c r="B205" s="6" t="str">
        <f>IFERROR(__xludf.DUMMYFUNCTION("""COMPUTED_VALUE"""),"The Twin Affair")</f>
        <v>The Twin Affair</v>
      </c>
      <c r="C205" s="6" t="str">
        <f>IFERROR(__xludf.DUMMYFUNCTION("""COMPUTED_VALUE"""),"Romantasy")</f>
        <v>Romantasy</v>
      </c>
      <c r="D205" s="17">
        <f>IFERROR(__xludf.DUMMYFUNCTION("""COMPUTED_VALUE"""),1641.0)</f>
        <v>1641</v>
      </c>
      <c r="E205" s="8">
        <f>IFERROR(__xludf.DUMMYFUNCTION("""COMPUTED_VALUE"""),0.940889701401584)</f>
        <v>0.9408897014</v>
      </c>
      <c r="F205" s="8">
        <f>IFERROR(__xludf.DUMMYFUNCTION("""COMPUTED_VALUE"""),0.670322973796465)</f>
        <v>0.6703229738</v>
      </c>
      <c r="G205" s="8">
        <f>IFERROR(__xludf.DUMMYFUNCTION("""COMPUTED_VALUE"""),0.630103595368677)</f>
        <v>0.6301035954</v>
      </c>
      <c r="H205" s="8">
        <f>IFERROR(__xludf.DUMMYFUNCTION("""COMPUTED_VALUE"""),0.59963436928702)</f>
        <v>0.5996343693</v>
      </c>
      <c r="I205" s="8">
        <f>IFERROR(__xludf.DUMMYFUNCTION("""COMPUTED_VALUE"""),0.572212065813528)</f>
        <v>0.5722120658</v>
      </c>
      <c r="J205" s="8">
        <f>IFERROR(__xludf.DUMMYFUNCTION("""COMPUTED_VALUE"""),0.550883607556368)</f>
        <v>0.5508836076</v>
      </c>
      <c r="K205" s="8">
        <f>IFERROR(__xludf.DUMMYFUNCTION("""COMPUTED_VALUE"""),0.539914686166971)</f>
        <v>0.5399146862</v>
      </c>
      <c r="L205" s="8">
        <f>IFERROR(__xludf.DUMMYFUNCTION("""COMPUTED_VALUE"""),0.512492382693479)</f>
        <v>0.5124923827</v>
      </c>
      <c r="M205" s="8">
        <f>IFERROR(__xludf.DUMMYFUNCTION("""COMPUTED_VALUE"""),0.497867154174283)</f>
        <v>0.4978671542</v>
      </c>
      <c r="N205" s="8">
        <f>IFERROR(__xludf.DUMMYFUNCTION("""COMPUTED_VALUE"""),0.481413772090188)</f>
        <v>0.4814137721</v>
      </c>
      <c r="O205" s="8">
        <f>IFERROR(__xludf.DUMMYFUNCTION("""COMPUTED_VALUE"""),0.461913467397928)</f>
        <v>0.4619134674</v>
      </c>
      <c r="P205" s="8">
        <f>IFERROR(__xludf.DUMMYFUNCTION("""COMPUTED_VALUE"""),0.429181929181929)</f>
        <v>0.4291819292</v>
      </c>
      <c r="Q205" s="8">
        <f>IFERROR(__xludf.DUMMYFUNCTION("""COMPUTED_VALUE"""),0.259668508287292)</f>
        <v>0.2596685083</v>
      </c>
      <c r="R205" s="8">
        <f>IFERROR(__xludf.DUMMYFUNCTION("""COMPUTED_VALUE"""),0.113636363636363)</f>
        <v>0.1136363636</v>
      </c>
      <c r="S205" s="8">
        <f>IFERROR(__xludf.DUMMYFUNCTION("""COMPUTED_VALUE"""),0.0)</f>
        <v>0</v>
      </c>
      <c r="T205" s="8">
        <f>IFERROR(__xludf.DUMMYFUNCTION("""COMPUTED_VALUE"""),0.0)</f>
        <v>0</v>
      </c>
      <c r="U205" s="8">
        <f>IFERROR(__xludf.DUMMYFUNCTION("""COMPUTED_VALUE"""),0.0)</f>
        <v>0</v>
      </c>
      <c r="V205" s="8">
        <f>IFERROR(__xludf.DUMMYFUNCTION("""COMPUTED_VALUE"""),0.0)</f>
        <v>0</v>
      </c>
      <c r="W205" s="8">
        <f>IFERROR(__xludf.DUMMYFUNCTION("""COMPUTED_VALUE"""),0.0)</f>
        <v>0</v>
      </c>
      <c r="X205" s="8">
        <f>IFERROR(__xludf.DUMMYFUNCTION("""COMPUTED_VALUE"""),0.0)</f>
        <v>0</v>
      </c>
      <c r="Y205" s="8">
        <f>IFERROR(__xludf.DUMMYFUNCTION("""COMPUTED_VALUE"""),0.0)</f>
        <v>0</v>
      </c>
      <c r="Z205" s="8">
        <f>IFERROR(__xludf.DUMMYFUNCTION("""COMPUTED_VALUE"""),0.0)</f>
        <v>0</v>
      </c>
      <c r="AA205" s="8">
        <f>IFERROR(__xludf.DUMMYFUNCTION("""COMPUTED_VALUE"""),0.0)</f>
        <v>0</v>
      </c>
      <c r="AB205" s="8">
        <f>IFERROR(__xludf.DUMMYFUNCTION("""COMPUTED_VALUE"""),0.0)</f>
        <v>0</v>
      </c>
      <c r="AC205" s="8">
        <f>IFERROR(__xludf.DUMMYFUNCTION("""COMPUTED_VALUE"""),0.0)</f>
        <v>0</v>
      </c>
    </row>
    <row r="206" ht="15.75" customHeight="1">
      <c r="A206" s="6" t="str">
        <f>IFERROR(__xludf.DUMMYFUNCTION("""COMPUTED_VALUE"""),"b6ceacf9ec08a19cb30826c8277260c2339da0b3")</f>
        <v>b6ceacf9ec08a19cb30826c8277260c2339da0b3</v>
      </c>
      <c r="B206" s="6" t="str">
        <f>IFERROR(__xludf.DUMMYFUNCTION("""COMPUTED_VALUE"""),"Ruthless Betrayal ")</f>
        <v>Ruthless Betrayal </v>
      </c>
      <c r="C206" s="6" t="str">
        <f>IFERROR(__xludf.DUMMYFUNCTION("""COMPUTED_VALUE"""),"Romance")</f>
        <v>Romance</v>
      </c>
      <c r="D206" s="17">
        <f>IFERROR(__xludf.DUMMYFUNCTION("""COMPUTED_VALUE"""),307.0)</f>
        <v>307</v>
      </c>
      <c r="E206" s="8">
        <f>IFERROR(__xludf.DUMMYFUNCTION("""COMPUTED_VALUE"""),0.963696369636963)</f>
        <v>0.9636963696</v>
      </c>
      <c r="F206" s="8">
        <f>IFERROR(__xludf.DUMMYFUNCTION("""COMPUTED_VALUE"""),0.49)</f>
        <v>0.49</v>
      </c>
      <c r="G206" s="8">
        <f>IFERROR(__xludf.DUMMYFUNCTION("""COMPUTED_VALUE"""),0.391891891891891)</f>
        <v>0.3918918919</v>
      </c>
      <c r="H206" s="8">
        <f>IFERROR(__xludf.DUMMYFUNCTION("""COMPUTED_VALUE"""),0.366438356164383)</f>
        <v>0.3664383562</v>
      </c>
      <c r="I206" s="8">
        <f>IFERROR(__xludf.DUMMYFUNCTION("""COMPUTED_VALUE"""),0.35958904109589)</f>
        <v>0.3595890411</v>
      </c>
      <c r="J206" s="8">
        <f>IFERROR(__xludf.DUMMYFUNCTION("""COMPUTED_VALUE"""),0.328719723183391)</f>
        <v>0.3287197232</v>
      </c>
      <c r="K206" s="8">
        <f>IFERROR(__xludf.DUMMYFUNCTION("""COMPUTED_VALUE"""),0.283216783216783)</f>
        <v>0.2832167832</v>
      </c>
      <c r="L206" s="8">
        <f>IFERROR(__xludf.DUMMYFUNCTION("""COMPUTED_VALUE"""),0.243636363636363)</f>
        <v>0.2436363636</v>
      </c>
      <c r="M206" s="8">
        <f>IFERROR(__xludf.DUMMYFUNCTION("""COMPUTED_VALUE"""),0.276752767527675)</f>
        <v>0.2767527675</v>
      </c>
      <c r="N206" s="8">
        <f>IFERROR(__xludf.DUMMYFUNCTION("""COMPUTED_VALUE"""),0.231660231660231)</f>
        <v>0.2316602317</v>
      </c>
      <c r="O206" s="8">
        <f>IFERROR(__xludf.DUMMYFUNCTION("""COMPUTED_VALUE"""),0.215859030837004)</f>
        <v>0.2158590308</v>
      </c>
      <c r="P206" s="8">
        <f>IFERROR(__xludf.DUMMYFUNCTION("""COMPUTED_VALUE"""),0.081081081081081)</f>
        <v>0.08108108108</v>
      </c>
      <c r="Q206" s="8">
        <f>IFERROR(__xludf.DUMMYFUNCTION("""COMPUTED_VALUE"""),0.0388349514563106)</f>
        <v>0.03883495146</v>
      </c>
      <c r="R206" s="8">
        <f>IFERROR(__xludf.DUMMYFUNCTION("""COMPUTED_VALUE"""),0.0)</f>
        <v>0</v>
      </c>
      <c r="S206" s="8">
        <f>IFERROR(__xludf.DUMMYFUNCTION("""COMPUTED_VALUE"""),0.0)</f>
        <v>0</v>
      </c>
      <c r="T206" s="8">
        <f>IFERROR(__xludf.DUMMYFUNCTION("""COMPUTED_VALUE"""),0.0)</f>
        <v>0</v>
      </c>
      <c r="U206" s="8">
        <f>IFERROR(__xludf.DUMMYFUNCTION("""COMPUTED_VALUE"""),0.0)</f>
        <v>0</v>
      </c>
      <c r="V206" s="8">
        <f>IFERROR(__xludf.DUMMYFUNCTION("""COMPUTED_VALUE"""),0.0)</f>
        <v>0</v>
      </c>
      <c r="W206" s="8">
        <f>IFERROR(__xludf.DUMMYFUNCTION("""COMPUTED_VALUE"""),0.0)</f>
        <v>0</v>
      </c>
      <c r="X206" s="8">
        <f>IFERROR(__xludf.DUMMYFUNCTION("""COMPUTED_VALUE"""),0.0)</f>
        <v>0</v>
      </c>
      <c r="Y206" s="8">
        <f>IFERROR(__xludf.DUMMYFUNCTION("""COMPUTED_VALUE"""),0.0)</f>
        <v>0</v>
      </c>
      <c r="Z206" s="8">
        <f>IFERROR(__xludf.DUMMYFUNCTION("""COMPUTED_VALUE"""),0.0)</f>
        <v>0</v>
      </c>
      <c r="AA206" s="8">
        <f>IFERROR(__xludf.DUMMYFUNCTION("""COMPUTED_VALUE"""),0.0)</f>
        <v>0</v>
      </c>
      <c r="AB206" s="8">
        <f>IFERROR(__xludf.DUMMYFUNCTION("""COMPUTED_VALUE"""),0.0)</f>
        <v>0</v>
      </c>
      <c r="AC206" s="8">
        <f>IFERROR(__xludf.DUMMYFUNCTION("""COMPUTED_VALUE"""),0.0)</f>
        <v>0</v>
      </c>
    </row>
    <row r="207" ht="15.75" customHeight="1">
      <c r="A207" s="6" t="str">
        <f>IFERROR(__xludf.DUMMYFUNCTION("""COMPUTED_VALUE"""),"b6dcffd8fcb56899f1036740aa43dcb9b648ffe5")</f>
        <v>b6dcffd8fcb56899f1036740aa43dcb9b648ffe5</v>
      </c>
      <c r="B207" s="6" t="str">
        <f>IFERROR(__xludf.DUMMYFUNCTION("""COMPUTED_VALUE"""),"His Zealous Years Ahead")</f>
        <v>His Zealous Years Ahead</v>
      </c>
      <c r="C207" s="6" t="str">
        <f>IFERROR(__xludf.DUMMYFUNCTION("""COMPUTED_VALUE"""),"Fantasy")</f>
        <v>Fantasy</v>
      </c>
      <c r="D207" s="17">
        <f>IFERROR(__xludf.DUMMYFUNCTION("""COMPUTED_VALUE"""),170.0)</f>
        <v>170</v>
      </c>
      <c r="E207" s="8">
        <f>IFERROR(__xludf.DUMMYFUNCTION("""COMPUTED_VALUE"""),0.975155279503105)</f>
        <v>0.9751552795</v>
      </c>
      <c r="F207" s="8">
        <f>IFERROR(__xludf.DUMMYFUNCTION("""COMPUTED_VALUE"""),0.493333333333333)</f>
        <v>0.4933333333</v>
      </c>
      <c r="G207" s="8">
        <f>IFERROR(__xludf.DUMMYFUNCTION("""COMPUTED_VALUE"""),0.438356164383561)</f>
        <v>0.4383561644</v>
      </c>
      <c r="H207" s="8">
        <f>IFERROR(__xludf.DUMMYFUNCTION("""COMPUTED_VALUE"""),0.37593984962406)</f>
        <v>0.3759398496</v>
      </c>
      <c r="I207" s="8">
        <f>IFERROR(__xludf.DUMMYFUNCTION("""COMPUTED_VALUE"""),0.333333333333333)</f>
        <v>0.3333333333</v>
      </c>
      <c r="J207" s="8">
        <f>IFERROR(__xludf.DUMMYFUNCTION("""COMPUTED_VALUE"""),0.317757009345794)</f>
        <v>0.3177570093</v>
      </c>
      <c r="K207" s="8">
        <f>IFERROR(__xludf.DUMMYFUNCTION("""COMPUTED_VALUE"""),0.25)</f>
        <v>0.25</v>
      </c>
      <c r="L207" s="8">
        <f>IFERROR(__xludf.DUMMYFUNCTION("""COMPUTED_VALUE"""),0.235955056179775)</f>
        <v>0.2359550562</v>
      </c>
      <c r="M207" s="8">
        <f>IFERROR(__xludf.DUMMYFUNCTION("""COMPUTED_VALUE"""),0.180722891566265)</f>
        <v>0.1807228916</v>
      </c>
      <c r="N207" s="8">
        <f>IFERROR(__xludf.DUMMYFUNCTION("""COMPUTED_VALUE"""),0.205882352941176)</f>
        <v>0.2058823529</v>
      </c>
      <c r="O207" s="8">
        <f>IFERROR(__xludf.DUMMYFUNCTION("""COMPUTED_VALUE"""),0.303030303030303)</f>
        <v>0.303030303</v>
      </c>
      <c r="P207" s="8">
        <f>IFERROR(__xludf.DUMMYFUNCTION("""COMPUTED_VALUE"""),0.0666666666666666)</f>
        <v>0.06666666667</v>
      </c>
      <c r="Q207" s="8">
        <f>IFERROR(__xludf.DUMMYFUNCTION("""COMPUTED_VALUE"""),0.0)</f>
        <v>0</v>
      </c>
      <c r="R207" s="8">
        <f>IFERROR(__xludf.DUMMYFUNCTION("""COMPUTED_VALUE"""),0.0)</f>
        <v>0</v>
      </c>
      <c r="S207" s="8">
        <f>IFERROR(__xludf.DUMMYFUNCTION("""COMPUTED_VALUE"""),0.0)</f>
        <v>0</v>
      </c>
      <c r="T207" s="8">
        <f>IFERROR(__xludf.DUMMYFUNCTION("""COMPUTED_VALUE"""),0.0)</f>
        <v>0</v>
      </c>
      <c r="U207" s="8">
        <f>IFERROR(__xludf.DUMMYFUNCTION("""COMPUTED_VALUE"""),0.0)</f>
        <v>0</v>
      </c>
      <c r="V207" s="8">
        <f>IFERROR(__xludf.DUMMYFUNCTION("""COMPUTED_VALUE"""),0.0)</f>
        <v>0</v>
      </c>
      <c r="W207" s="8">
        <f>IFERROR(__xludf.DUMMYFUNCTION("""COMPUTED_VALUE"""),0.0)</f>
        <v>0</v>
      </c>
      <c r="X207" s="8">
        <f>IFERROR(__xludf.DUMMYFUNCTION("""COMPUTED_VALUE"""),0.0)</f>
        <v>0</v>
      </c>
      <c r="Y207" s="8">
        <f>IFERROR(__xludf.DUMMYFUNCTION("""COMPUTED_VALUE"""),0.0)</f>
        <v>0</v>
      </c>
      <c r="Z207" s="8">
        <f>IFERROR(__xludf.DUMMYFUNCTION("""COMPUTED_VALUE"""),0.0)</f>
        <v>0</v>
      </c>
      <c r="AA207" s="8">
        <f>IFERROR(__xludf.DUMMYFUNCTION("""COMPUTED_VALUE"""),0.0)</f>
        <v>0</v>
      </c>
      <c r="AB207" s="8">
        <f>IFERROR(__xludf.DUMMYFUNCTION("""COMPUTED_VALUE"""),0.0)</f>
        <v>0</v>
      </c>
      <c r="AC207" s="8">
        <f>IFERROR(__xludf.DUMMYFUNCTION("""COMPUTED_VALUE"""),0.0)</f>
        <v>0</v>
      </c>
    </row>
    <row r="208" ht="15.75" customHeight="1">
      <c r="A208" s="6" t="str">
        <f>IFERROR(__xludf.DUMMYFUNCTION("""COMPUTED_VALUE"""),"b7410aeb19f92f7df4ccab821b5a28bfd7d73027")</f>
        <v>b7410aeb19f92f7df4ccab821b5a28bfd7d73027</v>
      </c>
      <c r="B208" s="6" t="str">
        <f>IFERROR(__xludf.DUMMYFUNCTION("""COMPUTED_VALUE"""),"Alpha Regulus")</f>
        <v>Alpha Regulus</v>
      </c>
      <c r="C208" s="6" t="str">
        <f>IFERROR(__xludf.DUMMYFUNCTION("""COMPUTED_VALUE"""),"Romantasy")</f>
        <v>Romantasy</v>
      </c>
      <c r="D208" s="17">
        <f>IFERROR(__xludf.DUMMYFUNCTION("""COMPUTED_VALUE"""),1112.0)</f>
        <v>1112</v>
      </c>
      <c r="E208" s="8">
        <f>IFERROR(__xludf.DUMMYFUNCTION("""COMPUTED_VALUE"""),0.981998199819982)</f>
        <v>0.9819981998</v>
      </c>
      <c r="F208" s="8">
        <f>IFERROR(__xludf.DUMMYFUNCTION("""COMPUTED_VALUE"""),0.545126353790613)</f>
        <v>0.5451263538</v>
      </c>
      <c r="G208" s="8">
        <f>IFERROR(__xludf.DUMMYFUNCTION("""COMPUTED_VALUE"""),0.441734417344173)</f>
        <v>0.4417344173</v>
      </c>
      <c r="H208" s="8">
        <f>IFERROR(__xludf.DUMMYFUNCTION("""COMPUTED_VALUE"""),0.377034358047016)</f>
        <v>0.377034358</v>
      </c>
      <c r="I208" s="8">
        <f>IFERROR(__xludf.DUMMYFUNCTION("""COMPUTED_VALUE"""),0.316455696202531)</f>
        <v>0.3164556962</v>
      </c>
      <c r="J208" s="8">
        <f>IFERROR(__xludf.DUMMYFUNCTION("""COMPUTED_VALUE"""),0.286618444846292)</f>
        <v>0.2866184448</v>
      </c>
      <c r="K208" s="8">
        <f>IFERROR(__xludf.DUMMYFUNCTION("""COMPUTED_VALUE"""),0.264014466546112)</f>
        <v>0.2640144665</v>
      </c>
      <c r="L208" s="8">
        <f>IFERROR(__xludf.DUMMYFUNCTION("""COMPUTED_VALUE"""),0.226943942133815)</f>
        <v>0.2269439421</v>
      </c>
      <c r="M208" s="8">
        <f>IFERROR(__xludf.DUMMYFUNCTION("""COMPUTED_VALUE"""),0.206148282097649)</f>
        <v>0.2061482821</v>
      </c>
      <c r="N208" s="8">
        <f>IFERROR(__xludf.DUMMYFUNCTION("""COMPUTED_VALUE"""),0.194570135746606)</f>
        <v>0.1945701357</v>
      </c>
      <c r="O208" s="8">
        <f>IFERROR(__xludf.DUMMYFUNCTION("""COMPUTED_VALUE"""),0.142988084326306)</f>
        <v>0.1429880843</v>
      </c>
      <c r="P208" s="8">
        <f>IFERROR(__xludf.DUMMYFUNCTION("""COMPUTED_VALUE"""),0.153543307086614)</f>
        <v>0.1535433071</v>
      </c>
      <c r="Q208" s="8">
        <f>IFERROR(__xludf.DUMMYFUNCTION("""COMPUTED_VALUE"""),0.112341772151898)</f>
        <v>0.1123417722</v>
      </c>
      <c r="R208" s="8">
        <f>IFERROR(__xludf.DUMMYFUNCTION("""COMPUTED_VALUE"""),0.0793650793650793)</f>
        <v>0.07936507937</v>
      </c>
      <c r="S208" s="8">
        <f>IFERROR(__xludf.DUMMYFUNCTION("""COMPUTED_VALUE"""),0.067524115755627)</f>
        <v>0.06752411576</v>
      </c>
      <c r="T208" s="8">
        <f>IFERROR(__xludf.DUMMYFUNCTION("""COMPUTED_VALUE"""),0.0622950819672131)</f>
        <v>0.06229508197</v>
      </c>
      <c r="U208" s="8">
        <f>IFERROR(__xludf.DUMMYFUNCTION("""COMPUTED_VALUE"""),0.0544554455445544)</f>
        <v>0.05445544554</v>
      </c>
      <c r="V208" s="8">
        <f>IFERROR(__xludf.DUMMYFUNCTION("""COMPUTED_VALUE"""),0.0445544554455445)</f>
        <v>0.04455445545</v>
      </c>
      <c r="W208" s="8">
        <f>IFERROR(__xludf.DUMMYFUNCTION("""COMPUTED_VALUE"""),0.0435510887772194)</f>
        <v>0.04355108878</v>
      </c>
      <c r="X208" s="8">
        <f>IFERROR(__xludf.DUMMYFUNCTION("""COMPUTED_VALUE"""),0.0373514431239388)</f>
        <v>0.03735144312</v>
      </c>
      <c r="Y208" s="8">
        <f>IFERROR(__xludf.DUMMYFUNCTION("""COMPUTED_VALUE"""),0.0)</f>
        <v>0</v>
      </c>
      <c r="Z208" s="8">
        <f>IFERROR(__xludf.DUMMYFUNCTION("""COMPUTED_VALUE"""),0.0)</f>
        <v>0</v>
      </c>
      <c r="AA208" s="8">
        <f>IFERROR(__xludf.DUMMYFUNCTION("""COMPUTED_VALUE"""),0.0)</f>
        <v>0</v>
      </c>
      <c r="AB208" s="8">
        <f>IFERROR(__xludf.DUMMYFUNCTION("""COMPUTED_VALUE"""),0.0)</f>
        <v>0</v>
      </c>
      <c r="AC208" s="8">
        <f>IFERROR(__xludf.DUMMYFUNCTION("""COMPUTED_VALUE"""),0.0)</f>
        <v>0</v>
      </c>
    </row>
    <row r="209" ht="15.75" customHeight="1">
      <c r="A209" s="6" t="str">
        <f>IFERROR(__xludf.DUMMYFUNCTION("""COMPUTED_VALUE"""),"b7e62e1ec65efcef334c2161afd00edf7b5a2b09")</f>
        <v>b7e62e1ec65efcef334c2161afd00edf7b5a2b09</v>
      </c>
      <c r="B209" s="6" t="str">
        <f>IFERROR(__xludf.DUMMYFUNCTION("""COMPUTED_VALUE"""),"Thrones and Passion")</f>
        <v>Thrones and Passion</v>
      </c>
      <c r="C209" s="6" t="str">
        <f>IFERROR(__xludf.DUMMYFUNCTION("""COMPUTED_VALUE"""),"Romance")</f>
        <v>Romance</v>
      </c>
      <c r="D209" s="17">
        <f>IFERROR(__xludf.DUMMYFUNCTION("""COMPUTED_VALUE"""),514.0)</f>
        <v>514</v>
      </c>
      <c r="E209" s="8">
        <f>IFERROR(__xludf.DUMMYFUNCTION("""COMPUTED_VALUE"""),0.991935483870967)</f>
        <v>0.9919354839</v>
      </c>
      <c r="F209" s="8">
        <f>IFERROR(__xludf.DUMMYFUNCTION("""COMPUTED_VALUE"""),0.465882352941176)</f>
        <v>0.4658823529</v>
      </c>
      <c r="G209" s="8">
        <f>IFERROR(__xludf.DUMMYFUNCTION("""COMPUTED_VALUE"""),0.374689826302729)</f>
        <v>0.3746898263</v>
      </c>
      <c r="H209" s="8">
        <f>IFERROR(__xludf.DUMMYFUNCTION("""COMPUTED_VALUE"""),0.3359375)</f>
        <v>0.3359375</v>
      </c>
      <c r="I209" s="8">
        <f>IFERROR(__xludf.DUMMYFUNCTION("""COMPUTED_VALUE"""),0.313829787234042)</f>
        <v>0.3138297872</v>
      </c>
      <c r="J209" s="8">
        <f>IFERROR(__xludf.DUMMYFUNCTION("""COMPUTED_VALUE"""),0.293956043956043)</f>
        <v>0.293956044</v>
      </c>
      <c r="K209" s="8">
        <f>IFERROR(__xludf.DUMMYFUNCTION("""COMPUTED_VALUE"""),0.293296089385474)</f>
        <v>0.2932960894</v>
      </c>
      <c r="L209" s="8">
        <f>IFERROR(__xludf.DUMMYFUNCTION("""COMPUTED_VALUE"""),0.275757575757575)</f>
        <v>0.2757575758</v>
      </c>
      <c r="M209" s="8">
        <f>IFERROR(__xludf.DUMMYFUNCTION("""COMPUTED_VALUE"""),0.24914675767918)</f>
        <v>0.2491467577</v>
      </c>
      <c r="N209" s="8">
        <f>IFERROR(__xludf.DUMMYFUNCTION("""COMPUTED_VALUE"""),0.199095022624434)</f>
        <v>0.1990950226</v>
      </c>
      <c r="O209" s="8">
        <f>IFERROR(__xludf.DUMMYFUNCTION("""COMPUTED_VALUE"""),0.259259259259259)</f>
        <v>0.2592592593</v>
      </c>
      <c r="P209" s="8">
        <f>IFERROR(__xludf.DUMMYFUNCTION("""COMPUTED_VALUE"""),0.115384615384615)</f>
        <v>0.1153846154</v>
      </c>
      <c r="Q209" s="8">
        <f>IFERROR(__xludf.DUMMYFUNCTION("""COMPUTED_VALUE"""),0.125)</f>
        <v>0.125</v>
      </c>
      <c r="R209" s="8">
        <f>IFERROR(__xludf.DUMMYFUNCTION("""COMPUTED_VALUE"""),0.0)</f>
        <v>0</v>
      </c>
      <c r="S209" s="8">
        <f>IFERROR(__xludf.DUMMYFUNCTION("""COMPUTED_VALUE"""),0.0)</f>
        <v>0</v>
      </c>
      <c r="T209" s="8">
        <f>IFERROR(__xludf.DUMMYFUNCTION("""COMPUTED_VALUE"""),0.0)</f>
        <v>0</v>
      </c>
      <c r="U209" s="8">
        <f>IFERROR(__xludf.DUMMYFUNCTION("""COMPUTED_VALUE"""),0.0)</f>
        <v>0</v>
      </c>
      <c r="V209" s="8">
        <f>IFERROR(__xludf.DUMMYFUNCTION("""COMPUTED_VALUE"""),0.0)</f>
        <v>0</v>
      </c>
      <c r="W209" s="8">
        <f>IFERROR(__xludf.DUMMYFUNCTION("""COMPUTED_VALUE"""),0.0)</f>
        <v>0</v>
      </c>
      <c r="X209" s="8">
        <f>IFERROR(__xludf.DUMMYFUNCTION("""COMPUTED_VALUE"""),0.0)</f>
        <v>0</v>
      </c>
      <c r="Y209" s="8">
        <f>IFERROR(__xludf.DUMMYFUNCTION("""COMPUTED_VALUE"""),0.0)</f>
        <v>0</v>
      </c>
      <c r="Z209" s="8">
        <f>IFERROR(__xludf.DUMMYFUNCTION("""COMPUTED_VALUE"""),0.0)</f>
        <v>0</v>
      </c>
      <c r="AA209" s="8">
        <f>IFERROR(__xludf.DUMMYFUNCTION("""COMPUTED_VALUE"""),0.0)</f>
        <v>0</v>
      </c>
      <c r="AB209" s="8">
        <f>IFERROR(__xludf.DUMMYFUNCTION("""COMPUTED_VALUE"""),0.0)</f>
        <v>0</v>
      </c>
      <c r="AC209" s="8">
        <f>IFERROR(__xludf.DUMMYFUNCTION("""COMPUTED_VALUE"""),0.0)</f>
        <v>0</v>
      </c>
    </row>
    <row r="210" ht="15.75" customHeight="1">
      <c r="A210" s="6" t="str">
        <f>IFERROR(__xludf.DUMMYFUNCTION("""COMPUTED_VALUE"""),"ba0633322d2e3b1f5dc385fdef11110ad663eca3")</f>
        <v>ba0633322d2e3b1f5dc385fdef11110ad663eca3</v>
      </c>
      <c r="B210" s="6" t="str">
        <f>IFERROR(__xludf.DUMMYFUNCTION("""COMPUTED_VALUE"""),"Fated Billionaire Love")</f>
        <v>Fated Billionaire Love</v>
      </c>
      <c r="C210" s="6" t="str">
        <f>IFERROR(__xludf.DUMMYFUNCTION("""COMPUTED_VALUE"""),"Romance")</f>
        <v>Romance</v>
      </c>
      <c r="D210" s="17">
        <f>IFERROR(__xludf.DUMMYFUNCTION("""COMPUTED_VALUE"""),341.0)</f>
        <v>341</v>
      </c>
      <c r="E210" s="8">
        <f>IFERROR(__xludf.DUMMYFUNCTION("""COMPUTED_VALUE"""),0.964809384164222)</f>
        <v>0.9648093842</v>
      </c>
      <c r="F210" s="8">
        <f>IFERROR(__xludf.DUMMYFUNCTION("""COMPUTED_VALUE"""),0.691176470588235)</f>
        <v>0.6911764706</v>
      </c>
      <c r="G210" s="8">
        <f>IFERROR(__xludf.DUMMYFUNCTION("""COMPUTED_VALUE"""),0.558823529411764)</f>
        <v>0.5588235294</v>
      </c>
      <c r="H210" s="8">
        <f>IFERROR(__xludf.DUMMYFUNCTION("""COMPUTED_VALUE"""),0.467647058823529)</f>
        <v>0.4676470588</v>
      </c>
      <c r="I210" s="8">
        <f>IFERROR(__xludf.DUMMYFUNCTION("""COMPUTED_VALUE"""),0.408823529411764)</f>
        <v>0.4088235294</v>
      </c>
      <c r="J210" s="8">
        <f>IFERROR(__xludf.DUMMYFUNCTION("""COMPUTED_VALUE"""),0.358823529411764)</f>
        <v>0.3588235294</v>
      </c>
      <c r="K210" s="8">
        <f>IFERROR(__xludf.DUMMYFUNCTION("""COMPUTED_VALUE"""),0.344117647058823)</f>
        <v>0.3441176471</v>
      </c>
      <c r="L210" s="8">
        <f>IFERROR(__xludf.DUMMYFUNCTION("""COMPUTED_VALUE"""),0.319526627218934)</f>
        <v>0.3195266272</v>
      </c>
      <c r="M210" s="8">
        <f>IFERROR(__xludf.DUMMYFUNCTION("""COMPUTED_VALUE"""),0.310650887573964)</f>
        <v>0.3106508876</v>
      </c>
      <c r="N210" s="8">
        <f>IFERROR(__xludf.DUMMYFUNCTION("""COMPUTED_VALUE"""),0.29673590504451)</f>
        <v>0.296735905</v>
      </c>
      <c r="O210" s="8">
        <f>IFERROR(__xludf.DUMMYFUNCTION("""COMPUTED_VALUE"""),0.241791044776119)</f>
        <v>0.2417910448</v>
      </c>
      <c r="P210" s="8">
        <f>IFERROR(__xludf.DUMMYFUNCTION("""COMPUTED_VALUE"""),0.181818181818181)</f>
        <v>0.1818181818</v>
      </c>
      <c r="Q210" s="8">
        <f>IFERROR(__xludf.DUMMYFUNCTION("""COMPUTED_VALUE"""),0.113564668769716)</f>
        <v>0.1135646688</v>
      </c>
      <c r="R210" s="8">
        <f>IFERROR(__xludf.DUMMYFUNCTION("""COMPUTED_VALUE"""),0.0)</f>
        <v>0</v>
      </c>
      <c r="S210" s="8">
        <f>IFERROR(__xludf.DUMMYFUNCTION("""COMPUTED_VALUE"""),0.0)</f>
        <v>0</v>
      </c>
      <c r="T210" s="8">
        <f>IFERROR(__xludf.DUMMYFUNCTION("""COMPUTED_VALUE"""),0.0)</f>
        <v>0</v>
      </c>
      <c r="U210" s="8">
        <f>IFERROR(__xludf.DUMMYFUNCTION("""COMPUTED_VALUE"""),0.0)</f>
        <v>0</v>
      </c>
      <c r="V210" s="8">
        <f>IFERROR(__xludf.DUMMYFUNCTION("""COMPUTED_VALUE"""),0.0)</f>
        <v>0</v>
      </c>
      <c r="W210" s="8">
        <f>IFERROR(__xludf.DUMMYFUNCTION("""COMPUTED_VALUE"""),0.0)</f>
        <v>0</v>
      </c>
      <c r="X210" s="8">
        <f>IFERROR(__xludf.DUMMYFUNCTION("""COMPUTED_VALUE"""),0.0)</f>
        <v>0</v>
      </c>
      <c r="Y210" s="8">
        <f>IFERROR(__xludf.DUMMYFUNCTION("""COMPUTED_VALUE"""),0.0)</f>
        <v>0</v>
      </c>
      <c r="Z210" s="8">
        <f>IFERROR(__xludf.DUMMYFUNCTION("""COMPUTED_VALUE"""),0.0)</f>
        <v>0</v>
      </c>
      <c r="AA210" s="8">
        <f>IFERROR(__xludf.DUMMYFUNCTION("""COMPUTED_VALUE"""),0.0)</f>
        <v>0</v>
      </c>
      <c r="AB210" s="8">
        <f>IFERROR(__xludf.DUMMYFUNCTION("""COMPUTED_VALUE"""),0.0)</f>
        <v>0</v>
      </c>
      <c r="AC210" s="8">
        <f>IFERROR(__xludf.DUMMYFUNCTION("""COMPUTED_VALUE"""),0.0)</f>
        <v>0</v>
      </c>
    </row>
    <row r="211" ht="15.75" customHeight="1">
      <c r="A211" s="6" t="str">
        <f>IFERROR(__xludf.DUMMYFUNCTION("""COMPUTED_VALUE"""),"ba1065d04424754ef65327a97989402f6a123e5a")</f>
        <v>ba1065d04424754ef65327a97989402f6a123e5a</v>
      </c>
      <c r="B211" s="6" t="str">
        <f>IFERROR(__xludf.DUMMYFUNCTION("""COMPUTED_VALUE"""),"Yours by Accident")</f>
        <v>Yours by Accident</v>
      </c>
      <c r="C211" s="6" t="str">
        <f>IFERROR(__xludf.DUMMYFUNCTION("""COMPUTED_VALUE"""),"Romance")</f>
        <v>Romance</v>
      </c>
      <c r="D211" s="17">
        <f>IFERROR(__xludf.DUMMYFUNCTION("""COMPUTED_VALUE"""),198.0)</f>
        <v>198</v>
      </c>
      <c r="E211" s="8">
        <f>IFERROR(__xludf.DUMMYFUNCTION("""COMPUTED_VALUE"""),0.979166666666666)</f>
        <v>0.9791666667</v>
      </c>
      <c r="F211" s="8">
        <f>IFERROR(__xludf.DUMMYFUNCTION("""COMPUTED_VALUE"""),0.532258064516129)</f>
        <v>0.5322580645</v>
      </c>
      <c r="G211" s="8">
        <f>IFERROR(__xludf.DUMMYFUNCTION("""COMPUTED_VALUE"""),0.423076923076923)</f>
        <v>0.4230769231</v>
      </c>
      <c r="H211" s="8">
        <f>IFERROR(__xludf.DUMMYFUNCTION("""COMPUTED_VALUE"""),0.363128491620111)</f>
        <v>0.3631284916</v>
      </c>
      <c r="I211" s="8">
        <f>IFERROR(__xludf.DUMMYFUNCTION("""COMPUTED_VALUE"""),0.275280898876404)</f>
        <v>0.2752808989</v>
      </c>
      <c r="J211" s="8">
        <f>IFERROR(__xludf.DUMMYFUNCTION("""COMPUTED_VALUE"""),0.25)</f>
        <v>0.25</v>
      </c>
      <c r="K211" s="8">
        <f>IFERROR(__xludf.DUMMYFUNCTION("""COMPUTED_VALUE"""),0.228571428571428)</f>
        <v>0.2285714286</v>
      </c>
      <c r="L211" s="8">
        <f>IFERROR(__xludf.DUMMYFUNCTION("""COMPUTED_VALUE"""),0.213414634146341)</f>
        <v>0.2134146341</v>
      </c>
      <c r="M211" s="8">
        <f>IFERROR(__xludf.DUMMYFUNCTION("""COMPUTED_VALUE"""),0.215189873417721)</f>
        <v>0.2151898734</v>
      </c>
      <c r="N211" s="8">
        <f>IFERROR(__xludf.DUMMYFUNCTION("""COMPUTED_VALUE"""),0.175675675675675)</f>
        <v>0.1756756757</v>
      </c>
      <c r="O211" s="8">
        <f>IFERROR(__xludf.DUMMYFUNCTION("""COMPUTED_VALUE"""),0.1484375)</f>
        <v>0.1484375</v>
      </c>
      <c r="P211" s="8">
        <f>IFERROR(__xludf.DUMMYFUNCTION("""COMPUTED_VALUE"""),0.0833333333333333)</f>
        <v>0.08333333333</v>
      </c>
      <c r="Q211" s="8">
        <f>IFERROR(__xludf.DUMMYFUNCTION("""COMPUTED_VALUE"""),0.0535714285714285)</f>
        <v>0.05357142857</v>
      </c>
      <c r="R211" s="8">
        <f>IFERROR(__xludf.DUMMYFUNCTION("""COMPUTED_VALUE"""),0.0267857142857142)</f>
        <v>0.02678571429</v>
      </c>
      <c r="S211" s="8">
        <f>IFERROR(__xludf.DUMMYFUNCTION("""COMPUTED_VALUE"""),0.00943396226415094)</f>
        <v>0.009433962264</v>
      </c>
      <c r="T211" s="8">
        <f>IFERROR(__xludf.DUMMYFUNCTION("""COMPUTED_VALUE"""),0.0)</f>
        <v>0</v>
      </c>
      <c r="U211" s="8">
        <f>IFERROR(__xludf.DUMMYFUNCTION("""COMPUTED_VALUE"""),0.0)</f>
        <v>0</v>
      </c>
      <c r="V211" s="8">
        <f>IFERROR(__xludf.DUMMYFUNCTION("""COMPUTED_VALUE"""),0.0)</f>
        <v>0</v>
      </c>
      <c r="W211" s="8">
        <f>IFERROR(__xludf.DUMMYFUNCTION("""COMPUTED_VALUE"""),0.0)</f>
        <v>0</v>
      </c>
      <c r="X211" s="8">
        <f>IFERROR(__xludf.DUMMYFUNCTION("""COMPUTED_VALUE"""),0.0)</f>
        <v>0</v>
      </c>
      <c r="Y211" s="8">
        <f>IFERROR(__xludf.DUMMYFUNCTION("""COMPUTED_VALUE"""),0.0)</f>
        <v>0</v>
      </c>
      <c r="Z211" s="8">
        <f>IFERROR(__xludf.DUMMYFUNCTION("""COMPUTED_VALUE"""),0.0)</f>
        <v>0</v>
      </c>
      <c r="AA211" s="8">
        <f>IFERROR(__xludf.DUMMYFUNCTION("""COMPUTED_VALUE"""),0.0)</f>
        <v>0</v>
      </c>
      <c r="AB211" s="8">
        <f>IFERROR(__xludf.DUMMYFUNCTION("""COMPUTED_VALUE"""),0.0)</f>
        <v>0</v>
      </c>
      <c r="AC211" s="8">
        <f>IFERROR(__xludf.DUMMYFUNCTION("""COMPUTED_VALUE"""),0.0)</f>
        <v>0</v>
      </c>
    </row>
    <row r="212" ht="15.75" customHeight="1">
      <c r="A212" s="6" t="str">
        <f>IFERROR(__xludf.DUMMYFUNCTION("""COMPUTED_VALUE"""),"bb2f281964ff5fb7528074b3b2b73409bbf91d2a")</f>
        <v>bb2f281964ff5fb7528074b3b2b73409bbf91d2a</v>
      </c>
      <c r="B212" s="6" t="str">
        <f>IFERROR(__xludf.DUMMYFUNCTION("""COMPUTED_VALUE"""),"My Money Minting System")</f>
        <v>My Money Minting System</v>
      </c>
      <c r="C212" s="6" t="str">
        <f>IFERROR(__xludf.DUMMYFUNCTION("""COMPUTED_VALUE"""),"System and Superpower")</f>
        <v>System and Superpower</v>
      </c>
      <c r="D212" s="17">
        <f>IFERROR(__xludf.DUMMYFUNCTION("""COMPUTED_VALUE"""),865.0)</f>
        <v>865</v>
      </c>
      <c r="E212" s="8">
        <f>IFERROR(__xludf.DUMMYFUNCTION("""COMPUTED_VALUE"""),0.981373690337601)</f>
        <v>0.9813736903</v>
      </c>
      <c r="F212" s="8">
        <f>IFERROR(__xludf.DUMMYFUNCTION("""COMPUTED_VALUE"""),0.687585266030013)</f>
        <v>0.687585266</v>
      </c>
      <c r="G212" s="8">
        <f>IFERROR(__xludf.DUMMYFUNCTION("""COMPUTED_VALUE"""),0.574561403508771)</f>
        <v>0.5745614035</v>
      </c>
      <c r="H212" s="8">
        <f>IFERROR(__xludf.DUMMYFUNCTION("""COMPUTED_VALUE"""),0.555808656036446)</f>
        <v>0.555808656</v>
      </c>
      <c r="I212" s="8">
        <f>IFERROR(__xludf.DUMMYFUNCTION("""COMPUTED_VALUE"""),0.495601173020527)</f>
        <v>0.495601173</v>
      </c>
      <c r="J212" s="8">
        <f>IFERROR(__xludf.DUMMYFUNCTION("""COMPUTED_VALUE"""),0.457831325301204)</f>
        <v>0.4578313253</v>
      </c>
      <c r="K212" s="8">
        <f>IFERROR(__xludf.DUMMYFUNCTION("""COMPUTED_VALUE"""),0.402439024390243)</f>
        <v>0.4024390244</v>
      </c>
      <c r="L212" s="8">
        <f>IFERROR(__xludf.DUMMYFUNCTION("""COMPUTED_VALUE"""),0.36734693877551)</f>
        <v>0.3673469388</v>
      </c>
      <c r="M212" s="8">
        <f>IFERROR(__xludf.DUMMYFUNCTION("""COMPUTED_VALUE"""),0.346938775510204)</f>
        <v>0.3469387755</v>
      </c>
      <c r="N212" s="8">
        <f>IFERROR(__xludf.DUMMYFUNCTION("""COMPUTED_VALUE"""),0.348547717842323)</f>
        <v>0.3485477178</v>
      </c>
      <c r="O212" s="8">
        <f>IFERROR(__xludf.DUMMYFUNCTION("""COMPUTED_VALUE"""),0.227467811158798)</f>
        <v>0.2274678112</v>
      </c>
      <c r="P212" s="8">
        <f>IFERROR(__xludf.DUMMYFUNCTION("""COMPUTED_VALUE"""),0.127659574468085)</f>
        <v>0.1276595745</v>
      </c>
      <c r="Q212" s="8">
        <f>IFERROR(__xludf.DUMMYFUNCTION("""COMPUTED_VALUE"""),0.0521739130434782)</f>
        <v>0.05217391304</v>
      </c>
      <c r="R212" s="8">
        <f>IFERROR(__xludf.DUMMYFUNCTION("""COMPUTED_VALUE"""),0.0)</f>
        <v>0</v>
      </c>
      <c r="S212" s="8">
        <f>IFERROR(__xludf.DUMMYFUNCTION("""COMPUTED_VALUE"""),0.0)</f>
        <v>0</v>
      </c>
      <c r="T212" s="8">
        <f>IFERROR(__xludf.DUMMYFUNCTION("""COMPUTED_VALUE"""),0.0)</f>
        <v>0</v>
      </c>
      <c r="U212" s="8">
        <f>IFERROR(__xludf.DUMMYFUNCTION("""COMPUTED_VALUE"""),0.0)</f>
        <v>0</v>
      </c>
      <c r="V212" s="8">
        <f>IFERROR(__xludf.DUMMYFUNCTION("""COMPUTED_VALUE"""),0.0)</f>
        <v>0</v>
      </c>
      <c r="W212" s="8">
        <f>IFERROR(__xludf.DUMMYFUNCTION("""COMPUTED_VALUE"""),0.0)</f>
        <v>0</v>
      </c>
      <c r="X212" s="8">
        <f>IFERROR(__xludf.DUMMYFUNCTION("""COMPUTED_VALUE"""),0.0)</f>
        <v>0</v>
      </c>
      <c r="Y212" s="8">
        <f>IFERROR(__xludf.DUMMYFUNCTION("""COMPUTED_VALUE"""),0.0)</f>
        <v>0</v>
      </c>
      <c r="Z212" s="8">
        <f>IFERROR(__xludf.DUMMYFUNCTION("""COMPUTED_VALUE"""),0.0)</f>
        <v>0</v>
      </c>
      <c r="AA212" s="8">
        <f>IFERROR(__xludf.DUMMYFUNCTION("""COMPUTED_VALUE"""),0.0)</f>
        <v>0</v>
      </c>
      <c r="AB212" s="8">
        <f>IFERROR(__xludf.DUMMYFUNCTION("""COMPUTED_VALUE"""),0.0)</f>
        <v>0</v>
      </c>
      <c r="AC212" s="8">
        <f>IFERROR(__xludf.DUMMYFUNCTION("""COMPUTED_VALUE"""),0.0)</f>
        <v>0</v>
      </c>
    </row>
    <row r="213" ht="15.75" customHeight="1">
      <c r="A213" s="6" t="str">
        <f>IFERROR(__xludf.DUMMYFUNCTION("""COMPUTED_VALUE"""),"bb8bdc13e3c19f2845f457b91284273ad6ddf8f2")</f>
        <v>bb8bdc13e3c19f2845f457b91284273ad6ddf8f2</v>
      </c>
      <c r="B213" s="6" t="str">
        <f>IFERROR(__xludf.DUMMYFUNCTION("""COMPUTED_VALUE"""),"His Four Little Rascals")</f>
        <v>His Four Little Rascals</v>
      </c>
      <c r="C213" s="6" t="str">
        <f>IFERROR(__xludf.DUMMYFUNCTION("""COMPUTED_VALUE"""),"Romance")</f>
        <v>Romance</v>
      </c>
      <c r="D213" s="17">
        <f>IFERROR(__xludf.DUMMYFUNCTION("""COMPUTED_VALUE"""),7277.0)</f>
        <v>7277</v>
      </c>
      <c r="E213" s="8">
        <f>IFERROR(__xludf.DUMMYFUNCTION("""COMPUTED_VALUE"""),0.944474986256184)</f>
        <v>0.9444749863</v>
      </c>
      <c r="F213" s="8">
        <f>IFERROR(__xludf.DUMMYFUNCTION("""COMPUTED_VALUE"""),0.639125653010723)</f>
        <v>0.639125653</v>
      </c>
      <c r="G213" s="8">
        <f>IFERROR(__xludf.DUMMYFUNCTION("""COMPUTED_VALUE"""),0.548466932490031)</f>
        <v>0.5484669325</v>
      </c>
      <c r="H213" s="8">
        <f>IFERROR(__xludf.DUMMYFUNCTION("""COMPUTED_VALUE"""),0.528813093109613)</f>
        <v>0.5288130931</v>
      </c>
      <c r="I213" s="8">
        <f>IFERROR(__xludf.DUMMYFUNCTION("""COMPUTED_VALUE"""),0.514305364511691)</f>
        <v>0.5143053645</v>
      </c>
      <c r="J213" s="8">
        <f>IFERROR(__xludf.DUMMYFUNCTION("""COMPUTED_VALUE"""),0.498761695101816)</f>
        <v>0.4987616951</v>
      </c>
      <c r="K213" s="8">
        <f>IFERROR(__xludf.DUMMYFUNCTION("""COMPUTED_VALUE"""),0.485612006058102)</f>
        <v>0.4856120061</v>
      </c>
      <c r="L213" s="8">
        <f>IFERROR(__xludf.DUMMYFUNCTION("""COMPUTED_VALUE"""),0.485541173230515)</f>
        <v>0.4855411732</v>
      </c>
      <c r="M213" s="8">
        <f>IFERROR(__xludf.DUMMYFUNCTION("""COMPUTED_VALUE"""),0.471074380165289)</f>
        <v>0.4710743802</v>
      </c>
      <c r="N213" s="8">
        <f>IFERROR(__xludf.DUMMYFUNCTION("""COMPUTED_VALUE"""),0.463424714147954)</f>
        <v>0.4634247141</v>
      </c>
      <c r="O213" s="8">
        <f>IFERROR(__xludf.DUMMYFUNCTION("""COMPUTED_VALUE"""),0.442863064805858)</f>
        <v>0.4428630648</v>
      </c>
      <c r="P213" s="8">
        <f>IFERROR(__xludf.DUMMYFUNCTION("""COMPUTED_VALUE"""),0.390189829569073)</f>
        <v>0.3901898296</v>
      </c>
      <c r="Q213" s="8">
        <f>IFERROR(__xludf.DUMMYFUNCTION("""COMPUTED_VALUE"""),0.317311722788878)</f>
        <v>0.3173117228</v>
      </c>
      <c r="R213" s="8">
        <f>IFERROR(__xludf.DUMMYFUNCTION("""COMPUTED_VALUE"""),0.233439860546194)</f>
        <v>0.2334398605</v>
      </c>
      <c r="S213" s="8">
        <f>IFERROR(__xludf.DUMMYFUNCTION("""COMPUTED_VALUE"""),0.192485055508112)</f>
        <v>0.1924850555</v>
      </c>
      <c r="T213" s="8">
        <f>IFERROR(__xludf.DUMMYFUNCTION("""COMPUTED_VALUE"""),0.152651744303286)</f>
        <v>0.1526517443</v>
      </c>
      <c r="U213" s="8">
        <f>IFERROR(__xludf.DUMMYFUNCTION("""COMPUTED_VALUE"""),0.103938286642306)</f>
        <v>0.1039382866</v>
      </c>
      <c r="V213" s="8">
        <f>IFERROR(__xludf.DUMMYFUNCTION("""COMPUTED_VALUE"""),0.0845460845460845)</f>
        <v>0.08454608455</v>
      </c>
      <c r="W213" s="8">
        <f>IFERROR(__xludf.DUMMYFUNCTION("""COMPUTED_VALUE"""),0.0664272890484739)</f>
        <v>0.06642728905</v>
      </c>
      <c r="X213" s="8">
        <f>IFERROR(__xludf.DUMMYFUNCTION("""COMPUTED_VALUE"""),0.0576230492196878)</f>
        <v>0.05762304922</v>
      </c>
      <c r="Y213" s="8">
        <f>IFERROR(__xludf.DUMMYFUNCTION("""COMPUTED_VALUE"""),0.0377358490566037)</f>
        <v>0.03773584906</v>
      </c>
      <c r="Z213" s="8">
        <f>IFERROR(__xludf.DUMMYFUNCTION("""COMPUTED_VALUE"""),0.064516129032258)</f>
        <v>0.06451612903</v>
      </c>
      <c r="AA213" s="8">
        <f>IFERROR(__xludf.DUMMYFUNCTION("""COMPUTED_VALUE"""),0.0)</f>
        <v>0</v>
      </c>
      <c r="AB213" s="8">
        <f>IFERROR(__xludf.DUMMYFUNCTION("""COMPUTED_VALUE"""),0.0)</f>
        <v>0</v>
      </c>
      <c r="AC213" s="8">
        <f>IFERROR(__xludf.DUMMYFUNCTION("""COMPUTED_VALUE"""),0.0)</f>
        <v>0</v>
      </c>
    </row>
    <row r="214" ht="15.75" customHeight="1">
      <c r="A214" s="6" t="str">
        <f>IFERROR(__xludf.DUMMYFUNCTION("""COMPUTED_VALUE"""),"bbaf98e4e43fc8963698d00c4a338957fb765b85")</f>
        <v>bbaf98e4e43fc8963698d00c4a338957fb765b85</v>
      </c>
      <c r="B214" s="6" t="str">
        <f>IFERROR(__xludf.DUMMYFUNCTION("""COMPUTED_VALUE"""),"Artifact Spirit System")</f>
        <v>Artifact Spirit System</v>
      </c>
      <c r="C214" s="6" t="str">
        <f>IFERROR(__xludf.DUMMYFUNCTION("""COMPUTED_VALUE"""),"System and Superpower")</f>
        <v>System and Superpower</v>
      </c>
      <c r="D214" s="17">
        <f>IFERROR(__xludf.DUMMYFUNCTION("""COMPUTED_VALUE"""),3876.0)</f>
        <v>3876</v>
      </c>
      <c r="E214" s="8">
        <f>IFERROR(__xludf.DUMMYFUNCTION("""COMPUTED_VALUE"""),0.976895119418484)</f>
        <v>0.9768951194</v>
      </c>
      <c r="F214" s="8">
        <f>IFERROR(__xludf.DUMMYFUNCTION("""COMPUTED_VALUE"""),0.633473462953231)</f>
        <v>0.633473463</v>
      </c>
      <c r="G214" s="8">
        <f>IFERROR(__xludf.DUMMYFUNCTION("""COMPUTED_VALUE"""),0.556172349986783)</f>
        <v>0.55617235</v>
      </c>
      <c r="H214" s="8">
        <f>IFERROR(__xludf.DUMMYFUNCTION("""COMPUTED_VALUE"""),0.509715198296513)</f>
        <v>0.5097151983</v>
      </c>
      <c r="I214" s="8">
        <f>IFERROR(__xludf.DUMMYFUNCTION("""COMPUTED_VALUE"""),0.47757608115323)</f>
        <v>0.4775760812</v>
      </c>
      <c r="J214" s="8">
        <f>IFERROR(__xludf.DUMMYFUNCTION("""COMPUTED_VALUE"""),0.45474080042976)</f>
        <v>0.4547408004</v>
      </c>
      <c r="K214" s="8">
        <f>IFERROR(__xludf.DUMMYFUNCTION("""COMPUTED_VALUE"""),0.433261571582346)</f>
        <v>0.4332615716</v>
      </c>
      <c r="L214" s="8">
        <f>IFERROR(__xludf.DUMMYFUNCTION("""COMPUTED_VALUE"""),0.414270211611502)</f>
        <v>0.4142702116</v>
      </c>
      <c r="M214" s="8">
        <f>IFERROR(__xludf.DUMMYFUNCTION("""COMPUTED_VALUE"""),0.400707290533188)</f>
        <v>0.4007072905</v>
      </c>
      <c r="N214" s="8">
        <f>IFERROR(__xludf.DUMMYFUNCTION("""COMPUTED_VALUE"""),0.389635316698656)</f>
        <v>0.3896353167</v>
      </c>
      <c r="O214" s="8">
        <f>IFERROR(__xludf.DUMMYFUNCTION("""COMPUTED_VALUE"""),0.344904815229563)</f>
        <v>0.3449048152</v>
      </c>
      <c r="P214" s="8">
        <f>IFERROR(__xludf.DUMMYFUNCTION("""COMPUTED_VALUE"""),0.312746386333771)</f>
        <v>0.3127463863</v>
      </c>
      <c r="Q214" s="8">
        <f>IFERROR(__xludf.DUMMYFUNCTION("""COMPUTED_VALUE"""),0.225063938618925)</f>
        <v>0.2250639386</v>
      </c>
      <c r="R214" s="8">
        <f>IFERROR(__xludf.DUMMYFUNCTION("""COMPUTED_VALUE"""),0.158379373848987)</f>
        <v>0.1583793738</v>
      </c>
      <c r="S214" s="8">
        <f>IFERROR(__xludf.DUMMYFUNCTION("""COMPUTED_VALUE"""),0.0)</f>
        <v>0</v>
      </c>
      <c r="T214" s="8">
        <f>IFERROR(__xludf.DUMMYFUNCTION("""COMPUTED_VALUE"""),0.0)</f>
        <v>0</v>
      </c>
      <c r="U214" s="8">
        <f>IFERROR(__xludf.DUMMYFUNCTION("""COMPUTED_VALUE"""),0.0)</f>
        <v>0</v>
      </c>
      <c r="V214" s="8">
        <f>IFERROR(__xludf.DUMMYFUNCTION("""COMPUTED_VALUE"""),0.0)</f>
        <v>0</v>
      </c>
      <c r="W214" s="8">
        <f>IFERROR(__xludf.DUMMYFUNCTION("""COMPUTED_VALUE"""),0.0)</f>
        <v>0</v>
      </c>
      <c r="X214" s="8">
        <f>IFERROR(__xludf.DUMMYFUNCTION("""COMPUTED_VALUE"""),0.0)</f>
        <v>0</v>
      </c>
      <c r="Y214" s="8">
        <f>IFERROR(__xludf.DUMMYFUNCTION("""COMPUTED_VALUE"""),0.0)</f>
        <v>0</v>
      </c>
      <c r="Z214" s="8">
        <f>IFERROR(__xludf.DUMMYFUNCTION("""COMPUTED_VALUE"""),0.0)</f>
        <v>0</v>
      </c>
      <c r="AA214" s="8">
        <f>IFERROR(__xludf.DUMMYFUNCTION("""COMPUTED_VALUE"""),0.0)</f>
        <v>0</v>
      </c>
      <c r="AB214" s="8">
        <f>IFERROR(__xludf.DUMMYFUNCTION("""COMPUTED_VALUE"""),0.0)</f>
        <v>0</v>
      </c>
      <c r="AC214" s="8">
        <f>IFERROR(__xludf.DUMMYFUNCTION("""COMPUTED_VALUE"""),0.0)</f>
        <v>0</v>
      </c>
    </row>
    <row r="215" ht="15.75" customHeight="1">
      <c r="A215" s="6" t="str">
        <f>IFERROR(__xludf.DUMMYFUNCTION("""COMPUTED_VALUE"""),"bbfdf49252139aecaf606478dbe29039803604ae")</f>
        <v>bbfdf49252139aecaf606478dbe29039803604ae</v>
      </c>
      <c r="B215" s="6" t="str">
        <f>IFERROR(__xludf.DUMMYFUNCTION("""COMPUTED_VALUE"""),"Alchemist of HARRY POTTER")</f>
        <v>Alchemist of HARRY POTTER</v>
      </c>
      <c r="C215" s="6" t="str">
        <f>IFERROR(__xludf.DUMMYFUNCTION("""COMPUTED_VALUE"""),"Fantasy")</f>
        <v>Fantasy</v>
      </c>
      <c r="D215" s="17">
        <f>IFERROR(__xludf.DUMMYFUNCTION("""COMPUTED_VALUE"""),279.0)</f>
        <v>279</v>
      </c>
      <c r="E215" s="8">
        <f>IFERROR(__xludf.DUMMYFUNCTION("""COMPUTED_VALUE"""),0.990430622009569)</f>
        <v>0.990430622</v>
      </c>
      <c r="F215" s="8">
        <f>IFERROR(__xludf.DUMMYFUNCTION("""COMPUTED_VALUE"""),0.494623655913978)</f>
        <v>0.4946236559</v>
      </c>
      <c r="G215" s="8">
        <f>IFERROR(__xludf.DUMMYFUNCTION("""COMPUTED_VALUE"""),0.30188679245283)</f>
        <v>0.3018867925</v>
      </c>
      <c r="H215" s="8">
        <f>IFERROR(__xludf.DUMMYFUNCTION("""COMPUTED_VALUE"""),0.318181818181818)</f>
        <v>0.3181818182</v>
      </c>
      <c r="I215" s="8">
        <f>IFERROR(__xludf.DUMMYFUNCTION("""COMPUTED_VALUE"""),0.238095238095238)</f>
        <v>0.2380952381</v>
      </c>
      <c r="J215" s="8">
        <f>IFERROR(__xludf.DUMMYFUNCTION("""COMPUTED_VALUE"""),0.363636363636363)</f>
        <v>0.3636363636</v>
      </c>
      <c r="K215" s="8">
        <f>IFERROR(__xludf.DUMMYFUNCTION("""COMPUTED_VALUE"""),0.5)</f>
        <v>0.5</v>
      </c>
      <c r="L215" s="8">
        <f>IFERROR(__xludf.DUMMYFUNCTION("""COMPUTED_VALUE"""),0.285714285714285)</f>
        <v>0.2857142857</v>
      </c>
      <c r="M215" s="8">
        <f>IFERROR(__xludf.DUMMYFUNCTION("""COMPUTED_VALUE"""),0.166666666666666)</f>
        <v>0.1666666667</v>
      </c>
      <c r="N215" s="8">
        <f>IFERROR(__xludf.DUMMYFUNCTION("""COMPUTED_VALUE"""),0.333333333333333)</f>
        <v>0.3333333333</v>
      </c>
      <c r="O215" s="8">
        <f>IFERROR(__xludf.DUMMYFUNCTION("""COMPUTED_VALUE"""),0.2)</f>
        <v>0.2</v>
      </c>
      <c r="P215" s="8">
        <f>IFERROR(__xludf.DUMMYFUNCTION("""COMPUTED_VALUE"""),0.2)</f>
        <v>0.2</v>
      </c>
      <c r="Q215" s="8">
        <f>IFERROR(__xludf.DUMMYFUNCTION("""COMPUTED_VALUE"""),0.5)</f>
        <v>0.5</v>
      </c>
      <c r="R215" s="8">
        <f>IFERROR(__xludf.DUMMYFUNCTION("""COMPUTED_VALUE"""),0.0)</f>
        <v>0</v>
      </c>
      <c r="S215" s="8">
        <f>IFERROR(__xludf.DUMMYFUNCTION("""COMPUTED_VALUE"""),0.0)</f>
        <v>0</v>
      </c>
      <c r="T215" s="8">
        <f>IFERROR(__xludf.DUMMYFUNCTION("""COMPUTED_VALUE"""),0.0)</f>
        <v>0</v>
      </c>
      <c r="U215" s="8">
        <f>IFERROR(__xludf.DUMMYFUNCTION("""COMPUTED_VALUE"""),0.0)</f>
        <v>0</v>
      </c>
      <c r="V215" s="8">
        <f>IFERROR(__xludf.DUMMYFUNCTION("""COMPUTED_VALUE"""),0.0)</f>
        <v>0</v>
      </c>
      <c r="W215" s="8">
        <f>IFERROR(__xludf.DUMMYFUNCTION("""COMPUTED_VALUE"""),0.0)</f>
        <v>0</v>
      </c>
      <c r="X215" s="8">
        <f>IFERROR(__xludf.DUMMYFUNCTION("""COMPUTED_VALUE"""),0.0)</f>
        <v>0</v>
      </c>
      <c r="Y215" s="8">
        <f>IFERROR(__xludf.DUMMYFUNCTION("""COMPUTED_VALUE"""),0.0)</f>
        <v>0</v>
      </c>
      <c r="Z215" s="8">
        <f>IFERROR(__xludf.DUMMYFUNCTION("""COMPUTED_VALUE"""),0.0)</f>
        <v>0</v>
      </c>
      <c r="AA215" s="8">
        <f>IFERROR(__xludf.DUMMYFUNCTION("""COMPUTED_VALUE"""),0.0)</f>
        <v>0</v>
      </c>
      <c r="AB215" s="8">
        <f>IFERROR(__xludf.DUMMYFUNCTION("""COMPUTED_VALUE"""),0.0)</f>
        <v>0</v>
      </c>
      <c r="AC215" s="8">
        <f>IFERROR(__xludf.DUMMYFUNCTION("""COMPUTED_VALUE"""),0.0)</f>
        <v>0</v>
      </c>
    </row>
    <row r="216" ht="15.75" customHeight="1">
      <c r="A216" s="6" t="str">
        <f>IFERROR(__xludf.DUMMYFUNCTION("""COMPUTED_VALUE"""),"be6caef02859b458c7e726aab639c65f41c8e1be")</f>
        <v>be6caef02859b458c7e726aab639c65f41c8e1be</v>
      </c>
      <c r="B216" s="6" t="str">
        <f>IFERROR(__xludf.DUMMYFUNCTION("""COMPUTED_VALUE"""),"Natural Godly Martial Art")</f>
        <v>Natural Godly Martial Art</v>
      </c>
      <c r="C216" s="6" t="str">
        <f>IFERROR(__xludf.DUMMYFUNCTION("""COMPUTED_VALUE"""),"Fantasy")</f>
        <v>Fantasy</v>
      </c>
      <c r="D216" s="17">
        <f>IFERROR(__xludf.DUMMYFUNCTION("""COMPUTED_VALUE"""),653.0)</f>
        <v>653</v>
      </c>
      <c r="E216" s="8">
        <f>IFERROR(__xludf.DUMMYFUNCTION("""COMPUTED_VALUE"""),0.984639016897081)</f>
        <v>0.9846390169</v>
      </c>
      <c r="F216" s="8">
        <f>IFERROR(__xludf.DUMMYFUNCTION("""COMPUTED_VALUE"""),0.57345971563981)</f>
        <v>0.5734597156</v>
      </c>
      <c r="G216" s="8">
        <f>IFERROR(__xludf.DUMMYFUNCTION("""COMPUTED_VALUE"""),0.499178981937602)</f>
        <v>0.4991789819</v>
      </c>
      <c r="H216" s="8">
        <f>IFERROR(__xludf.DUMMYFUNCTION("""COMPUTED_VALUE"""),0.390990990990991)</f>
        <v>0.390990991</v>
      </c>
      <c r="I216" s="8">
        <f>IFERROR(__xludf.DUMMYFUNCTION("""COMPUTED_VALUE"""),0.348484848484848)</f>
        <v>0.3484848485</v>
      </c>
      <c r="J216" s="8">
        <f>IFERROR(__xludf.DUMMYFUNCTION("""COMPUTED_VALUE"""),0.331288343558282)</f>
        <v>0.3312883436</v>
      </c>
      <c r="K216" s="8">
        <f>IFERROR(__xludf.DUMMYFUNCTION("""COMPUTED_VALUE"""),0.316008316008316)</f>
        <v>0.316008316</v>
      </c>
      <c r="L216" s="8">
        <f>IFERROR(__xludf.DUMMYFUNCTION("""COMPUTED_VALUE"""),0.305361305361305)</f>
        <v>0.3053613054</v>
      </c>
      <c r="M216" s="8">
        <f>IFERROR(__xludf.DUMMYFUNCTION("""COMPUTED_VALUE"""),0.26775956284153)</f>
        <v>0.2677595628</v>
      </c>
      <c r="N216" s="8">
        <f>IFERROR(__xludf.DUMMYFUNCTION("""COMPUTED_VALUE"""),0.254355400696864)</f>
        <v>0.2543554007</v>
      </c>
      <c r="O216" s="8">
        <f>IFERROR(__xludf.DUMMYFUNCTION("""COMPUTED_VALUE"""),0.365079365079365)</f>
        <v>0.3650793651</v>
      </c>
      <c r="P216" s="8">
        <f>IFERROR(__xludf.DUMMYFUNCTION("""COMPUTED_VALUE"""),0.305084745762711)</f>
        <v>0.3050847458</v>
      </c>
      <c r="Q216" s="8">
        <f>IFERROR(__xludf.DUMMYFUNCTION("""COMPUTED_VALUE"""),0.0)</f>
        <v>0</v>
      </c>
      <c r="R216" s="8">
        <f>IFERROR(__xludf.DUMMYFUNCTION("""COMPUTED_VALUE"""),0.0)</f>
        <v>0</v>
      </c>
      <c r="S216" s="8">
        <f>IFERROR(__xludf.DUMMYFUNCTION("""COMPUTED_VALUE"""),0.0)</f>
        <v>0</v>
      </c>
      <c r="T216" s="8">
        <f>IFERROR(__xludf.DUMMYFUNCTION("""COMPUTED_VALUE"""),0.0)</f>
        <v>0</v>
      </c>
      <c r="U216" s="8">
        <f>IFERROR(__xludf.DUMMYFUNCTION("""COMPUTED_VALUE"""),0.0)</f>
        <v>0</v>
      </c>
      <c r="V216" s="8">
        <f>IFERROR(__xludf.DUMMYFUNCTION("""COMPUTED_VALUE"""),0.0)</f>
        <v>0</v>
      </c>
      <c r="W216" s="8">
        <f>IFERROR(__xludf.DUMMYFUNCTION("""COMPUTED_VALUE"""),0.0)</f>
        <v>0</v>
      </c>
      <c r="X216" s="8">
        <f>IFERROR(__xludf.DUMMYFUNCTION("""COMPUTED_VALUE"""),0.0)</f>
        <v>0</v>
      </c>
      <c r="Y216" s="8">
        <f>IFERROR(__xludf.DUMMYFUNCTION("""COMPUTED_VALUE"""),0.0)</f>
        <v>0</v>
      </c>
      <c r="Z216" s="8">
        <f>IFERROR(__xludf.DUMMYFUNCTION("""COMPUTED_VALUE"""),0.0)</f>
        <v>0</v>
      </c>
      <c r="AA216" s="8">
        <f>IFERROR(__xludf.DUMMYFUNCTION("""COMPUTED_VALUE"""),0.0)</f>
        <v>0</v>
      </c>
      <c r="AB216" s="8">
        <f>IFERROR(__xludf.DUMMYFUNCTION("""COMPUTED_VALUE"""),0.0)</f>
        <v>0</v>
      </c>
      <c r="AC216" s="8">
        <f>IFERROR(__xludf.DUMMYFUNCTION("""COMPUTED_VALUE"""),0.0)</f>
        <v>0</v>
      </c>
    </row>
    <row r="217" ht="15.75" customHeight="1">
      <c r="A217" s="6" t="str">
        <f>IFERROR(__xludf.DUMMYFUNCTION("""COMPUTED_VALUE"""),"bf3632f1f9e1f3a7b864a989bb8f495a629a43cb")</f>
        <v>bf3632f1f9e1f3a7b864a989bb8f495a629a43cb</v>
      </c>
      <c r="B217" s="6" t="str">
        <f>IFERROR(__xludf.DUMMYFUNCTION("""COMPUTED_VALUE"""),"Her Secret Twins")</f>
        <v>Her Secret Twins</v>
      </c>
      <c r="C217" s="6" t="str">
        <f>IFERROR(__xludf.DUMMYFUNCTION("""COMPUTED_VALUE"""),"Romance")</f>
        <v>Romance</v>
      </c>
      <c r="D217" s="17">
        <f>IFERROR(__xludf.DUMMYFUNCTION("""COMPUTED_VALUE"""),2965.0)</f>
        <v>2965</v>
      </c>
      <c r="E217" s="8">
        <f>IFERROR(__xludf.DUMMYFUNCTION("""COMPUTED_VALUE"""),0.938954468802698)</f>
        <v>0.9389544688</v>
      </c>
      <c r="F217" s="8">
        <f>IFERROR(__xludf.DUMMYFUNCTION("""COMPUTED_VALUE"""),0.789207419898819)</f>
        <v>0.7892074199</v>
      </c>
      <c r="G217" s="8">
        <f>IFERROR(__xludf.DUMMYFUNCTION("""COMPUTED_VALUE"""),0.739629005059022)</f>
        <v>0.7396290051</v>
      </c>
      <c r="H217" s="8">
        <f>IFERROR(__xludf.DUMMYFUNCTION("""COMPUTED_VALUE"""),0.702192242833052)</f>
        <v>0.7021922428</v>
      </c>
      <c r="I217" s="8">
        <f>IFERROR(__xludf.DUMMYFUNCTION("""COMPUTED_VALUE"""),0.682523616734143)</f>
        <v>0.6825236167</v>
      </c>
      <c r="J217" s="8">
        <f>IFERROR(__xludf.DUMMYFUNCTION("""COMPUTED_VALUE"""),0.668804861580013)</f>
        <v>0.6688048616</v>
      </c>
      <c r="K217" s="8">
        <f>IFERROR(__xludf.DUMMYFUNCTION("""COMPUTED_VALUE"""),0.649561107359891)</f>
        <v>0.6495611074</v>
      </c>
      <c r="L217" s="8">
        <f>IFERROR(__xludf.DUMMYFUNCTION("""COMPUTED_VALUE"""),0.63639432815665)</f>
        <v>0.6363943282</v>
      </c>
      <c r="M217" s="8">
        <f>IFERROR(__xludf.DUMMYFUNCTION("""COMPUTED_VALUE"""),0.62917933130699)</f>
        <v>0.6291793313</v>
      </c>
      <c r="N217" s="8">
        <f>IFERROR(__xludf.DUMMYFUNCTION("""COMPUTED_VALUE"""),0.621575921542103)</f>
        <v>0.6215759215</v>
      </c>
      <c r="O217" s="8">
        <f>IFERROR(__xludf.DUMMYFUNCTION("""COMPUTED_VALUE"""),0.571525423728813)</f>
        <v>0.5715254237</v>
      </c>
      <c r="P217" s="8">
        <f>IFERROR(__xludf.DUMMYFUNCTION("""COMPUTED_VALUE"""),0.549727520435967)</f>
        <v>0.5497275204</v>
      </c>
      <c r="Q217" s="8">
        <f>IFERROR(__xludf.DUMMYFUNCTION("""COMPUTED_VALUE"""),0.431379310344827)</f>
        <v>0.4313793103</v>
      </c>
      <c r="R217" s="8">
        <f>IFERROR(__xludf.DUMMYFUNCTION("""COMPUTED_VALUE"""),0.363498674744415)</f>
        <v>0.3634986747</v>
      </c>
      <c r="S217" s="8">
        <f>IFERROR(__xludf.DUMMYFUNCTION("""COMPUTED_VALUE"""),0.292011019283746)</f>
        <v>0.2920110193</v>
      </c>
      <c r="T217" s="8">
        <f>IFERROR(__xludf.DUMMYFUNCTION("""COMPUTED_VALUE"""),0.201492537313432)</f>
        <v>0.2014925373</v>
      </c>
      <c r="U217" s="8">
        <f>IFERROR(__xludf.DUMMYFUNCTION("""COMPUTED_VALUE"""),0.150819672131147)</f>
        <v>0.1508196721</v>
      </c>
      <c r="V217" s="8">
        <f>IFERROR(__xludf.DUMMYFUNCTION("""COMPUTED_VALUE"""),0.13009708737864)</f>
        <v>0.1300970874</v>
      </c>
      <c r="W217" s="8">
        <f>IFERROR(__xludf.DUMMYFUNCTION("""COMPUTED_VALUE"""),0.0945945945945946)</f>
        <v>0.09459459459</v>
      </c>
      <c r="X217" s="8">
        <f>IFERROR(__xludf.DUMMYFUNCTION("""COMPUTED_VALUE"""),0.0760869565217391)</f>
        <v>0.07608695652</v>
      </c>
      <c r="Y217" s="8">
        <f>IFERROR(__xludf.DUMMYFUNCTION("""COMPUTED_VALUE"""),0.0509803921568627)</f>
        <v>0.05098039216</v>
      </c>
      <c r="Z217" s="8">
        <f>IFERROR(__xludf.DUMMYFUNCTION("""COMPUTED_VALUE"""),0.028169014084507)</f>
        <v>0.02816901408</v>
      </c>
      <c r="AA217" s="8">
        <f>IFERROR(__xludf.DUMMYFUNCTION("""COMPUTED_VALUE"""),0.0526315789473684)</f>
        <v>0.05263157895</v>
      </c>
      <c r="AB217" s="8">
        <f>IFERROR(__xludf.DUMMYFUNCTION("""COMPUTED_VALUE"""),0.0)</f>
        <v>0</v>
      </c>
      <c r="AC217" s="8">
        <f>IFERROR(__xludf.DUMMYFUNCTION("""COMPUTED_VALUE"""),0.0)</f>
        <v>0</v>
      </c>
    </row>
    <row r="218" ht="15.75" customHeight="1">
      <c r="A218" s="6" t="str">
        <f>IFERROR(__xludf.DUMMYFUNCTION("""COMPUTED_VALUE"""),"c04c6d5eb020135b9855b7b2290092294bd33d99")</f>
        <v>c04c6d5eb020135b9855b7b2290092294bd33d99</v>
      </c>
      <c r="B218" s="6" t="str">
        <f>IFERROR(__xludf.DUMMYFUNCTION("""COMPUTED_VALUE"""),"My Crimson Bite")</f>
        <v>My Crimson Bite</v>
      </c>
      <c r="C218" s="6" t="str">
        <f>IFERROR(__xludf.DUMMYFUNCTION("""COMPUTED_VALUE"""),"Romantasy")</f>
        <v>Romantasy</v>
      </c>
      <c r="D218" s="17">
        <f>IFERROR(__xludf.DUMMYFUNCTION("""COMPUTED_VALUE"""),136.0)</f>
        <v>136</v>
      </c>
      <c r="E218" s="8">
        <f>IFERROR(__xludf.DUMMYFUNCTION("""COMPUTED_VALUE"""),0.9765625)</f>
        <v>0.9765625</v>
      </c>
      <c r="F218" s="8">
        <f>IFERROR(__xludf.DUMMYFUNCTION("""COMPUTED_VALUE"""),0.471074380165289)</f>
        <v>0.4710743802</v>
      </c>
      <c r="G218" s="8">
        <f>IFERROR(__xludf.DUMMYFUNCTION("""COMPUTED_VALUE"""),0.398305084745762)</f>
        <v>0.3983050847</v>
      </c>
      <c r="H218" s="8">
        <f>IFERROR(__xludf.DUMMYFUNCTION("""COMPUTED_VALUE"""),0.375)</f>
        <v>0.375</v>
      </c>
      <c r="I218" s="8">
        <f>IFERROR(__xludf.DUMMYFUNCTION("""COMPUTED_VALUE"""),0.344086021505376)</f>
        <v>0.3440860215</v>
      </c>
      <c r="J218" s="8">
        <f>IFERROR(__xludf.DUMMYFUNCTION("""COMPUTED_VALUE"""),0.411764705882352)</f>
        <v>0.4117647059</v>
      </c>
      <c r="K218" s="8">
        <f>IFERROR(__xludf.DUMMYFUNCTION("""COMPUTED_VALUE"""),0.392156862745098)</f>
        <v>0.3921568627</v>
      </c>
      <c r="L218" s="8">
        <f>IFERROR(__xludf.DUMMYFUNCTION("""COMPUTED_VALUE"""),0.372549019607843)</f>
        <v>0.3725490196</v>
      </c>
      <c r="M218" s="8">
        <f>IFERROR(__xludf.DUMMYFUNCTION("""COMPUTED_VALUE"""),0.333333333333333)</f>
        <v>0.3333333333</v>
      </c>
      <c r="N218" s="8">
        <f>IFERROR(__xludf.DUMMYFUNCTION("""COMPUTED_VALUE"""),0.333333333333333)</f>
        <v>0.3333333333</v>
      </c>
      <c r="O218" s="8">
        <f>IFERROR(__xludf.DUMMYFUNCTION("""COMPUTED_VALUE"""),0.32)</f>
        <v>0.32</v>
      </c>
      <c r="P218" s="8">
        <f>IFERROR(__xludf.DUMMYFUNCTION("""COMPUTED_VALUE"""),0.244444444444444)</f>
        <v>0.2444444444</v>
      </c>
      <c r="Q218" s="8">
        <f>IFERROR(__xludf.DUMMYFUNCTION("""COMPUTED_VALUE"""),0.117647058823529)</f>
        <v>0.1176470588</v>
      </c>
      <c r="R218" s="8">
        <f>IFERROR(__xludf.DUMMYFUNCTION("""COMPUTED_VALUE"""),0.0)</f>
        <v>0</v>
      </c>
      <c r="S218" s="8">
        <f>IFERROR(__xludf.DUMMYFUNCTION("""COMPUTED_VALUE"""),0.0)</f>
        <v>0</v>
      </c>
      <c r="T218" s="8">
        <f>IFERROR(__xludf.DUMMYFUNCTION("""COMPUTED_VALUE"""),0.0)</f>
        <v>0</v>
      </c>
      <c r="U218" s="8">
        <f>IFERROR(__xludf.DUMMYFUNCTION("""COMPUTED_VALUE"""),0.0)</f>
        <v>0</v>
      </c>
      <c r="V218" s="8">
        <f>IFERROR(__xludf.DUMMYFUNCTION("""COMPUTED_VALUE"""),0.0)</f>
        <v>0</v>
      </c>
      <c r="W218" s="8">
        <f>IFERROR(__xludf.DUMMYFUNCTION("""COMPUTED_VALUE"""),0.0)</f>
        <v>0</v>
      </c>
      <c r="X218" s="8">
        <f>IFERROR(__xludf.DUMMYFUNCTION("""COMPUTED_VALUE"""),0.0)</f>
        <v>0</v>
      </c>
      <c r="Y218" s="8">
        <f>IFERROR(__xludf.DUMMYFUNCTION("""COMPUTED_VALUE"""),0.0)</f>
        <v>0</v>
      </c>
      <c r="Z218" s="8">
        <f>IFERROR(__xludf.DUMMYFUNCTION("""COMPUTED_VALUE"""),0.0)</f>
        <v>0</v>
      </c>
      <c r="AA218" s="8">
        <f>IFERROR(__xludf.DUMMYFUNCTION("""COMPUTED_VALUE"""),0.0)</f>
        <v>0</v>
      </c>
      <c r="AB218" s="8">
        <f>IFERROR(__xludf.DUMMYFUNCTION("""COMPUTED_VALUE"""),0.0)</f>
        <v>0</v>
      </c>
      <c r="AC218" s="8">
        <f>IFERROR(__xludf.DUMMYFUNCTION("""COMPUTED_VALUE"""),0.0)</f>
        <v>0</v>
      </c>
    </row>
    <row r="219" ht="15.75" customHeight="1">
      <c r="A219" s="6" t="str">
        <f>IFERROR(__xludf.DUMMYFUNCTION("""COMPUTED_VALUE"""),"c2045ffb46d0538ca44af5ee011be0b36e81c395")</f>
        <v>c2045ffb46d0538ca44af5ee011be0b36e81c395</v>
      </c>
      <c r="B219" s="6" t="str">
        <f>IFERROR(__xludf.DUMMYFUNCTION("""COMPUTED_VALUE"""),"A Marriage of Ashes")</f>
        <v>A Marriage of Ashes</v>
      </c>
      <c r="C219" s="6" t="str">
        <f>IFERROR(__xludf.DUMMYFUNCTION("""COMPUTED_VALUE"""),"Romance")</f>
        <v>Romance</v>
      </c>
      <c r="D219" s="17">
        <f>IFERROR(__xludf.DUMMYFUNCTION("""COMPUTED_VALUE"""),492.0)</f>
        <v>492</v>
      </c>
      <c r="E219" s="8">
        <f>IFERROR(__xludf.DUMMYFUNCTION("""COMPUTED_VALUE"""),0.985772357723577)</f>
        <v>0.9857723577</v>
      </c>
      <c r="F219" s="8">
        <f>IFERROR(__xludf.DUMMYFUNCTION("""COMPUTED_VALUE"""),0.229674796747967)</f>
        <v>0.2296747967</v>
      </c>
      <c r="G219" s="8">
        <f>IFERROR(__xludf.DUMMYFUNCTION("""COMPUTED_VALUE"""),0.134146341463414)</f>
        <v>0.1341463415</v>
      </c>
      <c r="H219" s="8">
        <f>IFERROR(__xludf.DUMMYFUNCTION("""COMPUTED_VALUE"""),0.0997963340122199)</f>
        <v>0.09979633401</v>
      </c>
      <c r="I219" s="8">
        <f>IFERROR(__xludf.DUMMYFUNCTION("""COMPUTED_VALUE"""),0.0875763747454175)</f>
        <v>0.08757637475</v>
      </c>
      <c r="J219" s="8">
        <f>IFERROR(__xludf.DUMMYFUNCTION("""COMPUTED_VALUE"""),0.0692464358452138)</f>
        <v>0.06924643585</v>
      </c>
      <c r="K219" s="8">
        <f>IFERROR(__xludf.DUMMYFUNCTION("""COMPUTED_VALUE"""),0.054989816700611)</f>
        <v>0.0549898167</v>
      </c>
      <c r="L219" s="8">
        <f>IFERROR(__xludf.DUMMYFUNCTION("""COMPUTED_VALUE"""),0.0488798370672097)</f>
        <v>0.04887983707</v>
      </c>
      <c r="M219" s="8">
        <f>IFERROR(__xludf.DUMMYFUNCTION("""COMPUTED_VALUE"""),0.0427698574338085)</f>
        <v>0.04276985743</v>
      </c>
      <c r="N219" s="8">
        <f>IFERROR(__xludf.DUMMYFUNCTION("""COMPUTED_VALUE"""),0.0305498981670061)</f>
        <v>0.03054989817</v>
      </c>
      <c r="O219" s="8">
        <f>IFERROR(__xludf.DUMMYFUNCTION("""COMPUTED_VALUE"""),0.00826446280991735)</f>
        <v>0.00826446281</v>
      </c>
      <c r="P219" s="8">
        <f>IFERROR(__xludf.DUMMYFUNCTION("""COMPUTED_VALUE"""),0.0)</f>
        <v>0</v>
      </c>
      <c r="Q219" s="8">
        <f>IFERROR(__xludf.DUMMYFUNCTION("""COMPUTED_VALUE"""),0.0)</f>
        <v>0</v>
      </c>
      <c r="R219" s="8">
        <f>IFERROR(__xludf.DUMMYFUNCTION("""COMPUTED_VALUE"""),0.0)</f>
        <v>0</v>
      </c>
      <c r="S219" s="8">
        <f>IFERROR(__xludf.DUMMYFUNCTION("""COMPUTED_VALUE"""),0.0)</f>
        <v>0</v>
      </c>
      <c r="T219" s="8">
        <f>IFERROR(__xludf.DUMMYFUNCTION("""COMPUTED_VALUE"""),0.0)</f>
        <v>0</v>
      </c>
      <c r="U219" s="8">
        <f>IFERROR(__xludf.DUMMYFUNCTION("""COMPUTED_VALUE"""),0.0)</f>
        <v>0</v>
      </c>
      <c r="V219" s="8">
        <f>IFERROR(__xludf.DUMMYFUNCTION("""COMPUTED_VALUE"""),0.0)</f>
        <v>0</v>
      </c>
      <c r="W219" s="8">
        <f>IFERROR(__xludf.DUMMYFUNCTION("""COMPUTED_VALUE"""),0.0)</f>
        <v>0</v>
      </c>
      <c r="X219" s="8">
        <f>IFERROR(__xludf.DUMMYFUNCTION("""COMPUTED_VALUE"""),0.0)</f>
        <v>0</v>
      </c>
      <c r="Y219" s="8">
        <f>IFERROR(__xludf.DUMMYFUNCTION("""COMPUTED_VALUE"""),0.0)</f>
        <v>0</v>
      </c>
      <c r="Z219" s="8">
        <f>IFERROR(__xludf.DUMMYFUNCTION("""COMPUTED_VALUE"""),0.0)</f>
        <v>0</v>
      </c>
      <c r="AA219" s="8">
        <f>IFERROR(__xludf.DUMMYFUNCTION("""COMPUTED_VALUE"""),0.0)</f>
        <v>0</v>
      </c>
      <c r="AB219" s="8">
        <f>IFERROR(__xludf.DUMMYFUNCTION("""COMPUTED_VALUE"""),0.0)</f>
        <v>0</v>
      </c>
      <c r="AC219" s="8">
        <f>IFERROR(__xludf.DUMMYFUNCTION("""COMPUTED_VALUE"""),0.0)</f>
        <v>0</v>
      </c>
    </row>
    <row r="220" ht="15.75" customHeight="1">
      <c r="A220" s="6" t="str">
        <f>IFERROR(__xludf.DUMMYFUNCTION("""COMPUTED_VALUE"""),"c4463ba00f6c126612324139644418680a50dd75")</f>
        <v>c4463ba00f6c126612324139644418680a50dd75</v>
      </c>
      <c r="B220" s="6" t="str">
        <f>IFERROR(__xludf.DUMMYFUNCTION("""COMPUTED_VALUE"""),"Bloodstar")</f>
        <v>Bloodstar</v>
      </c>
      <c r="C220" s="6" t="str">
        <f>IFERROR(__xludf.DUMMYFUNCTION("""COMPUTED_VALUE"""),"System and Superpower")</f>
        <v>System and Superpower</v>
      </c>
      <c r="D220" s="17">
        <f>IFERROR(__xludf.DUMMYFUNCTION("""COMPUTED_VALUE"""),689.0)</f>
        <v>689</v>
      </c>
      <c r="E220" s="8">
        <f>IFERROR(__xludf.DUMMYFUNCTION("""COMPUTED_VALUE"""),0.984011627906976)</f>
        <v>0.9840116279</v>
      </c>
      <c r="F220" s="8">
        <f>IFERROR(__xludf.DUMMYFUNCTION("""COMPUTED_VALUE"""),0.724489795918367)</f>
        <v>0.7244897959</v>
      </c>
      <c r="G220" s="8">
        <f>IFERROR(__xludf.DUMMYFUNCTION("""COMPUTED_VALUE"""),0.637956204379562)</f>
        <v>0.6379562044</v>
      </c>
      <c r="H220" s="8">
        <f>IFERROR(__xludf.DUMMYFUNCTION("""COMPUTED_VALUE"""),0.550364963503649)</f>
        <v>0.5503649635</v>
      </c>
      <c r="I220" s="8">
        <f>IFERROR(__xludf.DUMMYFUNCTION("""COMPUTED_VALUE"""),0.486090775988287)</f>
        <v>0.486090776</v>
      </c>
      <c r="J220" s="8">
        <f>IFERROR(__xludf.DUMMYFUNCTION("""COMPUTED_VALUE"""),0.441997063142437)</f>
        <v>0.4419970631</v>
      </c>
      <c r="K220" s="8">
        <f>IFERROR(__xludf.DUMMYFUNCTION("""COMPUTED_VALUE"""),0.386430678466076)</f>
        <v>0.3864306785</v>
      </c>
      <c r="L220" s="8">
        <f>IFERROR(__xludf.DUMMYFUNCTION("""COMPUTED_VALUE"""),0.34171597633136)</f>
        <v>0.3417159763</v>
      </c>
      <c r="M220" s="8">
        <f>IFERROR(__xludf.DUMMYFUNCTION("""COMPUTED_VALUE"""),0.304606240713224)</f>
        <v>0.3046062407</v>
      </c>
      <c r="N220" s="8">
        <f>IFERROR(__xludf.DUMMYFUNCTION("""COMPUTED_VALUE"""),0.292537313432835)</f>
        <v>0.2925373134</v>
      </c>
      <c r="O220" s="8">
        <f>IFERROR(__xludf.DUMMYFUNCTION("""COMPUTED_VALUE"""),0.237421383647798)</f>
        <v>0.2374213836</v>
      </c>
      <c r="P220" s="8">
        <f>IFERROR(__xludf.DUMMYFUNCTION("""COMPUTED_VALUE"""),0.333333333333333)</f>
        <v>0.3333333333</v>
      </c>
      <c r="Q220" s="8">
        <f>IFERROR(__xludf.DUMMYFUNCTION("""COMPUTED_VALUE"""),0.0)</f>
        <v>0</v>
      </c>
      <c r="R220" s="8">
        <f>IFERROR(__xludf.DUMMYFUNCTION("""COMPUTED_VALUE"""),0.0)</f>
        <v>0</v>
      </c>
      <c r="S220" s="8">
        <f>IFERROR(__xludf.DUMMYFUNCTION("""COMPUTED_VALUE"""),0.0)</f>
        <v>0</v>
      </c>
      <c r="T220" s="8">
        <f>IFERROR(__xludf.DUMMYFUNCTION("""COMPUTED_VALUE"""),0.0)</f>
        <v>0</v>
      </c>
      <c r="U220" s="8">
        <f>IFERROR(__xludf.DUMMYFUNCTION("""COMPUTED_VALUE"""),0.0)</f>
        <v>0</v>
      </c>
      <c r="V220" s="8">
        <f>IFERROR(__xludf.DUMMYFUNCTION("""COMPUTED_VALUE"""),0.0)</f>
        <v>0</v>
      </c>
      <c r="W220" s="8">
        <f>IFERROR(__xludf.DUMMYFUNCTION("""COMPUTED_VALUE"""),0.0)</f>
        <v>0</v>
      </c>
      <c r="X220" s="8">
        <f>IFERROR(__xludf.DUMMYFUNCTION("""COMPUTED_VALUE"""),0.0)</f>
        <v>0</v>
      </c>
      <c r="Y220" s="8">
        <f>IFERROR(__xludf.DUMMYFUNCTION("""COMPUTED_VALUE"""),0.0)</f>
        <v>0</v>
      </c>
      <c r="Z220" s="8">
        <f>IFERROR(__xludf.DUMMYFUNCTION("""COMPUTED_VALUE"""),0.0)</f>
        <v>0</v>
      </c>
      <c r="AA220" s="8">
        <f>IFERROR(__xludf.DUMMYFUNCTION("""COMPUTED_VALUE"""),0.0)</f>
        <v>0</v>
      </c>
      <c r="AB220" s="8">
        <f>IFERROR(__xludf.DUMMYFUNCTION("""COMPUTED_VALUE"""),0.0)</f>
        <v>0</v>
      </c>
      <c r="AC220" s="8">
        <f>IFERROR(__xludf.DUMMYFUNCTION("""COMPUTED_VALUE"""),0.0)</f>
        <v>0</v>
      </c>
    </row>
    <row r="221" ht="15.75" customHeight="1">
      <c r="A221" s="6" t="str">
        <f>IFERROR(__xludf.DUMMYFUNCTION("""COMPUTED_VALUE"""),"c6590012d529ed8d9e5750565fe5d91ddd1144d5")</f>
        <v>c6590012d529ed8d9e5750565fe5d91ddd1144d5</v>
      </c>
      <c r="B221" s="6" t="str">
        <f>IFERROR(__xludf.DUMMYFUNCTION("""COMPUTED_VALUE"""),"Rise of Charles Atticus")</f>
        <v>Rise of Charles Atticus</v>
      </c>
      <c r="C221" s="6" t="str">
        <f>IFERROR(__xludf.DUMMYFUNCTION("""COMPUTED_VALUE"""),"Fantasy")</f>
        <v>Fantasy</v>
      </c>
      <c r="D221" s="17">
        <f>IFERROR(__xludf.DUMMYFUNCTION("""COMPUTED_VALUE"""),564.0)</f>
        <v>564</v>
      </c>
      <c r="E221" s="8">
        <f>IFERROR(__xludf.DUMMYFUNCTION("""COMPUTED_VALUE"""),0.975)</f>
        <v>0.975</v>
      </c>
      <c r="F221" s="8">
        <f>IFERROR(__xludf.DUMMYFUNCTION("""COMPUTED_VALUE"""),0.714583333333333)</f>
        <v>0.7145833333</v>
      </c>
      <c r="G221" s="8">
        <f>IFERROR(__xludf.DUMMYFUNCTION("""COMPUTED_VALUE"""),0.673659673659673)</f>
        <v>0.6736596737</v>
      </c>
      <c r="H221" s="8">
        <f>IFERROR(__xludf.DUMMYFUNCTION("""COMPUTED_VALUE"""),0.632596685082872)</f>
        <v>0.6325966851</v>
      </c>
      <c r="I221" s="8">
        <f>IFERROR(__xludf.DUMMYFUNCTION("""COMPUTED_VALUE"""),0.609467455621301)</f>
        <v>0.6094674556</v>
      </c>
      <c r="J221" s="8">
        <f>IFERROR(__xludf.DUMMYFUNCTION("""COMPUTED_VALUE"""),0.612903225806451)</f>
        <v>0.6129032258</v>
      </c>
      <c r="K221" s="8">
        <f>IFERROR(__xludf.DUMMYFUNCTION("""COMPUTED_VALUE"""),0.5)</f>
        <v>0.5</v>
      </c>
      <c r="L221" s="8">
        <f>IFERROR(__xludf.DUMMYFUNCTION("""COMPUTED_VALUE"""),0.6)</f>
        <v>0.6</v>
      </c>
      <c r="M221" s="8">
        <f>IFERROR(__xludf.DUMMYFUNCTION("""COMPUTED_VALUE"""),0.5)</f>
        <v>0.5</v>
      </c>
      <c r="N221" s="8">
        <f>IFERROR(__xludf.DUMMYFUNCTION("""COMPUTED_VALUE"""),0.5)</f>
        <v>0.5</v>
      </c>
      <c r="O221" s="8">
        <f>IFERROR(__xludf.DUMMYFUNCTION("""COMPUTED_VALUE"""),0.625)</f>
        <v>0.625</v>
      </c>
      <c r="P221" s="8">
        <f>IFERROR(__xludf.DUMMYFUNCTION("""COMPUTED_VALUE"""),0.666666666666666)</f>
        <v>0.6666666667</v>
      </c>
      <c r="Q221" s="8">
        <f>IFERROR(__xludf.DUMMYFUNCTION("""COMPUTED_VALUE"""),0.0)</f>
        <v>0</v>
      </c>
      <c r="R221" s="8">
        <f>IFERROR(__xludf.DUMMYFUNCTION("""COMPUTED_VALUE"""),0.0)</f>
        <v>0</v>
      </c>
      <c r="S221" s="8">
        <f>IFERROR(__xludf.DUMMYFUNCTION("""COMPUTED_VALUE"""),0.0)</f>
        <v>0</v>
      </c>
      <c r="T221" s="8">
        <f>IFERROR(__xludf.DUMMYFUNCTION("""COMPUTED_VALUE"""),0.0)</f>
        <v>0</v>
      </c>
      <c r="U221" s="8">
        <f>IFERROR(__xludf.DUMMYFUNCTION("""COMPUTED_VALUE"""),0.0)</f>
        <v>0</v>
      </c>
      <c r="V221" s="8">
        <f>IFERROR(__xludf.DUMMYFUNCTION("""COMPUTED_VALUE"""),0.0)</f>
        <v>0</v>
      </c>
      <c r="W221" s="8">
        <f>IFERROR(__xludf.DUMMYFUNCTION("""COMPUTED_VALUE"""),0.0)</f>
        <v>0</v>
      </c>
      <c r="X221" s="8">
        <f>IFERROR(__xludf.DUMMYFUNCTION("""COMPUTED_VALUE"""),0.0)</f>
        <v>0</v>
      </c>
      <c r="Y221" s="8">
        <f>IFERROR(__xludf.DUMMYFUNCTION("""COMPUTED_VALUE"""),0.0)</f>
        <v>0</v>
      </c>
      <c r="Z221" s="8">
        <f>IFERROR(__xludf.DUMMYFUNCTION("""COMPUTED_VALUE"""),0.0)</f>
        <v>0</v>
      </c>
      <c r="AA221" s="8">
        <f>IFERROR(__xludf.DUMMYFUNCTION("""COMPUTED_VALUE"""),0.0)</f>
        <v>0</v>
      </c>
      <c r="AB221" s="8">
        <f>IFERROR(__xludf.DUMMYFUNCTION("""COMPUTED_VALUE"""),0.0)</f>
        <v>0</v>
      </c>
      <c r="AC221" s="8">
        <f>IFERROR(__xludf.DUMMYFUNCTION("""COMPUTED_VALUE"""),0.0)</f>
        <v>0</v>
      </c>
    </row>
    <row r="222" ht="15.75" customHeight="1">
      <c r="A222" s="6" t="str">
        <f>IFERROR(__xludf.DUMMYFUNCTION("""COMPUTED_VALUE"""),"c66d5521f195754d722c7e3daab2da20a027dd0c")</f>
        <v>c66d5521f195754d722c7e3daab2da20a027dd0c</v>
      </c>
      <c r="B222" s="6" t="str">
        <f>IFERROR(__xludf.DUMMYFUNCTION("""COMPUTED_VALUE"""),"Ceo's Heartbreaker")</f>
        <v>Ceo's Heartbreaker</v>
      </c>
      <c r="C222" s="6" t="str">
        <f>IFERROR(__xludf.DUMMYFUNCTION("""COMPUTED_VALUE"""),"Romance")</f>
        <v>Romance</v>
      </c>
      <c r="D222" s="17">
        <f>IFERROR(__xludf.DUMMYFUNCTION("""COMPUTED_VALUE"""),211.0)</f>
        <v>211</v>
      </c>
      <c r="E222" s="8">
        <f>IFERROR(__xludf.DUMMYFUNCTION("""COMPUTED_VALUE"""),0.952153110047846)</f>
        <v>0.95215311</v>
      </c>
      <c r="F222" s="8">
        <f>IFERROR(__xludf.DUMMYFUNCTION("""COMPUTED_VALUE"""),0.603864734299516)</f>
        <v>0.6038647343</v>
      </c>
      <c r="G222" s="8">
        <f>IFERROR(__xludf.DUMMYFUNCTION("""COMPUTED_VALUE"""),0.492682926829268)</f>
        <v>0.4926829268</v>
      </c>
      <c r="H222" s="8">
        <f>IFERROR(__xludf.DUMMYFUNCTION("""COMPUTED_VALUE"""),0.45)</f>
        <v>0.45</v>
      </c>
      <c r="I222" s="8">
        <f>IFERROR(__xludf.DUMMYFUNCTION("""COMPUTED_VALUE"""),0.353535353535353)</f>
        <v>0.3535353535</v>
      </c>
      <c r="J222" s="8">
        <f>IFERROR(__xludf.DUMMYFUNCTION("""COMPUTED_VALUE"""),0.358974358974359)</f>
        <v>0.358974359</v>
      </c>
      <c r="K222" s="8">
        <f>IFERROR(__xludf.DUMMYFUNCTION("""COMPUTED_VALUE"""),0.319587628865979)</f>
        <v>0.3195876289</v>
      </c>
      <c r="L222" s="8">
        <f>IFERROR(__xludf.DUMMYFUNCTION("""COMPUTED_VALUE"""),0.302702702702702)</f>
        <v>0.3027027027</v>
      </c>
      <c r="M222" s="8">
        <f>IFERROR(__xludf.DUMMYFUNCTION("""COMPUTED_VALUE"""),0.294117647058823)</f>
        <v>0.2941176471</v>
      </c>
      <c r="N222" s="8">
        <f>IFERROR(__xludf.DUMMYFUNCTION("""COMPUTED_VALUE"""),0.3125)</f>
        <v>0.3125</v>
      </c>
      <c r="O222" s="8">
        <f>IFERROR(__xludf.DUMMYFUNCTION("""COMPUTED_VALUE"""),0.340425531914893)</f>
        <v>0.3404255319</v>
      </c>
      <c r="P222" s="8">
        <f>IFERROR(__xludf.DUMMYFUNCTION("""COMPUTED_VALUE"""),0.25)</f>
        <v>0.25</v>
      </c>
      <c r="Q222" s="8">
        <f>IFERROR(__xludf.DUMMYFUNCTION("""COMPUTED_VALUE"""),0.108695652173913)</f>
        <v>0.1086956522</v>
      </c>
      <c r="R222" s="8">
        <f>IFERROR(__xludf.DUMMYFUNCTION("""COMPUTED_VALUE"""),0.0)</f>
        <v>0</v>
      </c>
      <c r="S222" s="8">
        <f>IFERROR(__xludf.DUMMYFUNCTION("""COMPUTED_VALUE"""),0.0)</f>
        <v>0</v>
      </c>
      <c r="T222" s="8">
        <f>IFERROR(__xludf.DUMMYFUNCTION("""COMPUTED_VALUE"""),0.0)</f>
        <v>0</v>
      </c>
      <c r="U222" s="8">
        <f>IFERROR(__xludf.DUMMYFUNCTION("""COMPUTED_VALUE"""),0.0)</f>
        <v>0</v>
      </c>
      <c r="V222" s="8">
        <f>IFERROR(__xludf.DUMMYFUNCTION("""COMPUTED_VALUE"""),0.0)</f>
        <v>0</v>
      </c>
      <c r="W222" s="8">
        <f>IFERROR(__xludf.DUMMYFUNCTION("""COMPUTED_VALUE"""),0.0)</f>
        <v>0</v>
      </c>
      <c r="X222" s="8">
        <f>IFERROR(__xludf.DUMMYFUNCTION("""COMPUTED_VALUE"""),0.0)</f>
        <v>0</v>
      </c>
      <c r="Y222" s="8">
        <f>IFERROR(__xludf.DUMMYFUNCTION("""COMPUTED_VALUE"""),0.0)</f>
        <v>0</v>
      </c>
      <c r="Z222" s="8">
        <f>IFERROR(__xludf.DUMMYFUNCTION("""COMPUTED_VALUE"""),0.0)</f>
        <v>0</v>
      </c>
      <c r="AA222" s="8">
        <f>IFERROR(__xludf.DUMMYFUNCTION("""COMPUTED_VALUE"""),0.0)</f>
        <v>0</v>
      </c>
      <c r="AB222" s="8">
        <f>IFERROR(__xludf.DUMMYFUNCTION("""COMPUTED_VALUE"""),0.0)</f>
        <v>0</v>
      </c>
      <c r="AC222" s="8">
        <f>IFERROR(__xludf.DUMMYFUNCTION("""COMPUTED_VALUE"""),0.0)</f>
        <v>0</v>
      </c>
    </row>
    <row r="223" ht="15.75" customHeight="1">
      <c r="A223" s="6" t="str">
        <f>IFERROR(__xludf.DUMMYFUNCTION("""COMPUTED_VALUE"""),"c6786de3c05a64c2f4c13acbe0e61d8d4e111aad")</f>
        <v>c6786de3c05a64c2f4c13acbe0e61d8d4e111aad</v>
      </c>
      <c r="B223" s="6" t="str">
        <f>IFERROR(__xludf.DUMMYFUNCTION("""COMPUTED_VALUE"""),"Mr. Kane's Reluctant Wife")</f>
        <v>Mr. Kane's Reluctant Wife</v>
      </c>
      <c r="C223" s="6" t="str">
        <f>IFERROR(__xludf.DUMMYFUNCTION("""COMPUTED_VALUE"""),"Romance")</f>
        <v>Romance</v>
      </c>
      <c r="D223" s="17">
        <f>IFERROR(__xludf.DUMMYFUNCTION("""COMPUTED_VALUE"""),641.0)</f>
        <v>641</v>
      </c>
      <c r="E223" s="8">
        <f>IFERROR(__xludf.DUMMYFUNCTION("""COMPUTED_VALUE"""),0.962558502340093)</f>
        <v>0.9625585023</v>
      </c>
      <c r="F223" s="8">
        <f>IFERROR(__xludf.DUMMYFUNCTION("""COMPUTED_VALUE"""),0.5890625)</f>
        <v>0.5890625</v>
      </c>
      <c r="G223" s="8">
        <f>IFERROR(__xludf.DUMMYFUNCTION("""COMPUTED_VALUE"""),0.54375)</f>
        <v>0.54375</v>
      </c>
      <c r="H223" s="8">
        <f>IFERROR(__xludf.DUMMYFUNCTION("""COMPUTED_VALUE"""),0.5125)</f>
        <v>0.5125</v>
      </c>
      <c r="I223" s="8">
        <f>IFERROR(__xludf.DUMMYFUNCTION("""COMPUTED_VALUE"""),0.48125)</f>
        <v>0.48125</v>
      </c>
      <c r="J223" s="8">
        <f>IFERROR(__xludf.DUMMYFUNCTION("""COMPUTED_VALUE"""),0.4703125)</f>
        <v>0.4703125</v>
      </c>
      <c r="K223" s="8">
        <f>IFERROR(__xludf.DUMMYFUNCTION("""COMPUTED_VALUE"""),0.448275862068965)</f>
        <v>0.4482758621</v>
      </c>
      <c r="L223" s="8">
        <f>IFERROR(__xludf.DUMMYFUNCTION("""COMPUTED_VALUE"""),0.452978056426332)</f>
        <v>0.4529780564</v>
      </c>
      <c r="M223" s="8">
        <f>IFERROR(__xludf.DUMMYFUNCTION("""COMPUTED_VALUE"""),0.445141065830721)</f>
        <v>0.4451410658</v>
      </c>
      <c r="N223" s="8">
        <f>IFERROR(__xludf.DUMMYFUNCTION("""COMPUTED_VALUE"""),0.434169278996865)</f>
        <v>0.434169279</v>
      </c>
      <c r="O223" s="8">
        <f>IFERROR(__xludf.DUMMYFUNCTION("""COMPUTED_VALUE"""),0.415094339622641)</f>
        <v>0.4150943396</v>
      </c>
      <c r="P223" s="8">
        <f>IFERROR(__xludf.DUMMYFUNCTION("""COMPUTED_VALUE"""),0.285714285714285)</f>
        <v>0.2857142857</v>
      </c>
      <c r="Q223" s="8">
        <f>IFERROR(__xludf.DUMMYFUNCTION("""COMPUTED_VALUE"""),0.190825688073394)</f>
        <v>0.1908256881</v>
      </c>
      <c r="R223" s="8">
        <f>IFERROR(__xludf.DUMMYFUNCTION("""COMPUTED_VALUE"""),0.0)</f>
        <v>0</v>
      </c>
      <c r="S223" s="8">
        <f>IFERROR(__xludf.DUMMYFUNCTION("""COMPUTED_VALUE"""),0.0)</f>
        <v>0</v>
      </c>
      <c r="T223" s="8">
        <f>IFERROR(__xludf.DUMMYFUNCTION("""COMPUTED_VALUE"""),0.0)</f>
        <v>0</v>
      </c>
      <c r="U223" s="8">
        <f>IFERROR(__xludf.DUMMYFUNCTION("""COMPUTED_VALUE"""),0.0)</f>
        <v>0</v>
      </c>
      <c r="V223" s="8">
        <f>IFERROR(__xludf.DUMMYFUNCTION("""COMPUTED_VALUE"""),0.0)</f>
        <v>0</v>
      </c>
      <c r="W223" s="8">
        <f>IFERROR(__xludf.DUMMYFUNCTION("""COMPUTED_VALUE"""),0.0)</f>
        <v>0</v>
      </c>
      <c r="X223" s="8">
        <f>IFERROR(__xludf.DUMMYFUNCTION("""COMPUTED_VALUE"""),0.0)</f>
        <v>0</v>
      </c>
      <c r="Y223" s="8">
        <f>IFERROR(__xludf.DUMMYFUNCTION("""COMPUTED_VALUE"""),0.0)</f>
        <v>0</v>
      </c>
      <c r="Z223" s="8">
        <f>IFERROR(__xludf.DUMMYFUNCTION("""COMPUTED_VALUE"""),0.0)</f>
        <v>0</v>
      </c>
      <c r="AA223" s="8">
        <f>IFERROR(__xludf.DUMMYFUNCTION("""COMPUTED_VALUE"""),0.0)</f>
        <v>0</v>
      </c>
      <c r="AB223" s="8">
        <f>IFERROR(__xludf.DUMMYFUNCTION("""COMPUTED_VALUE"""),0.0)</f>
        <v>0</v>
      </c>
      <c r="AC223" s="8">
        <f>IFERROR(__xludf.DUMMYFUNCTION("""COMPUTED_VALUE"""),0.0)</f>
        <v>0</v>
      </c>
    </row>
    <row r="224" ht="15.75" customHeight="1">
      <c r="A224" s="6" t="str">
        <f>IFERROR(__xludf.DUMMYFUNCTION("""COMPUTED_VALUE"""),"c8219b2f9d80ce631da27b15849041dbb194dc76")</f>
        <v>c8219b2f9d80ce631da27b15849041dbb194dc76</v>
      </c>
      <c r="B224" s="6" t="str">
        <f>IFERROR(__xludf.DUMMYFUNCTION("""COMPUTED_VALUE"""),"The Fire God's Heir")</f>
        <v>The Fire God's Heir</v>
      </c>
      <c r="C224" s="6" t="str">
        <f>IFERROR(__xludf.DUMMYFUNCTION("""COMPUTED_VALUE"""),"Romantasy")</f>
        <v>Romantasy</v>
      </c>
      <c r="D224" s="17">
        <f>IFERROR(__xludf.DUMMYFUNCTION("""COMPUTED_VALUE"""),590.0)</f>
        <v>590</v>
      </c>
      <c r="E224" s="8">
        <f>IFERROR(__xludf.DUMMYFUNCTION("""COMPUTED_VALUE"""),0.98501872659176)</f>
        <v>0.9850187266</v>
      </c>
      <c r="F224" s="8">
        <f>IFERROR(__xludf.DUMMYFUNCTION("""COMPUTED_VALUE"""),0.638157894736842)</f>
        <v>0.6381578947</v>
      </c>
      <c r="G224" s="8">
        <f>IFERROR(__xludf.DUMMYFUNCTION("""COMPUTED_VALUE"""),0.573809523809523)</f>
        <v>0.5738095238</v>
      </c>
      <c r="H224" s="8">
        <f>IFERROR(__xludf.DUMMYFUNCTION("""COMPUTED_VALUE"""),0.407124681933842)</f>
        <v>0.4071246819</v>
      </c>
      <c r="I224" s="8">
        <f>IFERROR(__xludf.DUMMYFUNCTION("""COMPUTED_VALUE"""),0.335078534031413)</f>
        <v>0.335078534</v>
      </c>
      <c r="J224" s="8">
        <f>IFERROR(__xludf.DUMMYFUNCTION("""COMPUTED_VALUE"""),0.311475409836065)</f>
        <v>0.3114754098</v>
      </c>
      <c r="K224" s="8">
        <f>IFERROR(__xludf.DUMMYFUNCTION("""COMPUTED_VALUE"""),0.315492957746478)</f>
        <v>0.3154929577</v>
      </c>
      <c r="L224" s="8">
        <f>IFERROR(__xludf.DUMMYFUNCTION("""COMPUTED_VALUE"""),0.28735632183908)</f>
        <v>0.2873563218</v>
      </c>
      <c r="M224" s="8">
        <f>IFERROR(__xludf.DUMMYFUNCTION("""COMPUTED_VALUE"""),0.246334310850439)</f>
        <v>0.2463343109</v>
      </c>
      <c r="N224" s="8">
        <f>IFERROR(__xludf.DUMMYFUNCTION("""COMPUTED_VALUE"""),0.227963525835866)</f>
        <v>0.2279635258</v>
      </c>
      <c r="O224" s="8">
        <f>IFERROR(__xludf.DUMMYFUNCTION("""COMPUTED_VALUE"""),0.145833333333333)</f>
        <v>0.1458333333</v>
      </c>
      <c r="P224" s="8">
        <f>IFERROR(__xludf.DUMMYFUNCTION("""COMPUTED_VALUE"""),0.0669014084507042)</f>
        <v>0.06690140845</v>
      </c>
      <c r="Q224" s="8">
        <f>IFERROR(__xludf.DUMMYFUNCTION("""COMPUTED_VALUE"""),0.0365296803652968)</f>
        <v>0.03652968037</v>
      </c>
      <c r="R224" s="8">
        <f>IFERROR(__xludf.DUMMYFUNCTION("""COMPUTED_VALUE"""),0.0)</f>
        <v>0</v>
      </c>
      <c r="S224" s="8">
        <f>IFERROR(__xludf.DUMMYFUNCTION("""COMPUTED_VALUE"""),0.0)</f>
        <v>0</v>
      </c>
      <c r="T224" s="8">
        <f>IFERROR(__xludf.DUMMYFUNCTION("""COMPUTED_VALUE"""),0.0)</f>
        <v>0</v>
      </c>
      <c r="U224" s="8">
        <f>IFERROR(__xludf.DUMMYFUNCTION("""COMPUTED_VALUE"""),0.0)</f>
        <v>0</v>
      </c>
      <c r="V224" s="8">
        <f>IFERROR(__xludf.DUMMYFUNCTION("""COMPUTED_VALUE"""),0.0)</f>
        <v>0</v>
      </c>
      <c r="W224" s="8">
        <f>IFERROR(__xludf.DUMMYFUNCTION("""COMPUTED_VALUE"""),0.0)</f>
        <v>0</v>
      </c>
      <c r="X224" s="8">
        <f>IFERROR(__xludf.DUMMYFUNCTION("""COMPUTED_VALUE"""),0.0)</f>
        <v>0</v>
      </c>
      <c r="Y224" s="8">
        <f>IFERROR(__xludf.DUMMYFUNCTION("""COMPUTED_VALUE"""),0.0)</f>
        <v>0</v>
      </c>
      <c r="Z224" s="8">
        <f>IFERROR(__xludf.DUMMYFUNCTION("""COMPUTED_VALUE"""),0.0)</f>
        <v>0</v>
      </c>
      <c r="AA224" s="8">
        <f>IFERROR(__xludf.DUMMYFUNCTION("""COMPUTED_VALUE"""),0.0)</f>
        <v>0</v>
      </c>
      <c r="AB224" s="8">
        <f>IFERROR(__xludf.DUMMYFUNCTION("""COMPUTED_VALUE"""),0.0)</f>
        <v>0</v>
      </c>
      <c r="AC224" s="8">
        <f>IFERROR(__xludf.DUMMYFUNCTION("""COMPUTED_VALUE"""),0.0)</f>
        <v>0</v>
      </c>
    </row>
    <row r="225" ht="15.75" customHeight="1">
      <c r="A225" s="6" t="str">
        <f>IFERROR(__xludf.DUMMYFUNCTION("""COMPUTED_VALUE"""),"c9fd6d447c06b151ec4563d30a1e1685e71bd29d")</f>
        <v>c9fd6d447c06b151ec4563d30a1e1685e71bd29d</v>
      </c>
      <c r="B225" s="6" t="str">
        <f>IFERROR(__xludf.DUMMYFUNCTION("""COMPUTED_VALUE"""),"Void Evolution System")</f>
        <v>Void Evolution System</v>
      </c>
      <c r="C225" s="6" t="str">
        <f>IFERROR(__xludf.DUMMYFUNCTION("""COMPUTED_VALUE"""),"Fantasy")</f>
        <v>Fantasy</v>
      </c>
      <c r="D225" s="17">
        <f>IFERROR(__xludf.DUMMYFUNCTION("""COMPUTED_VALUE"""),731.0)</f>
        <v>731</v>
      </c>
      <c r="E225" s="8">
        <f>IFERROR(__xludf.DUMMYFUNCTION("""COMPUTED_VALUE"""),0.986263736263736)</f>
        <v>0.9862637363</v>
      </c>
      <c r="F225" s="8">
        <f>IFERROR(__xludf.DUMMYFUNCTION("""COMPUTED_VALUE"""),0.742068965517241)</f>
        <v>0.7420689655</v>
      </c>
      <c r="G225" s="8">
        <f>IFERROR(__xludf.DUMMYFUNCTION("""COMPUTED_VALUE"""),0.697222222222222)</f>
        <v>0.6972222222</v>
      </c>
      <c r="H225" s="8">
        <f>IFERROR(__xludf.DUMMYFUNCTION("""COMPUTED_VALUE"""),0.653685674547983)</f>
        <v>0.6536856745</v>
      </c>
      <c r="I225" s="8">
        <f>IFERROR(__xludf.DUMMYFUNCTION("""COMPUTED_VALUE"""),0.637005649717514)</f>
        <v>0.6370056497</v>
      </c>
      <c r="J225" s="8">
        <f>IFERROR(__xludf.DUMMYFUNCTION("""COMPUTED_VALUE"""),0.613960113960114)</f>
        <v>0.613960114</v>
      </c>
      <c r="K225" s="8">
        <f>IFERROR(__xludf.DUMMYFUNCTION("""COMPUTED_VALUE"""),0.591104734576757)</f>
        <v>0.5911047346</v>
      </c>
      <c r="L225" s="8">
        <f>IFERROR(__xludf.DUMMYFUNCTION("""COMPUTED_VALUE"""),0.561403508771929)</f>
        <v>0.5614035088</v>
      </c>
      <c r="M225" s="8">
        <f>IFERROR(__xludf.DUMMYFUNCTION("""COMPUTED_VALUE"""),0.542473919523099)</f>
        <v>0.5424739195</v>
      </c>
      <c r="N225" s="8">
        <f>IFERROR(__xludf.DUMMYFUNCTION("""COMPUTED_VALUE"""),0.521875)</f>
        <v>0.521875</v>
      </c>
      <c r="O225" s="8">
        <f>IFERROR(__xludf.DUMMYFUNCTION("""COMPUTED_VALUE"""),0.285714285714285)</f>
        <v>0.2857142857</v>
      </c>
      <c r="P225" s="8">
        <f>IFERROR(__xludf.DUMMYFUNCTION("""COMPUTED_VALUE"""),0.5)</f>
        <v>0.5</v>
      </c>
      <c r="Q225" s="8">
        <f>IFERROR(__xludf.DUMMYFUNCTION("""COMPUTED_VALUE"""),0.0)</f>
        <v>0</v>
      </c>
      <c r="R225" s="8">
        <f>IFERROR(__xludf.DUMMYFUNCTION("""COMPUTED_VALUE"""),0.0)</f>
        <v>0</v>
      </c>
      <c r="S225" s="8">
        <f>IFERROR(__xludf.DUMMYFUNCTION("""COMPUTED_VALUE"""),0.0)</f>
        <v>0</v>
      </c>
      <c r="T225" s="8">
        <f>IFERROR(__xludf.DUMMYFUNCTION("""COMPUTED_VALUE"""),0.0)</f>
        <v>0</v>
      </c>
      <c r="U225" s="8">
        <f>IFERROR(__xludf.DUMMYFUNCTION("""COMPUTED_VALUE"""),0.0)</f>
        <v>0</v>
      </c>
      <c r="V225" s="8">
        <f>IFERROR(__xludf.DUMMYFUNCTION("""COMPUTED_VALUE"""),0.0)</f>
        <v>0</v>
      </c>
      <c r="W225" s="8">
        <f>IFERROR(__xludf.DUMMYFUNCTION("""COMPUTED_VALUE"""),0.0)</f>
        <v>0</v>
      </c>
      <c r="X225" s="8">
        <f>IFERROR(__xludf.DUMMYFUNCTION("""COMPUTED_VALUE"""),0.0)</f>
        <v>0</v>
      </c>
      <c r="Y225" s="8">
        <f>IFERROR(__xludf.DUMMYFUNCTION("""COMPUTED_VALUE"""),0.0)</f>
        <v>0</v>
      </c>
      <c r="Z225" s="8">
        <f>IFERROR(__xludf.DUMMYFUNCTION("""COMPUTED_VALUE"""),0.0)</f>
        <v>0</v>
      </c>
      <c r="AA225" s="8">
        <f>IFERROR(__xludf.DUMMYFUNCTION("""COMPUTED_VALUE"""),0.0)</f>
        <v>0</v>
      </c>
      <c r="AB225" s="8">
        <f>IFERROR(__xludf.DUMMYFUNCTION("""COMPUTED_VALUE"""),0.0)</f>
        <v>0</v>
      </c>
      <c r="AC225" s="8">
        <f>IFERROR(__xludf.DUMMYFUNCTION("""COMPUTED_VALUE"""),0.0)</f>
        <v>0</v>
      </c>
    </row>
    <row r="226" ht="15.75" customHeight="1">
      <c r="A226" s="6" t="str">
        <f>IFERROR(__xludf.DUMMYFUNCTION("""COMPUTED_VALUE"""),"cae77d999ed2205a1ab04a54470de972ddd8bc69")</f>
        <v>cae77d999ed2205a1ab04a54470de972ddd8bc69</v>
      </c>
      <c r="B226" s="6" t="str">
        <f>IFERROR(__xludf.DUMMYFUNCTION("""COMPUTED_VALUE"""),"Atlas of My Heart")</f>
        <v>Atlas of My Heart</v>
      </c>
      <c r="C226" s="6" t="str">
        <f>IFERROR(__xludf.DUMMYFUNCTION("""COMPUTED_VALUE"""),"Romance")</f>
        <v>Romance</v>
      </c>
      <c r="D226" s="17">
        <f>IFERROR(__xludf.DUMMYFUNCTION("""COMPUTED_VALUE"""),869.0)</f>
        <v>869</v>
      </c>
      <c r="E226" s="8">
        <f>IFERROR(__xludf.DUMMYFUNCTION("""COMPUTED_VALUE"""),0.970046082949308)</f>
        <v>0.9700460829</v>
      </c>
      <c r="F226" s="8">
        <f>IFERROR(__xludf.DUMMYFUNCTION("""COMPUTED_VALUE"""),0.677083333333333)</f>
        <v>0.6770833333</v>
      </c>
      <c r="G226" s="8">
        <f>IFERROR(__xludf.DUMMYFUNCTION("""COMPUTED_VALUE"""),0.59698025551684)</f>
        <v>0.5969802555</v>
      </c>
      <c r="H226" s="8">
        <f>IFERROR(__xludf.DUMMYFUNCTION("""COMPUTED_VALUE"""),0.533178114086146)</f>
        <v>0.5331781141</v>
      </c>
      <c r="I226" s="8">
        <f>IFERROR(__xludf.DUMMYFUNCTION("""COMPUTED_VALUE"""),0.457309941520467)</f>
        <v>0.4573099415</v>
      </c>
      <c r="J226" s="8">
        <f>IFERROR(__xludf.DUMMYFUNCTION("""COMPUTED_VALUE"""),0.403055229142185)</f>
        <v>0.4030552291</v>
      </c>
      <c r="K226" s="8">
        <f>IFERROR(__xludf.DUMMYFUNCTION("""COMPUTED_VALUE"""),0.387971698113207)</f>
        <v>0.3879716981</v>
      </c>
      <c r="L226" s="8">
        <f>IFERROR(__xludf.DUMMYFUNCTION("""COMPUTED_VALUE"""),0.363420427553444)</f>
        <v>0.3634204276</v>
      </c>
      <c r="M226" s="8">
        <f>IFERROR(__xludf.DUMMYFUNCTION("""COMPUTED_VALUE"""),0.343638525564803)</f>
        <v>0.3436385256</v>
      </c>
      <c r="N226" s="8">
        <f>IFERROR(__xludf.DUMMYFUNCTION("""COMPUTED_VALUE"""),0.327338129496402)</f>
        <v>0.3273381295</v>
      </c>
      <c r="O226" s="8">
        <f>IFERROR(__xludf.DUMMYFUNCTION("""COMPUTED_VALUE"""),0.289245982694684)</f>
        <v>0.2892459827</v>
      </c>
      <c r="P226" s="8">
        <f>IFERROR(__xludf.DUMMYFUNCTION("""COMPUTED_VALUE"""),0.261519302615193)</f>
        <v>0.2615193026</v>
      </c>
      <c r="Q226" s="8">
        <f>IFERROR(__xludf.DUMMYFUNCTION("""COMPUTED_VALUE"""),0.208333333333333)</f>
        <v>0.2083333333</v>
      </c>
      <c r="R226" s="8">
        <f>IFERROR(__xludf.DUMMYFUNCTION("""COMPUTED_VALUE"""),0.0)</f>
        <v>0</v>
      </c>
      <c r="S226" s="8">
        <f>IFERROR(__xludf.DUMMYFUNCTION("""COMPUTED_VALUE"""),0.0)</f>
        <v>0</v>
      </c>
      <c r="T226" s="8">
        <f>IFERROR(__xludf.DUMMYFUNCTION("""COMPUTED_VALUE"""),0.0)</f>
        <v>0</v>
      </c>
      <c r="U226" s="8">
        <f>IFERROR(__xludf.DUMMYFUNCTION("""COMPUTED_VALUE"""),0.0)</f>
        <v>0</v>
      </c>
      <c r="V226" s="8">
        <f>IFERROR(__xludf.DUMMYFUNCTION("""COMPUTED_VALUE"""),0.0)</f>
        <v>0</v>
      </c>
      <c r="W226" s="8">
        <f>IFERROR(__xludf.DUMMYFUNCTION("""COMPUTED_VALUE"""),0.0)</f>
        <v>0</v>
      </c>
      <c r="X226" s="8">
        <f>IFERROR(__xludf.DUMMYFUNCTION("""COMPUTED_VALUE"""),0.0)</f>
        <v>0</v>
      </c>
      <c r="Y226" s="8">
        <f>IFERROR(__xludf.DUMMYFUNCTION("""COMPUTED_VALUE"""),0.0)</f>
        <v>0</v>
      </c>
      <c r="Z226" s="8">
        <f>IFERROR(__xludf.DUMMYFUNCTION("""COMPUTED_VALUE"""),0.0)</f>
        <v>0</v>
      </c>
      <c r="AA226" s="8">
        <f>IFERROR(__xludf.DUMMYFUNCTION("""COMPUTED_VALUE"""),0.0)</f>
        <v>0</v>
      </c>
      <c r="AB226" s="8">
        <f>IFERROR(__xludf.DUMMYFUNCTION("""COMPUTED_VALUE"""),0.0)</f>
        <v>0</v>
      </c>
      <c r="AC226" s="8">
        <f>IFERROR(__xludf.DUMMYFUNCTION("""COMPUTED_VALUE"""),0.0)</f>
        <v>0</v>
      </c>
    </row>
    <row r="227" ht="15.75" customHeight="1">
      <c r="A227" s="6" t="str">
        <f>IFERROR(__xludf.DUMMYFUNCTION("""COMPUTED_VALUE"""),"cc5ecb3fc21c174557bddcfbc36d821c915d89ed")</f>
        <v>cc5ecb3fc21c174557bddcfbc36d821c915d89ed</v>
      </c>
      <c r="B227" s="6" t="str">
        <f>IFERROR(__xludf.DUMMYFUNCTION("""COMPUTED_VALUE"""),"My Lovely Intruder")</f>
        <v>My Lovely Intruder</v>
      </c>
      <c r="C227" s="6" t="str">
        <f>IFERROR(__xludf.DUMMYFUNCTION("""COMPUTED_VALUE"""),"Romantasy")</f>
        <v>Romantasy</v>
      </c>
      <c r="D227" s="17">
        <f>IFERROR(__xludf.DUMMYFUNCTION("""COMPUTED_VALUE"""),120.0)</f>
        <v>120</v>
      </c>
      <c r="E227" s="8">
        <f>IFERROR(__xludf.DUMMYFUNCTION("""COMPUTED_VALUE"""),0.991452991452991)</f>
        <v>0.9914529915</v>
      </c>
      <c r="F227" s="8">
        <f>IFERROR(__xludf.DUMMYFUNCTION("""COMPUTED_VALUE"""),0.518181818181818)</f>
        <v>0.5181818182</v>
      </c>
      <c r="G227" s="8">
        <f>IFERROR(__xludf.DUMMYFUNCTION("""COMPUTED_VALUE"""),0.388888888888888)</f>
        <v>0.3888888889</v>
      </c>
      <c r="H227" s="8">
        <f>IFERROR(__xludf.DUMMYFUNCTION("""COMPUTED_VALUE"""),0.269230769230769)</f>
        <v>0.2692307692</v>
      </c>
      <c r="I227" s="8">
        <f>IFERROR(__xludf.DUMMYFUNCTION("""COMPUTED_VALUE"""),0.252525252525252)</f>
        <v>0.2525252525</v>
      </c>
      <c r="J227" s="8">
        <f>IFERROR(__xludf.DUMMYFUNCTION("""COMPUTED_VALUE"""),0.25)</f>
        <v>0.25</v>
      </c>
      <c r="K227" s="8">
        <f>IFERROR(__xludf.DUMMYFUNCTION("""COMPUTED_VALUE"""),0.25)</f>
        <v>0.25</v>
      </c>
      <c r="L227" s="8">
        <f>IFERROR(__xludf.DUMMYFUNCTION("""COMPUTED_VALUE"""),0.19753086419753)</f>
        <v>0.1975308642</v>
      </c>
      <c r="M227" s="8">
        <f>IFERROR(__xludf.DUMMYFUNCTION("""COMPUTED_VALUE"""),0.184210526315789)</f>
        <v>0.1842105263</v>
      </c>
      <c r="N227" s="8">
        <f>IFERROR(__xludf.DUMMYFUNCTION("""COMPUTED_VALUE"""),0.2)</f>
        <v>0.2</v>
      </c>
      <c r="O227" s="8">
        <f>IFERROR(__xludf.DUMMYFUNCTION("""COMPUTED_VALUE"""),0.15)</f>
        <v>0.15</v>
      </c>
      <c r="P227" s="8">
        <f>IFERROR(__xludf.DUMMYFUNCTION("""COMPUTED_VALUE"""),0.166666666666666)</f>
        <v>0.1666666667</v>
      </c>
      <c r="Q227" s="8">
        <f>IFERROR(__xludf.DUMMYFUNCTION("""COMPUTED_VALUE"""),0.0909090909090909)</f>
        <v>0.09090909091</v>
      </c>
      <c r="R227" s="8">
        <f>IFERROR(__xludf.DUMMYFUNCTION("""COMPUTED_VALUE"""),0.0)</f>
        <v>0</v>
      </c>
      <c r="S227" s="8">
        <f>IFERROR(__xludf.DUMMYFUNCTION("""COMPUTED_VALUE"""),0.0)</f>
        <v>0</v>
      </c>
      <c r="T227" s="8">
        <f>IFERROR(__xludf.DUMMYFUNCTION("""COMPUTED_VALUE"""),0.0)</f>
        <v>0</v>
      </c>
      <c r="U227" s="8">
        <f>IFERROR(__xludf.DUMMYFUNCTION("""COMPUTED_VALUE"""),0.0)</f>
        <v>0</v>
      </c>
      <c r="V227" s="8">
        <f>IFERROR(__xludf.DUMMYFUNCTION("""COMPUTED_VALUE"""),0.0)</f>
        <v>0</v>
      </c>
      <c r="W227" s="8">
        <f>IFERROR(__xludf.DUMMYFUNCTION("""COMPUTED_VALUE"""),0.0)</f>
        <v>0</v>
      </c>
      <c r="X227" s="8">
        <f>IFERROR(__xludf.DUMMYFUNCTION("""COMPUTED_VALUE"""),0.0)</f>
        <v>0</v>
      </c>
      <c r="Y227" s="8">
        <f>IFERROR(__xludf.DUMMYFUNCTION("""COMPUTED_VALUE"""),0.0)</f>
        <v>0</v>
      </c>
      <c r="Z227" s="8">
        <f>IFERROR(__xludf.DUMMYFUNCTION("""COMPUTED_VALUE"""),0.0)</f>
        <v>0</v>
      </c>
      <c r="AA227" s="8">
        <f>IFERROR(__xludf.DUMMYFUNCTION("""COMPUTED_VALUE"""),0.0)</f>
        <v>0</v>
      </c>
      <c r="AB227" s="8">
        <f>IFERROR(__xludf.DUMMYFUNCTION("""COMPUTED_VALUE"""),0.0)</f>
        <v>0</v>
      </c>
      <c r="AC227" s="8">
        <f>IFERROR(__xludf.DUMMYFUNCTION("""COMPUTED_VALUE"""),0.0)</f>
        <v>0</v>
      </c>
    </row>
    <row r="228" ht="15.75" customHeight="1">
      <c r="A228" s="6" t="str">
        <f>IFERROR(__xludf.DUMMYFUNCTION("""COMPUTED_VALUE"""),"cce017649e6098a735e72b5dbfed27f3c95bad78")</f>
        <v>cce017649e6098a735e72b5dbfed27f3c95bad78</v>
      </c>
      <c r="B228" s="6" t="str">
        <f>IFERROR(__xludf.DUMMYFUNCTION("""COMPUTED_VALUE"""),"Between Love and Betrayal")</f>
        <v>Between Love and Betrayal</v>
      </c>
      <c r="C228" s="6" t="str">
        <f>IFERROR(__xludf.DUMMYFUNCTION("""COMPUTED_VALUE"""),"Romance")</f>
        <v>Romance</v>
      </c>
      <c r="D228" s="17">
        <f>IFERROR(__xludf.DUMMYFUNCTION("""COMPUTED_VALUE"""),632.0)</f>
        <v>632</v>
      </c>
      <c r="E228" s="8">
        <f>IFERROR(__xludf.DUMMYFUNCTION("""COMPUTED_VALUE"""),0.981012658227848)</f>
        <v>0.9810126582</v>
      </c>
      <c r="F228" s="8">
        <f>IFERROR(__xludf.DUMMYFUNCTION("""COMPUTED_VALUE"""),0.534072900158478)</f>
        <v>0.5340729002</v>
      </c>
      <c r="G228" s="8">
        <f>IFERROR(__xludf.DUMMYFUNCTION("""COMPUTED_VALUE"""),0.492063492063492)</f>
        <v>0.4920634921</v>
      </c>
      <c r="H228" s="8">
        <f>IFERROR(__xludf.DUMMYFUNCTION("""COMPUTED_VALUE"""),0.444444444444444)</f>
        <v>0.4444444444</v>
      </c>
      <c r="I228" s="8">
        <f>IFERROR(__xludf.DUMMYFUNCTION("""COMPUTED_VALUE"""),0.393312101910828)</f>
        <v>0.3933121019</v>
      </c>
      <c r="J228" s="8">
        <f>IFERROR(__xludf.DUMMYFUNCTION("""COMPUTED_VALUE"""),0.370015948963317)</f>
        <v>0.370015949</v>
      </c>
      <c r="K228" s="8">
        <f>IFERROR(__xludf.DUMMYFUNCTION("""COMPUTED_VALUE"""),0.358851674641148)</f>
        <v>0.3588516746</v>
      </c>
      <c r="L228" s="8">
        <f>IFERROR(__xludf.DUMMYFUNCTION("""COMPUTED_VALUE"""),0.33652312599681)</f>
        <v>0.336523126</v>
      </c>
      <c r="M228" s="8">
        <f>IFERROR(__xludf.DUMMYFUNCTION("""COMPUTED_VALUE"""),0.327476038338658)</f>
        <v>0.3274760383</v>
      </c>
      <c r="N228" s="8">
        <f>IFERROR(__xludf.DUMMYFUNCTION("""COMPUTED_VALUE"""),0.324281150159744)</f>
        <v>0.3242811502</v>
      </c>
      <c r="O228" s="8">
        <f>IFERROR(__xludf.DUMMYFUNCTION("""COMPUTED_VALUE"""),0.294498381877022)</f>
        <v>0.2944983819</v>
      </c>
      <c r="P228" s="8">
        <f>IFERROR(__xludf.DUMMYFUNCTION("""COMPUTED_VALUE"""),0.423076923076923)</f>
        <v>0.4230769231</v>
      </c>
      <c r="Q228" s="8">
        <f>IFERROR(__xludf.DUMMYFUNCTION("""COMPUTED_VALUE"""),0.277777777777777)</f>
        <v>0.2777777778</v>
      </c>
      <c r="R228" s="8">
        <f>IFERROR(__xludf.DUMMYFUNCTION("""COMPUTED_VALUE"""),0.2)</f>
        <v>0.2</v>
      </c>
      <c r="S228" s="8">
        <f>IFERROR(__xludf.DUMMYFUNCTION("""COMPUTED_VALUE"""),0.0)</f>
        <v>0</v>
      </c>
      <c r="T228" s="8">
        <f>IFERROR(__xludf.DUMMYFUNCTION("""COMPUTED_VALUE"""),0.0)</f>
        <v>0</v>
      </c>
      <c r="U228" s="8">
        <f>IFERROR(__xludf.DUMMYFUNCTION("""COMPUTED_VALUE"""),0.0)</f>
        <v>0</v>
      </c>
      <c r="V228" s="8">
        <f>IFERROR(__xludf.DUMMYFUNCTION("""COMPUTED_VALUE"""),0.0)</f>
        <v>0</v>
      </c>
      <c r="W228" s="8">
        <f>IFERROR(__xludf.DUMMYFUNCTION("""COMPUTED_VALUE"""),0.0)</f>
        <v>0</v>
      </c>
      <c r="X228" s="8">
        <f>IFERROR(__xludf.DUMMYFUNCTION("""COMPUTED_VALUE"""),0.0)</f>
        <v>0</v>
      </c>
      <c r="Y228" s="8">
        <f>IFERROR(__xludf.DUMMYFUNCTION("""COMPUTED_VALUE"""),0.0)</f>
        <v>0</v>
      </c>
      <c r="Z228" s="8">
        <f>IFERROR(__xludf.DUMMYFUNCTION("""COMPUTED_VALUE"""),0.0)</f>
        <v>0</v>
      </c>
      <c r="AA228" s="8">
        <f>IFERROR(__xludf.DUMMYFUNCTION("""COMPUTED_VALUE"""),0.0)</f>
        <v>0</v>
      </c>
      <c r="AB228" s="8">
        <f>IFERROR(__xludf.DUMMYFUNCTION("""COMPUTED_VALUE"""),0.0)</f>
        <v>0</v>
      </c>
      <c r="AC228" s="8">
        <f>IFERROR(__xludf.DUMMYFUNCTION("""COMPUTED_VALUE"""),0.0)</f>
        <v>0</v>
      </c>
    </row>
    <row r="229" ht="15.75" customHeight="1">
      <c r="A229" s="6" t="str">
        <f>IFERROR(__xludf.DUMMYFUNCTION("""COMPUTED_VALUE"""),"cdb3a84d505dbefdca86cae60d3db90f949368f1")</f>
        <v>cdb3a84d505dbefdca86cae60d3db90f949368f1</v>
      </c>
      <c r="B229" s="6" t="str">
        <f>IFERROR(__xludf.DUMMYFUNCTION("""COMPUTED_VALUE"""),"Amulet of the Gods")</f>
        <v>Amulet of the Gods</v>
      </c>
      <c r="C229" s="6" t="str">
        <f>IFERROR(__xludf.DUMMYFUNCTION("""COMPUTED_VALUE"""),"System and Superpower")</f>
        <v>System and Superpower</v>
      </c>
      <c r="D229" s="17">
        <f>IFERROR(__xludf.DUMMYFUNCTION("""COMPUTED_VALUE"""),10682.0)</f>
        <v>10682</v>
      </c>
      <c r="E229" s="8">
        <f>IFERROR(__xludf.DUMMYFUNCTION("""COMPUTED_VALUE"""),0.950927139913841)</f>
        <v>0.9509271399</v>
      </c>
      <c r="F229" s="8">
        <f>IFERROR(__xludf.DUMMYFUNCTION("""COMPUTED_VALUE"""),0.636858402927653)</f>
        <v>0.6368584029</v>
      </c>
      <c r="G229" s="8">
        <f>IFERROR(__xludf.DUMMYFUNCTION("""COMPUTED_VALUE"""),0.57932782576042)</f>
        <v>0.5793278258</v>
      </c>
      <c r="H229" s="8">
        <f>IFERROR(__xludf.DUMMYFUNCTION("""COMPUTED_VALUE"""),0.542285284720917)</f>
        <v>0.5422852847</v>
      </c>
      <c r="I229" s="8">
        <f>IFERROR(__xludf.DUMMYFUNCTION("""COMPUTED_VALUE"""),0.518717080511662)</f>
        <v>0.5187170805</v>
      </c>
      <c r="J229" s="8">
        <f>IFERROR(__xludf.DUMMYFUNCTION("""COMPUTED_VALUE"""),0.496512723845428)</f>
        <v>0.4965127238</v>
      </c>
      <c r="K229" s="8">
        <f>IFERROR(__xludf.DUMMYFUNCTION("""COMPUTED_VALUE"""),0.478954322385806)</f>
        <v>0.4789543224</v>
      </c>
      <c r="L229" s="8">
        <f>IFERROR(__xludf.DUMMYFUNCTION("""COMPUTED_VALUE"""),0.46432284283149)</f>
        <v>0.4643228428</v>
      </c>
      <c r="M229" s="8">
        <f>IFERROR(__xludf.DUMMYFUNCTION("""COMPUTED_VALUE"""),0.454253004068502)</f>
        <v>0.4542530041</v>
      </c>
      <c r="N229" s="8">
        <f>IFERROR(__xludf.DUMMYFUNCTION("""COMPUTED_VALUE"""),0.446276293348493)</f>
        <v>0.4462762933</v>
      </c>
      <c r="O229" s="8">
        <f>IFERROR(__xludf.DUMMYFUNCTION("""COMPUTED_VALUE"""),0.42553596950929)</f>
        <v>0.4255359695</v>
      </c>
      <c r="P229" s="8">
        <f>IFERROR(__xludf.DUMMYFUNCTION("""COMPUTED_VALUE"""),0.379204599904168)</f>
        <v>0.3792045999</v>
      </c>
      <c r="Q229" s="8">
        <f>IFERROR(__xludf.DUMMYFUNCTION("""COMPUTED_VALUE"""),0.276583381754793)</f>
        <v>0.2765833818</v>
      </c>
      <c r="R229" s="8">
        <f>IFERROR(__xludf.DUMMYFUNCTION("""COMPUTED_VALUE"""),0.21318729948003)</f>
        <v>0.2131872995</v>
      </c>
      <c r="S229" s="8">
        <f>IFERROR(__xludf.DUMMYFUNCTION("""COMPUTED_VALUE"""),0.15598578605563)</f>
        <v>0.1559857861</v>
      </c>
      <c r="T229" s="8">
        <f>IFERROR(__xludf.DUMMYFUNCTION("""COMPUTED_VALUE"""),0.133385093167701)</f>
        <v>0.1333850932</v>
      </c>
      <c r="U229" s="8">
        <f>IFERROR(__xludf.DUMMYFUNCTION("""COMPUTED_VALUE"""),0.104533709184871)</f>
        <v>0.1045337092</v>
      </c>
      <c r="V229" s="8">
        <f>IFERROR(__xludf.DUMMYFUNCTION("""COMPUTED_VALUE"""),0.0589794565937707)</f>
        <v>0.05897945659</v>
      </c>
      <c r="W229" s="8">
        <f>IFERROR(__xludf.DUMMYFUNCTION("""COMPUTED_VALUE"""),0.055977229601518)</f>
        <v>0.0559772296</v>
      </c>
      <c r="X229" s="8">
        <f>IFERROR(__xludf.DUMMYFUNCTION("""COMPUTED_VALUE"""),0.0366492146596858)</f>
        <v>0.03664921466</v>
      </c>
      <c r="Y229" s="8">
        <f>IFERROR(__xludf.DUMMYFUNCTION("""COMPUTED_VALUE"""),0.0)</f>
        <v>0</v>
      </c>
      <c r="Z229" s="8">
        <f>IFERROR(__xludf.DUMMYFUNCTION("""COMPUTED_VALUE"""),0.0)</f>
        <v>0</v>
      </c>
      <c r="AA229" s="8">
        <f>IFERROR(__xludf.DUMMYFUNCTION("""COMPUTED_VALUE"""),0.0)</f>
        <v>0</v>
      </c>
      <c r="AB229" s="8">
        <f>IFERROR(__xludf.DUMMYFUNCTION("""COMPUTED_VALUE"""),0.0)</f>
        <v>0</v>
      </c>
      <c r="AC229" s="8">
        <f>IFERROR(__xludf.DUMMYFUNCTION("""COMPUTED_VALUE"""),0.0)</f>
        <v>0</v>
      </c>
    </row>
    <row r="230" ht="15.75" customHeight="1">
      <c r="A230" s="6" t="str">
        <f>IFERROR(__xludf.DUMMYFUNCTION("""COMPUTED_VALUE"""),"cec33b3e9f3607e7d8ae32858f0e715a91e937c4")</f>
        <v>cec33b3e9f3607e7d8ae32858f0e715a91e937c4</v>
      </c>
      <c r="B230" s="6" t="str">
        <f>IFERROR(__xludf.DUMMYFUNCTION("""COMPUTED_VALUE"""),"From Squalor to Moneybag")</f>
        <v>From Squalor to Moneybag</v>
      </c>
      <c r="C230" s="6" t="str">
        <f>IFERROR(__xludf.DUMMYFUNCTION("""COMPUTED_VALUE"""),"Drama")</f>
        <v>Drama</v>
      </c>
      <c r="D230" s="17">
        <f>IFERROR(__xludf.DUMMYFUNCTION("""COMPUTED_VALUE"""),707.0)</f>
        <v>707</v>
      </c>
      <c r="E230" s="8">
        <f>IFERROR(__xludf.DUMMYFUNCTION("""COMPUTED_VALUE"""),0.954411764705882)</f>
        <v>0.9544117647</v>
      </c>
      <c r="F230" s="8">
        <f>IFERROR(__xludf.DUMMYFUNCTION("""COMPUTED_VALUE"""),0.67043618739903)</f>
        <v>0.6704361874</v>
      </c>
      <c r="G230" s="8">
        <f>IFERROR(__xludf.DUMMYFUNCTION("""COMPUTED_VALUE"""),0.683937823834196)</f>
        <v>0.6839378238</v>
      </c>
      <c r="H230" s="8">
        <f>IFERROR(__xludf.DUMMYFUNCTION("""COMPUTED_VALUE"""),0.661048689138576)</f>
        <v>0.6610486891</v>
      </c>
      <c r="I230" s="8">
        <f>IFERROR(__xludf.DUMMYFUNCTION("""COMPUTED_VALUE"""),0.58076923076923)</f>
        <v>0.5807692308</v>
      </c>
      <c r="J230" s="8">
        <f>IFERROR(__xludf.DUMMYFUNCTION("""COMPUTED_VALUE"""),0.481781376518218)</f>
        <v>0.4817813765</v>
      </c>
      <c r="K230" s="8">
        <f>IFERROR(__xludf.DUMMYFUNCTION("""COMPUTED_VALUE"""),0.409090909090909)</f>
        <v>0.4090909091</v>
      </c>
      <c r="L230" s="8">
        <f>IFERROR(__xludf.DUMMYFUNCTION("""COMPUTED_VALUE"""),0.364653243847874)</f>
        <v>0.3646532438</v>
      </c>
      <c r="M230" s="8">
        <f>IFERROR(__xludf.DUMMYFUNCTION("""COMPUTED_VALUE"""),0.345864661654135)</f>
        <v>0.3458646617</v>
      </c>
      <c r="N230" s="8">
        <f>IFERROR(__xludf.DUMMYFUNCTION("""COMPUTED_VALUE"""),0.338150289017341)</f>
        <v>0.338150289</v>
      </c>
      <c r="O230" s="8">
        <f>IFERROR(__xludf.DUMMYFUNCTION("""COMPUTED_VALUE"""),0.22257053291536)</f>
        <v>0.2225705329</v>
      </c>
      <c r="P230" s="8">
        <f>IFERROR(__xludf.DUMMYFUNCTION("""COMPUTED_VALUE"""),0.116719242902208)</f>
        <v>0.1167192429</v>
      </c>
      <c r="Q230" s="8">
        <f>IFERROR(__xludf.DUMMYFUNCTION("""COMPUTED_VALUE"""),0.0418006430868167)</f>
        <v>0.04180064309</v>
      </c>
      <c r="R230" s="8">
        <f>IFERROR(__xludf.DUMMYFUNCTION("""COMPUTED_VALUE"""),0.0294117647058823)</f>
        <v>0.02941176471</v>
      </c>
      <c r="S230" s="8">
        <f>IFERROR(__xludf.DUMMYFUNCTION("""COMPUTED_VALUE"""),0.0)</f>
        <v>0</v>
      </c>
      <c r="T230" s="8">
        <f>IFERROR(__xludf.DUMMYFUNCTION("""COMPUTED_VALUE"""),0.0)</f>
        <v>0</v>
      </c>
      <c r="U230" s="8">
        <f>IFERROR(__xludf.DUMMYFUNCTION("""COMPUTED_VALUE"""),0.0)</f>
        <v>0</v>
      </c>
      <c r="V230" s="8">
        <f>IFERROR(__xludf.DUMMYFUNCTION("""COMPUTED_VALUE"""),0.0)</f>
        <v>0</v>
      </c>
      <c r="W230" s="8">
        <f>IFERROR(__xludf.DUMMYFUNCTION("""COMPUTED_VALUE"""),0.0)</f>
        <v>0</v>
      </c>
      <c r="X230" s="8">
        <f>IFERROR(__xludf.DUMMYFUNCTION("""COMPUTED_VALUE"""),0.0)</f>
        <v>0</v>
      </c>
      <c r="Y230" s="8">
        <f>IFERROR(__xludf.DUMMYFUNCTION("""COMPUTED_VALUE"""),0.0)</f>
        <v>0</v>
      </c>
      <c r="Z230" s="8">
        <f>IFERROR(__xludf.DUMMYFUNCTION("""COMPUTED_VALUE"""),0.0)</f>
        <v>0</v>
      </c>
      <c r="AA230" s="8">
        <f>IFERROR(__xludf.DUMMYFUNCTION("""COMPUTED_VALUE"""),0.0)</f>
        <v>0</v>
      </c>
      <c r="AB230" s="8">
        <f>IFERROR(__xludf.DUMMYFUNCTION("""COMPUTED_VALUE"""),0.0)</f>
        <v>0</v>
      </c>
      <c r="AC230" s="8">
        <f>IFERROR(__xludf.DUMMYFUNCTION("""COMPUTED_VALUE"""),0.0)</f>
        <v>0</v>
      </c>
    </row>
    <row r="231" ht="15.75" customHeight="1">
      <c r="A231" s="6" t="str">
        <f>IFERROR(__xludf.DUMMYFUNCTION("""COMPUTED_VALUE"""),"d2aaef61d998c9f90c2df15eafe1acd784549269")</f>
        <v>d2aaef61d998c9f90c2df15eafe1acd784549269</v>
      </c>
      <c r="B231" s="6" t="str">
        <f>IFERROR(__xludf.DUMMYFUNCTION("""COMPUTED_VALUE"""),"Alpha Braxton")</f>
        <v>Alpha Braxton</v>
      </c>
      <c r="C231" s="6" t="str">
        <f>IFERROR(__xludf.DUMMYFUNCTION("""COMPUTED_VALUE"""),"Romantasy")</f>
        <v>Romantasy</v>
      </c>
      <c r="D231" s="17">
        <f>IFERROR(__xludf.DUMMYFUNCTION("""COMPUTED_VALUE"""),3124.0)</f>
        <v>3124</v>
      </c>
      <c r="E231" s="8">
        <f>IFERROR(__xludf.DUMMYFUNCTION("""COMPUTED_VALUE"""),0.968299711815562)</f>
        <v>0.9682997118</v>
      </c>
      <c r="F231" s="8">
        <f>IFERROR(__xludf.DUMMYFUNCTION("""COMPUTED_VALUE"""),0.675104133290612)</f>
        <v>0.6751041333</v>
      </c>
      <c r="G231" s="8">
        <f>IFERROR(__xludf.DUMMYFUNCTION("""COMPUTED_VALUE"""),0.610701698173662)</f>
        <v>0.6107016982</v>
      </c>
      <c r="H231" s="8">
        <f>IFERROR(__xludf.DUMMYFUNCTION("""COMPUTED_VALUE"""),0.571794871794871)</f>
        <v>0.5717948718</v>
      </c>
      <c r="I231" s="8">
        <f>IFERROR(__xludf.DUMMYFUNCTION("""COMPUTED_VALUE"""),0.537992946457197)</f>
        <v>0.5379929465</v>
      </c>
      <c r="J231" s="8">
        <f>IFERROR(__xludf.DUMMYFUNCTION("""COMPUTED_VALUE"""),0.50385109114249)</f>
        <v>0.5038510911</v>
      </c>
      <c r="K231" s="8">
        <f>IFERROR(__xludf.DUMMYFUNCTION("""COMPUTED_VALUE"""),0.486035313001605)</f>
        <v>0.486035313</v>
      </c>
      <c r="L231" s="8">
        <f>IFERROR(__xludf.DUMMYFUNCTION("""COMPUTED_VALUE"""),0.474630700064226)</f>
        <v>0.4746307001</v>
      </c>
      <c r="M231" s="8">
        <f>IFERROR(__xludf.DUMMYFUNCTION("""COMPUTED_VALUE"""),0.457757789913266)</f>
        <v>0.4577577899</v>
      </c>
      <c r="N231" s="8">
        <f>IFERROR(__xludf.DUMMYFUNCTION("""COMPUTED_VALUE"""),0.455334190231362)</f>
        <v>0.4553341902</v>
      </c>
      <c r="O231" s="8">
        <f>IFERROR(__xludf.DUMMYFUNCTION("""COMPUTED_VALUE"""),0.389033095392602)</f>
        <v>0.3890330954</v>
      </c>
      <c r="P231" s="8">
        <f>IFERROR(__xludf.DUMMYFUNCTION("""COMPUTED_VALUE"""),0.38677130044843)</f>
        <v>0.3867713004</v>
      </c>
      <c r="Q231" s="8">
        <f>IFERROR(__xludf.DUMMYFUNCTION("""COMPUTED_VALUE"""),0.245989304812834)</f>
        <v>0.2459893048</v>
      </c>
      <c r="R231" s="8">
        <f>IFERROR(__xludf.DUMMYFUNCTION("""COMPUTED_VALUE"""),0.183098591549295)</f>
        <v>0.1830985915</v>
      </c>
      <c r="S231" s="8">
        <f>IFERROR(__xludf.DUMMYFUNCTION("""COMPUTED_VALUE"""),0.157894736842105)</f>
        <v>0.1578947368</v>
      </c>
      <c r="T231" s="8">
        <f>IFERROR(__xludf.DUMMYFUNCTION("""COMPUTED_VALUE"""),0.0)</f>
        <v>0</v>
      </c>
      <c r="U231" s="8">
        <f>IFERROR(__xludf.DUMMYFUNCTION("""COMPUTED_VALUE"""),0.0)</f>
        <v>0</v>
      </c>
      <c r="V231" s="8">
        <f>IFERROR(__xludf.DUMMYFUNCTION("""COMPUTED_VALUE"""),0.0)</f>
        <v>0</v>
      </c>
      <c r="W231" s="8">
        <f>IFERROR(__xludf.DUMMYFUNCTION("""COMPUTED_VALUE"""),0.0)</f>
        <v>0</v>
      </c>
      <c r="X231" s="8">
        <f>IFERROR(__xludf.DUMMYFUNCTION("""COMPUTED_VALUE"""),0.0)</f>
        <v>0</v>
      </c>
      <c r="Y231" s="8">
        <f>IFERROR(__xludf.DUMMYFUNCTION("""COMPUTED_VALUE"""),0.0)</f>
        <v>0</v>
      </c>
      <c r="Z231" s="8">
        <f>IFERROR(__xludf.DUMMYFUNCTION("""COMPUTED_VALUE"""),0.0)</f>
        <v>0</v>
      </c>
      <c r="AA231" s="8">
        <f>IFERROR(__xludf.DUMMYFUNCTION("""COMPUTED_VALUE"""),0.0)</f>
        <v>0</v>
      </c>
      <c r="AB231" s="8">
        <f>IFERROR(__xludf.DUMMYFUNCTION("""COMPUTED_VALUE"""),0.0)</f>
        <v>0</v>
      </c>
      <c r="AC231" s="8">
        <f>IFERROR(__xludf.DUMMYFUNCTION("""COMPUTED_VALUE"""),0.0)</f>
        <v>0</v>
      </c>
    </row>
    <row r="232" ht="15.75" customHeight="1">
      <c r="A232" s="6" t="str">
        <f>IFERROR(__xludf.DUMMYFUNCTION("""COMPUTED_VALUE"""),"d3866fc3c89b4f6e7425ea92decf796ef97098db")</f>
        <v>d3866fc3c89b4f6e7425ea92decf796ef97098db</v>
      </c>
      <c r="B232" s="6" t="str">
        <f>IFERROR(__xludf.DUMMYFUNCTION("""COMPUTED_VALUE"""),"The Billionaire's Twins")</f>
        <v>The Billionaire's Twins</v>
      </c>
      <c r="C232" s="6" t="str">
        <f>IFERROR(__xludf.DUMMYFUNCTION("""COMPUTED_VALUE"""),"Romance")</f>
        <v>Romance</v>
      </c>
      <c r="D232" s="17">
        <f>IFERROR(__xludf.DUMMYFUNCTION("""COMPUTED_VALUE"""),594.0)</f>
        <v>594</v>
      </c>
      <c r="E232" s="8">
        <f>IFERROR(__xludf.DUMMYFUNCTION("""COMPUTED_VALUE"""),0.960616438356164)</f>
        <v>0.9606164384</v>
      </c>
      <c r="F232" s="8">
        <f>IFERROR(__xludf.DUMMYFUNCTION("""COMPUTED_VALUE"""),0.698961937716263)</f>
        <v>0.6989619377</v>
      </c>
      <c r="G232" s="8">
        <f>IFERROR(__xludf.DUMMYFUNCTION("""COMPUTED_VALUE"""),0.678260869565217)</f>
        <v>0.6782608696</v>
      </c>
      <c r="H232" s="8">
        <f>IFERROR(__xludf.DUMMYFUNCTION("""COMPUTED_VALUE"""),0.618374558303886)</f>
        <v>0.6183745583</v>
      </c>
      <c r="I232" s="8">
        <f>IFERROR(__xludf.DUMMYFUNCTION("""COMPUTED_VALUE"""),0.587813620071684)</f>
        <v>0.5878136201</v>
      </c>
      <c r="J232" s="8">
        <f>IFERROR(__xludf.DUMMYFUNCTION("""COMPUTED_VALUE"""),0.568306010928961)</f>
        <v>0.5683060109</v>
      </c>
      <c r="K232" s="8">
        <f>IFERROR(__xludf.DUMMYFUNCTION("""COMPUTED_VALUE"""),0.523897058823529)</f>
        <v>0.5238970588</v>
      </c>
      <c r="L232" s="8">
        <f>IFERROR(__xludf.DUMMYFUNCTION("""COMPUTED_VALUE"""),0.50943396226415)</f>
        <v>0.5094339623</v>
      </c>
      <c r="M232" s="8">
        <f>IFERROR(__xludf.DUMMYFUNCTION("""COMPUTED_VALUE"""),0.482401656314699)</f>
        <v>0.4824016563</v>
      </c>
      <c r="N232" s="8">
        <f>IFERROR(__xludf.DUMMYFUNCTION("""COMPUTED_VALUE"""),0.419825072886297)</f>
        <v>0.4198250729</v>
      </c>
      <c r="O232" s="8">
        <f>IFERROR(__xludf.DUMMYFUNCTION("""COMPUTED_VALUE"""),0.328358208955223)</f>
        <v>0.328358209</v>
      </c>
      <c r="P232" s="8">
        <f>IFERROR(__xludf.DUMMYFUNCTION("""COMPUTED_VALUE"""),0.188976377952755)</f>
        <v>0.188976378</v>
      </c>
      <c r="Q232" s="8">
        <f>IFERROR(__xludf.DUMMYFUNCTION("""COMPUTED_VALUE"""),0.0632911392405063)</f>
        <v>0.06329113924</v>
      </c>
      <c r="R232" s="8">
        <f>IFERROR(__xludf.DUMMYFUNCTION("""COMPUTED_VALUE"""),0.0625)</f>
        <v>0.0625</v>
      </c>
      <c r="S232" s="8">
        <f>IFERROR(__xludf.DUMMYFUNCTION("""COMPUTED_VALUE"""),0.0357142857142857)</f>
        <v>0.03571428571</v>
      </c>
      <c r="T232" s="8">
        <f>IFERROR(__xludf.DUMMYFUNCTION("""COMPUTED_VALUE"""),0.0)</f>
        <v>0</v>
      </c>
      <c r="U232" s="8">
        <f>IFERROR(__xludf.DUMMYFUNCTION("""COMPUTED_VALUE"""),0.0)</f>
        <v>0</v>
      </c>
      <c r="V232" s="8">
        <f>IFERROR(__xludf.DUMMYFUNCTION("""COMPUTED_VALUE"""),0.0)</f>
        <v>0</v>
      </c>
      <c r="W232" s="8">
        <f>IFERROR(__xludf.DUMMYFUNCTION("""COMPUTED_VALUE"""),0.0)</f>
        <v>0</v>
      </c>
      <c r="X232" s="8">
        <f>IFERROR(__xludf.DUMMYFUNCTION("""COMPUTED_VALUE"""),0.0)</f>
        <v>0</v>
      </c>
      <c r="Y232" s="8">
        <f>IFERROR(__xludf.DUMMYFUNCTION("""COMPUTED_VALUE"""),0.0)</f>
        <v>0</v>
      </c>
      <c r="Z232" s="8">
        <f>IFERROR(__xludf.DUMMYFUNCTION("""COMPUTED_VALUE"""),0.0)</f>
        <v>0</v>
      </c>
      <c r="AA232" s="8">
        <f>IFERROR(__xludf.DUMMYFUNCTION("""COMPUTED_VALUE"""),0.0)</f>
        <v>0</v>
      </c>
      <c r="AB232" s="8">
        <f>IFERROR(__xludf.DUMMYFUNCTION("""COMPUTED_VALUE"""),0.0)</f>
        <v>0</v>
      </c>
      <c r="AC232" s="8">
        <f>IFERROR(__xludf.DUMMYFUNCTION("""COMPUTED_VALUE"""),0.0)</f>
        <v>0</v>
      </c>
    </row>
    <row r="233" ht="15.75" customHeight="1">
      <c r="A233" s="6" t="str">
        <f>IFERROR(__xludf.DUMMYFUNCTION("""COMPUTED_VALUE"""),"d419897471d8bc8312abf495d27412e669ccf6d0")</f>
        <v>d419897471d8bc8312abf495d27412e669ccf6d0</v>
      </c>
      <c r="B233" s="6" t="str">
        <f>IFERROR(__xludf.DUMMYFUNCTION("""COMPUTED_VALUE"""),"His Borrowed Wife")</f>
        <v>His Borrowed Wife</v>
      </c>
      <c r="C233" s="6" t="str">
        <f>IFERROR(__xludf.DUMMYFUNCTION("""COMPUTED_VALUE"""),"Romance")</f>
        <v>Romance</v>
      </c>
      <c r="D233" s="17">
        <f>IFERROR(__xludf.DUMMYFUNCTION("""COMPUTED_VALUE"""),2748.0)</f>
        <v>2748</v>
      </c>
      <c r="E233" s="8">
        <f>IFERROR(__xludf.DUMMYFUNCTION("""COMPUTED_VALUE"""),0.967085798816568)</f>
        <v>0.9670857988</v>
      </c>
      <c r="F233" s="8">
        <f>IFERROR(__xludf.DUMMYFUNCTION("""COMPUTED_VALUE"""),0.550531914893617)</f>
        <v>0.5505319149</v>
      </c>
      <c r="G233" s="8">
        <f>IFERROR(__xludf.DUMMYFUNCTION("""COMPUTED_VALUE"""),0.497508623993867)</f>
        <v>0.497508624</v>
      </c>
      <c r="H233" s="8">
        <f>IFERROR(__xludf.DUMMYFUNCTION("""COMPUTED_VALUE"""),0.460526315789473)</f>
        <v>0.4605263158</v>
      </c>
      <c r="I233" s="8">
        <f>IFERROR(__xludf.DUMMYFUNCTION("""COMPUTED_VALUE"""),0.435578045932269)</f>
        <v>0.4355780459</v>
      </c>
      <c r="J233" s="8">
        <f>IFERROR(__xludf.DUMMYFUNCTION("""COMPUTED_VALUE"""),0.419569471624266)</f>
        <v>0.4195694716</v>
      </c>
      <c r="K233" s="8">
        <f>IFERROR(__xludf.DUMMYFUNCTION("""COMPUTED_VALUE"""),0.405416012558869)</f>
        <v>0.4054160126</v>
      </c>
      <c r="L233" s="8">
        <f>IFERROR(__xludf.DUMMYFUNCTION("""COMPUTED_VALUE"""),0.399117529081428)</f>
        <v>0.3991175291</v>
      </c>
      <c r="M233" s="8">
        <f>IFERROR(__xludf.DUMMYFUNCTION("""COMPUTED_VALUE"""),0.389322381930184)</f>
        <v>0.3893223819</v>
      </c>
      <c r="N233" s="8">
        <f>IFERROR(__xludf.DUMMYFUNCTION("""COMPUTED_VALUE"""),0.381255301102629)</f>
        <v>0.3812553011</v>
      </c>
      <c r="O233" s="8">
        <f>IFERROR(__xludf.DUMMYFUNCTION("""COMPUTED_VALUE"""),0.368712505768343)</f>
        <v>0.3687125058</v>
      </c>
      <c r="P233" s="8">
        <f>IFERROR(__xludf.DUMMYFUNCTION("""COMPUTED_VALUE"""),0.348055372445616)</f>
        <v>0.3480553724</v>
      </c>
      <c r="Q233" s="8">
        <f>IFERROR(__xludf.DUMMYFUNCTION("""COMPUTED_VALUE"""),0.32)</f>
        <v>0.32</v>
      </c>
      <c r="R233" s="8">
        <f>IFERROR(__xludf.DUMMYFUNCTION("""COMPUTED_VALUE"""),0.0)</f>
        <v>0</v>
      </c>
      <c r="S233" s="8">
        <f>IFERROR(__xludf.DUMMYFUNCTION("""COMPUTED_VALUE"""),0.0)</f>
        <v>0</v>
      </c>
      <c r="T233" s="8">
        <f>IFERROR(__xludf.DUMMYFUNCTION("""COMPUTED_VALUE"""),0.0)</f>
        <v>0</v>
      </c>
      <c r="U233" s="8">
        <f>IFERROR(__xludf.DUMMYFUNCTION("""COMPUTED_VALUE"""),0.0)</f>
        <v>0</v>
      </c>
      <c r="V233" s="8">
        <f>IFERROR(__xludf.DUMMYFUNCTION("""COMPUTED_VALUE"""),0.0)</f>
        <v>0</v>
      </c>
      <c r="W233" s="8">
        <f>IFERROR(__xludf.DUMMYFUNCTION("""COMPUTED_VALUE"""),0.0)</f>
        <v>0</v>
      </c>
      <c r="X233" s="8">
        <f>IFERROR(__xludf.DUMMYFUNCTION("""COMPUTED_VALUE"""),0.0)</f>
        <v>0</v>
      </c>
      <c r="Y233" s="8">
        <f>IFERROR(__xludf.DUMMYFUNCTION("""COMPUTED_VALUE"""),0.0)</f>
        <v>0</v>
      </c>
      <c r="Z233" s="8">
        <f>IFERROR(__xludf.DUMMYFUNCTION("""COMPUTED_VALUE"""),0.0)</f>
        <v>0</v>
      </c>
      <c r="AA233" s="8">
        <f>IFERROR(__xludf.DUMMYFUNCTION("""COMPUTED_VALUE"""),0.0)</f>
        <v>0</v>
      </c>
      <c r="AB233" s="8">
        <f>IFERROR(__xludf.DUMMYFUNCTION("""COMPUTED_VALUE"""),0.0)</f>
        <v>0</v>
      </c>
      <c r="AC233" s="8">
        <f>IFERROR(__xludf.DUMMYFUNCTION("""COMPUTED_VALUE"""),0.0)</f>
        <v>0</v>
      </c>
    </row>
    <row r="234" ht="15.75" customHeight="1">
      <c r="A234" s="6" t="str">
        <f>IFERROR(__xludf.DUMMYFUNCTION("""COMPUTED_VALUE"""),"d4bf13e8bbfcd2fa5b75aa042e47479d3a06188b")</f>
        <v>d4bf13e8bbfcd2fa5b75aa042e47479d3a06188b</v>
      </c>
      <c r="B234" s="6" t="str">
        <f>IFERROR(__xludf.DUMMYFUNCTION("""COMPUTED_VALUE"""),"Undead Tamer's Necro Pets")</f>
        <v>Undead Tamer's Necro Pets</v>
      </c>
      <c r="C234" s="6" t="str">
        <f>IFERROR(__xludf.DUMMYFUNCTION("""COMPUTED_VALUE"""),"Fantasy")</f>
        <v>Fantasy</v>
      </c>
      <c r="D234" s="17">
        <f>IFERROR(__xludf.DUMMYFUNCTION("""COMPUTED_VALUE"""),1133.0)</f>
        <v>1133</v>
      </c>
      <c r="E234" s="8">
        <f>IFERROR(__xludf.DUMMYFUNCTION("""COMPUTED_VALUE"""),0.987643424536628)</f>
        <v>0.9876434245</v>
      </c>
      <c r="F234" s="8">
        <f>IFERROR(__xludf.DUMMYFUNCTION("""COMPUTED_VALUE"""),0.536219081272084)</f>
        <v>0.5362190813</v>
      </c>
      <c r="G234" s="8">
        <f>IFERROR(__xludf.DUMMYFUNCTION("""COMPUTED_VALUE"""),0.443462897526501)</f>
        <v>0.4434628975</v>
      </c>
      <c r="H234" s="8">
        <f>IFERROR(__xludf.DUMMYFUNCTION("""COMPUTED_VALUE"""),0.390459363957597)</f>
        <v>0.390459364</v>
      </c>
      <c r="I234" s="8">
        <f>IFERROR(__xludf.DUMMYFUNCTION("""COMPUTED_VALUE"""),0.377541998231653)</f>
        <v>0.3775419982</v>
      </c>
      <c r="J234" s="8">
        <f>IFERROR(__xludf.DUMMYFUNCTION("""COMPUTED_VALUE"""),0.35575221238938)</f>
        <v>0.3557522124</v>
      </c>
      <c r="K234" s="8">
        <f>IFERROR(__xludf.DUMMYFUNCTION("""COMPUTED_VALUE"""),0.336581045172719)</f>
        <v>0.3365810452</v>
      </c>
      <c r="L234" s="8">
        <f>IFERROR(__xludf.DUMMYFUNCTION("""COMPUTED_VALUE"""),0.321653189577717)</f>
        <v>0.3216531896</v>
      </c>
      <c r="M234" s="8">
        <f>IFERROR(__xludf.DUMMYFUNCTION("""COMPUTED_VALUE"""),0.307692307692307)</f>
        <v>0.3076923077</v>
      </c>
      <c r="N234" s="8">
        <f>IFERROR(__xludf.DUMMYFUNCTION("""COMPUTED_VALUE"""),0.297148114075437)</f>
        <v>0.2971481141</v>
      </c>
      <c r="O234" s="8">
        <f>IFERROR(__xludf.DUMMYFUNCTION("""COMPUTED_VALUE"""),0.275286757038581)</f>
        <v>0.275286757</v>
      </c>
      <c r="P234" s="8">
        <f>IFERROR(__xludf.DUMMYFUNCTION("""COMPUTED_VALUE"""),0.239130434782608)</f>
        <v>0.2391304348</v>
      </c>
      <c r="Q234" s="8">
        <f>IFERROR(__xludf.DUMMYFUNCTION("""COMPUTED_VALUE"""),0.0)</f>
        <v>0</v>
      </c>
      <c r="R234" s="8">
        <f>IFERROR(__xludf.DUMMYFUNCTION("""COMPUTED_VALUE"""),0.0)</f>
        <v>0</v>
      </c>
      <c r="S234" s="8">
        <f>IFERROR(__xludf.DUMMYFUNCTION("""COMPUTED_VALUE"""),0.0)</f>
        <v>0</v>
      </c>
      <c r="T234" s="8">
        <f>IFERROR(__xludf.DUMMYFUNCTION("""COMPUTED_VALUE"""),0.0)</f>
        <v>0</v>
      </c>
      <c r="U234" s="8">
        <f>IFERROR(__xludf.DUMMYFUNCTION("""COMPUTED_VALUE"""),0.0)</f>
        <v>0</v>
      </c>
      <c r="V234" s="8">
        <f>IFERROR(__xludf.DUMMYFUNCTION("""COMPUTED_VALUE"""),0.0)</f>
        <v>0</v>
      </c>
      <c r="W234" s="8">
        <f>IFERROR(__xludf.DUMMYFUNCTION("""COMPUTED_VALUE"""),0.0)</f>
        <v>0</v>
      </c>
      <c r="X234" s="8">
        <f>IFERROR(__xludf.DUMMYFUNCTION("""COMPUTED_VALUE"""),0.0)</f>
        <v>0</v>
      </c>
      <c r="Y234" s="8">
        <f>IFERROR(__xludf.DUMMYFUNCTION("""COMPUTED_VALUE"""),0.0)</f>
        <v>0</v>
      </c>
      <c r="Z234" s="8">
        <f>IFERROR(__xludf.DUMMYFUNCTION("""COMPUTED_VALUE"""),0.0)</f>
        <v>0</v>
      </c>
      <c r="AA234" s="8">
        <f>IFERROR(__xludf.DUMMYFUNCTION("""COMPUTED_VALUE"""),0.0)</f>
        <v>0</v>
      </c>
      <c r="AB234" s="8">
        <f>IFERROR(__xludf.DUMMYFUNCTION("""COMPUTED_VALUE"""),0.0)</f>
        <v>0</v>
      </c>
      <c r="AC234" s="8">
        <f>IFERROR(__xludf.DUMMYFUNCTION("""COMPUTED_VALUE"""),0.0)</f>
        <v>0</v>
      </c>
    </row>
    <row r="235" ht="15.75" customHeight="1">
      <c r="A235" s="6" t="str">
        <f>IFERROR(__xludf.DUMMYFUNCTION("""COMPUTED_VALUE"""),"d687598bacfd959af85400d722a39d5e62aad513")</f>
        <v>d687598bacfd959af85400d722a39d5e62aad513</v>
      </c>
      <c r="B235" s="6" t="str">
        <f>IFERROR(__xludf.DUMMYFUNCTION("""COMPUTED_VALUE"""),"Unexpectedly Mine")</f>
        <v>Unexpectedly Mine</v>
      </c>
      <c r="C235" s="6" t="str">
        <f>IFERROR(__xludf.DUMMYFUNCTION("""COMPUTED_VALUE"""),"Romance")</f>
        <v>Romance</v>
      </c>
      <c r="D235" s="17">
        <f>IFERROR(__xludf.DUMMYFUNCTION("""COMPUTED_VALUE"""),9814.0)</f>
        <v>9814</v>
      </c>
      <c r="E235" s="8">
        <f>IFERROR(__xludf.DUMMYFUNCTION("""COMPUTED_VALUE"""),0.950061149612719)</f>
        <v>0.9500611496</v>
      </c>
      <c r="F235" s="8">
        <f>IFERROR(__xludf.DUMMYFUNCTION("""COMPUTED_VALUE"""),0.620844380991229)</f>
        <v>0.620844381</v>
      </c>
      <c r="G235" s="8">
        <f>IFERROR(__xludf.DUMMYFUNCTION("""COMPUTED_VALUE"""),0.570365082602488)</f>
        <v>0.5703650826</v>
      </c>
      <c r="H235" s="8">
        <f>IFERROR(__xludf.DUMMYFUNCTION("""COMPUTED_VALUE"""),0.543507089666428)</f>
        <v>0.5435070897</v>
      </c>
      <c r="I235" s="8">
        <f>IFERROR(__xludf.DUMMYFUNCTION("""COMPUTED_VALUE"""),0.5245383124171)</f>
        <v>0.5245383124</v>
      </c>
      <c r="J235" s="8">
        <f>IFERROR(__xludf.DUMMYFUNCTION("""COMPUTED_VALUE"""),0.504082465809348)</f>
        <v>0.5040824658</v>
      </c>
      <c r="K235" s="8">
        <f>IFERROR(__xludf.DUMMYFUNCTION("""COMPUTED_VALUE"""),0.485810534912209)</f>
        <v>0.4858105349</v>
      </c>
      <c r="L235" s="8">
        <f>IFERROR(__xludf.DUMMYFUNCTION("""COMPUTED_VALUE"""),0.460988562091503)</f>
        <v>0.4609885621</v>
      </c>
      <c r="M235" s="8">
        <f>IFERROR(__xludf.DUMMYFUNCTION("""COMPUTED_VALUE"""),0.453728294177732)</f>
        <v>0.4537282942</v>
      </c>
      <c r="N235" s="8">
        <f>IFERROR(__xludf.DUMMYFUNCTION("""COMPUTED_VALUE"""),0.444262797588638)</f>
        <v>0.4442627976</v>
      </c>
      <c r="O235" s="8">
        <f>IFERROR(__xludf.DUMMYFUNCTION("""COMPUTED_VALUE"""),0.389650235221926)</f>
        <v>0.3896502352</v>
      </c>
      <c r="P235" s="8">
        <f>IFERROR(__xludf.DUMMYFUNCTION("""COMPUTED_VALUE"""),0.349196602190154)</f>
        <v>0.3491966022</v>
      </c>
      <c r="Q235" s="8">
        <f>IFERROR(__xludf.DUMMYFUNCTION("""COMPUTED_VALUE"""),0.281522519749666)</f>
        <v>0.2815225197</v>
      </c>
      <c r="R235" s="8">
        <f>IFERROR(__xludf.DUMMYFUNCTION("""COMPUTED_VALUE"""),0.245581586518701)</f>
        <v>0.2455815865</v>
      </c>
      <c r="S235" s="8">
        <f>IFERROR(__xludf.DUMMYFUNCTION("""COMPUTED_VALUE"""),0.19234592445328)</f>
        <v>0.1923459245</v>
      </c>
      <c r="T235" s="8">
        <f>IFERROR(__xludf.DUMMYFUNCTION("""COMPUTED_VALUE"""),0.165727170236753)</f>
        <v>0.1657271702</v>
      </c>
      <c r="U235" s="8">
        <f>IFERROR(__xludf.DUMMYFUNCTION("""COMPUTED_VALUE"""),0.151245283018867)</f>
        <v>0.151245283</v>
      </c>
      <c r="V235" s="8">
        <f>IFERROR(__xludf.DUMMYFUNCTION("""COMPUTED_VALUE"""),0.128995802389409)</f>
        <v>0.1289958024</v>
      </c>
      <c r="W235" s="8">
        <f>IFERROR(__xludf.DUMMYFUNCTION("""COMPUTED_VALUE"""),0.0943195894531941)</f>
        <v>0.09431958945</v>
      </c>
      <c r="X235" s="8">
        <f>IFERROR(__xludf.DUMMYFUNCTION("""COMPUTED_VALUE"""),0.0731114435302917)</f>
        <v>0.07311144353</v>
      </c>
      <c r="Y235" s="8">
        <f>IFERROR(__xludf.DUMMYFUNCTION("""COMPUTED_VALUE"""),0.0475638051044083)</f>
        <v>0.0475638051</v>
      </c>
      <c r="Z235" s="8">
        <f>IFERROR(__xludf.DUMMYFUNCTION("""COMPUTED_VALUE"""),0.0318725099601593)</f>
        <v>0.03187250996</v>
      </c>
      <c r="AA235" s="8">
        <f>IFERROR(__xludf.DUMMYFUNCTION("""COMPUTED_VALUE"""),0.0)</f>
        <v>0</v>
      </c>
      <c r="AB235" s="8">
        <f>IFERROR(__xludf.DUMMYFUNCTION("""COMPUTED_VALUE"""),0.0)</f>
        <v>0</v>
      </c>
      <c r="AC235" s="8">
        <f>IFERROR(__xludf.DUMMYFUNCTION("""COMPUTED_VALUE"""),0.0)</f>
        <v>0</v>
      </c>
    </row>
    <row r="236" ht="15.75" customHeight="1">
      <c r="A236" s="6" t="str">
        <f>IFERROR(__xludf.DUMMYFUNCTION("""COMPUTED_VALUE"""),"d6ecb3540b1fdba82ccfa1fa9d0dbaa8fe59424c")</f>
        <v>d6ecb3540b1fdba82ccfa1fa9d0dbaa8fe59424c</v>
      </c>
      <c r="B236" s="6" t="str">
        <f>IFERROR(__xludf.DUMMYFUNCTION("""COMPUTED_VALUE"""),"Among the Undead")</f>
        <v>Among the Undead</v>
      </c>
      <c r="C236" s="6" t="str">
        <f>IFERROR(__xludf.DUMMYFUNCTION("""COMPUTED_VALUE"""),"Suspense or Thriller")</f>
        <v>Suspense or Thriller</v>
      </c>
      <c r="D236" s="17">
        <f>IFERROR(__xludf.DUMMYFUNCTION("""COMPUTED_VALUE"""),310.0)</f>
        <v>310</v>
      </c>
      <c r="E236" s="8">
        <f>IFERROR(__xludf.DUMMYFUNCTION("""COMPUTED_VALUE"""),0.980132450331125)</f>
        <v>0.9801324503</v>
      </c>
      <c r="F236" s="8">
        <f>IFERROR(__xludf.DUMMYFUNCTION("""COMPUTED_VALUE"""),0.464646464646464)</f>
        <v>0.4646464646</v>
      </c>
      <c r="G236" s="8">
        <f>IFERROR(__xludf.DUMMYFUNCTION("""COMPUTED_VALUE"""),0.348275862068965)</f>
        <v>0.3482758621</v>
      </c>
      <c r="H236" s="8">
        <f>IFERROR(__xludf.DUMMYFUNCTION("""COMPUTED_VALUE"""),0.257950530035335)</f>
        <v>0.25795053</v>
      </c>
      <c r="I236" s="8">
        <f>IFERROR(__xludf.DUMMYFUNCTION("""COMPUTED_VALUE"""),0.203571428571428)</f>
        <v>0.2035714286</v>
      </c>
      <c r="J236" s="8">
        <f>IFERROR(__xludf.DUMMYFUNCTION("""COMPUTED_VALUE"""),0.192857142857142)</f>
        <v>0.1928571429</v>
      </c>
      <c r="K236" s="8">
        <f>IFERROR(__xludf.DUMMYFUNCTION("""COMPUTED_VALUE"""),0.16)</f>
        <v>0.16</v>
      </c>
      <c r="L236" s="8">
        <f>IFERROR(__xludf.DUMMYFUNCTION("""COMPUTED_VALUE"""),0.134328358208955)</f>
        <v>0.1343283582</v>
      </c>
      <c r="M236" s="8">
        <f>IFERROR(__xludf.DUMMYFUNCTION("""COMPUTED_VALUE"""),0.120300751879699)</f>
        <v>0.1203007519</v>
      </c>
      <c r="N236" s="8">
        <f>IFERROR(__xludf.DUMMYFUNCTION("""COMPUTED_VALUE"""),0.119230769230769)</f>
        <v>0.1192307692</v>
      </c>
      <c r="O236" s="8">
        <f>IFERROR(__xludf.DUMMYFUNCTION("""COMPUTED_VALUE"""),0.0903225806451612)</f>
        <v>0.09032258065</v>
      </c>
      <c r="P236" s="8">
        <f>IFERROR(__xludf.DUMMYFUNCTION("""COMPUTED_VALUE"""),0.0921052631578947)</f>
        <v>0.09210526316</v>
      </c>
      <c r="Q236" s="8">
        <f>IFERROR(__xludf.DUMMYFUNCTION("""COMPUTED_VALUE"""),0.087719298245614)</f>
        <v>0.08771929825</v>
      </c>
      <c r="R236" s="8">
        <f>IFERROR(__xludf.DUMMYFUNCTION("""COMPUTED_VALUE"""),0.0363636363636363)</f>
        <v>0.03636363636</v>
      </c>
      <c r="S236" s="8">
        <f>IFERROR(__xludf.DUMMYFUNCTION("""COMPUTED_VALUE"""),0.0196078431372549)</f>
        <v>0.01960784314</v>
      </c>
      <c r="T236" s="8">
        <f>IFERROR(__xludf.DUMMYFUNCTION("""COMPUTED_VALUE"""),0.0434782608695652)</f>
        <v>0.04347826087</v>
      </c>
      <c r="U236" s="8">
        <f>IFERROR(__xludf.DUMMYFUNCTION("""COMPUTED_VALUE"""),0.0)</f>
        <v>0</v>
      </c>
      <c r="V236" s="8">
        <f>IFERROR(__xludf.DUMMYFUNCTION("""COMPUTED_VALUE"""),0.0)</f>
        <v>0</v>
      </c>
      <c r="W236" s="8">
        <f>IFERROR(__xludf.DUMMYFUNCTION("""COMPUTED_VALUE"""),0.0)</f>
        <v>0</v>
      </c>
      <c r="X236" s="8">
        <f>IFERROR(__xludf.DUMMYFUNCTION("""COMPUTED_VALUE"""),0.0)</f>
        <v>0</v>
      </c>
      <c r="Y236" s="8">
        <f>IFERROR(__xludf.DUMMYFUNCTION("""COMPUTED_VALUE"""),0.0)</f>
        <v>0</v>
      </c>
      <c r="Z236" s="8">
        <f>IFERROR(__xludf.DUMMYFUNCTION("""COMPUTED_VALUE"""),0.0)</f>
        <v>0</v>
      </c>
      <c r="AA236" s="8">
        <f>IFERROR(__xludf.DUMMYFUNCTION("""COMPUTED_VALUE"""),0.0)</f>
        <v>0</v>
      </c>
      <c r="AB236" s="8">
        <f>IFERROR(__xludf.DUMMYFUNCTION("""COMPUTED_VALUE"""),0.0)</f>
        <v>0</v>
      </c>
      <c r="AC236" s="8">
        <f>IFERROR(__xludf.DUMMYFUNCTION("""COMPUTED_VALUE"""),0.0)</f>
        <v>0</v>
      </c>
    </row>
    <row r="237" ht="15.75" customHeight="1">
      <c r="A237" s="6" t="str">
        <f>IFERROR(__xludf.DUMMYFUNCTION("""COMPUTED_VALUE"""),"d71fc923d0820825aefcf4bf75b7743891f7feac")</f>
        <v>d71fc923d0820825aefcf4bf75b7743891f7feac</v>
      </c>
      <c r="B237" s="6" t="str">
        <f>IFERROR(__xludf.DUMMYFUNCTION("""COMPUTED_VALUE"""),"Only One Race")</f>
        <v>Only One Race</v>
      </c>
      <c r="C237" s="6" t="str">
        <f>IFERROR(__xludf.DUMMYFUNCTION("""COMPUTED_VALUE"""),"Fantasy")</f>
        <v>Fantasy</v>
      </c>
      <c r="D237" s="17">
        <f>IFERROR(__xludf.DUMMYFUNCTION("""COMPUTED_VALUE"""),649.0)</f>
        <v>649</v>
      </c>
      <c r="E237" s="8">
        <f>IFERROR(__xludf.DUMMYFUNCTION("""COMPUTED_VALUE"""),0.970358814352574)</f>
        <v>0.9703588144</v>
      </c>
      <c r="F237" s="8">
        <f>IFERROR(__xludf.DUMMYFUNCTION("""COMPUTED_VALUE"""),0.519047619047619)</f>
        <v>0.519047619</v>
      </c>
      <c r="G237" s="8">
        <f>IFERROR(__xludf.DUMMYFUNCTION("""COMPUTED_VALUE"""),0.477346278317152)</f>
        <v>0.4773462783</v>
      </c>
      <c r="H237" s="8">
        <f>IFERROR(__xludf.DUMMYFUNCTION("""COMPUTED_VALUE"""),0.448333333333333)</f>
        <v>0.4483333333</v>
      </c>
      <c r="I237" s="8">
        <f>IFERROR(__xludf.DUMMYFUNCTION("""COMPUTED_VALUE"""),0.423931623931623)</f>
        <v>0.4239316239</v>
      </c>
      <c r="J237" s="8">
        <f>IFERROR(__xludf.DUMMYFUNCTION("""COMPUTED_VALUE"""),0.385171790235081)</f>
        <v>0.3851717902</v>
      </c>
      <c r="K237" s="8">
        <f>IFERROR(__xludf.DUMMYFUNCTION("""COMPUTED_VALUE"""),0.378478664192949)</f>
        <v>0.3784786642</v>
      </c>
      <c r="L237" s="8">
        <f>IFERROR(__xludf.DUMMYFUNCTION("""COMPUTED_VALUE"""),0.358974358974359)</f>
        <v>0.358974359</v>
      </c>
      <c r="M237" s="8">
        <f>IFERROR(__xludf.DUMMYFUNCTION("""COMPUTED_VALUE"""),0.336405529953917)</f>
        <v>0.33640553</v>
      </c>
      <c r="N237" s="8">
        <f>IFERROR(__xludf.DUMMYFUNCTION("""COMPUTED_VALUE"""),0.326530612244897)</f>
        <v>0.3265306122</v>
      </c>
      <c r="O237" s="8">
        <f>IFERROR(__xludf.DUMMYFUNCTION("""COMPUTED_VALUE"""),0.23076923076923)</f>
        <v>0.2307692308</v>
      </c>
      <c r="P237" s="8">
        <f>IFERROR(__xludf.DUMMYFUNCTION("""COMPUTED_VALUE"""),0.238636363636363)</f>
        <v>0.2386363636</v>
      </c>
      <c r="Q237" s="8">
        <f>IFERROR(__xludf.DUMMYFUNCTION("""COMPUTED_VALUE"""),0.130434782608695)</f>
        <v>0.1304347826</v>
      </c>
      <c r="R237" s="8">
        <f>IFERROR(__xludf.DUMMYFUNCTION("""COMPUTED_VALUE"""),0.0526315789473684)</f>
        <v>0.05263157895</v>
      </c>
      <c r="S237" s="8">
        <f>IFERROR(__xludf.DUMMYFUNCTION("""COMPUTED_VALUE"""),0.0)</f>
        <v>0</v>
      </c>
      <c r="T237" s="8">
        <f>IFERROR(__xludf.DUMMYFUNCTION("""COMPUTED_VALUE"""),0.0)</f>
        <v>0</v>
      </c>
      <c r="U237" s="8">
        <f>IFERROR(__xludf.DUMMYFUNCTION("""COMPUTED_VALUE"""),0.0)</f>
        <v>0</v>
      </c>
      <c r="V237" s="8">
        <f>IFERROR(__xludf.DUMMYFUNCTION("""COMPUTED_VALUE"""),0.0)</f>
        <v>0</v>
      </c>
      <c r="W237" s="8">
        <f>IFERROR(__xludf.DUMMYFUNCTION("""COMPUTED_VALUE"""),0.0)</f>
        <v>0</v>
      </c>
      <c r="X237" s="8">
        <f>IFERROR(__xludf.DUMMYFUNCTION("""COMPUTED_VALUE"""),0.0)</f>
        <v>0</v>
      </c>
      <c r="Y237" s="8">
        <f>IFERROR(__xludf.DUMMYFUNCTION("""COMPUTED_VALUE"""),0.0)</f>
        <v>0</v>
      </c>
      <c r="Z237" s="8">
        <f>IFERROR(__xludf.DUMMYFUNCTION("""COMPUTED_VALUE"""),0.0)</f>
        <v>0</v>
      </c>
      <c r="AA237" s="8">
        <f>IFERROR(__xludf.DUMMYFUNCTION("""COMPUTED_VALUE"""),0.0)</f>
        <v>0</v>
      </c>
      <c r="AB237" s="8">
        <f>IFERROR(__xludf.DUMMYFUNCTION("""COMPUTED_VALUE"""),0.0)</f>
        <v>0</v>
      </c>
      <c r="AC237" s="8">
        <f>IFERROR(__xludf.DUMMYFUNCTION("""COMPUTED_VALUE"""),0.0)</f>
        <v>0</v>
      </c>
    </row>
    <row r="238" ht="15.75" customHeight="1">
      <c r="A238" s="6" t="str">
        <f>IFERROR(__xludf.DUMMYFUNCTION("""COMPUTED_VALUE"""),"da2b63280d328cd78ef9102ea4f7f131a3ff6369")</f>
        <v>da2b63280d328cd78ef9102ea4f7f131a3ff6369</v>
      </c>
      <c r="B238" s="6" t="str">
        <f>IFERROR(__xludf.DUMMYFUNCTION("""COMPUTED_VALUE"""),"I Returned for Revenge")</f>
        <v>I Returned for Revenge</v>
      </c>
      <c r="C238" s="6" t="str">
        <f>IFERROR(__xludf.DUMMYFUNCTION("""COMPUTED_VALUE"""),"Romance")</f>
        <v>Romance</v>
      </c>
      <c r="D238" s="17">
        <f>IFERROR(__xludf.DUMMYFUNCTION("""COMPUTED_VALUE"""),462.0)</f>
        <v>462</v>
      </c>
      <c r="E238" s="8">
        <f>IFERROR(__xludf.DUMMYFUNCTION("""COMPUTED_VALUE"""),0.965141612200435)</f>
        <v>0.9651416122</v>
      </c>
      <c r="F238" s="8">
        <f>IFERROR(__xludf.DUMMYFUNCTION("""COMPUTED_VALUE"""),0.685589519650655)</f>
        <v>0.6855895197</v>
      </c>
      <c r="G238" s="8">
        <f>IFERROR(__xludf.DUMMYFUNCTION("""COMPUTED_VALUE"""),0.592511013215859)</f>
        <v>0.5925110132</v>
      </c>
      <c r="H238" s="8">
        <f>IFERROR(__xludf.DUMMYFUNCTION("""COMPUTED_VALUE"""),0.578366445916114)</f>
        <v>0.5783664459</v>
      </c>
      <c r="I238" s="8">
        <f>IFERROR(__xludf.DUMMYFUNCTION("""COMPUTED_VALUE"""),0.557046979865771)</f>
        <v>0.5570469799</v>
      </c>
      <c r="J238" s="8">
        <f>IFERROR(__xludf.DUMMYFUNCTION("""COMPUTED_VALUE"""),0.535307517084282)</f>
        <v>0.5353075171</v>
      </c>
      <c r="K238" s="8">
        <f>IFERROR(__xludf.DUMMYFUNCTION("""COMPUTED_VALUE"""),0.493087557603686)</f>
        <v>0.4930875576</v>
      </c>
      <c r="L238" s="8">
        <f>IFERROR(__xludf.DUMMYFUNCTION("""COMPUTED_VALUE"""),0.448192771084337)</f>
        <v>0.4481927711</v>
      </c>
      <c r="M238" s="8">
        <f>IFERROR(__xludf.DUMMYFUNCTION("""COMPUTED_VALUE"""),0.45758354755784)</f>
        <v>0.4575835476</v>
      </c>
      <c r="N238" s="8">
        <f>IFERROR(__xludf.DUMMYFUNCTION("""COMPUTED_VALUE"""),0.409090909090909)</f>
        <v>0.4090909091</v>
      </c>
      <c r="O238" s="8">
        <f>IFERROR(__xludf.DUMMYFUNCTION("""COMPUTED_VALUE"""),0.3)</f>
        <v>0.3</v>
      </c>
      <c r="P238" s="8">
        <f>IFERROR(__xludf.DUMMYFUNCTION("""COMPUTED_VALUE"""),0.0847457627118644)</f>
        <v>0.08474576271</v>
      </c>
      <c r="Q238" s="8">
        <f>IFERROR(__xludf.DUMMYFUNCTION("""COMPUTED_VALUE"""),0.0196078431372549)</f>
        <v>0.01960784314</v>
      </c>
      <c r="R238" s="8">
        <f>IFERROR(__xludf.DUMMYFUNCTION("""COMPUTED_VALUE"""),0.0204081632653061)</f>
        <v>0.02040816327</v>
      </c>
      <c r="S238" s="8">
        <f>IFERROR(__xludf.DUMMYFUNCTION("""COMPUTED_VALUE"""),0.0)</f>
        <v>0</v>
      </c>
      <c r="T238" s="8">
        <f>IFERROR(__xludf.DUMMYFUNCTION("""COMPUTED_VALUE"""),0.0)</f>
        <v>0</v>
      </c>
      <c r="U238" s="8">
        <f>IFERROR(__xludf.DUMMYFUNCTION("""COMPUTED_VALUE"""),0.0)</f>
        <v>0</v>
      </c>
      <c r="V238" s="8">
        <f>IFERROR(__xludf.DUMMYFUNCTION("""COMPUTED_VALUE"""),0.0)</f>
        <v>0</v>
      </c>
      <c r="W238" s="8">
        <f>IFERROR(__xludf.DUMMYFUNCTION("""COMPUTED_VALUE"""),0.0)</f>
        <v>0</v>
      </c>
      <c r="X238" s="8">
        <f>IFERROR(__xludf.DUMMYFUNCTION("""COMPUTED_VALUE"""),0.0)</f>
        <v>0</v>
      </c>
      <c r="Y238" s="8">
        <f>IFERROR(__xludf.DUMMYFUNCTION("""COMPUTED_VALUE"""),0.0)</f>
        <v>0</v>
      </c>
      <c r="Z238" s="8">
        <f>IFERROR(__xludf.DUMMYFUNCTION("""COMPUTED_VALUE"""),0.0)</f>
        <v>0</v>
      </c>
      <c r="AA238" s="8">
        <f>IFERROR(__xludf.DUMMYFUNCTION("""COMPUTED_VALUE"""),0.0)</f>
        <v>0</v>
      </c>
      <c r="AB238" s="8">
        <f>IFERROR(__xludf.DUMMYFUNCTION("""COMPUTED_VALUE"""),0.0)</f>
        <v>0</v>
      </c>
      <c r="AC238" s="8">
        <f>IFERROR(__xludf.DUMMYFUNCTION("""COMPUTED_VALUE"""),0.0)</f>
        <v>0</v>
      </c>
    </row>
    <row r="239" ht="15.75" customHeight="1">
      <c r="A239" s="6" t="str">
        <f>IFERROR(__xludf.DUMMYFUNCTION("""COMPUTED_VALUE"""),"da5271db73c1f23560f26da633ebffb91df9abd6")</f>
        <v>da5271db73c1f23560f26da633ebffb91df9abd6</v>
      </c>
      <c r="B239" s="6" t="str">
        <f>IFERROR(__xludf.DUMMYFUNCTION("""COMPUTED_VALUE"""),"Sold to the Alpha King")</f>
        <v>Sold to the Alpha King</v>
      </c>
      <c r="C239" s="6" t="str">
        <f>IFERROR(__xludf.DUMMYFUNCTION("""COMPUTED_VALUE"""),"Romance")</f>
        <v>Romance</v>
      </c>
      <c r="D239" s="17">
        <f>IFERROR(__xludf.DUMMYFUNCTION("""COMPUTED_VALUE"""),236.0)</f>
        <v>236</v>
      </c>
      <c r="E239" s="8">
        <f>IFERROR(__xludf.DUMMYFUNCTION("""COMPUTED_VALUE"""),0.969026548672566)</f>
        <v>0.9690265487</v>
      </c>
      <c r="F239" s="8">
        <f>IFERROR(__xludf.DUMMYFUNCTION("""COMPUTED_VALUE"""),0.601851851851851)</f>
        <v>0.6018518519</v>
      </c>
      <c r="G239" s="8">
        <f>IFERROR(__xludf.DUMMYFUNCTION("""COMPUTED_VALUE"""),0.502415458937198)</f>
        <v>0.5024154589</v>
      </c>
      <c r="H239" s="8">
        <f>IFERROR(__xludf.DUMMYFUNCTION("""COMPUTED_VALUE"""),0.450261780104712)</f>
        <v>0.4502617801</v>
      </c>
      <c r="I239" s="8">
        <f>IFERROR(__xludf.DUMMYFUNCTION("""COMPUTED_VALUE"""),0.376344086021505)</f>
        <v>0.376344086</v>
      </c>
      <c r="J239" s="8">
        <f>IFERROR(__xludf.DUMMYFUNCTION("""COMPUTED_VALUE"""),0.311764705882352)</f>
        <v>0.3117647059</v>
      </c>
      <c r="K239" s="8">
        <f>IFERROR(__xludf.DUMMYFUNCTION("""COMPUTED_VALUE"""),0.290123456790123)</f>
        <v>0.2901234568</v>
      </c>
      <c r="L239" s="8">
        <f>IFERROR(__xludf.DUMMYFUNCTION("""COMPUTED_VALUE"""),0.25)</f>
        <v>0.25</v>
      </c>
      <c r="M239" s="8">
        <f>IFERROR(__xludf.DUMMYFUNCTION("""COMPUTED_VALUE"""),0.264705882352941)</f>
        <v>0.2647058824</v>
      </c>
      <c r="N239" s="8">
        <f>IFERROR(__xludf.DUMMYFUNCTION("""COMPUTED_VALUE"""),0.27906976744186)</f>
        <v>0.2790697674</v>
      </c>
      <c r="O239" s="8">
        <f>IFERROR(__xludf.DUMMYFUNCTION("""COMPUTED_VALUE"""),0.217391304347826)</f>
        <v>0.2173913043</v>
      </c>
      <c r="P239" s="8">
        <f>IFERROR(__xludf.DUMMYFUNCTION("""COMPUTED_VALUE"""),0.214285714285714)</f>
        <v>0.2142857143</v>
      </c>
      <c r="Q239" s="8">
        <f>IFERROR(__xludf.DUMMYFUNCTION("""COMPUTED_VALUE"""),0.0)</f>
        <v>0</v>
      </c>
      <c r="R239" s="8">
        <f>IFERROR(__xludf.DUMMYFUNCTION("""COMPUTED_VALUE"""),0.0)</f>
        <v>0</v>
      </c>
      <c r="S239" s="8">
        <f>IFERROR(__xludf.DUMMYFUNCTION("""COMPUTED_VALUE"""),0.0)</f>
        <v>0</v>
      </c>
      <c r="T239" s="8">
        <f>IFERROR(__xludf.DUMMYFUNCTION("""COMPUTED_VALUE"""),0.0)</f>
        <v>0</v>
      </c>
      <c r="U239" s="8">
        <f>IFERROR(__xludf.DUMMYFUNCTION("""COMPUTED_VALUE"""),0.0)</f>
        <v>0</v>
      </c>
      <c r="V239" s="8">
        <f>IFERROR(__xludf.DUMMYFUNCTION("""COMPUTED_VALUE"""),0.0)</f>
        <v>0</v>
      </c>
      <c r="W239" s="8">
        <f>IFERROR(__xludf.DUMMYFUNCTION("""COMPUTED_VALUE"""),0.0)</f>
        <v>0</v>
      </c>
      <c r="X239" s="8">
        <f>IFERROR(__xludf.DUMMYFUNCTION("""COMPUTED_VALUE"""),0.0)</f>
        <v>0</v>
      </c>
      <c r="Y239" s="8">
        <f>IFERROR(__xludf.DUMMYFUNCTION("""COMPUTED_VALUE"""),0.0)</f>
        <v>0</v>
      </c>
      <c r="Z239" s="8">
        <f>IFERROR(__xludf.DUMMYFUNCTION("""COMPUTED_VALUE"""),0.0)</f>
        <v>0</v>
      </c>
      <c r="AA239" s="8">
        <f>IFERROR(__xludf.DUMMYFUNCTION("""COMPUTED_VALUE"""),0.0)</f>
        <v>0</v>
      </c>
      <c r="AB239" s="8">
        <f>IFERROR(__xludf.DUMMYFUNCTION("""COMPUTED_VALUE"""),0.0)</f>
        <v>0</v>
      </c>
      <c r="AC239" s="8">
        <f>IFERROR(__xludf.DUMMYFUNCTION("""COMPUTED_VALUE"""),0.0)</f>
        <v>0</v>
      </c>
    </row>
    <row r="240" ht="15.75" customHeight="1">
      <c r="A240" s="6" t="str">
        <f>IFERROR(__xludf.DUMMYFUNCTION("""COMPUTED_VALUE"""),"da8d32c5473daa3dc16575cdcd79a118bb445ffb")</f>
        <v>da8d32c5473daa3dc16575cdcd79a118bb445ffb</v>
      </c>
      <c r="B240" s="6" t="str">
        <f>IFERROR(__xludf.DUMMYFUNCTION("""COMPUTED_VALUE"""),"Bold Step Against Hoffman")</f>
        <v>Bold Step Against Hoffman</v>
      </c>
      <c r="C240" s="6" t="str">
        <f>IFERROR(__xludf.DUMMYFUNCTION("""COMPUTED_VALUE"""),"Romance")</f>
        <v>Romance</v>
      </c>
      <c r="D240" s="17">
        <f>IFERROR(__xludf.DUMMYFUNCTION("""COMPUTED_VALUE"""),440.0)</f>
        <v>440</v>
      </c>
      <c r="E240" s="8">
        <f>IFERROR(__xludf.DUMMYFUNCTION("""COMPUTED_VALUE"""),0.972157772621809)</f>
        <v>0.9721577726</v>
      </c>
      <c r="F240" s="8">
        <f>IFERROR(__xludf.DUMMYFUNCTION("""COMPUTED_VALUE"""),0.533492822966507)</f>
        <v>0.533492823</v>
      </c>
      <c r="G240" s="8">
        <f>IFERROR(__xludf.DUMMYFUNCTION("""COMPUTED_VALUE"""),0.435523114355231)</f>
        <v>0.4355231144</v>
      </c>
      <c r="H240" s="8">
        <f>IFERROR(__xludf.DUMMYFUNCTION("""COMPUTED_VALUE"""),0.354271356783919)</f>
        <v>0.3542713568</v>
      </c>
      <c r="I240" s="8">
        <f>IFERROR(__xludf.DUMMYFUNCTION("""COMPUTED_VALUE"""),0.319095477386934)</f>
        <v>0.3190954774</v>
      </c>
      <c r="J240" s="8">
        <f>IFERROR(__xludf.DUMMYFUNCTION("""COMPUTED_VALUE"""),0.29145728643216)</f>
        <v>0.2914572864</v>
      </c>
      <c r="K240" s="8">
        <f>IFERROR(__xludf.DUMMYFUNCTION("""COMPUTED_VALUE"""),0.28894472361809)</f>
        <v>0.2889447236</v>
      </c>
      <c r="L240" s="8">
        <f>IFERROR(__xludf.DUMMYFUNCTION("""COMPUTED_VALUE"""),0.255050505050505)</f>
        <v>0.2550505051</v>
      </c>
      <c r="M240" s="8">
        <f>IFERROR(__xludf.DUMMYFUNCTION("""COMPUTED_VALUE"""),0.248101265822784)</f>
        <v>0.2481012658</v>
      </c>
      <c r="N240" s="8">
        <f>IFERROR(__xludf.DUMMYFUNCTION("""COMPUTED_VALUE"""),0.246192893401015)</f>
        <v>0.2461928934</v>
      </c>
      <c r="O240" s="8">
        <f>IFERROR(__xludf.DUMMYFUNCTION("""COMPUTED_VALUE"""),0.173575129533678)</f>
        <v>0.1735751295</v>
      </c>
      <c r="P240" s="8">
        <f>IFERROR(__xludf.DUMMYFUNCTION("""COMPUTED_VALUE"""),0.14)</f>
        <v>0.14</v>
      </c>
      <c r="Q240" s="8">
        <f>IFERROR(__xludf.DUMMYFUNCTION("""COMPUTED_VALUE"""),0.114583333333333)</f>
        <v>0.1145833333</v>
      </c>
      <c r="R240" s="8">
        <f>IFERROR(__xludf.DUMMYFUNCTION("""COMPUTED_VALUE"""),0.0978260869565217)</f>
        <v>0.09782608696</v>
      </c>
      <c r="S240" s="8">
        <f>IFERROR(__xludf.DUMMYFUNCTION("""COMPUTED_VALUE"""),0.119402985074626)</f>
        <v>0.1194029851</v>
      </c>
      <c r="T240" s="8">
        <f>IFERROR(__xludf.DUMMYFUNCTION("""COMPUTED_VALUE"""),0.0196078431372549)</f>
        <v>0.01960784314</v>
      </c>
      <c r="U240" s="8">
        <f>IFERROR(__xludf.DUMMYFUNCTION("""COMPUTED_VALUE"""),0.0256410256410256)</f>
        <v>0.02564102564</v>
      </c>
      <c r="V240" s="8">
        <f>IFERROR(__xludf.DUMMYFUNCTION("""COMPUTED_VALUE"""),0.0)</f>
        <v>0</v>
      </c>
      <c r="W240" s="8">
        <f>IFERROR(__xludf.DUMMYFUNCTION("""COMPUTED_VALUE"""),0.0)</f>
        <v>0</v>
      </c>
      <c r="X240" s="8">
        <f>IFERROR(__xludf.DUMMYFUNCTION("""COMPUTED_VALUE"""),0.0)</f>
        <v>0</v>
      </c>
      <c r="Y240" s="8">
        <f>IFERROR(__xludf.DUMMYFUNCTION("""COMPUTED_VALUE"""),0.0)</f>
        <v>0</v>
      </c>
      <c r="Z240" s="8">
        <f>IFERROR(__xludf.DUMMYFUNCTION("""COMPUTED_VALUE"""),0.0)</f>
        <v>0</v>
      </c>
      <c r="AA240" s="8">
        <f>IFERROR(__xludf.DUMMYFUNCTION("""COMPUTED_VALUE"""),0.0)</f>
        <v>0</v>
      </c>
      <c r="AB240" s="8">
        <f>IFERROR(__xludf.DUMMYFUNCTION("""COMPUTED_VALUE"""),0.0)</f>
        <v>0</v>
      </c>
      <c r="AC240" s="8">
        <f>IFERROR(__xludf.DUMMYFUNCTION("""COMPUTED_VALUE"""),0.0)</f>
        <v>0</v>
      </c>
    </row>
    <row r="241" ht="15.75" customHeight="1">
      <c r="A241" s="6" t="str">
        <f>IFERROR(__xludf.DUMMYFUNCTION("""COMPUTED_VALUE"""),"daa40d9ff542ace7e27440803ddf4307bbd54bdd")</f>
        <v>daa40d9ff542ace7e27440803ddf4307bbd54bdd</v>
      </c>
      <c r="B241" s="6" t="str">
        <f>IFERROR(__xludf.DUMMYFUNCTION("""COMPUTED_VALUE"""),"Villain's Harem")</f>
        <v>Villain's Harem</v>
      </c>
      <c r="C241" s="6" t="str">
        <f>IFERROR(__xludf.DUMMYFUNCTION("""COMPUTED_VALUE"""),"Romantasy")</f>
        <v>Romantasy</v>
      </c>
      <c r="D241" s="17">
        <f>IFERROR(__xludf.DUMMYFUNCTION("""COMPUTED_VALUE"""),698.0)</f>
        <v>698</v>
      </c>
      <c r="E241" s="8">
        <f>IFERROR(__xludf.DUMMYFUNCTION("""COMPUTED_VALUE"""),0.97134670487106)</f>
        <v>0.9713467049</v>
      </c>
      <c r="F241" s="8">
        <f>IFERROR(__xludf.DUMMYFUNCTION("""COMPUTED_VALUE"""),0.673410404624277)</f>
        <v>0.6734104046</v>
      </c>
      <c r="G241" s="8">
        <f>IFERROR(__xludf.DUMMYFUNCTION("""COMPUTED_VALUE"""),0.606936416184971)</f>
        <v>0.6069364162</v>
      </c>
      <c r="H241" s="8">
        <f>IFERROR(__xludf.DUMMYFUNCTION("""COMPUTED_VALUE"""),0.53935860058309)</f>
        <v>0.5393586006</v>
      </c>
      <c r="I241" s="8">
        <f>IFERROR(__xludf.DUMMYFUNCTION("""COMPUTED_VALUE"""),0.459736456808199)</f>
        <v>0.4597364568</v>
      </c>
      <c r="J241" s="8">
        <f>IFERROR(__xludf.DUMMYFUNCTION("""COMPUTED_VALUE"""),0.442307692307692)</f>
        <v>0.4423076923</v>
      </c>
      <c r="K241" s="8">
        <f>IFERROR(__xludf.DUMMYFUNCTION("""COMPUTED_VALUE"""),0.423248882265275)</f>
        <v>0.4232488823</v>
      </c>
      <c r="L241" s="8">
        <f>IFERROR(__xludf.DUMMYFUNCTION("""COMPUTED_VALUE"""),0.39274924471299)</f>
        <v>0.3927492447</v>
      </c>
      <c r="M241" s="8">
        <f>IFERROR(__xludf.DUMMYFUNCTION("""COMPUTED_VALUE"""),0.393568147013782)</f>
        <v>0.393568147</v>
      </c>
      <c r="N241" s="8">
        <f>IFERROR(__xludf.DUMMYFUNCTION("""COMPUTED_VALUE"""),0.399638336347197)</f>
        <v>0.3996383363</v>
      </c>
      <c r="O241" s="8">
        <f>IFERROR(__xludf.DUMMYFUNCTION("""COMPUTED_VALUE"""),0.432584269662921)</f>
        <v>0.4325842697</v>
      </c>
      <c r="P241" s="8">
        <f>IFERROR(__xludf.DUMMYFUNCTION("""COMPUTED_VALUE"""),0.4)</f>
        <v>0.4</v>
      </c>
      <c r="Q241" s="8">
        <f>IFERROR(__xludf.DUMMYFUNCTION("""COMPUTED_VALUE"""),0.0)</f>
        <v>0</v>
      </c>
      <c r="R241" s="8">
        <f>IFERROR(__xludf.DUMMYFUNCTION("""COMPUTED_VALUE"""),0.0)</f>
        <v>0</v>
      </c>
      <c r="S241" s="8">
        <f>IFERROR(__xludf.DUMMYFUNCTION("""COMPUTED_VALUE"""),0.0)</f>
        <v>0</v>
      </c>
      <c r="T241" s="8">
        <f>IFERROR(__xludf.DUMMYFUNCTION("""COMPUTED_VALUE"""),0.0)</f>
        <v>0</v>
      </c>
      <c r="U241" s="8">
        <f>IFERROR(__xludf.DUMMYFUNCTION("""COMPUTED_VALUE"""),0.0)</f>
        <v>0</v>
      </c>
      <c r="V241" s="8">
        <f>IFERROR(__xludf.DUMMYFUNCTION("""COMPUTED_VALUE"""),0.0)</f>
        <v>0</v>
      </c>
      <c r="W241" s="8">
        <f>IFERROR(__xludf.DUMMYFUNCTION("""COMPUTED_VALUE"""),0.0)</f>
        <v>0</v>
      </c>
      <c r="X241" s="8">
        <f>IFERROR(__xludf.DUMMYFUNCTION("""COMPUTED_VALUE"""),0.0)</f>
        <v>0</v>
      </c>
      <c r="Y241" s="8">
        <f>IFERROR(__xludf.DUMMYFUNCTION("""COMPUTED_VALUE"""),0.0)</f>
        <v>0</v>
      </c>
      <c r="Z241" s="8">
        <f>IFERROR(__xludf.DUMMYFUNCTION("""COMPUTED_VALUE"""),0.0)</f>
        <v>0</v>
      </c>
      <c r="AA241" s="8">
        <f>IFERROR(__xludf.DUMMYFUNCTION("""COMPUTED_VALUE"""),0.0)</f>
        <v>0</v>
      </c>
      <c r="AB241" s="8">
        <f>IFERROR(__xludf.DUMMYFUNCTION("""COMPUTED_VALUE"""),0.0)</f>
        <v>0</v>
      </c>
      <c r="AC241" s="8">
        <f>IFERROR(__xludf.DUMMYFUNCTION("""COMPUTED_VALUE"""),0.0)</f>
        <v>0</v>
      </c>
    </row>
    <row r="242" ht="15.75" customHeight="1">
      <c r="A242" s="6" t="str">
        <f>IFERROR(__xludf.DUMMYFUNCTION("""COMPUTED_VALUE"""),"db982055d0205f85b154941a9a5fdcae32a88a7c")</f>
        <v>db982055d0205f85b154941a9a5fdcae32a88a7c</v>
      </c>
      <c r="B242" s="6" t="str">
        <f>IFERROR(__xludf.DUMMYFUNCTION("""COMPUTED_VALUE"""),"Re:system - Rebooted")</f>
        <v>Re:system - Rebooted</v>
      </c>
      <c r="C242" s="6" t="str">
        <f>IFERROR(__xludf.DUMMYFUNCTION("""COMPUTED_VALUE"""),"Fantasy")</f>
        <v>Fantasy</v>
      </c>
      <c r="D242" s="17">
        <f>IFERROR(__xludf.DUMMYFUNCTION("""COMPUTED_VALUE"""),573.0)</f>
        <v>573</v>
      </c>
      <c r="E242" s="8">
        <f>IFERROR(__xludf.DUMMYFUNCTION("""COMPUTED_VALUE"""),0.99124343257443)</f>
        <v>0.9912434326</v>
      </c>
      <c r="F242" s="8">
        <f>IFERROR(__xludf.DUMMYFUNCTION("""COMPUTED_VALUE"""),0.625)</f>
        <v>0.625</v>
      </c>
      <c r="G242" s="8">
        <f>IFERROR(__xludf.DUMMYFUNCTION("""COMPUTED_VALUE"""),0.56084656084656)</f>
        <v>0.5608465608</v>
      </c>
      <c r="H242" s="8">
        <f>IFERROR(__xludf.DUMMYFUNCTION("""COMPUTED_VALUE"""),0.513274336283185)</f>
        <v>0.5132743363</v>
      </c>
      <c r="I242" s="8">
        <f>IFERROR(__xludf.DUMMYFUNCTION("""COMPUTED_VALUE"""),0.474153297682709)</f>
        <v>0.4741532977</v>
      </c>
      <c r="J242" s="8">
        <f>IFERROR(__xludf.DUMMYFUNCTION("""COMPUTED_VALUE"""),0.452423698384201)</f>
        <v>0.4524236984</v>
      </c>
      <c r="K242" s="8">
        <f>IFERROR(__xludf.DUMMYFUNCTION("""COMPUTED_VALUE"""),0.414104882459312)</f>
        <v>0.4141048825</v>
      </c>
      <c r="L242" s="8">
        <f>IFERROR(__xludf.DUMMYFUNCTION("""COMPUTED_VALUE"""),0.384473197781885)</f>
        <v>0.3844731978</v>
      </c>
      <c r="M242" s="8">
        <f>IFERROR(__xludf.DUMMYFUNCTION("""COMPUTED_VALUE"""),0.371900826446281)</f>
        <v>0.3719008264</v>
      </c>
      <c r="N242" s="8">
        <f>IFERROR(__xludf.DUMMYFUNCTION("""COMPUTED_VALUE"""),0.341463414634146)</f>
        <v>0.3414634146</v>
      </c>
      <c r="O242" s="8">
        <f>IFERROR(__xludf.DUMMYFUNCTION("""COMPUTED_VALUE"""),0.0)</f>
        <v>0</v>
      </c>
      <c r="P242" s="8">
        <f>IFERROR(__xludf.DUMMYFUNCTION("""COMPUTED_VALUE"""),0.0)</f>
        <v>0</v>
      </c>
      <c r="Q242" s="8">
        <f>IFERROR(__xludf.DUMMYFUNCTION("""COMPUTED_VALUE"""),0.0)</f>
        <v>0</v>
      </c>
      <c r="R242" s="8">
        <f>IFERROR(__xludf.DUMMYFUNCTION("""COMPUTED_VALUE"""),0.0)</f>
        <v>0</v>
      </c>
      <c r="S242" s="8">
        <f>IFERROR(__xludf.DUMMYFUNCTION("""COMPUTED_VALUE"""),0.0)</f>
        <v>0</v>
      </c>
      <c r="T242" s="8">
        <f>IFERROR(__xludf.DUMMYFUNCTION("""COMPUTED_VALUE"""),0.0)</f>
        <v>0</v>
      </c>
      <c r="U242" s="8">
        <f>IFERROR(__xludf.DUMMYFUNCTION("""COMPUTED_VALUE"""),0.0)</f>
        <v>0</v>
      </c>
      <c r="V242" s="8">
        <f>IFERROR(__xludf.DUMMYFUNCTION("""COMPUTED_VALUE"""),0.0)</f>
        <v>0</v>
      </c>
      <c r="W242" s="8">
        <f>IFERROR(__xludf.DUMMYFUNCTION("""COMPUTED_VALUE"""),0.0)</f>
        <v>0</v>
      </c>
      <c r="X242" s="8">
        <f>IFERROR(__xludf.DUMMYFUNCTION("""COMPUTED_VALUE"""),0.0)</f>
        <v>0</v>
      </c>
      <c r="Y242" s="8">
        <f>IFERROR(__xludf.DUMMYFUNCTION("""COMPUTED_VALUE"""),0.0)</f>
        <v>0</v>
      </c>
      <c r="Z242" s="8">
        <f>IFERROR(__xludf.DUMMYFUNCTION("""COMPUTED_VALUE"""),0.0)</f>
        <v>0</v>
      </c>
      <c r="AA242" s="8">
        <f>IFERROR(__xludf.DUMMYFUNCTION("""COMPUTED_VALUE"""),0.0)</f>
        <v>0</v>
      </c>
      <c r="AB242" s="8">
        <f>IFERROR(__xludf.DUMMYFUNCTION("""COMPUTED_VALUE"""),0.0)</f>
        <v>0</v>
      </c>
      <c r="AC242" s="8">
        <f>IFERROR(__xludf.DUMMYFUNCTION("""COMPUTED_VALUE"""),0.0)</f>
        <v>0</v>
      </c>
    </row>
    <row r="243" ht="15.75" customHeight="1">
      <c r="A243" s="6" t="str">
        <f>IFERROR(__xludf.DUMMYFUNCTION("""COMPUTED_VALUE"""),"ddcfd794c1c386caa644e2b1d2379bfcd4efb154")</f>
        <v>ddcfd794c1c386caa644e2b1d2379bfcd4efb154</v>
      </c>
      <c r="B243" s="6" t="str">
        <f>IFERROR(__xludf.DUMMYFUNCTION("""COMPUTED_VALUE"""),"Tycoons Love Swindled")</f>
        <v>Tycoons Love Swindled</v>
      </c>
      <c r="C243" s="6" t="str">
        <f>IFERROR(__xludf.DUMMYFUNCTION("""COMPUTED_VALUE"""),"Drama")</f>
        <v>Drama</v>
      </c>
      <c r="D243" s="17">
        <f>IFERROR(__xludf.DUMMYFUNCTION("""COMPUTED_VALUE"""),105.0)</f>
        <v>105</v>
      </c>
      <c r="E243" s="8">
        <f>IFERROR(__xludf.DUMMYFUNCTION("""COMPUTED_VALUE"""),0.932038834951456)</f>
        <v>0.932038835</v>
      </c>
      <c r="F243" s="8">
        <f>IFERROR(__xludf.DUMMYFUNCTION("""COMPUTED_VALUE"""),0.470588235294117)</f>
        <v>0.4705882353</v>
      </c>
      <c r="G243" s="8">
        <f>IFERROR(__xludf.DUMMYFUNCTION("""COMPUTED_VALUE"""),0.39)</f>
        <v>0.39</v>
      </c>
      <c r="H243" s="8">
        <f>IFERROR(__xludf.DUMMYFUNCTION("""COMPUTED_VALUE"""),0.40625)</f>
        <v>0.40625</v>
      </c>
      <c r="I243" s="8">
        <f>IFERROR(__xludf.DUMMYFUNCTION("""COMPUTED_VALUE"""),0.378947368421052)</f>
        <v>0.3789473684</v>
      </c>
      <c r="J243" s="8">
        <f>IFERROR(__xludf.DUMMYFUNCTION("""COMPUTED_VALUE"""),0.373626373626373)</f>
        <v>0.3736263736</v>
      </c>
      <c r="K243" s="8">
        <f>IFERROR(__xludf.DUMMYFUNCTION("""COMPUTED_VALUE"""),0.288888888888888)</f>
        <v>0.2888888889</v>
      </c>
      <c r="L243" s="8">
        <f>IFERROR(__xludf.DUMMYFUNCTION("""COMPUTED_VALUE"""),0.375)</f>
        <v>0.375</v>
      </c>
      <c r="M243" s="8">
        <f>IFERROR(__xludf.DUMMYFUNCTION("""COMPUTED_VALUE"""),0.261904761904761)</f>
        <v>0.2619047619</v>
      </c>
      <c r="N243" s="8">
        <f>IFERROR(__xludf.DUMMYFUNCTION("""COMPUTED_VALUE"""),0.3125)</f>
        <v>0.3125</v>
      </c>
      <c r="O243" s="8">
        <f>IFERROR(__xludf.DUMMYFUNCTION("""COMPUTED_VALUE"""),0.383333333333333)</f>
        <v>0.3833333333</v>
      </c>
      <c r="P243" s="8">
        <f>IFERROR(__xludf.DUMMYFUNCTION("""COMPUTED_VALUE"""),0.135593220338983)</f>
        <v>0.1355932203</v>
      </c>
      <c r="Q243" s="8">
        <f>IFERROR(__xludf.DUMMYFUNCTION("""COMPUTED_VALUE"""),0.0196078431372549)</f>
        <v>0.01960784314</v>
      </c>
      <c r="R243" s="8">
        <f>IFERROR(__xludf.DUMMYFUNCTION("""COMPUTED_VALUE"""),0.0256410256410256)</f>
        <v>0.02564102564</v>
      </c>
      <c r="S243" s="8">
        <f>IFERROR(__xludf.DUMMYFUNCTION("""COMPUTED_VALUE"""),0.0)</f>
        <v>0</v>
      </c>
      <c r="T243" s="8">
        <f>IFERROR(__xludf.DUMMYFUNCTION("""COMPUTED_VALUE"""),0.0)</f>
        <v>0</v>
      </c>
      <c r="U243" s="8">
        <f>IFERROR(__xludf.DUMMYFUNCTION("""COMPUTED_VALUE"""),0.0)</f>
        <v>0</v>
      </c>
      <c r="V243" s="8">
        <f>IFERROR(__xludf.DUMMYFUNCTION("""COMPUTED_VALUE"""),0.0)</f>
        <v>0</v>
      </c>
      <c r="W243" s="8">
        <f>IFERROR(__xludf.DUMMYFUNCTION("""COMPUTED_VALUE"""),0.0)</f>
        <v>0</v>
      </c>
      <c r="X243" s="8">
        <f>IFERROR(__xludf.DUMMYFUNCTION("""COMPUTED_VALUE"""),0.0)</f>
        <v>0</v>
      </c>
      <c r="Y243" s="8">
        <f>IFERROR(__xludf.DUMMYFUNCTION("""COMPUTED_VALUE"""),0.0)</f>
        <v>0</v>
      </c>
      <c r="Z243" s="8">
        <f>IFERROR(__xludf.DUMMYFUNCTION("""COMPUTED_VALUE"""),0.0)</f>
        <v>0</v>
      </c>
      <c r="AA243" s="8">
        <f>IFERROR(__xludf.DUMMYFUNCTION("""COMPUTED_VALUE"""),0.0)</f>
        <v>0</v>
      </c>
      <c r="AB243" s="8">
        <f>IFERROR(__xludf.DUMMYFUNCTION("""COMPUTED_VALUE"""),0.0)</f>
        <v>0</v>
      </c>
      <c r="AC243" s="8">
        <f>IFERROR(__xludf.DUMMYFUNCTION("""COMPUTED_VALUE"""),0.0)</f>
        <v>0</v>
      </c>
    </row>
    <row r="244" ht="15.75" customHeight="1">
      <c r="A244" s="6" t="str">
        <f>IFERROR(__xludf.DUMMYFUNCTION("""COMPUTED_VALUE"""),"de862851ca66c0ec5a982ecfe58d14472093a185")</f>
        <v>de862851ca66c0ec5a982ecfe58d14472093a185</v>
      </c>
      <c r="B244" s="6" t="str">
        <f>IFERROR(__xludf.DUMMYFUNCTION("""COMPUTED_VALUE"""),"From Trash to a Legend")</f>
        <v>From Trash to a Legend</v>
      </c>
      <c r="C244" s="6" t="str">
        <f>IFERROR(__xludf.DUMMYFUNCTION("""COMPUTED_VALUE"""),"System and Superpower")</f>
        <v>System and Superpower</v>
      </c>
      <c r="D244" s="17">
        <f>IFERROR(__xludf.DUMMYFUNCTION("""COMPUTED_VALUE"""),594.0)</f>
        <v>594</v>
      </c>
      <c r="E244" s="8">
        <f>IFERROR(__xludf.DUMMYFUNCTION("""COMPUTED_VALUE"""),0.967905405405405)</f>
        <v>0.9679054054</v>
      </c>
      <c r="F244" s="8">
        <f>IFERROR(__xludf.DUMMYFUNCTION("""COMPUTED_VALUE"""),0.76360544217687)</f>
        <v>0.7636054422</v>
      </c>
      <c r="G244" s="8">
        <f>IFERROR(__xludf.DUMMYFUNCTION("""COMPUTED_VALUE"""),0.73469387755102)</f>
        <v>0.7346938776</v>
      </c>
      <c r="H244" s="8">
        <f>IFERROR(__xludf.DUMMYFUNCTION("""COMPUTED_VALUE"""),0.702054794520548)</f>
        <v>0.7020547945</v>
      </c>
      <c r="I244" s="8">
        <f>IFERROR(__xludf.DUMMYFUNCTION("""COMPUTED_VALUE"""),0.664371772805507)</f>
        <v>0.6643717728</v>
      </c>
      <c r="J244" s="8">
        <f>IFERROR(__xludf.DUMMYFUNCTION("""COMPUTED_VALUE"""),0.639372822299651)</f>
        <v>0.6393728223</v>
      </c>
      <c r="K244" s="8">
        <f>IFERROR(__xludf.DUMMYFUNCTION("""COMPUTED_VALUE"""),0.619546247818499)</f>
        <v>0.6195462478</v>
      </c>
      <c r="L244" s="8">
        <f>IFERROR(__xludf.DUMMYFUNCTION("""COMPUTED_VALUE"""),0.569548872180451)</f>
        <v>0.5695488722</v>
      </c>
      <c r="M244" s="8">
        <f>IFERROR(__xludf.DUMMYFUNCTION("""COMPUTED_VALUE"""),0.548582995951417)</f>
        <v>0.548582996</v>
      </c>
      <c r="N244" s="8">
        <f>IFERROR(__xludf.DUMMYFUNCTION("""COMPUTED_VALUE"""),0.543577981651376)</f>
        <v>0.5435779817</v>
      </c>
      <c r="O244" s="8">
        <f>IFERROR(__xludf.DUMMYFUNCTION("""COMPUTED_VALUE"""),0.176470588235294)</f>
        <v>0.1764705882</v>
      </c>
      <c r="P244" s="8">
        <f>IFERROR(__xludf.DUMMYFUNCTION("""COMPUTED_VALUE"""),0.25)</f>
        <v>0.25</v>
      </c>
      <c r="Q244" s="8">
        <f>IFERROR(__xludf.DUMMYFUNCTION("""COMPUTED_VALUE"""),0.0)</f>
        <v>0</v>
      </c>
      <c r="R244" s="8">
        <f>IFERROR(__xludf.DUMMYFUNCTION("""COMPUTED_VALUE"""),0.0)</f>
        <v>0</v>
      </c>
      <c r="S244" s="8">
        <f>IFERROR(__xludf.DUMMYFUNCTION("""COMPUTED_VALUE"""),0.0)</f>
        <v>0</v>
      </c>
      <c r="T244" s="8">
        <f>IFERROR(__xludf.DUMMYFUNCTION("""COMPUTED_VALUE"""),0.0)</f>
        <v>0</v>
      </c>
      <c r="U244" s="8">
        <f>IFERROR(__xludf.DUMMYFUNCTION("""COMPUTED_VALUE"""),0.0)</f>
        <v>0</v>
      </c>
      <c r="V244" s="8">
        <f>IFERROR(__xludf.DUMMYFUNCTION("""COMPUTED_VALUE"""),0.0)</f>
        <v>0</v>
      </c>
      <c r="W244" s="8">
        <f>IFERROR(__xludf.DUMMYFUNCTION("""COMPUTED_VALUE"""),0.0)</f>
        <v>0</v>
      </c>
      <c r="X244" s="8">
        <f>IFERROR(__xludf.DUMMYFUNCTION("""COMPUTED_VALUE"""),0.0)</f>
        <v>0</v>
      </c>
      <c r="Y244" s="8">
        <f>IFERROR(__xludf.DUMMYFUNCTION("""COMPUTED_VALUE"""),0.0)</f>
        <v>0</v>
      </c>
      <c r="Z244" s="8">
        <f>IFERROR(__xludf.DUMMYFUNCTION("""COMPUTED_VALUE"""),0.0)</f>
        <v>0</v>
      </c>
      <c r="AA244" s="8">
        <f>IFERROR(__xludf.DUMMYFUNCTION("""COMPUTED_VALUE"""),0.0)</f>
        <v>0</v>
      </c>
      <c r="AB244" s="8">
        <f>IFERROR(__xludf.DUMMYFUNCTION("""COMPUTED_VALUE"""),0.0)</f>
        <v>0</v>
      </c>
      <c r="AC244" s="8">
        <f>IFERROR(__xludf.DUMMYFUNCTION("""COMPUTED_VALUE"""),0.0)</f>
        <v>0</v>
      </c>
    </row>
    <row r="245" ht="15.75" customHeight="1">
      <c r="A245" s="6" t="str">
        <f>IFERROR(__xludf.DUMMYFUNCTION("""COMPUTED_VALUE"""),"df497806d02c2dcc2e8f8e790fcc3fb9e72f8166")</f>
        <v>df497806d02c2dcc2e8f8e790fcc3fb9e72f8166</v>
      </c>
      <c r="B245" s="6" t="str">
        <f>IFERROR(__xludf.DUMMYFUNCTION("""COMPUTED_VALUE"""),"Never Letting You Go")</f>
        <v>Never Letting You Go</v>
      </c>
      <c r="C245" s="6" t="str">
        <f>IFERROR(__xludf.DUMMYFUNCTION("""COMPUTED_VALUE"""),"Romance")</f>
        <v>Romance</v>
      </c>
      <c r="D245" s="17">
        <f>IFERROR(__xludf.DUMMYFUNCTION("""COMPUTED_VALUE"""),276.0)</f>
        <v>276</v>
      </c>
      <c r="E245" s="8">
        <f>IFERROR(__xludf.DUMMYFUNCTION("""COMPUTED_VALUE"""),0.974358974358974)</f>
        <v>0.9743589744</v>
      </c>
      <c r="F245" s="8">
        <f>IFERROR(__xludf.DUMMYFUNCTION("""COMPUTED_VALUE"""),0.50943396226415)</f>
        <v>0.5094339623</v>
      </c>
      <c r="G245" s="8">
        <f>IFERROR(__xludf.DUMMYFUNCTION("""COMPUTED_VALUE"""),0.433460076045627)</f>
        <v>0.433460076</v>
      </c>
      <c r="H245" s="8">
        <f>IFERROR(__xludf.DUMMYFUNCTION("""COMPUTED_VALUE"""),0.380392156862745)</f>
        <v>0.3803921569</v>
      </c>
      <c r="I245" s="8">
        <f>IFERROR(__xludf.DUMMYFUNCTION("""COMPUTED_VALUE"""),0.329317269076305)</f>
        <v>0.3293172691</v>
      </c>
      <c r="J245" s="8">
        <f>IFERROR(__xludf.DUMMYFUNCTION("""COMPUTED_VALUE"""),0.31578947368421)</f>
        <v>0.3157894737</v>
      </c>
      <c r="K245" s="8">
        <f>IFERROR(__xludf.DUMMYFUNCTION("""COMPUTED_VALUE"""),0.277777777777777)</f>
        <v>0.2777777778</v>
      </c>
      <c r="L245" s="8">
        <f>IFERROR(__xludf.DUMMYFUNCTION("""COMPUTED_VALUE"""),0.272277227722772)</f>
        <v>0.2722772277</v>
      </c>
      <c r="M245" s="8">
        <f>IFERROR(__xludf.DUMMYFUNCTION("""COMPUTED_VALUE"""),0.226190476190476)</f>
        <v>0.2261904762</v>
      </c>
      <c r="N245" s="8">
        <f>IFERROR(__xludf.DUMMYFUNCTION("""COMPUTED_VALUE"""),0.23076923076923)</f>
        <v>0.2307692308</v>
      </c>
      <c r="O245" s="8">
        <f>IFERROR(__xludf.DUMMYFUNCTION("""COMPUTED_VALUE"""),0.25)</f>
        <v>0.25</v>
      </c>
      <c r="P245" s="8">
        <f>IFERROR(__xludf.DUMMYFUNCTION("""COMPUTED_VALUE"""),0.25)</f>
        <v>0.25</v>
      </c>
      <c r="Q245" s="8">
        <f>IFERROR(__xludf.DUMMYFUNCTION("""COMPUTED_VALUE"""),0.111111111111111)</f>
        <v>0.1111111111</v>
      </c>
      <c r="R245" s="8">
        <f>IFERROR(__xludf.DUMMYFUNCTION("""COMPUTED_VALUE"""),0.0)</f>
        <v>0</v>
      </c>
      <c r="S245" s="8">
        <f>IFERROR(__xludf.DUMMYFUNCTION("""COMPUTED_VALUE"""),0.0)</f>
        <v>0</v>
      </c>
      <c r="T245" s="8">
        <f>IFERROR(__xludf.DUMMYFUNCTION("""COMPUTED_VALUE"""),0.0)</f>
        <v>0</v>
      </c>
      <c r="U245" s="8">
        <f>IFERROR(__xludf.DUMMYFUNCTION("""COMPUTED_VALUE"""),0.0)</f>
        <v>0</v>
      </c>
      <c r="V245" s="8">
        <f>IFERROR(__xludf.DUMMYFUNCTION("""COMPUTED_VALUE"""),0.0)</f>
        <v>0</v>
      </c>
      <c r="W245" s="8">
        <f>IFERROR(__xludf.DUMMYFUNCTION("""COMPUTED_VALUE"""),0.0)</f>
        <v>0</v>
      </c>
      <c r="X245" s="8">
        <f>IFERROR(__xludf.DUMMYFUNCTION("""COMPUTED_VALUE"""),0.0)</f>
        <v>0</v>
      </c>
      <c r="Y245" s="8">
        <f>IFERROR(__xludf.DUMMYFUNCTION("""COMPUTED_VALUE"""),0.0)</f>
        <v>0</v>
      </c>
      <c r="Z245" s="8">
        <f>IFERROR(__xludf.DUMMYFUNCTION("""COMPUTED_VALUE"""),0.0)</f>
        <v>0</v>
      </c>
      <c r="AA245" s="8">
        <f>IFERROR(__xludf.DUMMYFUNCTION("""COMPUTED_VALUE"""),0.0)</f>
        <v>0</v>
      </c>
      <c r="AB245" s="8">
        <f>IFERROR(__xludf.DUMMYFUNCTION("""COMPUTED_VALUE"""),0.0)</f>
        <v>0</v>
      </c>
      <c r="AC245" s="8">
        <f>IFERROR(__xludf.DUMMYFUNCTION("""COMPUTED_VALUE"""),0.0)</f>
        <v>0</v>
      </c>
    </row>
    <row r="246" ht="15.75" customHeight="1">
      <c r="A246" s="6" t="str">
        <f>IFERROR(__xludf.DUMMYFUNCTION("""COMPUTED_VALUE"""),"e0cc4d535444616635b899b0d8d7d34e8dde5fa7")</f>
        <v>e0cc4d535444616635b899b0d8d7d34e8dde5fa7</v>
      </c>
      <c r="B246" s="6" t="str">
        <f>IFERROR(__xludf.DUMMYFUNCTION("""COMPUTED_VALUE"""),"Fated Bond")</f>
        <v>Fated Bond</v>
      </c>
      <c r="C246" s="6" t="str">
        <f>IFERROR(__xludf.DUMMYFUNCTION("""COMPUTED_VALUE"""),"Romantasy")</f>
        <v>Romantasy</v>
      </c>
      <c r="D246" s="17">
        <f>IFERROR(__xludf.DUMMYFUNCTION("""COMPUTED_VALUE"""),2920.0)</f>
        <v>2920</v>
      </c>
      <c r="E246" s="8">
        <f>IFERROR(__xludf.DUMMYFUNCTION("""COMPUTED_VALUE"""),0.96057593417895)</f>
        <v>0.9605759342</v>
      </c>
      <c r="F246" s="8">
        <f>IFERROR(__xludf.DUMMYFUNCTION("""COMPUTED_VALUE"""),0.553497942386831)</f>
        <v>0.5534979424</v>
      </c>
      <c r="G246" s="8">
        <f>IFERROR(__xludf.DUMMYFUNCTION("""COMPUTED_VALUE"""),0.497256515775034)</f>
        <v>0.4972565158</v>
      </c>
      <c r="H246" s="8">
        <f>IFERROR(__xludf.DUMMYFUNCTION("""COMPUTED_VALUE"""),0.449708204600068)</f>
        <v>0.4497082046</v>
      </c>
      <c r="I246" s="8">
        <f>IFERROR(__xludf.DUMMYFUNCTION("""COMPUTED_VALUE"""),0.431318681318681)</f>
        <v>0.4313186813</v>
      </c>
      <c r="J246" s="8">
        <f>IFERROR(__xludf.DUMMYFUNCTION("""COMPUTED_VALUE"""),0.414290621779457)</f>
        <v>0.4142906218</v>
      </c>
      <c r="K246" s="8">
        <f>IFERROR(__xludf.DUMMYFUNCTION("""COMPUTED_VALUE"""),0.399793743554486)</f>
        <v>0.3997937436</v>
      </c>
      <c r="L246" s="8">
        <f>IFERROR(__xludf.DUMMYFUNCTION("""COMPUTED_VALUE"""),0.392697209782983)</f>
        <v>0.3926972098</v>
      </c>
      <c r="M246" s="8">
        <f>IFERROR(__xludf.DUMMYFUNCTION("""COMPUTED_VALUE"""),0.383367839889579)</f>
        <v>0.3833678399</v>
      </c>
      <c r="N246" s="8">
        <f>IFERROR(__xludf.DUMMYFUNCTION("""COMPUTED_VALUE"""),0.374220374220374)</f>
        <v>0.3742203742</v>
      </c>
      <c r="O246" s="8">
        <f>IFERROR(__xludf.DUMMYFUNCTION("""COMPUTED_VALUE"""),0.359534719774409)</f>
        <v>0.3595347198</v>
      </c>
      <c r="P246" s="8">
        <f>IFERROR(__xludf.DUMMYFUNCTION("""COMPUTED_VALUE"""),0.301667875271936)</f>
        <v>0.3016678753</v>
      </c>
      <c r="Q246" s="8">
        <f>IFERROR(__xludf.DUMMYFUNCTION("""COMPUTED_VALUE"""),0.261087543386039)</f>
        <v>0.2610875434</v>
      </c>
      <c r="R246" s="8">
        <f>IFERROR(__xludf.DUMMYFUNCTION("""COMPUTED_VALUE"""),0.205059203444564)</f>
        <v>0.2050592034</v>
      </c>
      <c r="S246" s="8">
        <f>IFERROR(__xludf.DUMMYFUNCTION("""COMPUTED_VALUE"""),0.169124877089478)</f>
        <v>0.1691248771</v>
      </c>
      <c r="T246" s="8">
        <f>IFERROR(__xludf.DUMMYFUNCTION("""COMPUTED_VALUE"""),0.126778783958602)</f>
        <v>0.126778784</v>
      </c>
      <c r="U246" s="8">
        <f>IFERROR(__xludf.DUMMYFUNCTION("""COMPUTED_VALUE"""),0.0833333333333333)</f>
        <v>0.08333333333</v>
      </c>
      <c r="V246" s="8">
        <f>IFERROR(__xludf.DUMMYFUNCTION("""COMPUTED_VALUE"""),0.056985294117647)</f>
        <v>0.05698529412</v>
      </c>
      <c r="W246" s="8">
        <f>IFERROR(__xludf.DUMMYFUNCTION("""COMPUTED_VALUE"""),0.0449438202247191)</f>
        <v>0.04494382022</v>
      </c>
      <c r="X246" s="8">
        <f>IFERROR(__xludf.DUMMYFUNCTION("""COMPUTED_VALUE"""),0.00859598853868194)</f>
        <v>0.008595988539</v>
      </c>
      <c r="Y246" s="8">
        <f>IFERROR(__xludf.DUMMYFUNCTION("""COMPUTED_VALUE"""),0.04)</f>
        <v>0.04</v>
      </c>
      <c r="Z246" s="8">
        <f>IFERROR(__xludf.DUMMYFUNCTION("""COMPUTED_VALUE"""),0.0)</f>
        <v>0</v>
      </c>
      <c r="AA246" s="8">
        <f>IFERROR(__xludf.DUMMYFUNCTION("""COMPUTED_VALUE"""),0.0)</f>
        <v>0</v>
      </c>
      <c r="AB246" s="8">
        <f>IFERROR(__xludf.DUMMYFUNCTION("""COMPUTED_VALUE"""),0.0)</f>
        <v>0</v>
      </c>
      <c r="AC246" s="8">
        <f>IFERROR(__xludf.DUMMYFUNCTION("""COMPUTED_VALUE"""),0.0)</f>
        <v>0</v>
      </c>
    </row>
    <row r="247" ht="15.75" customHeight="1">
      <c r="A247" s="6" t="str">
        <f>IFERROR(__xludf.DUMMYFUNCTION("""COMPUTED_VALUE"""),"e0df7c51c42acc2ebb07fef0853244b617b34a0a")</f>
        <v>e0df7c51c42acc2ebb07fef0853244b617b34a0a</v>
      </c>
      <c r="B247" s="6" t="str">
        <f>IFERROR(__xludf.DUMMYFUNCTION("""COMPUTED_VALUE"""),"Hunted by the Alpha")</f>
        <v>Hunted by the Alpha</v>
      </c>
      <c r="C247" s="6" t="str">
        <f>IFERROR(__xludf.DUMMYFUNCTION("""COMPUTED_VALUE"""),"Romantasy")</f>
        <v>Romantasy</v>
      </c>
      <c r="D247" s="17">
        <f>IFERROR(__xludf.DUMMYFUNCTION("""COMPUTED_VALUE"""),2844.0)</f>
        <v>2844</v>
      </c>
      <c r="E247" s="8">
        <f>IFERROR(__xludf.DUMMYFUNCTION("""COMPUTED_VALUE"""),0.981357720717551)</f>
        <v>0.9813577207</v>
      </c>
      <c r="F247" s="8">
        <f>IFERROR(__xludf.DUMMYFUNCTION("""COMPUTED_VALUE"""),0.471147079521463)</f>
        <v>0.4711470795</v>
      </c>
      <c r="G247" s="8">
        <f>IFERROR(__xludf.DUMMYFUNCTION("""COMPUTED_VALUE"""),0.406128918633321)</f>
        <v>0.4061289186</v>
      </c>
      <c r="H247" s="8">
        <f>IFERROR(__xludf.DUMMYFUNCTION("""COMPUTED_VALUE"""),0.37856891082129)</f>
        <v>0.3785689108</v>
      </c>
      <c r="I247" s="8">
        <f>IFERROR(__xludf.DUMMYFUNCTION("""COMPUTED_VALUE"""),0.357218496293681)</f>
        <v>0.3572184963</v>
      </c>
      <c r="J247" s="8">
        <f>IFERROR(__xludf.DUMMYFUNCTION("""COMPUTED_VALUE"""),0.338276836158192)</f>
        <v>0.3382768362</v>
      </c>
      <c r="K247" s="8">
        <f>IFERROR(__xludf.DUMMYFUNCTION("""COMPUTED_VALUE"""),0.314134275618374)</f>
        <v>0.3141342756</v>
      </c>
      <c r="L247" s="8">
        <f>IFERROR(__xludf.DUMMYFUNCTION("""COMPUTED_VALUE"""),0.290973451327433)</f>
        <v>0.2909734513</v>
      </c>
      <c r="M247" s="8">
        <f>IFERROR(__xludf.DUMMYFUNCTION("""COMPUTED_VALUE"""),0.293482175009002)</f>
        <v>0.293482175</v>
      </c>
      <c r="N247" s="8">
        <f>IFERROR(__xludf.DUMMYFUNCTION("""COMPUTED_VALUE"""),0.281646787225856)</f>
        <v>0.2816467872</v>
      </c>
      <c r="O247" s="8">
        <f>IFERROR(__xludf.DUMMYFUNCTION("""COMPUTED_VALUE"""),0.249336870026525)</f>
        <v>0.24933687</v>
      </c>
      <c r="P247" s="8">
        <f>IFERROR(__xludf.DUMMYFUNCTION("""COMPUTED_VALUE"""),0.240174672489082)</f>
        <v>0.2401746725</v>
      </c>
      <c r="Q247" s="8">
        <f>IFERROR(__xludf.DUMMYFUNCTION("""COMPUTED_VALUE"""),0.309523809523809)</f>
        <v>0.3095238095</v>
      </c>
      <c r="R247" s="8">
        <f>IFERROR(__xludf.DUMMYFUNCTION("""COMPUTED_VALUE"""),0.0)</f>
        <v>0</v>
      </c>
      <c r="S247" s="8">
        <f>IFERROR(__xludf.DUMMYFUNCTION("""COMPUTED_VALUE"""),0.0)</f>
        <v>0</v>
      </c>
      <c r="T247" s="8">
        <f>IFERROR(__xludf.DUMMYFUNCTION("""COMPUTED_VALUE"""),0.0)</f>
        <v>0</v>
      </c>
      <c r="U247" s="8">
        <f>IFERROR(__xludf.DUMMYFUNCTION("""COMPUTED_VALUE"""),0.0)</f>
        <v>0</v>
      </c>
      <c r="V247" s="8">
        <f>IFERROR(__xludf.DUMMYFUNCTION("""COMPUTED_VALUE"""),0.0)</f>
        <v>0</v>
      </c>
      <c r="W247" s="8">
        <f>IFERROR(__xludf.DUMMYFUNCTION("""COMPUTED_VALUE"""),0.0)</f>
        <v>0</v>
      </c>
      <c r="X247" s="8">
        <f>IFERROR(__xludf.DUMMYFUNCTION("""COMPUTED_VALUE"""),0.0)</f>
        <v>0</v>
      </c>
      <c r="Y247" s="8">
        <f>IFERROR(__xludf.DUMMYFUNCTION("""COMPUTED_VALUE"""),0.0)</f>
        <v>0</v>
      </c>
      <c r="Z247" s="8">
        <f>IFERROR(__xludf.DUMMYFUNCTION("""COMPUTED_VALUE"""),0.0)</f>
        <v>0</v>
      </c>
      <c r="AA247" s="8">
        <f>IFERROR(__xludf.DUMMYFUNCTION("""COMPUTED_VALUE"""),0.0)</f>
        <v>0</v>
      </c>
      <c r="AB247" s="8">
        <f>IFERROR(__xludf.DUMMYFUNCTION("""COMPUTED_VALUE"""),0.0)</f>
        <v>0</v>
      </c>
      <c r="AC247" s="8">
        <f>IFERROR(__xludf.DUMMYFUNCTION("""COMPUTED_VALUE"""),0.0)</f>
        <v>0</v>
      </c>
    </row>
    <row r="248" ht="15.75" customHeight="1">
      <c r="A248" s="6" t="str">
        <f>IFERROR(__xludf.DUMMYFUNCTION("""COMPUTED_VALUE"""),"e168f716089521f9d1fe95769f273458c64e2ba9")</f>
        <v>e168f716089521f9d1fe95769f273458c64e2ba9</v>
      </c>
      <c r="B248" s="6" t="str">
        <f>IFERROR(__xludf.DUMMYFUNCTION("""COMPUTED_VALUE"""),"My Young Bodyguard")</f>
        <v>My Young Bodyguard</v>
      </c>
      <c r="C248" s="6" t="str">
        <f>IFERROR(__xludf.DUMMYFUNCTION("""COMPUTED_VALUE"""),"Drama")</f>
        <v>Drama</v>
      </c>
      <c r="D248" s="17">
        <f>IFERROR(__xludf.DUMMYFUNCTION("""COMPUTED_VALUE"""),535.0)</f>
        <v>535</v>
      </c>
      <c r="E248" s="8">
        <f>IFERROR(__xludf.DUMMYFUNCTION("""COMPUTED_VALUE"""),0.97752808988764)</f>
        <v>0.9775280899</v>
      </c>
      <c r="F248" s="8">
        <f>IFERROR(__xludf.DUMMYFUNCTION("""COMPUTED_VALUE"""),0.570588235294117)</f>
        <v>0.5705882353</v>
      </c>
      <c r="G248" s="8">
        <f>IFERROR(__xludf.DUMMYFUNCTION("""COMPUTED_VALUE"""),0.500998003992016)</f>
        <v>0.500998004</v>
      </c>
      <c r="H248" s="8">
        <f>IFERROR(__xludf.DUMMYFUNCTION("""COMPUTED_VALUE"""),0.463519313304721)</f>
        <v>0.4635193133</v>
      </c>
      <c r="I248" s="8">
        <f>IFERROR(__xludf.DUMMYFUNCTION("""COMPUTED_VALUE"""),0.409799554565701)</f>
        <v>0.4097995546</v>
      </c>
      <c r="J248" s="8">
        <f>IFERROR(__xludf.DUMMYFUNCTION("""COMPUTED_VALUE"""),0.410377358490566)</f>
        <v>0.4103773585</v>
      </c>
      <c r="K248" s="8">
        <f>IFERROR(__xludf.DUMMYFUNCTION("""COMPUTED_VALUE"""),0.389578163771712)</f>
        <v>0.3895781638</v>
      </c>
      <c r="L248" s="8">
        <f>IFERROR(__xludf.DUMMYFUNCTION("""COMPUTED_VALUE"""),0.375350140056022)</f>
        <v>0.3753501401</v>
      </c>
      <c r="M248" s="8">
        <f>IFERROR(__xludf.DUMMYFUNCTION("""COMPUTED_VALUE"""),0.361194029850746)</f>
        <v>0.3611940299</v>
      </c>
      <c r="N248" s="8">
        <f>IFERROR(__xludf.DUMMYFUNCTION("""COMPUTED_VALUE"""),0.317610062893081)</f>
        <v>0.3176100629</v>
      </c>
      <c r="O248" s="8">
        <f>IFERROR(__xludf.DUMMYFUNCTION("""COMPUTED_VALUE"""),0.2421875)</f>
        <v>0.2421875</v>
      </c>
      <c r="P248" s="8">
        <f>IFERROR(__xludf.DUMMYFUNCTION("""COMPUTED_VALUE"""),0.235772357723577)</f>
        <v>0.2357723577</v>
      </c>
      <c r="Q248" s="8">
        <f>IFERROR(__xludf.DUMMYFUNCTION("""COMPUTED_VALUE"""),0.151515151515151)</f>
        <v>0.1515151515</v>
      </c>
      <c r="R248" s="8">
        <f>IFERROR(__xludf.DUMMYFUNCTION("""COMPUTED_VALUE"""),0.0638297872340425)</f>
        <v>0.06382978723</v>
      </c>
      <c r="S248" s="8">
        <f>IFERROR(__xludf.DUMMYFUNCTION("""COMPUTED_VALUE"""),0.0)</f>
        <v>0</v>
      </c>
      <c r="T248" s="8">
        <f>IFERROR(__xludf.DUMMYFUNCTION("""COMPUTED_VALUE"""),0.0)</f>
        <v>0</v>
      </c>
      <c r="U248" s="8">
        <f>IFERROR(__xludf.DUMMYFUNCTION("""COMPUTED_VALUE"""),0.0)</f>
        <v>0</v>
      </c>
      <c r="V248" s="8">
        <f>IFERROR(__xludf.DUMMYFUNCTION("""COMPUTED_VALUE"""),0.0)</f>
        <v>0</v>
      </c>
      <c r="W248" s="8">
        <f>IFERROR(__xludf.DUMMYFUNCTION("""COMPUTED_VALUE"""),0.0)</f>
        <v>0</v>
      </c>
      <c r="X248" s="8">
        <f>IFERROR(__xludf.DUMMYFUNCTION("""COMPUTED_VALUE"""),0.0)</f>
        <v>0</v>
      </c>
      <c r="Y248" s="8">
        <f>IFERROR(__xludf.DUMMYFUNCTION("""COMPUTED_VALUE"""),0.0)</f>
        <v>0</v>
      </c>
      <c r="Z248" s="8">
        <f>IFERROR(__xludf.DUMMYFUNCTION("""COMPUTED_VALUE"""),0.0)</f>
        <v>0</v>
      </c>
      <c r="AA248" s="8">
        <f>IFERROR(__xludf.DUMMYFUNCTION("""COMPUTED_VALUE"""),0.0)</f>
        <v>0</v>
      </c>
      <c r="AB248" s="8">
        <f>IFERROR(__xludf.DUMMYFUNCTION("""COMPUTED_VALUE"""),0.0)</f>
        <v>0</v>
      </c>
      <c r="AC248" s="8">
        <f>IFERROR(__xludf.DUMMYFUNCTION("""COMPUTED_VALUE"""),0.0)</f>
        <v>0</v>
      </c>
    </row>
    <row r="249" ht="15.75" customHeight="1">
      <c r="A249" s="6" t="str">
        <f>IFERROR(__xludf.DUMMYFUNCTION("""COMPUTED_VALUE"""),"e1e025613df0bb24a28711b19cbefdbc254e0c21")</f>
        <v>e1e025613df0bb24a28711b19cbefdbc254e0c21</v>
      </c>
      <c r="B249" s="6" t="str">
        <f>IFERROR(__xludf.DUMMYFUNCTION("""COMPUTED_VALUE"""),"The Ceo Hidden Bride")</f>
        <v>The Ceo Hidden Bride</v>
      </c>
      <c r="C249" s="6" t="str">
        <f>IFERROR(__xludf.DUMMYFUNCTION("""COMPUTED_VALUE"""),"Romance")</f>
        <v>Romance</v>
      </c>
      <c r="D249" s="17">
        <f>IFERROR(__xludf.DUMMYFUNCTION("""COMPUTED_VALUE"""),559.0)</f>
        <v>559</v>
      </c>
      <c r="E249" s="8">
        <f>IFERROR(__xludf.DUMMYFUNCTION("""COMPUTED_VALUE"""),0.975708502024291)</f>
        <v>0.975708502</v>
      </c>
      <c r="F249" s="8">
        <f>IFERROR(__xludf.DUMMYFUNCTION("""COMPUTED_VALUE"""),0.605664488017429)</f>
        <v>0.605664488</v>
      </c>
      <c r="G249" s="8">
        <f>IFERROR(__xludf.DUMMYFUNCTION("""COMPUTED_VALUE"""),0.494432071269487)</f>
        <v>0.4944320713</v>
      </c>
      <c r="H249" s="8">
        <f>IFERROR(__xludf.DUMMYFUNCTION("""COMPUTED_VALUE"""),0.452702702702702)</f>
        <v>0.4527027027</v>
      </c>
      <c r="I249" s="8">
        <f>IFERROR(__xludf.DUMMYFUNCTION("""COMPUTED_VALUE"""),0.410958904109589)</f>
        <v>0.4109589041</v>
      </c>
      <c r="J249" s="8">
        <f>IFERROR(__xludf.DUMMYFUNCTION("""COMPUTED_VALUE"""),0.365566037735849)</f>
        <v>0.3655660377</v>
      </c>
      <c r="K249" s="8">
        <f>IFERROR(__xludf.DUMMYFUNCTION("""COMPUTED_VALUE"""),0.358173076923076)</f>
        <v>0.3581730769</v>
      </c>
      <c r="L249" s="8">
        <f>IFERROR(__xludf.DUMMYFUNCTION("""COMPUTED_VALUE"""),0.338624338624338)</f>
        <v>0.3386243386</v>
      </c>
      <c r="M249" s="8">
        <f>IFERROR(__xludf.DUMMYFUNCTION("""COMPUTED_VALUE"""),0.332394366197183)</f>
        <v>0.3323943662</v>
      </c>
      <c r="N249" s="8">
        <f>IFERROR(__xludf.DUMMYFUNCTION("""COMPUTED_VALUE"""),0.324590163934426)</f>
        <v>0.3245901639</v>
      </c>
      <c r="O249" s="8">
        <f>IFERROR(__xludf.DUMMYFUNCTION("""COMPUTED_VALUE"""),0.243589743589743)</f>
        <v>0.2435897436</v>
      </c>
      <c r="P249" s="8">
        <f>IFERROR(__xludf.DUMMYFUNCTION("""COMPUTED_VALUE"""),0.24)</f>
        <v>0.24</v>
      </c>
      <c r="Q249" s="8">
        <f>IFERROR(__xludf.DUMMYFUNCTION("""COMPUTED_VALUE"""),0.0)</f>
        <v>0</v>
      </c>
      <c r="R249" s="8">
        <f>IFERROR(__xludf.DUMMYFUNCTION("""COMPUTED_VALUE"""),0.0)</f>
        <v>0</v>
      </c>
      <c r="S249" s="8">
        <f>IFERROR(__xludf.DUMMYFUNCTION("""COMPUTED_VALUE"""),0.0)</f>
        <v>0</v>
      </c>
      <c r="T249" s="8">
        <f>IFERROR(__xludf.DUMMYFUNCTION("""COMPUTED_VALUE"""),0.0)</f>
        <v>0</v>
      </c>
      <c r="U249" s="8">
        <f>IFERROR(__xludf.DUMMYFUNCTION("""COMPUTED_VALUE"""),0.0)</f>
        <v>0</v>
      </c>
      <c r="V249" s="8">
        <f>IFERROR(__xludf.DUMMYFUNCTION("""COMPUTED_VALUE"""),0.0)</f>
        <v>0</v>
      </c>
      <c r="W249" s="8">
        <f>IFERROR(__xludf.DUMMYFUNCTION("""COMPUTED_VALUE"""),0.0)</f>
        <v>0</v>
      </c>
      <c r="X249" s="8">
        <f>IFERROR(__xludf.DUMMYFUNCTION("""COMPUTED_VALUE"""),0.0)</f>
        <v>0</v>
      </c>
      <c r="Y249" s="8">
        <f>IFERROR(__xludf.DUMMYFUNCTION("""COMPUTED_VALUE"""),0.0)</f>
        <v>0</v>
      </c>
      <c r="Z249" s="8">
        <f>IFERROR(__xludf.DUMMYFUNCTION("""COMPUTED_VALUE"""),0.0)</f>
        <v>0</v>
      </c>
      <c r="AA249" s="8">
        <f>IFERROR(__xludf.DUMMYFUNCTION("""COMPUTED_VALUE"""),0.0)</f>
        <v>0</v>
      </c>
      <c r="AB249" s="8">
        <f>IFERROR(__xludf.DUMMYFUNCTION("""COMPUTED_VALUE"""),0.0)</f>
        <v>0</v>
      </c>
      <c r="AC249" s="8">
        <f>IFERROR(__xludf.DUMMYFUNCTION("""COMPUTED_VALUE"""),0.0)</f>
        <v>0</v>
      </c>
    </row>
    <row r="250" ht="15.75" customHeight="1">
      <c r="A250" s="6" t="str">
        <f>IFERROR(__xludf.DUMMYFUNCTION("""COMPUTED_VALUE"""),"e2f077e58449b7e3e415bd16eb5bb755606936b6")</f>
        <v>e2f077e58449b7e3e415bd16eb5bb755606936b6</v>
      </c>
      <c r="B250" s="6" t="str">
        <f>IFERROR(__xludf.DUMMYFUNCTION("""COMPUTED_VALUE"""),"Powerless Heir to Throne")</f>
        <v>Powerless Heir to Throne</v>
      </c>
      <c r="C250" s="6" t="str">
        <f>IFERROR(__xludf.DUMMYFUNCTION("""COMPUTED_VALUE"""),"System and Superpower")</f>
        <v>System and Superpower</v>
      </c>
      <c r="D250" s="17">
        <f>IFERROR(__xludf.DUMMYFUNCTION("""COMPUTED_VALUE"""),703.0)</f>
        <v>703</v>
      </c>
      <c r="E250" s="8">
        <f>IFERROR(__xludf.DUMMYFUNCTION("""COMPUTED_VALUE"""),0.960170697012802)</f>
        <v>0.960170697</v>
      </c>
      <c r="F250" s="8">
        <f>IFERROR(__xludf.DUMMYFUNCTION("""COMPUTED_VALUE"""),0.687589158345221)</f>
        <v>0.6875891583</v>
      </c>
      <c r="G250" s="8">
        <f>IFERROR(__xludf.DUMMYFUNCTION("""COMPUTED_VALUE"""),0.63623395149786)</f>
        <v>0.6362339515</v>
      </c>
      <c r="H250" s="8">
        <f>IFERROR(__xludf.DUMMYFUNCTION("""COMPUTED_VALUE"""),0.595714285714285)</f>
        <v>0.5957142857</v>
      </c>
      <c r="I250" s="8">
        <f>IFERROR(__xludf.DUMMYFUNCTION("""COMPUTED_VALUE"""),0.533619456366237)</f>
        <v>0.5336194564</v>
      </c>
      <c r="J250" s="8">
        <f>IFERROR(__xludf.DUMMYFUNCTION("""COMPUTED_VALUE"""),0.504322766570605)</f>
        <v>0.5043227666</v>
      </c>
      <c r="K250" s="8">
        <f>IFERROR(__xludf.DUMMYFUNCTION("""COMPUTED_VALUE"""),0.465417867435158)</f>
        <v>0.4654178674</v>
      </c>
      <c r="L250" s="8">
        <f>IFERROR(__xludf.DUMMYFUNCTION("""COMPUTED_VALUE"""),0.434971098265896)</f>
        <v>0.4349710983</v>
      </c>
      <c r="M250" s="8">
        <f>IFERROR(__xludf.DUMMYFUNCTION("""COMPUTED_VALUE"""),0.409551374819102)</f>
        <v>0.4095513748</v>
      </c>
      <c r="N250" s="8">
        <f>IFERROR(__xludf.DUMMYFUNCTION("""COMPUTED_VALUE"""),0.396526772793053)</f>
        <v>0.3965267728</v>
      </c>
      <c r="O250" s="8">
        <f>IFERROR(__xludf.DUMMYFUNCTION("""COMPUTED_VALUE"""),0.337719298245614)</f>
        <v>0.3377192982</v>
      </c>
      <c r="P250" s="8">
        <f>IFERROR(__xludf.DUMMYFUNCTION("""COMPUTED_VALUE"""),0.228017883755588)</f>
        <v>0.2280178838</v>
      </c>
      <c r="Q250" s="8">
        <f>IFERROR(__xludf.DUMMYFUNCTION("""COMPUTED_VALUE"""),0.124416796267496)</f>
        <v>0.1244167963</v>
      </c>
      <c r="R250" s="8">
        <f>IFERROR(__xludf.DUMMYFUNCTION("""COMPUTED_VALUE"""),0.0859504132231405)</f>
        <v>0.08595041322</v>
      </c>
      <c r="S250" s="8">
        <f>IFERROR(__xludf.DUMMYFUNCTION("""COMPUTED_VALUE"""),0.134615384615384)</f>
        <v>0.1346153846</v>
      </c>
      <c r="T250" s="8">
        <f>IFERROR(__xludf.DUMMYFUNCTION("""COMPUTED_VALUE"""),0.0)</f>
        <v>0</v>
      </c>
      <c r="U250" s="8">
        <f>IFERROR(__xludf.DUMMYFUNCTION("""COMPUTED_VALUE"""),0.0)</f>
        <v>0</v>
      </c>
      <c r="V250" s="8">
        <f>IFERROR(__xludf.DUMMYFUNCTION("""COMPUTED_VALUE"""),0.0)</f>
        <v>0</v>
      </c>
      <c r="W250" s="8">
        <f>IFERROR(__xludf.DUMMYFUNCTION("""COMPUTED_VALUE"""),0.0)</f>
        <v>0</v>
      </c>
      <c r="X250" s="8">
        <f>IFERROR(__xludf.DUMMYFUNCTION("""COMPUTED_VALUE"""),0.0)</f>
        <v>0</v>
      </c>
      <c r="Y250" s="8">
        <f>IFERROR(__xludf.DUMMYFUNCTION("""COMPUTED_VALUE"""),0.0)</f>
        <v>0</v>
      </c>
      <c r="Z250" s="8">
        <f>IFERROR(__xludf.DUMMYFUNCTION("""COMPUTED_VALUE"""),0.0)</f>
        <v>0</v>
      </c>
      <c r="AA250" s="8">
        <f>IFERROR(__xludf.DUMMYFUNCTION("""COMPUTED_VALUE"""),0.0)</f>
        <v>0</v>
      </c>
      <c r="AB250" s="8">
        <f>IFERROR(__xludf.DUMMYFUNCTION("""COMPUTED_VALUE"""),0.0)</f>
        <v>0</v>
      </c>
      <c r="AC250" s="8">
        <f>IFERROR(__xludf.DUMMYFUNCTION("""COMPUTED_VALUE"""),0.0)</f>
        <v>0</v>
      </c>
    </row>
    <row r="251" ht="15.75" customHeight="1">
      <c r="A251" s="6" t="str">
        <f>IFERROR(__xludf.DUMMYFUNCTION("""COMPUTED_VALUE"""),"e3ea22ad9a736918a7619bfed3abf1f862c9bdb2")</f>
        <v>e3ea22ad9a736918a7619bfed3abf1f862c9bdb2</v>
      </c>
      <c r="B251" s="6" t="str">
        <f>IFERROR(__xludf.DUMMYFUNCTION("""COMPUTED_VALUE"""),"The Empress's Cold Return")</f>
        <v>The Empress's Cold Return</v>
      </c>
      <c r="C251" s="6" t="str">
        <f>IFERROR(__xludf.DUMMYFUNCTION("""COMPUTED_VALUE"""),"Drama")</f>
        <v>Drama</v>
      </c>
      <c r="D251" s="17">
        <f>IFERROR(__xludf.DUMMYFUNCTION("""COMPUTED_VALUE"""),631.0)</f>
        <v>631</v>
      </c>
      <c r="E251" s="8">
        <f>IFERROR(__xludf.DUMMYFUNCTION("""COMPUTED_VALUE"""),0.971473851030111)</f>
        <v>0.971473851</v>
      </c>
      <c r="F251" s="8">
        <f>IFERROR(__xludf.DUMMYFUNCTION("""COMPUTED_VALUE"""),0.575277337559429)</f>
        <v>0.5752773376</v>
      </c>
      <c r="G251" s="8">
        <f>IFERROR(__xludf.DUMMYFUNCTION("""COMPUTED_VALUE"""),0.479365079365079)</f>
        <v>0.4793650794</v>
      </c>
      <c r="H251" s="8">
        <f>IFERROR(__xludf.DUMMYFUNCTION("""COMPUTED_VALUE"""),0.436507936507936)</f>
        <v>0.4365079365</v>
      </c>
      <c r="I251" s="8">
        <f>IFERROR(__xludf.DUMMYFUNCTION("""COMPUTED_VALUE"""),0.412698412698412)</f>
        <v>0.4126984127</v>
      </c>
      <c r="J251" s="8">
        <f>IFERROR(__xludf.DUMMYFUNCTION("""COMPUTED_VALUE"""),0.393650793650793)</f>
        <v>0.3936507937</v>
      </c>
      <c r="K251" s="8">
        <f>IFERROR(__xludf.DUMMYFUNCTION("""COMPUTED_VALUE"""),0.357142857142857)</f>
        <v>0.3571428571</v>
      </c>
      <c r="L251" s="8">
        <f>IFERROR(__xludf.DUMMYFUNCTION("""COMPUTED_VALUE"""),0.36031746031746)</f>
        <v>0.3603174603</v>
      </c>
      <c r="M251" s="8">
        <f>IFERROR(__xludf.DUMMYFUNCTION("""COMPUTED_VALUE"""),0.316375198728139)</f>
        <v>0.3163751987</v>
      </c>
      <c r="N251" s="8">
        <f>IFERROR(__xludf.DUMMYFUNCTION("""COMPUTED_VALUE"""),0.316375198728139)</f>
        <v>0.3163751987</v>
      </c>
      <c r="O251" s="8">
        <f>IFERROR(__xludf.DUMMYFUNCTION("""COMPUTED_VALUE"""),0.255591054313099)</f>
        <v>0.2555910543</v>
      </c>
      <c r="P251" s="8">
        <f>IFERROR(__xludf.DUMMYFUNCTION("""COMPUTED_VALUE"""),0.176948051948051)</f>
        <v>0.1769480519</v>
      </c>
      <c r="Q251" s="8">
        <f>IFERROR(__xludf.DUMMYFUNCTION("""COMPUTED_VALUE"""),0.0827586206896551)</f>
        <v>0.08275862069</v>
      </c>
      <c r="R251" s="8">
        <f>IFERROR(__xludf.DUMMYFUNCTION("""COMPUTED_VALUE"""),0.0391061452513966)</f>
        <v>0.03910614525</v>
      </c>
      <c r="S251" s="8">
        <f>IFERROR(__xludf.DUMMYFUNCTION("""COMPUTED_VALUE"""),0.0)</f>
        <v>0</v>
      </c>
      <c r="T251" s="8">
        <f>IFERROR(__xludf.DUMMYFUNCTION("""COMPUTED_VALUE"""),0.0)</f>
        <v>0</v>
      </c>
      <c r="U251" s="8">
        <f>IFERROR(__xludf.DUMMYFUNCTION("""COMPUTED_VALUE"""),0.0)</f>
        <v>0</v>
      </c>
      <c r="V251" s="8">
        <f>IFERROR(__xludf.DUMMYFUNCTION("""COMPUTED_VALUE"""),0.0)</f>
        <v>0</v>
      </c>
      <c r="W251" s="8">
        <f>IFERROR(__xludf.DUMMYFUNCTION("""COMPUTED_VALUE"""),0.0)</f>
        <v>0</v>
      </c>
      <c r="X251" s="8">
        <f>IFERROR(__xludf.DUMMYFUNCTION("""COMPUTED_VALUE"""),0.0)</f>
        <v>0</v>
      </c>
      <c r="Y251" s="8">
        <f>IFERROR(__xludf.DUMMYFUNCTION("""COMPUTED_VALUE"""),0.0)</f>
        <v>0</v>
      </c>
      <c r="Z251" s="8">
        <f>IFERROR(__xludf.DUMMYFUNCTION("""COMPUTED_VALUE"""),0.0)</f>
        <v>0</v>
      </c>
      <c r="AA251" s="8">
        <f>IFERROR(__xludf.DUMMYFUNCTION("""COMPUTED_VALUE"""),0.0)</f>
        <v>0</v>
      </c>
      <c r="AB251" s="8">
        <f>IFERROR(__xludf.DUMMYFUNCTION("""COMPUTED_VALUE"""),0.0)</f>
        <v>0</v>
      </c>
      <c r="AC251" s="8">
        <f>IFERROR(__xludf.DUMMYFUNCTION("""COMPUTED_VALUE"""),0.0)</f>
        <v>0</v>
      </c>
    </row>
    <row r="252" ht="15.75" customHeight="1">
      <c r="A252" s="6" t="str">
        <f>IFERROR(__xludf.DUMMYFUNCTION("""COMPUTED_VALUE"""),"e40505b31ca87f2f6b736e3f18b3e9f46e21cd04")</f>
        <v>e40505b31ca87f2f6b736e3f18b3e9f46e21cd04</v>
      </c>
      <c r="B252" s="6" t="str">
        <f>IFERROR(__xludf.DUMMYFUNCTION("""COMPUTED_VALUE"""),"My Dragonic System")</f>
        <v>My Dragonic System</v>
      </c>
      <c r="C252" s="6" t="str">
        <f>IFERROR(__xludf.DUMMYFUNCTION("""COMPUTED_VALUE"""),"System and Superpower")</f>
        <v>System and Superpower</v>
      </c>
      <c r="D252" s="17">
        <f>IFERROR(__xludf.DUMMYFUNCTION("""COMPUTED_VALUE"""),26486.0)</f>
        <v>26486</v>
      </c>
      <c r="E252" s="8">
        <f>IFERROR(__xludf.DUMMYFUNCTION("""COMPUTED_VALUE"""),0.961922030825022)</f>
        <v>0.9619220308</v>
      </c>
      <c r="F252" s="8">
        <f>IFERROR(__xludf.DUMMYFUNCTION("""COMPUTED_VALUE"""),0.627005752346351)</f>
        <v>0.6270057523</v>
      </c>
      <c r="G252" s="8">
        <f>IFERROR(__xludf.DUMMYFUNCTION("""COMPUTED_VALUE"""),0.576979888649017)</f>
        <v>0.5769798886</v>
      </c>
      <c r="H252" s="8">
        <f>IFERROR(__xludf.DUMMYFUNCTION("""COMPUTED_VALUE"""),0.540722177924592)</f>
        <v>0.5407221779</v>
      </c>
      <c r="I252" s="8">
        <f>IFERROR(__xludf.DUMMYFUNCTION("""COMPUTED_VALUE"""),0.521058233237038)</f>
        <v>0.5210582332</v>
      </c>
      <c r="J252" s="8">
        <f>IFERROR(__xludf.DUMMYFUNCTION("""COMPUTED_VALUE"""),0.503904018282232)</f>
        <v>0.5039040183</v>
      </c>
      <c r="K252" s="8">
        <f>IFERROR(__xludf.DUMMYFUNCTION("""COMPUTED_VALUE"""),0.485849416431459)</f>
        <v>0.4858494164</v>
      </c>
      <c r="L252" s="8">
        <f>IFERROR(__xludf.DUMMYFUNCTION("""COMPUTED_VALUE"""),0.473591616629058)</f>
        <v>0.4735916166</v>
      </c>
      <c r="M252" s="8">
        <f>IFERROR(__xludf.DUMMYFUNCTION("""COMPUTED_VALUE"""),0.459888739689238)</f>
        <v>0.4598887397</v>
      </c>
      <c r="N252" s="8">
        <f>IFERROR(__xludf.DUMMYFUNCTION("""COMPUTED_VALUE"""),0.448567583157085)</f>
        <v>0.4485675832</v>
      </c>
      <c r="O252" s="8">
        <f>IFERROR(__xludf.DUMMYFUNCTION("""COMPUTED_VALUE"""),0.422437888198757)</f>
        <v>0.4224378882</v>
      </c>
      <c r="P252" s="8">
        <f>IFERROR(__xludf.DUMMYFUNCTION("""COMPUTED_VALUE"""),0.361567993534047)</f>
        <v>0.3615679935</v>
      </c>
      <c r="Q252" s="8">
        <f>IFERROR(__xludf.DUMMYFUNCTION("""COMPUTED_VALUE"""),0.2891866357468)</f>
        <v>0.2891866357</v>
      </c>
      <c r="R252" s="8">
        <f>IFERROR(__xludf.DUMMYFUNCTION("""COMPUTED_VALUE"""),0.243591058244462)</f>
        <v>0.2435910582</v>
      </c>
      <c r="S252" s="8">
        <f>IFERROR(__xludf.DUMMYFUNCTION("""COMPUTED_VALUE"""),0.2007722007722)</f>
        <v>0.2007722008</v>
      </c>
      <c r="T252" s="8">
        <f>IFERROR(__xludf.DUMMYFUNCTION("""COMPUTED_VALUE"""),0.144860861759425)</f>
        <v>0.1448608618</v>
      </c>
      <c r="U252" s="8">
        <f>IFERROR(__xludf.DUMMYFUNCTION("""COMPUTED_VALUE"""),0.107729275130156)</f>
        <v>0.1077292751</v>
      </c>
      <c r="V252" s="8">
        <f>IFERROR(__xludf.DUMMYFUNCTION("""COMPUTED_VALUE"""),0.0)</f>
        <v>0</v>
      </c>
      <c r="W252" s="8">
        <f>IFERROR(__xludf.DUMMYFUNCTION("""COMPUTED_VALUE"""),0.0)</f>
        <v>0</v>
      </c>
      <c r="X252" s="8">
        <f>IFERROR(__xludf.DUMMYFUNCTION("""COMPUTED_VALUE"""),0.0)</f>
        <v>0</v>
      </c>
      <c r="Y252" s="8">
        <f>IFERROR(__xludf.DUMMYFUNCTION("""COMPUTED_VALUE"""),0.0)</f>
        <v>0</v>
      </c>
      <c r="Z252" s="8">
        <f>IFERROR(__xludf.DUMMYFUNCTION("""COMPUTED_VALUE"""),0.0)</f>
        <v>0</v>
      </c>
      <c r="AA252" s="8">
        <f>IFERROR(__xludf.DUMMYFUNCTION("""COMPUTED_VALUE"""),0.0)</f>
        <v>0</v>
      </c>
      <c r="AB252" s="8">
        <f>IFERROR(__xludf.DUMMYFUNCTION("""COMPUTED_VALUE"""),0.0)</f>
        <v>0</v>
      </c>
      <c r="AC252" s="8">
        <f>IFERROR(__xludf.DUMMYFUNCTION("""COMPUTED_VALUE"""),0.0)</f>
        <v>0</v>
      </c>
    </row>
    <row r="253" ht="15.75" customHeight="1">
      <c r="A253" s="6" t="str">
        <f>IFERROR(__xludf.DUMMYFUNCTION("""COMPUTED_VALUE"""),"e5b71f4b40481cb15ce33532df56be566352534e")</f>
        <v>e5b71f4b40481cb15ce33532df56be566352534e</v>
      </c>
      <c r="B253" s="6" t="str">
        <f>IFERROR(__xludf.DUMMYFUNCTION("""COMPUTED_VALUE"""),"Rewind and Rise")</f>
        <v>Rewind and Rise</v>
      </c>
      <c r="C253" s="6" t="str">
        <f>IFERROR(__xludf.DUMMYFUNCTION("""COMPUTED_VALUE"""),"Romantasy")</f>
        <v>Romantasy</v>
      </c>
      <c r="D253" s="17">
        <f>IFERROR(__xludf.DUMMYFUNCTION("""COMPUTED_VALUE"""),167.0)</f>
        <v>167</v>
      </c>
      <c r="E253" s="8">
        <f>IFERROR(__xludf.DUMMYFUNCTION("""COMPUTED_VALUE"""),0.967320261437908)</f>
        <v>0.9673202614</v>
      </c>
      <c r="F253" s="8">
        <f>IFERROR(__xludf.DUMMYFUNCTION("""COMPUTED_VALUE"""),0.7890625)</f>
        <v>0.7890625</v>
      </c>
      <c r="G253" s="8">
        <f>IFERROR(__xludf.DUMMYFUNCTION("""COMPUTED_VALUE"""),0.677685950413223)</f>
        <v>0.6776859504</v>
      </c>
      <c r="H253" s="8">
        <f>IFERROR(__xludf.DUMMYFUNCTION("""COMPUTED_VALUE"""),0.603960396039603)</f>
        <v>0.603960396</v>
      </c>
      <c r="I253" s="8">
        <f>IFERROR(__xludf.DUMMYFUNCTION("""COMPUTED_VALUE"""),0.597938144329896)</f>
        <v>0.5979381443</v>
      </c>
      <c r="J253" s="8">
        <f>IFERROR(__xludf.DUMMYFUNCTION("""COMPUTED_VALUE"""),0.57471264367816)</f>
        <v>0.5747126437</v>
      </c>
      <c r="K253" s="8">
        <f>IFERROR(__xludf.DUMMYFUNCTION("""COMPUTED_VALUE"""),0.575)</f>
        <v>0.575</v>
      </c>
      <c r="L253" s="8">
        <f>IFERROR(__xludf.DUMMYFUNCTION("""COMPUTED_VALUE"""),0.544117647058823)</f>
        <v>0.5441176471</v>
      </c>
      <c r="M253" s="8">
        <f>IFERROR(__xludf.DUMMYFUNCTION("""COMPUTED_VALUE"""),0.47457627118644)</f>
        <v>0.4745762712</v>
      </c>
      <c r="N253" s="8">
        <f>IFERROR(__xludf.DUMMYFUNCTION("""COMPUTED_VALUE"""),0.476190476190476)</f>
        <v>0.4761904762</v>
      </c>
      <c r="O253" s="8">
        <f>IFERROR(__xludf.DUMMYFUNCTION("""COMPUTED_VALUE"""),0.545454545454545)</f>
        <v>0.5454545455</v>
      </c>
      <c r="P253" s="8">
        <f>IFERROR(__xludf.DUMMYFUNCTION("""COMPUTED_VALUE"""),0.222222222222222)</f>
        <v>0.2222222222</v>
      </c>
      <c r="Q253" s="8">
        <f>IFERROR(__xludf.DUMMYFUNCTION("""COMPUTED_VALUE"""),0.0)</f>
        <v>0</v>
      </c>
      <c r="R253" s="8">
        <f>IFERROR(__xludf.DUMMYFUNCTION("""COMPUTED_VALUE"""),0.0)</f>
        <v>0</v>
      </c>
      <c r="S253" s="8">
        <f>IFERROR(__xludf.DUMMYFUNCTION("""COMPUTED_VALUE"""),0.0)</f>
        <v>0</v>
      </c>
      <c r="T253" s="8">
        <f>IFERROR(__xludf.DUMMYFUNCTION("""COMPUTED_VALUE"""),0.0)</f>
        <v>0</v>
      </c>
      <c r="U253" s="8">
        <f>IFERROR(__xludf.DUMMYFUNCTION("""COMPUTED_VALUE"""),0.0)</f>
        <v>0</v>
      </c>
      <c r="V253" s="8">
        <f>IFERROR(__xludf.DUMMYFUNCTION("""COMPUTED_VALUE"""),0.0)</f>
        <v>0</v>
      </c>
      <c r="W253" s="8">
        <f>IFERROR(__xludf.DUMMYFUNCTION("""COMPUTED_VALUE"""),0.0)</f>
        <v>0</v>
      </c>
      <c r="X253" s="8">
        <f>IFERROR(__xludf.DUMMYFUNCTION("""COMPUTED_VALUE"""),0.0)</f>
        <v>0</v>
      </c>
      <c r="Y253" s="8">
        <f>IFERROR(__xludf.DUMMYFUNCTION("""COMPUTED_VALUE"""),0.0)</f>
        <v>0</v>
      </c>
      <c r="Z253" s="8">
        <f>IFERROR(__xludf.DUMMYFUNCTION("""COMPUTED_VALUE"""),0.0)</f>
        <v>0</v>
      </c>
      <c r="AA253" s="8">
        <f>IFERROR(__xludf.DUMMYFUNCTION("""COMPUTED_VALUE"""),0.0)</f>
        <v>0</v>
      </c>
      <c r="AB253" s="8">
        <f>IFERROR(__xludf.DUMMYFUNCTION("""COMPUTED_VALUE"""),0.0)</f>
        <v>0</v>
      </c>
      <c r="AC253" s="8">
        <f>IFERROR(__xludf.DUMMYFUNCTION("""COMPUTED_VALUE"""),0.0)</f>
        <v>0</v>
      </c>
    </row>
    <row r="254" ht="15.75" customHeight="1">
      <c r="A254" s="6" t="str">
        <f>IFERROR(__xludf.DUMMYFUNCTION("""COMPUTED_VALUE"""),"e79ceb682265a42fb44c988f861c20672776f19d")</f>
        <v>e79ceb682265a42fb44c988f861c20672776f19d</v>
      </c>
      <c r="B254" s="6" t="str">
        <f>IFERROR(__xludf.DUMMYFUNCTION("""COMPUTED_VALUE"""),"Faction of Unity: Wyrmara")</f>
        <v>Faction of Unity: Wyrmara</v>
      </c>
      <c r="C254" s="6" t="str">
        <f>IFERROR(__xludf.DUMMYFUNCTION("""COMPUTED_VALUE"""),"Fantasy")</f>
        <v>Fantasy</v>
      </c>
      <c r="D254" s="17">
        <f>IFERROR(__xludf.DUMMYFUNCTION("""COMPUTED_VALUE"""),48.0)</f>
        <v>48</v>
      </c>
      <c r="E254" s="8">
        <f>IFERROR(__xludf.DUMMYFUNCTION("""COMPUTED_VALUE"""),0.979166666666666)</f>
        <v>0.9791666667</v>
      </c>
      <c r="F254" s="8">
        <f>IFERROR(__xludf.DUMMYFUNCTION("""COMPUTED_VALUE"""),0.5)</f>
        <v>0.5</v>
      </c>
      <c r="G254" s="8">
        <f>IFERROR(__xludf.DUMMYFUNCTION("""COMPUTED_VALUE"""),0.4375)</f>
        <v>0.4375</v>
      </c>
      <c r="H254" s="8">
        <f>IFERROR(__xludf.DUMMYFUNCTION("""COMPUTED_VALUE"""),0.416666666666666)</f>
        <v>0.4166666667</v>
      </c>
      <c r="I254" s="8">
        <f>IFERROR(__xludf.DUMMYFUNCTION("""COMPUTED_VALUE"""),0.395833333333333)</f>
        <v>0.3958333333</v>
      </c>
      <c r="J254" s="8">
        <f>IFERROR(__xludf.DUMMYFUNCTION("""COMPUTED_VALUE"""),0.375)</f>
        <v>0.375</v>
      </c>
      <c r="K254" s="8">
        <f>IFERROR(__xludf.DUMMYFUNCTION("""COMPUTED_VALUE"""),0.3125)</f>
        <v>0.3125</v>
      </c>
      <c r="L254" s="8">
        <f>IFERROR(__xludf.DUMMYFUNCTION("""COMPUTED_VALUE"""),0.276595744680851)</f>
        <v>0.2765957447</v>
      </c>
      <c r="M254" s="8">
        <f>IFERROR(__xludf.DUMMYFUNCTION("""COMPUTED_VALUE"""),0.25531914893617)</f>
        <v>0.2553191489</v>
      </c>
      <c r="N254" s="8">
        <f>IFERROR(__xludf.DUMMYFUNCTION("""COMPUTED_VALUE"""),0.25531914893617)</f>
        <v>0.2553191489</v>
      </c>
      <c r="O254" s="8">
        <f>IFERROR(__xludf.DUMMYFUNCTION("""COMPUTED_VALUE"""),0.136363636363636)</f>
        <v>0.1363636364</v>
      </c>
      <c r="P254" s="8">
        <f>IFERROR(__xludf.DUMMYFUNCTION("""COMPUTED_VALUE"""),0.03125)</f>
        <v>0.03125</v>
      </c>
      <c r="Q254" s="8">
        <f>IFERROR(__xludf.DUMMYFUNCTION("""COMPUTED_VALUE"""),0.0)</f>
        <v>0</v>
      </c>
      <c r="R254" s="8">
        <f>IFERROR(__xludf.DUMMYFUNCTION("""COMPUTED_VALUE"""),0.0)</f>
        <v>0</v>
      </c>
      <c r="S254" s="8">
        <f>IFERROR(__xludf.DUMMYFUNCTION("""COMPUTED_VALUE"""),0.0)</f>
        <v>0</v>
      </c>
      <c r="T254" s="8">
        <f>IFERROR(__xludf.DUMMYFUNCTION("""COMPUTED_VALUE"""),0.0)</f>
        <v>0</v>
      </c>
      <c r="U254" s="8">
        <f>IFERROR(__xludf.DUMMYFUNCTION("""COMPUTED_VALUE"""),0.0)</f>
        <v>0</v>
      </c>
      <c r="V254" s="8">
        <f>IFERROR(__xludf.DUMMYFUNCTION("""COMPUTED_VALUE"""),0.0)</f>
        <v>0</v>
      </c>
      <c r="W254" s="8">
        <f>IFERROR(__xludf.DUMMYFUNCTION("""COMPUTED_VALUE"""),0.0)</f>
        <v>0</v>
      </c>
      <c r="X254" s="8">
        <f>IFERROR(__xludf.DUMMYFUNCTION("""COMPUTED_VALUE"""),0.0)</f>
        <v>0</v>
      </c>
      <c r="Y254" s="8">
        <f>IFERROR(__xludf.DUMMYFUNCTION("""COMPUTED_VALUE"""),0.0)</f>
        <v>0</v>
      </c>
      <c r="Z254" s="8">
        <f>IFERROR(__xludf.DUMMYFUNCTION("""COMPUTED_VALUE"""),0.0)</f>
        <v>0</v>
      </c>
      <c r="AA254" s="8">
        <f>IFERROR(__xludf.DUMMYFUNCTION("""COMPUTED_VALUE"""),0.0)</f>
        <v>0</v>
      </c>
      <c r="AB254" s="8">
        <f>IFERROR(__xludf.DUMMYFUNCTION("""COMPUTED_VALUE"""),0.0)</f>
        <v>0</v>
      </c>
      <c r="AC254" s="8">
        <f>IFERROR(__xludf.DUMMYFUNCTION("""COMPUTED_VALUE"""),0.0)</f>
        <v>0</v>
      </c>
    </row>
    <row r="255" ht="15.75" customHeight="1">
      <c r="A255" s="6" t="str">
        <f>IFERROR(__xludf.DUMMYFUNCTION("""COMPUTED_VALUE"""),"e7a3ee79841762542e0eb645666b039c707001f5")</f>
        <v>e7a3ee79841762542e0eb645666b039c707001f5</v>
      </c>
      <c r="B255" s="6" t="str">
        <f>IFERROR(__xludf.DUMMYFUNCTION("""COMPUTED_VALUE"""),"Masked Prince's Princess")</f>
        <v>Masked Prince's Princess</v>
      </c>
      <c r="C255" s="6" t="str">
        <f>IFERROR(__xludf.DUMMYFUNCTION("""COMPUTED_VALUE"""),"Romance")</f>
        <v>Romance</v>
      </c>
      <c r="D255" s="17">
        <f>IFERROR(__xludf.DUMMYFUNCTION("""COMPUTED_VALUE"""),775.0)</f>
        <v>775</v>
      </c>
      <c r="E255" s="8">
        <f>IFERROR(__xludf.DUMMYFUNCTION("""COMPUTED_VALUE"""),0.966101694915254)</f>
        <v>0.9661016949</v>
      </c>
      <c r="F255" s="8">
        <f>IFERROR(__xludf.DUMMYFUNCTION("""COMPUTED_VALUE"""),0.609210526315789)</f>
        <v>0.6092105263</v>
      </c>
      <c r="G255" s="8">
        <f>IFERROR(__xludf.DUMMYFUNCTION("""COMPUTED_VALUE"""),0.556728232189973)</f>
        <v>0.5567282322</v>
      </c>
      <c r="H255" s="8">
        <f>IFERROR(__xludf.DUMMYFUNCTION("""COMPUTED_VALUE"""),0.505976095617529)</f>
        <v>0.5059760956</v>
      </c>
      <c r="I255" s="8">
        <f>IFERROR(__xludf.DUMMYFUNCTION("""COMPUTED_VALUE"""),0.473333333333333)</f>
        <v>0.4733333333</v>
      </c>
      <c r="J255" s="8">
        <f>IFERROR(__xludf.DUMMYFUNCTION("""COMPUTED_VALUE"""),0.454423592493297)</f>
        <v>0.4544235925</v>
      </c>
      <c r="K255" s="8">
        <f>IFERROR(__xludf.DUMMYFUNCTION("""COMPUTED_VALUE"""),0.449255751014884)</f>
        <v>0.449255751</v>
      </c>
      <c r="L255" s="8">
        <f>IFERROR(__xludf.DUMMYFUNCTION("""COMPUTED_VALUE"""),0.425068119891008)</f>
        <v>0.4250681199</v>
      </c>
      <c r="M255" s="8">
        <f>IFERROR(__xludf.DUMMYFUNCTION("""COMPUTED_VALUE"""),0.410641200545702)</f>
        <v>0.4106412005</v>
      </c>
      <c r="N255" s="8">
        <f>IFERROR(__xludf.DUMMYFUNCTION("""COMPUTED_VALUE"""),0.390946502057613)</f>
        <v>0.3909465021</v>
      </c>
      <c r="O255" s="8">
        <f>IFERROR(__xludf.DUMMYFUNCTION("""COMPUTED_VALUE"""),0.374823196605374)</f>
        <v>0.3748231966</v>
      </c>
      <c r="P255" s="8">
        <f>IFERROR(__xludf.DUMMYFUNCTION("""COMPUTED_VALUE"""),0.315028901734104)</f>
        <v>0.3150289017</v>
      </c>
      <c r="Q255" s="8">
        <f>IFERROR(__xludf.DUMMYFUNCTION("""COMPUTED_VALUE"""),0.241791044776119)</f>
        <v>0.2417910448</v>
      </c>
      <c r="R255" s="8">
        <f>IFERROR(__xludf.DUMMYFUNCTION("""COMPUTED_VALUE"""),0.211290322580645)</f>
        <v>0.2112903226</v>
      </c>
      <c r="S255" s="8">
        <f>IFERROR(__xludf.DUMMYFUNCTION("""COMPUTED_VALUE"""),0.0923076923076923)</f>
        <v>0.09230769231</v>
      </c>
      <c r="T255" s="8">
        <f>IFERROR(__xludf.DUMMYFUNCTION("""COMPUTED_VALUE"""),0.0)</f>
        <v>0</v>
      </c>
      <c r="U255" s="8">
        <f>IFERROR(__xludf.DUMMYFUNCTION("""COMPUTED_VALUE"""),0.0)</f>
        <v>0</v>
      </c>
      <c r="V255" s="8">
        <f>IFERROR(__xludf.DUMMYFUNCTION("""COMPUTED_VALUE"""),0.0)</f>
        <v>0</v>
      </c>
      <c r="W255" s="8">
        <f>IFERROR(__xludf.DUMMYFUNCTION("""COMPUTED_VALUE"""),0.0)</f>
        <v>0</v>
      </c>
      <c r="X255" s="8">
        <f>IFERROR(__xludf.DUMMYFUNCTION("""COMPUTED_VALUE"""),0.0)</f>
        <v>0</v>
      </c>
      <c r="Y255" s="8">
        <f>IFERROR(__xludf.DUMMYFUNCTION("""COMPUTED_VALUE"""),0.0)</f>
        <v>0</v>
      </c>
      <c r="Z255" s="8">
        <f>IFERROR(__xludf.DUMMYFUNCTION("""COMPUTED_VALUE"""),0.0)</f>
        <v>0</v>
      </c>
      <c r="AA255" s="8">
        <f>IFERROR(__xludf.DUMMYFUNCTION("""COMPUTED_VALUE"""),0.0)</f>
        <v>0</v>
      </c>
      <c r="AB255" s="8">
        <f>IFERROR(__xludf.DUMMYFUNCTION("""COMPUTED_VALUE"""),0.0)</f>
        <v>0</v>
      </c>
      <c r="AC255" s="8">
        <f>IFERROR(__xludf.DUMMYFUNCTION("""COMPUTED_VALUE"""),0.0)</f>
        <v>0</v>
      </c>
    </row>
    <row r="256" ht="15.75" customHeight="1">
      <c r="A256" s="6" t="str">
        <f>IFERROR(__xludf.DUMMYFUNCTION("""COMPUTED_VALUE"""),"e835267a1c9909e759d530cea3d17b5999d86761")</f>
        <v>e835267a1c9909e759d530cea3d17b5999d86761</v>
      </c>
      <c r="B256" s="6" t="str">
        <f>IFERROR(__xludf.DUMMYFUNCTION("""COMPUTED_VALUE"""),"Her Lightness System")</f>
        <v>Her Lightness System</v>
      </c>
      <c r="C256" s="6" t="str">
        <f>IFERROR(__xludf.DUMMYFUNCTION("""COMPUTED_VALUE"""),"System and Superpower")</f>
        <v>System and Superpower</v>
      </c>
      <c r="D256" s="17">
        <f>IFERROR(__xludf.DUMMYFUNCTION("""COMPUTED_VALUE"""),322.0)</f>
        <v>322</v>
      </c>
      <c r="E256" s="8">
        <f>IFERROR(__xludf.DUMMYFUNCTION("""COMPUTED_VALUE"""),0.967213114754098)</f>
        <v>0.9672131148</v>
      </c>
      <c r="F256" s="8">
        <f>IFERROR(__xludf.DUMMYFUNCTION("""COMPUTED_VALUE"""),0.644366197183098)</f>
        <v>0.6443661972</v>
      </c>
      <c r="G256" s="8">
        <f>IFERROR(__xludf.DUMMYFUNCTION("""COMPUTED_VALUE"""),0.582706766917293)</f>
        <v>0.5827067669</v>
      </c>
      <c r="H256" s="8">
        <f>IFERROR(__xludf.DUMMYFUNCTION("""COMPUTED_VALUE"""),0.600858369098712)</f>
        <v>0.6008583691</v>
      </c>
      <c r="I256" s="8">
        <f>IFERROR(__xludf.DUMMYFUNCTION("""COMPUTED_VALUE"""),0.537777777777777)</f>
        <v>0.5377777778</v>
      </c>
      <c r="J256" s="8">
        <f>IFERROR(__xludf.DUMMYFUNCTION("""COMPUTED_VALUE"""),0.475490196078431)</f>
        <v>0.4754901961</v>
      </c>
      <c r="K256" s="8">
        <f>IFERROR(__xludf.DUMMYFUNCTION("""COMPUTED_VALUE"""),0.445)</f>
        <v>0.445</v>
      </c>
      <c r="L256" s="8">
        <f>IFERROR(__xludf.DUMMYFUNCTION("""COMPUTED_VALUE"""),0.406417112299465)</f>
        <v>0.4064171123</v>
      </c>
      <c r="M256" s="8">
        <f>IFERROR(__xludf.DUMMYFUNCTION("""COMPUTED_VALUE"""),0.372222222222222)</f>
        <v>0.3722222222</v>
      </c>
      <c r="N256" s="8">
        <f>IFERROR(__xludf.DUMMYFUNCTION("""COMPUTED_VALUE"""),0.38235294117647)</f>
        <v>0.3823529412</v>
      </c>
      <c r="O256" s="8">
        <f>IFERROR(__xludf.DUMMYFUNCTION("""COMPUTED_VALUE"""),0.335570469798657)</f>
        <v>0.3355704698</v>
      </c>
      <c r="P256" s="8">
        <f>IFERROR(__xludf.DUMMYFUNCTION("""COMPUTED_VALUE"""),0.201342281879194)</f>
        <v>0.2013422819</v>
      </c>
      <c r="Q256" s="8">
        <f>IFERROR(__xludf.DUMMYFUNCTION("""COMPUTED_VALUE"""),0.107913669064748)</f>
        <v>0.1079136691</v>
      </c>
      <c r="R256" s="8">
        <f>IFERROR(__xludf.DUMMYFUNCTION("""COMPUTED_VALUE"""),0.0638297872340425)</f>
        <v>0.06382978723</v>
      </c>
      <c r="S256" s="8">
        <f>IFERROR(__xludf.DUMMYFUNCTION("""COMPUTED_VALUE"""),0.0)</f>
        <v>0</v>
      </c>
      <c r="T256" s="8">
        <f>IFERROR(__xludf.DUMMYFUNCTION("""COMPUTED_VALUE"""),0.0)</f>
        <v>0</v>
      </c>
      <c r="U256" s="8">
        <f>IFERROR(__xludf.DUMMYFUNCTION("""COMPUTED_VALUE"""),0.0)</f>
        <v>0</v>
      </c>
      <c r="V256" s="8">
        <f>IFERROR(__xludf.DUMMYFUNCTION("""COMPUTED_VALUE"""),0.0)</f>
        <v>0</v>
      </c>
      <c r="W256" s="8">
        <f>IFERROR(__xludf.DUMMYFUNCTION("""COMPUTED_VALUE"""),0.0)</f>
        <v>0</v>
      </c>
      <c r="X256" s="8">
        <f>IFERROR(__xludf.DUMMYFUNCTION("""COMPUTED_VALUE"""),0.0)</f>
        <v>0</v>
      </c>
      <c r="Y256" s="8">
        <f>IFERROR(__xludf.DUMMYFUNCTION("""COMPUTED_VALUE"""),0.0)</f>
        <v>0</v>
      </c>
      <c r="Z256" s="8">
        <f>IFERROR(__xludf.DUMMYFUNCTION("""COMPUTED_VALUE"""),0.0)</f>
        <v>0</v>
      </c>
      <c r="AA256" s="8">
        <f>IFERROR(__xludf.DUMMYFUNCTION("""COMPUTED_VALUE"""),0.0)</f>
        <v>0</v>
      </c>
      <c r="AB256" s="8">
        <f>IFERROR(__xludf.DUMMYFUNCTION("""COMPUTED_VALUE"""),0.0)</f>
        <v>0</v>
      </c>
      <c r="AC256" s="8">
        <f>IFERROR(__xludf.DUMMYFUNCTION("""COMPUTED_VALUE"""),0.0)</f>
        <v>0</v>
      </c>
    </row>
    <row r="257" ht="15.75" customHeight="1">
      <c r="A257" s="6" t="str">
        <f>IFERROR(__xludf.DUMMYFUNCTION("""COMPUTED_VALUE"""),"e83bb9290a73242b13db9a4453b23f1b0ca9fed0")</f>
        <v>e83bb9290a73242b13db9a4453b23f1b0ca9fed0</v>
      </c>
      <c r="B257" s="6" t="str">
        <f>IFERROR(__xludf.DUMMYFUNCTION("""COMPUTED_VALUE"""),"The Baby He Denied")</f>
        <v>The Baby He Denied</v>
      </c>
      <c r="C257" s="6" t="str">
        <f>IFERROR(__xludf.DUMMYFUNCTION("""COMPUTED_VALUE"""),"Romance")</f>
        <v>Romance</v>
      </c>
      <c r="D257" s="17">
        <f>IFERROR(__xludf.DUMMYFUNCTION("""COMPUTED_VALUE"""),1533.0)</f>
        <v>1533</v>
      </c>
      <c r="E257" s="8">
        <f>IFERROR(__xludf.DUMMYFUNCTION("""COMPUTED_VALUE"""),0.965427266797129)</f>
        <v>0.9654272668</v>
      </c>
      <c r="F257" s="8">
        <f>IFERROR(__xludf.DUMMYFUNCTION("""COMPUTED_VALUE"""),0.754901960784313)</f>
        <v>0.7549019608</v>
      </c>
      <c r="G257" s="8">
        <f>IFERROR(__xludf.DUMMYFUNCTION("""COMPUTED_VALUE"""),0.68541530412034)</f>
        <v>0.6854153041</v>
      </c>
      <c r="H257" s="8">
        <f>IFERROR(__xludf.DUMMYFUNCTION("""COMPUTED_VALUE"""),0.621073298429319)</f>
        <v>0.6210732984</v>
      </c>
      <c r="I257" s="8">
        <f>IFERROR(__xludf.DUMMYFUNCTION("""COMPUTED_VALUE"""),0.613368283093053)</f>
        <v>0.6133682831</v>
      </c>
      <c r="J257" s="8">
        <f>IFERROR(__xludf.DUMMYFUNCTION("""COMPUTED_VALUE"""),0.574705111402359)</f>
        <v>0.5747051114</v>
      </c>
      <c r="K257" s="8">
        <f>IFERROR(__xludf.DUMMYFUNCTION("""COMPUTED_VALUE"""),0.519028871391076)</f>
        <v>0.5190288714</v>
      </c>
      <c r="L257" s="8">
        <f>IFERROR(__xludf.DUMMYFUNCTION("""COMPUTED_VALUE"""),0.47634691195795)</f>
        <v>0.476346912</v>
      </c>
      <c r="M257" s="8">
        <f>IFERROR(__xludf.DUMMYFUNCTION("""COMPUTED_VALUE"""),0.456578947368421)</f>
        <v>0.4565789474</v>
      </c>
      <c r="N257" s="8">
        <f>IFERROR(__xludf.DUMMYFUNCTION("""COMPUTED_VALUE"""),0.421607378129117)</f>
        <v>0.4216073781</v>
      </c>
      <c r="O257" s="8">
        <f>IFERROR(__xludf.DUMMYFUNCTION("""COMPUTED_VALUE"""),0.352393617021276)</f>
        <v>0.352393617</v>
      </c>
      <c r="P257" s="8">
        <f>IFERROR(__xludf.DUMMYFUNCTION("""COMPUTED_VALUE"""),0.28783151326053)</f>
        <v>0.2878315133</v>
      </c>
      <c r="Q257" s="8">
        <f>IFERROR(__xludf.DUMMYFUNCTION("""COMPUTED_VALUE"""),0.129807692307692)</f>
        <v>0.1298076923</v>
      </c>
      <c r="R257" s="8">
        <f>IFERROR(__xludf.DUMMYFUNCTION("""COMPUTED_VALUE"""),0.0606060606060606)</f>
        <v>0.06060606061</v>
      </c>
      <c r="S257" s="8">
        <f>IFERROR(__xludf.DUMMYFUNCTION("""COMPUTED_VALUE"""),0.0833333333333333)</f>
        <v>0.08333333333</v>
      </c>
      <c r="T257" s="8">
        <f>IFERROR(__xludf.DUMMYFUNCTION("""COMPUTED_VALUE"""),0.142857142857142)</f>
        <v>0.1428571429</v>
      </c>
      <c r="U257" s="8">
        <f>IFERROR(__xludf.DUMMYFUNCTION("""COMPUTED_VALUE"""),0.0)</f>
        <v>0</v>
      </c>
      <c r="V257" s="8">
        <f>IFERROR(__xludf.DUMMYFUNCTION("""COMPUTED_VALUE"""),0.0)</f>
        <v>0</v>
      </c>
      <c r="W257" s="8">
        <f>IFERROR(__xludf.DUMMYFUNCTION("""COMPUTED_VALUE"""),0.0)</f>
        <v>0</v>
      </c>
      <c r="X257" s="8">
        <f>IFERROR(__xludf.DUMMYFUNCTION("""COMPUTED_VALUE"""),0.0)</f>
        <v>0</v>
      </c>
      <c r="Y257" s="8">
        <f>IFERROR(__xludf.DUMMYFUNCTION("""COMPUTED_VALUE"""),0.0)</f>
        <v>0</v>
      </c>
      <c r="Z257" s="8">
        <f>IFERROR(__xludf.DUMMYFUNCTION("""COMPUTED_VALUE"""),0.0)</f>
        <v>0</v>
      </c>
      <c r="AA257" s="8">
        <f>IFERROR(__xludf.DUMMYFUNCTION("""COMPUTED_VALUE"""),0.0)</f>
        <v>0</v>
      </c>
      <c r="AB257" s="8">
        <f>IFERROR(__xludf.DUMMYFUNCTION("""COMPUTED_VALUE"""),0.0)</f>
        <v>0</v>
      </c>
      <c r="AC257" s="8">
        <f>IFERROR(__xludf.DUMMYFUNCTION("""COMPUTED_VALUE"""),0.0)</f>
        <v>0</v>
      </c>
    </row>
    <row r="258" ht="15.75" customHeight="1">
      <c r="A258" s="6" t="str">
        <f>IFERROR(__xludf.DUMMYFUNCTION("""COMPUTED_VALUE"""),"e8df3cfef87feac45c4c024f9cbd7254cfc15952")</f>
        <v>e8df3cfef87feac45c4c024f9cbd7254cfc15952</v>
      </c>
      <c r="B258" s="6" t="str">
        <f>IFERROR(__xludf.DUMMYFUNCTION("""COMPUTED_VALUE"""),"Between Wolves and Lies")</f>
        <v>Between Wolves and Lies</v>
      </c>
      <c r="C258" s="6" t="str">
        <f>IFERROR(__xludf.DUMMYFUNCTION("""COMPUTED_VALUE"""),"Romantasy")</f>
        <v>Romantasy</v>
      </c>
      <c r="D258" s="17">
        <f>IFERROR(__xludf.DUMMYFUNCTION("""COMPUTED_VALUE"""),508.0)</f>
        <v>508</v>
      </c>
      <c r="E258" s="8">
        <f>IFERROR(__xludf.DUMMYFUNCTION("""COMPUTED_VALUE"""),0.986220472440944)</f>
        <v>0.9862204724</v>
      </c>
      <c r="F258" s="8">
        <f>IFERROR(__xludf.DUMMYFUNCTION("""COMPUTED_VALUE"""),0.543307086614173)</f>
        <v>0.5433070866</v>
      </c>
      <c r="G258" s="8">
        <f>IFERROR(__xludf.DUMMYFUNCTION("""COMPUTED_VALUE"""),0.464566929133858)</f>
        <v>0.4645669291</v>
      </c>
      <c r="H258" s="8">
        <f>IFERROR(__xludf.DUMMYFUNCTION("""COMPUTED_VALUE"""),0.405511811023622)</f>
        <v>0.405511811</v>
      </c>
      <c r="I258" s="8">
        <f>IFERROR(__xludf.DUMMYFUNCTION("""COMPUTED_VALUE"""),0.358267716535433)</f>
        <v>0.3582677165</v>
      </c>
      <c r="J258" s="8">
        <f>IFERROR(__xludf.DUMMYFUNCTION("""COMPUTED_VALUE"""),0.338582677165354)</f>
        <v>0.3385826772</v>
      </c>
      <c r="K258" s="8">
        <f>IFERROR(__xludf.DUMMYFUNCTION("""COMPUTED_VALUE"""),0.31163708086785)</f>
        <v>0.3116370809</v>
      </c>
      <c r="L258" s="8">
        <f>IFERROR(__xludf.DUMMYFUNCTION("""COMPUTED_VALUE"""),0.28007889546351)</f>
        <v>0.2800788955</v>
      </c>
      <c r="M258" s="8">
        <f>IFERROR(__xludf.DUMMYFUNCTION("""COMPUTED_VALUE"""),0.264299802761341)</f>
        <v>0.2642998028</v>
      </c>
      <c r="N258" s="8">
        <f>IFERROR(__xludf.DUMMYFUNCTION("""COMPUTED_VALUE"""),0.238658777120315)</f>
        <v>0.2386587771</v>
      </c>
      <c r="O258" s="8">
        <f>IFERROR(__xludf.DUMMYFUNCTION("""COMPUTED_VALUE"""),0.164031620553359)</f>
        <v>0.1640316206</v>
      </c>
      <c r="P258" s="8">
        <f>IFERROR(__xludf.DUMMYFUNCTION("""COMPUTED_VALUE"""),0.0695825049701789)</f>
        <v>0.06958250497</v>
      </c>
      <c r="Q258" s="8">
        <f>IFERROR(__xludf.DUMMYFUNCTION("""COMPUTED_VALUE"""),0.0270935960591133)</f>
        <v>0.02709359606</v>
      </c>
      <c r="R258" s="8">
        <f>IFERROR(__xludf.DUMMYFUNCTION("""COMPUTED_VALUE"""),0.00719424460431654)</f>
        <v>0.007194244604</v>
      </c>
      <c r="S258" s="8">
        <f>IFERROR(__xludf.DUMMYFUNCTION("""COMPUTED_VALUE"""),0.0)</f>
        <v>0</v>
      </c>
      <c r="T258" s="8">
        <f>IFERROR(__xludf.DUMMYFUNCTION("""COMPUTED_VALUE"""),0.0)</f>
        <v>0</v>
      </c>
      <c r="U258" s="8">
        <f>IFERROR(__xludf.DUMMYFUNCTION("""COMPUTED_VALUE"""),0.0)</f>
        <v>0</v>
      </c>
      <c r="V258" s="8">
        <f>IFERROR(__xludf.DUMMYFUNCTION("""COMPUTED_VALUE"""),0.0)</f>
        <v>0</v>
      </c>
      <c r="W258" s="8">
        <f>IFERROR(__xludf.DUMMYFUNCTION("""COMPUTED_VALUE"""),0.0)</f>
        <v>0</v>
      </c>
      <c r="X258" s="8">
        <f>IFERROR(__xludf.DUMMYFUNCTION("""COMPUTED_VALUE"""),0.0)</f>
        <v>0</v>
      </c>
      <c r="Y258" s="8">
        <f>IFERROR(__xludf.DUMMYFUNCTION("""COMPUTED_VALUE"""),0.0)</f>
        <v>0</v>
      </c>
      <c r="Z258" s="8">
        <f>IFERROR(__xludf.DUMMYFUNCTION("""COMPUTED_VALUE"""),0.0)</f>
        <v>0</v>
      </c>
      <c r="AA258" s="8">
        <f>IFERROR(__xludf.DUMMYFUNCTION("""COMPUTED_VALUE"""),0.0)</f>
        <v>0</v>
      </c>
      <c r="AB258" s="8">
        <f>IFERROR(__xludf.DUMMYFUNCTION("""COMPUTED_VALUE"""),0.0)</f>
        <v>0</v>
      </c>
      <c r="AC258" s="8">
        <f>IFERROR(__xludf.DUMMYFUNCTION("""COMPUTED_VALUE"""),0.0)</f>
        <v>0</v>
      </c>
    </row>
    <row r="259" ht="15.75" customHeight="1">
      <c r="A259" s="6" t="str">
        <f>IFERROR(__xludf.DUMMYFUNCTION("""COMPUTED_VALUE"""),"ed37d82285cfdcacdd3008ef7825d877fd575b57")</f>
        <v>ed37d82285cfdcacdd3008ef7825d877fd575b57</v>
      </c>
      <c r="B259" s="6" t="str">
        <f>IFERROR(__xludf.DUMMYFUNCTION("""COMPUTED_VALUE"""),"Charade")</f>
        <v>Charade</v>
      </c>
      <c r="C259" s="6" t="str">
        <f>IFERROR(__xludf.DUMMYFUNCTION("""COMPUTED_VALUE"""),"Fantasy")</f>
        <v>Fantasy</v>
      </c>
      <c r="D259" s="17">
        <f>IFERROR(__xludf.DUMMYFUNCTION("""COMPUTED_VALUE"""),10.0)</f>
        <v>10</v>
      </c>
      <c r="E259" s="8">
        <f>IFERROR(__xludf.DUMMYFUNCTION("""COMPUTED_VALUE"""),1.0)</f>
        <v>1</v>
      </c>
      <c r="F259" s="8">
        <f>IFERROR(__xludf.DUMMYFUNCTION("""COMPUTED_VALUE"""),0.4)</f>
        <v>0.4</v>
      </c>
      <c r="G259" s="8">
        <f>IFERROR(__xludf.DUMMYFUNCTION("""COMPUTED_VALUE"""),0.3)</f>
        <v>0.3</v>
      </c>
      <c r="H259" s="8">
        <f>IFERROR(__xludf.DUMMYFUNCTION("""COMPUTED_VALUE"""),0.3)</f>
        <v>0.3</v>
      </c>
      <c r="I259" s="8">
        <f>IFERROR(__xludf.DUMMYFUNCTION("""COMPUTED_VALUE"""),0.3)</f>
        <v>0.3</v>
      </c>
      <c r="J259" s="8">
        <f>IFERROR(__xludf.DUMMYFUNCTION("""COMPUTED_VALUE"""),0.3)</f>
        <v>0.3</v>
      </c>
      <c r="K259" s="8">
        <f>IFERROR(__xludf.DUMMYFUNCTION("""COMPUTED_VALUE"""),0.3)</f>
        <v>0.3</v>
      </c>
      <c r="L259" s="8">
        <f>IFERROR(__xludf.DUMMYFUNCTION("""COMPUTED_VALUE"""),0.2)</f>
        <v>0.2</v>
      </c>
      <c r="M259" s="8">
        <f>IFERROR(__xludf.DUMMYFUNCTION("""COMPUTED_VALUE"""),0.2)</f>
        <v>0.2</v>
      </c>
      <c r="N259" s="8">
        <f>IFERROR(__xludf.DUMMYFUNCTION("""COMPUTED_VALUE"""),0.222222222222222)</f>
        <v>0.2222222222</v>
      </c>
      <c r="O259" s="8">
        <f>IFERROR(__xludf.DUMMYFUNCTION("""COMPUTED_VALUE"""),0.222222222222222)</f>
        <v>0.2222222222</v>
      </c>
      <c r="P259" s="8">
        <f>IFERROR(__xludf.DUMMYFUNCTION("""COMPUTED_VALUE"""),0.111111111111111)</f>
        <v>0.1111111111</v>
      </c>
      <c r="Q259" s="8">
        <f>IFERROR(__xludf.DUMMYFUNCTION("""COMPUTED_VALUE"""),0.0)</f>
        <v>0</v>
      </c>
      <c r="R259" s="8">
        <f>IFERROR(__xludf.DUMMYFUNCTION("""COMPUTED_VALUE"""),0.0)</f>
        <v>0</v>
      </c>
      <c r="S259" s="8">
        <f>IFERROR(__xludf.DUMMYFUNCTION("""COMPUTED_VALUE"""),0.0)</f>
        <v>0</v>
      </c>
      <c r="T259" s="8">
        <f>IFERROR(__xludf.DUMMYFUNCTION("""COMPUTED_VALUE"""),0.0)</f>
        <v>0</v>
      </c>
      <c r="U259" s="8">
        <f>IFERROR(__xludf.DUMMYFUNCTION("""COMPUTED_VALUE"""),0.0)</f>
        <v>0</v>
      </c>
      <c r="V259" s="8">
        <f>IFERROR(__xludf.DUMMYFUNCTION("""COMPUTED_VALUE"""),0.0)</f>
        <v>0</v>
      </c>
      <c r="W259" s="8">
        <f>IFERROR(__xludf.DUMMYFUNCTION("""COMPUTED_VALUE"""),0.0)</f>
        <v>0</v>
      </c>
      <c r="X259" s="8">
        <f>IFERROR(__xludf.DUMMYFUNCTION("""COMPUTED_VALUE"""),0.0)</f>
        <v>0</v>
      </c>
      <c r="Y259" s="8">
        <f>IFERROR(__xludf.DUMMYFUNCTION("""COMPUTED_VALUE"""),0.0)</f>
        <v>0</v>
      </c>
      <c r="Z259" s="8">
        <f>IFERROR(__xludf.DUMMYFUNCTION("""COMPUTED_VALUE"""),0.0)</f>
        <v>0</v>
      </c>
      <c r="AA259" s="8">
        <f>IFERROR(__xludf.DUMMYFUNCTION("""COMPUTED_VALUE"""),0.0)</f>
        <v>0</v>
      </c>
      <c r="AB259" s="8">
        <f>IFERROR(__xludf.DUMMYFUNCTION("""COMPUTED_VALUE"""),0.0)</f>
        <v>0</v>
      </c>
      <c r="AC259" s="8">
        <f>IFERROR(__xludf.DUMMYFUNCTION("""COMPUTED_VALUE"""),0.0)</f>
        <v>0</v>
      </c>
    </row>
    <row r="260" ht="15.75" customHeight="1">
      <c r="A260" s="6" t="str">
        <f>IFERROR(__xludf.DUMMYFUNCTION("""COMPUTED_VALUE"""),"ee2e216e3dceba69118e501b055c3b7b9a0335a3")</f>
        <v>ee2e216e3dceba69118e501b055c3b7b9a0335a3</v>
      </c>
      <c r="B260" s="6" t="str">
        <f>IFERROR(__xludf.DUMMYFUNCTION("""COMPUTED_VALUE"""),"Kyan's System Awakening")</f>
        <v>Kyan's System Awakening</v>
      </c>
      <c r="C260" s="6" t="str">
        <f>IFERROR(__xludf.DUMMYFUNCTION("""COMPUTED_VALUE"""),"Fantasy")</f>
        <v>Fantasy</v>
      </c>
      <c r="D260" s="17">
        <f>IFERROR(__xludf.DUMMYFUNCTION("""COMPUTED_VALUE"""),3450.0)</f>
        <v>3450</v>
      </c>
      <c r="E260" s="8">
        <f>IFERROR(__xludf.DUMMYFUNCTION("""COMPUTED_VALUE"""),0.973446162824627)</f>
        <v>0.9734461628</v>
      </c>
      <c r="F260" s="8">
        <f>IFERROR(__xludf.DUMMYFUNCTION("""COMPUTED_VALUE"""),0.651851851851851)</f>
        <v>0.6518518519</v>
      </c>
      <c r="G260" s="8">
        <f>IFERROR(__xludf.DUMMYFUNCTION("""COMPUTED_VALUE"""),0.594464500601684)</f>
        <v>0.5944645006</v>
      </c>
      <c r="H260" s="8">
        <f>IFERROR(__xludf.DUMMYFUNCTION("""COMPUTED_VALUE"""),0.578220858895705)</f>
        <v>0.5782208589</v>
      </c>
      <c r="I260" s="8">
        <f>IFERROR(__xludf.DUMMYFUNCTION("""COMPUTED_VALUE"""),0.554934823091247)</f>
        <v>0.5549348231</v>
      </c>
      <c r="J260" s="8">
        <f>IFERROR(__xludf.DUMMYFUNCTION("""COMPUTED_VALUE"""),0.538340666247643)</f>
        <v>0.5383406662</v>
      </c>
      <c r="K260" s="8">
        <f>IFERROR(__xludf.DUMMYFUNCTION("""COMPUTED_VALUE"""),0.517710309930423)</f>
        <v>0.5177103099</v>
      </c>
      <c r="L260" s="8">
        <f>IFERROR(__xludf.DUMMYFUNCTION("""COMPUTED_VALUE"""),0.495011264885741)</f>
        <v>0.4950112649</v>
      </c>
      <c r="M260" s="8">
        <f>IFERROR(__xludf.DUMMYFUNCTION("""COMPUTED_VALUE"""),0.477723577235772)</f>
        <v>0.4777235772</v>
      </c>
      <c r="N260" s="8">
        <f>IFERROR(__xludf.DUMMYFUNCTION("""COMPUTED_VALUE"""),0.466821499668215)</f>
        <v>0.4668214997</v>
      </c>
      <c r="O260" s="8">
        <f>IFERROR(__xludf.DUMMYFUNCTION("""COMPUTED_VALUE"""),0.431519032372821)</f>
        <v>0.4315190324</v>
      </c>
      <c r="P260" s="8">
        <f>IFERROR(__xludf.DUMMYFUNCTION("""COMPUTED_VALUE"""),0.328817733990147)</f>
        <v>0.328817734</v>
      </c>
      <c r="Q260" s="8">
        <f>IFERROR(__xludf.DUMMYFUNCTION("""COMPUTED_VALUE"""),0.225641025641025)</f>
        <v>0.2256410256</v>
      </c>
      <c r="R260" s="8">
        <f>IFERROR(__xludf.DUMMYFUNCTION("""COMPUTED_VALUE"""),0.137088204038257)</f>
        <v>0.137088204</v>
      </c>
      <c r="S260" s="8">
        <f>IFERROR(__xludf.DUMMYFUNCTION("""COMPUTED_VALUE"""),0.0863787375415282)</f>
        <v>0.08637873754</v>
      </c>
      <c r="T260" s="8">
        <f>IFERROR(__xludf.DUMMYFUNCTION("""COMPUTED_VALUE"""),0.0574018126888217)</f>
        <v>0.05740181269</v>
      </c>
      <c r="U260" s="8">
        <f>IFERROR(__xludf.DUMMYFUNCTION("""COMPUTED_VALUE"""),0.0)</f>
        <v>0</v>
      </c>
      <c r="V260" s="8">
        <f>IFERROR(__xludf.DUMMYFUNCTION("""COMPUTED_VALUE"""),0.0)</f>
        <v>0</v>
      </c>
      <c r="W260" s="8">
        <f>IFERROR(__xludf.DUMMYFUNCTION("""COMPUTED_VALUE"""),0.0)</f>
        <v>0</v>
      </c>
      <c r="X260" s="8">
        <f>IFERROR(__xludf.DUMMYFUNCTION("""COMPUTED_VALUE"""),0.0)</f>
        <v>0</v>
      </c>
      <c r="Y260" s="8">
        <f>IFERROR(__xludf.DUMMYFUNCTION("""COMPUTED_VALUE"""),0.0)</f>
        <v>0</v>
      </c>
      <c r="Z260" s="8">
        <f>IFERROR(__xludf.DUMMYFUNCTION("""COMPUTED_VALUE"""),0.0)</f>
        <v>0</v>
      </c>
      <c r="AA260" s="8">
        <f>IFERROR(__xludf.DUMMYFUNCTION("""COMPUTED_VALUE"""),0.0)</f>
        <v>0</v>
      </c>
      <c r="AB260" s="8">
        <f>IFERROR(__xludf.DUMMYFUNCTION("""COMPUTED_VALUE"""),0.0)</f>
        <v>0</v>
      </c>
      <c r="AC260" s="8">
        <f>IFERROR(__xludf.DUMMYFUNCTION("""COMPUTED_VALUE"""),0.0)</f>
        <v>0</v>
      </c>
    </row>
    <row r="261" ht="15.75" customHeight="1">
      <c r="A261" s="6" t="str">
        <f>IFERROR(__xludf.DUMMYFUNCTION("""COMPUTED_VALUE"""),"ef47552b570f8fc4cc243b88fae469ea12c31df0")</f>
        <v>ef47552b570f8fc4cc243b88fae469ea12c31df0</v>
      </c>
      <c r="B261" s="6" t="str">
        <f>IFERROR(__xludf.DUMMYFUNCTION("""COMPUTED_VALUE"""),"Mated to Enemy’s Luna")</f>
        <v>Mated to Enemy’s Luna</v>
      </c>
      <c r="C261" s="6" t="str">
        <f>IFERROR(__xludf.DUMMYFUNCTION("""COMPUTED_VALUE"""),"Romantasy")</f>
        <v>Romantasy</v>
      </c>
      <c r="D261" s="17">
        <f>IFERROR(__xludf.DUMMYFUNCTION("""COMPUTED_VALUE"""),147.0)</f>
        <v>147</v>
      </c>
      <c r="E261" s="8">
        <f>IFERROR(__xludf.DUMMYFUNCTION("""COMPUTED_VALUE"""),0.959183673469387)</f>
        <v>0.9591836735</v>
      </c>
      <c r="F261" s="8">
        <f>IFERROR(__xludf.DUMMYFUNCTION("""COMPUTED_VALUE"""),0.700680272108843)</f>
        <v>0.7006802721</v>
      </c>
      <c r="G261" s="8">
        <f>IFERROR(__xludf.DUMMYFUNCTION("""COMPUTED_VALUE"""),0.632653061224489)</f>
        <v>0.6326530612</v>
      </c>
      <c r="H261" s="8">
        <f>IFERROR(__xludf.DUMMYFUNCTION("""COMPUTED_VALUE"""),0.639455782312925)</f>
        <v>0.6394557823</v>
      </c>
      <c r="I261" s="8">
        <f>IFERROR(__xludf.DUMMYFUNCTION("""COMPUTED_VALUE"""),0.578231292517006)</f>
        <v>0.5782312925</v>
      </c>
      <c r="J261" s="8">
        <f>IFERROR(__xludf.DUMMYFUNCTION("""COMPUTED_VALUE"""),0.506849315068493)</f>
        <v>0.5068493151</v>
      </c>
      <c r="K261" s="8">
        <f>IFERROR(__xludf.DUMMYFUNCTION("""COMPUTED_VALUE"""),0.472602739726027)</f>
        <v>0.4726027397</v>
      </c>
      <c r="L261" s="8">
        <f>IFERROR(__xludf.DUMMYFUNCTION("""COMPUTED_VALUE"""),0.489655172413793)</f>
        <v>0.4896551724</v>
      </c>
      <c r="M261" s="8">
        <f>IFERROR(__xludf.DUMMYFUNCTION("""COMPUTED_VALUE"""),0.496551724137931)</f>
        <v>0.4965517241</v>
      </c>
      <c r="N261" s="8">
        <f>IFERROR(__xludf.DUMMYFUNCTION("""COMPUTED_VALUE"""),0.489655172413793)</f>
        <v>0.4896551724</v>
      </c>
      <c r="O261" s="8">
        <f>IFERROR(__xludf.DUMMYFUNCTION("""COMPUTED_VALUE"""),0.415492957746478)</f>
        <v>0.4154929577</v>
      </c>
      <c r="P261" s="8">
        <f>IFERROR(__xludf.DUMMYFUNCTION("""COMPUTED_VALUE"""),0.26950354609929)</f>
        <v>0.2695035461</v>
      </c>
      <c r="Q261" s="8">
        <f>IFERROR(__xludf.DUMMYFUNCTION("""COMPUTED_VALUE"""),0.073170731707317)</f>
        <v>0.07317073171</v>
      </c>
      <c r="R261" s="8">
        <f>IFERROR(__xludf.DUMMYFUNCTION("""COMPUTED_VALUE"""),0.0948275862068965)</f>
        <v>0.09482758621</v>
      </c>
      <c r="S261" s="8">
        <f>IFERROR(__xludf.DUMMYFUNCTION("""COMPUTED_VALUE"""),0.0204081632653061)</f>
        <v>0.02040816327</v>
      </c>
      <c r="T261" s="8">
        <f>IFERROR(__xludf.DUMMYFUNCTION("""COMPUTED_VALUE"""),0.0212765957446808)</f>
        <v>0.02127659574</v>
      </c>
      <c r="U261" s="8">
        <f>IFERROR(__xludf.DUMMYFUNCTION("""COMPUTED_VALUE"""),0.0)</f>
        <v>0</v>
      </c>
      <c r="V261" s="8">
        <f>IFERROR(__xludf.DUMMYFUNCTION("""COMPUTED_VALUE"""),0.0)</f>
        <v>0</v>
      </c>
      <c r="W261" s="8">
        <f>IFERROR(__xludf.DUMMYFUNCTION("""COMPUTED_VALUE"""),0.0)</f>
        <v>0</v>
      </c>
      <c r="X261" s="8">
        <f>IFERROR(__xludf.DUMMYFUNCTION("""COMPUTED_VALUE"""),0.0)</f>
        <v>0</v>
      </c>
      <c r="Y261" s="8">
        <f>IFERROR(__xludf.DUMMYFUNCTION("""COMPUTED_VALUE"""),0.0)</f>
        <v>0</v>
      </c>
      <c r="Z261" s="8">
        <f>IFERROR(__xludf.DUMMYFUNCTION("""COMPUTED_VALUE"""),0.0)</f>
        <v>0</v>
      </c>
      <c r="AA261" s="8">
        <f>IFERROR(__xludf.DUMMYFUNCTION("""COMPUTED_VALUE"""),0.0)</f>
        <v>0</v>
      </c>
      <c r="AB261" s="8">
        <f>IFERROR(__xludf.DUMMYFUNCTION("""COMPUTED_VALUE"""),0.0)</f>
        <v>0</v>
      </c>
      <c r="AC261" s="8">
        <f>IFERROR(__xludf.DUMMYFUNCTION("""COMPUTED_VALUE"""),0.0)</f>
        <v>0</v>
      </c>
    </row>
    <row r="262" ht="15.75" customHeight="1">
      <c r="A262" s="6" t="str">
        <f>IFERROR(__xludf.DUMMYFUNCTION("""COMPUTED_VALUE"""),"efc5ab9117a97ffce6537344dcb0416ed5ff0dc1")</f>
        <v>efc5ab9117a97ffce6537344dcb0416ed5ff0dc1</v>
      </c>
      <c r="B262" s="6" t="str">
        <f>IFERROR(__xludf.DUMMYFUNCTION("""COMPUTED_VALUE"""),"Imperial Clan Descends")</f>
        <v>Imperial Clan Descends</v>
      </c>
      <c r="C262" s="6" t="str">
        <f>IFERROR(__xludf.DUMMYFUNCTION("""COMPUTED_VALUE"""),"Drama")</f>
        <v>Drama</v>
      </c>
      <c r="D262" s="17">
        <f>IFERROR(__xludf.DUMMYFUNCTION("""COMPUTED_VALUE"""),243.0)</f>
        <v>243</v>
      </c>
      <c r="E262" s="8">
        <f>IFERROR(__xludf.DUMMYFUNCTION("""COMPUTED_VALUE"""),0.995192307692307)</f>
        <v>0.9951923077</v>
      </c>
      <c r="F262" s="8">
        <f>IFERROR(__xludf.DUMMYFUNCTION("""COMPUTED_VALUE"""),0.416666666666666)</f>
        <v>0.4166666667</v>
      </c>
      <c r="G262" s="8">
        <f>IFERROR(__xludf.DUMMYFUNCTION("""COMPUTED_VALUE"""),0.323076923076923)</f>
        <v>0.3230769231</v>
      </c>
      <c r="H262" s="8">
        <f>IFERROR(__xludf.DUMMYFUNCTION("""COMPUTED_VALUE"""),0.257142857142857)</f>
        <v>0.2571428571</v>
      </c>
      <c r="I262" s="8">
        <f>IFERROR(__xludf.DUMMYFUNCTION("""COMPUTED_VALUE"""),0.21)</f>
        <v>0.21</v>
      </c>
      <c r="J262" s="8">
        <f>IFERROR(__xludf.DUMMYFUNCTION("""COMPUTED_VALUE"""),0.162790697674418)</f>
        <v>0.1627906977</v>
      </c>
      <c r="K262" s="8">
        <f>IFERROR(__xludf.DUMMYFUNCTION("""COMPUTED_VALUE"""),0.146341463414634)</f>
        <v>0.1463414634</v>
      </c>
      <c r="L262" s="8">
        <f>IFERROR(__xludf.DUMMYFUNCTION("""COMPUTED_VALUE"""),0.13235294117647)</f>
        <v>0.1323529412</v>
      </c>
      <c r="M262" s="8">
        <f>IFERROR(__xludf.DUMMYFUNCTION("""COMPUTED_VALUE"""),0.158730158730158)</f>
        <v>0.1587301587</v>
      </c>
      <c r="N262" s="8">
        <f>IFERROR(__xludf.DUMMYFUNCTION("""COMPUTED_VALUE"""),0.122448979591836)</f>
        <v>0.1224489796</v>
      </c>
      <c r="O262" s="8">
        <f>IFERROR(__xludf.DUMMYFUNCTION("""COMPUTED_VALUE"""),0.09375)</f>
        <v>0.09375</v>
      </c>
      <c r="P262" s="8">
        <f>IFERROR(__xludf.DUMMYFUNCTION("""COMPUTED_VALUE"""),0.129032258064516)</f>
        <v>0.1290322581</v>
      </c>
      <c r="Q262" s="8">
        <f>IFERROR(__xludf.DUMMYFUNCTION("""COMPUTED_VALUE"""),0.103448275862068)</f>
        <v>0.1034482759</v>
      </c>
      <c r="R262" s="8">
        <f>IFERROR(__xludf.DUMMYFUNCTION("""COMPUTED_VALUE"""),0.111111111111111)</f>
        <v>0.1111111111</v>
      </c>
      <c r="S262" s="8">
        <f>IFERROR(__xludf.DUMMYFUNCTION("""COMPUTED_VALUE"""),0.0)</f>
        <v>0</v>
      </c>
      <c r="T262" s="8">
        <f>IFERROR(__xludf.DUMMYFUNCTION("""COMPUTED_VALUE"""),0.0)</f>
        <v>0</v>
      </c>
      <c r="U262" s="8">
        <f>IFERROR(__xludf.DUMMYFUNCTION("""COMPUTED_VALUE"""),0.0)</f>
        <v>0</v>
      </c>
      <c r="V262" s="8">
        <f>IFERROR(__xludf.DUMMYFUNCTION("""COMPUTED_VALUE"""),0.0)</f>
        <v>0</v>
      </c>
      <c r="W262" s="8">
        <f>IFERROR(__xludf.DUMMYFUNCTION("""COMPUTED_VALUE"""),0.0)</f>
        <v>0</v>
      </c>
      <c r="X262" s="8">
        <f>IFERROR(__xludf.DUMMYFUNCTION("""COMPUTED_VALUE"""),0.0)</f>
        <v>0</v>
      </c>
      <c r="Y262" s="8">
        <f>IFERROR(__xludf.DUMMYFUNCTION("""COMPUTED_VALUE"""),0.0)</f>
        <v>0</v>
      </c>
      <c r="Z262" s="8">
        <f>IFERROR(__xludf.DUMMYFUNCTION("""COMPUTED_VALUE"""),0.0)</f>
        <v>0</v>
      </c>
      <c r="AA262" s="8">
        <f>IFERROR(__xludf.DUMMYFUNCTION("""COMPUTED_VALUE"""),0.0)</f>
        <v>0</v>
      </c>
      <c r="AB262" s="8">
        <f>IFERROR(__xludf.DUMMYFUNCTION("""COMPUTED_VALUE"""),0.0)</f>
        <v>0</v>
      </c>
      <c r="AC262" s="8">
        <f>IFERROR(__xludf.DUMMYFUNCTION("""COMPUTED_VALUE"""),0.0)</f>
        <v>0</v>
      </c>
    </row>
    <row r="263" ht="15.75" customHeight="1">
      <c r="A263" s="6" t="str">
        <f>IFERROR(__xludf.DUMMYFUNCTION("""COMPUTED_VALUE"""),"f06451dc56081680609a77b52825c3da76e8ae66")</f>
        <v>f06451dc56081680609a77b52825c3da76e8ae66</v>
      </c>
      <c r="B263" s="6" t="str">
        <f>IFERROR(__xludf.DUMMYFUNCTION("""COMPUTED_VALUE"""),"Her Exit, His Regret")</f>
        <v>Her Exit, His Regret</v>
      </c>
      <c r="C263" s="6" t="str">
        <f>IFERROR(__xludf.DUMMYFUNCTION("""COMPUTED_VALUE"""),"Romance")</f>
        <v>Romance</v>
      </c>
      <c r="D263" s="17">
        <f>IFERROR(__xludf.DUMMYFUNCTION("""COMPUTED_VALUE"""),732.0)</f>
        <v>732</v>
      </c>
      <c r="E263" s="8">
        <f>IFERROR(__xludf.DUMMYFUNCTION("""COMPUTED_VALUE"""),0.967213114754098)</f>
        <v>0.9672131148</v>
      </c>
      <c r="F263" s="8">
        <f>IFERROR(__xludf.DUMMYFUNCTION("""COMPUTED_VALUE"""),0.640710382513661)</f>
        <v>0.6407103825</v>
      </c>
      <c r="G263" s="8">
        <f>IFERROR(__xludf.DUMMYFUNCTION("""COMPUTED_VALUE"""),0.557377049180327)</f>
        <v>0.5573770492</v>
      </c>
      <c r="H263" s="8">
        <f>IFERROR(__xludf.DUMMYFUNCTION("""COMPUTED_VALUE"""),0.483606557377049)</f>
        <v>0.4836065574</v>
      </c>
      <c r="I263" s="8">
        <f>IFERROR(__xludf.DUMMYFUNCTION("""COMPUTED_VALUE"""),0.419398907103825)</f>
        <v>0.4193989071</v>
      </c>
      <c r="J263" s="8">
        <f>IFERROR(__xludf.DUMMYFUNCTION("""COMPUTED_VALUE"""),0.39207650273224)</f>
        <v>0.3920765027</v>
      </c>
      <c r="K263" s="8">
        <f>IFERROR(__xludf.DUMMYFUNCTION("""COMPUTED_VALUE"""),0.389876880984952)</f>
        <v>0.389876881</v>
      </c>
      <c r="L263" s="8">
        <f>IFERROR(__xludf.DUMMYFUNCTION("""COMPUTED_VALUE"""),0.328651685393258)</f>
        <v>0.3286516854</v>
      </c>
      <c r="M263" s="8">
        <f>IFERROR(__xludf.DUMMYFUNCTION("""COMPUTED_VALUE"""),0.303370786516853)</f>
        <v>0.3033707865</v>
      </c>
      <c r="N263" s="8">
        <f>IFERROR(__xludf.DUMMYFUNCTION("""COMPUTED_VALUE"""),0.285513361462728)</f>
        <v>0.2855133615</v>
      </c>
      <c r="O263" s="8">
        <f>IFERROR(__xludf.DUMMYFUNCTION("""COMPUTED_VALUE"""),0.259206798866855)</f>
        <v>0.2592067989</v>
      </c>
      <c r="P263" s="8">
        <f>IFERROR(__xludf.DUMMYFUNCTION("""COMPUTED_VALUE"""),0.150645624103299)</f>
        <v>0.1506456241</v>
      </c>
      <c r="Q263" s="8">
        <f>IFERROR(__xludf.DUMMYFUNCTION("""COMPUTED_VALUE"""),0.162790697674418)</f>
        <v>0.1627906977</v>
      </c>
      <c r="R263" s="8">
        <f>IFERROR(__xludf.DUMMYFUNCTION("""COMPUTED_VALUE"""),0.147058823529411)</f>
        <v>0.1470588235</v>
      </c>
      <c r="S263" s="8">
        <f>IFERROR(__xludf.DUMMYFUNCTION("""COMPUTED_VALUE"""),0.0)</f>
        <v>0</v>
      </c>
      <c r="T263" s="8">
        <f>IFERROR(__xludf.DUMMYFUNCTION("""COMPUTED_VALUE"""),0.0)</f>
        <v>0</v>
      </c>
      <c r="U263" s="8">
        <f>IFERROR(__xludf.DUMMYFUNCTION("""COMPUTED_VALUE"""),0.0)</f>
        <v>0</v>
      </c>
      <c r="V263" s="8">
        <f>IFERROR(__xludf.DUMMYFUNCTION("""COMPUTED_VALUE"""),0.0)</f>
        <v>0</v>
      </c>
      <c r="W263" s="8">
        <f>IFERROR(__xludf.DUMMYFUNCTION("""COMPUTED_VALUE"""),0.0)</f>
        <v>0</v>
      </c>
      <c r="X263" s="8">
        <f>IFERROR(__xludf.DUMMYFUNCTION("""COMPUTED_VALUE"""),0.0)</f>
        <v>0</v>
      </c>
      <c r="Y263" s="8">
        <f>IFERROR(__xludf.DUMMYFUNCTION("""COMPUTED_VALUE"""),0.0)</f>
        <v>0</v>
      </c>
      <c r="Z263" s="8">
        <f>IFERROR(__xludf.DUMMYFUNCTION("""COMPUTED_VALUE"""),0.0)</f>
        <v>0</v>
      </c>
      <c r="AA263" s="8">
        <f>IFERROR(__xludf.DUMMYFUNCTION("""COMPUTED_VALUE"""),0.0)</f>
        <v>0</v>
      </c>
      <c r="AB263" s="8">
        <f>IFERROR(__xludf.DUMMYFUNCTION("""COMPUTED_VALUE"""),0.0)</f>
        <v>0</v>
      </c>
      <c r="AC263" s="8">
        <f>IFERROR(__xludf.DUMMYFUNCTION("""COMPUTED_VALUE"""),0.0)</f>
        <v>0</v>
      </c>
    </row>
    <row r="264" ht="15.75" customHeight="1">
      <c r="A264" s="6" t="str">
        <f>IFERROR(__xludf.DUMMYFUNCTION("""COMPUTED_VALUE"""),"f11e794eecc64915145ae97085e04201646abfe3")</f>
        <v>f11e794eecc64915145ae97085e04201646abfe3</v>
      </c>
      <c r="B264" s="6" t="str">
        <f>IFERROR(__xludf.DUMMYFUNCTION("""COMPUTED_VALUE"""),"Almost His Bride ")</f>
        <v>Almost His Bride </v>
      </c>
      <c r="C264" s="6" t="str">
        <f>IFERROR(__xludf.DUMMYFUNCTION("""COMPUTED_VALUE"""),"Romance")</f>
        <v>Romance</v>
      </c>
      <c r="D264" s="17">
        <f>IFERROR(__xludf.DUMMYFUNCTION("""COMPUTED_VALUE"""),27.0)</f>
        <v>27</v>
      </c>
      <c r="E264" s="8">
        <f>IFERROR(__xludf.DUMMYFUNCTION("""COMPUTED_VALUE"""),0.925925925925925)</f>
        <v>0.9259259259</v>
      </c>
      <c r="F264" s="8">
        <f>IFERROR(__xludf.DUMMYFUNCTION("""COMPUTED_VALUE"""),0.592592592592592)</f>
        <v>0.5925925926</v>
      </c>
      <c r="G264" s="8">
        <f>IFERROR(__xludf.DUMMYFUNCTION("""COMPUTED_VALUE"""),0.629629629629629)</f>
        <v>0.6296296296</v>
      </c>
      <c r="H264" s="8">
        <f>IFERROR(__xludf.DUMMYFUNCTION("""COMPUTED_VALUE"""),0.592592592592592)</f>
        <v>0.5925925926</v>
      </c>
      <c r="I264" s="8">
        <f>IFERROR(__xludf.DUMMYFUNCTION("""COMPUTED_VALUE"""),0.518518518518518)</f>
        <v>0.5185185185</v>
      </c>
      <c r="J264" s="8">
        <f>IFERROR(__xludf.DUMMYFUNCTION("""COMPUTED_VALUE"""),0.555555555555555)</f>
        <v>0.5555555556</v>
      </c>
      <c r="K264" s="8">
        <f>IFERROR(__xludf.DUMMYFUNCTION("""COMPUTED_VALUE"""),0.481481481481481)</f>
        <v>0.4814814815</v>
      </c>
      <c r="L264" s="8">
        <f>IFERROR(__xludf.DUMMYFUNCTION("""COMPUTED_VALUE"""),0.444444444444444)</f>
        <v>0.4444444444</v>
      </c>
      <c r="M264" s="8">
        <f>IFERROR(__xludf.DUMMYFUNCTION("""COMPUTED_VALUE"""),0.407407407407407)</f>
        <v>0.4074074074</v>
      </c>
      <c r="N264" s="8">
        <f>IFERROR(__xludf.DUMMYFUNCTION("""COMPUTED_VALUE"""),0.518518518518518)</f>
        <v>0.5185185185</v>
      </c>
      <c r="O264" s="8">
        <f>IFERROR(__xludf.DUMMYFUNCTION("""COMPUTED_VALUE"""),0.36)</f>
        <v>0.36</v>
      </c>
      <c r="P264" s="8">
        <f>IFERROR(__xludf.DUMMYFUNCTION("""COMPUTED_VALUE"""),0.2)</f>
        <v>0.2</v>
      </c>
      <c r="Q264" s="8">
        <f>IFERROR(__xludf.DUMMYFUNCTION("""COMPUTED_VALUE"""),0.176470588235294)</f>
        <v>0.1764705882</v>
      </c>
      <c r="R264" s="8">
        <f>IFERROR(__xludf.DUMMYFUNCTION("""COMPUTED_VALUE"""),0.0588235294117647)</f>
        <v>0.05882352941</v>
      </c>
      <c r="S264" s="8">
        <f>IFERROR(__xludf.DUMMYFUNCTION("""COMPUTED_VALUE"""),0.0)</f>
        <v>0</v>
      </c>
      <c r="T264" s="8">
        <f>IFERROR(__xludf.DUMMYFUNCTION("""COMPUTED_VALUE"""),0.0)</f>
        <v>0</v>
      </c>
      <c r="U264" s="8">
        <f>IFERROR(__xludf.DUMMYFUNCTION("""COMPUTED_VALUE"""),0.0)</f>
        <v>0</v>
      </c>
      <c r="V264" s="8">
        <f>IFERROR(__xludf.DUMMYFUNCTION("""COMPUTED_VALUE"""),0.0)</f>
        <v>0</v>
      </c>
      <c r="W264" s="8">
        <f>IFERROR(__xludf.DUMMYFUNCTION("""COMPUTED_VALUE"""),0.0)</f>
        <v>0</v>
      </c>
      <c r="X264" s="8">
        <f>IFERROR(__xludf.DUMMYFUNCTION("""COMPUTED_VALUE"""),0.0)</f>
        <v>0</v>
      </c>
      <c r="Y264" s="8">
        <f>IFERROR(__xludf.DUMMYFUNCTION("""COMPUTED_VALUE"""),0.0)</f>
        <v>0</v>
      </c>
      <c r="Z264" s="8">
        <f>IFERROR(__xludf.DUMMYFUNCTION("""COMPUTED_VALUE"""),0.0)</f>
        <v>0</v>
      </c>
      <c r="AA264" s="8">
        <f>IFERROR(__xludf.DUMMYFUNCTION("""COMPUTED_VALUE"""),0.0)</f>
        <v>0</v>
      </c>
      <c r="AB264" s="8">
        <f>IFERROR(__xludf.DUMMYFUNCTION("""COMPUTED_VALUE"""),0.0)</f>
        <v>0</v>
      </c>
      <c r="AC264" s="8">
        <f>IFERROR(__xludf.DUMMYFUNCTION("""COMPUTED_VALUE"""),0.0)</f>
        <v>0</v>
      </c>
    </row>
    <row r="265" ht="15.75" customHeight="1">
      <c r="A265" s="6" t="str">
        <f>IFERROR(__xludf.DUMMYFUNCTION("""COMPUTED_VALUE"""),"f16d45e2702863e71bf480a3e2490ded19c4cbd9")</f>
        <v>f16d45e2702863e71bf480a3e2490ded19c4cbd9</v>
      </c>
      <c r="B265" s="6" t="str">
        <f>IFERROR(__xludf.DUMMYFUNCTION("""COMPUTED_VALUE"""),"Supreme Sword Cultivator")</f>
        <v>Supreme Sword Cultivator</v>
      </c>
      <c r="C265" s="6" t="str">
        <f>IFERROR(__xludf.DUMMYFUNCTION("""COMPUTED_VALUE"""),"Fantasy")</f>
        <v>Fantasy</v>
      </c>
      <c r="D265" s="17">
        <f>IFERROR(__xludf.DUMMYFUNCTION("""COMPUTED_VALUE"""),205.0)</f>
        <v>205</v>
      </c>
      <c r="E265" s="8">
        <f>IFERROR(__xludf.DUMMYFUNCTION("""COMPUTED_VALUE"""),0.970731707317073)</f>
        <v>0.9707317073</v>
      </c>
      <c r="F265" s="8">
        <f>IFERROR(__xludf.DUMMYFUNCTION("""COMPUTED_VALUE"""),0.720588235294117)</f>
        <v>0.7205882353</v>
      </c>
      <c r="G265" s="8">
        <f>IFERROR(__xludf.DUMMYFUNCTION("""COMPUTED_VALUE"""),0.686274509803921)</f>
        <v>0.6862745098</v>
      </c>
      <c r="H265" s="8">
        <f>IFERROR(__xludf.DUMMYFUNCTION("""COMPUTED_VALUE"""),0.676470588235294)</f>
        <v>0.6764705882</v>
      </c>
      <c r="I265" s="8">
        <f>IFERROR(__xludf.DUMMYFUNCTION("""COMPUTED_VALUE"""),0.650246305418719)</f>
        <v>0.6502463054</v>
      </c>
      <c r="J265" s="8">
        <f>IFERROR(__xludf.DUMMYFUNCTION("""COMPUTED_VALUE"""),0.623762376237623)</f>
        <v>0.6237623762</v>
      </c>
      <c r="K265" s="8">
        <f>IFERROR(__xludf.DUMMYFUNCTION("""COMPUTED_VALUE"""),0.606965174129353)</f>
        <v>0.6069651741</v>
      </c>
      <c r="L265" s="8">
        <f>IFERROR(__xludf.DUMMYFUNCTION("""COMPUTED_VALUE"""),0.61)</f>
        <v>0.61</v>
      </c>
      <c r="M265" s="8">
        <f>IFERROR(__xludf.DUMMYFUNCTION("""COMPUTED_VALUE"""),0.59)</f>
        <v>0.59</v>
      </c>
      <c r="N265" s="8">
        <f>IFERROR(__xludf.DUMMYFUNCTION("""COMPUTED_VALUE"""),0.56)</f>
        <v>0.56</v>
      </c>
      <c r="O265" s="8">
        <f>IFERROR(__xludf.DUMMYFUNCTION("""COMPUTED_VALUE"""),0.502590673575129)</f>
        <v>0.5025906736</v>
      </c>
      <c r="P265" s="8">
        <f>IFERROR(__xludf.DUMMYFUNCTION("""COMPUTED_VALUE"""),0.439153439153439)</f>
        <v>0.4391534392</v>
      </c>
      <c r="Q265" s="8">
        <f>IFERROR(__xludf.DUMMYFUNCTION("""COMPUTED_VALUE"""),0.389261744966442)</f>
        <v>0.389261745</v>
      </c>
      <c r="R265" s="8">
        <f>IFERROR(__xludf.DUMMYFUNCTION("""COMPUTED_VALUE"""),0.351724137931034)</f>
        <v>0.3517241379</v>
      </c>
      <c r="S265" s="8">
        <f>IFERROR(__xludf.DUMMYFUNCTION("""COMPUTED_VALUE"""),0.307142857142857)</f>
        <v>0.3071428571</v>
      </c>
      <c r="T265" s="8">
        <f>IFERROR(__xludf.DUMMYFUNCTION("""COMPUTED_VALUE"""),0.18796992481203)</f>
        <v>0.1879699248</v>
      </c>
      <c r="U265" s="8">
        <f>IFERROR(__xludf.DUMMYFUNCTION("""COMPUTED_VALUE"""),0.0578512396694214)</f>
        <v>0.05785123967</v>
      </c>
      <c r="V265" s="8">
        <f>IFERROR(__xludf.DUMMYFUNCTION("""COMPUTED_VALUE"""),0.0)</f>
        <v>0</v>
      </c>
      <c r="W265" s="8">
        <f>IFERROR(__xludf.DUMMYFUNCTION("""COMPUTED_VALUE"""),0.0)</f>
        <v>0</v>
      </c>
      <c r="X265" s="8">
        <f>IFERROR(__xludf.DUMMYFUNCTION("""COMPUTED_VALUE"""),0.0)</f>
        <v>0</v>
      </c>
      <c r="Y265" s="8">
        <f>IFERROR(__xludf.DUMMYFUNCTION("""COMPUTED_VALUE"""),0.0)</f>
        <v>0</v>
      </c>
      <c r="Z265" s="8">
        <f>IFERROR(__xludf.DUMMYFUNCTION("""COMPUTED_VALUE"""),0.0)</f>
        <v>0</v>
      </c>
      <c r="AA265" s="8">
        <f>IFERROR(__xludf.DUMMYFUNCTION("""COMPUTED_VALUE"""),0.0)</f>
        <v>0</v>
      </c>
      <c r="AB265" s="8">
        <f>IFERROR(__xludf.DUMMYFUNCTION("""COMPUTED_VALUE"""),0.0)</f>
        <v>0</v>
      </c>
      <c r="AC265" s="8">
        <f>IFERROR(__xludf.DUMMYFUNCTION("""COMPUTED_VALUE"""),0.0)</f>
        <v>0</v>
      </c>
    </row>
    <row r="266" ht="15.75" customHeight="1">
      <c r="A266" s="6" t="str">
        <f>IFERROR(__xludf.DUMMYFUNCTION("""COMPUTED_VALUE"""),"f23c3d5745910e4c7cf490450f5314358a0cec03")</f>
        <v>f23c3d5745910e4c7cf490450f5314358a0cec03</v>
      </c>
      <c r="B266" s="6" t="str">
        <f>IFERROR(__xludf.DUMMYFUNCTION("""COMPUTED_VALUE"""),"When My Ex Returned")</f>
        <v>When My Ex Returned</v>
      </c>
      <c r="C266" s="6" t="str">
        <f>IFERROR(__xludf.DUMMYFUNCTION("""COMPUTED_VALUE"""),"Romance")</f>
        <v>Romance</v>
      </c>
      <c r="D266" s="17">
        <f>IFERROR(__xludf.DUMMYFUNCTION("""COMPUTED_VALUE"""),556.0)</f>
        <v>556</v>
      </c>
      <c r="E266" s="8">
        <f>IFERROR(__xludf.DUMMYFUNCTION("""COMPUTED_VALUE"""),0.973021582733812)</f>
        <v>0.9730215827</v>
      </c>
      <c r="F266" s="8">
        <f>IFERROR(__xludf.DUMMYFUNCTION("""COMPUTED_VALUE"""),0.551351351351351)</f>
        <v>0.5513513514</v>
      </c>
      <c r="G266" s="8">
        <f>IFERROR(__xludf.DUMMYFUNCTION("""COMPUTED_VALUE"""),0.497297297297297)</f>
        <v>0.4972972973</v>
      </c>
      <c r="H266" s="8">
        <f>IFERROR(__xludf.DUMMYFUNCTION("""COMPUTED_VALUE"""),0.461261261261261)</f>
        <v>0.4612612613</v>
      </c>
      <c r="I266" s="8">
        <f>IFERROR(__xludf.DUMMYFUNCTION("""COMPUTED_VALUE"""),0.440433212996389)</f>
        <v>0.440433213</v>
      </c>
      <c r="J266" s="8">
        <f>IFERROR(__xludf.DUMMYFUNCTION("""COMPUTED_VALUE"""),0.409747292418772)</f>
        <v>0.4097472924</v>
      </c>
      <c r="K266" s="8">
        <f>IFERROR(__xludf.DUMMYFUNCTION("""COMPUTED_VALUE"""),0.384476534296028)</f>
        <v>0.3844765343</v>
      </c>
      <c r="L266" s="8">
        <f>IFERROR(__xludf.DUMMYFUNCTION("""COMPUTED_VALUE"""),0.346570397111913)</f>
        <v>0.3465703971</v>
      </c>
      <c r="M266" s="8">
        <f>IFERROR(__xludf.DUMMYFUNCTION("""COMPUTED_VALUE"""),0.328519855595667)</f>
        <v>0.3285198556</v>
      </c>
      <c r="N266" s="8">
        <f>IFERROR(__xludf.DUMMYFUNCTION("""COMPUTED_VALUE"""),0.310469314079422)</f>
        <v>0.3104693141</v>
      </c>
      <c r="O266" s="8">
        <f>IFERROR(__xludf.DUMMYFUNCTION("""COMPUTED_VALUE"""),0.250902527075812)</f>
        <v>0.2509025271</v>
      </c>
      <c r="P266" s="8">
        <f>IFERROR(__xludf.DUMMYFUNCTION("""COMPUTED_VALUE"""),0.153564899451553)</f>
        <v>0.1535648995</v>
      </c>
      <c r="Q266" s="8">
        <f>IFERROR(__xludf.DUMMYFUNCTION("""COMPUTED_VALUE"""),0.16875)</f>
        <v>0.16875</v>
      </c>
      <c r="R266" s="8">
        <f>IFERROR(__xludf.DUMMYFUNCTION("""COMPUTED_VALUE"""),0.0)</f>
        <v>0</v>
      </c>
      <c r="S266" s="8">
        <f>IFERROR(__xludf.DUMMYFUNCTION("""COMPUTED_VALUE"""),0.0)</f>
        <v>0</v>
      </c>
      <c r="T266" s="8">
        <f>IFERROR(__xludf.DUMMYFUNCTION("""COMPUTED_VALUE"""),0.0)</f>
        <v>0</v>
      </c>
      <c r="U266" s="8">
        <f>IFERROR(__xludf.DUMMYFUNCTION("""COMPUTED_VALUE"""),0.0)</f>
        <v>0</v>
      </c>
      <c r="V266" s="8">
        <f>IFERROR(__xludf.DUMMYFUNCTION("""COMPUTED_VALUE"""),0.0)</f>
        <v>0</v>
      </c>
      <c r="W266" s="8">
        <f>IFERROR(__xludf.DUMMYFUNCTION("""COMPUTED_VALUE"""),0.0)</f>
        <v>0</v>
      </c>
      <c r="X266" s="8">
        <f>IFERROR(__xludf.DUMMYFUNCTION("""COMPUTED_VALUE"""),0.0)</f>
        <v>0</v>
      </c>
      <c r="Y266" s="8">
        <f>IFERROR(__xludf.DUMMYFUNCTION("""COMPUTED_VALUE"""),0.0)</f>
        <v>0</v>
      </c>
      <c r="Z266" s="8">
        <f>IFERROR(__xludf.DUMMYFUNCTION("""COMPUTED_VALUE"""),0.0)</f>
        <v>0</v>
      </c>
      <c r="AA266" s="8">
        <f>IFERROR(__xludf.DUMMYFUNCTION("""COMPUTED_VALUE"""),0.0)</f>
        <v>0</v>
      </c>
      <c r="AB266" s="8">
        <f>IFERROR(__xludf.DUMMYFUNCTION("""COMPUTED_VALUE"""),0.0)</f>
        <v>0</v>
      </c>
      <c r="AC266" s="8">
        <f>IFERROR(__xludf.DUMMYFUNCTION("""COMPUTED_VALUE"""),0.0)</f>
        <v>0</v>
      </c>
    </row>
    <row r="267" ht="15.75" customHeight="1">
      <c r="A267" s="6" t="str">
        <f>IFERROR(__xludf.DUMMYFUNCTION("""COMPUTED_VALUE"""),"f2ec53ac7f98813aea65ea59e50f32077fe08707")</f>
        <v>f2ec53ac7f98813aea65ea59e50f32077fe08707</v>
      </c>
      <c r="B267" s="6" t="str">
        <f>IFERROR(__xludf.DUMMYFUNCTION("""COMPUTED_VALUE"""),"The Forbidden Kiss")</f>
        <v>The Forbidden Kiss</v>
      </c>
      <c r="C267" s="6" t="str">
        <f>IFERROR(__xludf.DUMMYFUNCTION("""COMPUTED_VALUE"""),"Romance")</f>
        <v>Romance</v>
      </c>
      <c r="D267" s="17">
        <f>IFERROR(__xludf.DUMMYFUNCTION("""COMPUTED_VALUE"""),411.0)</f>
        <v>411</v>
      </c>
      <c r="E267" s="8">
        <f>IFERROR(__xludf.DUMMYFUNCTION("""COMPUTED_VALUE"""),0.981865284974093)</f>
        <v>0.981865285</v>
      </c>
      <c r="F267" s="8">
        <f>IFERROR(__xludf.DUMMYFUNCTION("""COMPUTED_VALUE"""),0.535816618911174)</f>
        <v>0.5358166189</v>
      </c>
      <c r="G267" s="8">
        <f>IFERROR(__xludf.DUMMYFUNCTION("""COMPUTED_VALUE"""),0.419161676646706)</f>
        <v>0.4191616766</v>
      </c>
      <c r="H267" s="8">
        <f>IFERROR(__xludf.DUMMYFUNCTION("""COMPUTED_VALUE"""),0.357142857142857)</f>
        <v>0.3571428571</v>
      </c>
      <c r="I267" s="8">
        <f>IFERROR(__xludf.DUMMYFUNCTION("""COMPUTED_VALUE"""),0.323843416370106)</f>
        <v>0.3238434164</v>
      </c>
      <c r="J267" s="8">
        <f>IFERROR(__xludf.DUMMYFUNCTION("""COMPUTED_VALUE"""),0.292775665399239)</f>
        <v>0.2927756654</v>
      </c>
      <c r="K267" s="8">
        <f>IFERROR(__xludf.DUMMYFUNCTION("""COMPUTED_VALUE"""),0.279527559055118)</f>
        <v>0.2795275591</v>
      </c>
      <c r="L267" s="8">
        <f>IFERROR(__xludf.DUMMYFUNCTION("""COMPUTED_VALUE"""),0.262222222222222)</f>
        <v>0.2622222222</v>
      </c>
      <c r="M267" s="8">
        <f>IFERROR(__xludf.DUMMYFUNCTION("""COMPUTED_VALUE"""),0.25615763546798)</f>
        <v>0.2561576355</v>
      </c>
      <c r="N267" s="8">
        <f>IFERROR(__xludf.DUMMYFUNCTION("""COMPUTED_VALUE"""),0.251700680272108)</f>
        <v>0.2517006803</v>
      </c>
      <c r="O267" s="8">
        <f>IFERROR(__xludf.DUMMYFUNCTION("""COMPUTED_VALUE"""),0.257575757575757)</f>
        <v>0.2575757576</v>
      </c>
      <c r="P267" s="8">
        <f>IFERROR(__xludf.DUMMYFUNCTION("""COMPUTED_VALUE"""),0.126984126984126)</f>
        <v>0.126984127</v>
      </c>
      <c r="Q267" s="8">
        <f>IFERROR(__xludf.DUMMYFUNCTION("""COMPUTED_VALUE"""),0.115384615384615)</f>
        <v>0.1153846154</v>
      </c>
      <c r="R267" s="8">
        <f>IFERROR(__xludf.DUMMYFUNCTION("""COMPUTED_VALUE"""),0.0769230769230769)</f>
        <v>0.07692307692</v>
      </c>
      <c r="S267" s="8">
        <f>IFERROR(__xludf.DUMMYFUNCTION("""COMPUTED_VALUE"""),0.0)</f>
        <v>0</v>
      </c>
      <c r="T267" s="8">
        <f>IFERROR(__xludf.DUMMYFUNCTION("""COMPUTED_VALUE"""),0.0)</f>
        <v>0</v>
      </c>
      <c r="U267" s="8">
        <f>IFERROR(__xludf.DUMMYFUNCTION("""COMPUTED_VALUE"""),0.0)</f>
        <v>0</v>
      </c>
      <c r="V267" s="8">
        <f>IFERROR(__xludf.DUMMYFUNCTION("""COMPUTED_VALUE"""),0.0)</f>
        <v>0</v>
      </c>
      <c r="W267" s="8">
        <f>IFERROR(__xludf.DUMMYFUNCTION("""COMPUTED_VALUE"""),0.0)</f>
        <v>0</v>
      </c>
      <c r="X267" s="8">
        <f>IFERROR(__xludf.DUMMYFUNCTION("""COMPUTED_VALUE"""),0.0)</f>
        <v>0</v>
      </c>
      <c r="Y267" s="8">
        <f>IFERROR(__xludf.DUMMYFUNCTION("""COMPUTED_VALUE"""),0.0)</f>
        <v>0</v>
      </c>
      <c r="Z267" s="8">
        <f>IFERROR(__xludf.DUMMYFUNCTION("""COMPUTED_VALUE"""),0.0)</f>
        <v>0</v>
      </c>
      <c r="AA267" s="8">
        <f>IFERROR(__xludf.DUMMYFUNCTION("""COMPUTED_VALUE"""),0.0)</f>
        <v>0</v>
      </c>
      <c r="AB267" s="8">
        <f>IFERROR(__xludf.DUMMYFUNCTION("""COMPUTED_VALUE"""),0.0)</f>
        <v>0</v>
      </c>
      <c r="AC267" s="8">
        <f>IFERROR(__xludf.DUMMYFUNCTION("""COMPUTED_VALUE"""),0.0)</f>
        <v>0</v>
      </c>
    </row>
    <row r="268" ht="15.75" customHeight="1">
      <c r="A268" s="6" t="str">
        <f>IFERROR(__xludf.DUMMYFUNCTION("""COMPUTED_VALUE"""),"f32ed59a93a11812f5a5a57e2c663028b1c65f89")</f>
        <v>f32ed59a93a11812f5a5a57e2c663028b1c65f89</v>
      </c>
      <c r="B268" s="6" t="str">
        <f>IFERROR(__xludf.DUMMYFUNCTION("""COMPUTED_VALUE"""),"Trillionaire Sterling")</f>
        <v>Trillionaire Sterling</v>
      </c>
      <c r="C268" s="6" t="str">
        <f>IFERROR(__xludf.DUMMYFUNCTION("""COMPUTED_VALUE"""),"Fantasy")</f>
        <v>Fantasy</v>
      </c>
      <c r="D268" s="17">
        <f>IFERROR(__xludf.DUMMYFUNCTION("""COMPUTED_VALUE"""),9091.0)</f>
        <v>9091</v>
      </c>
      <c r="E268" s="8">
        <f>IFERROR(__xludf.DUMMYFUNCTION("""COMPUTED_VALUE"""),0.940587523379909)</f>
        <v>0.9405875234</v>
      </c>
      <c r="F268" s="8">
        <f>IFERROR(__xludf.DUMMYFUNCTION("""COMPUTED_VALUE"""),0.670117854389249)</f>
        <v>0.6701178544</v>
      </c>
      <c r="G268" s="8">
        <f>IFERROR(__xludf.DUMMYFUNCTION("""COMPUTED_VALUE"""),0.621460835077668)</f>
        <v>0.6214608351</v>
      </c>
      <c r="H268" s="8">
        <f>IFERROR(__xludf.DUMMYFUNCTION("""COMPUTED_VALUE"""),0.593536289433046)</f>
        <v>0.5935362894</v>
      </c>
      <c r="I268" s="8">
        <f>IFERROR(__xludf.DUMMYFUNCTION("""COMPUTED_VALUE"""),0.571696655259962)</f>
        <v>0.5716966553</v>
      </c>
      <c r="J268" s="8">
        <f>IFERROR(__xludf.DUMMYFUNCTION("""COMPUTED_VALUE"""),0.55469527707112)</f>
        <v>0.5546952771</v>
      </c>
      <c r="K268" s="8">
        <f>IFERROR(__xludf.DUMMYFUNCTION("""COMPUTED_VALUE"""),0.542815996455079)</f>
        <v>0.5428159965</v>
      </c>
      <c r="L268" s="8">
        <f>IFERROR(__xludf.DUMMYFUNCTION("""COMPUTED_VALUE"""),0.532926152137701)</f>
        <v>0.5329261521</v>
      </c>
      <c r="M268" s="8">
        <f>IFERROR(__xludf.DUMMYFUNCTION("""COMPUTED_VALUE"""),0.526415304193082)</f>
        <v>0.5264153042</v>
      </c>
      <c r="N268" s="8">
        <f>IFERROR(__xludf.DUMMYFUNCTION("""COMPUTED_VALUE"""),0.520847268673355)</f>
        <v>0.5208472687</v>
      </c>
      <c r="O268" s="8">
        <f>IFERROR(__xludf.DUMMYFUNCTION("""COMPUTED_VALUE"""),0.4789302168783)</f>
        <v>0.4789302169</v>
      </c>
      <c r="P268" s="8">
        <f>IFERROR(__xludf.DUMMYFUNCTION("""COMPUTED_VALUE"""),0.405605559986327)</f>
        <v>0.40560556</v>
      </c>
      <c r="Q268" s="8">
        <f>IFERROR(__xludf.DUMMYFUNCTION("""COMPUTED_VALUE"""),0.335316765838291)</f>
        <v>0.3353167658</v>
      </c>
      <c r="R268" s="8">
        <f>IFERROR(__xludf.DUMMYFUNCTION("""COMPUTED_VALUE"""),0.267159949622166)</f>
        <v>0.2671599496</v>
      </c>
      <c r="S268" s="8">
        <f>IFERROR(__xludf.DUMMYFUNCTION("""COMPUTED_VALUE"""),0.228293664096547)</f>
        <v>0.2282936641</v>
      </c>
      <c r="T268" s="8">
        <f>IFERROR(__xludf.DUMMYFUNCTION("""COMPUTED_VALUE"""),0.151486771247951)</f>
        <v>0.1514867712</v>
      </c>
      <c r="U268" s="8">
        <f>IFERROR(__xludf.DUMMYFUNCTION("""COMPUTED_VALUE"""),0.0835427135678392)</f>
        <v>0.08354271357</v>
      </c>
      <c r="V268" s="8">
        <f>IFERROR(__xludf.DUMMYFUNCTION("""COMPUTED_VALUE"""),0.0813893208916537)</f>
        <v>0.08138932089</v>
      </c>
      <c r="W268" s="8">
        <f>IFERROR(__xludf.DUMMYFUNCTION("""COMPUTED_VALUE"""),0.0446927374301676)</f>
        <v>0.04469273743</v>
      </c>
      <c r="X268" s="8">
        <f>IFERROR(__xludf.DUMMYFUNCTION("""COMPUTED_VALUE"""),0.0)</f>
        <v>0</v>
      </c>
      <c r="Y268" s="8">
        <f>IFERROR(__xludf.DUMMYFUNCTION("""COMPUTED_VALUE"""),0.0)</f>
        <v>0</v>
      </c>
      <c r="Z268" s="8">
        <f>IFERROR(__xludf.DUMMYFUNCTION("""COMPUTED_VALUE"""),0.0)</f>
        <v>0</v>
      </c>
      <c r="AA268" s="8">
        <f>IFERROR(__xludf.DUMMYFUNCTION("""COMPUTED_VALUE"""),0.0)</f>
        <v>0</v>
      </c>
      <c r="AB268" s="8">
        <f>IFERROR(__xludf.DUMMYFUNCTION("""COMPUTED_VALUE"""),0.0)</f>
        <v>0</v>
      </c>
      <c r="AC268" s="8">
        <f>IFERROR(__xludf.DUMMYFUNCTION("""COMPUTED_VALUE"""),0.0)</f>
        <v>0</v>
      </c>
    </row>
    <row r="269" ht="15.75" customHeight="1">
      <c r="A269" s="6" t="str">
        <f>IFERROR(__xludf.DUMMYFUNCTION("""COMPUTED_VALUE"""),"f3b45a9b931b38c0315d82ad645b9e45b513664b")</f>
        <v>f3b45a9b931b38c0315d82ad645b9e45b513664b</v>
      </c>
      <c r="B269" s="6" t="str">
        <f>IFERROR(__xludf.DUMMYFUNCTION("""COMPUTED_VALUE"""),"Reborn as a Golblin?!")</f>
        <v>Reborn as a Golblin?!</v>
      </c>
      <c r="C269" s="6" t="str">
        <f>IFERROR(__xludf.DUMMYFUNCTION("""COMPUTED_VALUE"""),"System and Superpower")</f>
        <v>System and Superpower</v>
      </c>
      <c r="D269" s="17">
        <f>IFERROR(__xludf.DUMMYFUNCTION("""COMPUTED_VALUE"""),569.0)</f>
        <v>569</v>
      </c>
      <c r="E269" s="8">
        <f>IFERROR(__xludf.DUMMYFUNCTION("""COMPUTED_VALUE"""),0.998242530755711)</f>
        <v>0.9982425308</v>
      </c>
      <c r="F269" s="8">
        <f>IFERROR(__xludf.DUMMYFUNCTION("""COMPUTED_VALUE"""),0.673144876325088)</f>
        <v>0.6731448763</v>
      </c>
      <c r="G269" s="8">
        <f>IFERROR(__xludf.DUMMYFUNCTION("""COMPUTED_VALUE"""),0.591150442477876)</f>
        <v>0.5911504425</v>
      </c>
      <c r="H269" s="8">
        <f>IFERROR(__xludf.DUMMYFUNCTION("""COMPUTED_VALUE"""),0.500894454382826)</f>
        <v>0.5008944544</v>
      </c>
      <c r="I269" s="8">
        <f>IFERROR(__xludf.DUMMYFUNCTION("""COMPUTED_VALUE"""),0.45667870036101)</f>
        <v>0.4566787004</v>
      </c>
      <c r="J269" s="8">
        <f>IFERROR(__xludf.DUMMYFUNCTION("""COMPUTED_VALUE"""),0.391544117647058)</f>
        <v>0.3915441176</v>
      </c>
      <c r="K269" s="8">
        <f>IFERROR(__xludf.DUMMYFUNCTION("""COMPUTED_VALUE"""),0.368029739776951)</f>
        <v>0.3680297398</v>
      </c>
      <c r="L269" s="8">
        <f>IFERROR(__xludf.DUMMYFUNCTION("""COMPUTED_VALUE"""),0.32657200811359)</f>
        <v>0.3265720081</v>
      </c>
      <c r="M269" s="8">
        <f>IFERROR(__xludf.DUMMYFUNCTION("""COMPUTED_VALUE"""),0.288416075650118)</f>
        <v>0.2884160757</v>
      </c>
      <c r="N269" s="8">
        <f>IFERROR(__xludf.DUMMYFUNCTION("""COMPUTED_VALUE"""),0.272727272727272)</f>
        <v>0.2727272727</v>
      </c>
      <c r="O269" s="8">
        <f>IFERROR(__xludf.DUMMYFUNCTION("""COMPUTED_VALUE"""),0.285714285714285)</f>
        <v>0.2857142857</v>
      </c>
      <c r="P269" s="8">
        <f>IFERROR(__xludf.DUMMYFUNCTION("""COMPUTED_VALUE"""),0.0)</f>
        <v>0</v>
      </c>
      <c r="Q269" s="8">
        <f>IFERROR(__xludf.DUMMYFUNCTION("""COMPUTED_VALUE"""),0.0)</f>
        <v>0</v>
      </c>
      <c r="R269" s="8">
        <f>IFERROR(__xludf.DUMMYFUNCTION("""COMPUTED_VALUE"""),0.0)</f>
        <v>0</v>
      </c>
      <c r="S269" s="8">
        <f>IFERROR(__xludf.DUMMYFUNCTION("""COMPUTED_VALUE"""),0.0)</f>
        <v>0</v>
      </c>
      <c r="T269" s="8">
        <f>IFERROR(__xludf.DUMMYFUNCTION("""COMPUTED_VALUE"""),0.0)</f>
        <v>0</v>
      </c>
      <c r="U269" s="8">
        <f>IFERROR(__xludf.DUMMYFUNCTION("""COMPUTED_VALUE"""),0.0)</f>
        <v>0</v>
      </c>
      <c r="V269" s="8">
        <f>IFERROR(__xludf.DUMMYFUNCTION("""COMPUTED_VALUE"""),0.0)</f>
        <v>0</v>
      </c>
      <c r="W269" s="8">
        <f>IFERROR(__xludf.DUMMYFUNCTION("""COMPUTED_VALUE"""),0.0)</f>
        <v>0</v>
      </c>
      <c r="X269" s="8">
        <f>IFERROR(__xludf.DUMMYFUNCTION("""COMPUTED_VALUE"""),0.0)</f>
        <v>0</v>
      </c>
      <c r="Y269" s="8">
        <f>IFERROR(__xludf.DUMMYFUNCTION("""COMPUTED_VALUE"""),0.0)</f>
        <v>0</v>
      </c>
      <c r="Z269" s="8">
        <f>IFERROR(__xludf.DUMMYFUNCTION("""COMPUTED_VALUE"""),0.0)</f>
        <v>0</v>
      </c>
      <c r="AA269" s="8">
        <f>IFERROR(__xludf.DUMMYFUNCTION("""COMPUTED_VALUE"""),0.0)</f>
        <v>0</v>
      </c>
      <c r="AB269" s="8">
        <f>IFERROR(__xludf.DUMMYFUNCTION("""COMPUTED_VALUE"""),0.0)</f>
        <v>0</v>
      </c>
      <c r="AC269" s="8">
        <f>IFERROR(__xludf.DUMMYFUNCTION("""COMPUTED_VALUE"""),0.0)</f>
        <v>0</v>
      </c>
    </row>
    <row r="270" ht="15.75" customHeight="1">
      <c r="A270" s="6" t="str">
        <f>IFERROR(__xludf.DUMMYFUNCTION("""COMPUTED_VALUE"""),"f47e2c3c03d765bd054b92de405403a6c90b8d7f")</f>
        <v>f47e2c3c03d765bd054b92de405403a6c90b8d7f</v>
      </c>
      <c r="B270" s="6" t="str">
        <f>IFERROR(__xludf.DUMMYFUNCTION("""COMPUTED_VALUE"""),"It Was You Mister Cross")</f>
        <v>It Was You Mister Cross</v>
      </c>
      <c r="C270" s="6" t="str">
        <f>IFERROR(__xludf.DUMMYFUNCTION("""COMPUTED_VALUE"""),"Romance")</f>
        <v>Romance</v>
      </c>
      <c r="D270" s="17">
        <f>IFERROR(__xludf.DUMMYFUNCTION("""COMPUTED_VALUE"""),103.0)</f>
        <v>103</v>
      </c>
      <c r="E270" s="8">
        <f>IFERROR(__xludf.DUMMYFUNCTION("""COMPUTED_VALUE"""),0.950980392156862)</f>
        <v>0.9509803922</v>
      </c>
      <c r="F270" s="8">
        <f>IFERROR(__xludf.DUMMYFUNCTION("""COMPUTED_VALUE"""),0.653465346534653)</f>
        <v>0.6534653465</v>
      </c>
      <c r="G270" s="8">
        <f>IFERROR(__xludf.DUMMYFUNCTION("""COMPUTED_VALUE"""),0.603960396039603)</f>
        <v>0.603960396</v>
      </c>
      <c r="H270" s="8">
        <f>IFERROR(__xludf.DUMMYFUNCTION("""COMPUTED_VALUE"""),0.524752475247524)</f>
        <v>0.5247524752</v>
      </c>
      <c r="I270" s="8">
        <f>IFERROR(__xludf.DUMMYFUNCTION("""COMPUTED_VALUE"""),0.504950495049505)</f>
        <v>0.504950495</v>
      </c>
      <c r="J270" s="8">
        <f>IFERROR(__xludf.DUMMYFUNCTION("""COMPUTED_VALUE"""),0.524752475247524)</f>
        <v>0.5247524752</v>
      </c>
      <c r="K270" s="8">
        <f>IFERROR(__xludf.DUMMYFUNCTION("""COMPUTED_VALUE"""),0.435643564356435)</f>
        <v>0.4356435644</v>
      </c>
      <c r="L270" s="8">
        <f>IFERROR(__xludf.DUMMYFUNCTION("""COMPUTED_VALUE"""),0.425742574257425)</f>
        <v>0.4257425743</v>
      </c>
      <c r="M270" s="8">
        <f>IFERROR(__xludf.DUMMYFUNCTION("""COMPUTED_VALUE"""),0.355555555555555)</f>
        <v>0.3555555556</v>
      </c>
      <c r="N270" s="8">
        <f>IFERROR(__xludf.DUMMYFUNCTION("""COMPUTED_VALUE"""),0.388888888888888)</f>
        <v>0.3888888889</v>
      </c>
      <c r="O270" s="8">
        <f>IFERROR(__xludf.DUMMYFUNCTION("""COMPUTED_VALUE"""),0.275862068965517)</f>
        <v>0.275862069</v>
      </c>
      <c r="P270" s="8">
        <f>IFERROR(__xludf.DUMMYFUNCTION("""COMPUTED_VALUE"""),0.19047619047619)</f>
        <v>0.1904761905</v>
      </c>
      <c r="Q270" s="8">
        <f>IFERROR(__xludf.DUMMYFUNCTION("""COMPUTED_VALUE"""),0.075)</f>
        <v>0.075</v>
      </c>
      <c r="R270" s="8">
        <f>IFERROR(__xludf.DUMMYFUNCTION("""COMPUTED_VALUE"""),0.0545454545454545)</f>
        <v>0.05454545455</v>
      </c>
      <c r="S270" s="8">
        <f>IFERROR(__xludf.DUMMYFUNCTION("""COMPUTED_VALUE"""),0.0)</f>
        <v>0</v>
      </c>
      <c r="T270" s="8">
        <f>IFERROR(__xludf.DUMMYFUNCTION("""COMPUTED_VALUE"""),0.0)</f>
        <v>0</v>
      </c>
      <c r="U270" s="8">
        <f>IFERROR(__xludf.DUMMYFUNCTION("""COMPUTED_VALUE"""),0.0)</f>
        <v>0</v>
      </c>
      <c r="V270" s="8">
        <f>IFERROR(__xludf.DUMMYFUNCTION("""COMPUTED_VALUE"""),0.0)</f>
        <v>0</v>
      </c>
      <c r="W270" s="8">
        <f>IFERROR(__xludf.DUMMYFUNCTION("""COMPUTED_VALUE"""),0.0)</f>
        <v>0</v>
      </c>
      <c r="X270" s="8">
        <f>IFERROR(__xludf.DUMMYFUNCTION("""COMPUTED_VALUE"""),0.0)</f>
        <v>0</v>
      </c>
      <c r="Y270" s="8">
        <f>IFERROR(__xludf.DUMMYFUNCTION("""COMPUTED_VALUE"""),0.0)</f>
        <v>0</v>
      </c>
      <c r="Z270" s="8">
        <f>IFERROR(__xludf.DUMMYFUNCTION("""COMPUTED_VALUE"""),0.0)</f>
        <v>0</v>
      </c>
      <c r="AA270" s="8">
        <f>IFERROR(__xludf.DUMMYFUNCTION("""COMPUTED_VALUE"""),0.0)</f>
        <v>0</v>
      </c>
      <c r="AB270" s="8">
        <f>IFERROR(__xludf.DUMMYFUNCTION("""COMPUTED_VALUE"""),0.0)</f>
        <v>0</v>
      </c>
      <c r="AC270" s="8">
        <f>IFERROR(__xludf.DUMMYFUNCTION("""COMPUTED_VALUE"""),0.0)</f>
        <v>0</v>
      </c>
    </row>
    <row r="271" ht="15.75" customHeight="1">
      <c r="A271" s="6" t="str">
        <f>IFERROR(__xludf.DUMMYFUNCTION("""COMPUTED_VALUE"""),"f55e0806430f9f979b0bfc889bab608a05d8bb5b")</f>
        <v>f55e0806430f9f979b0bfc889bab608a05d8bb5b</v>
      </c>
      <c r="B271" s="6" t="str">
        <f>IFERROR(__xludf.DUMMYFUNCTION("""COMPUTED_VALUE"""),"Light of a New World")</f>
        <v>Light of a New World</v>
      </c>
      <c r="C271" s="6" t="str">
        <f>IFERROR(__xludf.DUMMYFUNCTION("""COMPUTED_VALUE"""),"Sci-Fi")</f>
        <v>Sci-Fi</v>
      </c>
      <c r="D271" s="17">
        <f>IFERROR(__xludf.DUMMYFUNCTION("""COMPUTED_VALUE"""),413.0)</f>
        <v>413</v>
      </c>
      <c r="E271" s="8">
        <f>IFERROR(__xludf.DUMMYFUNCTION("""COMPUTED_VALUE"""),0.990220048899755)</f>
        <v>0.9902200489</v>
      </c>
      <c r="F271" s="8">
        <f>IFERROR(__xludf.DUMMYFUNCTION("""COMPUTED_VALUE"""),0.392592592592592)</f>
        <v>0.3925925926</v>
      </c>
      <c r="G271" s="8">
        <f>IFERROR(__xludf.DUMMYFUNCTION("""COMPUTED_VALUE"""),0.31328320802005)</f>
        <v>0.313283208</v>
      </c>
      <c r="H271" s="8">
        <f>IFERROR(__xludf.DUMMYFUNCTION("""COMPUTED_VALUE"""),0.25)</f>
        <v>0.25</v>
      </c>
      <c r="I271" s="8">
        <f>IFERROR(__xludf.DUMMYFUNCTION("""COMPUTED_VALUE"""),0.189393939393939)</f>
        <v>0.1893939394</v>
      </c>
      <c r="J271" s="8">
        <f>IFERROR(__xludf.DUMMYFUNCTION("""COMPUTED_VALUE"""),0.16243654822335)</f>
        <v>0.1624365482</v>
      </c>
      <c r="K271" s="8">
        <f>IFERROR(__xludf.DUMMYFUNCTION("""COMPUTED_VALUE"""),0.139593908629441)</f>
        <v>0.1395939086</v>
      </c>
      <c r="L271" s="8">
        <f>IFERROR(__xludf.DUMMYFUNCTION("""COMPUTED_VALUE"""),0.109137055837563)</f>
        <v>0.1091370558</v>
      </c>
      <c r="M271" s="8">
        <f>IFERROR(__xludf.DUMMYFUNCTION("""COMPUTED_VALUE"""),0.0837563451776649)</f>
        <v>0.08375634518</v>
      </c>
      <c r="N271" s="8">
        <f>IFERROR(__xludf.DUMMYFUNCTION("""COMPUTED_VALUE"""),0.0736040609137055)</f>
        <v>0.07360406091</v>
      </c>
      <c r="O271" s="8">
        <f>IFERROR(__xludf.DUMMYFUNCTION("""COMPUTED_VALUE"""),0.0609137055837563)</f>
        <v>0.06091370558</v>
      </c>
      <c r="P271" s="8">
        <f>IFERROR(__xludf.DUMMYFUNCTION("""COMPUTED_VALUE"""),0.0437017994858611)</f>
        <v>0.04370179949</v>
      </c>
      <c r="Q271" s="8">
        <f>IFERROR(__xludf.DUMMYFUNCTION("""COMPUTED_VALUE"""),0.0155038759689922)</f>
        <v>0.01550387597</v>
      </c>
      <c r="R271" s="8">
        <f>IFERROR(__xludf.DUMMYFUNCTION("""COMPUTED_VALUE"""),0.0104166666666666)</f>
        <v>0.01041666667</v>
      </c>
      <c r="S271" s="8">
        <f>IFERROR(__xludf.DUMMYFUNCTION("""COMPUTED_VALUE"""),0.00543478260869565)</f>
        <v>0.005434782609</v>
      </c>
      <c r="T271" s="8">
        <f>IFERROR(__xludf.DUMMYFUNCTION("""COMPUTED_VALUE"""),0.00569800569800569)</f>
        <v>0.005698005698</v>
      </c>
      <c r="U271" s="8">
        <f>IFERROR(__xludf.DUMMYFUNCTION("""COMPUTED_VALUE"""),0.0059880239520958)</f>
        <v>0.005988023952</v>
      </c>
      <c r="V271" s="8">
        <f>IFERROR(__xludf.DUMMYFUNCTION("""COMPUTED_VALUE"""),0.00421940928270042)</f>
        <v>0.004219409283</v>
      </c>
      <c r="W271" s="8">
        <f>IFERROR(__xludf.DUMMYFUNCTION("""COMPUTED_VALUE"""),0.0)</f>
        <v>0</v>
      </c>
      <c r="X271" s="8">
        <f>IFERROR(__xludf.DUMMYFUNCTION("""COMPUTED_VALUE"""),0.0)</f>
        <v>0</v>
      </c>
      <c r="Y271" s="8">
        <f>IFERROR(__xludf.DUMMYFUNCTION("""COMPUTED_VALUE"""),0.0)</f>
        <v>0</v>
      </c>
      <c r="Z271" s="8">
        <f>IFERROR(__xludf.DUMMYFUNCTION("""COMPUTED_VALUE"""),0.0)</f>
        <v>0</v>
      </c>
      <c r="AA271" s="8">
        <f>IFERROR(__xludf.DUMMYFUNCTION("""COMPUTED_VALUE"""),0.0)</f>
        <v>0</v>
      </c>
      <c r="AB271" s="8">
        <f>IFERROR(__xludf.DUMMYFUNCTION("""COMPUTED_VALUE"""),0.0)</f>
        <v>0</v>
      </c>
      <c r="AC271" s="8">
        <f>IFERROR(__xludf.DUMMYFUNCTION("""COMPUTED_VALUE"""),0.0)</f>
        <v>0</v>
      </c>
    </row>
    <row r="272" ht="15.75" customHeight="1">
      <c r="A272" s="6" t="str">
        <f>IFERROR(__xludf.DUMMYFUNCTION("""COMPUTED_VALUE"""),"f692474d2ac3ef329a93f72cfedf44bceaced5f1")</f>
        <v>f692474d2ac3ef329a93f72cfedf44bceaced5f1</v>
      </c>
      <c r="B272" s="6" t="str">
        <f>IFERROR(__xludf.DUMMYFUNCTION("""COMPUTED_VALUE"""),"Kingsley Reigns")</f>
        <v>Kingsley Reigns</v>
      </c>
      <c r="C272" s="6" t="str">
        <f>IFERROR(__xludf.DUMMYFUNCTION("""COMPUTED_VALUE"""),"Drama")</f>
        <v>Drama</v>
      </c>
      <c r="D272" s="17">
        <f>IFERROR(__xludf.DUMMYFUNCTION("""COMPUTED_VALUE"""),5456.0)</f>
        <v>5456</v>
      </c>
      <c r="E272" s="8">
        <f>IFERROR(__xludf.DUMMYFUNCTION("""COMPUTED_VALUE"""),0.935288725939505)</f>
        <v>0.9352887259</v>
      </c>
      <c r="F272" s="8">
        <f>IFERROR(__xludf.DUMMYFUNCTION("""COMPUTED_VALUE"""),0.620392444525949)</f>
        <v>0.6203924445</v>
      </c>
      <c r="G272" s="8">
        <f>IFERROR(__xludf.DUMMYFUNCTION("""COMPUTED_VALUE"""),0.580337490829053)</f>
        <v>0.5803374908</v>
      </c>
      <c r="H272" s="8">
        <f>IFERROR(__xludf.DUMMYFUNCTION("""COMPUTED_VALUE"""),0.553129014498073)</f>
        <v>0.5531290145</v>
      </c>
      <c r="I272" s="8">
        <f>IFERROR(__xludf.DUMMYFUNCTION("""COMPUTED_VALUE"""),0.537995594713656)</f>
        <v>0.5379955947</v>
      </c>
      <c r="J272" s="8">
        <f>IFERROR(__xludf.DUMMYFUNCTION("""COMPUTED_VALUE"""),0.517532586744997)</f>
        <v>0.5175325867</v>
      </c>
      <c r="K272" s="8">
        <f>IFERROR(__xludf.DUMMYFUNCTION("""COMPUTED_VALUE"""),0.498255920690288)</f>
        <v>0.4982559207</v>
      </c>
      <c r="L272" s="8">
        <f>IFERROR(__xludf.DUMMYFUNCTION("""COMPUTED_VALUE"""),0.483011937557392)</f>
        <v>0.4830119376</v>
      </c>
      <c r="M272" s="8">
        <f>IFERROR(__xludf.DUMMYFUNCTION("""COMPUTED_VALUE"""),0.4732782369146)</f>
        <v>0.4732782369</v>
      </c>
      <c r="N272" s="8">
        <f>IFERROR(__xludf.DUMMYFUNCTION("""COMPUTED_VALUE"""),0.46949650863653)</f>
        <v>0.4694965086</v>
      </c>
      <c r="O272" s="8">
        <f>IFERROR(__xludf.DUMMYFUNCTION("""COMPUTED_VALUE"""),0.436440677966101)</f>
        <v>0.436440678</v>
      </c>
      <c r="P272" s="8">
        <f>IFERROR(__xludf.DUMMYFUNCTION("""COMPUTED_VALUE"""),0.366586760095887)</f>
        <v>0.3665867601</v>
      </c>
      <c r="Q272" s="8">
        <f>IFERROR(__xludf.DUMMYFUNCTION("""COMPUTED_VALUE"""),0.286453520606172)</f>
        <v>0.2864535206</v>
      </c>
      <c r="R272" s="8">
        <f>IFERROR(__xludf.DUMMYFUNCTION("""COMPUTED_VALUE"""),0.246527134654565)</f>
        <v>0.2465271347</v>
      </c>
      <c r="S272" s="8">
        <f>IFERROR(__xludf.DUMMYFUNCTION("""COMPUTED_VALUE"""),0.228450874020494)</f>
        <v>0.228450874</v>
      </c>
      <c r="T272" s="8">
        <f>IFERROR(__xludf.DUMMYFUNCTION("""COMPUTED_VALUE"""),0.199904580152671)</f>
        <v>0.1999045802</v>
      </c>
      <c r="U272" s="8">
        <f>IFERROR(__xludf.DUMMYFUNCTION("""COMPUTED_VALUE"""),0.183891314895681)</f>
        <v>0.1838913149</v>
      </c>
      <c r="V272" s="8">
        <f>IFERROR(__xludf.DUMMYFUNCTION("""COMPUTED_VALUE"""),0.169932432432432)</f>
        <v>0.1699324324</v>
      </c>
      <c r="W272" s="8">
        <f>IFERROR(__xludf.DUMMYFUNCTION("""COMPUTED_VALUE"""),0.137875101378751)</f>
        <v>0.1378751014</v>
      </c>
      <c r="X272" s="8">
        <f>IFERROR(__xludf.DUMMYFUNCTION("""COMPUTED_VALUE"""),0.104906054279749)</f>
        <v>0.1049060543</v>
      </c>
      <c r="Y272" s="8">
        <f>IFERROR(__xludf.DUMMYFUNCTION("""COMPUTED_VALUE"""),0.083500334001336)</f>
        <v>0.083500334</v>
      </c>
      <c r="Z272" s="8">
        <f>IFERROR(__xludf.DUMMYFUNCTION("""COMPUTED_VALUE"""),0.0548977395048439)</f>
        <v>0.0548977395</v>
      </c>
      <c r="AA272" s="8">
        <f>IFERROR(__xludf.DUMMYFUNCTION("""COMPUTED_VALUE"""),0.0234833659491193)</f>
        <v>0.02348336595</v>
      </c>
      <c r="AB272" s="8">
        <f>IFERROR(__xludf.DUMMYFUNCTION("""COMPUTED_VALUE"""),0.0175)</f>
        <v>0.0175</v>
      </c>
      <c r="AC272" s="8">
        <f>IFERROR(__xludf.DUMMYFUNCTION("""COMPUTED_VALUE"""),0.0138888888888888)</f>
        <v>0.01388888889</v>
      </c>
    </row>
    <row r="273" ht="15.75" customHeight="1">
      <c r="A273" s="6" t="str">
        <f>IFERROR(__xludf.DUMMYFUNCTION("""COMPUTED_VALUE"""),"f6ea1ee253b53b8124a4f7f92ae0a9ef960a044a")</f>
        <v>f6ea1ee253b53b8124a4f7f92ae0a9ef960a044a</v>
      </c>
      <c r="B273" s="6" t="str">
        <f>IFERROR(__xludf.DUMMYFUNCTION("""COMPUTED_VALUE"""),"Regret of the Ceo")</f>
        <v>Regret of the Ceo</v>
      </c>
      <c r="C273" s="6" t="str">
        <f>IFERROR(__xludf.DUMMYFUNCTION("""COMPUTED_VALUE"""),"Romance")</f>
        <v>Romance</v>
      </c>
      <c r="D273" s="17">
        <f>IFERROR(__xludf.DUMMYFUNCTION("""COMPUTED_VALUE"""),421.0)</f>
        <v>421</v>
      </c>
      <c r="E273" s="8">
        <f>IFERROR(__xludf.DUMMYFUNCTION("""COMPUTED_VALUE"""),0.953125)</f>
        <v>0.953125</v>
      </c>
      <c r="F273" s="8">
        <f>IFERROR(__xludf.DUMMYFUNCTION("""COMPUTED_VALUE"""),0.807692307692307)</f>
        <v>0.8076923077</v>
      </c>
      <c r="G273" s="8">
        <f>IFERROR(__xludf.DUMMYFUNCTION("""COMPUTED_VALUE"""),0.775147928994082)</f>
        <v>0.775147929</v>
      </c>
      <c r="H273" s="8">
        <f>IFERROR(__xludf.DUMMYFUNCTION("""COMPUTED_VALUE"""),0.713017751479289)</f>
        <v>0.7130177515</v>
      </c>
      <c r="I273" s="8">
        <f>IFERROR(__xludf.DUMMYFUNCTION("""COMPUTED_VALUE"""),0.644970414201183)</f>
        <v>0.6449704142</v>
      </c>
      <c r="J273" s="8">
        <f>IFERROR(__xludf.DUMMYFUNCTION("""COMPUTED_VALUE"""),0.556547619047619)</f>
        <v>0.556547619</v>
      </c>
      <c r="K273" s="8">
        <f>IFERROR(__xludf.DUMMYFUNCTION("""COMPUTED_VALUE"""),0.50595238095238)</f>
        <v>0.505952381</v>
      </c>
      <c r="L273" s="8">
        <f>IFERROR(__xludf.DUMMYFUNCTION("""COMPUTED_VALUE"""),0.458083832335329)</f>
        <v>0.4580838323</v>
      </c>
      <c r="M273" s="8">
        <f>IFERROR(__xludf.DUMMYFUNCTION("""COMPUTED_VALUE"""),0.399399399399399)</f>
        <v>0.3993993994</v>
      </c>
      <c r="N273" s="8">
        <f>IFERROR(__xludf.DUMMYFUNCTION("""COMPUTED_VALUE"""),0.383685800604229)</f>
        <v>0.3836858006</v>
      </c>
      <c r="O273" s="8">
        <f>IFERROR(__xludf.DUMMYFUNCTION("""COMPUTED_VALUE"""),0.282208588957055)</f>
        <v>0.282208589</v>
      </c>
      <c r="P273" s="8">
        <f>IFERROR(__xludf.DUMMYFUNCTION("""COMPUTED_VALUE"""),0.211838006230529)</f>
        <v>0.2118380062</v>
      </c>
      <c r="Q273" s="8">
        <f>IFERROR(__xludf.DUMMYFUNCTION("""COMPUTED_VALUE"""),0.119402985074626)</f>
        <v>0.1194029851</v>
      </c>
      <c r="R273" s="8">
        <f>IFERROR(__xludf.DUMMYFUNCTION("""COMPUTED_VALUE"""),0.0462427745664739)</f>
        <v>0.04624277457</v>
      </c>
      <c r="S273" s="8">
        <f>IFERROR(__xludf.DUMMYFUNCTION("""COMPUTED_VALUE"""),0.0204081632653061)</f>
        <v>0.02040816327</v>
      </c>
      <c r="T273" s="8">
        <f>IFERROR(__xludf.DUMMYFUNCTION("""COMPUTED_VALUE"""),0.010204081632653)</f>
        <v>0.01020408163</v>
      </c>
      <c r="U273" s="8">
        <f>IFERROR(__xludf.DUMMYFUNCTION("""COMPUTED_VALUE"""),0.0)</f>
        <v>0</v>
      </c>
      <c r="V273" s="8">
        <f>IFERROR(__xludf.DUMMYFUNCTION("""COMPUTED_VALUE"""),0.0)</f>
        <v>0</v>
      </c>
      <c r="W273" s="8">
        <f>IFERROR(__xludf.DUMMYFUNCTION("""COMPUTED_VALUE"""),0.0)</f>
        <v>0</v>
      </c>
      <c r="X273" s="8">
        <f>IFERROR(__xludf.DUMMYFUNCTION("""COMPUTED_VALUE"""),0.0)</f>
        <v>0</v>
      </c>
      <c r="Y273" s="8">
        <f>IFERROR(__xludf.DUMMYFUNCTION("""COMPUTED_VALUE"""),0.0)</f>
        <v>0</v>
      </c>
      <c r="Z273" s="8">
        <f>IFERROR(__xludf.DUMMYFUNCTION("""COMPUTED_VALUE"""),0.0)</f>
        <v>0</v>
      </c>
      <c r="AA273" s="8">
        <f>IFERROR(__xludf.DUMMYFUNCTION("""COMPUTED_VALUE"""),0.0)</f>
        <v>0</v>
      </c>
      <c r="AB273" s="8">
        <f>IFERROR(__xludf.DUMMYFUNCTION("""COMPUTED_VALUE"""),0.0)</f>
        <v>0</v>
      </c>
      <c r="AC273" s="8">
        <f>IFERROR(__xludf.DUMMYFUNCTION("""COMPUTED_VALUE"""),0.0)</f>
        <v>0</v>
      </c>
    </row>
    <row r="274" ht="15.75" customHeight="1">
      <c r="A274" s="6" t="str">
        <f>IFERROR(__xludf.DUMMYFUNCTION("""COMPUTED_VALUE"""),"fb311a6dd8cd59a51bf680323116bcc5d2798a8e")</f>
        <v>fb311a6dd8cd59a51bf680323116bcc5d2798a8e</v>
      </c>
      <c r="B274" s="6" t="str">
        <f>IFERROR(__xludf.DUMMYFUNCTION("""COMPUTED_VALUE"""),"The Beast Tamer's Legacy")</f>
        <v>The Beast Tamer's Legacy</v>
      </c>
      <c r="C274" s="6" t="str">
        <f>IFERROR(__xludf.DUMMYFUNCTION("""COMPUTED_VALUE"""),"System and Superpower")</f>
        <v>System and Superpower</v>
      </c>
      <c r="D274" s="17">
        <f>IFERROR(__xludf.DUMMYFUNCTION("""COMPUTED_VALUE"""),551.0)</f>
        <v>551</v>
      </c>
      <c r="E274" s="8">
        <f>IFERROR(__xludf.DUMMYFUNCTION("""COMPUTED_VALUE"""),0.981818181818181)</f>
        <v>0.9818181818</v>
      </c>
      <c r="F274" s="8">
        <f>IFERROR(__xludf.DUMMYFUNCTION("""COMPUTED_VALUE"""),0.571167883211678)</f>
        <v>0.5711678832</v>
      </c>
      <c r="G274" s="8">
        <f>IFERROR(__xludf.DUMMYFUNCTION("""COMPUTED_VALUE"""),0.49725776965265)</f>
        <v>0.4972577697</v>
      </c>
      <c r="H274" s="8">
        <f>IFERROR(__xludf.DUMMYFUNCTION("""COMPUTED_VALUE"""),0.419413919413919)</f>
        <v>0.4194139194</v>
      </c>
      <c r="I274" s="8">
        <f>IFERROR(__xludf.DUMMYFUNCTION("""COMPUTED_VALUE"""),0.374311926605504)</f>
        <v>0.3743119266</v>
      </c>
      <c r="J274" s="8">
        <f>IFERROR(__xludf.DUMMYFUNCTION("""COMPUTED_VALUE"""),0.341911764705882)</f>
        <v>0.3419117647</v>
      </c>
      <c r="K274" s="8">
        <f>IFERROR(__xludf.DUMMYFUNCTION("""COMPUTED_VALUE"""),0.311233885819521)</f>
        <v>0.3112338858</v>
      </c>
      <c r="L274" s="8">
        <f>IFERROR(__xludf.DUMMYFUNCTION("""COMPUTED_VALUE"""),0.278597785977859)</f>
        <v>0.278597786</v>
      </c>
      <c r="M274" s="8">
        <f>IFERROR(__xludf.DUMMYFUNCTION("""COMPUTED_VALUE"""),0.269372693726937)</f>
        <v>0.2693726937</v>
      </c>
      <c r="N274" s="8">
        <f>IFERROR(__xludf.DUMMYFUNCTION("""COMPUTED_VALUE"""),0.25)</f>
        <v>0.25</v>
      </c>
      <c r="O274" s="8">
        <f>IFERROR(__xludf.DUMMYFUNCTION("""COMPUTED_VALUE"""),0.1875)</f>
        <v>0.1875</v>
      </c>
      <c r="P274" s="8">
        <f>IFERROR(__xludf.DUMMYFUNCTION("""COMPUTED_VALUE"""),0.148225469728601)</f>
        <v>0.1482254697</v>
      </c>
      <c r="Q274" s="8">
        <f>IFERROR(__xludf.DUMMYFUNCTION("""COMPUTED_VALUE"""),0.14004914004914)</f>
        <v>0.14004914</v>
      </c>
      <c r="R274" s="8">
        <f>IFERROR(__xludf.DUMMYFUNCTION("""COMPUTED_VALUE"""),0.0)</f>
        <v>0</v>
      </c>
      <c r="S274" s="8">
        <f>IFERROR(__xludf.DUMMYFUNCTION("""COMPUTED_VALUE"""),0.0)</f>
        <v>0</v>
      </c>
      <c r="T274" s="8">
        <f>IFERROR(__xludf.DUMMYFUNCTION("""COMPUTED_VALUE"""),0.0)</f>
        <v>0</v>
      </c>
      <c r="U274" s="8">
        <f>IFERROR(__xludf.DUMMYFUNCTION("""COMPUTED_VALUE"""),0.0)</f>
        <v>0</v>
      </c>
      <c r="V274" s="8">
        <f>IFERROR(__xludf.DUMMYFUNCTION("""COMPUTED_VALUE"""),0.0)</f>
        <v>0</v>
      </c>
      <c r="W274" s="8">
        <f>IFERROR(__xludf.DUMMYFUNCTION("""COMPUTED_VALUE"""),0.0)</f>
        <v>0</v>
      </c>
      <c r="X274" s="8">
        <f>IFERROR(__xludf.DUMMYFUNCTION("""COMPUTED_VALUE"""),0.0)</f>
        <v>0</v>
      </c>
      <c r="Y274" s="8">
        <f>IFERROR(__xludf.DUMMYFUNCTION("""COMPUTED_VALUE"""),0.0)</f>
        <v>0</v>
      </c>
      <c r="Z274" s="8">
        <f>IFERROR(__xludf.DUMMYFUNCTION("""COMPUTED_VALUE"""),0.0)</f>
        <v>0</v>
      </c>
      <c r="AA274" s="8">
        <f>IFERROR(__xludf.DUMMYFUNCTION("""COMPUTED_VALUE"""),0.0)</f>
        <v>0</v>
      </c>
      <c r="AB274" s="8">
        <f>IFERROR(__xludf.DUMMYFUNCTION("""COMPUTED_VALUE"""),0.0)</f>
        <v>0</v>
      </c>
      <c r="AC274" s="8">
        <f>IFERROR(__xludf.DUMMYFUNCTION("""COMPUTED_VALUE"""),0.0)</f>
        <v>0</v>
      </c>
    </row>
    <row r="275" ht="15.75" customHeight="1">
      <c r="A275" s="6" t="str">
        <f>IFERROR(__xludf.DUMMYFUNCTION("""COMPUTED_VALUE"""),"fc599fbc708fd150dfe8d867a18a17fa8b439c84")</f>
        <v>fc599fbc708fd150dfe8d867a18a17fa8b439c84</v>
      </c>
      <c r="B275" s="6" t="str">
        <f>IFERROR(__xludf.DUMMYFUNCTION("""COMPUTED_VALUE"""),"Anything for Sunny")</f>
        <v>Anything for Sunny</v>
      </c>
      <c r="C275" s="6" t="str">
        <f>IFERROR(__xludf.DUMMYFUNCTION("""COMPUTED_VALUE"""),"Drama")</f>
        <v>Drama</v>
      </c>
      <c r="D275" s="17">
        <f>IFERROR(__xludf.DUMMYFUNCTION("""COMPUTED_VALUE"""),294.0)</f>
        <v>294</v>
      </c>
      <c r="E275" s="8">
        <f>IFERROR(__xludf.DUMMYFUNCTION("""COMPUTED_VALUE"""),0.986348122866894)</f>
        <v>0.9863481229</v>
      </c>
      <c r="F275" s="8">
        <f>IFERROR(__xludf.DUMMYFUNCTION("""COMPUTED_VALUE"""),0.510273972602739)</f>
        <v>0.5102739726</v>
      </c>
      <c r="G275" s="8">
        <f>IFERROR(__xludf.DUMMYFUNCTION("""COMPUTED_VALUE"""),0.40893470790378)</f>
        <v>0.4089347079</v>
      </c>
      <c r="H275" s="8">
        <f>IFERROR(__xludf.DUMMYFUNCTION("""COMPUTED_VALUE"""),0.320689655172413)</f>
        <v>0.3206896552</v>
      </c>
      <c r="I275" s="8">
        <f>IFERROR(__xludf.DUMMYFUNCTION("""COMPUTED_VALUE"""),0.252595155709342)</f>
        <v>0.2525951557</v>
      </c>
      <c r="J275" s="8">
        <f>IFERROR(__xludf.DUMMYFUNCTION("""COMPUTED_VALUE"""),0.231578947368421)</f>
        <v>0.2315789474</v>
      </c>
      <c r="K275" s="8">
        <f>IFERROR(__xludf.DUMMYFUNCTION("""COMPUTED_VALUE"""),0.179577464788732)</f>
        <v>0.1795774648</v>
      </c>
      <c r="L275" s="8">
        <f>IFERROR(__xludf.DUMMYFUNCTION("""COMPUTED_VALUE"""),0.158273381294964)</f>
        <v>0.1582733813</v>
      </c>
      <c r="M275" s="8">
        <f>IFERROR(__xludf.DUMMYFUNCTION("""COMPUTED_VALUE"""),0.140287769784172)</f>
        <v>0.1402877698</v>
      </c>
      <c r="N275" s="8">
        <f>IFERROR(__xludf.DUMMYFUNCTION("""COMPUTED_VALUE"""),0.120437956204379)</f>
        <v>0.1204379562</v>
      </c>
      <c r="O275" s="8">
        <f>IFERROR(__xludf.DUMMYFUNCTION("""COMPUTED_VALUE"""),0.109170305676855)</f>
        <v>0.1091703057</v>
      </c>
      <c r="P275" s="8">
        <f>IFERROR(__xludf.DUMMYFUNCTION("""COMPUTED_VALUE"""),0.0769230769230769)</f>
        <v>0.07692307692</v>
      </c>
      <c r="Q275" s="8">
        <f>IFERROR(__xludf.DUMMYFUNCTION("""COMPUTED_VALUE"""),0.088235294117647)</f>
        <v>0.08823529412</v>
      </c>
      <c r="R275" s="8">
        <f>IFERROR(__xludf.DUMMYFUNCTION("""COMPUTED_VALUE"""),0.125)</f>
        <v>0.125</v>
      </c>
      <c r="S275" s="8">
        <f>IFERROR(__xludf.DUMMYFUNCTION("""COMPUTED_VALUE"""),0.0)</f>
        <v>0</v>
      </c>
      <c r="T275" s="8">
        <f>IFERROR(__xludf.DUMMYFUNCTION("""COMPUTED_VALUE"""),0.0)</f>
        <v>0</v>
      </c>
      <c r="U275" s="8">
        <f>IFERROR(__xludf.DUMMYFUNCTION("""COMPUTED_VALUE"""),0.0)</f>
        <v>0</v>
      </c>
      <c r="V275" s="8">
        <f>IFERROR(__xludf.DUMMYFUNCTION("""COMPUTED_VALUE"""),0.0)</f>
        <v>0</v>
      </c>
      <c r="W275" s="8">
        <f>IFERROR(__xludf.DUMMYFUNCTION("""COMPUTED_VALUE"""),0.0)</f>
        <v>0</v>
      </c>
      <c r="X275" s="8">
        <f>IFERROR(__xludf.DUMMYFUNCTION("""COMPUTED_VALUE"""),0.0)</f>
        <v>0</v>
      </c>
      <c r="Y275" s="8">
        <f>IFERROR(__xludf.DUMMYFUNCTION("""COMPUTED_VALUE"""),0.0)</f>
        <v>0</v>
      </c>
      <c r="Z275" s="8">
        <f>IFERROR(__xludf.DUMMYFUNCTION("""COMPUTED_VALUE"""),0.0)</f>
        <v>0</v>
      </c>
      <c r="AA275" s="8">
        <f>IFERROR(__xludf.DUMMYFUNCTION("""COMPUTED_VALUE"""),0.0)</f>
        <v>0</v>
      </c>
      <c r="AB275" s="8">
        <f>IFERROR(__xludf.DUMMYFUNCTION("""COMPUTED_VALUE"""),0.0)</f>
        <v>0</v>
      </c>
      <c r="AC275" s="8">
        <f>IFERROR(__xludf.DUMMYFUNCTION("""COMPUTED_VALUE"""),0.0)</f>
        <v>0</v>
      </c>
    </row>
    <row r="276" ht="15.75" customHeight="1">
      <c r="A276" s="6" t="str">
        <f>IFERROR(__xludf.DUMMYFUNCTION("""COMPUTED_VALUE"""),"fcddd3d14a0e1b1dab1bcb5c11d4aec683fdb598")</f>
        <v>fcddd3d14a0e1b1dab1bcb5c11d4aec683fdb598</v>
      </c>
      <c r="B276" s="6" t="str">
        <f>IFERROR(__xludf.DUMMYFUNCTION("""COMPUTED_VALUE"""),"Rise of Drake Callahan")</f>
        <v>Rise of Drake Callahan</v>
      </c>
      <c r="C276" s="6" t="str">
        <f>IFERROR(__xludf.DUMMYFUNCTION("""COMPUTED_VALUE"""),"Drama")</f>
        <v>Drama</v>
      </c>
      <c r="D276" s="17">
        <f>IFERROR(__xludf.DUMMYFUNCTION("""COMPUTED_VALUE"""),570.0)</f>
        <v>570</v>
      </c>
      <c r="E276" s="8">
        <f>IFERROR(__xludf.DUMMYFUNCTION("""COMPUTED_VALUE"""),0.985940246045694)</f>
        <v>0.985940246</v>
      </c>
      <c r="F276" s="8">
        <f>IFERROR(__xludf.DUMMYFUNCTION("""COMPUTED_VALUE"""),0.631393298059964)</f>
        <v>0.6313932981</v>
      </c>
      <c r="G276" s="8">
        <f>IFERROR(__xludf.DUMMYFUNCTION("""COMPUTED_VALUE"""),0.553191489361702)</f>
        <v>0.5531914894</v>
      </c>
      <c r="H276" s="8">
        <f>IFERROR(__xludf.DUMMYFUNCTION("""COMPUTED_VALUE"""),0.528735632183908)</f>
        <v>0.5287356322</v>
      </c>
      <c r="I276" s="8">
        <f>IFERROR(__xludf.DUMMYFUNCTION("""COMPUTED_VALUE"""),0.481132075471698)</f>
        <v>0.4811320755</v>
      </c>
      <c r="J276" s="8">
        <f>IFERROR(__xludf.DUMMYFUNCTION("""COMPUTED_VALUE"""),0.467966573816156)</f>
        <v>0.4679665738</v>
      </c>
      <c r="K276" s="8">
        <f>IFERROR(__xludf.DUMMYFUNCTION("""COMPUTED_VALUE"""),0.471518987341772)</f>
        <v>0.4715189873</v>
      </c>
      <c r="L276" s="8">
        <f>IFERROR(__xludf.DUMMYFUNCTION("""COMPUTED_VALUE"""),0.473469387755102)</f>
        <v>0.4734693878</v>
      </c>
      <c r="M276" s="8">
        <f>IFERROR(__xludf.DUMMYFUNCTION("""COMPUTED_VALUE"""),0.439024390243902)</f>
        <v>0.4390243902</v>
      </c>
      <c r="N276" s="8">
        <f>IFERROR(__xludf.DUMMYFUNCTION("""COMPUTED_VALUE"""),0.398648648648648)</f>
        <v>0.3986486486</v>
      </c>
      <c r="O276" s="8">
        <f>IFERROR(__xludf.DUMMYFUNCTION("""COMPUTED_VALUE"""),0.181818181818181)</f>
        <v>0.1818181818</v>
      </c>
      <c r="P276" s="8">
        <f>IFERROR(__xludf.DUMMYFUNCTION("""COMPUTED_VALUE"""),0.25)</f>
        <v>0.25</v>
      </c>
      <c r="Q276" s="8">
        <f>IFERROR(__xludf.DUMMYFUNCTION("""COMPUTED_VALUE"""),0.0)</f>
        <v>0</v>
      </c>
      <c r="R276" s="8">
        <f>IFERROR(__xludf.DUMMYFUNCTION("""COMPUTED_VALUE"""),0.0)</f>
        <v>0</v>
      </c>
      <c r="S276" s="8">
        <f>IFERROR(__xludf.DUMMYFUNCTION("""COMPUTED_VALUE"""),0.0)</f>
        <v>0</v>
      </c>
      <c r="T276" s="8">
        <f>IFERROR(__xludf.DUMMYFUNCTION("""COMPUTED_VALUE"""),0.0)</f>
        <v>0</v>
      </c>
      <c r="U276" s="8">
        <f>IFERROR(__xludf.DUMMYFUNCTION("""COMPUTED_VALUE"""),0.0)</f>
        <v>0</v>
      </c>
      <c r="V276" s="8">
        <f>IFERROR(__xludf.DUMMYFUNCTION("""COMPUTED_VALUE"""),0.0)</f>
        <v>0</v>
      </c>
      <c r="W276" s="8">
        <f>IFERROR(__xludf.DUMMYFUNCTION("""COMPUTED_VALUE"""),0.0)</f>
        <v>0</v>
      </c>
      <c r="X276" s="8">
        <f>IFERROR(__xludf.DUMMYFUNCTION("""COMPUTED_VALUE"""),0.0)</f>
        <v>0</v>
      </c>
      <c r="Y276" s="8">
        <f>IFERROR(__xludf.DUMMYFUNCTION("""COMPUTED_VALUE"""),0.0)</f>
        <v>0</v>
      </c>
      <c r="Z276" s="8">
        <f>IFERROR(__xludf.DUMMYFUNCTION("""COMPUTED_VALUE"""),0.0)</f>
        <v>0</v>
      </c>
      <c r="AA276" s="8">
        <f>IFERROR(__xludf.DUMMYFUNCTION("""COMPUTED_VALUE"""),0.0)</f>
        <v>0</v>
      </c>
      <c r="AB276" s="8">
        <f>IFERROR(__xludf.DUMMYFUNCTION("""COMPUTED_VALUE"""),0.0)</f>
        <v>0</v>
      </c>
      <c r="AC276" s="8">
        <f>IFERROR(__xludf.DUMMYFUNCTION("""COMPUTED_VALUE"""),0.0)</f>
        <v>0</v>
      </c>
    </row>
    <row r="277" ht="15.75" customHeight="1">
      <c r="A277" s="6" t="str">
        <f>IFERROR(__xludf.DUMMYFUNCTION("""COMPUTED_VALUE"""),"fce8fe866ed4c3d213e087a4343996d06bb09af7")</f>
        <v>fce8fe866ed4c3d213e087a4343996d06bb09af7</v>
      </c>
      <c r="B277" s="6" t="str">
        <f>IFERROR(__xludf.DUMMYFUNCTION("""COMPUTED_VALUE"""),"The Anderson Rebirth")</f>
        <v>The Anderson Rebirth</v>
      </c>
      <c r="C277" s="6" t="str">
        <f>IFERROR(__xludf.DUMMYFUNCTION("""COMPUTED_VALUE"""),"System and Superpower")</f>
        <v>System and Superpower</v>
      </c>
      <c r="D277" s="17">
        <f>IFERROR(__xludf.DUMMYFUNCTION("""COMPUTED_VALUE"""),818.0)</f>
        <v>818</v>
      </c>
      <c r="E277" s="8">
        <f>IFERROR(__xludf.DUMMYFUNCTION("""COMPUTED_VALUE"""),0.965770171149144)</f>
        <v>0.9657701711</v>
      </c>
      <c r="F277" s="8">
        <f>IFERROR(__xludf.DUMMYFUNCTION("""COMPUTED_VALUE"""),0.685819070904645)</f>
        <v>0.6858190709</v>
      </c>
      <c r="G277" s="8">
        <f>IFERROR(__xludf.DUMMYFUNCTION("""COMPUTED_VALUE"""),0.638141809290953)</f>
        <v>0.6381418093</v>
      </c>
      <c r="H277" s="8">
        <f>IFERROR(__xludf.DUMMYFUNCTION("""COMPUTED_VALUE"""),0.605392156862745)</f>
        <v>0.6053921569</v>
      </c>
      <c r="I277" s="8">
        <f>IFERROR(__xludf.DUMMYFUNCTION("""COMPUTED_VALUE"""),0.553921568627451)</f>
        <v>0.5539215686</v>
      </c>
      <c r="J277" s="8">
        <f>IFERROR(__xludf.DUMMYFUNCTION("""COMPUTED_VALUE"""),0.531862745098039)</f>
        <v>0.5318627451</v>
      </c>
      <c r="K277" s="8">
        <f>IFERROR(__xludf.DUMMYFUNCTION("""COMPUTED_VALUE"""),0.512883435582822)</f>
        <v>0.5128834356</v>
      </c>
      <c r="L277" s="8">
        <f>IFERROR(__xludf.DUMMYFUNCTION("""COMPUTED_VALUE"""),0.498159509202454)</f>
        <v>0.4981595092</v>
      </c>
      <c r="M277" s="8">
        <f>IFERROR(__xludf.DUMMYFUNCTION("""COMPUTED_VALUE"""),0.489570552147239)</f>
        <v>0.4895705521</v>
      </c>
      <c r="N277" s="8">
        <f>IFERROR(__xludf.DUMMYFUNCTION("""COMPUTED_VALUE"""),0.472906403940886)</f>
        <v>0.4729064039</v>
      </c>
      <c r="O277" s="8">
        <f>IFERROR(__xludf.DUMMYFUNCTION("""COMPUTED_VALUE"""),0.438356164383561)</f>
        <v>0.4383561644</v>
      </c>
      <c r="P277" s="8">
        <f>IFERROR(__xludf.DUMMYFUNCTION("""COMPUTED_VALUE"""),0.305170239596469)</f>
        <v>0.3051702396</v>
      </c>
      <c r="Q277" s="8">
        <f>IFERROR(__xludf.DUMMYFUNCTION("""COMPUTED_VALUE"""),0.166666666666666)</f>
        <v>0.1666666667</v>
      </c>
      <c r="R277" s="8">
        <f>IFERROR(__xludf.DUMMYFUNCTION("""COMPUTED_VALUE"""),0.0916271721958925)</f>
        <v>0.0916271722</v>
      </c>
      <c r="S277" s="8">
        <f>IFERROR(__xludf.DUMMYFUNCTION("""COMPUTED_VALUE"""),0.0)</f>
        <v>0</v>
      </c>
      <c r="T277" s="8">
        <f>IFERROR(__xludf.DUMMYFUNCTION("""COMPUTED_VALUE"""),0.0)</f>
        <v>0</v>
      </c>
      <c r="U277" s="8">
        <f>IFERROR(__xludf.DUMMYFUNCTION("""COMPUTED_VALUE"""),0.0)</f>
        <v>0</v>
      </c>
      <c r="V277" s="8">
        <f>IFERROR(__xludf.DUMMYFUNCTION("""COMPUTED_VALUE"""),0.0)</f>
        <v>0</v>
      </c>
      <c r="W277" s="8">
        <f>IFERROR(__xludf.DUMMYFUNCTION("""COMPUTED_VALUE"""),0.0)</f>
        <v>0</v>
      </c>
      <c r="X277" s="8">
        <f>IFERROR(__xludf.DUMMYFUNCTION("""COMPUTED_VALUE"""),0.0)</f>
        <v>0</v>
      </c>
      <c r="Y277" s="8">
        <f>IFERROR(__xludf.DUMMYFUNCTION("""COMPUTED_VALUE"""),0.0)</f>
        <v>0</v>
      </c>
      <c r="Z277" s="8">
        <f>IFERROR(__xludf.DUMMYFUNCTION("""COMPUTED_VALUE"""),0.0)</f>
        <v>0</v>
      </c>
      <c r="AA277" s="8">
        <f>IFERROR(__xludf.DUMMYFUNCTION("""COMPUTED_VALUE"""),0.0)</f>
        <v>0</v>
      </c>
      <c r="AB277" s="8">
        <f>IFERROR(__xludf.DUMMYFUNCTION("""COMPUTED_VALUE"""),0.0)</f>
        <v>0</v>
      </c>
      <c r="AC277" s="8">
        <f>IFERROR(__xludf.DUMMYFUNCTION("""COMPUTED_VALUE"""),0.0)</f>
        <v>0</v>
      </c>
    </row>
    <row r="278" ht="15.75" customHeight="1">
      <c r="A278" s="6" t="str">
        <f>IFERROR(__xludf.DUMMYFUNCTION("""COMPUTED_VALUE"""),"fce99720ddedf66c6e45f23c6876581e0b796f34")</f>
        <v>fce99720ddedf66c6e45f23c6876581e0b796f34</v>
      </c>
      <c r="B278" s="6" t="str">
        <f>IFERROR(__xludf.DUMMYFUNCTION("""COMPUTED_VALUE"""),"Reborn as Serena Whitmore")</f>
        <v>Reborn as Serena Whitmore</v>
      </c>
      <c r="C278" s="6" t="str">
        <f>IFERROR(__xludf.DUMMYFUNCTION("""COMPUTED_VALUE"""),"Romance")</f>
        <v>Romance</v>
      </c>
      <c r="D278" s="17">
        <f>IFERROR(__xludf.DUMMYFUNCTION("""COMPUTED_VALUE"""),665.0)</f>
        <v>665</v>
      </c>
      <c r="E278" s="8">
        <f>IFERROR(__xludf.DUMMYFUNCTION("""COMPUTED_VALUE"""),0.960902255639097)</f>
        <v>0.9609022556</v>
      </c>
      <c r="F278" s="8">
        <f>IFERROR(__xludf.DUMMYFUNCTION("""COMPUTED_VALUE"""),0.75)</f>
        <v>0.75</v>
      </c>
      <c r="G278" s="8">
        <f>IFERROR(__xludf.DUMMYFUNCTION("""COMPUTED_VALUE"""),0.691131498470948)</f>
        <v>0.6911314985</v>
      </c>
      <c r="H278" s="8">
        <f>IFERROR(__xludf.DUMMYFUNCTION("""COMPUTED_VALUE"""),0.648690292758089)</f>
        <v>0.6486902928</v>
      </c>
      <c r="I278" s="8">
        <f>IFERROR(__xludf.DUMMYFUNCTION("""COMPUTED_VALUE"""),0.580893682588597)</f>
        <v>0.5808936826</v>
      </c>
      <c r="J278" s="8">
        <f>IFERROR(__xludf.DUMMYFUNCTION("""COMPUTED_VALUE"""),0.56694214876033)</f>
        <v>0.5669421488</v>
      </c>
      <c r="K278" s="8">
        <f>IFERROR(__xludf.DUMMYFUNCTION("""COMPUTED_VALUE"""),0.52787456445993)</f>
        <v>0.5278745645</v>
      </c>
      <c r="L278" s="8">
        <f>IFERROR(__xludf.DUMMYFUNCTION("""COMPUTED_VALUE"""),0.491124260355029)</f>
        <v>0.4911242604</v>
      </c>
      <c r="M278" s="8">
        <f>IFERROR(__xludf.DUMMYFUNCTION("""COMPUTED_VALUE"""),0.438818565400843)</f>
        <v>0.4388185654</v>
      </c>
      <c r="N278" s="8">
        <f>IFERROR(__xludf.DUMMYFUNCTION("""COMPUTED_VALUE"""),0.424757281553398)</f>
        <v>0.4247572816</v>
      </c>
      <c r="O278" s="8">
        <f>IFERROR(__xludf.DUMMYFUNCTION("""COMPUTED_VALUE"""),0.365384615384615)</f>
        <v>0.3653846154</v>
      </c>
      <c r="P278" s="8">
        <f>IFERROR(__xludf.DUMMYFUNCTION("""COMPUTED_VALUE"""),0.3)</f>
        <v>0.3</v>
      </c>
      <c r="Q278" s="8">
        <f>IFERROR(__xludf.DUMMYFUNCTION("""COMPUTED_VALUE"""),0.0)</f>
        <v>0</v>
      </c>
      <c r="R278" s="8">
        <f>IFERROR(__xludf.DUMMYFUNCTION("""COMPUTED_VALUE"""),0.0)</f>
        <v>0</v>
      </c>
      <c r="S278" s="8">
        <f>IFERROR(__xludf.DUMMYFUNCTION("""COMPUTED_VALUE"""),0.0)</f>
        <v>0</v>
      </c>
      <c r="T278" s="8">
        <f>IFERROR(__xludf.DUMMYFUNCTION("""COMPUTED_VALUE"""),0.0)</f>
        <v>0</v>
      </c>
      <c r="U278" s="8">
        <f>IFERROR(__xludf.DUMMYFUNCTION("""COMPUTED_VALUE"""),0.0)</f>
        <v>0</v>
      </c>
      <c r="V278" s="8">
        <f>IFERROR(__xludf.DUMMYFUNCTION("""COMPUTED_VALUE"""),0.0)</f>
        <v>0</v>
      </c>
      <c r="W278" s="8">
        <f>IFERROR(__xludf.DUMMYFUNCTION("""COMPUTED_VALUE"""),0.0)</f>
        <v>0</v>
      </c>
      <c r="X278" s="8">
        <f>IFERROR(__xludf.DUMMYFUNCTION("""COMPUTED_VALUE"""),0.0)</f>
        <v>0</v>
      </c>
      <c r="Y278" s="8">
        <f>IFERROR(__xludf.DUMMYFUNCTION("""COMPUTED_VALUE"""),0.0)</f>
        <v>0</v>
      </c>
      <c r="Z278" s="8">
        <f>IFERROR(__xludf.DUMMYFUNCTION("""COMPUTED_VALUE"""),0.0)</f>
        <v>0</v>
      </c>
      <c r="AA278" s="8">
        <f>IFERROR(__xludf.DUMMYFUNCTION("""COMPUTED_VALUE"""),0.0)</f>
        <v>0</v>
      </c>
      <c r="AB278" s="8">
        <f>IFERROR(__xludf.DUMMYFUNCTION("""COMPUTED_VALUE"""),0.0)</f>
        <v>0</v>
      </c>
      <c r="AC278" s="8">
        <f>IFERROR(__xludf.DUMMYFUNCTION("""COMPUTED_VALUE"""),0.0)</f>
        <v>0</v>
      </c>
    </row>
    <row r="279" ht="15.75" customHeight="1">
      <c r="A279" s="6" t="str">
        <f>IFERROR(__xludf.DUMMYFUNCTION("""COMPUTED_VALUE"""),"fe01aa725eab93a44f707bbab393a9640b0e69db")</f>
        <v>fe01aa725eab93a44f707bbab393a9640b0e69db</v>
      </c>
      <c r="B279" s="6" t="str">
        <f>IFERROR(__xludf.DUMMYFUNCTION("""COMPUTED_VALUE"""),"3 Years Later He Found Me")</f>
        <v>3 Years Later He Found Me</v>
      </c>
      <c r="C279" s="6" t="str">
        <f>IFERROR(__xludf.DUMMYFUNCTION("""COMPUTED_VALUE"""),"Romance")</f>
        <v>Romance</v>
      </c>
      <c r="D279" s="17">
        <f>IFERROR(__xludf.DUMMYFUNCTION("""COMPUTED_VALUE"""),594.0)</f>
        <v>594</v>
      </c>
      <c r="E279" s="8">
        <f>IFERROR(__xludf.DUMMYFUNCTION("""COMPUTED_VALUE"""),0.954545454545454)</f>
        <v>0.9545454545</v>
      </c>
      <c r="F279" s="8">
        <f>IFERROR(__xludf.DUMMYFUNCTION("""COMPUTED_VALUE"""),0.565656565656565)</f>
        <v>0.5656565657</v>
      </c>
      <c r="G279" s="8">
        <f>IFERROR(__xludf.DUMMYFUNCTION("""COMPUTED_VALUE"""),0.481481481481481)</f>
        <v>0.4814814815</v>
      </c>
      <c r="H279" s="8">
        <f>IFERROR(__xludf.DUMMYFUNCTION("""COMPUTED_VALUE"""),0.433389544688027)</f>
        <v>0.4333895447</v>
      </c>
      <c r="I279" s="8">
        <f>IFERROR(__xludf.DUMMYFUNCTION("""COMPUTED_VALUE"""),0.406408094435075)</f>
        <v>0.4064080944</v>
      </c>
      <c r="J279" s="8">
        <f>IFERROR(__xludf.DUMMYFUNCTION("""COMPUTED_VALUE"""),0.381112984822934)</f>
        <v>0.3811129848</v>
      </c>
      <c r="K279" s="8">
        <f>IFERROR(__xludf.DUMMYFUNCTION("""COMPUTED_VALUE"""),0.36087689713322)</f>
        <v>0.3608768971</v>
      </c>
      <c r="L279" s="8">
        <f>IFERROR(__xludf.DUMMYFUNCTION("""COMPUTED_VALUE"""),0.346283783783783)</f>
        <v>0.3462837838</v>
      </c>
      <c r="M279" s="8">
        <f>IFERROR(__xludf.DUMMYFUNCTION("""COMPUTED_VALUE"""),0.331081081081081)</f>
        <v>0.3310810811</v>
      </c>
      <c r="N279" s="8">
        <f>IFERROR(__xludf.DUMMYFUNCTION("""COMPUTED_VALUE"""),0.301184433164128)</f>
        <v>0.3011844332</v>
      </c>
      <c r="O279" s="8">
        <f>IFERROR(__xludf.DUMMYFUNCTION("""COMPUTED_VALUE"""),0.255102040816326)</f>
        <v>0.2551020408</v>
      </c>
      <c r="P279" s="8">
        <f>IFERROR(__xludf.DUMMYFUNCTION("""COMPUTED_VALUE"""),0.162911611785095)</f>
        <v>0.1629116118</v>
      </c>
      <c r="Q279" s="8">
        <f>IFERROR(__xludf.DUMMYFUNCTION("""COMPUTED_VALUE"""),0.294117647058823)</f>
        <v>0.2941176471</v>
      </c>
      <c r="R279" s="8">
        <f>IFERROR(__xludf.DUMMYFUNCTION("""COMPUTED_VALUE"""),1.0)</f>
        <v>1</v>
      </c>
      <c r="S279" s="8">
        <f>IFERROR(__xludf.DUMMYFUNCTION("""COMPUTED_VALUE"""),0.0)</f>
        <v>0</v>
      </c>
      <c r="T279" s="8">
        <f>IFERROR(__xludf.DUMMYFUNCTION("""COMPUTED_VALUE"""),0.0)</f>
        <v>0</v>
      </c>
      <c r="U279" s="8">
        <f>IFERROR(__xludf.DUMMYFUNCTION("""COMPUTED_VALUE"""),0.0)</f>
        <v>0</v>
      </c>
      <c r="V279" s="8">
        <f>IFERROR(__xludf.DUMMYFUNCTION("""COMPUTED_VALUE"""),0.0)</f>
        <v>0</v>
      </c>
      <c r="W279" s="8">
        <f>IFERROR(__xludf.DUMMYFUNCTION("""COMPUTED_VALUE"""),0.0)</f>
        <v>0</v>
      </c>
      <c r="X279" s="8">
        <f>IFERROR(__xludf.DUMMYFUNCTION("""COMPUTED_VALUE"""),0.0)</f>
        <v>0</v>
      </c>
      <c r="Y279" s="8">
        <f>IFERROR(__xludf.DUMMYFUNCTION("""COMPUTED_VALUE"""),0.0)</f>
        <v>0</v>
      </c>
      <c r="Z279" s="8">
        <f>IFERROR(__xludf.DUMMYFUNCTION("""COMPUTED_VALUE"""),0.0)</f>
        <v>0</v>
      </c>
      <c r="AA279" s="8">
        <f>IFERROR(__xludf.DUMMYFUNCTION("""COMPUTED_VALUE"""),0.0)</f>
        <v>0</v>
      </c>
      <c r="AB279" s="8">
        <f>IFERROR(__xludf.DUMMYFUNCTION("""COMPUTED_VALUE"""),0.0)</f>
        <v>0</v>
      </c>
      <c r="AC279" s="8">
        <f>IFERROR(__xludf.DUMMYFUNCTION("""COMPUTED_VALUE"""),0.0)</f>
        <v>0</v>
      </c>
    </row>
    <row r="280" ht="15.75" customHeight="1">
      <c r="A280" s="6" t="str">
        <f>IFERROR(__xludf.DUMMYFUNCTION("""COMPUTED_VALUE"""),"fe218223c3cbc0377d2bb07ad68251723f1b3792")</f>
        <v>fe218223c3cbc0377d2bb07ad68251723f1b3792</v>
      </c>
      <c r="B280" s="6" t="str">
        <f>IFERROR(__xludf.DUMMYFUNCTION("""COMPUTED_VALUE"""),"Return of the Gamer God")</f>
        <v>Return of the Gamer God</v>
      </c>
      <c r="C280" s="6" t="str">
        <f>IFERROR(__xludf.DUMMYFUNCTION("""COMPUTED_VALUE"""),"System and Superpower")</f>
        <v>System and Superpower</v>
      </c>
      <c r="D280" s="17">
        <f>IFERROR(__xludf.DUMMYFUNCTION("""COMPUTED_VALUE"""),3780.0)</f>
        <v>3780</v>
      </c>
      <c r="E280" s="8">
        <f>IFERROR(__xludf.DUMMYFUNCTION("""COMPUTED_VALUE"""),0.980682720296374)</f>
        <v>0.9806827203</v>
      </c>
      <c r="F280" s="8">
        <f>IFERROR(__xludf.DUMMYFUNCTION("""COMPUTED_VALUE"""),0.544515103338632)</f>
        <v>0.5445151033</v>
      </c>
      <c r="G280" s="8">
        <f>IFERROR(__xludf.DUMMYFUNCTION("""COMPUTED_VALUE"""),0.507427055702917)</f>
        <v>0.5074270557</v>
      </c>
      <c r="H280" s="8">
        <f>IFERROR(__xludf.DUMMYFUNCTION("""COMPUTED_VALUE"""),0.475531914893617)</f>
        <v>0.4755319149</v>
      </c>
      <c r="I280" s="8">
        <f>IFERROR(__xludf.DUMMYFUNCTION("""COMPUTED_VALUE"""),0.450186467767714)</f>
        <v>0.4501864678</v>
      </c>
      <c r="J280" s="8">
        <f>IFERROR(__xludf.DUMMYFUNCTION("""COMPUTED_VALUE"""),0.430748663101604)</f>
        <v>0.4307486631</v>
      </c>
      <c r="K280" s="8">
        <f>IFERROR(__xludf.DUMMYFUNCTION("""COMPUTED_VALUE"""),0.417291220556745)</f>
        <v>0.4172912206</v>
      </c>
      <c r="L280" s="8">
        <f>IFERROR(__xludf.DUMMYFUNCTION("""COMPUTED_VALUE"""),0.404774678111587)</f>
        <v>0.4047746781</v>
      </c>
      <c r="M280" s="8">
        <f>IFERROR(__xludf.DUMMYFUNCTION("""COMPUTED_VALUE"""),0.385960193652501)</f>
        <v>0.3859601937</v>
      </c>
      <c r="N280" s="8">
        <f>IFERROR(__xludf.DUMMYFUNCTION("""COMPUTED_VALUE"""),0.37742980561555)</f>
        <v>0.3774298056</v>
      </c>
      <c r="O280" s="8">
        <f>IFERROR(__xludf.DUMMYFUNCTION("""COMPUTED_VALUE"""),0.322091584158415)</f>
        <v>0.3220915842</v>
      </c>
      <c r="P280" s="8">
        <f>IFERROR(__xludf.DUMMYFUNCTION("""COMPUTED_VALUE"""),0.261300992282249)</f>
        <v>0.2613009923</v>
      </c>
      <c r="Q280" s="8">
        <f>IFERROR(__xludf.DUMMYFUNCTION("""COMPUTED_VALUE"""),0.12)</f>
        <v>0.12</v>
      </c>
      <c r="R280" s="8">
        <f>IFERROR(__xludf.DUMMYFUNCTION("""COMPUTED_VALUE"""),0.0)</f>
        <v>0</v>
      </c>
      <c r="S280" s="8">
        <f>IFERROR(__xludf.DUMMYFUNCTION("""COMPUTED_VALUE"""),0.0)</f>
        <v>0</v>
      </c>
      <c r="T280" s="8">
        <f>IFERROR(__xludf.DUMMYFUNCTION("""COMPUTED_VALUE"""),0.0)</f>
        <v>0</v>
      </c>
      <c r="U280" s="8">
        <f>IFERROR(__xludf.DUMMYFUNCTION("""COMPUTED_VALUE"""),0.0)</f>
        <v>0</v>
      </c>
      <c r="V280" s="8">
        <f>IFERROR(__xludf.DUMMYFUNCTION("""COMPUTED_VALUE"""),0.0)</f>
        <v>0</v>
      </c>
      <c r="W280" s="8">
        <f>IFERROR(__xludf.DUMMYFUNCTION("""COMPUTED_VALUE"""),0.0)</f>
        <v>0</v>
      </c>
      <c r="X280" s="8">
        <f>IFERROR(__xludf.DUMMYFUNCTION("""COMPUTED_VALUE"""),0.0)</f>
        <v>0</v>
      </c>
      <c r="Y280" s="8">
        <f>IFERROR(__xludf.DUMMYFUNCTION("""COMPUTED_VALUE"""),0.0)</f>
        <v>0</v>
      </c>
      <c r="Z280" s="8">
        <f>IFERROR(__xludf.DUMMYFUNCTION("""COMPUTED_VALUE"""),0.0)</f>
        <v>0</v>
      </c>
      <c r="AA280" s="8">
        <f>IFERROR(__xludf.DUMMYFUNCTION("""COMPUTED_VALUE"""),0.0)</f>
        <v>0</v>
      </c>
      <c r="AB280" s="8">
        <f>IFERROR(__xludf.DUMMYFUNCTION("""COMPUTED_VALUE"""),0.0)</f>
        <v>0</v>
      </c>
      <c r="AC280" s="8">
        <f>IFERROR(__xludf.DUMMYFUNCTION("""COMPUTED_VALUE"""),0.0)</f>
        <v>0</v>
      </c>
    </row>
    <row r="281" ht="15.75" customHeight="1">
      <c r="A281" s="1"/>
      <c r="B281" s="1"/>
      <c r="C281" s="1"/>
      <c r="D281" s="17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5.75" customHeight="1">
      <c r="A282" s="1"/>
      <c r="B282" s="1"/>
      <c r="C282" s="1"/>
      <c r="D282" s="17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5.75" customHeight="1">
      <c r="A283" s="1"/>
      <c r="B283" s="1"/>
      <c r="C283" s="1"/>
      <c r="D283" s="17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5.75" customHeight="1">
      <c r="A284" s="12"/>
      <c r="B284" s="12"/>
      <c r="C284" s="12"/>
      <c r="D284" s="1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5.75" customHeight="1">
      <c r="A285" s="12"/>
      <c r="B285" s="12"/>
      <c r="C285" s="12"/>
      <c r="D285" s="1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5.75" customHeight="1">
      <c r="A286" s="12"/>
      <c r="B286" s="12"/>
      <c r="C286" s="12"/>
      <c r="D286" s="1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5.75" customHeight="1">
      <c r="A287" s="12"/>
      <c r="B287" s="12"/>
      <c r="C287" s="12"/>
      <c r="D287" s="1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5.75" customHeight="1">
      <c r="A288" s="12"/>
      <c r="B288" s="12"/>
      <c r="C288" s="12"/>
      <c r="D288" s="1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5.75" customHeight="1">
      <c r="A289" s="12"/>
      <c r="B289" s="12"/>
      <c r="C289" s="12"/>
      <c r="D289" s="1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5.75" customHeight="1">
      <c r="A290" s="12"/>
      <c r="B290" s="12"/>
      <c r="C290" s="12"/>
      <c r="D290" s="1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5.75" customHeight="1">
      <c r="A291" s="12"/>
      <c r="B291" s="12"/>
      <c r="C291" s="12"/>
      <c r="D291" s="1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15.75" customHeight="1">
      <c r="A292" s="12"/>
      <c r="B292" s="12"/>
      <c r="C292" s="12"/>
      <c r="D292" s="1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15.75" customHeight="1">
      <c r="A293" s="12"/>
      <c r="B293" s="12"/>
      <c r="C293" s="12"/>
      <c r="D293" s="1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5.75" customHeight="1">
      <c r="A294" s="12"/>
      <c r="B294" s="12"/>
      <c r="C294" s="12"/>
      <c r="D294" s="1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15.75" customHeight="1">
      <c r="A295" s="12"/>
      <c r="B295" s="12"/>
      <c r="C295" s="12"/>
      <c r="D295" s="1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15.75" customHeight="1">
      <c r="A296" s="12"/>
      <c r="B296" s="12"/>
      <c r="C296" s="12"/>
      <c r="D296" s="1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15.75" customHeight="1">
      <c r="A297" s="12"/>
      <c r="B297" s="12"/>
      <c r="C297" s="12"/>
      <c r="D297" s="1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5.75" customHeight="1">
      <c r="A298" s="12"/>
      <c r="B298" s="12"/>
      <c r="C298" s="12"/>
      <c r="D298" s="1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15.75" customHeight="1">
      <c r="A299" s="12"/>
      <c r="B299" s="12"/>
      <c r="C299" s="12"/>
      <c r="D299" s="1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15.75" customHeight="1">
      <c r="A300" s="12"/>
      <c r="B300" s="12"/>
      <c r="C300" s="12"/>
      <c r="D300" s="1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15.75" customHeight="1">
      <c r="A301" s="12"/>
      <c r="B301" s="12"/>
      <c r="C301" s="12"/>
      <c r="D301" s="1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5.75" customHeight="1">
      <c r="A302" s="12"/>
      <c r="B302" s="12"/>
      <c r="C302" s="12"/>
      <c r="D302" s="1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15.75" customHeight="1">
      <c r="A303" s="12"/>
      <c r="B303" s="12"/>
      <c r="C303" s="12"/>
      <c r="D303" s="1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15.75" customHeight="1">
      <c r="A304" s="12"/>
      <c r="B304" s="12"/>
      <c r="C304" s="12"/>
      <c r="D304" s="1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5.75" customHeight="1">
      <c r="A305" s="12"/>
      <c r="B305" s="12"/>
      <c r="C305" s="12"/>
      <c r="D305" s="1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15.75" customHeight="1">
      <c r="A306" s="12"/>
      <c r="B306" s="12"/>
      <c r="C306" s="12"/>
      <c r="D306" s="1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5.75" customHeight="1">
      <c r="A307" s="12"/>
      <c r="B307" s="12"/>
      <c r="C307" s="12"/>
      <c r="D307" s="1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15.75" customHeight="1">
      <c r="A308" s="12"/>
      <c r="B308" s="12"/>
      <c r="C308" s="12"/>
      <c r="D308" s="1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5.75" customHeight="1">
      <c r="A309" s="12"/>
      <c r="B309" s="12"/>
      <c r="C309" s="12"/>
      <c r="D309" s="1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15.75" customHeight="1">
      <c r="A310" s="12"/>
      <c r="B310" s="12"/>
      <c r="C310" s="12"/>
      <c r="D310" s="1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15.75" customHeight="1">
      <c r="A311" s="12"/>
      <c r="B311" s="12"/>
      <c r="C311" s="12"/>
      <c r="D311" s="1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15.75" customHeight="1">
      <c r="A312" s="12"/>
      <c r="B312" s="12"/>
      <c r="C312" s="12"/>
      <c r="D312" s="1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5.75" customHeight="1">
      <c r="A313" s="12"/>
      <c r="B313" s="12"/>
      <c r="C313" s="12"/>
      <c r="D313" s="1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15.75" customHeight="1">
      <c r="A314" s="12"/>
      <c r="B314" s="12"/>
      <c r="C314" s="12"/>
      <c r="D314" s="1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15.75" customHeight="1">
      <c r="A315" s="12"/>
      <c r="B315" s="12"/>
      <c r="C315" s="12"/>
      <c r="D315" s="1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15.75" customHeight="1">
      <c r="A316" s="12"/>
      <c r="B316" s="12"/>
      <c r="C316" s="12"/>
      <c r="D316" s="1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5.75" customHeight="1">
      <c r="A317" s="12"/>
      <c r="B317" s="12"/>
      <c r="C317" s="12"/>
      <c r="D317" s="1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15.75" customHeight="1">
      <c r="A318" s="12"/>
      <c r="B318" s="12"/>
      <c r="C318" s="12"/>
      <c r="D318" s="1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15.75" customHeight="1">
      <c r="A319" s="12"/>
      <c r="B319" s="12"/>
      <c r="C319" s="12"/>
      <c r="D319" s="1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15.75" customHeight="1">
      <c r="A320" s="12"/>
      <c r="B320" s="12"/>
      <c r="C320" s="12"/>
      <c r="D320" s="1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5.75" customHeight="1">
      <c r="A321" s="12"/>
      <c r="B321" s="12"/>
      <c r="C321" s="12"/>
      <c r="D321" s="1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15.75" customHeight="1">
      <c r="A322" s="12"/>
      <c r="B322" s="12"/>
      <c r="C322" s="12"/>
      <c r="D322" s="1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15.75" customHeight="1">
      <c r="A323" s="12"/>
      <c r="B323" s="12"/>
      <c r="C323" s="12"/>
      <c r="D323" s="1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5.75" customHeight="1">
      <c r="A324" s="12"/>
      <c r="B324" s="12"/>
      <c r="C324" s="12"/>
      <c r="D324" s="1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15.75" customHeight="1">
      <c r="A325" s="12"/>
      <c r="B325" s="12"/>
      <c r="C325" s="12"/>
      <c r="D325" s="1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15.75" customHeight="1">
      <c r="A326" s="12"/>
      <c r="B326" s="12"/>
      <c r="C326" s="12"/>
      <c r="D326" s="1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15.75" customHeight="1">
      <c r="A327" s="12"/>
      <c r="B327" s="12"/>
      <c r="C327" s="12"/>
      <c r="D327" s="1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5.75" customHeight="1">
      <c r="A328" s="12"/>
      <c r="B328" s="12"/>
      <c r="C328" s="12"/>
      <c r="D328" s="1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15.75" customHeight="1">
      <c r="A329" s="12"/>
      <c r="B329" s="12"/>
      <c r="C329" s="12"/>
      <c r="D329" s="1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15.75" customHeight="1">
      <c r="A330" s="12"/>
      <c r="B330" s="12"/>
      <c r="C330" s="12"/>
      <c r="D330" s="1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5.75" customHeight="1">
      <c r="A331" s="12"/>
      <c r="B331" s="12"/>
      <c r="C331" s="12"/>
      <c r="D331" s="1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15.75" customHeight="1">
      <c r="A332" s="12"/>
      <c r="B332" s="12"/>
      <c r="C332" s="12"/>
      <c r="D332" s="1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15.75" customHeight="1">
      <c r="A333" s="12"/>
      <c r="B333" s="12"/>
      <c r="C333" s="12"/>
      <c r="D333" s="1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5.75" customHeight="1">
      <c r="A334" s="12"/>
      <c r="B334" s="12"/>
      <c r="C334" s="12"/>
      <c r="D334" s="1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15.75" customHeight="1">
      <c r="A335" s="12"/>
      <c r="B335" s="12"/>
      <c r="C335" s="12"/>
      <c r="D335" s="1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15.75" customHeight="1">
      <c r="A336" s="12"/>
      <c r="B336" s="12"/>
      <c r="C336" s="12"/>
      <c r="D336" s="1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15.75" customHeight="1">
      <c r="A337" s="12"/>
      <c r="B337" s="12"/>
      <c r="C337" s="12"/>
      <c r="D337" s="1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5.75" customHeight="1">
      <c r="A338" s="12"/>
      <c r="B338" s="12"/>
      <c r="C338" s="12"/>
      <c r="D338" s="1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15.75" customHeight="1">
      <c r="A339" s="12"/>
      <c r="B339" s="12"/>
      <c r="C339" s="12"/>
      <c r="D339" s="1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15.75" customHeight="1">
      <c r="A340" s="12"/>
      <c r="B340" s="12"/>
      <c r="C340" s="12"/>
      <c r="D340" s="1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5.75" customHeight="1">
      <c r="A341" s="12"/>
      <c r="B341" s="12"/>
      <c r="C341" s="12"/>
      <c r="D341" s="1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15.75" customHeight="1">
      <c r="A342" s="12"/>
      <c r="B342" s="12"/>
      <c r="C342" s="12"/>
      <c r="D342" s="1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15.75" customHeight="1">
      <c r="A343" s="12"/>
      <c r="B343" s="12"/>
      <c r="C343" s="12"/>
      <c r="D343" s="1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5.75" customHeight="1">
      <c r="A344" s="12"/>
      <c r="B344" s="12"/>
      <c r="C344" s="12"/>
      <c r="D344" s="1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15.75" customHeight="1">
      <c r="A345" s="12"/>
      <c r="B345" s="12"/>
      <c r="C345" s="12"/>
      <c r="D345" s="1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15.75" customHeight="1">
      <c r="A346" s="12"/>
      <c r="B346" s="12"/>
      <c r="C346" s="12"/>
      <c r="D346" s="1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15.75" customHeight="1">
      <c r="A347" s="12"/>
      <c r="B347" s="12"/>
      <c r="C347" s="12"/>
      <c r="D347" s="1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15.75" customHeight="1">
      <c r="A348" s="12"/>
      <c r="B348" s="12"/>
      <c r="C348" s="12"/>
      <c r="D348" s="1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15.75" customHeight="1">
      <c r="A349" s="12"/>
      <c r="B349" s="12"/>
      <c r="C349" s="12"/>
      <c r="D349" s="1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15.75" customHeight="1">
      <c r="A350" s="12"/>
      <c r="B350" s="12"/>
      <c r="C350" s="12"/>
      <c r="D350" s="1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15.75" customHeight="1">
      <c r="A351" s="12"/>
      <c r="B351" s="12"/>
      <c r="C351" s="12"/>
      <c r="D351" s="1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15.75" customHeight="1">
      <c r="A352" s="12"/>
      <c r="B352" s="12"/>
      <c r="C352" s="12"/>
      <c r="D352" s="1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15.75" customHeight="1">
      <c r="A353" s="12"/>
      <c r="B353" s="12"/>
      <c r="C353" s="12"/>
      <c r="D353" s="1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15.75" customHeight="1">
      <c r="A354" s="12"/>
      <c r="B354" s="12"/>
      <c r="C354" s="12"/>
      <c r="D354" s="1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15.75" customHeight="1">
      <c r="A355" s="12"/>
      <c r="B355" s="12"/>
      <c r="C355" s="12"/>
      <c r="D355" s="1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15.75" customHeight="1">
      <c r="A356" s="12"/>
      <c r="B356" s="12"/>
      <c r="C356" s="12"/>
      <c r="D356" s="1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15.75" customHeight="1">
      <c r="A357" s="12"/>
      <c r="B357" s="12"/>
      <c r="C357" s="12"/>
      <c r="D357" s="1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15.75" customHeight="1">
      <c r="A358" s="12"/>
      <c r="B358" s="12"/>
      <c r="C358" s="12"/>
      <c r="D358" s="1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15.75" customHeight="1">
      <c r="A359" s="12"/>
      <c r="B359" s="12"/>
      <c r="C359" s="12"/>
      <c r="D359" s="1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15.75" customHeight="1">
      <c r="A360" s="12"/>
      <c r="B360" s="12"/>
      <c r="C360" s="12"/>
      <c r="D360" s="1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15.75" customHeight="1">
      <c r="A361" s="12"/>
      <c r="B361" s="12"/>
      <c r="C361" s="12"/>
      <c r="D361" s="1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15.75" customHeight="1">
      <c r="A362" s="12"/>
      <c r="B362" s="12"/>
      <c r="C362" s="12"/>
      <c r="D362" s="1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15.75" customHeight="1">
      <c r="A363" s="12"/>
      <c r="B363" s="12"/>
      <c r="C363" s="12"/>
      <c r="D363" s="1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15.75" customHeight="1">
      <c r="A364" s="12"/>
      <c r="B364" s="12"/>
      <c r="C364" s="12"/>
      <c r="D364" s="1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15.75" customHeight="1">
      <c r="A365" s="12"/>
      <c r="B365" s="12"/>
      <c r="C365" s="12"/>
      <c r="D365" s="1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15.75" customHeight="1">
      <c r="A366" s="12"/>
      <c r="B366" s="12"/>
      <c r="C366" s="12"/>
      <c r="D366" s="1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15.75" customHeight="1">
      <c r="A367" s="12"/>
      <c r="B367" s="12"/>
      <c r="C367" s="12"/>
      <c r="D367" s="1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15.75" customHeight="1">
      <c r="A368" s="12"/>
      <c r="B368" s="12"/>
      <c r="C368" s="12"/>
      <c r="D368" s="1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15.75" customHeight="1">
      <c r="A369" s="12"/>
      <c r="B369" s="12"/>
      <c r="C369" s="12"/>
      <c r="D369" s="1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15.75" customHeight="1">
      <c r="A370" s="12"/>
      <c r="B370" s="12"/>
      <c r="C370" s="12"/>
      <c r="D370" s="1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15.75" customHeight="1">
      <c r="A371" s="12"/>
      <c r="B371" s="12"/>
      <c r="C371" s="12"/>
      <c r="D371" s="1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15.75" customHeight="1">
      <c r="A372" s="12"/>
      <c r="B372" s="12"/>
      <c r="C372" s="12"/>
      <c r="D372" s="1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15.75" customHeight="1">
      <c r="A373" s="12"/>
      <c r="B373" s="12"/>
      <c r="C373" s="12"/>
      <c r="D373" s="1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15.75" customHeight="1">
      <c r="A374" s="12"/>
      <c r="B374" s="12"/>
      <c r="C374" s="12"/>
      <c r="D374" s="1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15.75" customHeight="1">
      <c r="A375" s="12"/>
      <c r="B375" s="12"/>
      <c r="C375" s="12"/>
      <c r="D375" s="1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15.75" customHeight="1">
      <c r="A376" s="12"/>
      <c r="B376" s="12"/>
      <c r="C376" s="12"/>
      <c r="D376" s="1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15.75" customHeight="1">
      <c r="A377" s="12"/>
      <c r="B377" s="12"/>
      <c r="C377" s="12"/>
      <c r="D377" s="1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15.75" customHeight="1">
      <c r="A378" s="12"/>
      <c r="B378" s="12"/>
      <c r="C378" s="12"/>
      <c r="D378" s="1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15.75" customHeight="1">
      <c r="A379" s="12"/>
      <c r="B379" s="12"/>
      <c r="C379" s="12"/>
      <c r="D379" s="1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15.75" customHeight="1">
      <c r="A380" s="12"/>
      <c r="B380" s="12"/>
      <c r="C380" s="12"/>
      <c r="D380" s="1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15.75" customHeight="1">
      <c r="A381" s="12"/>
      <c r="B381" s="12"/>
      <c r="C381" s="12"/>
      <c r="D381" s="1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15.75" customHeight="1">
      <c r="A382" s="12"/>
      <c r="B382" s="12"/>
      <c r="C382" s="12"/>
      <c r="D382" s="1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15.75" customHeight="1">
      <c r="A383" s="12"/>
      <c r="B383" s="12"/>
      <c r="C383" s="12"/>
      <c r="D383" s="1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15.75" customHeight="1">
      <c r="A384" s="12"/>
      <c r="B384" s="12"/>
      <c r="C384" s="12"/>
      <c r="D384" s="1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15.75" customHeight="1">
      <c r="A385" s="12"/>
      <c r="B385" s="12"/>
      <c r="C385" s="12"/>
      <c r="D385" s="19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15.75" customHeight="1">
      <c r="A386" s="12"/>
      <c r="B386" s="12"/>
      <c r="C386" s="12"/>
      <c r="D386" s="19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15.75" customHeight="1">
      <c r="A387" s="12"/>
      <c r="B387" s="12"/>
      <c r="C387" s="12"/>
      <c r="D387" s="19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15.75" customHeight="1">
      <c r="A388" s="12"/>
      <c r="B388" s="12"/>
      <c r="C388" s="12"/>
      <c r="D388" s="19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15.75" customHeight="1">
      <c r="A389" s="12"/>
      <c r="B389" s="12"/>
      <c r="C389" s="12"/>
      <c r="D389" s="19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15.75" customHeight="1">
      <c r="A390" s="12"/>
      <c r="B390" s="12"/>
      <c r="C390" s="12"/>
      <c r="D390" s="19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15.75" customHeight="1">
      <c r="A391" s="12"/>
      <c r="B391" s="12"/>
      <c r="C391" s="12"/>
      <c r="D391" s="19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15.75" customHeight="1">
      <c r="A392" s="12"/>
      <c r="B392" s="12"/>
      <c r="C392" s="12"/>
      <c r="D392" s="19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15.75" customHeight="1">
      <c r="A393" s="12"/>
      <c r="B393" s="12"/>
      <c r="C393" s="12"/>
      <c r="D393" s="19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15.75" customHeight="1">
      <c r="A394" s="12"/>
      <c r="B394" s="12"/>
      <c r="C394" s="12"/>
      <c r="D394" s="19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15.75" customHeight="1">
      <c r="A395" s="12"/>
      <c r="B395" s="12"/>
      <c r="C395" s="12"/>
      <c r="D395" s="19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15.75" customHeight="1">
      <c r="A396" s="12"/>
      <c r="B396" s="12"/>
      <c r="C396" s="12"/>
      <c r="D396" s="19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15.75" customHeight="1">
      <c r="A397" s="12"/>
      <c r="B397" s="12"/>
      <c r="C397" s="12"/>
      <c r="D397" s="19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15.75" customHeight="1">
      <c r="A398" s="12"/>
      <c r="B398" s="12"/>
      <c r="C398" s="12"/>
      <c r="D398" s="19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15.75" customHeight="1">
      <c r="A399" s="12"/>
      <c r="B399" s="12"/>
      <c r="C399" s="12"/>
      <c r="D399" s="19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15.75" customHeight="1">
      <c r="A400" s="12"/>
      <c r="B400" s="12"/>
      <c r="C400" s="12"/>
      <c r="D400" s="19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15.75" customHeight="1">
      <c r="A401" s="12"/>
      <c r="B401" s="12"/>
      <c r="C401" s="12"/>
      <c r="D401" s="19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15.75" customHeight="1">
      <c r="A402" s="12"/>
      <c r="B402" s="12"/>
      <c r="C402" s="12"/>
      <c r="D402" s="19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15.75" customHeight="1">
      <c r="A403" s="12"/>
      <c r="B403" s="12"/>
      <c r="C403" s="12"/>
      <c r="D403" s="19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15.75" customHeight="1">
      <c r="A404" s="12"/>
      <c r="B404" s="12"/>
      <c r="C404" s="12"/>
      <c r="D404" s="19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15.75" customHeight="1">
      <c r="A405" s="12"/>
      <c r="B405" s="12"/>
      <c r="C405" s="12"/>
      <c r="D405" s="19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15.75" customHeight="1">
      <c r="A406" s="12"/>
      <c r="B406" s="12"/>
      <c r="C406" s="12"/>
      <c r="D406" s="19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15.75" customHeight="1">
      <c r="A407" s="12"/>
      <c r="B407" s="12"/>
      <c r="C407" s="12"/>
      <c r="D407" s="19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15.75" customHeight="1">
      <c r="A408" s="12"/>
      <c r="B408" s="12"/>
      <c r="C408" s="12"/>
      <c r="D408" s="19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15.75" customHeight="1">
      <c r="A409" s="12"/>
      <c r="B409" s="12"/>
      <c r="C409" s="12"/>
      <c r="D409" s="19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15.75" customHeight="1">
      <c r="A410" s="12"/>
      <c r="B410" s="12"/>
      <c r="C410" s="12"/>
      <c r="D410" s="19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15.75" customHeight="1">
      <c r="A411" s="12"/>
      <c r="B411" s="12"/>
      <c r="C411" s="12"/>
      <c r="D411" s="19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15.75" customHeight="1">
      <c r="A412" s="12"/>
      <c r="B412" s="12"/>
      <c r="C412" s="12"/>
      <c r="D412" s="19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15.75" customHeight="1">
      <c r="A413" s="12"/>
      <c r="B413" s="12"/>
      <c r="C413" s="12"/>
      <c r="D413" s="19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15.75" customHeight="1">
      <c r="A414" s="12"/>
      <c r="B414" s="12"/>
      <c r="C414" s="12"/>
      <c r="D414" s="19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15.75" customHeight="1">
      <c r="A415" s="12"/>
      <c r="B415" s="12"/>
      <c r="C415" s="12"/>
      <c r="D415" s="19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15.75" customHeight="1">
      <c r="A416" s="12"/>
      <c r="B416" s="12"/>
      <c r="C416" s="12"/>
      <c r="D416" s="19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15.75" customHeight="1">
      <c r="A417" s="12"/>
      <c r="B417" s="12"/>
      <c r="C417" s="12"/>
      <c r="D417" s="19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15.75" customHeight="1">
      <c r="A418" s="12"/>
      <c r="B418" s="12"/>
      <c r="C418" s="12"/>
      <c r="D418" s="19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15.75" customHeight="1">
      <c r="A419" s="12"/>
      <c r="B419" s="12"/>
      <c r="C419" s="12"/>
      <c r="D419" s="19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15.75" customHeight="1">
      <c r="A420" s="12"/>
      <c r="B420" s="12"/>
      <c r="C420" s="12"/>
      <c r="D420" s="19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15.75" customHeight="1">
      <c r="A421" s="12"/>
      <c r="B421" s="12"/>
      <c r="C421" s="12"/>
      <c r="D421" s="19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15.75" customHeight="1">
      <c r="A422" s="12"/>
      <c r="B422" s="12"/>
      <c r="C422" s="12"/>
      <c r="D422" s="19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15.75" customHeight="1">
      <c r="A423" s="12"/>
      <c r="B423" s="12"/>
      <c r="C423" s="12"/>
      <c r="D423" s="19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15.75" customHeight="1">
      <c r="A424" s="12"/>
      <c r="B424" s="12"/>
      <c r="C424" s="12"/>
      <c r="D424" s="19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15.75" customHeight="1">
      <c r="A425" s="12"/>
      <c r="B425" s="12"/>
      <c r="C425" s="12"/>
      <c r="D425" s="19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15.75" customHeight="1">
      <c r="A426" s="12"/>
      <c r="B426" s="12"/>
      <c r="C426" s="12"/>
      <c r="D426" s="19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15.75" customHeight="1">
      <c r="A427" s="12"/>
      <c r="B427" s="12"/>
      <c r="C427" s="12"/>
      <c r="D427" s="19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15.75" customHeight="1">
      <c r="A428" s="12"/>
      <c r="B428" s="12"/>
      <c r="C428" s="12"/>
      <c r="D428" s="19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15.75" customHeight="1">
      <c r="A429" s="12"/>
      <c r="B429" s="12"/>
      <c r="C429" s="12"/>
      <c r="D429" s="19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15.75" customHeight="1">
      <c r="A430" s="12"/>
      <c r="B430" s="12"/>
      <c r="C430" s="12"/>
      <c r="D430" s="19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15.75" customHeight="1">
      <c r="A431" s="12"/>
      <c r="B431" s="12"/>
      <c r="C431" s="12"/>
      <c r="D431" s="19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15.75" customHeight="1">
      <c r="A432" s="12"/>
      <c r="B432" s="12"/>
      <c r="C432" s="12"/>
      <c r="D432" s="19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15.75" customHeight="1">
      <c r="A433" s="12"/>
      <c r="B433" s="12"/>
      <c r="C433" s="12"/>
      <c r="D433" s="19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15.75" customHeight="1">
      <c r="A434" s="12"/>
      <c r="B434" s="12"/>
      <c r="C434" s="12"/>
      <c r="D434" s="19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15.75" customHeight="1">
      <c r="A435" s="12"/>
      <c r="B435" s="12"/>
      <c r="C435" s="12"/>
      <c r="D435" s="19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15.75" customHeight="1">
      <c r="A436" s="12"/>
      <c r="B436" s="12"/>
      <c r="C436" s="12"/>
      <c r="D436" s="19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15.75" customHeight="1">
      <c r="A437" s="12"/>
      <c r="B437" s="12"/>
      <c r="C437" s="12"/>
      <c r="D437" s="19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15.75" customHeight="1">
      <c r="A438" s="12"/>
      <c r="B438" s="12"/>
      <c r="C438" s="12"/>
      <c r="D438" s="19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15.75" customHeight="1">
      <c r="A439" s="12"/>
      <c r="B439" s="12"/>
      <c r="C439" s="12"/>
      <c r="D439" s="19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15.75" customHeight="1">
      <c r="A440" s="12"/>
      <c r="B440" s="12"/>
      <c r="C440" s="12"/>
      <c r="D440" s="19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15.75" customHeight="1">
      <c r="A441" s="12"/>
      <c r="B441" s="12"/>
      <c r="C441" s="12"/>
      <c r="D441" s="19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15.75" customHeight="1">
      <c r="A442" s="12"/>
      <c r="B442" s="12"/>
      <c r="C442" s="12"/>
      <c r="D442" s="19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15.75" customHeight="1">
      <c r="A443" s="12"/>
      <c r="B443" s="12"/>
      <c r="C443" s="12"/>
      <c r="D443" s="19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15.75" customHeight="1">
      <c r="A444" s="12"/>
      <c r="B444" s="12"/>
      <c r="C444" s="12"/>
      <c r="D444" s="19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15.75" customHeight="1">
      <c r="A445" s="12"/>
      <c r="B445" s="12"/>
      <c r="C445" s="12"/>
      <c r="D445" s="19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15.75" customHeight="1">
      <c r="A446" s="12"/>
      <c r="B446" s="12"/>
      <c r="C446" s="12"/>
      <c r="D446" s="19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15.75" customHeight="1">
      <c r="A447" s="12"/>
      <c r="B447" s="12"/>
      <c r="C447" s="12"/>
      <c r="D447" s="19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15.75" customHeight="1">
      <c r="A448" s="12"/>
      <c r="B448" s="12"/>
      <c r="C448" s="12"/>
      <c r="D448" s="19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15.75" customHeight="1">
      <c r="A449" s="12"/>
      <c r="B449" s="12"/>
      <c r="C449" s="12"/>
      <c r="D449" s="19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15.75" customHeight="1">
      <c r="A450" s="12"/>
      <c r="B450" s="12"/>
      <c r="C450" s="12"/>
      <c r="D450" s="19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15.75" customHeight="1">
      <c r="A451" s="12"/>
      <c r="B451" s="12"/>
      <c r="C451" s="12"/>
      <c r="D451" s="19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15.75" customHeight="1">
      <c r="A452" s="12"/>
      <c r="B452" s="12"/>
      <c r="C452" s="12"/>
      <c r="D452" s="19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15.75" customHeight="1">
      <c r="A453" s="12"/>
      <c r="B453" s="12"/>
      <c r="C453" s="12"/>
      <c r="D453" s="19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15.75" customHeight="1">
      <c r="A454" s="12"/>
      <c r="B454" s="12"/>
      <c r="C454" s="12"/>
      <c r="D454" s="19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15.75" customHeight="1">
      <c r="A455" s="12"/>
      <c r="B455" s="12"/>
      <c r="C455" s="12"/>
      <c r="D455" s="19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15.75" customHeight="1">
      <c r="A456" s="12"/>
      <c r="B456" s="12"/>
      <c r="C456" s="12"/>
      <c r="D456" s="19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15.75" customHeight="1">
      <c r="A457" s="12"/>
      <c r="B457" s="12"/>
      <c r="C457" s="12"/>
      <c r="D457" s="19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15.75" customHeight="1">
      <c r="A458" s="12"/>
      <c r="B458" s="12"/>
      <c r="C458" s="12"/>
      <c r="D458" s="19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15.75" customHeight="1">
      <c r="A459" s="12"/>
      <c r="B459" s="12"/>
      <c r="C459" s="12"/>
      <c r="D459" s="19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15.75" customHeight="1">
      <c r="A460" s="12"/>
      <c r="B460" s="12"/>
      <c r="C460" s="12"/>
      <c r="D460" s="19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15.75" customHeight="1">
      <c r="A461" s="12"/>
      <c r="B461" s="12"/>
      <c r="C461" s="12"/>
      <c r="D461" s="19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15.75" customHeight="1">
      <c r="A462" s="12"/>
      <c r="B462" s="12"/>
      <c r="C462" s="12"/>
      <c r="D462" s="19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15.75" customHeight="1">
      <c r="A463" s="12"/>
      <c r="B463" s="12"/>
      <c r="C463" s="12"/>
      <c r="D463" s="19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15.75" customHeight="1">
      <c r="A464" s="12"/>
      <c r="B464" s="12"/>
      <c r="C464" s="12"/>
      <c r="D464" s="19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15.75" customHeight="1">
      <c r="A465" s="12"/>
      <c r="B465" s="12"/>
      <c r="C465" s="12"/>
      <c r="D465" s="19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15.75" customHeight="1">
      <c r="A466" s="12"/>
      <c r="B466" s="12"/>
      <c r="C466" s="12"/>
      <c r="D466" s="19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15.75" customHeight="1">
      <c r="A467" s="12"/>
      <c r="B467" s="12"/>
      <c r="C467" s="12"/>
      <c r="D467" s="19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15.75" customHeight="1">
      <c r="A468" s="12"/>
      <c r="B468" s="12"/>
      <c r="C468" s="12"/>
      <c r="D468" s="19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15.75" customHeight="1">
      <c r="A469" s="12"/>
      <c r="B469" s="12"/>
      <c r="C469" s="12"/>
      <c r="D469" s="19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15.75" customHeight="1">
      <c r="A470" s="12"/>
      <c r="B470" s="12"/>
      <c r="C470" s="12"/>
      <c r="D470" s="19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15.75" customHeight="1">
      <c r="A471" s="12"/>
      <c r="B471" s="12"/>
      <c r="C471" s="12"/>
      <c r="D471" s="19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15.75" customHeight="1">
      <c r="A472" s="12"/>
      <c r="B472" s="12"/>
      <c r="C472" s="12"/>
      <c r="D472" s="19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15.75" customHeight="1">
      <c r="A473" s="12"/>
      <c r="B473" s="12"/>
      <c r="C473" s="12"/>
      <c r="D473" s="19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ht="15.75" customHeight="1">
      <c r="A474" s="12"/>
      <c r="B474" s="12"/>
      <c r="C474" s="12"/>
      <c r="D474" s="19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ht="15.75" customHeight="1">
      <c r="A475" s="12"/>
      <c r="B475" s="12"/>
      <c r="C475" s="12"/>
      <c r="D475" s="19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ht="15.75" customHeight="1">
      <c r="A476" s="12"/>
      <c r="B476" s="12"/>
      <c r="C476" s="12"/>
      <c r="D476" s="19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15.75" customHeight="1">
      <c r="A477" s="12"/>
      <c r="B477" s="12"/>
      <c r="C477" s="12"/>
      <c r="D477" s="19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ht="15.75" customHeight="1">
      <c r="A478" s="12"/>
      <c r="B478" s="12"/>
      <c r="C478" s="12"/>
      <c r="D478" s="19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ht="15.75" customHeight="1">
      <c r="A479" s="12"/>
      <c r="B479" s="12"/>
      <c r="C479" s="12"/>
      <c r="D479" s="19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ht="15.75" customHeight="1">
      <c r="A480" s="12"/>
      <c r="B480" s="12"/>
      <c r="C480" s="12"/>
      <c r="D480" s="19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15.75" customHeight="1">
      <c r="A481" s="12"/>
      <c r="B481" s="12"/>
      <c r="C481" s="12"/>
      <c r="D481" s="19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ht="15.75" customHeight="1">
      <c r="A482" s="12"/>
      <c r="B482" s="12"/>
      <c r="C482" s="12"/>
      <c r="D482" s="19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ht="15.75" customHeight="1">
      <c r="A483" s="12"/>
      <c r="B483" s="12"/>
      <c r="C483" s="12"/>
      <c r="D483" s="19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</sheetData>
  <conditionalFormatting sqref="D5:E483">
    <cfRule type="expression" dxfId="0" priority="1" stopIfTrue="1">
      <formula>AND(ISNUMBER(D5),IF($C5="Romantasy",D$2,IF(OR($C5="Romance",$C5="Drama"),D$3,D$1))&gt;0,D5&gt;=(IF($C5="Romantasy",D$2,IF(OR($C5="Romance",$C5="Drama"),D$3,D$1))))</formula>
    </cfRule>
  </conditionalFormatting>
  <conditionalFormatting sqref="D5:E483">
    <cfRule type="expression" dxfId="1" priority="2" stopIfTrue="1">
      <formula>AND(ISNUMBER(D5),IF($C5="Romantasy",D$2,IF(OR($C5="Romance",$C5="Drama"),D$3,D$1))&gt;0,D5&gt;=0.7*(IF($C5="Romantasy",D$2,IF(OR($C5="Romance",$C5="Drama"),D$3,D$1))),D5&lt;(IF($C5="Romantasy",D$2,IF(OR($C5="Romance",$C5="Drama"),D$3,D$1))))</formula>
    </cfRule>
  </conditionalFormatting>
  <conditionalFormatting sqref="D5:E483">
    <cfRule type="expression" dxfId="2" priority="3" stopIfTrue="1">
      <formula>AND(ISNUMBER(D5),IF($C5="Romantasy",D$2,IF(OR($C5="Romance",$C5="Drama"),D$3,D$1))&gt;0,D5&lt;0.7*(IF($C5="Romantasy",D$2,IF(OR($C5="Romance",$C5="Drama"),D$3,D$1))))</formula>
    </cfRule>
  </conditionalFormatting>
  <conditionalFormatting sqref="F5:F483">
    <cfRule type="expression" dxfId="0" priority="4" stopIfTrue="1">
      <formula>AND(ISNUMBER(F5),IF($C5="Romantasy",F$2,IF(OR($C5="Romance",$C5="Drama"),F$3,F$1))&gt;0,F5&gt;=(IF($C5="Romantasy",F$2,IF(OR($C5="Romance",$C5="Drama"),F$3,F$1))))</formula>
    </cfRule>
  </conditionalFormatting>
  <conditionalFormatting sqref="F5:F483">
    <cfRule type="expression" dxfId="1" priority="5" stopIfTrue="1">
      <formula>AND(ISNUMBER(F5),IF($C5="Romantasy",F$2,IF(OR($C5="Romance",$C5="Drama"),F$3,F$1))&gt;0,F5&gt;=0.7*(IF($C5="Romantasy",F$2,IF(OR($C5="Romance",$C5="Drama"),F$3,F$1))),F5&lt;(IF($C5="Romantasy",F$2,IF(OR($C5="Romance",$C5="Drama"),F$3,F$1))))</formula>
    </cfRule>
  </conditionalFormatting>
  <conditionalFormatting sqref="F5:F483">
    <cfRule type="expression" dxfId="2" priority="6" stopIfTrue="1">
      <formula>AND(ISNUMBER(F5),IF($C5="Romantasy",F$2,IF(OR($C5="Romance",$C5="Drama"),F$3,F$1))&gt;0,F5&lt;0.7*(IF($C5="Romantasy",F$2,IF(OR($C5="Romance",$C5="Drama"),F$3,F$1))))</formula>
    </cfRule>
  </conditionalFormatting>
  <conditionalFormatting sqref="G5:G483">
    <cfRule type="expression" dxfId="0" priority="7" stopIfTrue="1">
      <formula>AND(ISNUMBER(G5),IF($C5="Romantasy",G$2,IF(OR($C5="Romance",$C5="Drama"),G$3,G$1))&gt;0,G5&gt;=(IF($C5="Romantasy",G$2,IF(OR($C5="Romance",$C5="Drama"),G$3,G$1))))</formula>
    </cfRule>
  </conditionalFormatting>
  <conditionalFormatting sqref="G5:G483">
    <cfRule type="expression" dxfId="1" priority="8" stopIfTrue="1">
      <formula>AND(ISNUMBER(G5),IF($C5="Romantasy",G$2,IF(OR($C5="Romance",$C5="Drama"),G$3,G$1))&gt;0,G5&gt;=0.7*(IF($C5="Romantasy",G$2,IF(OR($C5="Romance",$C5="Drama"),G$3,G$1))),G5&lt;(IF($C5="Romantasy",G$2,IF(OR($C5="Romance",$C5="Drama"),G$3,G$1))))</formula>
    </cfRule>
  </conditionalFormatting>
  <conditionalFormatting sqref="G5:G483">
    <cfRule type="expression" dxfId="2" priority="9" stopIfTrue="1">
      <formula>AND(ISNUMBER(G5),IF($C5="Romantasy",G$2,IF(OR($C5="Romance",$C5="Drama"),G$3,G$1))&gt;0,G5&lt;0.7*(IF($C5="Romantasy",G$2,IF(OR($C5="Romance",$C5="Drama"),G$3,G$1))))</formula>
    </cfRule>
  </conditionalFormatting>
  <conditionalFormatting sqref="H5:H483">
    <cfRule type="expression" dxfId="0" priority="10" stopIfTrue="1">
      <formula>AND(ISNUMBER(H5),IF($C5="Romantasy",H$2,IF(OR($C5="Romance",$C5="Drama"),H$3,H$1))&gt;0,H5&gt;=(IF($C5="Romantasy",H$2,IF(OR($C5="Romance",$C5="Drama"),H$3,H$1))))</formula>
    </cfRule>
  </conditionalFormatting>
  <conditionalFormatting sqref="H5:H483">
    <cfRule type="expression" dxfId="1" priority="11" stopIfTrue="1">
      <formula>AND(ISNUMBER(H5),IF($C5="Romantasy",H$2,IF(OR($C5="Romance",$C5="Drama"),H$3,H$1))&gt;0,H5&gt;=0.7*(IF($C5="Romantasy",H$2,IF(OR($C5="Romance",$C5="Drama"),H$3,H$1))),H5&lt;(IF($C5="Romantasy",H$2,IF(OR($C5="Romance",$C5="Drama"),H$3,H$1))))</formula>
    </cfRule>
  </conditionalFormatting>
  <conditionalFormatting sqref="H5:H483">
    <cfRule type="expression" dxfId="2" priority="12" stopIfTrue="1">
      <formula>AND(ISNUMBER(H5),IF($C5="Romantasy",H$2,IF(OR($C5="Romance",$C5="Drama"),H$3,H$1))&gt;0,H5&lt;0.7*(IF($C5="Romantasy",H$2,IF(OR($C5="Romance",$C5="Drama"),H$3,H$1))))</formula>
    </cfRule>
  </conditionalFormatting>
  <conditionalFormatting sqref="I5:I483">
    <cfRule type="expression" dxfId="0" priority="13" stopIfTrue="1">
      <formula>AND(ISNUMBER(I5),IF($C5="Romantasy",I$2,IF(OR($C5="Romance",$C5="Drama"),I$3,I$1))&gt;0,I5&gt;=(IF($C5="Romantasy",I$2,IF(OR($C5="Romance",$C5="Drama"),I$3,I$1))))</formula>
    </cfRule>
  </conditionalFormatting>
  <conditionalFormatting sqref="I5:I483">
    <cfRule type="expression" dxfId="1" priority="14" stopIfTrue="1">
      <formula>AND(ISNUMBER(I5),IF($C5="Romantasy",I$2,IF(OR($C5="Romance",$C5="Drama"),I$3,I$1))&gt;0,I5&gt;=0.7*(IF($C5="Romantasy",I$2,IF(OR($C5="Romance",$C5="Drama"),I$3,I$1))),I5&lt;(IF($C5="Romantasy",I$2,IF(OR($C5="Romance",$C5="Drama"),I$3,I$1))))</formula>
    </cfRule>
  </conditionalFormatting>
  <conditionalFormatting sqref="I5:I483">
    <cfRule type="expression" dxfId="2" priority="15" stopIfTrue="1">
      <formula>AND(ISNUMBER(I5),IF($C5="Romantasy",I$2,IF(OR($C5="Romance",$C5="Drama"),I$3,I$1))&gt;0,I5&lt;0.7*(IF($C5="Romantasy",I$2,IF(OR($C5="Romance",$C5="Drama"),I$3,I$1))))</formula>
    </cfRule>
  </conditionalFormatting>
  <conditionalFormatting sqref="J5:J483">
    <cfRule type="expression" dxfId="0" priority="16" stopIfTrue="1">
      <formula>AND(ISNUMBER(J5),IF($C5="Romantasy",J$2,IF(OR($C5="Romance",$C5="Drama"),J$3,J$1))&gt;0,J5&gt;=(IF($C5="Romantasy",J$2,IF(OR($C5="Romance",$C5="Drama"),J$3,J$1))))</formula>
    </cfRule>
  </conditionalFormatting>
  <conditionalFormatting sqref="J5:J483">
    <cfRule type="expression" dxfId="1" priority="17" stopIfTrue="1">
      <formula>AND(ISNUMBER(J5),IF($C5="Romantasy",J$2,IF(OR($C5="Romance",$C5="Drama"),J$3,J$1))&gt;0,J5&gt;=0.7*(IF($C5="Romantasy",J$2,IF(OR($C5="Romance",$C5="Drama"),J$3,J$1))),J5&lt;(IF($C5="Romantasy",J$2,IF(OR($C5="Romance",$C5="Drama"),J$3,J$1))))</formula>
    </cfRule>
  </conditionalFormatting>
  <conditionalFormatting sqref="J5:J483">
    <cfRule type="expression" dxfId="2" priority="18" stopIfTrue="1">
      <formula>AND(ISNUMBER(J5),IF($C5="Romantasy",J$2,IF(OR($C5="Romance",$C5="Drama"),J$3,J$1))&gt;0,J5&lt;0.7*(IF($C5="Romantasy",J$2,IF(OR($C5="Romance",$C5="Drama"),J$3,J$1))))</formula>
    </cfRule>
  </conditionalFormatting>
  <conditionalFormatting sqref="K5:K483">
    <cfRule type="expression" dxfId="0" priority="19" stopIfTrue="1">
      <formula>AND(ISNUMBER(K5),IF($C5="Romantasy",K$2,IF(OR($C5="Romance",$C5="Drama"),K$3,K$1))&gt;0,K5&gt;=(IF($C5="Romantasy",K$2,IF(OR($C5="Romance",$C5="Drama"),K$3,K$1))))</formula>
    </cfRule>
  </conditionalFormatting>
  <conditionalFormatting sqref="K5:K483">
    <cfRule type="expression" dxfId="1" priority="20" stopIfTrue="1">
      <formula>AND(ISNUMBER(K5),IF($C5="Romantasy",K$2,IF(OR($C5="Romance",$C5="Drama"),K$3,K$1))&gt;0,K5&gt;=0.7*(IF($C5="Romantasy",K$2,IF(OR($C5="Romance",$C5="Drama"),K$3,K$1))),K5&lt;(IF($C5="Romantasy",K$2,IF(OR($C5="Romance",$C5="Drama"),K$3,K$1))))</formula>
    </cfRule>
  </conditionalFormatting>
  <conditionalFormatting sqref="K5:K483">
    <cfRule type="expression" dxfId="2" priority="21" stopIfTrue="1">
      <formula>AND(ISNUMBER(K5),IF($C5="Romantasy",K$2,IF(OR($C5="Romance",$C5="Drama"),K$3,K$1))&gt;0,K5&lt;0.7*(IF($C5="Romantasy",K$2,IF(OR($C5="Romance",$C5="Drama"),K$3,K$1))))</formula>
    </cfRule>
  </conditionalFormatting>
  <conditionalFormatting sqref="L5:L483">
    <cfRule type="expression" dxfId="0" priority="22" stopIfTrue="1">
      <formula>AND(ISNUMBER(L5),IF($C5="Romantasy",L$2,IF(OR($C5="Romance",$C5="Drama"),L$3,L$1))&gt;0,L5&gt;=(IF($C5="Romantasy",L$2,IF(OR($C5="Romance",$C5="Drama"),L$3,L$1))))</formula>
    </cfRule>
  </conditionalFormatting>
  <conditionalFormatting sqref="L5:L483">
    <cfRule type="expression" dxfId="1" priority="23" stopIfTrue="1">
      <formula>AND(ISNUMBER(L5),IF($C5="Romantasy",L$2,IF(OR($C5="Romance",$C5="Drama"),L$3,L$1))&gt;0,L5&gt;=0.7*(IF($C5="Romantasy",L$2,IF(OR($C5="Romance",$C5="Drama"),L$3,L$1))),L5&lt;(IF($C5="Romantasy",L$2,IF(OR($C5="Romance",$C5="Drama"),L$3,L$1))))</formula>
    </cfRule>
  </conditionalFormatting>
  <conditionalFormatting sqref="L5:L483">
    <cfRule type="expression" dxfId="2" priority="24" stopIfTrue="1">
      <formula>AND(ISNUMBER(L5),IF($C5="Romantasy",L$2,IF(OR($C5="Romance",$C5="Drama"),L$3,L$1))&gt;0,L5&lt;0.7*(IF($C5="Romantasy",L$2,IF(OR($C5="Romance",$C5="Drama"),L$3,L$1))))</formula>
    </cfRule>
  </conditionalFormatting>
  <conditionalFormatting sqref="M5:M483">
    <cfRule type="expression" dxfId="0" priority="25" stopIfTrue="1">
      <formula>AND(ISNUMBER(M5),IF($C5="Romantasy",M$2,IF(OR($C5="Romance",$C5="Drama"),M$3,M$1))&gt;0,M5&gt;=(IF($C5="Romantasy",M$2,IF(OR($C5="Romance",$C5="Drama"),M$3,M$1))))</formula>
    </cfRule>
  </conditionalFormatting>
  <conditionalFormatting sqref="M5:M483">
    <cfRule type="expression" dxfId="1" priority="26" stopIfTrue="1">
      <formula>AND(ISNUMBER(M5),IF($C5="Romantasy",M$2,IF(OR($C5="Romance",$C5="Drama"),M$3,M$1))&gt;0,M5&gt;=0.7*(IF($C5="Romantasy",M$2,IF(OR($C5="Romance",$C5="Drama"),M$3,M$1))),M5&lt;(IF($C5="Romantasy",M$2,IF(OR($C5="Romance",$C5="Drama"),M$3,M$1))))</formula>
    </cfRule>
  </conditionalFormatting>
  <conditionalFormatting sqref="M5:M483">
    <cfRule type="expression" dxfId="2" priority="27" stopIfTrue="1">
      <formula>AND(ISNUMBER(M5),IF($C5="Romantasy",M$2,IF(OR($C5="Romance",$C5="Drama"),M$3,M$1))&gt;0,M5&lt;0.7*(IF($C5="Romantasy",M$2,IF(OR($C5="Romance",$C5="Drama"),M$3,M$1))))</formula>
    </cfRule>
  </conditionalFormatting>
  <conditionalFormatting sqref="N5:N483">
    <cfRule type="expression" dxfId="0" priority="28" stopIfTrue="1">
      <formula>AND(ISNUMBER(N5),IF($C5="Romantasy",N$2,IF(OR($C5="Romance",$C5="Drama"),N$3,N$1))&gt;0,N5&gt;=(IF($C5="Romantasy",N$2,IF(OR($C5="Romance",$C5="Drama"),N$3,N$1))))</formula>
    </cfRule>
  </conditionalFormatting>
  <conditionalFormatting sqref="N5:N483">
    <cfRule type="expression" dxfId="1" priority="29" stopIfTrue="1">
      <formula>AND(ISNUMBER(N5),IF($C5="Romantasy",N$2,IF(OR($C5="Romance",$C5="Drama"),N$3,N$1))&gt;0,N5&gt;=0.7*(IF($C5="Romantasy",N$2,IF(OR($C5="Romance",$C5="Drama"),N$3,N$1))),N5&lt;(IF($C5="Romantasy",N$2,IF(OR($C5="Romance",$C5="Drama"),N$3,N$1))))</formula>
    </cfRule>
  </conditionalFormatting>
  <conditionalFormatting sqref="N5:N483">
    <cfRule type="expression" dxfId="2" priority="30" stopIfTrue="1">
      <formula>AND(ISNUMBER(N5),IF($C5="Romantasy",N$2,IF(OR($C5="Romance",$C5="Drama"),N$3,N$1))&gt;0,N5&lt;0.7*(IF($C5="Romantasy",N$2,IF(OR($C5="Romance",$C5="Drama"),N$3,N$1))))</formula>
    </cfRule>
  </conditionalFormatting>
  <conditionalFormatting sqref="O5:O483">
    <cfRule type="expression" dxfId="0" priority="31" stopIfTrue="1">
      <formula>AND(ISNUMBER(O5),IF($C5="Romantasy",O$2,IF(OR($C5="Romance",$C5="Drama"),O$3,O$1))&gt;0,O5&gt;=(IF($C5="Romantasy",O$2,IF(OR($C5="Romance",$C5="Drama"),O$3,O$1))))</formula>
    </cfRule>
  </conditionalFormatting>
  <conditionalFormatting sqref="O5:O483">
    <cfRule type="expression" dxfId="1" priority="32" stopIfTrue="1">
      <formula>AND(ISNUMBER(O5),IF($C5="Romantasy",O$2,IF(OR($C5="Romance",$C5="Drama"),O$3,O$1))&gt;0,O5&gt;=0.7*(IF($C5="Romantasy",O$2,IF(OR($C5="Romance",$C5="Drama"),O$3,O$1))),O5&lt;(IF($C5="Romantasy",O$2,IF(OR($C5="Romance",$C5="Drama"),O$3,O$1))))</formula>
    </cfRule>
  </conditionalFormatting>
  <conditionalFormatting sqref="O5:O483">
    <cfRule type="expression" dxfId="2" priority="33" stopIfTrue="1">
      <formula>AND(ISNUMBER(O5),IF($C5="Romantasy",O$2,IF(OR($C5="Romance",$C5="Drama"),O$3,O$1))&gt;0,O5&lt;0.7*(IF($C5="Romantasy",O$2,IF(OR($C5="Romance",$C5="Drama"),O$3,O$1))))</formula>
    </cfRule>
  </conditionalFormatting>
  <conditionalFormatting sqref="P5:P483">
    <cfRule type="expression" dxfId="0" priority="34" stopIfTrue="1">
      <formula>AND(ISNUMBER(P5),IF($C5="Romantasy",P$2,IF(OR($C5="Romance",$C5="Drama"),P$3,P$1))&gt;0,P5&gt;=(IF($C5="Romantasy",P$2,IF(OR($C5="Romance",$C5="Drama"),P$3,P$1))))</formula>
    </cfRule>
  </conditionalFormatting>
  <conditionalFormatting sqref="P5:P483">
    <cfRule type="expression" dxfId="1" priority="35" stopIfTrue="1">
      <formula>AND(ISNUMBER(P5),IF($C5="Romantasy",P$2,IF(OR($C5="Romance",$C5="Drama"),P$3,P$1))&gt;0,P5&gt;=0.7*(IF($C5="Romantasy",P$2,IF(OR($C5="Romance",$C5="Drama"),P$3,P$1))),P5&lt;(IF($C5="Romantasy",P$2,IF(OR($C5="Romance",$C5="Drama"),P$3,P$1))))</formula>
    </cfRule>
  </conditionalFormatting>
  <conditionalFormatting sqref="P5:P483">
    <cfRule type="expression" dxfId="2" priority="36" stopIfTrue="1">
      <formula>AND(ISNUMBER(P5),IF($C5="Romantasy",P$2,IF(OR($C5="Romance",$C5="Drama"),P$3,P$1))&gt;0,P5&lt;0.7*(IF($C5="Romantasy",P$2,IF(OR($C5="Romance",$C5="Drama"),P$3,P$1))))</formula>
    </cfRule>
  </conditionalFormatting>
  <conditionalFormatting sqref="Q5:Q483">
    <cfRule type="expression" dxfId="0" priority="37" stopIfTrue="1">
      <formula>AND(ISNUMBER(Q5),IF($C5="Romantasy",Q$2,IF(OR($C5="Romance",$C5="Drama"),Q$3,Q$1))&gt;0,Q5&gt;=(IF($C5="Romantasy",Q$2,IF(OR($C5="Romance",$C5="Drama"),Q$3,Q$1))))</formula>
    </cfRule>
  </conditionalFormatting>
  <conditionalFormatting sqref="Q5:Q483">
    <cfRule type="expression" dxfId="1" priority="38" stopIfTrue="1">
      <formula>AND(ISNUMBER(Q5),IF($C5="Romantasy",Q$2,IF(OR($C5="Romance",$C5="Drama"),Q$3,Q$1))&gt;0,Q5&gt;=0.7*(IF($C5="Romantasy",Q$2,IF(OR($C5="Romance",$C5="Drama"),Q$3,Q$1))),Q5&lt;(IF($C5="Romantasy",Q$2,IF(OR($C5="Romance",$C5="Drama"),Q$3,Q$1))))</formula>
    </cfRule>
  </conditionalFormatting>
  <conditionalFormatting sqref="Q5:Q483">
    <cfRule type="expression" dxfId="2" priority="39" stopIfTrue="1">
      <formula>AND(ISNUMBER(Q5),IF($C5="Romantasy",Q$2,IF(OR($C5="Romance",$C5="Drama"),Q$3,Q$1))&gt;0,Q5&lt;0.7*(IF($C5="Romantasy",Q$2,IF(OR($C5="Romance",$C5="Drama"),Q$3,Q$1))))</formula>
    </cfRule>
  </conditionalFormatting>
  <conditionalFormatting sqref="R5:R483">
    <cfRule type="expression" dxfId="0" priority="40" stopIfTrue="1">
      <formula>AND(ISNUMBER(R5),IF($C5="Romantasy",R$2,IF(OR($C5="Romance",$C5="Drama"),R$3,R$1))&gt;0,R5&gt;=(IF($C5="Romantasy",R$2,IF(OR($C5="Romance",$C5="Drama"),R$3,R$1))))</formula>
    </cfRule>
  </conditionalFormatting>
  <conditionalFormatting sqref="R5:R483">
    <cfRule type="expression" dxfId="1" priority="41" stopIfTrue="1">
      <formula>AND(ISNUMBER(R5),IF($C5="Romantasy",R$2,IF(OR($C5="Romance",$C5="Drama"),R$3,R$1))&gt;0,R5&gt;=0.7*(IF($C5="Romantasy",R$2,IF(OR($C5="Romance",$C5="Drama"),R$3,R$1))),R5&lt;(IF($C5="Romantasy",R$2,IF(OR($C5="Romance",$C5="Drama"),R$3,R$1))))</formula>
    </cfRule>
  </conditionalFormatting>
  <conditionalFormatting sqref="R5:R483">
    <cfRule type="expression" dxfId="2" priority="42" stopIfTrue="1">
      <formula>AND(ISNUMBER(R5),IF($C5="Romantasy",R$2,IF(OR($C5="Romance",$C5="Drama"),R$3,R$1))&gt;0,R5&lt;0.7*(IF($C5="Romantasy",R$2,IF(OR($C5="Romance",$C5="Drama"),R$3,R$1))))</formula>
    </cfRule>
  </conditionalFormatting>
  <conditionalFormatting sqref="S5:S483">
    <cfRule type="expression" dxfId="0" priority="43" stopIfTrue="1">
      <formula>AND(ISNUMBER(S5),IF($C5="Romantasy",S$2,IF(OR($C5="Romance",$C5="Drama"),S$3,S$1))&gt;0,S5&gt;=(IF($C5="Romantasy",S$2,IF(OR($C5="Romance",$C5="Drama"),S$3,S$1))))</formula>
    </cfRule>
  </conditionalFormatting>
  <conditionalFormatting sqref="S5:S483">
    <cfRule type="expression" dxfId="1" priority="44" stopIfTrue="1">
      <formula>AND(ISNUMBER(S5),IF($C5="Romantasy",S$2,IF(OR($C5="Romance",$C5="Drama"),S$3,S$1))&gt;0,S5&gt;=0.7*(IF($C5="Romantasy",S$2,IF(OR($C5="Romance",$C5="Drama"),S$3,S$1))),S5&lt;(IF($C5="Romantasy",S$2,IF(OR($C5="Romance",$C5="Drama"),S$3,S$1))))</formula>
    </cfRule>
  </conditionalFormatting>
  <conditionalFormatting sqref="S5:S483">
    <cfRule type="expression" dxfId="2" priority="45" stopIfTrue="1">
      <formula>AND(ISNUMBER(S5),IF($C5="Romantasy",S$2,IF(OR($C5="Romance",$C5="Drama"),S$3,S$1))&gt;0,S5&lt;0.7*(IF($C5="Romantasy",S$2,IF(OR($C5="Romance",$C5="Drama"),S$3,S$1))))</formula>
    </cfRule>
  </conditionalFormatting>
  <conditionalFormatting sqref="T5:T483">
    <cfRule type="expression" dxfId="0" priority="46" stopIfTrue="1">
      <formula>AND(ISNUMBER(T5),IF($C5="Romantasy",T$2,IF(OR($C5="Romance",$C5="Drama"),T$3,T$1))&gt;0,T5&gt;=(IF($C5="Romantasy",T$2,IF(OR($C5="Romance",$C5="Drama"),T$3,T$1))))</formula>
    </cfRule>
  </conditionalFormatting>
  <conditionalFormatting sqref="T5:T483">
    <cfRule type="expression" dxfId="1" priority="47" stopIfTrue="1">
      <formula>AND(ISNUMBER(T5),IF($C5="Romantasy",T$2,IF(OR($C5="Romance",$C5="Drama"),T$3,T$1))&gt;0,T5&gt;=0.7*(IF($C5="Romantasy",T$2,IF(OR($C5="Romance",$C5="Drama"),T$3,T$1))),T5&lt;(IF($C5="Romantasy",T$2,IF(OR($C5="Romance",$C5="Drama"),T$3,T$1))))</formula>
    </cfRule>
  </conditionalFormatting>
  <conditionalFormatting sqref="T5:T483">
    <cfRule type="expression" dxfId="2" priority="48" stopIfTrue="1">
      <formula>AND(ISNUMBER(T5),IF($C5="Romantasy",T$2,IF(OR($C5="Romance",$C5="Drama"),T$3,T$1))&gt;0,T5&lt;0.7*(IF($C5="Romantasy",T$2,IF(OR($C5="Romance",$C5="Drama"),T$3,T$1))))</formula>
    </cfRule>
  </conditionalFormatting>
  <conditionalFormatting sqref="U5:U483">
    <cfRule type="expression" dxfId="0" priority="49" stopIfTrue="1">
      <formula>AND(ISNUMBER(U5),IF($C5="Romantasy",U$2,IF(OR($C5="Romance",$C5="Drama"),U$3,U$1))&gt;0,U5&gt;=(IF($C5="Romantasy",U$2,IF(OR($C5="Romance",$C5="Drama"),U$3,U$1))))</formula>
    </cfRule>
  </conditionalFormatting>
  <conditionalFormatting sqref="U5:U483">
    <cfRule type="expression" dxfId="1" priority="50" stopIfTrue="1">
      <formula>AND(ISNUMBER(U5),IF($C5="Romantasy",U$2,IF(OR($C5="Romance",$C5="Drama"),U$3,U$1))&gt;0,U5&gt;=0.7*(IF($C5="Romantasy",U$2,IF(OR($C5="Romance",$C5="Drama"),U$3,U$1))),U5&lt;(IF($C5="Romantasy",U$2,IF(OR($C5="Romance",$C5="Drama"),U$3,U$1))))</formula>
    </cfRule>
  </conditionalFormatting>
  <conditionalFormatting sqref="U5:U483">
    <cfRule type="expression" dxfId="2" priority="51" stopIfTrue="1">
      <formula>AND(ISNUMBER(U5),IF($C5="Romantasy",U$2,IF(OR($C5="Romance",$C5="Drama"),U$3,U$1))&gt;0,U5&lt;0.7*(IF($C5="Romantasy",U$2,IF(OR($C5="Romance",$C5="Drama"),U$3,U$1))))</formula>
    </cfRule>
  </conditionalFormatting>
  <conditionalFormatting sqref="V5:V483">
    <cfRule type="expression" dxfId="0" priority="52" stopIfTrue="1">
      <formula>AND(ISNUMBER(V5),IF($C5="Romantasy",V$2,IF(OR($C5="Romance",$C5="Drama"),V$3,V$1))&gt;0,V5&gt;=(IF($C5="Romantasy",V$2,IF(OR($C5="Romance",$C5="Drama"),V$3,V$1))))</formula>
    </cfRule>
  </conditionalFormatting>
  <conditionalFormatting sqref="V5:V483">
    <cfRule type="expression" dxfId="1" priority="53" stopIfTrue="1">
      <formula>AND(ISNUMBER(V5),IF($C5="Romantasy",V$2,IF(OR($C5="Romance",$C5="Drama"),V$3,V$1))&gt;0,V5&gt;=0.7*(IF($C5="Romantasy",V$2,IF(OR($C5="Romance",$C5="Drama"),V$3,V$1))),V5&lt;(IF($C5="Romantasy",V$2,IF(OR($C5="Romance",$C5="Drama"),V$3,V$1))))</formula>
    </cfRule>
  </conditionalFormatting>
  <conditionalFormatting sqref="V5:V483">
    <cfRule type="expression" dxfId="2" priority="54" stopIfTrue="1">
      <formula>AND(ISNUMBER(V5),IF($C5="Romantasy",V$2,IF(OR($C5="Romance",$C5="Drama"),V$3,V$1))&gt;0,V5&lt;0.7*(IF($C5="Romantasy",V$2,IF(OR($C5="Romance",$C5="Drama"),V$3,V$1))))</formula>
    </cfRule>
  </conditionalFormatting>
  <conditionalFormatting sqref="W5:W483">
    <cfRule type="expression" dxfId="0" priority="55" stopIfTrue="1">
      <formula>AND(ISNUMBER(W5),IF($C5="Romantasy",W$2,IF(OR($C5="Romance",$C5="Drama"),W$3,W$1))&gt;0,W5&gt;=(IF($C5="Romantasy",W$2,IF(OR($C5="Romance",$C5="Drama"),W$3,W$1))))</formula>
    </cfRule>
  </conditionalFormatting>
  <conditionalFormatting sqref="W5:W483">
    <cfRule type="expression" dxfId="1" priority="56" stopIfTrue="1">
      <formula>AND(ISNUMBER(W5),IF($C5="Romantasy",W$2,IF(OR($C5="Romance",$C5="Drama"),W$3,W$1))&gt;0,W5&gt;=0.7*(IF($C5="Romantasy",W$2,IF(OR($C5="Romance",$C5="Drama"),W$3,W$1))),W5&lt;(IF($C5="Romantasy",W$2,IF(OR($C5="Romance",$C5="Drama"),W$3,W$1))))</formula>
    </cfRule>
  </conditionalFormatting>
  <conditionalFormatting sqref="W5:W483">
    <cfRule type="expression" dxfId="2" priority="57" stopIfTrue="1">
      <formula>AND(ISNUMBER(W5),IF($C5="Romantasy",W$2,IF(OR($C5="Romance",$C5="Drama"),W$3,W$1))&gt;0,W5&lt;0.7*(IF($C5="Romantasy",W$2,IF(OR($C5="Romance",$C5="Drama"),W$3,W$1))))</formula>
    </cfRule>
  </conditionalFormatting>
  <conditionalFormatting sqref="X5:X483">
    <cfRule type="expression" dxfId="0" priority="58" stopIfTrue="1">
      <formula>AND(ISNUMBER(X5),IF($C5="Romantasy",X$2,IF(OR($C5="Romance",$C5="Drama"),X$3,X$1))&gt;0,X5&gt;=(IF($C5="Romantasy",X$2,IF(OR($C5="Romance",$C5="Drama"),X$3,X$1))))</formula>
    </cfRule>
  </conditionalFormatting>
  <conditionalFormatting sqref="X5:X483">
    <cfRule type="expression" dxfId="1" priority="59" stopIfTrue="1">
      <formula>AND(ISNUMBER(X5),IF($C5="Romantasy",X$2,IF(OR($C5="Romance",$C5="Drama"),X$3,X$1))&gt;0,X5&gt;=0.7*(IF($C5="Romantasy",X$2,IF(OR($C5="Romance",$C5="Drama"),X$3,X$1))),X5&lt;(IF($C5="Romantasy",X$2,IF(OR($C5="Romance",$C5="Drama"),X$3,X$1))))</formula>
    </cfRule>
  </conditionalFormatting>
  <conditionalFormatting sqref="X5:X483">
    <cfRule type="expression" dxfId="2" priority="60" stopIfTrue="1">
      <formula>AND(ISNUMBER(X5),IF($C5="Romantasy",X$2,IF(OR($C5="Romance",$C5="Drama"),X$3,X$1))&gt;0,X5&lt;0.7*(IF($C5="Romantasy",X$2,IF(OR($C5="Romance",$C5="Drama"),X$3,X$1))))</formula>
    </cfRule>
  </conditionalFormatting>
  <conditionalFormatting sqref="Y5:Y483">
    <cfRule type="expression" dxfId="0" priority="61" stopIfTrue="1">
      <formula>AND(ISNUMBER(Y5),IF($C5="Romantasy",Y$2,IF(OR($C5="Romance",$C5="Drama"),Y$3,Y$1))&gt;0,Y5&gt;=(IF($C5="Romantasy",Y$2,IF(OR($C5="Romance",$C5="Drama"),Y$3,Y$1))))</formula>
    </cfRule>
  </conditionalFormatting>
  <conditionalFormatting sqref="Y5:Y483">
    <cfRule type="expression" dxfId="1" priority="62" stopIfTrue="1">
      <formula>AND(ISNUMBER(Y5),IF($C5="Romantasy",Y$2,IF(OR($C5="Romance",$C5="Drama"),Y$3,Y$1))&gt;0,Y5&gt;=0.7*(IF($C5="Romantasy",Y$2,IF(OR($C5="Romance",$C5="Drama"),Y$3,Y$1))),Y5&lt;(IF($C5="Romantasy",Y$2,IF(OR($C5="Romance",$C5="Drama"),Y$3,Y$1))))</formula>
    </cfRule>
  </conditionalFormatting>
  <conditionalFormatting sqref="Y5:Y483">
    <cfRule type="expression" dxfId="2" priority="63" stopIfTrue="1">
      <formula>AND(ISNUMBER(Y5),IF($C5="Romantasy",Y$2,IF(OR($C5="Romance",$C5="Drama"),Y$3,Y$1))&gt;0,Y5&lt;0.7*(IF($C5="Romantasy",Y$2,IF(OR($C5="Romance",$C5="Drama"),Y$3,Y$1))))</formula>
    </cfRule>
  </conditionalFormatting>
  <conditionalFormatting sqref="Z5:Z483">
    <cfRule type="expression" dxfId="0" priority="64" stopIfTrue="1">
      <formula>AND(ISNUMBER(Z5),IF($C5="Romantasy",Z$2,IF(OR($C5="Romance",$C5="Drama"),Z$3,Z$1))&gt;0,Z5&gt;=(IF($C5="Romantasy",Z$2,IF(OR($C5="Romance",$C5="Drama"),Z$3,Z$1))))</formula>
    </cfRule>
  </conditionalFormatting>
  <conditionalFormatting sqref="Z5:Z483">
    <cfRule type="expression" dxfId="1" priority="65" stopIfTrue="1">
      <formula>AND(ISNUMBER(Z5),IF($C5="Romantasy",Z$2,IF(OR($C5="Romance",$C5="Drama"),Z$3,Z$1))&gt;0,Z5&gt;=0.7*(IF($C5="Romantasy",Z$2,IF(OR($C5="Romance",$C5="Drama"),Z$3,Z$1))),Z5&lt;(IF($C5="Romantasy",Z$2,IF(OR($C5="Romance",$C5="Drama"),Z$3,Z$1))))</formula>
    </cfRule>
  </conditionalFormatting>
  <conditionalFormatting sqref="Z5:Z483">
    <cfRule type="expression" dxfId="2" priority="66" stopIfTrue="1">
      <formula>AND(ISNUMBER(Z5),IF($C5="Romantasy",Z$2,IF(OR($C5="Romance",$C5="Drama"),Z$3,Z$1))&gt;0,Z5&lt;0.7*(IF($C5="Romantasy",Z$2,IF(OR($C5="Romance",$C5="Drama"),Z$3,Z$1))))</formula>
    </cfRule>
  </conditionalFormatting>
  <conditionalFormatting sqref="AA5:AA483">
    <cfRule type="expression" dxfId="0" priority="67" stopIfTrue="1">
      <formula>AND(ISNUMBER(AA5),IF($C5="Romantasy",AA$2,IF(OR($C5="Romance",$C5="Drama"),AA$3,AA$1))&gt;0,AA5&gt;=(IF($C5="Romantasy",AA$2,IF(OR($C5="Romance",$C5="Drama"),AA$3,AA$1))))</formula>
    </cfRule>
  </conditionalFormatting>
  <conditionalFormatting sqref="AA5:AA483">
    <cfRule type="expression" dxfId="1" priority="68" stopIfTrue="1">
      <formula>AND(ISNUMBER(AA5),IF($C5="Romantasy",AA$2,IF(OR($C5="Romance",$C5="Drama"),AA$3,AA$1))&gt;0,AA5&gt;=0.7*(IF($C5="Romantasy",AA$2,IF(OR($C5="Romance",$C5="Drama"),AA$3,AA$1))),AA5&lt;(IF($C5="Romantasy",AA$2,IF(OR($C5="Romance",$C5="Drama"),AA$3,AA$1))))</formula>
    </cfRule>
  </conditionalFormatting>
  <conditionalFormatting sqref="AA5:AA483">
    <cfRule type="expression" dxfId="2" priority="69" stopIfTrue="1">
      <formula>AND(ISNUMBER(AA5),IF($C5="Romantasy",AA$2,IF(OR($C5="Romance",$C5="Drama"),AA$3,AA$1))&gt;0,AA5&lt;0.7*(IF($C5="Romantasy",AA$2,IF(OR($C5="Romance",$C5="Drama"),AA$3,AA$1))))</formula>
    </cfRule>
  </conditionalFormatting>
  <conditionalFormatting sqref="AB5:AB483">
    <cfRule type="expression" dxfId="0" priority="70" stopIfTrue="1">
      <formula>AND(ISNUMBER(AB5),IF($C5="Romantasy",AB$2,IF(OR($C5="Romance",$C5="Drama"),AB$3,AB$1))&gt;0,AB5&gt;=(IF($C5="Romantasy",AB$2,IF(OR($C5="Romance",$C5="Drama"),AB$3,AB$1))))</formula>
    </cfRule>
  </conditionalFormatting>
  <conditionalFormatting sqref="AB5:AB483">
    <cfRule type="expression" dxfId="1" priority="71" stopIfTrue="1">
      <formula>AND(ISNUMBER(AB5),IF($C5="Romantasy",AB$2,IF(OR($C5="Romance",$C5="Drama"),AB$3,AB$1))&gt;0,AB5&gt;=0.7*(IF($C5="Romantasy",AB$2,IF(OR($C5="Romance",$C5="Drama"),AB$3,AB$1))),AB5&lt;(IF($C5="Romantasy",AB$2,IF(OR($C5="Romance",$C5="Drama"),AB$3,AB$1))))</formula>
    </cfRule>
  </conditionalFormatting>
  <conditionalFormatting sqref="AB5:AB483">
    <cfRule type="expression" dxfId="2" priority="72" stopIfTrue="1">
      <formula>AND(ISNUMBER(AB5),IF($C5="Romantasy",AB$2,IF(OR($C5="Romance",$C5="Drama"),AB$3,AB$1))&gt;0,AB5&lt;0.7*(IF($C5="Romantasy",AB$2,IF(OR($C5="Romance",$C5="Drama"),AB$3,AB$1))))</formula>
    </cfRule>
  </conditionalFormatting>
  <conditionalFormatting sqref="AC5:AC483">
    <cfRule type="expression" dxfId="0" priority="73" stopIfTrue="1">
      <formula>AND(ISNUMBER(AC5),IF($C5="Romantasy",AC$2,IF(OR($C5="Romance",$C5="Drama"),AC$3,AC$1))&gt;0,AC5&gt;=(IF($C5="Romantasy",AC$2,IF(OR($C5="Romance",$C5="Drama"),AC$3,AC$1))))</formula>
    </cfRule>
  </conditionalFormatting>
  <conditionalFormatting sqref="AC5:AC483">
    <cfRule type="expression" dxfId="1" priority="74" stopIfTrue="1">
      <formula>AND(ISNUMBER(AC5),IF($C5="Romantasy",AC$2,IF(OR($C5="Romance",$C5="Drama"),AC$3,AC$1))&gt;0,AC5&gt;=0.7*(IF($C5="Romantasy",AC$2,IF(OR($C5="Romance",$C5="Drama"),AC$3,AC$1))),AC5&lt;(IF($C5="Romantasy",AC$2,IF(OR($C5="Romance",$C5="Drama"),AC$3,AC$1))))</formula>
    </cfRule>
  </conditionalFormatting>
  <conditionalFormatting sqref="AC5:AC483">
    <cfRule type="expression" dxfId="2" priority="75" stopIfTrue="1">
      <formula>AND(ISNUMBER(AC5),IF($C5="Romantasy",AC$2,IF(OR($C5="Romance",$C5="Drama"),AC$3,AC$1))&gt;0,AC5&lt;0.7*(IF($C5="Romantasy",AC$2,IF(OR($C5="Romance",$C5="Drama"),AC$3,AC$1))))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4" width="12.63"/>
  </cols>
  <sheetData>
    <row r="1" ht="15.75" customHeight="1">
      <c r="A1" s="1"/>
      <c r="B1" s="1" t="s">
        <v>0</v>
      </c>
      <c r="C1" s="1" t="s">
        <v>1</v>
      </c>
      <c r="D1" s="2">
        <v>9781.0</v>
      </c>
      <c r="E1" s="4">
        <v>0.837754788487145</v>
      </c>
      <c r="F1" s="4">
        <v>0.47700205338809</v>
      </c>
      <c r="G1" s="4">
        <v>0.422606191504679</v>
      </c>
      <c r="H1" s="4">
        <v>0.38829842121556</v>
      </c>
      <c r="I1" s="4">
        <v>0.364172007442629</v>
      </c>
      <c r="J1" s="4">
        <v>0.350569948186528</v>
      </c>
      <c r="K1" s="4">
        <v>0.336690199335548</v>
      </c>
      <c r="L1" s="4">
        <v>0.323896752706078</v>
      </c>
      <c r="M1" s="4">
        <v>0.31833837803987</v>
      </c>
      <c r="N1" s="4">
        <v>0.314213941804479</v>
      </c>
      <c r="O1" s="4">
        <v>0.296559779146315</v>
      </c>
      <c r="P1" s="4">
        <v>0.267972449418854</v>
      </c>
      <c r="Q1" s="4">
        <v>0.237639026538927</v>
      </c>
      <c r="R1" s="4">
        <v>0.219591561938958</v>
      </c>
      <c r="S1" s="4">
        <v>0.209497527883178</v>
      </c>
      <c r="T1" s="4">
        <v>0.204678362573099</v>
      </c>
      <c r="U1" s="4">
        <v>0.196460387219384</v>
      </c>
      <c r="V1" s="4">
        <v>0.188334335538184</v>
      </c>
      <c r="W1" s="4">
        <v>0.184444715348043</v>
      </c>
      <c r="X1" s="4">
        <v>0.179563862928348</v>
      </c>
      <c r="Y1" s="4">
        <v>0.174261710794297</v>
      </c>
      <c r="Z1" s="4">
        <v>0.161567504231219</v>
      </c>
      <c r="AA1" s="4">
        <v>0.150223625361746</v>
      </c>
      <c r="AB1" s="4">
        <v>0.140094711917916</v>
      </c>
      <c r="AC1" s="4">
        <v>0.130360431465403</v>
      </c>
    </row>
    <row r="2" ht="15.75" customHeight="1">
      <c r="A2" s="1"/>
      <c r="B2" s="1" t="s">
        <v>0</v>
      </c>
      <c r="C2" s="1" t="s">
        <v>2</v>
      </c>
      <c r="D2" s="2">
        <v>21820.0</v>
      </c>
      <c r="E2" s="4">
        <v>0.906940425336456</v>
      </c>
      <c r="F2" s="4">
        <v>0.644406655023439</v>
      </c>
      <c r="G2" s="4">
        <v>0.572750287686996</v>
      </c>
      <c r="H2" s="4">
        <v>0.524556144800553</v>
      </c>
      <c r="I2" s="4">
        <v>0.481054137628651</v>
      </c>
      <c r="J2" s="4">
        <v>0.444989131942838</v>
      </c>
      <c r="K2" s="4">
        <v>0.415558541444655</v>
      </c>
      <c r="L2" s="4">
        <v>0.394795435569162</v>
      </c>
      <c r="M2" s="4">
        <v>0.37749453412104</v>
      </c>
      <c r="N2" s="4">
        <v>0.363280886323433</v>
      </c>
      <c r="O2" s="4">
        <v>0.311501597444089</v>
      </c>
      <c r="P2" s="4">
        <v>0.281318057002177</v>
      </c>
      <c r="Q2" s="4">
        <v>0.251075970791624</v>
      </c>
      <c r="R2" s="4">
        <v>0.241942898002962</v>
      </c>
      <c r="S2" s="4">
        <v>0.214263469324198</v>
      </c>
      <c r="T2" s="4">
        <v>0.192449997318891</v>
      </c>
      <c r="U2" s="4">
        <v>0.165136499057578</v>
      </c>
      <c r="V2" s="4">
        <v>0.139095205941931</v>
      </c>
      <c r="W2" s="4">
        <v>0.127913652543345</v>
      </c>
      <c r="X2" s="4">
        <v>0.120292504570383</v>
      </c>
      <c r="Y2" s="4">
        <v>0.0790006752194463</v>
      </c>
      <c r="Z2" s="4">
        <v>0.0597560975609756</v>
      </c>
      <c r="AA2" s="4">
        <v>0.0</v>
      </c>
      <c r="AB2" s="4">
        <v>0.0</v>
      </c>
      <c r="AC2" s="4">
        <v>0.0</v>
      </c>
    </row>
    <row r="3" ht="15.75" customHeight="1">
      <c r="A3" s="1"/>
      <c r="B3" s="1" t="s">
        <v>0</v>
      </c>
      <c r="C3" s="1" t="s">
        <v>3</v>
      </c>
      <c r="D3" s="2">
        <v>10428.0</v>
      </c>
      <c r="E3" s="4">
        <v>0.92542470486611</v>
      </c>
      <c r="F3" s="4">
        <v>0.450609580493424</v>
      </c>
      <c r="G3" s="4">
        <v>0.397579948141745</v>
      </c>
      <c r="H3" s="4">
        <v>0.362483182779165</v>
      </c>
      <c r="I3" s="4">
        <v>0.338844564068057</v>
      </c>
      <c r="J3" s="4">
        <v>0.310328231783617</v>
      </c>
      <c r="K3" s="4">
        <v>0.291658639953766</v>
      </c>
      <c r="L3" s="4">
        <v>0.278377336673732</v>
      </c>
      <c r="M3" s="4">
        <v>0.271429948895959</v>
      </c>
      <c r="N3" s="4">
        <v>0.264609450337512</v>
      </c>
      <c r="O3" s="4">
        <v>0.237616099071207</v>
      </c>
      <c r="P3" s="4">
        <v>0.214653580798756</v>
      </c>
      <c r="Q3" s="4">
        <v>0.191144278606965</v>
      </c>
      <c r="R3" s="4">
        <v>0.182042745140156</v>
      </c>
      <c r="S3" s="4">
        <v>0.164691814327644</v>
      </c>
      <c r="T3" s="4">
        <v>0.153361614603419</v>
      </c>
      <c r="U3" s="4">
        <v>0.137668626772743</v>
      </c>
      <c r="V3" s="4">
        <v>0.143384440658716</v>
      </c>
      <c r="W3" s="4">
        <v>0.129729729729729</v>
      </c>
      <c r="X3" s="4">
        <v>0.125860373647984</v>
      </c>
      <c r="Y3" s="4">
        <v>0.0805369127516778</v>
      </c>
      <c r="Z3" s="4">
        <v>0.0696798493408663</v>
      </c>
      <c r="AA3" s="4">
        <v>0.0416666666666666</v>
      </c>
      <c r="AB3" s="4">
        <v>0.0</v>
      </c>
      <c r="AC3" s="4">
        <v>0.0</v>
      </c>
    </row>
    <row r="4" ht="15.75" customHeight="1">
      <c r="A4" s="6" t="s">
        <v>4</v>
      </c>
      <c r="B4" s="6" t="s">
        <v>5</v>
      </c>
      <c r="C4" s="6" t="s">
        <v>6</v>
      </c>
      <c r="D4" s="7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8" t="s">
        <v>13</v>
      </c>
      <c r="K4" s="8" t="s">
        <v>14</v>
      </c>
      <c r="L4" s="8" t="s">
        <v>15</v>
      </c>
      <c r="M4" s="8" t="s">
        <v>16</v>
      </c>
      <c r="N4" s="8" t="s">
        <v>17</v>
      </c>
      <c r="O4" s="8" t="s">
        <v>18</v>
      </c>
      <c r="P4" s="8" t="s">
        <v>19</v>
      </c>
      <c r="Q4" s="8" t="s">
        <v>20</v>
      </c>
      <c r="R4" s="8" t="s">
        <v>21</v>
      </c>
      <c r="S4" s="8" t="s">
        <v>22</v>
      </c>
      <c r="T4" s="8" t="s">
        <v>23</v>
      </c>
      <c r="U4" s="8" t="s">
        <v>24</v>
      </c>
      <c r="V4" s="8" t="s">
        <v>25</v>
      </c>
      <c r="W4" s="8" t="s">
        <v>26</v>
      </c>
      <c r="X4" s="8" t="s">
        <v>27</v>
      </c>
      <c r="Y4" s="8" t="s">
        <v>28</v>
      </c>
      <c r="Z4" s="8" t="s">
        <v>29</v>
      </c>
      <c r="AA4" s="8" t="s">
        <v>30</v>
      </c>
      <c r="AB4" s="8" t="s">
        <v>31</v>
      </c>
      <c r="AC4" s="8" t="s">
        <v>32</v>
      </c>
    </row>
    <row r="5" ht="15.75" customHeight="1">
      <c r="A5" s="10" t="str">
        <f>IFERROR(__xludf.DUMMYFUNCTION("{
IMPORTRANGE(""https://docs.google.com/spreadsheets/d/1OLoRCn0B2mP-LizDOaFp_LsrXGtZR4ZKvHn3aia4TMo/edit"",""Whale+ Male!B5:B""),
IMPORTRANGE(""https://docs.google.com/spreadsheets/d/1OLoRCn0B2mP-LizDOaFp_LsrXGtZR4ZKvHn3aia4TMo/edit"",""Whale+ Male!C5:C"""&amp;"),
IMPORTRANGE(""https://docs.google.com/spreadsheets/d/1OLoRCn0B2mP-LizDOaFp_LsrXGtZR4ZKvHn3aia4TMo/edit"",""Whale+ Male!E5:E""),
IMPORTRANGE(""https://docs.google.com/spreadsheets/d/1OLoRCn0B2mP-LizDOaFp_LsrXGtZR4ZKvHn3aia4TMo/edit"",""Whale+ Male!AC5:A"&amp;"C""),
IMPORTRANGE(""https://docs.google.com/spreadsheets/d/1OLoRCn0B2mP-LizDOaFp_LsrXGtZR4ZKvHn3aia4TMo/edit"",""Whale+ Male!AJ5:BH"")
}"),"003c0c0b3759df17ce3f0b5feeeed123024f274d")</f>
        <v>003c0c0b3759df17ce3f0b5feeeed123024f274d</v>
      </c>
      <c r="B5" s="6" t="str">
        <f>IFERROR(__xludf.DUMMYFUNCTION("""COMPUTED_VALUE"""),"The Invictus Mage Returns")</f>
        <v>The Invictus Mage Returns</v>
      </c>
      <c r="C5" s="6" t="str">
        <f>IFERROR(__xludf.DUMMYFUNCTION("""COMPUTED_VALUE"""),"Fantasy")</f>
        <v>Fantasy</v>
      </c>
      <c r="D5" s="11">
        <f>IFERROR(__xludf.DUMMYFUNCTION("""COMPUTED_VALUE"""),705.0)</f>
        <v>705</v>
      </c>
      <c r="E5" s="8">
        <f>IFERROR(__xludf.DUMMYFUNCTION("""COMPUTED_VALUE"""),0.978723404255319)</f>
        <v>0.9787234043</v>
      </c>
      <c r="F5" s="8">
        <f>IFERROR(__xludf.DUMMYFUNCTION("""COMPUTED_VALUE"""),0.770212765957446)</f>
        <v>0.770212766</v>
      </c>
      <c r="G5" s="8">
        <f>IFERROR(__xludf.DUMMYFUNCTION("""COMPUTED_VALUE"""),0.729078014184397)</f>
        <v>0.7290780142</v>
      </c>
      <c r="H5" s="8">
        <f>IFERROR(__xludf.DUMMYFUNCTION("""COMPUTED_VALUE"""),0.679432624113475)</f>
        <v>0.6794326241</v>
      </c>
      <c r="I5" s="8">
        <f>IFERROR(__xludf.DUMMYFUNCTION("""COMPUTED_VALUE"""),0.628368794326241)</f>
        <v>0.6283687943</v>
      </c>
      <c r="J5" s="8">
        <f>IFERROR(__xludf.DUMMYFUNCTION("""COMPUTED_VALUE"""),0.598011363636363)</f>
        <v>0.5980113636</v>
      </c>
      <c r="K5" s="8">
        <f>IFERROR(__xludf.DUMMYFUNCTION("""COMPUTED_VALUE"""),0.563920454545454)</f>
        <v>0.5639204545</v>
      </c>
      <c r="L5" s="8">
        <f>IFERROR(__xludf.DUMMYFUNCTION("""COMPUTED_VALUE"""),0.547652916073968)</f>
        <v>0.5476529161</v>
      </c>
      <c r="M5" s="8">
        <f>IFERROR(__xludf.DUMMYFUNCTION("""COMPUTED_VALUE"""),0.5320970042796)</f>
        <v>0.5320970043</v>
      </c>
      <c r="N5" s="8">
        <f>IFERROR(__xludf.DUMMYFUNCTION("""COMPUTED_VALUE"""),0.516405135520684)</f>
        <v>0.5164051355</v>
      </c>
      <c r="O5" s="8">
        <f>IFERROR(__xludf.DUMMYFUNCTION("""COMPUTED_VALUE"""),0.430215827338129)</f>
        <v>0.4302158273</v>
      </c>
      <c r="P5" s="8">
        <f>IFERROR(__xludf.DUMMYFUNCTION("""COMPUTED_VALUE"""),0.30246020260492)</f>
        <v>0.3024602026</v>
      </c>
      <c r="Q5" s="8">
        <f>IFERROR(__xludf.DUMMYFUNCTION("""COMPUTED_VALUE"""),0.129129129129129)</f>
        <v>0.1291291291</v>
      </c>
      <c r="R5" s="8">
        <f>IFERROR(__xludf.DUMMYFUNCTION("""COMPUTED_VALUE"""),0.0)</f>
        <v>0</v>
      </c>
      <c r="S5" s="8">
        <f>IFERROR(__xludf.DUMMYFUNCTION("""COMPUTED_VALUE"""),0.0)</f>
        <v>0</v>
      </c>
      <c r="T5" s="8">
        <f>IFERROR(__xludf.DUMMYFUNCTION("""COMPUTED_VALUE"""),0.0)</f>
        <v>0</v>
      </c>
      <c r="U5" s="8">
        <f>IFERROR(__xludf.DUMMYFUNCTION("""COMPUTED_VALUE"""),0.0)</f>
        <v>0</v>
      </c>
      <c r="V5" s="8">
        <f>IFERROR(__xludf.DUMMYFUNCTION("""COMPUTED_VALUE"""),0.0)</f>
        <v>0</v>
      </c>
      <c r="W5" s="8">
        <f>IFERROR(__xludf.DUMMYFUNCTION("""COMPUTED_VALUE"""),0.0)</f>
        <v>0</v>
      </c>
      <c r="X5" s="8">
        <f>IFERROR(__xludf.DUMMYFUNCTION("""COMPUTED_VALUE"""),0.0)</f>
        <v>0</v>
      </c>
      <c r="Y5" s="8">
        <f>IFERROR(__xludf.DUMMYFUNCTION("""COMPUTED_VALUE"""),0.0)</f>
        <v>0</v>
      </c>
      <c r="Z5" s="8">
        <f>IFERROR(__xludf.DUMMYFUNCTION("""COMPUTED_VALUE"""),0.0)</f>
        <v>0</v>
      </c>
      <c r="AA5" s="8">
        <f>IFERROR(__xludf.DUMMYFUNCTION("""COMPUTED_VALUE"""),0.0)</f>
        <v>0</v>
      </c>
      <c r="AB5" s="8">
        <f>IFERROR(__xludf.DUMMYFUNCTION("""COMPUTED_VALUE"""),0.0)</f>
        <v>0</v>
      </c>
      <c r="AC5" s="8">
        <f>IFERROR(__xludf.DUMMYFUNCTION("""COMPUTED_VALUE"""),0.0)</f>
        <v>0</v>
      </c>
    </row>
    <row r="6" ht="15.75" customHeight="1">
      <c r="A6" s="6" t="str">
        <f>IFERROR(__xludf.DUMMYFUNCTION("""COMPUTED_VALUE"""),"01f367b494a414fb7c994e946bddd99820cc7e28")</f>
        <v>01f367b494a414fb7c994e946bddd99820cc7e28</v>
      </c>
      <c r="B6" s="6" t="str">
        <f>IFERROR(__xludf.DUMMYFUNCTION("""COMPUTED_VALUE"""),"The Dragon Prince’s Favor")</f>
        <v>The Dragon Prince’s Favor</v>
      </c>
      <c r="C6" s="6" t="str">
        <f>IFERROR(__xludf.DUMMYFUNCTION("""COMPUTED_VALUE"""),"Romantasy")</f>
        <v>Romantasy</v>
      </c>
      <c r="D6" s="11">
        <f>IFERROR(__xludf.DUMMYFUNCTION("""COMPUTED_VALUE"""),25.0)</f>
        <v>25</v>
      </c>
      <c r="E6" s="8">
        <f>IFERROR(__xludf.DUMMYFUNCTION("""COMPUTED_VALUE"""),0.96)</f>
        <v>0.96</v>
      </c>
      <c r="F6" s="8">
        <f>IFERROR(__xludf.DUMMYFUNCTION("""COMPUTED_VALUE"""),0.44)</f>
        <v>0.44</v>
      </c>
      <c r="G6" s="8">
        <f>IFERROR(__xludf.DUMMYFUNCTION("""COMPUTED_VALUE"""),0.36)</f>
        <v>0.36</v>
      </c>
      <c r="H6" s="8">
        <f>IFERROR(__xludf.DUMMYFUNCTION("""COMPUTED_VALUE"""),0.4)</f>
        <v>0.4</v>
      </c>
      <c r="I6" s="8">
        <f>IFERROR(__xludf.DUMMYFUNCTION("""COMPUTED_VALUE"""),0.36)</f>
        <v>0.36</v>
      </c>
      <c r="J6" s="8">
        <f>IFERROR(__xludf.DUMMYFUNCTION("""COMPUTED_VALUE"""),0.363636363636363)</f>
        <v>0.3636363636</v>
      </c>
      <c r="K6" s="8">
        <f>IFERROR(__xludf.DUMMYFUNCTION("""COMPUTED_VALUE"""),0.222222222222222)</f>
        <v>0.2222222222</v>
      </c>
      <c r="L6" s="8">
        <f>IFERROR(__xludf.DUMMYFUNCTION("""COMPUTED_VALUE"""),0.2)</f>
        <v>0.2</v>
      </c>
      <c r="M6" s="8">
        <f>IFERROR(__xludf.DUMMYFUNCTION("""COMPUTED_VALUE"""),0.2)</f>
        <v>0.2</v>
      </c>
      <c r="N6" s="8">
        <f>IFERROR(__xludf.DUMMYFUNCTION("""COMPUTED_VALUE"""),0.25)</f>
        <v>0.25</v>
      </c>
      <c r="O6" s="8">
        <f>IFERROR(__xludf.DUMMYFUNCTION("""COMPUTED_VALUE"""),0.333333333333333)</f>
        <v>0.3333333333</v>
      </c>
      <c r="P6" s="8">
        <f>IFERROR(__xludf.DUMMYFUNCTION("""COMPUTED_VALUE"""),0.333333333333333)</f>
        <v>0.3333333333</v>
      </c>
      <c r="Q6" s="8">
        <f>IFERROR(__xludf.DUMMYFUNCTION("""COMPUTED_VALUE"""),0.0)</f>
        <v>0</v>
      </c>
      <c r="R6" s="8">
        <f>IFERROR(__xludf.DUMMYFUNCTION("""COMPUTED_VALUE"""),0.0)</f>
        <v>0</v>
      </c>
      <c r="S6" s="8">
        <f>IFERROR(__xludf.DUMMYFUNCTION("""COMPUTED_VALUE"""),0.0)</f>
        <v>0</v>
      </c>
      <c r="T6" s="8">
        <f>IFERROR(__xludf.DUMMYFUNCTION("""COMPUTED_VALUE"""),0.0)</f>
        <v>0</v>
      </c>
      <c r="U6" s="8">
        <f>IFERROR(__xludf.DUMMYFUNCTION("""COMPUTED_VALUE"""),0.0)</f>
        <v>0</v>
      </c>
      <c r="V6" s="8">
        <f>IFERROR(__xludf.DUMMYFUNCTION("""COMPUTED_VALUE"""),0.0)</f>
        <v>0</v>
      </c>
      <c r="W6" s="8">
        <f>IFERROR(__xludf.DUMMYFUNCTION("""COMPUTED_VALUE"""),0.0)</f>
        <v>0</v>
      </c>
      <c r="X6" s="8">
        <f>IFERROR(__xludf.DUMMYFUNCTION("""COMPUTED_VALUE"""),0.0)</f>
        <v>0</v>
      </c>
      <c r="Y6" s="8">
        <f>IFERROR(__xludf.DUMMYFUNCTION("""COMPUTED_VALUE"""),0.0)</f>
        <v>0</v>
      </c>
      <c r="Z6" s="8">
        <f>IFERROR(__xludf.DUMMYFUNCTION("""COMPUTED_VALUE"""),0.0)</f>
        <v>0</v>
      </c>
      <c r="AA6" s="8">
        <f>IFERROR(__xludf.DUMMYFUNCTION("""COMPUTED_VALUE"""),0.0)</f>
        <v>0</v>
      </c>
      <c r="AB6" s="8">
        <f>IFERROR(__xludf.DUMMYFUNCTION("""COMPUTED_VALUE"""),0.0)</f>
        <v>0</v>
      </c>
      <c r="AC6" s="8">
        <f>IFERROR(__xludf.DUMMYFUNCTION("""COMPUTED_VALUE"""),0.0)</f>
        <v>0</v>
      </c>
    </row>
    <row r="7" ht="15.75" customHeight="1">
      <c r="A7" s="6" t="str">
        <f>IFERROR(__xludf.DUMMYFUNCTION("""COMPUTED_VALUE"""),"026a120c807e0094812e891c9140a3fd3d0f1d48")</f>
        <v>026a120c807e0094812e891c9140a3fd3d0f1d48</v>
      </c>
      <c r="B7" s="6" t="str">
        <f>IFERROR(__xludf.DUMMYFUNCTION("""COMPUTED_VALUE"""),"Vintage Heart")</f>
        <v>Vintage Heart</v>
      </c>
      <c r="C7" s="6" t="str">
        <f>IFERROR(__xludf.DUMMYFUNCTION("""COMPUTED_VALUE"""),"Romance")</f>
        <v>Romance</v>
      </c>
      <c r="D7" s="11">
        <f>IFERROR(__xludf.DUMMYFUNCTION("""COMPUTED_VALUE"""),57.0)</f>
        <v>57</v>
      </c>
      <c r="E7" s="8">
        <f>IFERROR(__xludf.DUMMYFUNCTION("""COMPUTED_VALUE"""),0.964912280701754)</f>
        <v>0.9649122807</v>
      </c>
      <c r="F7" s="8">
        <f>IFERROR(__xludf.DUMMYFUNCTION("""COMPUTED_VALUE"""),0.491228070175438)</f>
        <v>0.4912280702</v>
      </c>
      <c r="G7" s="8">
        <f>IFERROR(__xludf.DUMMYFUNCTION("""COMPUTED_VALUE"""),0.456140350877192)</f>
        <v>0.4561403509</v>
      </c>
      <c r="H7" s="8">
        <f>IFERROR(__xludf.DUMMYFUNCTION("""COMPUTED_VALUE"""),0.403508771929824)</f>
        <v>0.4035087719</v>
      </c>
      <c r="I7" s="8">
        <f>IFERROR(__xludf.DUMMYFUNCTION("""COMPUTED_VALUE"""),0.403508771929824)</f>
        <v>0.4035087719</v>
      </c>
      <c r="J7" s="8">
        <f>IFERROR(__xludf.DUMMYFUNCTION("""COMPUTED_VALUE"""),0.350877192982456)</f>
        <v>0.350877193</v>
      </c>
      <c r="K7" s="8">
        <f>IFERROR(__xludf.DUMMYFUNCTION("""COMPUTED_VALUE"""),0.31578947368421)</f>
        <v>0.3157894737</v>
      </c>
      <c r="L7" s="8">
        <f>IFERROR(__xludf.DUMMYFUNCTION("""COMPUTED_VALUE"""),0.298245614035087)</f>
        <v>0.298245614</v>
      </c>
      <c r="M7" s="8">
        <f>IFERROR(__xludf.DUMMYFUNCTION("""COMPUTED_VALUE"""),0.298245614035087)</f>
        <v>0.298245614</v>
      </c>
      <c r="N7" s="8">
        <f>IFERROR(__xludf.DUMMYFUNCTION("""COMPUTED_VALUE"""),0.280701754385964)</f>
        <v>0.2807017544</v>
      </c>
      <c r="O7" s="8">
        <f>IFERROR(__xludf.DUMMYFUNCTION("""COMPUTED_VALUE"""),0.245614035087719)</f>
        <v>0.2456140351</v>
      </c>
      <c r="P7" s="8">
        <f>IFERROR(__xludf.DUMMYFUNCTION("""COMPUTED_VALUE"""),0.122807017543859)</f>
        <v>0.1228070175</v>
      </c>
      <c r="Q7" s="8">
        <f>IFERROR(__xludf.DUMMYFUNCTION("""COMPUTED_VALUE"""),0.113207547169811)</f>
        <v>0.1132075472</v>
      </c>
      <c r="R7" s="8">
        <f>IFERROR(__xludf.DUMMYFUNCTION("""COMPUTED_VALUE"""),0.0816326530612244)</f>
        <v>0.08163265306</v>
      </c>
      <c r="S7" s="8">
        <f>IFERROR(__xludf.DUMMYFUNCTION("""COMPUTED_VALUE"""),0.0444444444444444)</f>
        <v>0.04444444444</v>
      </c>
      <c r="T7" s="8">
        <f>IFERROR(__xludf.DUMMYFUNCTION("""COMPUTED_VALUE"""),0.0)</f>
        <v>0</v>
      </c>
      <c r="U7" s="8">
        <f>IFERROR(__xludf.DUMMYFUNCTION("""COMPUTED_VALUE"""),0.0)</f>
        <v>0</v>
      </c>
      <c r="V7" s="8">
        <f>IFERROR(__xludf.DUMMYFUNCTION("""COMPUTED_VALUE"""),0.0)</f>
        <v>0</v>
      </c>
      <c r="W7" s="8">
        <f>IFERROR(__xludf.DUMMYFUNCTION("""COMPUTED_VALUE"""),0.0)</f>
        <v>0</v>
      </c>
      <c r="X7" s="8">
        <f>IFERROR(__xludf.DUMMYFUNCTION("""COMPUTED_VALUE"""),0.0)</f>
        <v>0</v>
      </c>
      <c r="Y7" s="8">
        <f>IFERROR(__xludf.DUMMYFUNCTION("""COMPUTED_VALUE"""),0.0)</f>
        <v>0</v>
      </c>
      <c r="Z7" s="8">
        <f>IFERROR(__xludf.DUMMYFUNCTION("""COMPUTED_VALUE"""),0.0)</f>
        <v>0</v>
      </c>
      <c r="AA7" s="8">
        <f>IFERROR(__xludf.DUMMYFUNCTION("""COMPUTED_VALUE"""),0.0)</f>
        <v>0</v>
      </c>
      <c r="AB7" s="8">
        <f>IFERROR(__xludf.DUMMYFUNCTION("""COMPUTED_VALUE"""),0.0)</f>
        <v>0</v>
      </c>
      <c r="AC7" s="8">
        <f>IFERROR(__xludf.DUMMYFUNCTION("""COMPUTED_VALUE"""),0.0)</f>
        <v>0</v>
      </c>
    </row>
    <row r="8" ht="15.75" customHeight="1">
      <c r="A8" s="6" t="str">
        <f>IFERROR(__xludf.DUMMYFUNCTION("""COMPUTED_VALUE"""),"03488a9bdecaf176a7a11138160e470f361ce803")</f>
        <v>03488a9bdecaf176a7a11138160e470f361ce803</v>
      </c>
      <c r="B8" s="6" t="str">
        <f>IFERROR(__xludf.DUMMYFUNCTION("""COMPUTED_VALUE"""),"Reborn to Be His Wife")</f>
        <v>Reborn to Be His Wife</v>
      </c>
      <c r="C8" s="6" t="str">
        <f>IFERROR(__xludf.DUMMYFUNCTION("""COMPUTED_VALUE"""),"Romantasy")</f>
        <v>Romantasy</v>
      </c>
      <c r="D8" s="11">
        <f>IFERROR(__xludf.DUMMYFUNCTION("""COMPUTED_VALUE"""),267.0)</f>
        <v>267</v>
      </c>
      <c r="E8" s="8">
        <f>IFERROR(__xludf.DUMMYFUNCTION("""COMPUTED_VALUE"""),0.98876404494382)</f>
        <v>0.9887640449</v>
      </c>
      <c r="F8" s="8">
        <f>IFERROR(__xludf.DUMMYFUNCTION("""COMPUTED_VALUE"""),0.539325842696629)</f>
        <v>0.5393258427</v>
      </c>
      <c r="G8" s="8">
        <f>IFERROR(__xludf.DUMMYFUNCTION("""COMPUTED_VALUE"""),0.48689138576779)</f>
        <v>0.4868913858</v>
      </c>
      <c r="H8" s="8">
        <f>IFERROR(__xludf.DUMMYFUNCTION("""COMPUTED_VALUE"""),0.408239700374531)</f>
        <v>0.4082397004</v>
      </c>
      <c r="I8" s="8">
        <f>IFERROR(__xludf.DUMMYFUNCTION("""COMPUTED_VALUE"""),0.367041198501872)</f>
        <v>0.3670411985</v>
      </c>
      <c r="J8" s="8">
        <f>IFERROR(__xludf.DUMMYFUNCTION("""COMPUTED_VALUE"""),0.340823970037453)</f>
        <v>0.34082397</v>
      </c>
      <c r="K8" s="8">
        <f>IFERROR(__xludf.DUMMYFUNCTION("""COMPUTED_VALUE"""),0.299625468164794)</f>
        <v>0.2996254682</v>
      </c>
      <c r="L8" s="8">
        <f>IFERROR(__xludf.DUMMYFUNCTION("""COMPUTED_VALUE"""),0.258426966292134)</f>
        <v>0.2584269663</v>
      </c>
      <c r="M8" s="8">
        <f>IFERROR(__xludf.DUMMYFUNCTION("""COMPUTED_VALUE"""),0.239700374531835)</f>
        <v>0.2397003745</v>
      </c>
      <c r="N8" s="8">
        <f>IFERROR(__xludf.DUMMYFUNCTION("""COMPUTED_VALUE"""),0.217228464419475)</f>
        <v>0.2172284644</v>
      </c>
      <c r="O8" s="8">
        <f>IFERROR(__xludf.DUMMYFUNCTION("""COMPUTED_VALUE"""),0.18796992481203)</f>
        <v>0.1879699248</v>
      </c>
      <c r="P8" s="8">
        <f>IFERROR(__xludf.DUMMYFUNCTION("""COMPUTED_VALUE"""),0.147169811320754)</f>
        <v>0.1471698113</v>
      </c>
      <c r="Q8" s="8">
        <f>IFERROR(__xludf.DUMMYFUNCTION("""COMPUTED_VALUE"""),0.0710059171597633)</f>
        <v>0.07100591716</v>
      </c>
      <c r="R8" s="8">
        <f>IFERROR(__xludf.DUMMYFUNCTION("""COMPUTED_VALUE"""),0.0654761904761904)</f>
        <v>0.06547619048</v>
      </c>
      <c r="S8" s="8">
        <f>IFERROR(__xludf.DUMMYFUNCTION("""COMPUTED_VALUE"""),0.0387096774193548)</f>
        <v>0.03870967742</v>
      </c>
      <c r="T8" s="8">
        <f>IFERROR(__xludf.DUMMYFUNCTION("""COMPUTED_VALUE"""),0.027027027027027)</f>
        <v>0.02702702703</v>
      </c>
      <c r="U8" s="8">
        <f>IFERROR(__xludf.DUMMYFUNCTION("""COMPUTED_VALUE"""),0.0)</f>
        <v>0</v>
      </c>
      <c r="V8" s="8">
        <f>IFERROR(__xludf.DUMMYFUNCTION("""COMPUTED_VALUE"""),0.0)</f>
        <v>0</v>
      </c>
      <c r="W8" s="8">
        <f>IFERROR(__xludf.DUMMYFUNCTION("""COMPUTED_VALUE"""),0.0)</f>
        <v>0</v>
      </c>
      <c r="X8" s="8">
        <f>IFERROR(__xludf.DUMMYFUNCTION("""COMPUTED_VALUE"""),0.0)</f>
        <v>0</v>
      </c>
      <c r="Y8" s="8">
        <f>IFERROR(__xludf.DUMMYFUNCTION("""COMPUTED_VALUE"""),0.0)</f>
        <v>0</v>
      </c>
      <c r="Z8" s="8">
        <f>IFERROR(__xludf.DUMMYFUNCTION("""COMPUTED_VALUE"""),0.0)</f>
        <v>0</v>
      </c>
      <c r="AA8" s="8">
        <f>IFERROR(__xludf.DUMMYFUNCTION("""COMPUTED_VALUE"""),0.0)</f>
        <v>0</v>
      </c>
      <c r="AB8" s="8">
        <f>IFERROR(__xludf.DUMMYFUNCTION("""COMPUTED_VALUE"""),0.0)</f>
        <v>0</v>
      </c>
      <c r="AC8" s="8">
        <f>IFERROR(__xludf.DUMMYFUNCTION("""COMPUTED_VALUE"""),0.0)</f>
        <v>0</v>
      </c>
    </row>
    <row r="9" ht="15.75" customHeight="1">
      <c r="A9" s="6" t="str">
        <f>IFERROR(__xludf.DUMMYFUNCTION("""COMPUTED_VALUE"""),"0433315d89000a02178e5d4fb75f31de3d906cff")</f>
        <v>0433315d89000a02178e5d4fb75f31de3d906cff</v>
      </c>
      <c r="B9" s="6" t="str">
        <f>IFERROR(__xludf.DUMMYFUNCTION("""COMPUTED_VALUE"""),"Billionaire Secret Babies")</f>
        <v>Billionaire Secret Babies</v>
      </c>
      <c r="C9" s="6" t="str">
        <f>IFERROR(__xludf.DUMMYFUNCTION("""COMPUTED_VALUE"""),"Romance")</f>
        <v>Romance</v>
      </c>
      <c r="D9" s="11">
        <f>IFERROR(__xludf.DUMMYFUNCTION("""COMPUTED_VALUE"""),26.0)</f>
        <v>26</v>
      </c>
      <c r="E9" s="8">
        <f>IFERROR(__xludf.DUMMYFUNCTION("""COMPUTED_VALUE"""),0.923076923076923)</f>
        <v>0.9230769231</v>
      </c>
      <c r="F9" s="8">
        <f>IFERROR(__xludf.DUMMYFUNCTION("""COMPUTED_VALUE"""),0.5)</f>
        <v>0.5</v>
      </c>
      <c r="G9" s="8">
        <f>IFERROR(__xludf.DUMMYFUNCTION("""COMPUTED_VALUE"""),0.5)</f>
        <v>0.5</v>
      </c>
      <c r="H9" s="8">
        <f>IFERROR(__xludf.DUMMYFUNCTION("""COMPUTED_VALUE"""),0.423076923076923)</f>
        <v>0.4230769231</v>
      </c>
      <c r="I9" s="8">
        <f>IFERROR(__xludf.DUMMYFUNCTION("""COMPUTED_VALUE"""),0.423076923076923)</f>
        <v>0.4230769231</v>
      </c>
      <c r="J9" s="8">
        <f>IFERROR(__xludf.DUMMYFUNCTION("""COMPUTED_VALUE"""),0.423076923076923)</f>
        <v>0.4230769231</v>
      </c>
      <c r="K9" s="8">
        <f>IFERROR(__xludf.DUMMYFUNCTION("""COMPUTED_VALUE"""),0.384615384615384)</f>
        <v>0.3846153846</v>
      </c>
      <c r="L9" s="8">
        <f>IFERROR(__xludf.DUMMYFUNCTION("""COMPUTED_VALUE"""),0.346153846153846)</f>
        <v>0.3461538462</v>
      </c>
      <c r="M9" s="8">
        <f>IFERROR(__xludf.DUMMYFUNCTION("""COMPUTED_VALUE"""),0.346153846153846)</f>
        <v>0.3461538462</v>
      </c>
      <c r="N9" s="8">
        <f>IFERROR(__xludf.DUMMYFUNCTION("""COMPUTED_VALUE"""),0.346153846153846)</f>
        <v>0.3461538462</v>
      </c>
      <c r="O9" s="8">
        <f>IFERROR(__xludf.DUMMYFUNCTION("""COMPUTED_VALUE"""),0.307692307692307)</f>
        <v>0.3076923077</v>
      </c>
      <c r="P9" s="8">
        <f>IFERROR(__xludf.DUMMYFUNCTION("""COMPUTED_VALUE"""),0.269230769230769)</f>
        <v>0.2692307692</v>
      </c>
      <c r="Q9" s="8">
        <f>IFERROR(__xludf.DUMMYFUNCTION("""COMPUTED_VALUE"""),0.16)</f>
        <v>0.16</v>
      </c>
      <c r="R9" s="8">
        <f>IFERROR(__xludf.DUMMYFUNCTION("""COMPUTED_VALUE"""),0.0)</f>
        <v>0</v>
      </c>
      <c r="S9" s="8">
        <f>IFERROR(__xludf.DUMMYFUNCTION("""COMPUTED_VALUE"""),0.0)</f>
        <v>0</v>
      </c>
      <c r="T9" s="8">
        <f>IFERROR(__xludf.DUMMYFUNCTION("""COMPUTED_VALUE"""),0.0)</f>
        <v>0</v>
      </c>
      <c r="U9" s="8">
        <f>IFERROR(__xludf.DUMMYFUNCTION("""COMPUTED_VALUE"""),0.0)</f>
        <v>0</v>
      </c>
      <c r="V9" s="8">
        <f>IFERROR(__xludf.DUMMYFUNCTION("""COMPUTED_VALUE"""),0.0)</f>
        <v>0</v>
      </c>
      <c r="W9" s="8">
        <f>IFERROR(__xludf.DUMMYFUNCTION("""COMPUTED_VALUE"""),0.0)</f>
        <v>0</v>
      </c>
      <c r="X9" s="8">
        <f>IFERROR(__xludf.DUMMYFUNCTION("""COMPUTED_VALUE"""),0.0)</f>
        <v>0</v>
      </c>
      <c r="Y9" s="8">
        <f>IFERROR(__xludf.DUMMYFUNCTION("""COMPUTED_VALUE"""),0.0)</f>
        <v>0</v>
      </c>
      <c r="Z9" s="8">
        <f>IFERROR(__xludf.DUMMYFUNCTION("""COMPUTED_VALUE"""),0.0)</f>
        <v>0</v>
      </c>
      <c r="AA9" s="8">
        <f>IFERROR(__xludf.DUMMYFUNCTION("""COMPUTED_VALUE"""),0.0)</f>
        <v>0</v>
      </c>
      <c r="AB9" s="8">
        <f>IFERROR(__xludf.DUMMYFUNCTION("""COMPUTED_VALUE"""),0.0)</f>
        <v>0</v>
      </c>
      <c r="AC9" s="8">
        <f>IFERROR(__xludf.DUMMYFUNCTION("""COMPUTED_VALUE"""),0.0)</f>
        <v>0</v>
      </c>
    </row>
    <row r="10" ht="15.75" customHeight="1">
      <c r="A10" s="6" t="str">
        <f>IFERROR(__xludf.DUMMYFUNCTION("""COMPUTED_VALUE"""),"048b7efb083246fe7c75b60c3bccf0e015f15e03")</f>
        <v>048b7efb083246fe7c75b60c3bccf0e015f15e03</v>
      </c>
      <c r="B10" s="6" t="str">
        <f>IFERROR(__xludf.DUMMYFUNCTION("""COMPUTED_VALUE"""),"Veterinarian Beast Master")</f>
        <v>Veterinarian Beast Master</v>
      </c>
      <c r="C10" s="6" t="str">
        <f>IFERROR(__xludf.DUMMYFUNCTION("""COMPUTED_VALUE"""),"Fantasy")</f>
        <v>Fantasy</v>
      </c>
      <c r="D10" s="11">
        <f>IFERROR(__xludf.DUMMYFUNCTION("""COMPUTED_VALUE"""),106.0)</f>
        <v>106</v>
      </c>
      <c r="E10" s="8">
        <f>IFERROR(__xludf.DUMMYFUNCTION("""COMPUTED_VALUE"""),0.990566037735849)</f>
        <v>0.9905660377</v>
      </c>
      <c r="F10" s="8">
        <f>IFERROR(__xludf.DUMMYFUNCTION("""COMPUTED_VALUE"""),0.679245283018867)</f>
        <v>0.679245283</v>
      </c>
      <c r="G10" s="8">
        <f>IFERROR(__xludf.DUMMYFUNCTION("""COMPUTED_VALUE"""),0.641509433962264)</f>
        <v>0.641509434</v>
      </c>
      <c r="H10" s="8">
        <f>IFERROR(__xludf.DUMMYFUNCTION("""COMPUTED_VALUE"""),0.584905660377358)</f>
        <v>0.5849056604</v>
      </c>
      <c r="I10" s="8">
        <f>IFERROR(__xludf.DUMMYFUNCTION("""COMPUTED_VALUE"""),0.547169811320754)</f>
        <v>0.5471698113</v>
      </c>
      <c r="J10" s="8">
        <f>IFERROR(__xludf.DUMMYFUNCTION("""COMPUTED_VALUE"""),0.5)</f>
        <v>0.5</v>
      </c>
      <c r="K10" s="8">
        <f>IFERROR(__xludf.DUMMYFUNCTION("""COMPUTED_VALUE"""),0.461538461538461)</f>
        <v>0.4615384615</v>
      </c>
      <c r="L10" s="8">
        <f>IFERROR(__xludf.DUMMYFUNCTION("""COMPUTED_VALUE"""),0.398058252427184)</f>
        <v>0.3980582524</v>
      </c>
      <c r="M10" s="8">
        <f>IFERROR(__xludf.DUMMYFUNCTION("""COMPUTED_VALUE"""),0.38235294117647)</f>
        <v>0.3823529412</v>
      </c>
      <c r="N10" s="8">
        <f>IFERROR(__xludf.DUMMYFUNCTION("""COMPUTED_VALUE"""),0.376237623762376)</f>
        <v>0.3762376238</v>
      </c>
      <c r="O10" s="8">
        <f>IFERROR(__xludf.DUMMYFUNCTION("""COMPUTED_VALUE"""),0.24)</f>
        <v>0.24</v>
      </c>
      <c r="P10" s="8">
        <f>IFERROR(__xludf.DUMMYFUNCTION("""COMPUTED_VALUE"""),0.227272727272727)</f>
        <v>0.2272727273</v>
      </c>
      <c r="Q10" s="8">
        <f>IFERROR(__xludf.DUMMYFUNCTION("""COMPUTED_VALUE"""),0.0625)</f>
        <v>0.0625</v>
      </c>
      <c r="R10" s="8">
        <f>IFERROR(__xludf.DUMMYFUNCTION("""COMPUTED_VALUE"""),0.0)</f>
        <v>0</v>
      </c>
      <c r="S10" s="8">
        <f>IFERROR(__xludf.DUMMYFUNCTION("""COMPUTED_VALUE"""),0.0)</f>
        <v>0</v>
      </c>
      <c r="T10" s="8">
        <f>IFERROR(__xludf.DUMMYFUNCTION("""COMPUTED_VALUE"""),0.0)</f>
        <v>0</v>
      </c>
      <c r="U10" s="8">
        <f>IFERROR(__xludf.DUMMYFUNCTION("""COMPUTED_VALUE"""),0.0)</f>
        <v>0</v>
      </c>
      <c r="V10" s="8">
        <f>IFERROR(__xludf.DUMMYFUNCTION("""COMPUTED_VALUE"""),0.0)</f>
        <v>0</v>
      </c>
      <c r="W10" s="8">
        <f>IFERROR(__xludf.DUMMYFUNCTION("""COMPUTED_VALUE"""),0.0)</f>
        <v>0</v>
      </c>
      <c r="X10" s="8">
        <f>IFERROR(__xludf.DUMMYFUNCTION("""COMPUTED_VALUE"""),0.0)</f>
        <v>0</v>
      </c>
      <c r="Y10" s="8">
        <f>IFERROR(__xludf.DUMMYFUNCTION("""COMPUTED_VALUE"""),0.0)</f>
        <v>0</v>
      </c>
      <c r="Z10" s="8">
        <f>IFERROR(__xludf.DUMMYFUNCTION("""COMPUTED_VALUE"""),0.0)</f>
        <v>0</v>
      </c>
      <c r="AA10" s="8">
        <f>IFERROR(__xludf.DUMMYFUNCTION("""COMPUTED_VALUE"""),0.0)</f>
        <v>0</v>
      </c>
      <c r="AB10" s="8">
        <f>IFERROR(__xludf.DUMMYFUNCTION("""COMPUTED_VALUE"""),0.0)</f>
        <v>0</v>
      </c>
      <c r="AC10" s="8">
        <f>IFERROR(__xludf.DUMMYFUNCTION("""COMPUTED_VALUE"""),0.0)</f>
        <v>0</v>
      </c>
    </row>
    <row r="11" ht="15.75" customHeight="1">
      <c r="A11" s="6" t="str">
        <f>IFERROR(__xludf.DUMMYFUNCTION("""COMPUTED_VALUE"""),"05081ee1026b5a4754958dd34670379788a6d672")</f>
        <v>05081ee1026b5a4754958dd34670379788a6d672</v>
      </c>
      <c r="B11" s="6" t="str">
        <f>IFERROR(__xludf.DUMMYFUNCTION("""COMPUTED_VALUE"""),"Billionaire Prison Bride")</f>
        <v>Billionaire Prison Bride</v>
      </c>
      <c r="C11" s="6" t="str">
        <f>IFERROR(__xludf.DUMMYFUNCTION("""COMPUTED_VALUE"""),"Romance")</f>
        <v>Romance</v>
      </c>
      <c r="D11" s="11">
        <f>IFERROR(__xludf.DUMMYFUNCTION("""COMPUTED_VALUE"""),71.0)</f>
        <v>71</v>
      </c>
      <c r="E11" s="8">
        <f>IFERROR(__xludf.DUMMYFUNCTION("""COMPUTED_VALUE"""),0.971830985915493)</f>
        <v>0.9718309859</v>
      </c>
      <c r="F11" s="8">
        <f>IFERROR(__xludf.DUMMYFUNCTION("""COMPUTED_VALUE"""),0.76056338028169)</f>
        <v>0.7605633803</v>
      </c>
      <c r="G11" s="8">
        <f>IFERROR(__xludf.DUMMYFUNCTION("""COMPUTED_VALUE"""),0.732394366197183)</f>
        <v>0.7323943662</v>
      </c>
      <c r="H11" s="8">
        <f>IFERROR(__xludf.DUMMYFUNCTION("""COMPUTED_VALUE"""),0.681818181818181)</f>
        <v>0.6818181818</v>
      </c>
      <c r="I11" s="8">
        <f>IFERROR(__xludf.DUMMYFUNCTION("""COMPUTED_VALUE"""),0.681818181818181)</f>
        <v>0.6818181818</v>
      </c>
      <c r="J11" s="8">
        <f>IFERROR(__xludf.DUMMYFUNCTION("""COMPUTED_VALUE"""),0.65079365079365)</f>
        <v>0.6507936508</v>
      </c>
      <c r="K11" s="8">
        <f>IFERROR(__xludf.DUMMYFUNCTION("""COMPUTED_VALUE"""),0.612903225806451)</f>
        <v>0.6129032258</v>
      </c>
      <c r="L11" s="8">
        <f>IFERROR(__xludf.DUMMYFUNCTION("""COMPUTED_VALUE"""),0.610169491525423)</f>
        <v>0.6101694915</v>
      </c>
      <c r="M11" s="8">
        <f>IFERROR(__xludf.DUMMYFUNCTION("""COMPUTED_VALUE"""),0.561403508771929)</f>
        <v>0.5614035088</v>
      </c>
      <c r="N11" s="8">
        <f>IFERROR(__xludf.DUMMYFUNCTION("""COMPUTED_VALUE"""),0.473684210526315)</f>
        <v>0.4736842105</v>
      </c>
      <c r="O11" s="8">
        <f>IFERROR(__xludf.DUMMYFUNCTION("""COMPUTED_VALUE"""),0.5)</f>
        <v>0.5</v>
      </c>
      <c r="P11" s="8">
        <f>IFERROR(__xludf.DUMMYFUNCTION("""COMPUTED_VALUE"""),0.0)</f>
        <v>0</v>
      </c>
      <c r="Q11" s="8">
        <f>IFERROR(__xludf.DUMMYFUNCTION("""COMPUTED_VALUE"""),0.0)</f>
        <v>0</v>
      </c>
      <c r="R11" s="8">
        <f>IFERROR(__xludf.DUMMYFUNCTION("""COMPUTED_VALUE"""),0.0)</f>
        <v>0</v>
      </c>
      <c r="S11" s="8">
        <f>IFERROR(__xludf.DUMMYFUNCTION("""COMPUTED_VALUE"""),0.0)</f>
        <v>0</v>
      </c>
      <c r="T11" s="8">
        <f>IFERROR(__xludf.DUMMYFUNCTION("""COMPUTED_VALUE"""),0.0)</f>
        <v>0</v>
      </c>
      <c r="U11" s="8">
        <f>IFERROR(__xludf.DUMMYFUNCTION("""COMPUTED_VALUE"""),0.0)</f>
        <v>0</v>
      </c>
      <c r="V11" s="8">
        <f>IFERROR(__xludf.DUMMYFUNCTION("""COMPUTED_VALUE"""),0.0)</f>
        <v>0</v>
      </c>
      <c r="W11" s="8">
        <f>IFERROR(__xludf.DUMMYFUNCTION("""COMPUTED_VALUE"""),0.0)</f>
        <v>0</v>
      </c>
      <c r="X11" s="8">
        <f>IFERROR(__xludf.DUMMYFUNCTION("""COMPUTED_VALUE"""),0.0)</f>
        <v>0</v>
      </c>
      <c r="Y11" s="8">
        <f>IFERROR(__xludf.DUMMYFUNCTION("""COMPUTED_VALUE"""),0.0)</f>
        <v>0</v>
      </c>
      <c r="Z11" s="8">
        <f>IFERROR(__xludf.DUMMYFUNCTION("""COMPUTED_VALUE"""),0.0)</f>
        <v>0</v>
      </c>
      <c r="AA11" s="8">
        <f>IFERROR(__xludf.DUMMYFUNCTION("""COMPUTED_VALUE"""),0.0)</f>
        <v>0</v>
      </c>
      <c r="AB11" s="8">
        <f>IFERROR(__xludf.DUMMYFUNCTION("""COMPUTED_VALUE"""),0.0)</f>
        <v>0</v>
      </c>
      <c r="AC11" s="8">
        <f>IFERROR(__xludf.DUMMYFUNCTION("""COMPUTED_VALUE"""),0.0)</f>
        <v>0</v>
      </c>
    </row>
    <row r="12" ht="15.75" customHeight="1">
      <c r="A12" s="6" t="str">
        <f>IFERROR(__xludf.DUMMYFUNCTION("""COMPUTED_VALUE"""),"05808ad9143ee75794133fd50497137fea47e57b")</f>
        <v>05808ad9143ee75794133fd50497137fea47e57b</v>
      </c>
      <c r="B12" s="6" t="str">
        <f>IFERROR(__xludf.DUMMYFUNCTION("""COMPUTED_VALUE"""),"Infinity Stars")</f>
        <v>Infinity Stars</v>
      </c>
      <c r="C12" s="6" t="str">
        <f>IFERROR(__xludf.DUMMYFUNCTION("""COMPUTED_VALUE"""),"Fantasy")</f>
        <v>Fantasy</v>
      </c>
      <c r="D12" s="11">
        <f>IFERROR(__xludf.DUMMYFUNCTION("""COMPUTED_VALUE"""),1217.0)</f>
        <v>1217</v>
      </c>
      <c r="E12" s="8">
        <f>IFERROR(__xludf.DUMMYFUNCTION("""COMPUTED_VALUE"""),0.95480690221857)</f>
        <v>0.9548069022</v>
      </c>
      <c r="F12" s="8">
        <f>IFERROR(__xludf.DUMMYFUNCTION("""COMPUTED_VALUE"""),0.697617091207888)</f>
        <v>0.6976170912</v>
      </c>
      <c r="G12" s="8">
        <f>IFERROR(__xludf.DUMMYFUNCTION("""COMPUTED_VALUE"""),0.654067378800328)</f>
        <v>0.6540673788</v>
      </c>
      <c r="H12" s="8">
        <f>IFERROR(__xludf.DUMMYFUNCTION("""COMPUTED_VALUE"""),0.633275261324041)</f>
        <v>0.6332752613</v>
      </c>
      <c r="I12" s="8">
        <f>IFERROR(__xludf.DUMMYFUNCTION("""COMPUTED_VALUE"""),0.618834080717488)</f>
        <v>0.6188340807</v>
      </c>
      <c r="J12" s="8">
        <f>IFERROR(__xludf.DUMMYFUNCTION("""COMPUTED_VALUE"""),0.609315589353612)</f>
        <v>0.6093155894</v>
      </c>
      <c r="K12" s="8">
        <f>IFERROR(__xludf.DUMMYFUNCTION("""COMPUTED_VALUE"""),0.588812561334641)</f>
        <v>0.5888125613</v>
      </c>
      <c r="L12" s="8">
        <f>IFERROR(__xludf.DUMMYFUNCTION("""COMPUTED_VALUE"""),0.584042553191489)</f>
        <v>0.5840425532</v>
      </c>
      <c r="M12" s="8">
        <f>IFERROR(__xludf.DUMMYFUNCTION("""COMPUTED_VALUE"""),0.575250836120401)</f>
        <v>0.5752508361</v>
      </c>
      <c r="N12" s="8">
        <f>IFERROR(__xludf.DUMMYFUNCTION("""COMPUTED_VALUE"""),0.567146282973621)</f>
        <v>0.567146283</v>
      </c>
      <c r="O12" s="8">
        <f>IFERROR(__xludf.DUMMYFUNCTION("""COMPUTED_VALUE"""),0.54614412136536)</f>
        <v>0.5461441214</v>
      </c>
      <c r="P12" s="8">
        <f>IFERROR(__xludf.DUMMYFUNCTION("""COMPUTED_VALUE"""),0.469361147327249)</f>
        <v>0.4693611473</v>
      </c>
      <c r="Q12" s="8">
        <f>IFERROR(__xludf.DUMMYFUNCTION("""COMPUTED_VALUE"""),0.380359612724757)</f>
        <v>0.3803596127</v>
      </c>
      <c r="R12" s="8">
        <f>IFERROR(__xludf.DUMMYFUNCTION("""COMPUTED_VALUE"""),0.255605381165919)</f>
        <v>0.2556053812</v>
      </c>
      <c r="S12" s="8">
        <f>IFERROR(__xludf.DUMMYFUNCTION("""COMPUTED_VALUE"""),0.159375)</f>
        <v>0.159375</v>
      </c>
      <c r="T12" s="8">
        <f>IFERROR(__xludf.DUMMYFUNCTION("""COMPUTED_VALUE"""),0.17391304347826)</f>
        <v>0.1739130435</v>
      </c>
      <c r="U12" s="8">
        <f>IFERROR(__xludf.DUMMYFUNCTION("""COMPUTED_VALUE"""),0.0)</f>
        <v>0</v>
      </c>
      <c r="V12" s="8">
        <f>IFERROR(__xludf.DUMMYFUNCTION("""COMPUTED_VALUE"""),0.0)</f>
        <v>0</v>
      </c>
      <c r="W12" s="8">
        <f>IFERROR(__xludf.DUMMYFUNCTION("""COMPUTED_VALUE"""),0.0)</f>
        <v>0</v>
      </c>
      <c r="X12" s="8">
        <f>IFERROR(__xludf.DUMMYFUNCTION("""COMPUTED_VALUE"""),0.0)</f>
        <v>0</v>
      </c>
      <c r="Y12" s="8">
        <f>IFERROR(__xludf.DUMMYFUNCTION("""COMPUTED_VALUE"""),0.0)</f>
        <v>0</v>
      </c>
      <c r="Z12" s="8">
        <f>IFERROR(__xludf.DUMMYFUNCTION("""COMPUTED_VALUE"""),0.0)</f>
        <v>0</v>
      </c>
      <c r="AA12" s="8">
        <f>IFERROR(__xludf.DUMMYFUNCTION("""COMPUTED_VALUE"""),0.0)</f>
        <v>0</v>
      </c>
      <c r="AB12" s="8">
        <f>IFERROR(__xludf.DUMMYFUNCTION("""COMPUTED_VALUE"""),0.0)</f>
        <v>0</v>
      </c>
      <c r="AC12" s="8">
        <f>IFERROR(__xludf.DUMMYFUNCTION("""COMPUTED_VALUE"""),0.0)</f>
        <v>0</v>
      </c>
    </row>
    <row r="13" ht="15.75" customHeight="1">
      <c r="A13" s="6" t="str">
        <f>IFERROR(__xludf.DUMMYFUNCTION("""COMPUTED_VALUE"""),"06f83c7bf7296efe61da1c2da6e5c12e8e7d4aa8")</f>
        <v>06f83c7bf7296efe61da1c2da6e5c12e8e7d4aa8</v>
      </c>
      <c r="B13" s="6" t="str">
        <f>IFERROR(__xludf.DUMMYFUNCTION("""COMPUTED_VALUE"""),"Sigil of the Seven")</f>
        <v>Sigil of the Seven</v>
      </c>
      <c r="C13" s="6" t="str">
        <f>IFERROR(__xludf.DUMMYFUNCTION("""COMPUTED_VALUE"""),"Fantasy")</f>
        <v>Fantasy</v>
      </c>
      <c r="D13" s="11">
        <f>IFERROR(__xludf.DUMMYFUNCTION("""COMPUTED_VALUE"""),4657.0)</f>
        <v>4657</v>
      </c>
      <c r="E13" s="8">
        <f>IFERROR(__xludf.DUMMYFUNCTION("""COMPUTED_VALUE"""),0.943740605540047)</f>
        <v>0.9437406055</v>
      </c>
      <c r="F13" s="8">
        <f>IFERROR(__xludf.DUMMYFUNCTION("""COMPUTED_VALUE"""),0.662228902727077)</f>
        <v>0.6622289027</v>
      </c>
      <c r="G13" s="8">
        <f>IFERROR(__xludf.DUMMYFUNCTION("""COMPUTED_VALUE"""),0.597380287738887)</f>
        <v>0.5973802877</v>
      </c>
      <c r="H13" s="8">
        <f>IFERROR(__xludf.DUMMYFUNCTION("""COMPUTED_VALUE"""),0.569614805250699)</f>
        <v>0.5696148053</v>
      </c>
      <c r="I13" s="8">
        <f>IFERROR(__xludf.DUMMYFUNCTION("""COMPUTED_VALUE"""),0.540732758620689)</f>
        <v>0.5407327586</v>
      </c>
      <c r="J13" s="8">
        <f>IFERROR(__xludf.DUMMYFUNCTION("""COMPUTED_VALUE"""),0.520485584218512)</f>
        <v>0.5204855842</v>
      </c>
      <c r="K13" s="8">
        <f>IFERROR(__xludf.DUMMYFUNCTION("""COMPUTED_VALUE"""),0.503579952267303)</f>
        <v>0.5035799523</v>
      </c>
      <c r="L13" s="8">
        <f>IFERROR(__xludf.DUMMYFUNCTION("""COMPUTED_VALUE"""),0.494325621999127)</f>
        <v>0.494325622</v>
      </c>
      <c r="M13" s="8">
        <f>IFERROR(__xludf.DUMMYFUNCTION("""COMPUTED_VALUE"""),0.488845144356955)</f>
        <v>0.4888451444</v>
      </c>
      <c r="N13" s="8">
        <f>IFERROR(__xludf.DUMMYFUNCTION("""COMPUTED_VALUE"""),0.483530961791831)</f>
        <v>0.4835309618</v>
      </c>
      <c r="O13" s="8">
        <f>IFERROR(__xludf.DUMMYFUNCTION("""COMPUTED_VALUE"""),0.459483526268922)</f>
        <v>0.4594835263</v>
      </c>
      <c r="P13" s="8">
        <f>IFERROR(__xludf.DUMMYFUNCTION("""COMPUTED_VALUE"""),0.4197252870975)</f>
        <v>0.4197252871</v>
      </c>
      <c r="Q13" s="8">
        <f>IFERROR(__xludf.DUMMYFUNCTION("""COMPUTED_VALUE"""),0.319380203515263)</f>
        <v>0.3193802035</v>
      </c>
      <c r="R13" s="8">
        <f>IFERROR(__xludf.DUMMYFUNCTION("""COMPUTED_VALUE"""),0.250651504382847)</f>
        <v>0.2506515044</v>
      </c>
      <c r="S13" s="8">
        <f>IFERROR(__xludf.DUMMYFUNCTION("""COMPUTED_VALUE"""),0.207278091959675)</f>
        <v>0.207278092</v>
      </c>
      <c r="T13" s="8">
        <f>IFERROR(__xludf.DUMMYFUNCTION("""COMPUTED_VALUE"""),0.129712460063897)</f>
        <v>0.1297124601</v>
      </c>
      <c r="U13" s="8">
        <f>IFERROR(__xludf.DUMMYFUNCTION("""COMPUTED_VALUE"""),0.107186858316221)</f>
        <v>0.1071868583</v>
      </c>
      <c r="V13" s="8">
        <f>IFERROR(__xludf.DUMMYFUNCTION("""COMPUTED_VALUE"""),0.0925527335342229)</f>
        <v>0.09255273353</v>
      </c>
      <c r="W13" s="8">
        <f>IFERROR(__xludf.DUMMYFUNCTION("""COMPUTED_VALUE"""),0.086859688195991)</f>
        <v>0.0868596882</v>
      </c>
      <c r="X13" s="8">
        <f>IFERROR(__xludf.DUMMYFUNCTION("""COMPUTED_VALUE"""),0.0782287822878228)</f>
        <v>0.07822878229</v>
      </c>
      <c r="Y13" s="8">
        <f>IFERROR(__xludf.DUMMYFUNCTION("""COMPUTED_VALUE"""),0.0)</f>
        <v>0</v>
      </c>
      <c r="Z13" s="8">
        <f>IFERROR(__xludf.DUMMYFUNCTION("""COMPUTED_VALUE"""),0.0)</f>
        <v>0</v>
      </c>
      <c r="AA13" s="8">
        <f>IFERROR(__xludf.DUMMYFUNCTION("""COMPUTED_VALUE"""),0.0)</f>
        <v>0</v>
      </c>
      <c r="AB13" s="8">
        <f>IFERROR(__xludf.DUMMYFUNCTION("""COMPUTED_VALUE"""),0.0)</f>
        <v>0</v>
      </c>
      <c r="AC13" s="8">
        <f>IFERROR(__xludf.DUMMYFUNCTION("""COMPUTED_VALUE"""),0.0)</f>
        <v>0</v>
      </c>
    </row>
    <row r="14" ht="15.75" customHeight="1">
      <c r="A14" s="6" t="str">
        <f>IFERROR(__xludf.DUMMYFUNCTION("""COMPUTED_VALUE"""),"0b07b41ff930aa13e98588f626eef70da51bb47e")</f>
        <v>0b07b41ff930aa13e98588f626eef70da51bb47e</v>
      </c>
      <c r="B14" s="6" t="str">
        <f>IFERROR(__xludf.DUMMYFUNCTION("""COMPUTED_VALUE"""),"Debtbound Between Worlds")</f>
        <v>Debtbound Between Worlds</v>
      </c>
      <c r="C14" s="6" t="str">
        <f>IFERROR(__xludf.DUMMYFUNCTION("""COMPUTED_VALUE"""),"Fantasy")</f>
        <v>Fantasy</v>
      </c>
      <c r="D14" s="11">
        <f>IFERROR(__xludf.DUMMYFUNCTION("""COMPUTED_VALUE"""),26.0)</f>
        <v>26</v>
      </c>
      <c r="E14" s="8">
        <f>IFERROR(__xludf.DUMMYFUNCTION("""COMPUTED_VALUE"""),0.961538461538461)</f>
        <v>0.9615384615</v>
      </c>
      <c r="F14" s="8">
        <f>IFERROR(__xludf.DUMMYFUNCTION("""COMPUTED_VALUE"""),0.576923076923076)</f>
        <v>0.5769230769</v>
      </c>
      <c r="G14" s="8">
        <f>IFERROR(__xludf.DUMMYFUNCTION("""COMPUTED_VALUE"""),0.615384615384615)</f>
        <v>0.6153846154</v>
      </c>
      <c r="H14" s="8">
        <f>IFERROR(__xludf.DUMMYFUNCTION("""COMPUTED_VALUE"""),0.576923076923076)</f>
        <v>0.5769230769</v>
      </c>
      <c r="I14" s="8">
        <f>IFERROR(__xludf.DUMMYFUNCTION("""COMPUTED_VALUE"""),0.5)</f>
        <v>0.5</v>
      </c>
      <c r="J14" s="8">
        <f>IFERROR(__xludf.DUMMYFUNCTION("""COMPUTED_VALUE"""),0.461538461538461)</f>
        <v>0.4615384615</v>
      </c>
      <c r="K14" s="8">
        <f>IFERROR(__xludf.DUMMYFUNCTION("""COMPUTED_VALUE"""),0.423076923076923)</f>
        <v>0.4230769231</v>
      </c>
      <c r="L14" s="8">
        <f>IFERROR(__xludf.DUMMYFUNCTION("""COMPUTED_VALUE"""),0.423076923076923)</f>
        <v>0.4230769231</v>
      </c>
      <c r="M14" s="8">
        <f>IFERROR(__xludf.DUMMYFUNCTION("""COMPUTED_VALUE"""),0.416666666666666)</f>
        <v>0.4166666667</v>
      </c>
      <c r="N14" s="8">
        <f>IFERROR(__xludf.DUMMYFUNCTION("""COMPUTED_VALUE"""),0.347826086956521)</f>
        <v>0.347826087</v>
      </c>
      <c r="O14" s="8">
        <f>IFERROR(__xludf.DUMMYFUNCTION("""COMPUTED_VALUE"""),0.363636363636363)</f>
        <v>0.3636363636</v>
      </c>
      <c r="P14" s="8">
        <f>IFERROR(__xludf.DUMMYFUNCTION("""COMPUTED_VALUE"""),0.318181818181818)</f>
        <v>0.3181818182</v>
      </c>
      <c r="Q14" s="8">
        <f>IFERROR(__xludf.DUMMYFUNCTION("""COMPUTED_VALUE"""),0.0)</f>
        <v>0</v>
      </c>
      <c r="R14" s="8">
        <f>IFERROR(__xludf.DUMMYFUNCTION("""COMPUTED_VALUE"""),0.0)</f>
        <v>0</v>
      </c>
      <c r="S14" s="8">
        <f>IFERROR(__xludf.DUMMYFUNCTION("""COMPUTED_VALUE"""),0.0)</f>
        <v>0</v>
      </c>
      <c r="T14" s="8">
        <f>IFERROR(__xludf.DUMMYFUNCTION("""COMPUTED_VALUE"""),0.0)</f>
        <v>0</v>
      </c>
      <c r="U14" s="8">
        <f>IFERROR(__xludf.DUMMYFUNCTION("""COMPUTED_VALUE"""),0.0)</f>
        <v>0</v>
      </c>
      <c r="V14" s="8">
        <f>IFERROR(__xludf.DUMMYFUNCTION("""COMPUTED_VALUE"""),0.0)</f>
        <v>0</v>
      </c>
      <c r="W14" s="8">
        <f>IFERROR(__xludf.DUMMYFUNCTION("""COMPUTED_VALUE"""),0.0)</f>
        <v>0</v>
      </c>
      <c r="X14" s="8">
        <f>IFERROR(__xludf.DUMMYFUNCTION("""COMPUTED_VALUE"""),0.0)</f>
        <v>0</v>
      </c>
      <c r="Y14" s="8">
        <f>IFERROR(__xludf.DUMMYFUNCTION("""COMPUTED_VALUE"""),0.0)</f>
        <v>0</v>
      </c>
      <c r="Z14" s="8">
        <f>IFERROR(__xludf.DUMMYFUNCTION("""COMPUTED_VALUE"""),0.0)</f>
        <v>0</v>
      </c>
      <c r="AA14" s="8">
        <f>IFERROR(__xludf.DUMMYFUNCTION("""COMPUTED_VALUE"""),0.0)</f>
        <v>0</v>
      </c>
      <c r="AB14" s="8">
        <f>IFERROR(__xludf.DUMMYFUNCTION("""COMPUTED_VALUE"""),0.0)</f>
        <v>0</v>
      </c>
      <c r="AC14" s="8">
        <f>IFERROR(__xludf.DUMMYFUNCTION("""COMPUTED_VALUE"""),0.0)</f>
        <v>0</v>
      </c>
    </row>
    <row r="15" ht="15.75" customHeight="1">
      <c r="A15" s="6" t="str">
        <f>IFERROR(__xludf.DUMMYFUNCTION("""COMPUTED_VALUE"""),"0b24baea319eafeca1995fb9b34e29d6ebfb9a50")</f>
        <v>0b24baea319eafeca1995fb9b34e29d6ebfb9a50</v>
      </c>
      <c r="B15" s="6" t="str">
        <f>IFERROR(__xludf.DUMMYFUNCTION("""COMPUTED_VALUE"""),"Rejected Bride Returns")</f>
        <v>Rejected Bride Returns</v>
      </c>
      <c r="C15" s="6" t="str">
        <f>IFERROR(__xludf.DUMMYFUNCTION("""COMPUTED_VALUE"""),"Romance")</f>
        <v>Romance</v>
      </c>
      <c r="D15" s="11">
        <f>IFERROR(__xludf.DUMMYFUNCTION("""COMPUTED_VALUE"""),11.0)</f>
        <v>11</v>
      </c>
      <c r="E15" s="8">
        <f>IFERROR(__xludf.DUMMYFUNCTION("""COMPUTED_VALUE"""),1.0)</f>
        <v>1</v>
      </c>
      <c r="F15" s="8">
        <f>IFERROR(__xludf.DUMMYFUNCTION("""COMPUTED_VALUE"""),0.454545454545454)</f>
        <v>0.4545454545</v>
      </c>
      <c r="G15" s="8">
        <f>IFERROR(__xludf.DUMMYFUNCTION("""COMPUTED_VALUE"""),0.363636363636363)</f>
        <v>0.3636363636</v>
      </c>
      <c r="H15" s="8">
        <f>IFERROR(__xludf.DUMMYFUNCTION("""COMPUTED_VALUE"""),0.272727272727272)</f>
        <v>0.2727272727</v>
      </c>
      <c r="I15" s="8">
        <f>IFERROR(__xludf.DUMMYFUNCTION("""COMPUTED_VALUE"""),0.2)</f>
        <v>0.2</v>
      </c>
      <c r="J15" s="8">
        <f>IFERROR(__xludf.DUMMYFUNCTION("""COMPUTED_VALUE"""),0.2)</f>
        <v>0.2</v>
      </c>
      <c r="K15" s="8">
        <f>IFERROR(__xludf.DUMMYFUNCTION("""COMPUTED_VALUE"""),0.1)</f>
        <v>0.1</v>
      </c>
      <c r="L15" s="8">
        <f>IFERROR(__xludf.DUMMYFUNCTION("""COMPUTED_VALUE"""),0.111111111111111)</f>
        <v>0.1111111111</v>
      </c>
      <c r="M15" s="8">
        <f>IFERROR(__xludf.DUMMYFUNCTION("""COMPUTED_VALUE"""),0.125)</f>
        <v>0.125</v>
      </c>
      <c r="N15" s="8">
        <f>IFERROR(__xludf.DUMMYFUNCTION("""COMPUTED_VALUE"""),0.0)</f>
        <v>0</v>
      </c>
      <c r="O15" s="8">
        <f>IFERROR(__xludf.DUMMYFUNCTION("""COMPUTED_VALUE"""),0.0)</f>
        <v>0</v>
      </c>
      <c r="P15" s="8">
        <f>IFERROR(__xludf.DUMMYFUNCTION("""COMPUTED_VALUE"""),0.0)</f>
        <v>0</v>
      </c>
      <c r="Q15" s="8">
        <f>IFERROR(__xludf.DUMMYFUNCTION("""COMPUTED_VALUE"""),0.0)</f>
        <v>0</v>
      </c>
      <c r="R15" s="8">
        <f>IFERROR(__xludf.DUMMYFUNCTION("""COMPUTED_VALUE"""),0.0)</f>
        <v>0</v>
      </c>
      <c r="S15" s="8">
        <f>IFERROR(__xludf.DUMMYFUNCTION("""COMPUTED_VALUE"""),0.0)</f>
        <v>0</v>
      </c>
      <c r="T15" s="8">
        <f>IFERROR(__xludf.DUMMYFUNCTION("""COMPUTED_VALUE"""),0.0)</f>
        <v>0</v>
      </c>
      <c r="U15" s="8">
        <f>IFERROR(__xludf.DUMMYFUNCTION("""COMPUTED_VALUE"""),0.0)</f>
        <v>0</v>
      </c>
      <c r="V15" s="8">
        <f>IFERROR(__xludf.DUMMYFUNCTION("""COMPUTED_VALUE"""),0.0)</f>
        <v>0</v>
      </c>
      <c r="W15" s="8">
        <f>IFERROR(__xludf.DUMMYFUNCTION("""COMPUTED_VALUE"""),0.0)</f>
        <v>0</v>
      </c>
      <c r="X15" s="8">
        <f>IFERROR(__xludf.DUMMYFUNCTION("""COMPUTED_VALUE"""),0.0)</f>
        <v>0</v>
      </c>
      <c r="Y15" s="8">
        <f>IFERROR(__xludf.DUMMYFUNCTION("""COMPUTED_VALUE"""),0.0)</f>
        <v>0</v>
      </c>
      <c r="Z15" s="8">
        <f>IFERROR(__xludf.DUMMYFUNCTION("""COMPUTED_VALUE"""),0.0)</f>
        <v>0</v>
      </c>
      <c r="AA15" s="8">
        <f>IFERROR(__xludf.DUMMYFUNCTION("""COMPUTED_VALUE"""),0.0)</f>
        <v>0</v>
      </c>
      <c r="AB15" s="8">
        <f>IFERROR(__xludf.DUMMYFUNCTION("""COMPUTED_VALUE"""),0.0)</f>
        <v>0</v>
      </c>
      <c r="AC15" s="8">
        <f>IFERROR(__xludf.DUMMYFUNCTION("""COMPUTED_VALUE"""),0.0)</f>
        <v>0</v>
      </c>
    </row>
    <row r="16" ht="15.75" customHeight="1">
      <c r="A16" s="6" t="str">
        <f>IFERROR(__xludf.DUMMYFUNCTION("""COMPUTED_VALUE"""),"0c7fa1a2b4bca0746ad0384d77796b98dd7d801c")</f>
        <v>0c7fa1a2b4bca0746ad0384d77796b98dd7d801c</v>
      </c>
      <c r="B16" s="6" t="str">
        <f>IFERROR(__xludf.DUMMYFUNCTION("""COMPUTED_VALUE"""),"Flash Marriage to My Ex’s Boss")</f>
        <v>Flash Marriage to My Ex’s Boss</v>
      </c>
      <c r="C16" s="6" t="str">
        <f>IFERROR(__xludf.DUMMYFUNCTION("""COMPUTED_VALUE"""),"Romance")</f>
        <v>Romance</v>
      </c>
      <c r="D16" s="11">
        <f>IFERROR(__xludf.DUMMYFUNCTION("""COMPUTED_VALUE"""),60.0)</f>
        <v>60</v>
      </c>
      <c r="E16" s="8">
        <f>IFERROR(__xludf.DUMMYFUNCTION("""COMPUTED_VALUE"""),0.9)</f>
        <v>0.9</v>
      </c>
      <c r="F16" s="8">
        <f>IFERROR(__xludf.DUMMYFUNCTION("""COMPUTED_VALUE"""),0.433333333333333)</f>
        <v>0.4333333333</v>
      </c>
      <c r="G16" s="8">
        <f>IFERROR(__xludf.DUMMYFUNCTION("""COMPUTED_VALUE"""),0.416666666666666)</f>
        <v>0.4166666667</v>
      </c>
      <c r="H16" s="8">
        <f>IFERROR(__xludf.DUMMYFUNCTION("""COMPUTED_VALUE"""),0.416666666666666)</f>
        <v>0.4166666667</v>
      </c>
      <c r="I16" s="8">
        <f>IFERROR(__xludf.DUMMYFUNCTION("""COMPUTED_VALUE"""),0.4)</f>
        <v>0.4</v>
      </c>
      <c r="J16" s="8">
        <f>IFERROR(__xludf.DUMMYFUNCTION("""COMPUTED_VALUE"""),0.283333333333333)</f>
        <v>0.2833333333</v>
      </c>
      <c r="K16" s="8">
        <f>IFERROR(__xludf.DUMMYFUNCTION("""COMPUTED_VALUE"""),0.283333333333333)</f>
        <v>0.2833333333</v>
      </c>
      <c r="L16" s="8">
        <f>IFERROR(__xludf.DUMMYFUNCTION("""COMPUTED_VALUE"""),0.283333333333333)</f>
        <v>0.2833333333</v>
      </c>
      <c r="M16" s="8">
        <f>IFERROR(__xludf.DUMMYFUNCTION("""COMPUTED_VALUE"""),0.283333333333333)</f>
        <v>0.2833333333</v>
      </c>
      <c r="N16" s="8">
        <f>IFERROR(__xludf.DUMMYFUNCTION("""COMPUTED_VALUE"""),0.266666666666666)</f>
        <v>0.2666666667</v>
      </c>
      <c r="O16" s="8">
        <f>IFERROR(__xludf.DUMMYFUNCTION("""COMPUTED_VALUE"""),0.220338983050847)</f>
        <v>0.2203389831</v>
      </c>
      <c r="P16" s="8">
        <f>IFERROR(__xludf.DUMMYFUNCTION("""COMPUTED_VALUE"""),0.186440677966101)</f>
        <v>0.186440678</v>
      </c>
      <c r="Q16" s="8">
        <f>IFERROR(__xludf.DUMMYFUNCTION("""COMPUTED_VALUE"""),0.186440677966101)</f>
        <v>0.186440678</v>
      </c>
      <c r="R16" s="8">
        <f>IFERROR(__xludf.DUMMYFUNCTION("""COMPUTED_VALUE"""),0.135593220338983)</f>
        <v>0.1355932203</v>
      </c>
      <c r="S16" s="8">
        <f>IFERROR(__xludf.DUMMYFUNCTION("""COMPUTED_VALUE"""),0.0)</f>
        <v>0</v>
      </c>
      <c r="T16" s="8">
        <f>IFERROR(__xludf.DUMMYFUNCTION("""COMPUTED_VALUE"""),0.0)</f>
        <v>0</v>
      </c>
      <c r="U16" s="8">
        <f>IFERROR(__xludf.DUMMYFUNCTION("""COMPUTED_VALUE"""),0.0)</f>
        <v>0</v>
      </c>
      <c r="V16" s="8">
        <f>IFERROR(__xludf.DUMMYFUNCTION("""COMPUTED_VALUE"""),0.0)</f>
        <v>0</v>
      </c>
      <c r="W16" s="8">
        <f>IFERROR(__xludf.DUMMYFUNCTION("""COMPUTED_VALUE"""),0.0)</f>
        <v>0</v>
      </c>
      <c r="X16" s="8">
        <f>IFERROR(__xludf.DUMMYFUNCTION("""COMPUTED_VALUE"""),0.0)</f>
        <v>0</v>
      </c>
      <c r="Y16" s="8">
        <f>IFERROR(__xludf.DUMMYFUNCTION("""COMPUTED_VALUE"""),0.0)</f>
        <v>0</v>
      </c>
      <c r="Z16" s="8">
        <f>IFERROR(__xludf.DUMMYFUNCTION("""COMPUTED_VALUE"""),0.0)</f>
        <v>0</v>
      </c>
      <c r="AA16" s="8">
        <f>IFERROR(__xludf.DUMMYFUNCTION("""COMPUTED_VALUE"""),0.0)</f>
        <v>0</v>
      </c>
      <c r="AB16" s="8">
        <f>IFERROR(__xludf.DUMMYFUNCTION("""COMPUTED_VALUE"""),0.0)</f>
        <v>0</v>
      </c>
      <c r="AC16" s="8">
        <f>IFERROR(__xludf.DUMMYFUNCTION("""COMPUTED_VALUE"""),0.0)</f>
        <v>0</v>
      </c>
    </row>
    <row r="17" ht="15.75" customHeight="1">
      <c r="A17" s="6" t="str">
        <f>IFERROR(__xludf.DUMMYFUNCTION("""COMPUTED_VALUE"""),"0d62d7798adbffba76234feba6e58e4a73a6baf8")</f>
        <v>0d62d7798adbffba76234feba6e58e4a73a6baf8</v>
      </c>
      <c r="B17" s="6" t="str">
        <f>IFERROR(__xludf.DUMMYFUNCTION("""COMPUTED_VALUE"""),"Devil's Redemption")</f>
        <v>Devil's Redemption</v>
      </c>
      <c r="C17" s="6" t="str">
        <f>IFERROR(__xludf.DUMMYFUNCTION("""COMPUTED_VALUE"""),"Fantasy")</f>
        <v>Fantasy</v>
      </c>
      <c r="D17" s="11">
        <f>IFERROR(__xludf.DUMMYFUNCTION("""COMPUTED_VALUE"""),15.0)</f>
        <v>15</v>
      </c>
      <c r="E17" s="8">
        <f>IFERROR(__xludf.DUMMYFUNCTION("""COMPUTED_VALUE"""),0.933333333333333)</f>
        <v>0.9333333333</v>
      </c>
      <c r="F17" s="8">
        <f>IFERROR(__xludf.DUMMYFUNCTION("""COMPUTED_VALUE"""),0.733333333333333)</f>
        <v>0.7333333333</v>
      </c>
      <c r="G17" s="8">
        <f>IFERROR(__xludf.DUMMYFUNCTION("""COMPUTED_VALUE"""),0.533333333333333)</f>
        <v>0.5333333333</v>
      </c>
      <c r="H17" s="8">
        <f>IFERROR(__xludf.DUMMYFUNCTION("""COMPUTED_VALUE"""),0.533333333333333)</f>
        <v>0.5333333333</v>
      </c>
      <c r="I17" s="8">
        <f>IFERROR(__xludf.DUMMYFUNCTION("""COMPUTED_VALUE"""),0.466666666666666)</f>
        <v>0.4666666667</v>
      </c>
      <c r="J17" s="8">
        <f>IFERROR(__xludf.DUMMYFUNCTION("""COMPUTED_VALUE"""),0.466666666666666)</f>
        <v>0.4666666667</v>
      </c>
      <c r="K17" s="8">
        <f>IFERROR(__xludf.DUMMYFUNCTION("""COMPUTED_VALUE"""),0.428571428571428)</f>
        <v>0.4285714286</v>
      </c>
      <c r="L17" s="8">
        <f>IFERROR(__xludf.DUMMYFUNCTION("""COMPUTED_VALUE"""),0.428571428571428)</f>
        <v>0.4285714286</v>
      </c>
      <c r="M17" s="8">
        <f>IFERROR(__xludf.DUMMYFUNCTION("""COMPUTED_VALUE"""),0.428571428571428)</f>
        <v>0.4285714286</v>
      </c>
      <c r="N17" s="8">
        <f>IFERROR(__xludf.DUMMYFUNCTION("""COMPUTED_VALUE"""),0.416666666666666)</f>
        <v>0.4166666667</v>
      </c>
      <c r="O17" s="8">
        <f>IFERROR(__xludf.DUMMYFUNCTION("""COMPUTED_VALUE"""),0.416666666666666)</f>
        <v>0.4166666667</v>
      </c>
      <c r="P17" s="8">
        <f>IFERROR(__xludf.DUMMYFUNCTION("""COMPUTED_VALUE"""),0.375)</f>
        <v>0.375</v>
      </c>
      <c r="Q17" s="8">
        <f>IFERROR(__xludf.DUMMYFUNCTION("""COMPUTED_VALUE"""),0.0)</f>
        <v>0</v>
      </c>
      <c r="R17" s="8">
        <f>IFERROR(__xludf.DUMMYFUNCTION("""COMPUTED_VALUE"""),0.0)</f>
        <v>0</v>
      </c>
      <c r="S17" s="8">
        <f>IFERROR(__xludf.DUMMYFUNCTION("""COMPUTED_VALUE"""),0.0)</f>
        <v>0</v>
      </c>
      <c r="T17" s="8">
        <f>IFERROR(__xludf.DUMMYFUNCTION("""COMPUTED_VALUE"""),0.0)</f>
        <v>0</v>
      </c>
      <c r="U17" s="8">
        <f>IFERROR(__xludf.DUMMYFUNCTION("""COMPUTED_VALUE"""),0.0)</f>
        <v>0</v>
      </c>
      <c r="V17" s="8">
        <f>IFERROR(__xludf.DUMMYFUNCTION("""COMPUTED_VALUE"""),0.0)</f>
        <v>0</v>
      </c>
      <c r="W17" s="8">
        <f>IFERROR(__xludf.DUMMYFUNCTION("""COMPUTED_VALUE"""),0.0)</f>
        <v>0</v>
      </c>
      <c r="X17" s="8">
        <f>IFERROR(__xludf.DUMMYFUNCTION("""COMPUTED_VALUE"""),0.0)</f>
        <v>0</v>
      </c>
      <c r="Y17" s="8">
        <f>IFERROR(__xludf.DUMMYFUNCTION("""COMPUTED_VALUE"""),0.0)</f>
        <v>0</v>
      </c>
      <c r="Z17" s="8">
        <f>IFERROR(__xludf.DUMMYFUNCTION("""COMPUTED_VALUE"""),0.0)</f>
        <v>0</v>
      </c>
      <c r="AA17" s="8">
        <f>IFERROR(__xludf.DUMMYFUNCTION("""COMPUTED_VALUE"""),0.0)</f>
        <v>0</v>
      </c>
      <c r="AB17" s="8">
        <f>IFERROR(__xludf.DUMMYFUNCTION("""COMPUTED_VALUE"""),0.0)</f>
        <v>0</v>
      </c>
      <c r="AC17" s="8">
        <f>IFERROR(__xludf.DUMMYFUNCTION("""COMPUTED_VALUE"""),0.0)</f>
        <v>0</v>
      </c>
    </row>
    <row r="18" ht="15.75" customHeight="1">
      <c r="A18" s="6" t="str">
        <f>IFERROR(__xludf.DUMMYFUNCTION("""COMPUTED_VALUE"""),"0db57923d2182ad47e7480030a03e05da109b1bf")</f>
        <v>0db57923d2182ad47e7480030a03e05da109b1bf</v>
      </c>
      <c r="B18" s="6" t="str">
        <f>IFERROR(__xludf.DUMMYFUNCTION("""COMPUTED_VALUE"""),"The Ceo's Borrowed Beauty")</f>
        <v>The Ceo's Borrowed Beauty</v>
      </c>
      <c r="C18" s="6" t="str">
        <f>IFERROR(__xludf.DUMMYFUNCTION("""COMPUTED_VALUE"""),"Romance")</f>
        <v>Romance</v>
      </c>
      <c r="D18" s="11">
        <f>IFERROR(__xludf.DUMMYFUNCTION("""COMPUTED_VALUE"""),140.0)</f>
        <v>140</v>
      </c>
      <c r="E18" s="8">
        <f>IFERROR(__xludf.DUMMYFUNCTION("""COMPUTED_VALUE"""),0.971428571428571)</f>
        <v>0.9714285714</v>
      </c>
      <c r="F18" s="8">
        <f>IFERROR(__xludf.DUMMYFUNCTION("""COMPUTED_VALUE"""),0.492857142857142)</f>
        <v>0.4928571429</v>
      </c>
      <c r="G18" s="8">
        <f>IFERROR(__xludf.DUMMYFUNCTION("""COMPUTED_VALUE"""),0.428571428571428)</f>
        <v>0.4285714286</v>
      </c>
      <c r="H18" s="8">
        <f>IFERROR(__xludf.DUMMYFUNCTION("""COMPUTED_VALUE"""),0.378571428571428)</f>
        <v>0.3785714286</v>
      </c>
      <c r="I18" s="8">
        <f>IFERROR(__xludf.DUMMYFUNCTION("""COMPUTED_VALUE"""),0.35251798561151)</f>
        <v>0.3525179856</v>
      </c>
      <c r="J18" s="8">
        <f>IFERROR(__xludf.DUMMYFUNCTION("""COMPUTED_VALUE"""),0.302158273381295)</f>
        <v>0.3021582734</v>
      </c>
      <c r="K18" s="8">
        <f>IFERROR(__xludf.DUMMYFUNCTION("""COMPUTED_VALUE"""),0.258992805755395)</f>
        <v>0.2589928058</v>
      </c>
      <c r="L18" s="8">
        <f>IFERROR(__xludf.DUMMYFUNCTION("""COMPUTED_VALUE"""),0.22463768115942)</f>
        <v>0.2246376812</v>
      </c>
      <c r="M18" s="8">
        <f>IFERROR(__xludf.DUMMYFUNCTION("""COMPUTED_VALUE"""),0.22463768115942)</f>
        <v>0.2246376812</v>
      </c>
      <c r="N18" s="8">
        <f>IFERROR(__xludf.DUMMYFUNCTION("""COMPUTED_VALUE"""),0.233576642335766)</f>
        <v>0.2335766423</v>
      </c>
      <c r="O18" s="8">
        <f>IFERROR(__xludf.DUMMYFUNCTION("""COMPUTED_VALUE"""),0.186915887850467)</f>
        <v>0.1869158879</v>
      </c>
      <c r="P18" s="8">
        <f>IFERROR(__xludf.DUMMYFUNCTION("""COMPUTED_VALUE"""),0.166666666666666)</f>
        <v>0.1666666667</v>
      </c>
      <c r="Q18" s="8">
        <f>IFERROR(__xludf.DUMMYFUNCTION("""COMPUTED_VALUE"""),1.0)</f>
        <v>1</v>
      </c>
      <c r="R18" s="8">
        <f>IFERROR(__xludf.DUMMYFUNCTION("""COMPUTED_VALUE"""),0.0)</f>
        <v>0</v>
      </c>
      <c r="S18" s="8">
        <f>IFERROR(__xludf.DUMMYFUNCTION("""COMPUTED_VALUE"""),0.0)</f>
        <v>0</v>
      </c>
      <c r="T18" s="8">
        <f>IFERROR(__xludf.DUMMYFUNCTION("""COMPUTED_VALUE"""),0.0)</f>
        <v>0</v>
      </c>
      <c r="U18" s="8">
        <f>IFERROR(__xludf.DUMMYFUNCTION("""COMPUTED_VALUE"""),0.0)</f>
        <v>0</v>
      </c>
      <c r="V18" s="8">
        <f>IFERROR(__xludf.DUMMYFUNCTION("""COMPUTED_VALUE"""),0.0)</f>
        <v>0</v>
      </c>
      <c r="W18" s="8">
        <f>IFERROR(__xludf.DUMMYFUNCTION("""COMPUTED_VALUE"""),0.0)</f>
        <v>0</v>
      </c>
      <c r="X18" s="8">
        <f>IFERROR(__xludf.DUMMYFUNCTION("""COMPUTED_VALUE"""),0.0)</f>
        <v>0</v>
      </c>
      <c r="Y18" s="8">
        <f>IFERROR(__xludf.DUMMYFUNCTION("""COMPUTED_VALUE"""),0.0)</f>
        <v>0</v>
      </c>
      <c r="Z18" s="8">
        <f>IFERROR(__xludf.DUMMYFUNCTION("""COMPUTED_VALUE"""),0.0)</f>
        <v>0</v>
      </c>
      <c r="AA18" s="8">
        <f>IFERROR(__xludf.DUMMYFUNCTION("""COMPUTED_VALUE"""),0.0)</f>
        <v>0</v>
      </c>
      <c r="AB18" s="8">
        <f>IFERROR(__xludf.DUMMYFUNCTION("""COMPUTED_VALUE"""),0.0)</f>
        <v>0</v>
      </c>
      <c r="AC18" s="8">
        <f>IFERROR(__xludf.DUMMYFUNCTION("""COMPUTED_VALUE"""),0.0)</f>
        <v>0</v>
      </c>
    </row>
    <row r="19" ht="15.75" customHeight="1">
      <c r="A19" s="6" t="str">
        <f>IFERROR(__xludf.DUMMYFUNCTION("""COMPUTED_VALUE"""),"0f3d56fd651e66eb62e990fd31d006aa80eaab5f")</f>
        <v>0f3d56fd651e66eb62e990fd31d006aa80eaab5f</v>
      </c>
      <c r="B19" s="6" t="str">
        <f>IFERROR(__xludf.DUMMYFUNCTION("""COMPUTED_VALUE"""),"The Forsaken Tamer")</f>
        <v>The Forsaken Tamer</v>
      </c>
      <c r="C19" s="6" t="str">
        <f>IFERROR(__xludf.DUMMYFUNCTION("""COMPUTED_VALUE"""),"System and Superpower")</f>
        <v>System and Superpower</v>
      </c>
      <c r="D19" s="11">
        <f>IFERROR(__xludf.DUMMYFUNCTION("""COMPUTED_VALUE"""),1127.0)</f>
        <v>1127</v>
      </c>
      <c r="E19" s="8">
        <f>IFERROR(__xludf.DUMMYFUNCTION("""COMPUTED_VALUE"""),0.994676131322094)</f>
        <v>0.9946761313</v>
      </c>
      <c r="F19" s="8">
        <f>IFERROR(__xludf.DUMMYFUNCTION("""COMPUTED_VALUE"""),0.645962732919254)</f>
        <v>0.6459627329</v>
      </c>
      <c r="G19" s="8">
        <f>IFERROR(__xludf.DUMMYFUNCTION("""COMPUTED_VALUE"""),0.585625554569653)</f>
        <v>0.5856255546</v>
      </c>
      <c r="H19" s="8">
        <f>IFERROR(__xludf.DUMMYFUNCTION("""COMPUTED_VALUE"""),0.493)</f>
        <v>0.493</v>
      </c>
      <c r="I19" s="8">
        <f>IFERROR(__xludf.DUMMYFUNCTION("""COMPUTED_VALUE"""),0.440185830429732)</f>
        <v>0.4401858304</v>
      </c>
      <c r="J19" s="8">
        <f>IFERROR(__xludf.DUMMYFUNCTION("""COMPUTED_VALUE"""),0.358166189111747)</f>
        <v>0.3581661891</v>
      </c>
      <c r="K19" s="8">
        <f>IFERROR(__xludf.DUMMYFUNCTION("""COMPUTED_VALUE"""),0.306590257879656)</f>
        <v>0.3065902579</v>
      </c>
      <c r="L19" s="8">
        <f>IFERROR(__xludf.DUMMYFUNCTION("""COMPUTED_VALUE"""),0.264367816091954)</f>
        <v>0.2643678161</v>
      </c>
      <c r="M19" s="8">
        <f>IFERROR(__xludf.DUMMYFUNCTION("""COMPUTED_VALUE"""),0.242424242424242)</f>
        <v>0.2424242424</v>
      </c>
      <c r="N19" s="8">
        <f>IFERROR(__xludf.DUMMYFUNCTION("""COMPUTED_VALUE"""),0.220609579100145)</f>
        <v>0.2206095791</v>
      </c>
      <c r="O19" s="8">
        <f>IFERROR(__xludf.DUMMYFUNCTION("""COMPUTED_VALUE"""),0.160116448326055)</f>
        <v>0.1601164483</v>
      </c>
      <c r="P19" s="8">
        <f>IFERROR(__xludf.DUMMYFUNCTION("""COMPUTED_VALUE"""),0.108823529411764)</f>
        <v>0.1088235294</v>
      </c>
      <c r="Q19" s="8">
        <f>IFERROR(__xludf.DUMMYFUNCTION("""COMPUTED_VALUE"""),0.0369230769230769)</f>
        <v>0.03692307692</v>
      </c>
      <c r="R19" s="8">
        <f>IFERROR(__xludf.DUMMYFUNCTION("""COMPUTED_VALUE"""),0.0245901639344262)</f>
        <v>0.02459016393</v>
      </c>
      <c r="S19" s="8">
        <f>IFERROR(__xludf.DUMMYFUNCTION("""COMPUTED_VALUE"""),0.0)</f>
        <v>0</v>
      </c>
      <c r="T19" s="8">
        <f>IFERROR(__xludf.DUMMYFUNCTION("""COMPUTED_VALUE"""),0.0)</f>
        <v>0</v>
      </c>
      <c r="U19" s="8">
        <f>IFERROR(__xludf.DUMMYFUNCTION("""COMPUTED_VALUE"""),0.0)</f>
        <v>0</v>
      </c>
      <c r="V19" s="8">
        <f>IFERROR(__xludf.DUMMYFUNCTION("""COMPUTED_VALUE"""),0.0)</f>
        <v>0</v>
      </c>
      <c r="W19" s="8">
        <f>IFERROR(__xludf.DUMMYFUNCTION("""COMPUTED_VALUE"""),0.0)</f>
        <v>0</v>
      </c>
      <c r="X19" s="8">
        <f>IFERROR(__xludf.DUMMYFUNCTION("""COMPUTED_VALUE"""),0.0)</f>
        <v>0</v>
      </c>
      <c r="Y19" s="8">
        <f>IFERROR(__xludf.DUMMYFUNCTION("""COMPUTED_VALUE"""),0.0)</f>
        <v>0</v>
      </c>
      <c r="Z19" s="8">
        <f>IFERROR(__xludf.DUMMYFUNCTION("""COMPUTED_VALUE"""),0.0)</f>
        <v>0</v>
      </c>
      <c r="AA19" s="8">
        <f>IFERROR(__xludf.DUMMYFUNCTION("""COMPUTED_VALUE"""),0.0)</f>
        <v>0</v>
      </c>
      <c r="AB19" s="8">
        <f>IFERROR(__xludf.DUMMYFUNCTION("""COMPUTED_VALUE"""),0.0)</f>
        <v>0</v>
      </c>
      <c r="AC19" s="8">
        <f>IFERROR(__xludf.DUMMYFUNCTION("""COMPUTED_VALUE"""),0.0)</f>
        <v>0</v>
      </c>
    </row>
    <row r="20" ht="15.75" customHeight="1">
      <c r="A20" s="6" t="str">
        <f>IFERROR(__xludf.DUMMYFUNCTION("""COMPUTED_VALUE"""),"0fadc6da7c4d814463023dc7ffd8be44c68fa457")</f>
        <v>0fadc6da7c4d814463023dc7ffd8be44c68fa457</v>
      </c>
      <c r="B20" s="6" t="str">
        <f>IFERROR(__xludf.DUMMYFUNCTION("""COMPUTED_VALUE"""),"From Ceo to Young Lord")</f>
        <v>From Ceo to Young Lord</v>
      </c>
      <c r="C20" s="6" t="str">
        <f>IFERROR(__xludf.DUMMYFUNCTION("""COMPUTED_VALUE"""),"Fantasy")</f>
        <v>Fantasy</v>
      </c>
      <c r="D20" s="11">
        <f>IFERROR(__xludf.DUMMYFUNCTION("""COMPUTED_VALUE"""),999.0)</f>
        <v>999</v>
      </c>
      <c r="E20" s="8">
        <f>IFERROR(__xludf.DUMMYFUNCTION("""COMPUTED_VALUE"""),0.971971971971971)</f>
        <v>0.971971972</v>
      </c>
      <c r="F20" s="8">
        <f>IFERROR(__xludf.DUMMYFUNCTION("""COMPUTED_VALUE"""),0.714714714714714)</f>
        <v>0.7147147147</v>
      </c>
      <c r="G20" s="8">
        <f>IFERROR(__xludf.DUMMYFUNCTION("""COMPUTED_VALUE"""),0.679679679679679)</f>
        <v>0.6796796797</v>
      </c>
      <c r="H20" s="8">
        <f>IFERROR(__xludf.DUMMYFUNCTION("""COMPUTED_VALUE"""),0.673346693386773)</f>
        <v>0.6733466934</v>
      </c>
      <c r="I20" s="8">
        <f>IFERROR(__xludf.DUMMYFUNCTION("""COMPUTED_VALUE"""),0.641566265060241)</f>
        <v>0.6415662651</v>
      </c>
      <c r="J20" s="8">
        <f>IFERROR(__xludf.DUMMYFUNCTION("""COMPUTED_VALUE"""),0.607862903225806)</f>
        <v>0.6078629032</v>
      </c>
      <c r="K20" s="8">
        <f>IFERROR(__xludf.DUMMYFUNCTION("""COMPUTED_VALUE"""),0.588709677419354)</f>
        <v>0.5887096774</v>
      </c>
      <c r="L20" s="8">
        <f>IFERROR(__xludf.DUMMYFUNCTION("""COMPUTED_VALUE"""),0.560483870967741)</f>
        <v>0.560483871</v>
      </c>
      <c r="M20" s="8">
        <f>IFERROR(__xludf.DUMMYFUNCTION("""COMPUTED_VALUE"""),0.540322580645161)</f>
        <v>0.5403225806</v>
      </c>
      <c r="N20" s="8">
        <f>IFERROR(__xludf.DUMMYFUNCTION("""COMPUTED_VALUE"""),0.532323232323232)</f>
        <v>0.5323232323</v>
      </c>
      <c r="O20" s="8">
        <f>IFERROR(__xludf.DUMMYFUNCTION("""COMPUTED_VALUE"""),0.479145473041709)</f>
        <v>0.479145473</v>
      </c>
      <c r="P20" s="8">
        <f>IFERROR(__xludf.DUMMYFUNCTION("""COMPUTED_VALUE"""),0.322348094747682)</f>
        <v>0.3223480947</v>
      </c>
      <c r="Q20" s="8">
        <f>IFERROR(__xludf.DUMMYFUNCTION("""COMPUTED_VALUE"""),0.240428790199081)</f>
        <v>0.2404287902</v>
      </c>
      <c r="R20" s="8">
        <f>IFERROR(__xludf.DUMMYFUNCTION("""COMPUTED_VALUE"""),0.121739130434782)</f>
        <v>0.1217391304</v>
      </c>
      <c r="S20" s="8">
        <f>IFERROR(__xludf.DUMMYFUNCTION("""COMPUTED_VALUE"""),0.1)</f>
        <v>0.1</v>
      </c>
      <c r="T20" s="8">
        <f>IFERROR(__xludf.DUMMYFUNCTION("""COMPUTED_VALUE"""),0.0)</f>
        <v>0</v>
      </c>
      <c r="U20" s="8">
        <f>IFERROR(__xludf.DUMMYFUNCTION("""COMPUTED_VALUE"""),0.0)</f>
        <v>0</v>
      </c>
      <c r="V20" s="8">
        <f>IFERROR(__xludf.DUMMYFUNCTION("""COMPUTED_VALUE"""),0.0)</f>
        <v>0</v>
      </c>
      <c r="W20" s="8">
        <f>IFERROR(__xludf.DUMMYFUNCTION("""COMPUTED_VALUE"""),0.0)</f>
        <v>0</v>
      </c>
      <c r="X20" s="8">
        <f>IFERROR(__xludf.DUMMYFUNCTION("""COMPUTED_VALUE"""),0.0)</f>
        <v>0</v>
      </c>
      <c r="Y20" s="8">
        <f>IFERROR(__xludf.DUMMYFUNCTION("""COMPUTED_VALUE"""),0.0)</f>
        <v>0</v>
      </c>
      <c r="Z20" s="8">
        <f>IFERROR(__xludf.DUMMYFUNCTION("""COMPUTED_VALUE"""),0.0)</f>
        <v>0</v>
      </c>
      <c r="AA20" s="8">
        <f>IFERROR(__xludf.DUMMYFUNCTION("""COMPUTED_VALUE"""),0.0)</f>
        <v>0</v>
      </c>
      <c r="AB20" s="8">
        <f>IFERROR(__xludf.DUMMYFUNCTION("""COMPUTED_VALUE"""),0.0)</f>
        <v>0</v>
      </c>
      <c r="AC20" s="8">
        <f>IFERROR(__xludf.DUMMYFUNCTION("""COMPUTED_VALUE"""),0.0)</f>
        <v>0</v>
      </c>
    </row>
    <row r="21" ht="15.75" customHeight="1">
      <c r="A21" s="6" t="str">
        <f>IFERROR(__xludf.DUMMYFUNCTION("""COMPUTED_VALUE"""),"114fed9f0540f90ccc58d03a383c7c69260baeae")</f>
        <v>114fed9f0540f90ccc58d03a383c7c69260baeae</v>
      </c>
      <c r="B21" s="6" t="str">
        <f>IFERROR(__xludf.DUMMYFUNCTION("""COMPUTED_VALUE"""),"Mother's Murder &amp; Secrets")</f>
        <v>Mother's Murder &amp; Secrets</v>
      </c>
      <c r="C21" s="6" t="str">
        <f>IFERROR(__xludf.DUMMYFUNCTION("""COMPUTED_VALUE"""),"Suspense or Thriller")</f>
        <v>Suspense or Thriller</v>
      </c>
      <c r="D21" s="11">
        <f>IFERROR(__xludf.DUMMYFUNCTION("""COMPUTED_VALUE"""),221.0)</f>
        <v>221</v>
      </c>
      <c r="E21" s="8">
        <f>IFERROR(__xludf.DUMMYFUNCTION("""COMPUTED_VALUE"""),0.995475113122172)</f>
        <v>0.9954751131</v>
      </c>
      <c r="F21" s="8">
        <f>IFERROR(__xludf.DUMMYFUNCTION("""COMPUTED_VALUE"""),0.3710407239819)</f>
        <v>0.371040724</v>
      </c>
      <c r="G21" s="8">
        <f>IFERROR(__xludf.DUMMYFUNCTION("""COMPUTED_VALUE"""),0.298642533936651)</f>
        <v>0.2986425339</v>
      </c>
      <c r="H21" s="8">
        <f>IFERROR(__xludf.DUMMYFUNCTION("""COMPUTED_VALUE"""),0.253393665158371)</f>
        <v>0.2533936652</v>
      </c>
      <c r="I21" s="8">
        <f>IFERROR(__xludf.DUMMYFUNCTION("""COMPUTED_VALUE"""),0.20814479638009)</f>
        <v>0.2081447964</v>
      </c>
      <c r="J21" s="8">
        <f>IFERROR(__xludf.DUMMYFUNCTION("""COMPUTED_VALUE"""),0.180995475113122)</f>
        <v>0.1809954751</v>
      </c>
      <c r="K21" s="8">
        <f>IFERROR(__xludf.DUMMYFUNCTION("""COMPUTED_VALUE"""),0.149321266968325)</f>
        <v>0.149321267</v>
      </c>
      <c r="L21" s="8">
        <f>IFERROR(__xludf.DUMMYFUNCTION("""COMPUTED_VALUE"""),0.14090909090909)</f>
        <v>0.1409090909</v>
      </c>
      <c r="M21" s="8">
        <f>IFERROR(__xludf.DUMMYFUNCTION("""COMPUTED_VALUE"""),0.131818181818181)</f>
        <v>0.1318181818</v>
      </c>
      <c r="N21" s="8">
        <f>IFERROR(__xludf.DUMMYFUNCTION("""COMPUTED_VALUE"""),0.122727272727272)</f>
        <v>0.1227272727</v>
      </c>
      <c r="O21" s="8">
        <f>IFERROR(__xludf.DUMMYFUNCTION("""COMPUTED_VALUE"""),0.0818181818181818)</f>
        <v>0.08181818182</v>
      </c>
      <c r="P21" s="8">
        <f>IFERROR(__xludf.DUMMYFUNCTION("""COMPUTED_VALUE"""),0.055045871559633)</f>
        <v>0.05504587156</v>
      </c>
      <c r="Q21" s="8">
        <f>IFERROR(__xludf.DUMMYFUNCTION("""COMPUTED_VALUE"""),0.0504587155963302)</f>
        <v>0.0504587156</v>
      </c>
      <c r="R21" s="8">
        <f>IFERROR(__xludf.DUMMYFUNCTION("""COMPUTED_VALUE"""),0.0324074074074074)</f>
        <v>0.03240740741</v>
      </c>
      <c r="S21" s="8">
        <f>IFERROR(__xludf.DUMMYFUNCTION("""COMPUTED_VALUE"""),0.0186046511627906)</f>
        <v>0.01860465116</v>
      </c>
      <c r="T21" s="8">
        <f>IFERROR(__xludf.DUMMYFUNCTION("""COMPUTED_VALUE"""),0.010204081632653)</f>
        <v>0.01020408163</v>
      </c>
      <c r="U21" s="8">
        <f>IFERROR(__xludf.DUMMYFUNCTION("""COMPUTED_VALUE"""),0.0135135135135135)</f>
        <v>0.01351351351</v>
      </c>
      <c r="V21" s="8">
        <f>IFERROR(__xludf.DUMMYFUNCTION("""COMPUTED_VALUE"""),0.0416666666666666)</f>
        <v>0.04166666667</v>
      </c>
      <c r="W21" s="8">
        <f>IFERROR(__xludf.DUMMYFUNCTION("""COMPUTED_VALUE"""),0.0)</f>
        <v>0</v>
      </c>
      <c r="X21" s="8">
        <f>IFERROR(__xludf.DUMMYFUNCTION("""COMPUTED_VALUE"""),0.0)</f>
        <v>0</v>
      </c>
      <c r="Y21" s="8">
        <f>IFERROR(__xludf.DUMMYFUNCTION("""COMPUTED_VALUE"""),0.0)</f>
        <v>0</v>
      </c>
      <c r="Z21" s="8">
        <f>IFERROR(__xludf.DUMMYFUNCTION("""COMPUTED_VALUE"""),0.0)</f>
        <v>0</v>
      </c>
      <c r="AA21" s="8">
        <f>IFERROR(__xludf.DUMMYFUNCTION("""COMPUTED_VALUE"""),0.0)</f>
        <v>0</v>
      </c>
      <c r="AB21" s="8">
        <f>IFERROR(__xludf.DUMMYFUNCTION("""COMPUTED_VALUE"""),0.0)</f>
        <v>0</v>
      </c>
      <c r="AC21" s="8">
        <f>IFERROR(__xludf.DUMMYFUNCTION("""COMPUTED_VALUE"""),0.0)</f>
        <v>0</v>
      </c>
    </row>
    <row r="22" ht="15.75" customHeight="1">
      <c r="A22" s="6" t="str">
        <f>IFERROR(__xludf.DUMMYFUNCTION("""COMPUTED_VALUE"""),"123964565c4c79c7f1a3737171a0125020300913")</f>
        <v>123964565c4c79c7f1a3737171a0125020300913</v>
      </c>
      <c r="B22" s="6" t="str">
        <f>IFERROR(__xludf.DUMMYFUNCTION("""COMPUTED_VALUE"""),"My Alien Boxing System")</f>
        <v>My Alien Boxing System</v>
      </c>
      <c r="C22" s="6" t="str">
        <f>IFERROR(__xludf.DUMMYFUNCTION("""COMPUTED_VALUE"""),"Fantasy")</f>
        <v>Fantasy</v>
      </c>
      <c r="D22" s="11">
        <f>IFERROR(__xludf.DUMMYFUNCTION("""COMPUTED_VALUE"""),535.0)</f>
        <v>535</v>
      </c>
      <c r="E22" s="8">
        <f>IFERROR(__xludf.DUMMYFUNCTION("""COMPUTED_VALUE"""),0.990654205607476)</f>
        <v>0.9906542056</v>
      </c>
      <c r="F22" s="8">
        <f>IFERROR(__xludf.DUMMYFUNCTION("""COMPUTED_VALUE"""),0.613084112149532)</f>
        <v>0.6130841121</v>
      </c>
      <c r="G22" s="8">
        <f>IFERROR(__xludf.DUMMYFUNCTION("""COMPUTED_VALUE"""),0.588785046728971)</f>
        <v>0.5887850467</v>
      </c>
      <c r="H22" s="8">
        <f>IFERROR(__xludf.DUMMYFUNCTION("""COMPUTED_VALUE"""),0.525328330206379)</f>
        <v>0.5253283302</v>
      </c>
      <c r="I22" s="8">
        <f>IFERROR(__xludf.DUMMYFUNCTION("""COMPUTED_VALUE"""),0.48968105065666)</f>
        <v>0.4896810507</v>
      </c>
      <c r="J22" s="8">
        <f>IFERROR(__xludf.DUMMYFUNCTION("""COMPUTED_VALUE"""),0.426415094339622)</f>
        <v>0.4264150943</v>
      </c>
      <c r="K22" s="8">
        <f>IFERROR(__xludf.DUMMYFUNCTION("""COMPUTED_VALUE"""),0.387523629489603)</f>
        <v>0.3875236295</v>
      </c>
      <c r="L22" s="8">
        <f>IFERROR(__xludf.DUMMYFUNCTION("""COMPUTED_VALUE"""),0.386363636363636)</f>
        <v>0.3863636364</v>
      </c>
      <c r="M22" s="8">
        <f>IFERROR(__xludf.DUMMYFUNCTION("""COMPUTED_VALUE"""),0.367424242424242)</f>
        <v>0.3674242424</v>
      </c>
      <c r="N22" s="8">
        <f>IFERROR(__xludf.DUMMYFUNCTION("""COMPUTED_VALUE"""),0.321292775665399)</f>
        <v>0.3212927757</v>
      </c>
      <c r="O22" s="8">
        <f>IFERROR(__xludf.DUMMYFUNCTION("""COMPUTED_VALUE"""),0.253846153846153)</f>
        <v>0.2538461538</v>
      </c>
      <c r="P22" s="8">
        <f>IFERROR(__xludf.DUMMYFUNCTION("""COMPUTED_VALUE"""),0.178082191780821)</f>
        <v>0.1780821918</v>
      </c>
      <c r="Q22" s="8">
        <f>IFERROR(__xludf.DUMMYFUNCTION("""COMPUTED_VALUE"""),0.25)</f>
        <v>0.25</v>
      </c>
      <c r="R22" s="8">
        <f>IFERROR(__xludf.DUMMYFUNCTION("""COMPUTED_VALUE"""),0.0)</f>
        <v>0</v>
      </c>
      <c r="S22" s="8">
        <f>IFERROR(__xludf.DUMMYFUNCTION("""COMPUTED_VALUE"""),0.0)</f>
        <v>0</v>
      </c>
      <c r="T22" s="8">
        <f>IFERROR(__xludf.DUMMYFUNCTION("""COMPUTED_VALUE"""),0.0)</f>
        <v>0</v>
      </c>
      <c r="U22" s="8">
        <f>IFERROR(__xludf.DUMMYFUNCTION("""COMPUTED_VALUE"""),0.0)</f>
        <v>0</v>
      </c>
      <c r="V22" s="8">
        <f>IFERROR(__xludf.DUMMYFUNCTION("""COMPUTED_VALUE"""),0.0)</f>
        <v>0</v>
      </c>
      <c r="W22" s="8">
        <f>IFERROR(__xludf.DUMMYFUNCTION("""COMPUTED_VALUE"""),0.0)</f>
        <v>0</v>
      </c>
      <c r="X22" s="8">
        <f>IFERROR(__xludf.DUMMYFUNCTION("""COMPUTED_VALUE"""),0.0)</f>
        <v>0</v>
      </c>
      <c r="Y22" s="8">
        <f>IFERROR(__xludf.DUMMYFUNCTION("""COMPUTED_VALUE"""),0.0)</f>
        <v>0</v>
      </c>
      <c r="Z22" s="8">
        <f>IFERROR(__xludf.DUMMYFUNCTION("""COMPUTED_VALUE"""),0.0)</f>
        <v>0</v>
      </c>
      <c r="AA22" s="8">
        <f>IFERROR(__xludf.DUMMYFUNCTION("""COMPUTED_VALUE"""),0.0)</f>
        <v>0</v>
      </c>
      <c r="AB22" s="8">
        <f>IFERROR(__xludf.DUMMYFUNCTION("""COMPUTED_VALUE"""),0.0)</f>
        <v>0</v>
      </c>
      <c r="AC22" s="8">
        <f>IFERROR(__xludf.DUMMYFUNCTION("""COMPUTED_VALUE"""),0.0)</f>
        <v>0</v>
      </c>
    </row>
    <row r="23" ht="15.75" customHeight="1">
      <c r="A23" s="6" t="str">
        <f>IFERROR(__xludf.DUMMYFUNCTION("""COMPUTED_VALUE"""),"158669d764d53a995f111683b8700642d7c4847c")</f>
        <v>158669d764d53a995f111683b8700642d7c4847c</v>
      </c>
      <c r="B23" s="6" t="str">
        <f>IFERROR(__xludf.DUMMYFUNCTION("""COMPUTED_VALUE"""),"The Silent Wife Strikes")</f>
        <v>The Silent Wife Strikes</v>
      </c>
      <c r="C23" s="6" t="str">
        <f>IFERROR(__xludf.DUMMYFUNCTION("""COMPUTED_VALUE"""),"Romance")</f>
        <v>Romance</v>
      </c>
      <c r="D23" s="11">
        <f>IFERROR(__xludf.DUMMYFUNCTION("""COMPUTED_VALUE"""),12.0)</f>
        <v>12</v>
      </c>
      <c r="E23" s="8">
        <f>IFERROR(__xludf.DUMMYFUNCTION("""COMPUTED_VALUE"""),0.916666666666666)</f>
        <v>0.9166666667</v>
      </c>
      <c r="F23" s="8">
        <f>IFERROR(__xludf.DUMMYFUNCTION("""COMPUTED_VALUE"""),0.666666666666666)</f>
        <v>0.6666666667</v>
      </c>
      <c r="G23" s="8">
        <f>IFERROR(__xludf.DUMMYFUNCTION("""COMPUTED_VALUE"""),0.583333333333333)</f>
        <v>0.5833333333</v>
      </c>
      <c r="H23" s="8">
        <f>IFERROR(__xludf.DUMMYFUNCTION("""COMPUTED_VALUE"""),0.5)</f>
        <v>0.5</v>
      </c>
      <c r="I23" s="8">
        <f>IFERROR(__xludf.DUMMYFUNCTION("""COMPUTED_VALUE"""),0.416666666666666)</f>
        <v>0.4166666667</v>
      </c>
      <c r="J23" s="8">
        <f>IFERROR(__xludf.DUMMYFUNCTION("""COMPUTED_VALUE"""),0.416666666666666)</f>
        <v>0.4166666667</v>
      </c>
      <c r="K23" s="8">
        <f>IFERROR(__xludf.DUMMYFUNCTION("""COMPUTED_VALUE"""),0.5)</f>
        <v>0.5</v>
      </c>
      <c r="L23" s="8">
        <f>IFERROR(__xludf.DUMMYFUNCTION("""COMPUTED_VALUE"""),0.416666666666666)</f>
        <v>0.4166666667</v>
      </c>
      <c r="M23" s="8">
        <f>IFERROR(__xludf.DUMMYFUNCTION("""COMPUTED_VALUE"""),0.5)</f>
        <v>0.5</v>
      </c>
      <c r="N23" s="8">
        <f>IFERROR(__xludf.DUMMYFUNCTION("""COMPUTED_VALUE"""),0.416666666666666)</f>
        <v>0.4166666667</v>
      </c>
      <c r="O23" s="8">
        <f>IFERROR(__xludf.DUMMYFUNCTION("""COMPUTED_VALUE"""),0.4)</f>
        <v>0.4</v>
      </c>
      <c r="P23" s="8">
        <f>IFERROR(__xludf.DUMMYFUNCTION("""COMPUTED_VALUE"""),0.3)</f>
        <v>0.3</v>
      </c>
      <c r="Q23" s="8">
        <f>IFERROR(__xludf.DUMMYFUNCTION("""COMPUTED_VALUE"""),0.3)</f>
        <v>0.3</v>
      </c>
      <c r="R23" s="8">
        <f>IFERROR(__xludf.DUMMYFUNCTION("""COMPUTED_VALUE"""),0.0)</f>
        <v>0</v>
      </c>
      <c r="S23" s="8">
        <f>IFERROR(__xludf.DUMMYFUNCTION("""COMPUTED_VALUE"""),0.0)</f>
        <v>0</v>
      </c>
      <c r="T23" s="8">
        <f>IFERROR(__xludf.DUMMYFUNCTION("""COMPUTED_VALUE"""),0.0)</f>
        <v>0</v>
      </c>
      <c r="U23" s="8">
        <f>IFERROR(__xludf.DUMMYFUNCTION("""COMPUTED_VALUE"""),0.0)</f>
        <v>0</v>
      </c>
      <c r="V23" s="8">
        <f>IFERROR(__xludf.DUMMYFUNCTION("""COMPUTED_VALUE"""),0.0)</f>
        <v>0</v>
      </c>
      <c r="W23" s="8">
        <f>IFERROR(__xludf.DUMMYFUNCTION("""COMPUTED_VALUE"""),0.0)</f>
        <v>0</v>
      </c>
      <c r="X23" s="8">
        <f>IFERROR(__xludf.DUMMYFUNCTION("""COMPUTED_VALUE"""),0.0)</f>
        <v>0</v>
      </c>
      <c r="Y23" s="8">
        <f>IFERROR(__xludf.DUMMYFUNCTION("""COMPUTED_VALUE"""),0.0)</f>
        <v>0</v>
      </c>
      <c r="Z23" s="8">
        <f>IFERROR(__xludf.DUMMYFUNCTION("""COMPUTED_VALUE"""),0.0)</f>
        <v>0</v>
      </c>
      <c r="AA23" s="8">
        <f>IFERROR(__xludf.DUMMYFUNCTION("""COMPUTED_VALUE"""),0.0)</f>
        <v>0</v>
      </c>
      <c r="AB23" s="8">
        <f>IFERROR(__xludf.DUMMYFUNCTION("""COMPUTED_VALUE"""),0.0)</f>
        <v>0</v>
      </c>
      <c r="AC23" s="8">
        <f>IFERROR(__xludf.DUMMYFUNCTION("""COMPUTED_VALUE"""),0.0)</f>
        <v>0</v>
      </c>
    </row>
    <row r="24" ht="15.75" customHeight="1">
      <c r="A24" s="6" t="str">
        <f>IFERROR(__xludf.DUMMYFUNCTION("""COMPUTED_VALUE"""),"170bf0ee514e18fe892383ebee0f53a0f634136f")</f>
        <v>170bf0ee514e18fe892383ebee0f53a0f634136f</v>
      </c>
      <c r="B24" s="6" t="str">
        <f>IFERROR(__xludf.DUMMYFUNCTION("""COMPUTED_VALUE"""),"Started From the Bottom")</f>
        <v>Started From the Bottom</v>
      </c>
      <c r="C24" s="6" t="str">
        <f>IFERROR(__xludf.DUMMYFUNCTION("""COMPUTED_VALUE"""),"Drama")</f>
        <v>Drama</v>
      </c>
      <c r="D24" s="11">
        <f>IFERROR(__xludf.DUMMYFUNCTION("""COMPUTED_VALUE"""),7.0)</f>
        <v>7</v>
      </c>
      <c r="E24" s="8">
        <f>IFERROR(__xludf.DUMMYFUNCTION("""COMPUTED_VALUE"""),1.0)</f>
        <v>1</v>
      </c>
      <c r="F24" s="8">
        <f>IFERROR(__xludf.DUMMYFUNCTION("""COMPUTED_VALUE"""),0.0)</f>
        <v>0</v>
      </c>
      <c r="G24" s="8">
        <f>IFERROR(__xludf.DUMMYFUNCTION("""COMPUTED_VALUE"""),0.0)</f>
        <v>0</v>
      </c>
      <c r="H24" s="8">
        <f>IFERROR(__xludf.DUMMYFUNCTION("""COMPUTED_VALUE"""),0.0)</f>
        <v>0</v>
      </c>
      <c r="I24" s="8">
        <f>IFERROR(__xludf.DUMMYFUNCTION("""COMPUTED_VALUE"""),0.0)</f>
        <v>0</v>
      </c>
      <c r="J24" s="8">
        <f>IFERROR(__xludf.DUMMYFUNCTION("""COMPUTED_VALUE"""),0.0)</f>
        <v>0</v>
      </c>
      <c r="K24" s="8">
        <f>IFERROR(__xludf.DUMMYFUNCTION("""COMPUTED_VALUE"""),0.0)</f>
        <v>0</v>
      </c>
      <c r="L24" s="8">
        <f>IFERROR(__xludf.DUMMYFUNCTION("""COMPUTED_VALUE"""),0.0)</f>
        <v>0</v>
      </c>
      <c r="M24" s="8">
        <f>IFERROR(__xludf.DUMMYFUNCTION("""COMPUTED_VALUE"""),0.0)</f>
        <v>0</v>
      </c>
      <c r="N24" s="8">
        <f>IFERROR(__xludf.DUMMYFUNCTION("""COMPUTED_VALUE"""),0.0)</f>
        <v>0</v>
      </c>
      <c r="O24" s="8">
        <f>IFERROR(__xludf.DUMMYFUNCTION("""COMPUTED_VALUE"""),0.0)</f>
        <v>0</v>
      </c>
      <c r="P24" s="8">
        <f>IFERROR(__xludf.DUMMYFUNCTION("""COMPUTED_VALUE"""),0.0)</f>
        <v>0</v>
      </c>
      <c r="Q24" s="8">
        <f>IFERROR(__xludf.DUMMYFUNCTION("""COMPUTED_VALUE"""),0.0)</f>
        <v>0</v>
      </c>
      <c r="R24" s="8">
        <f>IFERROR(__xludf.DUMMYFUNCTION("""COMPUTED_VALUE"""),0.0)</f>
        <v>0</v>
      </c>
      <c r="S24" s="8">
        <f>IFERROR(__xludf.DUMMYFUNCTION("""COMPUTED_VALUE"""),0.0)</f>
        <v>0</v>
      </c>
      <c r="T24" s="8">
        <f>IFERROR(__xludf.DUMMYFUNCTION("""COMPUTED_VALUE"""),0.0)</f>
        <v>0</v>
      </c>
      <c r="U24" s="8">
        <f>IFERROR(__xludf.DUMMYFUNCTION("""COMPUTED_VALUE"""),0.0)</f>
        <v>0</v>
      </c>
      <c r="V24" s="8">
        <f>IFERROR(__xludf.DUMMYFUNCTION("""COMPUTED_VALUE"""),0.0)</f>
        <v>0</v>
      </c>
      <c r="W24" s="8">
        <f>IFERROR(__xludf.DUMMYFUNCTION("""COMPUTED_VALUE"""),0.0)</f>
        <v>0</v>
      </c>
      <c r="X24" s="8">
        <f>IFERROR(__xludf.DUMMYFUNCTION("""COMPUTED_VALUE"""),0.0)</f>
        <v>0</v>
      </c>
      <c r="Y24" s="8">
        <f>IFERROR(__xludf.DUMMYFUNCTION("""COMPUTED_VALUE"""),0.0)</f>
        <v>0</v>
      </c>
      <c r="Z24" s="8">
        <f>IFERROR(__xludf.DUMMYFUNCTION("""COMPUTED_VALUE"""),0.0)</f>
        <v>0</v>
      </c>
      <c r="AA24" s="8">
        <f>IFERROR(__xludf.DUMMYFUNCTION("""COMPUTED_VALUE"""),0.0)</f>
        <v>0</v>
      </c>
      <c r="AB24" s="8">
        <f>IFERROR(__xludf.DUMMYFUNCTION("""COMPUTED_VALUE"""),0.0)</f>
        <v>0</v>
      </c>
      <c r="AC24" s="8">
        <f>IFERROR(__xludf.DUMMYFUNCTION("""COMPUTED_VALUE"""),0.0)</f>
        <v>0</v>
      </c>
    </row>
    <row r="25" ht="15.75" customHeight="1">
      <c r="A25" s="6" t="str">
        <f>IFERROR(__xludf.DUMMYFUNCTION("""COMPUTED_VALUE"""),"184b660f61809850b4478d5bf89e9d10794578ee")</f>
        <v>184b660f61809850b4478d5bf89e9d10794578ee</v>
      </c>
      <c r="B25" s="6" t="str">
        <f>IFERROR(__xludf.DUMMYFUNCTION("""COMPUTED_VALUE"""),"Playing with Fire")</f>
        <v>Playing with Fire</v>
      </c>
      <c r="C25" s="6" t="str">
        <f>IFERROR(__xludf.DUMMYFUNCTION("""COMPUTED_VALUE"""),"Romance")</f>
        <v>Romance</v>
      </c>
      <c r="D25" s="11">
        <f>IFERROR(__xludf.DUMMYFUNCTION("""COMPUTED_VALUE"""),7.0)</f>
        <v>7</v>
      </c>
      <c r="E25" s="8">
        <f>IFERROR(__xludf.DUMMYFUNCTION("""COMPUTED_VALUE"""),1.0)</f>
        <v>1</v>
      </c>
      <c r="F25" s="8">
        <f>IFERROR(__xludf.DUMMYFUNCTION("""COMPUTED_VALUE"""),0.428571428571428)</f>
        <v>0.4285714286</v>
      </c>
      <c r="G25" s="8">
        <f>IFERROR(__xludf.DUMMYFUNCTION("""COMPUTED_VALUE"""),0.428571428571428)</f>
        <v>0.4285714286</v>
      </c>
      <c r="H25" s="8">
        <f>IFERROR(__xludf.DUMMYFUNCTION("""COMPUTED_VALUE"""),0.428571428571428)</f>
        <v>0.4285714286</v>
      </c>
      <c r="I25" s="8">
        <f>IFERROR(__xludf.DUMMYFUNCTION("""COMPUTED_VALUE"""),0.428571428571428)</f>
        <v>0.4285714286</v>
      </c>
      <c r="J25" s="8">
        <f>IFERROR(__xludf.DUMMYFUNCTION("""COMPUTED_VALUE"""),0.428571428571428)</f>
        <v>0.4285714286</v>
      </c>
      <c r="K25" s="8">
        <f>IFERROR(__xludf.DUMMYFUNCTION("""COMPUTED_VALUE"""),0.428571428571428)</f>
        <v>0.4285714286</v>
      </c>
      <c r="L25" s="8">
        <f>IFERROR(__xludf.DUMMYFUNCTION("""COMPUTED_VALUE"""),0.428571428571428)</f>
        <v>0.4285714286</v>
      </c>
      <c r="M25" s="8">
        <f>IFERROR(__xludf.DUMMYFUNCTION("""COMPUTED_VALUE"""),0.285714285714285)</f>
        <v>0.2857142857</v>
      </c>
      <c r="N25" s="8">
        <f>IFERROR(__xludf.DUMMYFUNCTION("""COMPUTED_VALUE"""),0.285714285714285)</f>
        <v>0.2857142857</v>
      </c>
      <c r="O25" s="8">
        <f>IFERROR(__xludf.DUMMYFUNCTION("""COMPUTED_VALUE"""),0.142857142857142)</f>
        <v>0.1428571429</v>
      </c>
      <c r="P25" s="8">
        <f>IFERROR(__xludf.DUMMYFUNCTION("""COMPUTED_VALUE"""),0.0)</f>
        <v>0</v>
      </c>
      <c r="Q25" s="8">
        <f>IFERROR(__xludf.DUMMYFUNCTION("""COMPUTED_VALUE"""),0.0)</f>
        <v>0</v>
      </c>
      <c r="R25" s="8">
        <f>IFERROR(__xludf.DUMMYFUNCTION("""COMPUTED_VALUE"""),0.0)</f>
        <v>0</v>
      </c>
      <c r="S25" s="8">
        <f>IFERROR(__xludf.DUMMYFUNCTION("""COMPUTED_VALUE"""),0.0)</f>
        <v>0</v>
      </c>
      <c r="T25" s="8">
        <f>IFERROR(__xludf.DUMMYFUNCTION("""COMPUTED_VALUE"""),0.0)</f>
        <v>0</v>
      </c>
      <c r="U25" s="8">
        <f>IFERROR(__xludf.DUMMYFUNCTION("""COMPUTED_VALUE"""),0.0)</f>
        <v>0</v>
      </c>
      <c r="V25" s="8">
        <f>IFERROR(__xludf.DUMMYFUNCTION("""COMPUTED_VALUE"""),0.0)</f>
        <v>0</v>
      </c>
      <c r="W25" s="8">
        <f>IFERROR(__xludf.DUMMYFUNCTION("""COMPUTED_VALUE"""),0.0)</f>
        <v>0</v>
      </c>
      <c r="X25" s="8">
        <f>IFERROR(__xludf.DUMMYFUNCTION("""COMPUTED_VALUE"""),0.0)</f>
        <v>0</v>
      </c>
      <c r="Y25" s="8">
        <f>IFERROR(__xludf.DUMMYFUNCTION("""COMPUTED_VALUE"""),0.0)</f>
        <v>0</v>
      </c>
      <c r="Z25" s="8">
        <f>IFERROR(__xludf.DUMMYFUNCTION("""COMPUTED_VALUE"""),0.0)</f>
        <v>0</v>
      </c>
      <c r="AA25" s="8">
        <f>IFERROR(__xludf.DUMMYFUNCTION("""COMPUTED_VALUE"""),0.0)</f>
        <v>0</v>
      </c>
      <c r="AB25" s="8">
        <f>IFERROR(__xludf.DUMMYFUNCTION("""COMPUTED_VALUE"""),0.0)</f>
        <v>0</v>
      </c>
      <c r="AC25" s="8">
        <f>IFERROR(__xludf.DUMMYFUNCTION("""COMPUTED_VALUE"""),0.0)</f>
        <v>0</v>
      </c>
    </row>
    <row r="26" ht="15.75" customHeight="1">
      <c r="A26" s="6" t="str">
        <f>IFERROR(__xludf.DUMMYFUNCTION("""COMPUTED_VALUE"""),"19153cd9dd2e137f1311235c9104db0ecba38abb")</f>
        <v>19153cd9dd2e137f1311235c9104db0ecba38abb</v>
      </c>
      <c r="B26" s="6" t="str">
        <f>IFERROR(__xludf.DUMMYFUNCTION("""COMPUTED_VALUE"""),"My Apex Trading System")</f>
        <v>My Apex Trading System</v>
      </c>
      <c r="C26" s="6" t="str">
        <f>IFERROR(__xludf.DUMMYFUNCTION("""COMPUTED_VALUE"""),"Sci-Fi")</f>
        <v>Sci-Fi</v>
      </c>
      <c r="D26" s="11">
        <f>IFERROR(__xludf.DUMMYFUNCTION("""COMPUTED_VALUE"""),408.0)</f>
        <v>408</v>
      </c>
      <c r="E26" s="8">
        <f>IFERROR(__xludf.DUMMYFUNCTION("""COMPUTED_VALUE"""),0.990196078431372)</f>
        <v>0.9901960784</v>
      </c>
      <c r="F26" s="8">
        <f>IFERROR(__xludf.DUMMYFUNCTION("""COMPUTED_VALUE"""),0.602941176470588)</f>
        <v>0.6029411765</v>
      </c>
      <c r="G26" s="8">
        <f>IFERROR(__xludf.DUMMYFUNCTION("""COMPUTED_VALUE"""),0.504901960784313)</f>
        <v>0.5049019608</v>
      </c>
      <c r="H26" s="8">
        <f>IFERROR(__xludf.DUMMYFUNCTION("""COMPUTED_VALUE"""),0.485795454545454)</f>
        <v>0.4857954545</v>
      </c>
      <c r="I26" s="8">
        <f>IFERROR(__xludf.DUMMYFUNCTION("""COMPUTED_VALUE"""),0.461538461538461)</f>
        <v>0.4615384615</v>
      </c>
      <c r="J26" s="8">
        <f>IFERROR(__xludf.DUMMYFUNCTION("""COMPUTED_VALUE"""),0.444794952681388)</f>
        <v>0.4447949527</v>
      </c>
      <c r="K26" s="8">
        <f>IFERROR(__xludf.DUMMYFUNCTION("""COMPUTED_VALUE"""),0.418060200668896)</f>
        <v>0.4180602007</v>
      </c>
      <c r="L26" s="8">
        <f>IFERROR(__xludf.DUMMYFUNCTION("""COMPUTED_VALUE"""),0.429184549356223)</f>
        <v>0.4291845494</v>
      </c>
      <c r="M26" s="8">
        <f>IFERROR(__xludf.DUMMYFUNCTION("""COMPUTED_VALUE"""),0.352631578947368)</f>
        <v>0.3526315789</v>
      </c>
      <c r="N26" s="8">
        <f>IFERROR(__xludf.DUMMYFUNCTION("""COMPUTED_VALUE"""),0.35)</f>
        <v>0.35</v>
      </c>
      <c r="O26" s="8">
        <f>IFERROR(__xludf.DUMMYFUNCTION("""COMPUTED_VALUE"""),0.5)</f>
        <v>0.5</v>
      </c>
      <c r="P26" s="8">
        <f>IFERROR(__xludf.DUMMYFUNCTION("""COMPUTED_VALUE"""),0.5)</f>
        <v>0.5</v>
      </c>
      <c r="Q26" s="8">
        <f>IFERROR(__xludf.DUMMYFUNCTION("""COMPUTED_VALUE"""),0.0)</f>
        <v>0</v>
      </c>
      <c r="R26" s="8">
        <f>IFERROR(__xludf.DUMMYFUNCTION("""COMPUTED_VALUE"""),0.0)</f>
        <v>0</v>
      </c>
      <c r="S26" s="8">
        <f>IFERROR(__xludf.DUMMYFUNCTION("""COMPUTED_VALUE"""),0.0)</f>
        <v>0</v>
      </c>
      <c r="T26" s="8">
        <f>IFERROR(__xludf.DUMMYFUNCTION("""COMPUTED_VALUE"""),0.0)</f>
        <v>0</v>
      </c>
      <c r="U26" s="8">
        <f>IFERROR(__xludf.DUMMYFUNCTION("""COMPUTED_VALUE"""),0.0)</f>
        <v>0</v>
      </c>
      <c r="V26" s="8">
        <f>IFERROR(__xludf.DUMMYFUNCTION("""COMPUTED_VALUE"""),0.0)</f>
        <v>0</v>
      </c>
      <c r="W26" s="8">
        <f>IFERROR(__xludf.DUMMYFUNCTION("""COMPUTED_VALUE"""),0.0)</f>
        <v>0</v>
      </c>
      <c r="X26" s="8">
        <f>IFERROR(__xludf.DUMMYFUNCTION("""COMPUTED_VALUE"""),0.0)</f>
        <v>0</v>
      </c>
      <c r="Y26" s="8">
        <f>IFERROR(__xludf.DUMMYFUNCTION("""COMPUTED_VALUE"""),0.0)</f>
        <v>0</v>
      </c>
      <c r="Z26" s="8">
        <f>IFERROR(__xludf.DUMMYFUNCTION("""COMPUTED_VALUE"""),0.0)</f>
        <v>0</v>
      </c>
      <c r="AA26" s="8">
        <f>IFERROR(__xludf.DUMMYFUNCTION("""COMPUTED_VALUE"""),0.0)</f>
        <v>0</v>
      </c>
      <c r="AB26" s="8">
        <f>IFERROR(__xludf.DUMMYFUNCTION("""COMPUTED_VALUE"""),0.0)</f>
        <v>0</v>
      </c>
      <c r="AC26" s="8">
        <f>IFERROR(__xludf.DUMMYFUNCTION("""COMPUTED_VALUE"""),0.0)</f>
        <v>0</v>
      </c>
    </row>
    <row r="27" ht="15.75" customHeight="1">
      <c r="A27" s="6" t="str">
        <f>IFERROR(__xludf.DUMMYFUNCTION("""COMPUTED_VALUE"""),"1a5df306886a7b0e7736ec2c8efad3467507a1c6")</f>
        <v>1a5df306886a7b0e7736ec2c8efad3467507a1c6</v>
      </c>
      <c r="B27" s="6" t="str">
        <f>IFERROR(__xludf.DUMMYFUNCTION("""COMPUTED_VALUE"""),"Billionaire Bentley’s Runaway Princess")</f>
        <v>Billionaire Bentley’s Runaway Princess</v>
      </c>
      <c r="C27" s="6" t="str">
        <f>IFERROR(__xludf.DUMMYFUNCTION("""COMPUTED_VALUE"""),"Romance")</f>
        <v>Romance</v>
      </c>
      <c r="D27" s="11">
        <f>IFERROR(__xludf.DUMMYFUNCTION("""COMPUTED_VALUE"""),218.0)</f>
        <v>218</v>
      </c>
      <c r="E27" s="8">
        <f>IFERROR(__xludf.DUMMYFUNCTION("""COMPUTED_VALUE"""),0.96788990825688)</f>
        <v>0.9678899083</v>
      </c>
      <c r="F27" s="8">
        <f>IFERROR(__xludf.DUMMYFUNCTION("""COMPUTED_VALUE"""),0.555045871559633)</f>
        <v>0.5550458716</v>
      </c>
      <c r="G27" s="8">
        <f>IFERROR(__xludf.DUMMYFUNCTION("""COMPUTED_VALUE"""),0.504587155963302)</f>
        <v>0.504587156</v>
      </c>
      <c r="H27" s="8">
        <f>IFERROR(__xludf.DUMMYFUNCTION("""COMPUTED_VALUE"""),0.458715596330275)</f>
        <v>0.4587155963</v>
      </c>
      <c r="I27" s="8">
        <f>IFERROR(__xludf.DUMMYFUNCTION("""COMPUTED_VALUE"""),0.412844036697247)</f>
        <v>0.4128440367</v>
      </c>
      <c r="J27" s="8">
        <f>IFERROR(__xludf.DUMMYFUNCTION("""COMPUTED_VALUE"""),0.389908256880733)</f>
        <v>0.3899082569</v>
      </c>
      <c r="K27" s="8">
        <f>IFERROR(__xludf.DUMMYFUNCTION("""COMPUTED_VALUE"""),0.344036697247706)</f>
        <v>0.3440366972</v>
      </c>
      <c r="L27" s="8">
        <f>IFERROR(__xludf.DUMMYFUNCTION("""COMPUTED_VALUE"""),0.330275229357798)</f>
        <v>0.3302752294</v>
      </c>
      <c r="M27" s="8">
        <f>IFERROR(__xludf.DUMMYFUNCTION("""COMPUTED_VALUE"""),0.311926605504587)</f>
        <v>0.3119266055</v>
      </c>
      <c r="N27" s="8">
        <f>IFERROR(__xludf.DUMMYFUNCTION("""COMPUTED_VALUE"""),0.316513761467889)</f>
        <v>0.3165137615</v>
      </c>
      <c r="O27" s="8">
        <f>IFERROR(__xludf.DUMMYFUNCTION("""COMPUTED_VALUE"""),0.212962962962962)</f>
        <v>0.212962963</v>
      </c>
      <c r="P27" s="8">
        <f>IFERROR(__xludf.DUMMYFUNCTION("""COMPUTED_VALUE"""),0.171232876712328)</f>
        <v>0.1712328767</v>
      </c>
      <c r="Q27" s="8">
        <f>IFERROR(__xludf.DUMMYFUNCTION("""COMPUTED_VALUE"""),0.142857142857142)</f>
        <v>0.1428571429</v>
      </c>
      <c r="R27" s="8">
        <f>IFERROR(__xludf.DUMMYFUNCTION("""COMPUTED_VALUE"""),0.0)</f>
        <v>0</v>
      </c>
      <c r="S27" s="8">
        <f>IFERROR(__xludf.DUMMYFUNCTION("""COMPUTED_VALUE"""),0.0)</f>
        <v>0</v>
      </c>
      <c r="T27" s="8">
        <f>IFERROR(__xludf.DUMMYFUNCTION("""COMPUTED_VALUE"""),0.0)</f>
        <v>0</v>
      </c>
      <c r="U27" s="8">
        <f>IFERROR(__xludf.DUMMYFUNCTION("""COMPUTED_VALUE"""),0.0)</f>
        <v>0</v>
      </c>
      <c r="V27" s="8">
        <f>IFERROR(__xludf.DUMMYFUNCTION("""COMPUTED_VALUE"""),0.0)</f>
        <v>0</v>
      </c>
      <c r="W27" s="8">
        <f>IFERROR(__xludf.DUMMYFUNCTION("""COMPUTED_VALUE"""),0.0)</f>
        <v>0</v>
      </c>
      <c r="X27" s="8">
        <f>IFERROR(__xludf.DUMMYFUNCTION("""COMPUTED_VALUE"""),0.0)</f>
        <v>0</v>
      </c>
      <c r="Y27" s="8">
        <f>IFERROR(__xludf.DUMMYFUNCTION("""COMPUTED_VALUE"""),0.0)</f>
        <v>0</v>
      </c>
      <c r="Z27" s="8">
        <f>IFERROR(__xludf.DUMMYFUNCTION("""COMPUTED_VALUE"""),0.0)</f>
        <v>0</v>
      </c>
      <c r="AA27" s="8">
        <f>IFERROR(__xludf.DUMMYFUNCTION("""COMPUTED_VALUE"""),0.0)</f>
        <v>0</v>
      </c>
      <c r="AB27" s="8">
        <f>IFERROR(__xludf.DUMMYFUNCTION("""COMPUTED_VALUE"""),0.0)</f>
        <v>0</v>
      </c>
      <c r="AC27" s="8">
        <f>IFERROR(__xludf.DUMMYFUNCTION("""COMPUTED_VALUE"""),0.0)</f>
        <v>0</v>
      </c>
    </row>
    <row r="28" ht="15.75" customHeight="1">
      <c r="A28" s="6" t="str">
        <f>IFERROR(__xludf.DUMMYFUNCTION("""COMPUTED_VALUE"""),"1b5acb214bfe00156d933b176eef6987dcf9aa8c")</f>
        <v>1b5acb214bfe00156d933b176eef6987dcf9aa8c</v>
      </c>
      <c r="B28" s="6" t="str">
        <f>IFERROR(__xludf.DUMMYFUNCTION("""COMPUTED_VALUE"""),"The Night Forgotten by Us")</f>
        <v>The Night Forgotten by Us</v>
      </c>
      <c r="C28" s="6" t="str">
        <f>IFERROR(__xludf.DUMMYFUNCTION("""COMPUTED_VALUE"""),"Romance")</f>
        <v>Romance</v>
      </c>
      <c r="D28" s="11">
        <f>IFERROR(__xludf.DUMMYFUNCTION("""COMPUTED_VALUE"""),78.0)</f>
        <v>78</v>
      </c>
      <c r="E28" s="8">
        <f>IFERROR(__xludf.DUMMYFUNCTION("""COMPUTED_VALUE"""),0.948717948717948)</f>
        <v>0.9487179487</v>
      </c>
      <c r="F28" s="8">
        <f>IFERROR(__xludf.DUMMYFUNCTION("""COMPUTED_VALUE"""),0.692307692307692)</f>
        <v>0.6923076923</v>
      </c>
      <c r="G28" s="8">
        <f>IFERROR(__xludf.DUMMYFUNCTION("""COMPUTED_VALUE"""),0.602564102564102)</f>
        <v>0.6025641026</v>
      </c>
      <c r="H28" s="8">
        <f>IFERROR(__xludf.DUMMYFUNCTION("""COMPUTED_VALUE"""),0.564102564102564)</f>
        <v>0.5641025641</v>
      </c>
      <c r="I28" s="8">
        <f>IFERROR(__xludf.DUMMYFUNCTION("""COMPUTED_VALUE"""),0.525641025641025)</f>
        <v>0.5256410256</v>
      </c>
      <c r="J28" s="8">
        <f>IFERROR(__xludf.DUMMYFUNCTION("""COMPUTED_VALUE"""),0.5)</f>
        <v>0.5</v>
      </c>
      <c r="K28" s="8">
        <f>IFERROR(__xludf.DUMMYFUNCTION("""COMPUTED_VALUE"""),0.5)</f>
        <v>0.5</v>
      </c>
      <c r="L28" s="8">
        <f>IFERROR(__xludf.DUMMYFUNCTION("""COMPUTED_VALUE"""),0.5)</f>
        <v>0.5</v>
      </c>
      <c r="M28" s="8">
        <f>IFERROR(__xludf.DUMMYFUNCTION("""COMPUTED_VALUE"""),0.461538461538461)</f>
        <v>0.4615384615</v>
      </c>
      <c r="N28" s="8">
        <f>IFERROR(__xludf.DUMMYFUNCTION("""COMPUTED_VALUE"""),0.435897435897435)</f>
        <v>0.4358974359</v>
      </c>
      <c r="O28" s="8">
        <f>IFERROR(__xludf.DUMMYFUNCTION("""COMPUTED_VALUE"""),0.423076923076923)</f>
        <v>0.4230769231</v>
      </c>
      <c r="P28" s="8">
        <f>IFERROR(__xludf.DUMMYFUNCTION("""COMPUTED_VALUE"""),0.32051282051282)</f>
        <v>0.3205128205</v>
      </c>
      <c r="Q28" s="8">
        <f>IFERROR(__xludf.DUMMYFUNCTION("""COMPUTED_VALUE"""),0.209677419354838)</f>
        <v>0.2096774194</v>
      </c>
      <c r="R28" s="8">
        <f>IFERROR(__xludf.DUMMYFUNCTION("""COMPUTED_VALUE"""),0.0)</f>
        <v>0</v>
      </c>
      <c r="S28" s="8">
        <f>IFERROR(__xludf.DUMMYFUNCTION("""COMPUTED_VALUE"""),0.0)</f>
        <v>0</v>
      </c>
      <c r="T28" s="8">
        <f>IFERROR(__xludf.DUMMYFUNCTION("""COMPUTED_VALUE"""),0.0)</f>
        <v>0</v>
      </c>
      <c r="U28" s="8">
        <f>IFERROR(__xludf.DUMMYFUNCTION("""COMPUTED_VALUE"""),0.0)</f>
        <v>0</v>
      </c>
      <c r="V28" s="8">
        <f>IFERROR(__xludf.DUMMYFUNCTION("""COMPUTED_VALUE"""),0.0)</f>
        <v>0</v>
      </c>
      <c r="W28" s="8">
        <f>IFERROR(__xludf.DUMMYFUNCTION("""COMPUTED_VALUE"""),0.0)</f>
        <v>0</v>
      </c>
      <c r="X28" s="8">
        <f>IFERROR(__xludf.DUMMYFUNCTION("""COMPUTED_VALUE"""),0.0)</f>
        <v>0</v>
      </c>
      <c r="Y28" s="8">
        <f>IFERROR(__xludf.DUMMYFUNCTION("""COMPUTED_VALUE"""),0.0)</f>
        <v>0</v>
      </c>
      <c r="Z28" s="8">
        <f>IFERROR(__xludf.DUMMYFUNCTION("""COMPUTED_VALUE"""),0.0)</f>
        <v>0</v>
      </c>
      <c r="AA28" s="8">
        <f>IFERROR(__xludf.DUMMYFUNCTION("""COMPUTED_VALUE"""),0.0)</f>
        <v>0</v>
      </c>
      <c r="AB28" s="8">
        <f>IFERROR(__xludf.DUMMYFUNCTION("""COMPUTED_VALUE"""),0.0)</f>
        <v>0</v>
      </c>
      <c r="AC28" s="8">
        <f>IFERROR(__xludf.DUMMYFUNCTION("""COMPUTED_VALUE"""),0.0)</f>
        <v>0</v>
      </c>
    </row>
    <row r="29" ht="15.75" customHeight="1">
      <c r="A29" s="6" t="str">
        <f>IFERROR(__xludf.DUMMYFUNCTION("""COMPUTED_VALUE"""),"1b7d7de6c90d2460cfe3da014469e3c056fec830")</f>
        <v>1b7d7de6c90d2460cfe3da014469e3c056fec830</v>
      </c>
      <c r="B29" s="6" t="str">
        <f>IFERROR(__xludf.DUMMYFUNCTION("""COMPUTED_VALUE"""),"The Ceo's Secret Babies")</f>
        <v>The Ceo's Secret Babies</v>
      </c>
      <c r="C29" s="6" t="str">
        <f>IFERROR(__xludf.DUMMYFUNCTION("""COMPUTED_VALUE"""),"Romance")</f>
        <v>Romance</v>
      </c>
      <c r="D29" s="11">
        <f>IFERROR(__xludf.DUMMYFUNCTION("""COMPUTED_VALUE"""),39.0)</f>
        <v>39</v>
      </c>
      <c r="E29" s="8">
        <f>IFERROR(__xludf.DUMMYFUNCTION("""COMPUTED_VALUE"""),0.923076923076923)</f>
        <v>0.9230769231</v>
      </c>
      <c r="F29" s="8">
        <f>IFERROR(__xludf.DUMMYFUNCTION("""COMPUTED_VALUE"""),0.692307692307692)</f>
        <v>0.6923076923</v>
      </c>
      <c r="G29" s="8">
        <f>IFERROR(__xludf.DUMMYFUNCTION("""COMPUTED_VALUE"""),0.615384615384615)</f>
        <v>0.6153846154</v>
      </c>
      <c r="H29" s="8">
        <f>IFERROR(__xludf.DUMMYFUNCTION("""COMPUTED_VALUE"""),0.631578947368421)</f>
        <v>0.6315789474</v>
      </c>
      <c r="I29" s="8">
        <f>IFERROR(__xludf.DUMMYFUNCTION("""COMPUTED_VALUE"""),0.631578947368421)</f>
        <v>0.6315789474</v>
      </c>
      <c r="J29" s="8">
        <f>IFERROR(__xludf.DUMMYFUNCTION("""COMPUTED_VALUE"""),0.605263157894736)</f>
        <v>0.6052631579</v>
      </c>
      <c r="K29" s="8">
        <f>IFERROR(__xludf.DUMMYFUNCTION("""COMPUTED_VALUE"""),0.578947368421052)</f>
        <v>0.5789473684</v>
      </c>
      <c r="L29" s="8">
        <f>IFERROR(__xludf.DUMMYFUNCTION("""COMPUTED_VALUE"""),0.567567567567567)</f>
        <v>0.5675675676</v>
      </c>
      <c r="M29" s="8">
        <f>IFERROR(__xludf.DUMMYFUNCTION("""COMPUTED_VALUE"""),0.54054054054054)</f>
        <v>0.5405405405</v>
      </c>
      <c r="N29" s="8">
        <f>IFERROR(__xludf.DUMMYFUNCTION("""COMPUTED_VALUE"""),0.594594594594594)</f>
        <v>0.5945945946</v>
      </c>
      <c r="O29" s="8">
        <f>IFERROR(__xludf.DUMMYFUNCTION("""COMPUTED_VALUE"""),0.411764705882352)</f>
        <v>0.4117647059</v>
      </c>
      <c r="P29" s="8">
        <f>IFERROR(__xludf.DUMMYFUNCTION("""COMPUTED_VALUE"""),0.323529411764705)</f>
        <v>0.3235294118</v>
      </c>
      <c r="Q29" s="8">
        <f>IFERROR(__xludf.DUMMYFUNCTION("""COMPUTED_VALUE"""),0.088235294117647)</f>
        <v>0.08823529412</v>
      </c>
      <c r="R29" s="8">
        <f>IFERROR(__xludf.DUMMYFUNCTION("""COMPUTED_VALUE"""),0.0588235294117647)</f>
        <v>0.05882352941</v>
      </c>
      <c r="S29" s="8">
        <f>IFERROR(__xludf.DUMMYFUNCTION("""COMPUTED_VALUE"""),0.0384615384615384)</f>
        <v>0.03846153846</v>
      </c>
      <c r="T29" s="8">
        <f>IFERROR(__xludf.DUMMYFUNCTION("""COMPUTED_VALUE"""),0.0)</f>
        <v>0</v>
      </c>
      <c r="U29" s="8">
        <f>IFERROR(__xludf.DUMMYFUNCTION("""COMPUTED_VALUE"""),0.0)</f>
        <v>0</v>
      </c>
      <c r="V29" s="8">
        <f>IFERROR(__xludf.DUMMYFUNCTION("""COMPUTED_VALUE"""),0.0)</f>
        <v>0</v>
      </c>
      <c r="W29" s="8">
        <f>IFERROR(__xludf.DUMMYFUNCTION("""COMPUTED_VALUE"""),0.0)</f>
        <v>0</v>
      </c>
      <c r="X29" s="8">
        <f>IFERROR(__xludf.DUMMYFUNCTION("""COMPUTED_VALUE"""),0.0)</f>
        <v>0</v>
      </c>
      <c r="Y29" s="8">
        <f>IFERROR(__xludf.DUMMYFUNCTION("""COMPUTED_VALUE"""),0.0)</f>
        <v>0</v>
      </c>
      <c r="Z29" s="8">
        <f>IFERROR(__xludf.DUMMYFUNCTION("""COMPUTED_VALUE"""),0.0)</f>
        <v>0</v>
      </c>
      <c r="AA29" s="8">
        <f>IFERROR(__xludf.DUMMYFUNCTION("""COMPUTED_VALUE"""),0.0)</f>
        <v>0</v>
      </c>
      <c r="AB29" s="8">
        <f>IFERROR(__xludf.DUMMYFUNCTION("""COMPUTED_VALUE"""),0.0)</f>
        <v>0</v>
      </c>
      <c r="AC29" s="8">
        <f>IFERROR(__xludf.DUMMYFUNCTION("""COMPUTED_VALUE"""),0.0)</f>
        <v>0</v>
      </c>
    </row>
    <row r="30" ht="15.75" customHeight="1">
      <c r="A30" s="6" t="str">
        <f>IFERROR(__xludf.DUMMYFUNCTION("""COMPUTED_VALUE"""),"1b7d89c237c133e6c5b15db13e684c2e1f3688e1")</f>
        <v>1b7d89c237c133e6c5b15db13e684c2e1f3688e1</v>
      </c>
      <c r="B30" s="6" t="str">
        <f>IFERROR(__xludf.DUMMYFUNCTION("""COMPUTED_VALUE"""),"War God of the Red Sea!")</f>
        <v>War God of the Red Sea!</v>
      </c>
      <c r="C30" s="6" t="str">
        <f>IFERROR(__xludf.DUMMYFUNCTION("""COMPUTED_VALUE"""),"Drama")</f>
        <v>Drama</v>
      </c>
      <c r="D30" s="11">
        <f>IFERROR(__xludf.DUMMYFUNCTION("""COMPUTED_VALUE"""),313.0)</f>
        <v>313</v>
      </c>
      <c r="E30" s="8">
        <f>IFERROR(__xludf.DUMMYFUNCTION("""COMPUTED_VALUE"""),0.977635782747603)</f>
        <v>0.9776357827</v>
      </c>
      <c r="F30" s="8">
        <f>IFERROR(__xludf.DUMMYFUNCTION("""COMPUTED_VALUE"""),0.539936102236421)</f>
        <v>0.5399361022</v>
      </c>
      <c r="G30" s="8">
        <f>IFERROR(__xludf.DUMMYFUNCTION("""COMPUTED_VALUE"""),0.399361022364217)</f>
        <v>0.3993610224</v>
      </c>
      <c r="H30" s="8">
        <f>IFERROR(__xludf.DUMMYFUNCTION("""COMPUTED_VALUE"""),0.338582677165354)</f>
        <v>0.3385826772</v>
      </c>
      <c r="I30" s="8">
        <f>IFERROR(__xludf.DUMMYFUNCTION("""COMPUTED_VALUE"""),0.297959183673469)</f>
        <v>0.2979591837</v>
      </c>
      <c r="J30" s="8">
        <f>IFERROR(__xludf.DUMMYFUNCTION("""COMPUTED_VALUE"""),0.276150627615062)</f>
        <v>0.2761506276</v>
      </c>
      <c r="K30" s="8">
        <f>IFERROR(__xludf.DUMMYFUNCTION("""COMPUTED_VALUE"""),0.245762711864406)</f>
        <v>0.2457627119</v>
      </c>
      <c r="L30" s="8">
        <f>IFERROR(__xludf.DUMMYFUNCTION("""COMPUTED_VALUE"""),0.241025641025641)</f>
        <v>0.241025641</v>
      </c>
      <c r="M30" s="8">
        <f>IFERROR(__xludf.DUMMYFUNCTION("""COMPUTED_VALUE"""),0.234567901234567)</f>
        <v>0.2345679012</v>
      </c>
      <c r="N30" s="8">
        <f>IFERROR(__xludf.DUMMYFUNCTION("""COMPUTED_VALUE"""),0.25233644859813)</f>
        <v>0.2523364486</v>
      </c>
      <c r="O30" s="8">
        <f>IFERROR(__xludf.DUMMYFUNCTION("""COMPUTED_VALUE"""),0.24390243902439)</f>
        <v>0.243902439</v>
      </c>
      <c r="P30" s="8">
        <f>IFERROR(__xludf.DUMMYFUNCTION("""COMPUTED_VALUE"""),0.189189189189189)</f>
        <v>0.1891891892</v>
      </c>
      <c r="Q30" s="8">
        <f>IFERROR(__xludf.DUMMYFUNCTION("""COMPUTED_VALUE"""),0.0)</f>
        <v>0</v>
      </c>
      <c r="R30" s="8">
        <f>IFERROR(__xludf.DUMMYFUNCTION("""COMPUTED_VALUE"""),0.0)</f>
        <v>0</v>
      </c>
      <c r="S30" s="8">
        <f>IFERROR(__xludf.DUMMYFUNCTION("""COMPUTED_VALUE"""),0.0)</f>
        <v>0</v>
      </c>
      <c r="T30" s="8">
        <f>IFERROR(__xludf.DUMMYFUNCTION("""COMPUTED_VALUE"""),0.0)</f>
        <v>0</v>
      </c>
      <c r="U30" s="8">
        <f>IFERROR(__xludf.DUMMYFUNCTION("""COMPUTED_VALUE"""),0.0)</f>
        <v>0</v>
      </c>
      <c r="V30" s="8">
        <f>IFERROR(__xludf.DUMMYFUNCTION("""COMPUTED_VALUE"""),0.0)</f>
        <v>0</v>
      </c>
      <c r="W30" s="8">
        <f>IFERROR(__xludf.DUMMYFUNCTION("""COMPUTED_VALUE"""),0.0)</f>
        <v>0</v>
      </c>
      <c r="X30" s="8">
        <f>IFERROR(__xludf.DUMMYFUNCTION("""COMPUTED_VALUE"""),0.0)</f>
        <v>0</v>
      </c>
      <c r="Y30" s="8">
        <f>IFERROR(__xludf.DUMMYFUNCTION("""COMPUTED_VALUE"""),0.0)</f>
        <v>0</v>
      </c>
      <c r="Z30" s="8">
        <f>IFERROR(__xludf.DUMMYFUNCTION("""COMPUTED_VALUE"""),0.0)</f>
        <v>0</v>
      </c>
      <c r="AA30" s="8">
        <f>IFERROR(__xludf.DUMMYFUNCTION("""COMPUTED_VALUE"""),0.0)</f>
        <v>0</v>
      </c>
      <c r="AB30" s="8">
        <f>IFERROR(__xludf.DUMMYFUNCTION("""COMPUTED_VALUE"""),0.0)</f>
        <v>0</v>
      </c>
      <c r="AC30" s="8">
        <f>IFERROR(__xludf.DUMMYFUNCTION("""COMPUTED_VALUE"""),0.0)</f>
        <v>0</v>
      </c>
    </row>
    <row r="31" ht="15.75" customHeight="1">
      <c r="A31" s="6" t="str">
        <f>IFERROR(__xludf.DUMMYFUNCTION("""COMPUTED_VALUE"""),"1c56eb2cce6609cb207d235ae3464f7759d4cb84")</f>
        <v>1c56eb2cce6609cb207d235ae3464f7759d4cb84</v>
      </c>
      <c r="B31" s="6" t="str">
        <f>IFERROR(__xludf.DUMMYFUNCTION("""COMPUTED_VALUE"""),"Rage of the Heiress")</f>
        <v>Rage of the Heiress</v>
      </c>
      <c r="C31" s="6" t="str">
        <f>IFERROR(__xludf.DUMMYFUNCTION("""COMPUTED_VALUE"""),"Drama")</f>
        <v>Drama</v>
      </c>
      <c r="D31" s="11">
        <f>IFERROR(__xludf.DUMMYFUNCTION("""COMPUTED_VALUE"""),239.0)</f>
        <v>239</v>
      </c>
      <c r="E31" s="8">
        <f>IFERROR(__xludf.DUMMYFUNCTION("""COMPUTED_VALUE"""),0.966527196652719)</f>
        <v>0.9665271967</v>
      </c>
      <c r="F31" s="8">
        <f>IFERROR(__xludf.DUMMYFUNCTION("""COMPUTED_VALUE"""),0.635983263598326)</f>
        <v>0.6359832636</v>
      </c>
      <c r="G31" s="8">
        <f>IFERROR(__xludf.DUMMYFUNCTION("""COMPUTED_VALUE"""),0.610878661087866)</f>
        <v>0.6108786611</v>
      </c>
      <c r="H31" s="8">
        <f>IFERROR(__xludf.DUMMYFUNCTION("""COMPUTED_VALUE"""),0.573275862068965)</f>
        <v>0.5732758621</v>
      </c>
      <c r="I31" s="8">
        <f>IFERROR(__xludf.DUMMYFUNCTION("""COMPUTED_VALUE"""),0.519650655021834)</f>
        <v>0.519650655</v>
      </c>
      <c r="J31" s="8">
        <f>IFERROR(__xludf.DUMMYFUNCTION("""COMPUTED_VALUE"""),0.491150442477876)</f>
        <v>0.4911504425</v>
      </c>
      <c r="K31" s="8">
        <f>IFERROR(__xludf.DUMMYFUNCTION("""COMPUTED_VALUE"""),0.475336322869955)</f>
        <v>0.4753363229</v>
      </c>
      <c r="L31" s="8">
        <f>IFERROR(__xludf.DUMMYFUNCTION("""COMPUTED_VALUE"""),0.449074074074074)</f>
        <v>0.4490740741</v>
      </c>
      <c r="M31" s="8">
        <f>IFERROR(__xludf.DUMMYFUNCTION("""COMPUTED_VALUE"""),0.413145539906103)</f>
        <v>0.4131455399</v>
      </c>
      <c r="N31" s="8">
        <f>IFERROR(__xludf.DUMMYFUNCTION("""COMPUTED_VALUE"""),0.413461538461538)</f>
        <v>0.4134615385</v>
      </c>
      <c r="O31" s="8">
        <f>IFERROR(__xludf.DUMMYFUNCTION("""COMPUTED_VALUE"""),0.385474860335195)</f>
        <v>0.3854748603</v>
      </c>
      <c r="P31" s="8">
        <f>IFERROR(__xludf.DUMMYFUNCTION("""COMPUTED_VALUE"""),0.254777070063694)</f>
        <v>0.2547770701</v>
      </c>
      <c r="Q31" s="8">
        <f>IFERROR(__xludf.DUMMYFUNCTION("""COMPUTED_VALUE"""),0.161538461538461)</f>
        <v>0.1615384615</v>
      </c>
      <c r="R31" s="8">
        <f>IFERROR(__xludf.DUMMYFUNCTION("""COMPUTED_VALUE"""),0.142857142857142)</f>
        <v>0.1428571429</v>
      </c>
      <c r="S31" s="8">
        <f>IFERROR(__xludf.DUMMYFUNCTION("""COMPUTED_VALUE"""),0.147540983606557)</f>
        <v>0.1475409836</v>
      </c>
      <c r="T31" s="8">
        <f>IFERROR(__xludf.DUMMYFUNCTION("""COMPUTED_VALUE"""),0.120689655172413)</f>
        <v>0.1206896552</v>
      </c>
      <c r="U31" s="8">
        <f>IFERROR(__xludf.DUMMYFUNCTION("""COMPUTED_VALUE"""),0.0973451327433628)</f>
        <v>0.09734513274</v>
      </c>
      <c r="V31" s="8">
        <f>IFERROR(__xludf.DUMMYFUNCTION("""COMPUTED_VALUE"""),0.0747663551401869)</f>
        <v>0.07476635514</v>
      </c>
      <c r="W31" s="8">
        <f>IFERROR(__xludf.DUMMYFUNCTION("""COMPUTED_VALUE"""),0.0)</f>
        <v>0</v>
      </c>
      <c r="X31" s="8">
        <f>IFERROR(__xludf.DUMMYFUNCTION("""COMPUTED_VALUE"""),0.0)</f>
        <v>0</v>
      </c>
      <c r="Y31" s="8">
        <f>IFERROR(__xludf.DUMMYFUNCTION("""COMPUTED_VALUE"""),0.0)</f>
        <v>0</v>
      </c>
      <c r="Z31" s="8">
        <f>IFERROR(__xludf.DUMMYFUNCTION("""COMPUTED_VALUE"""),0.0)</f>
        <v>0</v>
      </c>
      <c r="AA31" s="8">
        <f>IFERROR(__xludf.DUMMYFUNCTION("""COMPUTED_VALUE"""),0.0)</f>
        <v>0</v>
      </c>
      <c r="AB31" s="8">
        <f>IFERROR(__xludf.DUMMYFUNCTION("""COMPUTED_VALUE"""),0.0)</f>
        <v>0</v>
      </c>
      <c r="AC31" s="8">
        <f>IFERROR(__xludf.DUMMYFUNCTION("""COMPUTED_VALUE"""),0.0)</f>
        <v>0</v>
      </c>
    </row>
    <row r="32" ht="15.75" customHeight="1">
      <c r="A32" s="6" t="str">
        <f>IFERROR(__xludf.DUMMYFUNCTION("""COMPUTED_VALUE"""),"1ca4f3c3b8e200f37ec14ed7a11442df6a65f4e6")</f>
        <v>1ca4f3c3b8e200f37ec14ed7a11442df6a65f4e6</v>
      </c>
      <c r="B32" s="6" t="str">
        <f>IFERROR(__xludf.DUMMYFUNCTION("""COMPUTED_VALUE"""),"Unstoppable Cultivator")</f>
        <v>Unstoppable Cultivator</v>
      </c>
      <c r="C32" s="6" t="str">
        <f>IFERROR(__xludf.DUMMYFUNCTION("""COMPUTED_VALUE"""),"Fantasy")</f>
        <v>Fantasy</v>
      </c>
      <c r="D32" s="11">
        <f>IFERROR(__xludf.DUMMYFUNCTION("""COMPUTED_VALUE"""),562.0)</f>
        <v>562</v>
      </c>
      <c r="E32" s="8">
        <f>IFERROR(__xludf.DUMMYFUNCTION("""COMPUTED_VALUE"""),0.980427046263345)</f>
        <v>0.9804270463</v>
      </c>
      <c r="F32" s="8">
        <f>IFERROR(__xludf.DUMMYFUNCTION("""COMPUTED_VALUE"""),0.44306049822064)</f>
        <v>0.4430604982</v>
      </c>
      <c r="G32" s="8">
        <f>IFERROR(__xludf.DUMMYFUNCTION("""COMPUTED_VALUE"""),0.391459074733096)</f>
        <v>0.3914590747</v>
      </c>
      <c r="H32" s="8">
        <f>IFERROR(__xludf.DUMMYFUNCTION("""COMPUTED_VALUE"""),0.351158645276292)</f>
        <v>0.3511586453</v>
      </c>
      <c r="I32" s="8">
        <f>IFERROR(__xludf.DUMMYFUNCTION("""COMPUTED_VALUE"""),0.330357142857142)</f>
        <v>0.3303571429</v>
      </c>
      <c r="J32" s="8">
        <f>IFERROR(__xludf.DUMMYFUNCTION("""COMPUTED_VALUE"""),0.29695885509839)</f>
        <v>0.2969588551</v>
      </c>
      <c r="K32" s="8">
        <f>IFERROR(__xludf.DUMMYFUNCTION("""COMPUTED_VALUE"""),0.290843806104129)</f>
        <v>0.2908438061</v>
      </c>
      <c r="L32" s="8">
        <f>IFERROR(__xludf.DUMMYFUNCTION("""COMPUTED_VALUE"""),0.282374100719424)</f>
        <v>0.2823741007</v>
      </c>
      <c r="M32" s="8">
        <f>IFERROR(__xludf.DUMMYFUNCTION("""COMPUTED_VALUE"""),0.261261261261261)</f>
        <v>0.2612612613</v>
      </c>
      <c r="N32" s="8">
        <f>IFERROR(__xludf.DUMMYFUNCTION("""COMPUTED_VALUE"""),0.246823956442831)</f>
        <v>0.2468239564</v>
      </c>
      <c r="O32" s="8">
        <f>IFERROR(__xludf.DUMMYFUNCTION("""COMPUTED_VALUE"""),0.21626617375231)</f>
        <v>0.2162661738</v>
      </c>
      <c r="P32" s="8">
        <f>IFERROR(__xludf.DUMMYFUNCTION("""COMPUTED_VALUE"""),0.210526315789473)</f>
        <v>0.2105263158</v>
      </c>
      <c r="Q32" s="8">
        <f>IFERROR(__xludf.DUMMYFUNCTION("""COMPUTED_VALUE"""),0.214285714285714)</f>
        <v>0.2142857143</v>
      </c>
      <c r="R32" s="8">
        <f>IFERROR(__xludf.DUMMYFUNCTION("""COMPUTED_VALUE"""),0.25)</f>
        <v>0.25</v>
      </c>
      <c r="S32" s="8">
        <f>IFERROR(__xludf.DUMMYFUNCTION("""COMPUTED_VALUE"""),0.0)</f>
        <v>0</v>
      </c>
      <c r="T32" s="8">
        <f>IFERROR(__xludf.DUMMYFUNCTION("""COMPUTED_VALUE"""),0.0)</f>
        <v>0</v>
      </c>
      <c r="U32" s="8">
        <f>IFERROR(__xludf.DUMMYFUNCTION("""COMPUTED_VALUE"""),0.0)</f>
        <v>0</v>
      </c>
      <c r="V32" s="8">
        <f>IFERROR(__xludf.DUMMYFUNCTION("""COMPUTED_VALUE"""),0.0)</f>
        <v>0</v>
      </c>
      <c r="W32" s="8">
        <f>IFERROR(__xludf.DUMMYFUNCTION("""COMPUTED_VALUE"""),0.0)</f>
        <v>0</v>
      </c>
      <c r="X32" s="8">
        <f>IFERROR(__xludf.DUMMYFUNCTION("""COMPUTED_VALUE"""),0.0)</f>
        <v>0</v>
      </c>
      <c r="Y32" s="8">
        <f>IFERROR(__xludf.DUMMYFUNCTION("""COMPUTED_VALUE"""),0.0)</f>
        <v>0</v>
      </c>
      <c r="Z32" s="8">
        <f>IFERROR(__xludf.DUMMYFUNCTION("""COMPUTED_VALUE"""),0.0)</f>
        <v>0</v>
      </c>
      <c r="AA32" s="8">
        <f>IFERROR(__xludf.DUMMYFUNCTION("""COMPUTED_VALUE"""),0.0)</f>
        <v>0</v>
      </c>
      <c r="AB32" s="8">
        <f>IFERROR(__xludf.DUMMYFUNCTION("""COMPUTED_VALUE"""),0.0)</f>
        <v>0</v>
      </c>
      <c r="AC32" s="8">
        <f>IFERROR(__xludf.DUMMYFUNCTION("""COMPUTED_VALUE"""),0.0)</f>
        <v>0</v>
      </c>
    </row>
    <row r="33" ht="15.75" customHeight="1">
      <c r="A33" s="6" t="str">
        <f>IFERROR(__xludf.DUMMYFUNCTION("""COMPUTED_VALUE"""),"1d8b1f39e146ede1f7528763445a7a47aad10b05")</f>
        <v>1d8b1f39e146ede1f7528763445a7a47aad10b05</v>
      </c>
      <c r="B33" s="6" t="str">
        <f>IFERROR(__xludf.DUMMYFUNCTION("""COMPUTED_VALUE"""),"Love and Heartbroken")</f>
        <v>Love and Heartbroken</v>
      </c>
      <c r="C33" s="6" t="str">
        <f>IFERROR(__xludf.DUMMYFUNCTION("""COMPUTED_VALUE"""),"System and Superpower")</f>
        <v>System and Superpower</v>
      </c>
      <c r="D33" s="11">
        <f>IFERROR(__xludf.DUMMYFUNCTION("""COMPUTED_VALUE"""),261.0)</f>
        <v>261</v>
      </c>
      <c r="E33" s="8">
        <f>IFERROR(__xludf.DUMMYFUNCTION("""COMPUTED_VALUE"""),0.977011494252873)</f>
        <v>0.9770114943</v>
      </c>
      <c r="F33" s="8">
        <f>IFERROR(__xludf.DUMMYFUNCTION("""COMPUTED_VALUE"""),0.689655172413793)</f>
        <v>0.6896551724</v>
      </c>
      <c r="G33" s="8">
        <f>IFERROR(__xludf.DUMMYFUNCTION("""COMPUTED_VALUE"""),0.651340996168582)</f>
        <v>0.6513409962</v>
      </c>
      <c r="H33" s="8">
        <f>IFERROR(__xludf.DUMMYFUNCTION("""COMPUTED_VALUE"""),0.584615384615384)</f>
        <v>0.5846153846</v>
      </c>
      <c r="I33" s="8">
        <f>IFERROR(__xludf.DUMMYFUNCTION("""COMPUTED_VALUE"""),0.557692307692307)</f>
        <v>0.5576923077</v>
      </c>
      <c r="J33" s="8">
        <f>IFERROR(__xludf.DUMMYFUNCTION("""COMPUTED_VALUE"""),0.488461538461538)</f>
        <v>0.4884615385</v>
      </c>
      <c r="K33" s="8">
        <f>IFERROR(__xludf.DUMMYFUNCTION("""COMPUTED_VALUE"""),0.48076923076923)</f>
        <v>0.4807692308</v>
      </c>
      <c r="L33" s="8">
        <f>IFERROR(__xludf.DUMMYFUNCTION("""COMPUTED_VALUE"""),0.45)</f>
        <v>0.45</v>
      </c>
      <c r="M33" s="8">
        <f>IFERROR(__xludf.DUMMYFUNCTION("""COMPUTED_VALUE"""),0.43076923076923)</f>
        <v>0.4307692308</v>
      </c>
      <c r="N33" s="8">
        <f>IFERROR(__xludf.DUMMYFUNCTION("""COMPUTED_VALUE"""),0.342307692307692)</f>
        <v>0.3423076923</v>
      </c>
      <c r="O33" s="8">
        <f>IFERROR(__xludf.DUMMYFUNCTION("""COMPUTED_VALUE"""),0.254032258064516)</f>
        <v>0.2540322581</v>
      </c>
      <c r="P33" s="8">
        <f>IFERROR(__xludf.DUMMYFUNCTION("""COMPUTED_VALUE"""),0.177777777777777)</f>
        <v>0.1777777778</v>
      </c>
      <c r="Q33" s="8">
        <f>IFERROR(__xludf.DUMMYFUNCTION("""COMPUTED_VALUE"""),0.113300492610837)</f>
        <v>0.1133004926</v>
      </c>
      <c r="R33" s="8">
        <f>IFERROR(__xludf.DUMMYFUNCTION("""COMPUTED_VALUE"""),0.0398009950248756)</f>
        <v>0.03980099502</v>
      </c>
      <c r="S33" s="8">
        <f>IFERROR(__xludf.DUMMYFUNCTION("""COMPUTED_VALUE"""),0.0217391304347826)</f>
        <v>0.02173913043</v>
      </c>
      <c r="T33" s="8">
        <f>IFERROR(__xludf.DUMMYFUNCTION("""COMPUTED_VALUE"""),0.0)</f>
        <v>0</v>
      </c>
      <c r="U33" s="8">
        <f>IFERROR(__xludf.DUMMYFUNCTION("""COMPUTED_VALUE"""),0.0)</f>
        <v>0</v>
      </c>
      <c r="V33" s="8">
        <f>IFERROR(__xludf.DUMMYFUNCTION("""COMPUTED_VALUE"""),0.0)</f>
        <v>0</v>
      </c>
      <c r="W33" s="8">
        <f>IFERROR(__xludf.DUMMYFUNCTION("""COMPUTED_VALUE"""),0.0)</f>
        <v>0</v>
      </c>
      <c r="X33" s="8">
        <f>IFERROR(__xludf.DUMMYFUNCTION("""COMPUTED_VALUE"""),0.0)</f>
        <v>0</v>
      </c>
      <c r="Y33" s="8">
        <f>IFERROR(__xludf.DUMMYFUNCTION("""COMPUTED_VALUE"""),0.0)</f>
        <v>0</v>
      </c>
      <c r="Z33" s="8">
        <f>IFERROR(__xludf.DUMMYFUNCTION("""COMPUTED_VALUE"""),0.0)</f>
        <v>0</v>
      </c>
      <c r="AA33" s="8">
        <f>IFERROR(__xludf.DUMMYFUNCTION("""COMPUTED_VALUE"""),0.0)</f>
        <v>0</v>
      </c>
      <c r="AB33" s="8">
        <f>IFERROR(__xludf.DUMMYFUNCTION("""COMPUTED_VALUE"""),0.0)</f>
        <v>0</v>
      </c>
      <c r="AC33" s="8">
        <f>IFERROR(__xludf.DUMMYFUNCTION("""COMPUTED_VALUE"""),0.0)</f>
        <v>0</v>
      </c>
    </row>
    <row r="34" ht="15.75" customHeight="1">
      <c r="A34" s="6" t="str">
        <f>IFERROR(__xludf.DUMMYFUNCTION("""COMPUTED_VALUE"""),"1e1205d9e93348005e7eb4b2e071c8c63b7914ca")</f>
        <v>1e1205d9e93348005e7eb4b2e071c8c63b7914ca</v>
      </c>
      <c r="B34" s="6" t="str">
        <f>IFERROR(__xludf.DUMMYFUNCTION("""COMPUTED_VALUE"""),"The Heart's Captive")</f>
        <v>The Heart's Captive</v>
      </c>
      <c r="C34" s="6" t="str">
        <f>IFERROR(__xludf.DUMMYFUNCTION("""COMPUTED_VALUE"""),"Romantasy")</f>
        <v>Romantasy</v>
      </c>
      <c r="D34" s="11">
        <f>IFERROR(__xludf.DUMMYFUNCTION("""COMPUTED_VALUE"""),13.0)</f>
        <v>13</v>
      </c>
      <c r="E34" s="8">
        <f>IFERROR(__xludf.DUMMYFUNCTION("""COMPUTED_VALUE"""),0.923076923076923)</f>
        <v>0.9230769231</v>
      </c>
      <c r="F34" s="8">
        <f>IFERROR(__xludf.DUMMYFUNCTION("""COMPUTED_VALUE"""),0.461538461538461)</f>
        <v>0.4615384615</v>
      </c>
      <c r="G34" s="8">
        <f>IFERROR(__xludf.DUMMYFUNCTION("""COMPUTED_VALUE"""),0.384615384615384)</f>
        <v>0.3846153846</v>
      </c>
      <c r="H34" s="8">
        <f>IFERROR(__xludf.DUMMYFUNCTION("""COMPUTED_VALUE"""),0.461538461538461)</f>
        <v>0.4615384615</v>
      </c>
      <c r="I34" s="8">
        <f>IFERROR(__xludf.DUMMYFUNCTION("""COMPUTED_VALUE"""),0.384615384615384)</f>
        <v>0.3846153846</v>
      </c>
      <c r="J34" s="8">
        <f>IFERROR(__xludf.DUMMYFUNCTION("""COMPUTED_VALUE"""),0.384615384615384)</f>
        <v>0.3846153846</v>
      </c>
      <c r="K34" s="8">
        <f>IFERROR(__xludf.DUMMYFUNCTION("""COMPUTED_VALUE"""),0.461538461538461)</f>
        <v>0.4615384615</v>
      </c>
      <c r="L34" s="8">
        <f>IFERROR(__xludf.DUMMYFUNCTION("""COMPUTED_VALUE"""),0.461538461538461)</f>
        <v>0.4615384615</v>
      </c>
      <c r="M34" s="8">
        <f>IFERROR(__xludf.DUMMYFUNCTION("""COMPUTED_VALUE"""),0.384615384615384)</f>
        <v>0.3846153846</v>
      </c>
      <c r="N34" s="8">
        <f>IFERROR(__xludf.DUMMYFUNCTION("""COMPUTED_VALUE"""),0.538461538461538)</f>
        <v>0.5384615385</v>
      </c>
      <c r="O34" s="8">
        <f>IFERROR(__xludf.DUMMYFUNCTION("""COMPUTED_VALUE"""),0.384615384615384)</f>
        <v>0.3846153846</v>
      </c>
      <c r="P34" s="8">
        <f>IFERROR(__xludf.DUMMYFUNCTION("""COMPUTED_VALUE"""),0.0769230769230769)</f>
        <v>0.07692307692</v>
      </c>
      <c r="Q34" s="8">
        <f>IFERROR(__xludf.DUMMYFUNCTION("""COMPUTED_VALUE"""),0.0769230769230769)</f>
        <v>0.07692307692</v>
      </c>
      <c r="R34" s="8">
        <f>IFERROR(__xludf.DUMMYFUNCTION("""COMPUTED_VALUE"""),0.0)</f>
        <v>0</v>
      </c>
      <c r="S34" s="8">
        <f>IFERROR(__xludf.DUMMYFUNCTION("""COMPUTED_VALUE"""),0.0)</f>
        <v>0</v>
      </c>
      <c r="T34" s="8">
        <f>IFERROR(__xludf.DUMMYFUNCTION("""COMPUTED_VALUE"""),0.0)</f>
        <v>0</v>
      </c>
      <c r="U34" s="8">
        <f>IFERROR(__xludf.DUMMYFUNCTION("""COMPUTED_VALUE"""),0.0)</f>
        <v>0</v>
      </c>
      <c r="V34" s="8">
        <f>IFERROR(__xludf.DUMMYFUNCTION("""COMPUTED_VALUE"""),0.0)</f>
        <v>0</v>
      </c>
      <c r="W34" s="8">
        <f>IFERROR(__xludf.DUMMYFUNCTION("""COMPUTED_VALUE"""),0.0)</f>
        <v>0</v>
      </c>
      <c r="X34" s="8">
        <f>IFERROR(__xludf.DUMMYFUNCTION("""COMPUTED_VALUE"""),0.0)</f>
        <v>0</v>
      </c>
      <c r="Y34" s="8">
        <f>IFERROR(__xludf.DUMMYFUNCTION("""COMPUTED_VALUE"""),0.0)</f>
        <v>0</v>
      </c>
      <c r="Z34" s="8">
        <f>IFERROR(__xludf.DUMMYFUNCTION("""COMPUTED_VALUE"""),0.0)</f>
        <v>0</v>
      </c>
      <c r="AA34" s="8">
        <f>IFERROR(__xludf.DUMMYFUNCTION("""COMPUTED_VALUE"""),0.0)</f>
        <v>0</v>
      </c>
      <c r="AB34" s="8">
        <f>IFERROR(__xludf.DUMMYFUNCTION("""COMPUTED_VALUE"""),0.0)</f>
        <v>0</v>
      </c>
      <c r="AC34" s="8">
        <f>IFERROR(__xludf.DUMMYFUNCTION("""COMPUTED_VALUE"""),0.0)</f>
        <v>0</v>
      </c>
    </row>
    <row r="35" ht="15.75" customHeight="1">
      <c r="A35" s="6" t="str">
        <f>IFERROR(__xludf.DUMMYFUNCTION("""COMPUTED_VALUE"""),"1e2b4197fd4a9f595c560bc8d4530339758b031a")</f>
        <v>1e2b4197fd4a9f595c560bc8d4530339758b031a</v>
      </c>
      <c r="B35" s="6" t="str">
        <f>IFERROR(__xludf.DUMMYFUNCTION("""COMPUTED_VALUE"""),"Becoming Garrison Green")</f>
        <v>Becoming Garrison Green</v>
      </c>
      <c r="C35" s="6" t="str">
        <f>IFERROR(__xludf.DUMMYFUNCTION("""COMPUTED_VALUE"""),"Drama")</f>
        <v>Drama</v>
      </c>
      <c r="D35" s="11">
        <f>IFERROR(__xludf.DUMMYFUNCTION("""COMPUTED_VALUE"""),665.0)</f>
        <v>665</v>
      </c>
      <c r="E35" s="8">
        <f>IFERROR(__xludf.DUMMYFUNCTION("""COMPUTED_VALUE"""),0.96390977443609)</f>
        <v>0.9639097744</v>
      </c>
      <c r="F35" s="8">
        <f>IFERROR(__xludf.DUMMYFUNCTION("""COMPUTED_VALUE"""),0.658646616541353)</f>
        <v>0.6586466165</v>
      </c>
      <c r="G35" s="8">
        <f>IFERROR(__xludf.DUMMYFUNCTION("""COMPUTED_VALUE"""),0.643609022556391)</f>
        <v>0.6436090226</v>
      </c>
      <c r="H35" s="8">
        <f>IFERROR(__xludf.DUMMYFUNCTION("""COMPUTED_VALUE"""),0.615963855421686)</f>
        <v>0.6159638554</v>
      </c>
      <c r="I35" s="8">
        <f>IFERROR(__xludf.DUMMYFUNCTION("""COMPUTED_VALUE"""),0.593373493975903)</f>
        <v>0.593373494</v>
      </c>
      <c r="J35" s="8">
        <f>IFERROR(__xludf.DUMMYFUNCTION("""COMPUTED_VALUE"""),0.577677224736048)</f>
        <v>0.5776772247</v>
      </c>
      <c r="K35" s="8">
        <f>IFERROR(__xludf.DUMMYFUNCTION("""COMPUTED_VALUE"""),0.546003016591251)</f>
        <v>0.5460030166</v>
      </c>
      <c r="L35" s="8">
        <f>IFERROR(__xludf.DUMMYFUNCTION("""COMPUTED_VALUE"""),0.519637462235649)</f>
        <v>0.5196374622</v>
      </c>
      <c r="M35" s="8">
        <f>IFERROR(__xludf.DUMMYFUNCTION("""COMPUTED_VALUE"""),0.503021148036253)</f>
        <v>0.503021148</v>
      </c>
      <c r="N35" s="8">
        <f>IFERROR(__xludf.DUMMYFUNCTION("""COMPUTED_VALUE"""),0.48036253776435)</f>
        <v>0.4803625378</v>
      </c>
      <c r="O35" s="8">
        <f>IFERROR(__xludf.DUMMYFUNCTION("""COMPUTED_VALUE"""),0.434984520123839)</f>
        <v>0.4349845201</v>
      </c>
      <c r="P35" s="8">
        <f>IFERROR(__xludf.DUMMYFUNCTION("""COMPUTED_VALUE"""),0.322834645669291)</f>
        <v>0.3228346457</v>
      </c>
      <c r="Q35" s="8">
        <f>IFERROR(__xludf.DUMMYFUNCTION("""COMPUTED_VALUE"""),0.228739002932551)</f>
        <v>0.2287390029</v>
      </c>
      <c r="R35" s="8">
        <f>IFERROR(__xludf.DUMMYFUNCTION("""COMPUTED_VALUE"""),0.3)</f>
        <v>0.3</v>
      </c>
      <c r="S35" s="8">
        <f>IFERROR(__xludf.DUMMYFUNCTION("""COMPUTED_VALUE"""),0.0)</f>
        <v>0</v>
      </c>
      <c r="T35" s="8">
        <f>IFERROR(__xludf.DUMMYFUNCTION("""COMPUTED_VALUE"""),0.0)</f>
        <v>0</v>
      </c>
      <c r="U35" s="8">
        <f>IFERROR(__xludf.DUMMYFUNCTION("""COMPUTED_VALUE"""),0.0)</f>
        <v>0</v>
      </c>
      <c r="V35" s="8">
        <f>IFERROR(__xludf.DUMMYFUNCTION("""COMPUTED_VALUE"""),0.0)</f>
        <v>0</v>
      </c>
      <c r="W35" s="8">
        <f>IFERROR(__xludf.DUMMYFUNCTION("""COMPUTED_VALUE"""),0.0)</f>
        <v>0</v>
      </c>
      <c r="X35" s="8">
        <f>IFERROR(__xludf.DUMMYFUNCTION("""COMPUTED_VALUE"""),0.0)</f>
        <v>0</v>
      </c>
      <c r="Y35" s="8">
        <f>IFERROR(__xludf.DUMMYFUNCTION("""COMPUTED_VALUE"""),0.0)</f>
        <v>0</v>
      </c>
      <c r="Z35" s="8">
        <f>IFERROR(__xludf.DUMMYFUNCTION("""COMPUTED_VALUE"""),0.0)</f>
        <v>0</v>
      </c>
      <c r="AA35" s="8">
        <f>IFERROR(__xludf.DUMMYFUNCTION("""COMPUTED_VALUE"""),0.0)</f>
        <v>0</v>
      </c>
      <c r="AB35" s="8">
        <f>IFERROR(__xludf.DUMMYFUNCTION("""COMPUTED_VALUE"""),0.0)</f>
        <v>0</v>
      </c>
      <c r="AC35" s="8">
        <f>IFERROR(__xludf.DUMMYFUNCTION("""COMPUTED_VALUE"""),0.0)</f>
        <v>0</v>
      </c>
    </row>
    <row r="36" ht="15.75" customHeight="1">
      <c r="A36" s="6" t="str">
        <f>IFERROR(__xludf.DUMMYFUNCTION("""COMPUTED_VALUE"""),"1e8c33b5d824973efcdca4b5194f961aed4ba258")</f>
        <v>1e8c33b5d824973efcdca4b5194f961aed4ba258</v>
      </c>
      <c r="B36" s="6" t="str">
        <f>IFERROR(__xludf.DUMMYFUNCTION("""COMPUTED_VALUE"""),"Mafia's Reluctant Bride")</f>
        <v>Mafia's Reluctant Bride</v>
      </c>
      <c r="C36" s="6" t="str">
        <f>IFERROR(__xludf.DUMMYFUNCTION("""COMPUTED_VALUE"""),"Romance")</f>
        <v>Romance</v>
      </c>
      <c r="D36" s="11">
        <f>IFERROR(__xludf.DUMMYFUNCTION("""COMPUTED_VALUE"""),33.0)</f>
        <v>33</v>
      </c>
      <c r="E36" s="8">
        <f>IFERROR(__xludf.DUMMYFUNCTION("""COMPUTED_VALUE"""),1.0)</f>
        <v>1</v>
      </c>
      <c r="F36" s="8">
        <f>IFERROR(__xludf.DUMMYFUNCTION("""COMPUTED_VALUE"""),0.666666666666666)</f>
        <v>0.6666666667</v>
      </c>
      <c r="G36" s="8">
        <f>IFERROR(__xludf.DUMMYFUNCTION("""COMPUTED_VALUE"""),0.636363636363636)</f>
        <v>0.6363636364</v>
      </c>
      <c r="H36" s="8">
        <f>IFERROR(__xludf.DUMMYFUNCTION("""COMPUTED_VALUE"""),0.625)</f>
        <v>0.625</v>
      </c>
      <c r="I36" s="8">
        <f>IFERROR(__xludf.DUMMYFUNCTION("""COMPUTED_VALUE"""),0.548387096774193)</f>
        <v>0.5483870968</v>
      </c>
      <c r="J36" s="8">
        <f>IFERROR(__xludf.DUMMYFUNCTION("""COMPUTED_VALUE"""),0.483870967741935)</f>
        <v>0.4838709677</v>
      </c>
      <c r="K36" s="8">
        <f>IFERROR(__xludf.DUMMYFUNCTION("""COMPUTED_VALUE"""),0.5)</f>
        <v>0.5</v>
      </c>
      <c r="L36" s="8">
        <f>IFERROR(__xludf.DUMMYFUNCTION("""COMPUTED_VALUE"""),0.466666666666666)</f>
        <v>0.4666666667</v>
      </c>
      <c r="M36" s="8">
        <f>IFERROR(__xludf.DUMMYFUNCTION("""COMPUTED_VALUE"""),0.5)</f>
        <v>0.5</v>
      </c>
      <c r="N36" s="8">
        <f>IFERROR(__xludf.DUMMYFUNCTION("""COMPUTED_VALUE"""),0.478260869565217)</f>
        <v>0.4782608696</v>
      </c>
      <c r="O36" s="8">
        <f>IFERROR(__xludf.DUMMYFUNCTION("""COMPUTED_VALUE"""),0.384615384615384)</f>
        <v>0.3846153846</v>
      </c>
      <c r="P36" s="8">
        <f>IFERROR(__xludf.DUMMYFUNCTION("""COMPUTED_VALUE"""),0.0)</f>
        <v>0</v>
      </c>
      <c r="Q36" s="8">
        <f>IFERROR(__xludf.DUMMYFUNCTION("""COMPUTED_VALUE"""),0.0)</f>
        <v>0</v>
      </c>
      <c r="R36" s="8">
        <f>IFERROR(__xludf.DUMMYFUNCTION("""COMPUTED_VALUE"""),0.0)</f>
        <v>0</v>
      </c>
      <c r="S36" s="8">
        <f>IFERROR(__xludf.DUMMYFUNCTION("""COMPUTED_VALUE"""),0.0)</f>
        <v>0</v>
      </c>
      <c r="T36" s="8">
        <f>IFERROR(__xludf.DUMMYFUNCTION("""COMPUTED_VALUE"""),0.0)</f>
        <v>0</v>
      </c>
      <c r="U36" s="8">
        <f>IFERROR(__xludf.DUMMYFUNCTION("""COMPUTED_VALUE"""),0.0)</f>
        <v>0</v>
      </c>
      <c r="V36" s="8">
        <f>IFERROR(__xludf.DUMMYFUNCTION("""COMPUTED_VALUE"""),0.0)</f>
        <v>0</v>
      </c>
      <c r="W36" s="8">
        <f>IFERROR(__xludf.DUMMYFUNCTION("""COMPUTED_VALUE"""),0.0)</f>
        <v>0</v>
      </c>
      <c r="X36" s="8">
        <f>IFERROR(__xludf.DUMMYFUNCTION("""COMPUTED_VALUE"""),0.0)</f>
        <v>0</v>
      </c>
      <c r="Y36" s="8">
        <f>IFERROR(__xludf.DUMMYFUNCTION("""COMPUTED_VALUE"""),0.0)</f>
        <v>0</v>
      </c>
      <c r="Z36" s="8">
        <f>IFERROR(__xludf.DUMMYFUNCTION("""COMPUTED_VALUE"""),0.0)</f>
        <v>0</v>
      </c>
      <c r="AA36" s="8">
        <f>IFERROR(__xludf.DUMMYFUNCTION("""COMPUTED_VALUE"""),0.0)</f>
        <v>0</v>
      </c>
      <c r="AB36" s="8">
        <f>IFERROR(__xludf.DUMMYFUNCTION("""COMPUTED_VALUE"""),0.0)</f>
        <v>0</v>
      </c>
      <c r="AC36" s="8">
        <f>IFERROR(__xludf.DUMMYFUNCTION("""COMPUTED_VALUE"""),0.0)</f>
        <v>0</v>
      </c>
    </row>
    <row r="37" ht="15.75" customHeight="1">
      <c r="A37" s="6" t="str">
        <f>IFERROR(__xludf.DUMMYFUNCTION("""COMPUTED_VALUE"""),"1f78098e196cc2154bbadfe054e0bdd13c10fa60")</f>
        <v>1f78098e196cc2154bbadfe054e0bdd13c10fa60</v>
      </c>
      <c r="B37" s="6" t="str">
        <f>IFERROR(__xludf.DUMMYFUNCTION("""COMPUTED_VALUE"""),"The Marriage Timer")</f>
        <v>The Marriage Timer</v>
      </c>
      <c r="C37" s="6" t="str">
        <f>IFERROR(__xludf.DUMMYFUNCTION("""COMPUTED_VALUE"""),"Romance")</f>
        <v>Romance</v>
      </c>
      <c r="D37" s="11">
        <f>IFERROR(__xludf.DUMMYFUNCTION("""COMPUTED_VALUE"""),223.0)</f>
        <v>223</v>
      </c>
      <c r="E37" s="8">
        <f>IFERROR(__xludf.DUMMYFUNCTION("""COMPUTED_VALUE"""),0.991031390134529)</f>
        <v>0.9910313901</v>
      </c>
      <c r="F37" s="8">
        <f>IFERROR(__xludf.DUMMYFUNCTION("""COMPUTED_VALUE"""),0.502242152466367)</f>
        <v>0.5022421525</v>
      </c>
      <c r="G37" s="8">
        <f>IFERROR(__xludf.DUMMYFUNCTION("""COMPUTED_VALUE"""),0.403587443946188)</f>
        <v>0.4035874439</v>
      </c>
      <c r="H37" s="8">
        <f>IFERROR(__xludf.DUMMYFUNCTION("""COMPUTED_VALUE"""),0.37219730941704)</f>
        <v>0.3721973094</v>
      </c>
      <c r="I37" s="8">
        <f>IFERROR(__xludf.DUMMYFUNCTION("""COMPUTED_VALUE"""),0.361990950226244)</f>
        <v>0.3619909502</v>
      </c>
      <c r="J37" s="8">
        <f>IFERROR(__xludf.DUMMYFUNCTION("""COMPUTED_VALUE"""),0.339366515837104)</f>
        <v>0.3393665158</v>
      </c>
      <c r="K37" s="8">
        <f>IFERROR(__xludf.DUMMYFUNCTION("""COMPUTED_VALUE"""),0.316742081447963)</f>
        <v>0.3167420814</v>
      </c>
      <c r="L37" s="8">
        <f>IFERROR(__xludf.DUMMYFUNCTION("""COMPUTED_VALUE"""),0.312217194570135)</f>
        <v>0.3122171946</v>
      </c>
      <c r="M37" s="8">
        <f>IFERROR(__xludf.DUMMYFUNCTION("""COMPUTED_VALUE"""),0.295454545454545)</f>
        <v>0.2954545455</v>
      </c>
      <c r="N37" s="8">
        <f>IFERROR(__xludf.DUMMYFUNCTION("""COMPUTED_VALUE"""),0.295454545454545)</f>
        <v>0.2954545455</v>
      </c>
      <c r="O37" s="8">
        <f>IFERROR(__xludf.DUMMYFUNCTION("""COMPUTED_VALUE"""),0.258064516129032)</f>
        <v>0.2580645161</v>
      </c>
      <c r="P37" s="8">
        <f>IFERROR(__xludf.DUMMYFUNCTION("""COMPUTED_VALUE"""),0.129032258064516)</f>
        <v>0.1290322581</v>
      </c>
      <c r="Q37" s="8">
        <f>IFERROR(__xludf.DUMMYFUNCTION("""COMPUTED_VALUE"""),0.0714285714285714)</f>
        <v>0.07142857143</v>
      </c>
      <c r="R37" s="8">
        <f>IFERROR(__xludf.DUMMYFUNCTION("""COMPUTED_VALUE"""),0.0)</f>
        <v>0</v>
      </c>
      <c r="S37" s="8">
        <f>IFERROR(__xludf.DUMMYFUNCTION("""COMPUTED_VALUE"""),0.0)</f>
        <v>0</v>
      </c>
      <c r="T37" s="8">
        <f>IFERROR(__xludf.DUMMYFUNCTION("""COMPUTED_VALUE"""),0.0)</f>
        <v>0</v>
      </c>
      <c r="U37" s="8">
        <f>IFERROR(__xludf.DUMMYFUNCTION("""COMPUTED_VALUE"""),0.0)</f>
        <v>0</v>
      </c>
      <c r="V37" s="8">
        <f>IFERROR(__xludf.DUMMYFUNCTION("""COMPUTED_VALUE"""),0.0)</f>
        <v>0</v>
      </c>
      <c r="W37" s="8">
        <f>IFERROR(__xludf.DUMMYFUNCTION("""COMPUTED_VALUE"""),0.0)</f>
        <v>0</v>
      </c>
      <c r="X37" s="8">
        <f>IFERROR(__xludf.DUMMYFUNCTION("""COMPUTED_VALUE"""),0.0)</f>
        <v>0</v>
      </c>
      <c r="Y37" s="8">
        <f>IFERROR(__xludf.DUMMYFUNCTION("""COMPUTED_VALUE"""),0.0)</f>
        <v>0</v>
      </c>
      <c r="Z37" s="8">
        <f>IFERROR(__xludf.DUMMYFUNCTION("""COMPUTED_VALUE"""),0.0)</f>
        <v>0</v>
      </c>
      <c r="AA37" s="8">
        <f>IFERROR(__xludf.DUMMYFUNCTION("""COMPUTED_VALUE"""),0.0)</f>
        <v>0</v>
      </c>
      <c r="AB37" s="8">
        <f>IFERROR(__xludf.DUMMYFUNCTION("""COMPUTED_VALUE"""),0.0)</f>
        <v>0</v>
      </c>
      <c r="AC37" s="8">
        <f>IFERROR(__xludf.DUMMYFUNCTION("""COMPUTED_VALUE"""),0.0)</f>
        <v>0</v>
      </c>
    </row>
    <row r="38" ht="15.75" customHeight="1">
      <c r="A38" s="6" t="str">
        <f>IFERROR(__xludf.DUMMYFUNCTION("""COMPUTED_VALUE"""),"2039c770620dbd485e50118a476f0b91b4bd035b")</f>
        <v>2039c770620dbd485e50118a476f0b91b4bd035b</v>
      </c>
      <c r="B38" s="6" t="str">
        <f>IFERROR(__xludf.DUMMYFUNCTION("""COMPUTED_VALUE"""),"Princess Ebony &amp; the Silver Dragon - Remastered Edition")</f>
        <v>Princess Ebony &amp; the Silver Dragon - Remastered Edition</v>
      </c>
      <c r="C38" s="6" t="str">
        <f>IFERROR(__xludf.DUMMYFUNCTION("""COMPUTED_VALUE"""),"Fantasy")</f>
        <v>Fantasy</v>
      </c>
      <c r="D38" s="11">
        <f>IFERROR(__xludf.DUMMYFUNCTION("""COMPUTED_VALUE"""),1845.0)</f>
        <v>1845</v>
      </c>
      <c r="E38" s="8">
        <f>IFERROR(__xludf.DUMMYFUNCTION("""COMPUTED_VALUE"""),0.960433604336043)</f>
        <v>0.9604336043</v>
      </c>
      <c r="F38" s="8">
        <f>IFERROR(__xludf.DUMMYFUNCTION("""COMPUTED_VALUE"""),0.517073170731707)</f>
        <v>0.5170731707</v>
      </c>
      <c r="G38" s="8">
        <f>IFERROR(__xludf.DUMMYFUNCTION("""COMPUTED_VALUE"""),0.468834688346883)</f>
        <v>0.4688346883</v>
      </c>
      <c r="H38" s="8">
        <f>IFERROR(__xludf.DUMMYFUNCTION("""COMPUTED_VALUE"""),0.434901531728665)</f>
        <v>0.4349015317</v>
      </c>
      <c r="I38" s="8">
        <f>IFERROR(__xludf.DUMMYFUNCTION("""COMPUTED_VALUE"""),0.412864211105002)</f>
        <v>0.4128642111</v>
      </c>
      <c r="J38" s="8">
        <f>IFERROR(__xludf.DUMMYFUNCTION("""COMPUTED_VALUE"""),0.399226946438431)</f>
        <v>0.3992269464</v>
      </c>
      <c r="K38" s="8">
        <f>IFERROR(__xludf.DUMMYFUNCTION("""COMPUTED_VALUE"""),0.389012208657047)</f>
        <v>0.3890122087</v>
      </c>
      <c r="L38" s="8">
        <f>IFERROR(__xludf.DUMMYFUNCTION("""COMPUTED_VALUE"""),0.378483835005574)</f>
        <v>0.378483835</v>
      </c>
      <c r="M38" s="8">
        <f>IFERROR(__xludf.DUMMYFUNCTION("""COMPUTED_VALUE"""),0.376049244543928)</f>
        <v>0.3760492445</v>
      </c>
      <c r="N38" s="8">
        <f>IFERROR(__xludf.DUMMYFUNCTION("""COMPUTED_VALUE"""),0.372814438804286)</f>
        <v>0.3728144388</v>
      </c>
      <c r="O38" s="8">
        <f>IFERROR(__xludf.DUMMYFUNCTION("""COMPUTED_VALUE"""),0.346108490566037)</f>
        <v>0.3461084906</v>
      </c>
      <c r="P38" s="8">
        <f>IFERROR(__xludf.DUMMYFUNCTION("""COMPUTED_VALUE"""),0.297297297297297)</f>
        <v>0.2972972973</v>
      </c>
      <c r="Q38" s="8">
        <f>IFERROR(__xludf.DUMMYFUNCTION("""COMPUTED_VALUE"""),0.230515191545574)</f>
        <v>0.2305151915</v>
      </c>
      <c r="R38" s="8">
        <f>IFERROR(__xludf.DUMMYFUNCTION("""COMPUTED_VALUE"""),0.167119565217391)</f>
        <v>0.1671195652</v>
      </c>
      <c r="S38" s="8">
        <f>IFERROR(__xludf.DUMMYFUNCTION("""COMPUTED_VALUE"""),0.130649717514124)</f>
        <v>0.1306497175</v>
      </c>
      <c r="T38" s="8">
        <f>IFERROR(__xludf.DUMMYFUNCTION("""COMPUTED_VALUE"""),0.0945842868039664)</f>
        <v>0.0945842868</v>
      </c>
      <c r="U38" s="8">
        <f>IFERROR(__xludf.DUMMYFUNCTION("""COMPUTED_VALUE"""),0.0765407554671968)</f>
        <v>0.07654075547</v>
      </c>
      <c r="V38" s="8">
        <f>IFERROR(__xludf.DUMMYFUNCTION("""COMPUTED_VALUE"""),0.0737217598097502)</f>
        <v>0.07372175981</v>
      </c>
      <c r="W38" s="8">
        <f>IFERROR(__xludf.DUMMYFUNCTION("""COMPUTED_VALUE"""),0.0536723163841807)</f>
        <v>0.05367231638</v>
      </c>
      <c r="X38" s="8">
        <f>IFERROR(__xludf.DUMMYFUNCTION("""COMPUTED_VALUE"""),0.0176817288801571)</f>
        <v>0.01768172888</v>
      </c>
      <c r="Y38" s="8">
        <f>IFERROR(__xludf.DUMMYFUNCTION("""COMPUTED_VALUE"""),0.0)</f>
        <v>0</v>
      </c>
      <c r="Z38" s="8">
        <f>IFERROR(__xludf.DUMMYFUNCTION("""COMPUTED_VALUE"""),0.0)</f>
        <v>0</v>
      </c>
      <c r="AA38" s="8">
        <f>IFERROR(__xludf.DUMMYFUNCTION("""COMPUTED_VALUE"""),0.0)</f>
        <v>0</v>
      </c>
      <c r="AB38" s="8">
        <f>IFERROR(__xludf.DUMMYFUNCTION("""COMPUTED_VALUE"""),0.0)</f>
        <v>0</v>
      </c>
      <c r="AC38" s="8">
        <f>IFERROR(__xludf.DUMMYFUNCTION("""COMPUTED_VALUE"""),0.0)</f>
        <v>0</v>
      </c>
    </row>
    <row r="39" ht="15.75" customHeight="1">
      <c r="A39" s="6" t="str">
        <f>IFERROR(__xludf.DUMMYFUNCTION("""COMPUTED_VALUE"""),"215d4622bad0b1fca5cb36bca9f92b3c41d21f7e")</f>
        <v>215d4622bad0b1fca5cb36bca9f92b3c41d21f7e</v>
      </c>
      <c r="B39" s="6" t="str">
        <f>IFERROR(__xludf.DUMMYFUNCTION("""COMPUTED_VALUE"""),"Aiden's Regression")</f>
        <v>Aiden's Regression</v>
      </c>
      <c r="C39" s="6" t="str">
        <f>IFERROR(__xludf.DUMMYFUNCTION("""COMPUTED_VALUE"""),"System and Superpower")</f>
        <v>System and Superpower</v>
      </c>
      <c r="D39" s="11">
        <f>IFERROR(__xludf.DUMMYFUNCTION("""COMPUTED_VALUE"""),587.0)</f>
        <v>587</v>
      </c>
      <c r="E39" s="8">
        <f>IFERROR(__xludf.DUMMYFUNCTION("""COMPUTED_VALUE"""),0.977853492333901)</f>
        <v>0.9778534923</v>
      </c>
      <c r="F39" s="8">
        <f>IFERROR(__xludf.DUMMYFUNCTION("""COMPUTED_VALUE"""),0.596252129471891)</f>
        <v>0.5962521295</v>
      </c>
      <c r="G39" s="8">
        <f>IFERROR(__xludf.DUMMYFUNCTION("""COMPUTED_VALUE"""),0.550255536626916)</f>
        <v>0.5502555366</v>
      </c>
      <c r="H39" s="8">
        <f>IFERROR(__xludf.DUMMYFUNCTION("""COMPUTED_VALUE"""),0.522184300341296)</f>
        <v>0.5221843003</v>
      </c>
      <c r="I39" s="8">
        <f>IFERROR(__xludf.DUMMYFUNCTION("""COMPUTED_VALUE"""),0.491467576791808)</f>
        <v>0.4914675768</v>
      </c>
      <c r="J39" s="8">
        <f>IFERROR(__xludf.DUMMYFUNCTION("""COMPUTED_VALUE"""),0.467465753424657)</f>
        <v>0.4674657534</v>
      </c>
      <c r="K39" s="8">
        <f>IFERROR(__xludf.DUMMYFUNCTION("""COMPUTED_VALUE"""),0.4631217838765)</f>
        <v>0.4631217839</v>
      </c>
      <c r="L39" s="8">
        <f>IFERROR(__xludf.DUMMYFUNCTION("""COMPUTED_VALUE"""),0.443298969072164)</f>
        <v>0.4432989691</v>
      </c>
      <c r="M39" s="8">
        <f>IFERROR(__xludf.DUMMYFUNCTION("""COMPUTED_VALUE"""),0.424398625429553)</f>
        <v>0.4243986254</v>
      </c>
      <c r="N39" s="8">
        <f>IFERROR(__xludf.DUMMYFUNCTION("""COMPUTED_VALUE"""),0.404513888888888)</f>
        <v>0.4045138889</v>
      </c>
      <c r="O39" s="8">
        <f>IFERROR(__xludf.DUMMYFUNCTION("""COMPUTED_VALUE"""),0.373214285714285)</f>
        <v>0.3732142857</v>
      </c>
      <c r="P39" s="8">
        <f>IFERROR(__xludf.DUMMYFUNCTION("""COMPUTED_VALUE"""),0.206349206349206)</f>
        <v>0.2063492063</v>
      </c>
      <c r="Q39" s="8">
        <f>IFERROR(__xludf.DUMMYFUNCTION("""COMPUTED_VALUE"""),0.0)</f>
        <v>0</v>
      </c>
      <c r="R39" s="8">
        <f>IFERROR(__xludf.DUMMYFUNCTION("""COMPUTED_VALUE"""),0.0)</f>
        <v>0</v>
      </c>
      <c r="S39" s="8">
        <f>IFERROR(__xludf.DUMMYFUNCTION("""COMPUTED_VALUE"""),0.0)</f>
        <v>0</v>
      </c>
      <c r="T39" s="8">
        <f>IFERROR(__xludf.DUMMYFUNCTION("""COMPUTED_VALUE"""),0.0)</f>
        <v>0</v>
      </c>
      <c r="U39" s="8">
        <f>IFERROR(__xludf.DUMMYFUNCTION("""COMPUTED_VALUE"""),0.0)</f>
        <v>0</v>
      </c>
      <c r="V39" s="8">
        <f>IFERROR(__xludf.DUMMYFUNCTION("""COMPUTED_VALUE"""),0.0)</f>
        <v>0</v>
      </c>
      <c r="W39" s="8">
        <f>IFERROR(__xludf.DUMMYFUNCTION("""COMPUTED_VALUE"""),0.0)</f>
        <v>0</v>
      </c>
      <c r="X39" s="8">
        <f>IFERROR(__xludf.DUMMYFUNCTION("""COMPUTED_VALUE"""),0.0)</f>
        <v>0</v>
      </c>
      <c r="Y39" s="8">
        <f>IFERROR(__xludf.DUMMYFUNCTION("""COMPUTED_VALUE"""),0.0)</f>
        <v>0</v>
      </c>
      <c r="Z39" s="8">
        <f>IFERROR(__xludf.DUMMYFUNCTION("""COMPUTED_VALUE"""),0.0)</f>
        <v>0</v>
      </c>
      <c r="AA39" s="8">
        <f>IFERROR(__xludf.DUMMYFUNCTION("""COMPUTED_VALUE"""),0.0)</f>
        <v>0</v>
      </c>
      <c r="AB39" s="8">
        <f>IFERROR(__xludf.DUMMYFUNCTION("""COMPUTED_VALUE"""),0.0)</f>
        <v>0</v>
      </c>
      <c r="AC39" s="8">
        <f>IFERROR(__xludf.DUMMYFUNCTION("""COMPUTED_VALUE"""),0.0)</f>
        <v>0</v>
      </c>
    </row>
    <row r="40" ht="15.75" customHeight="1">
      <c r="A40" s="6" t="str">
        <f>IFERROR(__xludf.DUMMYFUNCTION("""COMPUTED_VALUE"""),"2217881cc8f3c05fb3e0dbf70a118129e4e12471")</f>
        <v>2217881cc8f3c05fb3e0dbf70a118129e4e12471</v>
      </c>
      <c r="B40" s="6" t="str">
        <f>IFERROR(__xludf.DUMMYFUNCTION("""COMPUTED_VALUE"""),"Sevenfold Saint's Rise")</f>
        <v>Sevenfold Saint's Rise</v>
      </c>
      <c r="C40" s="6" t="str">
        <f>IFERROR(__xludf.DUMMYFUNCTION("""COMPUTED_VALUE"""),"Fantasy")</f>
        <v>Fantasy</v>
      </c>
      <c r="D40" s="11">
        <f>IFERROR(__xludf.DUMMYFUNCTION("""COMPUTED_VALUE"""),462.0)</f>
        <v>462</v>
      </c>
      <c r="E40" s="8">
        <f>IFERROR(__xludf.DUMMYFUNCTION("""COMPUTED_VALUE"""),0.991341991341991)</f>
        <v>0.9913419913</v>
      </c>
      <c r="F40" s="8">
        <f>IFERROR(__xludf.DUMMYFUNCTION("""COMPUTED_VALUE"""),0.634199134199134)</f>
        <v>0.6341991342</v>
      </c>
      <c r="G40" s="8">
        <f>IFERROR(__xludf.DUMMYFUNCTION("""COMPUTED_VALUE"""),0.567099567099567)</f>
        <v>0.5670995671</v>
      </c>
      <c r="H40" s="8">
        <f>IFERROR(__xludf.DUMMYFUNCTION("""COMPUTED_VALUE"""),0.54880694143167)</f>
        <v>0.5488069414</v>
      </c>
      <c r="I40" s="8">
        <f>IFERROR(__xludf.DUMMYFUNCTION("""COMPUTED_VALUE"""),0.480434782608695)</f>
        <v>0.4804347826</v>
      </c>
      <c r="J40" s="8">
        <f>IFERROR(__xludf.DUMMYFUNCTION("""COMPUTED_VALUE"""),0.431072210065645)</f>
        <v>0.4310722101</v>
      </c>
      <c r="K40" s="8">
        <f>IFERROR(__xludf.DUMMYFUNCTION("""COMPUTED_VALUE"""),0.373068432671081)</f>
        <v>0.3730684327</v>
      </c>
      <c r="L40" s="8">
        <f>IFERROR(__xludf.DUMMYFUNCTION("""COMPUTED_VALUE"""),0.341573033707865)</f>
        <v>0.3415730337</v>
      </c>
      <c r="M40" s="8">
        <f>IFERROR(__xludf.DUMMYFUNCTION("""COMPUTED_VALUE"""),0.305489260143198)</f>
        <v>0.3054892601</v>
      </c>
      <c r="N40" s="8">
        <f>IFERROR(__xludf.DUMMYFUNCTION("""COMPUTED_VALUE"""),0.252124645892351)</f>
        <v>0.2521246459</v>
      </c>
      <c r="O40" s="8">
        <f>IFERROR(__xludf.DUMMYFUNCTION("""COMPUTED_VALUE"""),0.0)</f>
        <v>0</v>
      </c>
      <c r="P40" s="8">
        <f>IFERROR(__xludf.DUMMYFUNCTION("""COMPUTED_VALUE"""),0.0)</f>
        <v>0</v>
      </c>
      <c r="Q40" s="8">
        <f>IFERROR(__xludf.DUMMYFUNCTION("""COMPUTED_VALUE"""),0.0)</f>
        <v>0</v>
      </c>
      <c r="R40" s="8">
        <f>IFERROR(__xludf.DUMMYFUNCTION("""COMPUTED_VALUE"""),0.0)</f>
        <v>0</v>
      </c>
      <c r="S40" s="8">
        <f>IFERROR(__xludf.DUMMYFUNCTION("""COMPUTED_VALUE"""),0.0)</f>
        <v>0</v>
      </c>
      <c r="T40" s="8">
        <f>IFERROR(__xludf.DUMMYFUNCTION("""COMPUTED_VALUE"""),0.0)</f>
        <v>0</v>
      </c>
      <c r="U40" s="8">
        <f>IFERROR(__xludf.DUMMYFUNCTION("""COMPUTED_VALUE"""),0.0)</f>
        <v>0</v>
      </c>
      <c r="V40" s="8">
        <f>IFERROR(__xludf.DUMMYFUNCTION("""COMPUTED_VALUE"""),0.0)</f>
        <v>0</v>
      </c>
      <c r="W40" s="8">
        <f>IFERROR(__xludf.DUMMYFUNCTION("""COMPUTED_VALUE"""),0.0)</f>
        <v>0</v>
      </c>
      <c r="X40" s="8">
        <f>IFERROR(__xludf.DUMMYFUNCTION("""COMPUTED_VALUE"""),0.0)</f>
        <v>0</v>
      </c>
      <c r="Y40" s="8">
        <f>IFERROR(__xludf.DUMMYFUNCTION("""COMPUTED_VALUE"""),0.0)</f>
        <v>0</v>
      </c>
      <c r="Z40" s="8">
        <f>IFERROR(__xludf.DUMMYFUNCTION("""COMPUTED_VALUE"""),0.0)</f>
        <v>0</v>
      </c>
      <c r="AA40" s="8">
        <f>IFERROR(__xludf.DUMMYFUNCTION("""COMPUTED_VALUE"""),0.0)</f>
        <v>0</v>
      </c>
      <c r="AB40" s="8">
        <f>IFERROR(__xludf.DUMMYFUNCTION("""COMPUTED_VALUE"""),0.0)</f>
        <v>0</v>
      </c>
      <c r="AC40" s="8">
        <f>IFERROR(__xludf.DUMMYFUNCTION("""COMPUTED_VALUE"""),0.0)</f>
        <v>0</v>
      </c>
    </row>
    <row r="41" ht="15.75" customHeight="1">
      <c r="A41" s="6" t="str">
        <f>IFERROR(__xludf.DUMMYFUNCTION("""COMPUTED_VALUE"""),"23200139c53ab123429a0f621a7519272bf21ea7")</f>
        <v>23200139c53ab123429a0f621a7519272bf21ea7</v>
      </c>
      <c r="B41" s="6" t="str">
        <f>IFERROR(__xludf.DUMMYFUNCTION("""COMPUTED_VALUE"""),"The Fae Lycan Abomination")</f>
        <v>The Fae Lycan Abomination</v>
      </c>
      <c r="C41" s="6" t="str">
        <f>IFERROR(__xludf.DUMMYFUNCTION("""COMPUTED_VALUE"""),"Fantasy")</f>
        <v>Fantasy</v>
      </c>
      <c r="D41" s="11">
        <f>IFERROR(__xludf.DUMMYFUNCTION("""COMPUTED_VALUE"""),59.0)</f>
        <v>59</v>
      </c>
      <c r="E41" s="8">
        <f>IFERROR(__xludf.DUMMYFUNCTION("""COMPUTED_VALUE"""),0.966101694915254)</f>
        <v>0.9661016949</v>
      </c>
      <c r="F41" s="8">
        <f>IFERROR(__xludf.DUMMYFUNCTION("""COMPUTED_VALUE"""),0.344827586206896)</f>
        <v>0.3448275862</v>
      </c>
      <c r="G41" s="8">
        <f>IFERROR(__xludf.DUMMYFUNCTION("""COMPUTED_VALUE"""),0.19298245614035)</f>
        <v>0.1929824561</v>
      </c>
      <c r="H41" s="8">
        <f>IFERROR(__xludf.DUMMYFUNCTION("""COMPUTED_VALUE"""),0.106382978723404)</f>
        <v>0.1063829787</v>
      </c>
      <c r="I41" s="8">
        <f>IFERROR(__xludf.DUMMYFUNCTION("""COMPUTED_VALUE"""),0.116279069767441)</f>
        <v>0.1162790698</v>
      </c>
      <c r="J41" s="8">
        <f>IFERROR(__xludf.DUMMYFUNCTION("""COMPUTED_VALUE"""),0.0333333333333333)</f>
        <v>0.03333333333</v>
      </c>
      <c r="K41" s="8">
        <f>IFERROR(__xludf.DUMMYFUNCTION("""COMPUTED_VALUE"""),0.0357142857142857)</f>
        <v>0.03571428571</v>
      </c>
      <c r="L41" s="8">
        <f>IFERROR(__xludf.DUMMYFUNCTION("""COMPUTED_VALUE"""),0.04)</f>
        <v>0.04</v>
      </c>
      <c r="M41" s="8">
        <f>IFERROR(__xludf.DUMMYFUNCTION("""COMPUTED_VALUE"""),0.04)</f>
        <v>0.04</v>
      </c>
      <c r="N41" s="8">
        <f>IFERROR(__xludf.DUMMYFUNCTION("""COMPUTED_VALUE"""),0.0454545454545454)</f>
        <v>0.04545454545</v>
      </c>
      <c r="O41" s="8">
        <f>IFERROR(__xludf.DUMMYFUNCTION("""COMPUTED_VALUE"""),0.111111111111111)</f>
        <v>0.1111111111</v>
      </c>
      <c r="P41" s="8">
        <f>IFERROR(__xludf.DUMMYFUNCTION("""COMPUTED_VALUE"""),0.111111111111111)</f>
        <v>0.1111111111</v>
      </c>
      <c r="Q41" s="8">
        <f>IFERROR(__xludf.DUMMYFUNCTION("""COMPUTED_VALUE"""),0.0)</f>
        <v>0</v>
      </c>
      <c r="R41" s="8">
        <f>IFERROR(__xludf.DUMMYFUNCTION("""COMPUTED_VALUE"""),0.0)</f>
        <v>0</v>
      </c>
      <c r="S41" s="8">
        <f>IFERROR(__xludf.DUMMYFUNCTION("""COMPUTED_VALUE"""),0.0)</f>
        <v>0</v>
      </c>
      <c r="T41" s="8">
        <f>IFERROR(__xludf.DUMMYFUNCTION("""COMPUTED_VALUE"""),0.0)</f>
        <v>0</v>
      </c>
      <c r="U41" s="8">
        <f>IFERROR(__xludf.DUMMYFUNCTION("""COMPUTED_VALUE"""),0.0)</f>
        <v>0</v>
      </c>
      <c r="V41" s="8">
        <f>IFERROR(__xludf.DUMMYFUNCTION("""COMPUTED_VALUE"""),0.0)</f>
        <v>0</v>
      </c>
      <c r="W41" s="8">
        <f>IFERROR(__xludf.DUMMYFUNCTION("""COMPUTED_VALUE"""),0.0)</f>
        <v>0</v>
      </c>
      <c r="X41" s="8">
        <f>IFERROR(__xludf.DUMMYFUNCTION("""COMPUTED_VALUE"""),0.0)</f>
        <v>0</v>
      </c>
      <c r="Y41" s="8">
        <f>IFERROR(__xludf.DUMMYFUNCTION("""COMPUTED_VALUE"""),0.0)</f>
        <v>0</v>
      </c>
      <c r="Z41" s="8">
        <f>IFERROR(__xludf.DUMMYFUNCTION("""COMPUTED_VALUE"""),0.0)</f>
        <v>0</v>
      </c>
      <c r="AA41" s="8">
        <f>IFERROR(__xludf.DUMMYFUNCTION("""COMPUTED_VALUE"""),0.0)</f>
        <v>0</v>
      </c>
      <c r="AB41" s="8">
        <f>IFERROR(__xludf.DUMMYFUNCTION("""COMPUTED_VALUE"""),0.0)</f>
        <v>0</v>
      </c>
      <c r="AC41" s="8">
        <f>IFERROR(__xludf.DUMMYFUNCTION("""COMPUTED_VALUE"""),0.0)</f>
        <v>0</v>
      </c>
    </row>
    <row r="42" ht="15.75" customHeight="1">
      <c r="A42" s="6" t="str">
        <f>IFERROR(__xludf.DUMMYFUNCTION("""COMPUTED_VALUE"""),"234ed47144507d63e9a903acfe37512c24bc9290")</f>
        <v>234ed47144507d63e9a903acfe37512c24bc9290</v>
      </c>
      <c r="B42" s="6" t="str">
        <f>IFERROR(__xludf.DUMMYFUNCTION("""COMPUTED_VALUE"""),"Twists of Love &amp; Revenge")</f>
        <v>Twists of Love &amp; Revenge</v>
      </c>
      <c r="C42" s="6" t="str">
        <f>IFERROR(__xludf.DUMMYFUNCTION("""COMPUTED_VALUE"""),"Drama")</f>
        <v>Drama</v>
      </c>
      <c r="D42" s="11">
        <f>IFERROR(__xludf.DUMMYFUNCTION("""COMPUTED_VALUE"""),1115.0)</f>
        <v>1115</v>
      </c>
      <c r="E42" s="8">
        <f>IFERROR(__xludf.DUMMYFUNCTION("""COMPUTED_VALUE"""),0.943497757847533)</f>
        <v>0.9434977578</v>
      </c>
      <c r="F42" s="8">
        <f>IFERROR(__xludf.DUMMYFUNCTION("""COMPUTED_VALUE"""),0.671748878923766)</f>
        <v>0.6717488789</v>
      </c>
      <c r="G42" s="8">
        <f>IFERROR(__xludf.DUMMYFUNCTION("""COMPUTED_VALUE"""),0.632286995515695)</f>
        <v>0.6322869955</v>
      </c>
      <c r="H42" s="8">
        <f>IFERROR(__xludf.DUMMYFUNCTION("""COMPUTED_VALUE"""),0.580269058295964)</f>
        <v>0.5802690583</v>
      </c>
      <c r="I42" s="8">
        <f>IFERROR(__xludf.DUMMYFUNCTION("""COMPUTED_VALUE"""),0.559641255605381)</f>
        <v>0.5596412556</v>
      </c>
      <c r="J42" s="8">
        <f>IFERROR(__xludf.DUMMYFUNCTION("""COMPUTED_VALUE"""),0.547576301615799)</f>
        <v>0.5475763016</v>
      </c>
      <c r="K42" s="8">
        <f>IFERROR(__xludf.DUMMYFUNCTION("""COMPUTED_VALUE"""),0.532794249775381)</f>
        <v>0.5327942498</v>
      </c>
      <c r="L42" s="8">
        <f>IFERROR(__xludf.DUMMYFUNCTION("""COMPUTED_VALUE"""),0.517520215633423)</f>
        <v>0.5175202156</v>
      </c>
      <c r="M42" s="8">
        <f>IFERROR(__xludf.DUMMYFUNCTION("""COMPUTED_VALUE"""),0.502246181491464)</f>
        <v>0.5022461815</v>
      </c>
      <c r="N42" s="8">
        <f>IFERROR(__xludf.DUMMYFUNCTION("""COMPUTED_VALUE"""),0.494604316546762)</f>
        <v>0.4946043165</v>
      </c>
      <c r="O42" s="8">
        <f>IFERROR(__xludf.DUMMYFUNCTION("""COMPUTED_VALUE"""),0.471493212669683)</f>
        <v>0.4714932127</v>
      </c>
      <c r="P42" s="8">
        <f>IFERROR(__xludf.DUMMYFUNCTION("""COMPUTED_VALUE"""),0.41016333938294)</f>
        <v>0.4101633394</v>
      </c>
      <c r="Q42" s="8">
        <f>IFERROR(__xludf.DUMMYFUNCTION("""COMPUTED_VALUE"""),0.334246575342465)</f>
        <v>0.3342465753</v>
      </c>
      <c r="R42" s="8">
        <f>IFERROR(__xludf.DUMMYFUNCTION("""COMPUTED_VALUE"""),0.244239631336405)</f>
        <v>0.2442396313</v>
      </c>
      <c r="S42" s="8">
        <f>IFERROR(__xludf.DUMMYFUNCTION("""COMPUTED_VALUE"""),0.221706864564007)</f>
        <v>0.2217068646</v>
      </c>
      <c r="T42" s="8">
        <f>IFERROR(__xludf.DUMMYFUNCTION("""COMPUTED_VALUE"""),0.211162790697674)</f>
        <v>0.2111627907</v>
      </c>
      <c r="U42" s="8">
        <f>IFERROR(__xludf.DUMMYFUNCTION("""COMPUTED_VALUE"""),0.185461323392357)</f>
        <v>0.1854613234</v>
      </c>
      <c r="V42" s="8">
        <f>IFERROR(__xludf.DUMMYFUNCTION("""COMPUTED_VALUE"""),0.178285714285714)</f>
        <v>0.1782857143</v>
      </c>
      <c r="W42" s="8">
        <f>IFERROR(__xludf.DUMMYFUNCTION("""COMPUTED_VALUE"""),0.174224343675417)</f>
        <v>0.1742243437</v>
      </c>
      <c r="X42" s="8">
        <f>IFERROR(__xludf.DUMMYFUNCTION("""COMPUTED_VALUE"""),0.165822784810126)</f>
        <v>0.1658227848</v>
      </c>
      <c r="Y42" s="8">
        <f>IFERROR(__xludf.DUMMYFUNCTION("""COMPUTED_VALUE"""),0.135245901639344)</f>
        <v>0.1352459016</v>
      </c>
      <c r="Z42" s="8">
        <f>IFERROR(__xludf.DUMMYFUNCTION("""COMPUTED_VALUE"""),0.119359534206695)</f>
        <v>0.1193595342</v>
      </c>
      <c r="AA42" s="8">
        <f>IFERROR(__xludf.DUMMYFUNCTION("""COMPUTED_VALUE"""),0.0595533498759305)</f>
        <v>0.05955334988</v>
      </c>
      <c r="AB42" s="8">
        <f>IFERROR(__xludf.DUMMYFUNCTION("""COMPUTED_VALUE"""),0.03125)</f>
        <v>0.03125</v>
      </c>
      <c r="AC42" s="8">
        <f>IFERROR(__xludf.DUMMYFUNCTION("""COMPUTED_VALUE"""),0.0)</f>
        <v>0</v>
      </c>
    </row>
    <row r="43" ht="15.75" customHeight="1">
      <c r="A43" s="6" t="str">
        <f>IFERROR(__xludf.DUMMYFUNCTION("""COMPUTED_VALUE"""),"239987644f409ac822be4ca9051a98eb8bf7e766")</f>
        <v>239987644f409ac822be4ca9051a98eb8bf7e766</v>
      </c>
      <c r="B43" s="6" t="str">
        <f>IFERROR(__xludf.DUMMYFUNCTION("""COMPUTED_VALUE"""),"The Silent Rebirth")</f>
        <v>The Silent Rebirth</v>
      </c>
      <c r="C43" s="6" t="str">
        <f>IFERROR(__xludf.DUMMYFUNCTION("""COMPUTED_VALUE"""),"Romantasy")</f>
        <v>Romantasy</v>
      </c>
      <c r="D43" s="11">
        <f>IFERROR(__xludf.DUMMYFUNCTION("""COMPUTED_VALUE"""),1456.0)</f>
        <v>1456</v>
      </c>
      <c r="E43" s="8">
        <f>IFERROR(__xludf.DUMMYFUNCTION("""COMPUTED_VALUE"""),0.978708791208791)</f>
        <v>0.9787087912</v>
      </c>
      <c r="F43" s="8">
        <f>IFERROR(__xludf.DUMMYFUNCTION("""COMPUTED_VALUE"""),0.491071428571428)</f>
        <v>0.4910714286</v>
      </c>
      <c r="G43" s="8">
        <f>IFERROR(__xludf.DUMMYFUNCTION("""COMPUTED_VALUE"""),0.429258241758241)</f>
        <v>0.4292582418</v>
      </c>
      <c r="H43" s="8">
        <f>IFERROR(__xludf.DUMMYFUNCTION("""COMPUTED_VALUE"""),0.401098901098901)</f>
        <v>0.4010989011</v>
      </c>
      <c r="I43" s="8">
        <f>IFERROR(__xludf.DUMMYFUNCTION("""COMPUTED_VALUE"""),0.385302197802197)</f>
        <v>0.3853021978</v>
      </c>
      <c r="J43" s="8">
        <f>IFERROR(__xludf.DUMMYFUNCTION("""COMPUTED_VALUE"""),0.368131868131868)</f>
        <v>0.3681318681</v>
      </c>
      <c r="K43" s="8">
        <f>IFERROR(__xludf.DUMMYFUNCTION("""COMPUTED_VALUE"""),0.344780219780219)</f>
        <v>0.3447802198</v>
      </c>
      <c r="L43" s="8">
        <f>IFERROR(__xludf.DUMMYFUNCTION("""COMPUTED_VALUE"""),0.330357142857142)</f>
        <v>0.3303571429</v>
      </c>
      <c r="M43" s="8">
        <f>IFERROR(__xludf.DUMMYFUNCTION("""COMPUTED_VALUE"""),0.322802197802197)</f>
        <v>0.3228021978</v>
      </c>
      <c r="N43" s="8">
        <f>IFERROR(__xludf.DUMMYFUNCTION("""COMPUTED_VALUE"""),0.311340206185567)</f>
        <v>0.3113402062</v>
      </c>
      <c r="O43" s="8">
        <f>IFERROR(__xludf.DUMMYFUNCTION("""COMPUTED_VALUE"""),0.293470790378006)</f>
        <v>0.2934707904</v>
      </c>
      <c r="P43" s="8">
        <f>IFERROR(__xludf.DUMMYFUNCTION("""COMPUTED_VALUE"""),0.237767057201929)</f>
        <v>0.2377670572</v>
      </c>
      <c r="Q43" s="8">
        <f>IFERROR(__xludf.DUMMYFUNCTION("""COMPUTED_VALUE"""),0.151452282157676)</f>
        <v>0.1514522822</v>
      </c>
      <c r="R43" s="8">
        <f>IFERROR(__xludf.DUMMYFUNCTION("""COMPUTED_VALUE"""),0.121112929623567)</f>
        <v>0.1211129296</v>
      </c>
      <c r="S43" s="8">
        <f>IFERROR(__xludf.DUMMYFUNCTION("""COMPUTED_VALUE"""),0.114107883817427)</f>
        <v>0.1141078838</v>
      </c>
      <c r="T43" s="8">
        <f>IFERROR(__xludf.DUMMYFUNCTION("""COMPUTED_VALUE"""),0.0989717223650385)</f>
        <v>0.09897172237</v>
      </c>
      <c r="U43" s="8">
        <f>IFERROR(__xludf.DUMMYFUNCTION("""COMPUTED_VALUE"""),0.0805270863836017)</f>
        <v>0.08052708638</v>
      </c>
      <c r="V43" s="8">
        <f>IFERROR(__xludf.DUMMYFUNCTION("""COMPUTED_VALUE"""),0.0635245901639344)</f>
        <v>0.06352459016</v>
      </c>
      <c r="W43" s="8">
        <f>IFERROR(__xludf.DUMMYFUNCTION("""COMPUTED_VALUE"""),0.0603174603174603)</f>
        <v>0.06031746032</v>
      </c>
      <c r="X43" s="8">
        <f>IFERROR(__xludf.DUMMYFUNCTION("""COMPUTED_VALUE"""),0.05)</f>
        <v>0.05</v>
      </c>
      <c r="Y43" s="8">
        <f>IFERROR(__xludf.DUMMYFUNCTION("""COMPUTED_VALUE"""),0.0)</f>
        <v>0</v>
      </c>
      <c r="Z43" s="8">
        <f>IFERROR(__xludf.DUMMYFUNCTION("""COMPUTED_VALUE"""),0.0)</f>
        <v>0</v>
      </c>
      <c r="AA43" s="8">
        <f>IFERROR(__xludf.DUMMYFUNCTION("""COMPUTED_VALUE"""),0.0)</f>
        <v>0</v>
      </c>
      <c r="AB43" s="8">
        <f>IFERROR(__xludf.DUMMYFUNCTION("""COMPUTED_VALUE"""),0.0)</f>
        <v>0</v>
      </c>
      <c r="AC43" s="8">
        <f>IFERROR(__xludf.DUMMYFUNCTION("""COMPUTED_VALUE"""),0.0)</f>
        <v>0</v>
      </c>
    </row>
    <row r="44" ht="15.75" customHeight="1">
      <c r="A44" s="6" t="str">
        <f>IFERROR(__xludf.DUMMYFUNCTION("""COMPUTED_VALUE"""),"239fafc880752526fba110a11c49b101aec7192f")</f>
        <v>239fafc880752526fba110a11c49b101aec7192f</v>
      </c>
      <c r="B44" s="6" t="str">
        <f>IFERROR(__xludf.DUMMYFUNCTION("""COMPUTED_VALUE"""),"Mama's Lil Kings")</f>
        <v>Mama's Lil Kings</v>
      </c>
      <c r="C44" s="6" t="str">
        <f>IFERROR(__xludf.DUMMYFUNCTION("""COMPUTED_VALUE"""),"Drama")</f>
        <v>Drama</v>
      </c>
      <c r="D44" s="11">
        <f>IFERROR(__xludf.DUMMYFUNCTION("""COMPUTED_VALUE"""),17.0)</f>
        <v>17</v>
      </c>
      <c r="E44" s="8">
        <f>IFERROR(__xludf.DUMMYFUNCTION("""COMPUTED_VALUE"""),1.0)</f>
        <v>1</v>
      </c>
      <c r="F44" s="8">
        <f>IFERROR(__xludf.DUMMYFUNCTION("""COMPUTED_VALUE"""),0.235294117647058)</f>
        <v>0.2352941176</v>
      </c>
      <c r="G44" s="8">
        <f>IFERROR(__xludf.DUMMYFUNCTION("""COMPUTED_VALUE"""),0.235294117647058)</f>
        <v>0.2352941176</v>
      </c>
      <c r="H44" s="8">
        <f>IFERROR(__xludf.DUMMYFUNCTION("""COMPUTED_VALUE"""),0.117647058823529)</f>
        <v>0.1176470588</v>
      </c>
      <c r="I44" s="8">
        <f>IFERROR(__xludf.DUMMYFUNCTION("""COMPUTED_VALUE"""),0.117647058823529)</f>
        <v>0.1176470588</v>
      </c>
      <c r="J44" s="8">
        <f>IFERROR(__xludf.DUMMYFUNCTION("""COMPUTED_VALUE"""),0.117647058823529)</f>
        <v>0.1176470588</v>
      </c>
      <c r="K44" s="8">
        <f>IFERROR(__xludf.DUMMYFUNCTION("""COMPUTED_VALUE"""),0.117647058823529)</f>
        <v>0.1176470588</v>
      </c>
      <c r="L44" s="8">
        <f>IFERROR(__xludf.DUMMYFUNCTION("""COMPUTED_VALUE"""),0.117647058823529)</f>
        <v>0.1176470588</v>
      </c>
      <c r="M44" s="8">
        <f>IFERROR(__xludf.DUMMYFUNCTION("""COMPUTED_VALUE"""),0.117647058823529)</f>
        <v>0.1176470588</v>
      </c>
      <c r="N44" s="8">
        <f>IFERROR(__xludf.DUMMYFUNCTION("""COMPUTED_VALUE"""),0.117647058823529)</f>
        <v>0.1176470588</v>
      </c>
      <c r="O44" s="8">
        <f>IFERROR(__xludf.DUMMYFUNCTION("""COMPUTED_VALUE"""),0.117647058823529)</f>
        <v>0.1176470588</v>
      </c>
      <c r="P44" s="8">
        <f>IFERROR(__xludf.DUMMYFUNCTION("""COMPUTED_VALUE"""),0.125)</f>
        <v>0.125</v>
      </c>
      <c r="Q44" s="8">
        <f>IFERROR(__xludf.DUMMYFUNCTION("""COMPUTED_VALUE"""),0.125)</f>
        <v>0.125</v>
      </c>
      <c r="R44" s="8">
        <f>IFERROR(__xludf.DUMMYFUNCTION("""COMPUTED_VALUE"""),0.0625)</f>
        <v>0.0625</v>
      </c>
      <c r="S44" s="8">
        <f>IFERROR(__xludf.DUMMYFUNCTION("""COMPUTED_VALUE"""),0.0)</f>
        <v>0</v>
      </c>
      <c r="T44" s="8">
        <f>IFERROR(__xludf.DUMMYFUNCTION("""COMPUTED_VALUE"""),0.0714285714285714)</f>
        <v>0.07142857143</v>
      </c>
      <c r="U44" s="8">
        <f>IFERROR(__xludf.DUMMYFUNCTION("""COMPUTED_VALUE"""),0.0833333333333333)</f>
        <v>0.08333333333</v>
      </c>
      <c r="V44" s="8">
        <f>IFERROR(__xludf.DUMMYFUNCTION("""COMPUTED_VALUE"""),0.0909090909090909)</f>
        <v>0.09090909091</v>
      </c>
      <c r="W44" s="8">
        <f>IFERROR(__xludf.DUMMYFUNCTION("""COMPUTED_VALUE"""),0.0909090909090909)</f>
        <v>0.09090909091</v>
      </c>
      <c r="X44" s="8">
        <f>IFERROR(__xludf.DUMMYFUNCTION("""COMPUTED_VALUE"""),0.0)</f>
        <v>0</v>
      </c>
      <c r="Y44" s="8">
        <f>IFERROR(__xludf.DUMMYFUNCTION("""COMPUTED_VALUE"""),0.0)</f>
        <v>0</v>
      </c>
      <c r="Z44" s="8">
        <f>IFERROR(__xludf.DUMMYFUNCTION("""COMPUTED_VALUE"""),0.0)</f>
        <v>0</v>
      </c>
      <c r="AA44" s="8">
        <f>IFERROR(__xludf.DUMMYFUNCTION("""COMPUTED_VALUE"""),0.0)</f>
        <v>0</v>
      </c>
      <c r="AB44" s="8">
        <f>IFERROR(__xludf.DUMMYFUNCTION("""COMPUTED_VALUE"""),0.0)</f>
        <v>0</v>
      </c>
      <c r="AC44" s="8">
        <f>IFERROR(__xludf.DUMMYFUNCTION("""COMPUTED_VALUE"""),0.0)</f>
        <v>0</v>
      </c>
    </row>
    <row r="45" ht="15.75" customHeight="1">
      <c r="A45" s="6" t="str">
        <f>IFERROR(__xludf.DUMMYFUNCTION("""COMPUTED_VALUE"""),"23a0bb3d5deb8d4707bdb34175170e288d724c97")</f>
        <v>23a0bb3d5deb8d4707bdb34175170e288d724c97</v>
      </c>
      <c r="B45" s="6" t="str">
        <f>IFERROR(__xludf.DUMMYFUNCTION("""COMPUTED_VALUE"""),"System of Super Tech")</f>
        <v>System of Super Tech</v>
      </c>
      <c r="C45" s="6" t="str">
        <f>IFERROR(__xludf.DUMMYFUNCTION("""COMPUTED_VALUE"""),"System and Superpower")</f>
        <v>System and Superpower</v>
      </c>
      <c r="D45" s="11">
        <f>IFERROR(__xludf.DUMMYFUNCTION("""COMPUTED_VALUE"""),654.0)</f>
        <v>654</v>
      </c>
      <c r="E45" s="8">
        <f>IFERROR(__xludf.DUMMYFUNCTION("""COMPUTED_VALUE"""),0.984709480122324)</f>
        <v>0.9847094801</v>
      </c>
      <c r="F45" s="8">
        <f>IFERROR(__xludf.DUMMYFUNCTION("""COMPUTED_VALUE"""),0.542813455657492)</f>
        <v>0.5428134557</v>
      </c>
      <c r="G45" s="8">
        <f>IFERROR(__xludf.DUMMYFUNCTION("""COMPUTED_VALUE"""),0.441896024464831)</f>
        <v>0.4418960245</v>
      </c>
      <c r="H45" s="8">
        <f>IFERROR(__xludf.DUMMYFUNCTION("""COMPUTED_VALUE"""),0.408320493066255)</f>
        <v>0.4083204931</v>
      </c>
      <c r="I45" s="8">
        <f>IFERROR(__xludf.DUMMYFUNCTION("""COMPUTED_VALUE"""),0.375776397515527)</f>
        <v>0.3757763975</v>
      </c>
      <c r="J45" s="8">
        <f>IFERROR(__xludf.DUMMYFUNCTION("""COMPUTED_VALUE"""),0.352112676056338)</f>
        <v>0.3521126761</v>
      </c>
      <c r="K45" s="8">
        <f>IFERROR(__xludf.DUMMYFUNCTION("""COMPUTED_VALUE"""),0.337025316455696)</f>
        <v>0.3370253165</v>
      </c>
      <c r="L45" s="8">
        <f>IFERROR(__xludf.DUMMYFUNCTION("""COMPUTED_VALUE"""),0.307941653160453)</f>
        <v>0.3079416532</v>
      </c>
      <c r="M45" s="8">
        <f>IFERROR(__xludf.DUMMYFUNCTION("""COMPUTED_VALUE"""),0.294701986754966)</f>
        <v>0.2947019868</v>
      </c>
      <c r="N45" s="8">
        <f>IFERROR(__xludf.DUMMYFUNCTION("""COMPUTED_VALUE"""),0.282222222222222)</f>
        <v>0.2822222222</v>
      </c>
      <c r="O45" s="8">
        <f>IFERROR(__xludf.DUMMYFUNCTION("""COMPUTED_VALUE"""),0.25)</f>
        <v>0.25</v>
      </c>
      <c r="P45" s="8">
        <f>IFERROR(__xludf.DUMMYFUNCTION("""COMPUTED_VALUE"""),0.170731707317073)</f>
        <v>0.1707317073</v>
      </c>
      <c r="Q45" s="8">
        <f>IFERROR(__xludf.DUMMYFUNCTION("""COMPUTED_VALUE"""),0.1)</f>
        <v>0.1</v>
      </c>
      <c r="R45" s="8">
        <f>IFERROR(__xludf.DUMMYFUNCTION("""COMPUTED_VALUE"""),0.0)</f>
        <v>0</v>
      </c>
      <c r="S45" s="8">
        <f>IFERROR(__xludf.DUMMYFUNCTION("""COMPUTED_VALUE"""),0.0)</f>
        <v>0</v>
      </c>
      <c r="T45" s="8">
        <f>IFERROR(__xludf.DUMMYFUNCTION("""COMPUTED_VALUE"""),0.0)</f>
        <v>0</v>
      </c>
      <c r="U45" s="8">
        <f>IFERROR(__xludf.DUMMYFUNCTION("""COMPUTED_VALUE"""),0.0)</f>
        <v>0</v>
      </c>
      <c r="V45" s="8">
        <f>IFERROR(__xludf.DUMMYFUNCTION("""COMPUTED_VALUE"""),0.0)</f>
        <v>0</v>
      </c>
      <c r="W45" s="8">
        <f>IFERROR(__xludf.DUMMYFUNCTION("""COMPUTED_VALUE"""),0.0)</f>
        <v>0</v>
      </c>
      <c r="X45" s="8">
        <f>IFERROR(__xludf.DUMMYFUNCTION("""COMPUTED_VALUE"""),0.0)</f>
        <v>0</v>
      </c>
      <c r="Y45" s="8">
        <f>IFERROR(__xludf.DUMMYFUNCTION("""COMPUTED_VALUE"""),0.0)</f>
        <v>0</v>
      </c>
      <c r="Z45" s="8">
        <f>IFERROR(__xludf.DUMMYFUNCTION("""COMPUTED_VALUE"""),0.0)</f>
        <v>0</v>
      </c>
      <c r="AA45" s="8">
        <f>IFERROR(__xludf.DUMMYFUNCTION("""COMPUTED_VALUE"""),0.0)</f>
        <v>0</v>
      </c>
      <c r="AB45" s="8">
        <f>IFERROR(__xludf.DUMMYFUNCTION("""COMPUTED_VALUE"""),0.0)</f>
        <v>0</v>
      </c>
      <c r="AC45" s="8">
        <f>IFERROR(__xludf.DUMMYFUNCTION("""COMPUTED_VALUE"""),0.0)</f>
        <v>0</v>
      </c>
    </row>
    <row r="46" ht="15.75" customHeight="1">
      <c r="A46" s="6" t="str">
        <f>IFERROR(__xludf.DUMMYFUNCTION("""COMPUTED_VALUE"""),"247dcedeaecc161909c6ddd57b599f4e38d758d8")</f>
        <v>247dcedeaecc161909c6ddd57b599f4e38d758d8</v>
      </c>
      <c r="B46" s="6" t="str">
        <f>IFERROR(__xludf.DUMMYFUNCTION("""COMPUTED_VALUE"""),"A Christmas of Betrayals")</f>
        <v>A Christmas of Betrayals</v>
      </c>
      <c r="C46" s="6" t="str">
        <f>IFERROR(__xludf.DUMMYFUNCTION("""COMPUTED_VALUE"""),"Romance")</f>
        <v>Romance</v>
      </c>
      <c r="D46" s="11">
        <f>IFERROR(__xludf.DUMMYFUNCTION("""COMPUTED_VALUE"""),31.0)</f>
        <v>31</v>
      </c>
      <c r="E46" s="8">
        <f>IFERROR(__xludf.DUMMYFUNCTION("""COMPUTED_VALUE"""),0.935483870967741)</f>
        <v>0.935483871</v>
      </c>
      <c r="F46" s="8">
        <f>IFERROR(__xludf.DUMMYFUNCTION("""COMPUTED_VALUE"""),0.677419354838709)</f>
        <v>0.6774193548</v>
      </c>
      <c r="G46" s="8">
        <f>IFERROR(__xludf.DUMMYFUNCTION("""COMPUTED_VALUE"""),0.612903225806451)</f>
        <v>0.6129032258</v>
      </c>
      <c r="H46" s="8">
        <f>IFERROR(__xludf.DUMMYFUNCTION("""COMPUTED_VALUE"""),0.516129032258064)</f>
        <v>0.5161290323</v>
      </c>
      <c r="I46" s="8">
        <f>IFERROR(__xludf.DUMMYFUNCTION("""COMPUTED_VALUE"""),0.387096774193548)</f>
        <v>0.3870967742</v>
      </c>
      <c r="J46" s="8">
        <f>IFERROR(__xludf.DUMMYFUNCTION("""COMPUTED_VALUE"""),0.387096774193548)</f>
        <v>0.3870967742</v>
      </c>
      <c r="K46" s="8">
        <f>IFERROR(__xludf.DUMMYFUNCTION("""COMPUTED_VALUE"""),0.387096774193548)</f>
        <v>0.3870967742</v>
      </c>
      <c r="L46" s="8">
        <f>IFERROR(__xludf.DUMMYFUNCTION("""COMPUTED_VALUE"""),0.290322580645161)</f>
        <v>0.2903225806</v>
      </c>
      <c r="M46" s="8">
        <f>IFERROR(__xludf.DUMMYFUNCTION("""COMPUTED_VALUE"""),0.258064516129032)</f>
        <v>0.2580645161</v>
      </c>
      <c r="N46" s="8">
        <f>IFERROR(__xludf.DUMMYFUNCTION("""COMPUTED_VALUE"""),0.225806451612903)</f>
        <v>0.2258064516</v>
      </c>
      <c r="O46" s="8">
        <f>IFERROR(__xludf.DUMMYFUNCTION("""COMPUTED_VALUE"""),0.161290322580645)</f>
        <v>0.1612903226</v>
      </c>
      <c r="P46" s="8">
        <f>IFERROR(__xludf.DUMMYFUNCTION("""COMPUTED_VALUE"""),0.2)</f>
        <v>0.2</v>
      </c>
      <c r="Q46" s="8">
        <f>IFERROR(__xludf.DUMMYFUNCTION("""COMPUTED_VALUE"""),0.0769230769230769)</f>
        <v>0.07692307692</v>
      </c>
      <c r="R46" s="8">
        <f>IFERROR(__xludf.DUMMYFUNCTION("""COMPUTED_VALUE"""),0.0)</f>
        <v>0</v>
      </c>
      <c r="S46" s="8">
        <f>IFERROR(__xludf.DUMMYFUNCTION("""COMPUTED_VALUE"""),0.0)</f>
        <v>0</v>
      </c>
      <c r="T46" s="8">
        <f>IFERROR(__xludf.DUMMYFUNCTION("""COMPUTED_VALUE"""),0.0)</f>
        <v>0</v>
      </c>
      <c r="U46" s="8">
        <f>IFERROR(__xludf.DUMMYFUNCTION("""COMPUTED_VALUE"""),0.0)</f>
        <v>0</v>
      </c>
      <c r="V46" s="8">
        <f>IFERROR(__xludf.DUMMYFUNCTION("""COMPUTED_VALUE"""),0.0)</f>
        <v>0</v>
      </c>
      <c r="W46" s="8">
        <f>IFERROR(__xludf.DUMMYFUNCTION("""COMPUTED_VALUE"""),0.0)</f>
        <v>0</v>
      </c>
      <c r="X46" s="8">
        <f>IFERROR(__xludf.DUMMYFUNCTION("""COMPUTED_VALUE"""),0.0)</f>
        <v>0</v>
      </c>
      <c r="Y46" s="8">
        <f>IFERROR(__xludf.DUMMYFUNCTION("""COMPUTED_VALUE"""),0.0)</f>
        <v>0</v>
      </c>
      <c r="Z46" s="8">
        <f>IFERROR(__xludf.DUMMYFUNCTION("""COMPUTED_VALUE"""),0.0)</f>
        <v>0</v>
      </c>
      <c r="AA46" s="8">
        <f>IFERROR(__xludf.DUMMYFUNCTION("""COMPUTED_VALUE"""),0.0)</f>
        <v>0</v>
      </c>
      <c r="AB46" s="8">
        <f>IFERROR(__xludf.DUMMYFUNCTION("""COMPUTED_VALUE"""),0.0)</f>
        <v>0</v>
      </c>
      <c r="AC46" s="8">
        <f>IFERROR(__xludf.DUMMYFUNCTION("""COMPUTED_VALUE"""),0.0)</f>
        <v>0</v>
      </c>
    </row>
    <row r="47" ht="15.75" customHeight="1">
      <c r="A47" s="6" t="str">
        <f>IFERROR(__xludf.DUMMYFUNCTION("""COMPUTED_VALUE"""),"248aae390e84177edc04ecc06fac6c17aed375ff")</f>
        <v>248aae390e84177edc04ecc06fac6c17aed375ff</v>
      </c>
      <c r="B47" s="6" t="str">
        <f>IFERROR(__xludf.DUMMYFUNCTION("""COMPUTED_VALUE"""),"Silver Onyx: Dragonbound")</f>
        <v>Silver Onyx: Dragonbound</v>
      </c>
      <c r="C47" s="6" t="str">
        <f>IFERROR(__xludf.DUMMYFUNCTION("""COMPUTED_VALUE"""),"Romantasy")</f>
        <v>Romantasy</v>
      </c>
      <c r="D47" s="11">
        <f>IFERROR(__xludf.DUMMYFUNCTION("""COMPUTED_VALUE"""),220.0)</f>
        <v>220</v>
      </c>
      <c r="E47" s="8">
        <f>IFERROR(__xludf.DUMMYFUNCTION("""COMPUTED_VALUE"""),0.972727272727272)</f>
        <v>0.9727272727</v>
      </c>
      <c r="F47" s="8">
        <f>IFERROR(__xludf.DUMMYFUNCTION("""COMPUTED_VALUE"""),0.581818181818181)</f>
        <v>0.5818181818</v>
      </c>
      <c r="G47" s="8">
        <f>IFERROR(__xludf.DUMMYFUNCTION("""COMPUTED_VALUE"""),0.531818181818181)</f>
        <v>0.5318181818</v>
      </c>
      <c r="H47" s="8">
        <f>IFERROR(__xludf.DUMMYFUNCTION("""COMPUTED_VALUE"""),0.504545454545454)</f>
        <v>0.5045454545</v>
      </c>
      <c r="I47" s="8">
        <f>IFERROR(__xludf.DUMMYFUNCTION("""COMPUTED_VALUE"""),0.49090909090909)</f>
        <v>0.4909090909</v>
      </c>
      <c r="J47" s="8">
        <f>IFERROR(__xludf.DUMMYFUNCTION("""COMPUTED_VALUE"""),0.486363636363636)</f>
        <v>0.4863636364</v>
      </c>
      <c r="K47" s="8">
        <f>IFERROR(__xludf.DUMMYFUNCTION("""COMPUTED_VALUE"""),0.463302752293578)</f>
        <v>0.4633027523</v>
      </c>
      <c r="L47" s="8">
        <f>IFERROR(__xludf.DUMMYFUNCTION("""COMPUTED_VALUE"""),0.457943925233644)</f>
        <v>0.4579439252</v>
      </c>
      <c r="M47" s="8">
        <f>IFERROR(__xludf.DUMMYFUNCTION("""COMPUTED_VALUE"""),0.462264150943396)</f>
        <v>0.4622641509</v>
      </c>
      <c r="N47" s="8">
        <f>IFERROR(__xludf.DUMMYFUNCTION("""COMPUTED_VALUE"""),0.465686274509803)</f>
        <v>0.4656862745</v>
      </c>
      <c r="O47" s="8">
        <f>IFERROR(__xludf.DUMMYFUNCTION("""COMPUTED_VALUE"""),0.714285714285714)</f>
        <v>0.7142857143</v>
      </c>
      <c r="P47" s="8">
        <f>IFERROR(__xludf.DUMMYFUNCTION("""COMPUTED_VALUE"""),0.5)</f>
        <v>0.5</v>
      </c>
      <c r="Q47" s="8">
        <f>IFERROR(__xludf.DUMMYFUNCTION("""COMPUTED_VALUE"""),0.0)</f>
        <v>0</v>
      </c>
      <c r="R47" s="8">
        <f>IFERROR(__xludf.DUMMYFUNCTION("""COMPUTED_VALUE"""),0.0)</f>
        <v>0</v>
      </c>
      <c r="S47" s="8">
        <f>IFERROR(__xludf.DUMMYFUNCTION("""COMPUTED_VALUE"""),0.0)</f>
        <v>0</v>
      </c>
      <c r="T47" s="8">
        <f>IFERROR(__xludf.DUMMYFUNCTION("""COMPUTED_VALUE"""),0.0)</f>
        <v>0</v>
      </c>
      <c r="U47" s="8">
        <f>IFERROR(__xludf.DUMMYFUNCTION("""COMPUTED_VALUE"""),0.0)</f>
        <v>0</v>
      </c>
      <c r="V47" s="8">
        <f>IFERROR(__xludf.DUMMYFUNCTION("""COMPUTED_VALUE"""),0.0)</f>
        <v>0</v>
      </c>
      <c r="W47" s="8">
        <f>IFERROR(__xludf.DUMMYFUNCTION("""COMPUTED_VALUE"""),0.0)</f>
        <v>0</v>
      </c>
      <c r="X47" s="8">
        <f>IFERROR(__xludf.DUMMYFUNCTION("""COMPUTED_VALUE"""),0.0)</f>
        <v>0</v>
      </c>
      <c r="Y47" s="8">
        <f>IFERROR(__xludf.DUMMYFUNCTION("""COMPUTED_VALUE"""),0.0)</f>
        <v>0</v>
      </c>
      <c r="Z47" s="8">
        <f>IFERROR(__xludf.DUMMYFUNCTION("""COMPUTED_VALUE"""),0.0)</f>
        <v>0</v>
      </c>
      <c r="AA47" s="8">
        <f>IFERROR(__xludf.DUMMYFUNCTION("""COMPUTED_VALUE"""),0.0)</f>
        <v>0</v>
      </c>
      <c r="AB47" s="8">
        <f>IFERROR(__xludf.DUMMYFUNCTION("""COMPUTED_VALUE"""),0.0)</f>
        <v>0</v>
      </c>
      <c r="AC47" s="8">
        <f>IFERROR(__xludf.DUMMYFUNCTION("""COMPUTED_VALUE"""),0.0)</f>
        <v>0</v>
      </c>
    </row>
    <row r="48" ht="15.75" customHeight="1">
      <c r="A48" s="6" t="str">
        <f>IFERROR(__xludf.DUMMYFUNCTION("""COMPUTED_VALUE"""),"248ba0ec55862a22dd7993c8b49d5f052ce03954")</f>
        <v>248ba0ec55862a22dd7993c8b49d5f052ce03954</v>
      </c>
      <c r="B48" s="6" t="str">
        <f>IFERROR(__xludf.DUMMYFUNCTION("""COMPUTED_VALUE"""),"The Silent Sovereign")</f>
        <v>The Silent Sovereign</v>
      </c>
      <c r="C48" s="6" t="str">
        <f>IFERROR(__xludf.DUMMYFUNCTION("""COMPUTED_VALUE"""),"Fantasy")</f>
        <v>Fantasy</v>
      </c>
      <c r="D48" s="11">
        <f>IFERROR(__xludf.DUMMYFUNCTION("""COMPUTED_VALUE"""),540.0)</f>
        <v>540</v>
      </c>
      <c r="E48" s="8">
        <f>IFERROR(__xludf.DUMMYFUNCTION("""COMPUTED_VALUE"""),0.983333333333333)</f>
        <v>0.9833333333</v>
      </c>
      <c r="F48" s="8">
        <f>IFERROR(__xludf.DUMMYFUNCTION("""COMPUTED_VALUE"""),0.774074074074074)</f>
        <v>0.7740740741</v>
      </c>
      <c r="G48" s="8">
        <f>IFERROR(__xludf.DUMMYFUNCTION("""COMPUTED_VALUE"""),0.712962962962962)</f>
        <v>0.712962963</v>
      </c>
      <c r="H48" s="8">
        <f>IFERROR(__xludf.DUMMYFUNCTION("""COMPUTED_VALUE"""),0.667293233082706)</f>
        <v>0.6672932331</v>
      </c>
      <c r="I48" s="8">
        <f>IFERROR(__xludf.DUMMYFUNCTION("""COMPUTED_VALUE"""),0.632495164410058)</f>
        <v>0.6324951644</v>
      </c>
      <c r="J48" s="8">
        <f>IFERROR(__xludf.DUMMYFUNCTION("""COMPUTED_VALUE"""),0.597826086956521)</f>
        <v>0.597826087</v>
      </c>
      <c r="K48" s="8">
        <f>IFERROR(__xludf.DUMMYFUNCTION("""COMPUTED_VALUE"""),0.538106235565819)</f>
        <v>0.5381062356</v>
      </c>
      <c r="L48" s="8">
        <f>IFERROR(__xludf.DUMMYFUNCTION("""COMPUTED_VALUE"""),0.506527415143603)</f>
        <v>0.5065274151</v>
      </c>
      <c r="M48" s="8">
        <f>IFERROR(__xludf.DUMMYFUNCTION("""COMPUTED_VALUE"""),0.453172205438066)</f>
        <v>0.4531722054</v>
      </c>
      <c r="N48" s="8">
        <f>IFERROR(__xludf.DUMMYFUNCTION("""COMPUTED_VALUE"""),0.403846153846153)</f>
        <v>0.4038461538</v>
      </c>
      <c r="O48" s="8">
        <f>IFERROR(__xludf.DUMMYFUNCTION("""COMPUTED_VALUE"""),0.3)</f>
        <v>0.3</v>
      </c>
      <c r="P48" s="8">
        <f>IFERROR(__xludf.DUMMYFUNCTION("""COMPUTED_VALUE"""),0.133333333333333)</f>
        <v>0.1333333333</v>
      </c>
      <c r="Q48" s="8">
        <f>IFERROR(__xludf.DUMMYFUNCTION("""COMPUTED_VALUE"""),0.142857142857142)</f>
        <v>0.1428571429</v>
      </c>
      <c r="R48" s="8">
        <f>IFERROR(__xludf.DUMMYFUNCTION("""COMPUTED_VALUE"""),0.0)</f>
        <v>0</v>
      </c>
      <c r="S48" s="8">
        <f>IFERROR(__xludf.DUMMYFUNCTION("""COMPUTED_VALUE"""),0.0)</f>
        <v>0</v>
      </c>
      <c r="T48" s="8">
        <f>IFERROR(__xludf.DUMMYFUNCTION("""COMPUTED_VALUE"""),0.0)</f>
        <v>0</v>
      </c>
      <c r="U48" s="8">
        <f>IFERROR(__xludf.DUMMYFUNCTION("""COMPUTED_VALUE"""),0.0)</f>
        <v>0</v>
      </c>
      <c r="V48" s="8">
        <f>IFERROR(__xludf.DUMMYFUNCTION("""COMPUTED_VALUE"""),0.0)</f>
        <v>0</v>
      </c>
      <c r="W48" s="8">
        <f>IFERROR(__xludf.DUMMYFUNCTION("""COMPUTED_VALUE"""),0.0)</f>
        <v>0</v>
      </c>
      <c r="X48" s="8">
        <f>IFERROR(__xludf.DUMMYFUNCTION("""COMPUTED_VALUE"""),0.0)</f>
        <v>0</v>
      </c>
      <c r="Y48" s="8">
        <f>IFERROR(__xludf.DUMMYFUNCTION("""COMPUTED_VALUE"""),0.0)</f>
        <v>0</v>
      </c>
      <c r="Z48" s="8">
        <f>IFERROR(__xludf.DUMMYFUNCTION("""COMPUTED_VALUE"""),0.0)</f>
        <v>0</v>
      </c>
      <c r="AA48" s="8">
        <f>IFERROR(__xludf.DUMMYFUNCTION("""COMPUTED_VALUE"""),0.0)</f>
        <v>0</v>
      </c>
      <c r="AB48" s="8">
        <f>IFERROR(__xludf.DUMMYFUNCTION("""COMPUTED_VALUE"""),0.0)</f>
        <v>0</v>
      </c>
      <c r="AC48" s="8">
        <f>IFERROR(__xludf.DUMMYFUNCTION("""COMPUTED_VALUE"""),0.0)</f>
        <v>0</v>
      </c>
    </row>
    <row r="49" ht="15.75" customHeight="1">
      <c r="A49" s="6" t="str">
        <f>IFERROR(__xludf.DUMMYFUNCTION("""COMPUTED_VALUE"""),"26e1fd07be016edcad6988356011ef8b49038bd1")</f>
        <v>26e1fd07be016edcad6988356011ef8b49038bd1</v>
      </c>
      <c r="B49" s="6" t="str">
        <f>IFERROR(__xludf.DUMMYFUNCTION("""COMPUTED_VALUE"""),"The Last Anniversary Lie")</f>
        <v>The Last Anniversary Lie</v>
      </c>
      <c r="C49" s="6" t="str">
        <f>IFERROR(__xludf.DUMMYFUNCTION("""COMPUTED_VALUE"""),"Romance")</f>
        <v>Romance</v>
      </c>
      <c r="D49" s="11">
        <f>IFERROR(__xludf.DUMMYFUNCTION("""COMPUTED_VALUE"""),58.0)</f>
        <v>58</v>
      </c>
      <c r="E49" s="8">
        <f>IFERROR(__xludf.DUMMYFUNCTION("""COMPUTED_VALUE"""),0.96551724137931)</f>
        <v>0.9655172414</v>
      </c>
      <c r="F49" s="8">
        <f>IFERROR(__xludf.DUMMYFUNCTION("""COMPUTED_VALUE"""),0.551724137931034)</f>
        <v>0.5517241379</v>
      </c>
      <c r="G49" s="8">
        <f>IFERROR(__xludf.DUMMYFUNCTION("""COMPUTED_VALUE"""),0.5)</f>
        <v>0.5</v>
      </c>
      <c r="H49" s="8">
        <f>IFERROR(__xludf.DUMMYFUNCTION("""COMPUTED_VALUE"""),0.46551724137931)</f>
        <v>0.4655172414</v>
      </c>
      <c r="I49" s="8">
        <f>IFERROR(__xludf.DUMMYFUNCTION("""COMPUTED_VALUE"""),0.448275862068965)</f>
        <v>0.4482758621</v>
      </c>
      <c r="J49" s="8">
        <f>IFERROR(__xludf.DUMMYFUNCTION("""COMPUTED_VALUE"""),0.362068965517241)</f>
        <v>0.3620689655</v>
      </c>
      <c r="K49" s="8">
        <f>IFERROR(__xludf.DUMMYFUNCTION("""COMPUTED_VALUE"""),0.379310344827586)</f>
        <v>0.3793103448</v>
      </c>
      <c r="L49" s="8">
        <f>IFERROR(__xludf.DUMMYFUNCTION("""COMPUTED_VALUE"""),0.362068965517241)</f>
        <v>0.3620689655</v>
      </c>
      <c r="M49" s="8">
        <f>IFERROR(__xludf.DUMMYFUNCTION("""COMPUTED_VALUE"""),0.362068965517241)</f>
        <v>0.3620689655</v>
      </c>
      <c r="N49" s="8">
        <f>IFERROR(__xludf.DUMMYFUNCTION("""COMPUTED_VALUE"""),0.362068965517241)</f>
        <v>0.3620689655</v>
      </c>
      <c r="O49" s="8">
        <f>IFERROR(__xludf.DUMMYFUNCTION("""COMPUTED_VALUE"""),0.115384615384615)</f>
        <v>0.1153846154</v>
      </c>
      <c r="P49" s="8">
        <f>IFERROR(__xludf.DUMMYFUNCTION("""COMPUTED_VALUE"""),0.0)</f>
        <v>0</v>
      </c>
      <c r="Q49" s="8">
        <f>IFERROR(__xludf.DUMMYFUNCTION("""COMPUTED_VALUE"""),0.0)</f>
        <v>0</v>
      </c>
      <c r="R49" s="8">
        <f>IFERROR(__xludf.DUMMYFUNCTION("""COMPUTED_VALUE"""),0.0)</f>
        <v>0</v>
      </c>
      <c r="S49" s="8">
        <f>IFERROR(__xludf.DUMMYFUNCTION("""COMPUTED_VALUE"""),0.0)</f>
        <v>0</v>
      </c>
      <c r="T49" s="8">
        <f>IFERROR(__xludf.DUMMYFUNCTION("""COMPUTED_VALUE"""),0.0)</f>
        <v>0</v>
      </c>
      <c r="U49" s="8">
        <f>IFERROR(__xludf.DUMMYFUNCTION("""COMPUTED_VALUE"""),0.0)</f>
        <v>0</v>
      </c>
      <c r="V49" s="8">
        <f>IFERROR(__xludf.DUMMYFUNCTION("""COMPUTED_VALUE"""),0.0)</f>
        <v>0</v>
      </c>
      <c r="W49" s="8">
        <f>IFERROR(__xludf.DUMMYFUNCTION("""COMPUTED_VALUE"""),0.0)</f>
        <v>0</v>
      </c>
      <c r="X49" s="8">
        <f>IFERROR(__xludf.DUMMYFUNCTION("""COMPUTED_VALUE"""),0.0)</f>
        <v>0</v>
      </c>
      <c r="Y49" s="8">
        <f>IFERROR(__xludf.DUMMYFUNCTION("""COMPUTED_VALUE"""),0.0)</f>
        <v>0</v>
      </c>
      <c r="Z49" s="8">
        <f>IFERROR(__xludf.DUMMYFUNCTION("""COMPUTED_VALUE"""),0.0)</f>
        <v>0</v>
      </c>
      <c r="AA49" s="8">
        <f>IFERROR(__xludf.DUMMYFUNCTION("""COMPUTED_VALUE"""),0.0)</f>
        <v>0</v>
      </c>
      <c r="AB49" s="8">
        <f>IFERROR(__xludf.DUMMYFUNCTION("""COMPUTED_VALUE"""),0.0)</f>
        <v>0</v>
      </c>
      <c r="AC49" s="8">
        <f>IFERROR(__xludf.DUMMYFUNCTION("""COMPUTED_VALUE"""),0.0)</f>
        <v>0</v>
      </c>
    </row>
    <row r="50" ht="15.75" customHeight="1">
      <c r="A50" s="6" t="str">
        <f>IFERROR(__xludf.DUMMYFUNCTION("""COMPUTED_VALUE"""),"2804c5c0d94ac97e4b67564cc852e784e64583e5")</f>
        <v>2804c5c0d94ac97e4b67564cc852e784e64583e5</v>
      </c>
      <c r="B50" s="6" t="str">
        <f>IFERROR(__xludf.DUMMYFUNCTION("""COMPUTED_VALUE"""),"Rebirth in Beauty")</f>
        <v>Rebirth in Beauty</v>
      </c>
      <c r="C50" s="6" t="str">
        <f>IFERROR(__xludf.DUMMYFUNCTION("""COMPUTED_VALUE"""),"Fantasy")</f>
        <v>Fantasy</v>
      </c>
      <c r="D50" s="11">
        <f>IFERROR(__xludf.DUMMYFUNCTION("""COMPUTED_VALUE"""),78.0)</f>
        <v>78</v>
      </c>
      <c r="E50" s="8">
        <f>IFERROR(__xludf.DUMMYFUNCTION("""COMPUTED_VALUE"""),1.0)</f>
        <v>1</v>
      </c>
      <c r="F50" s="8">
        <f>IFERROR(__xludf.DUMMYFUNCTION("""COMPUTED_VALUE"""),0.628205128205128)</f>
        <v>0.6282051282</v>
      </c>
      <c r="G50" s="8">
        <f>IFERROR(__xludf.DUMMYFUNCTION("""COMPUTED_VALUE"""),0.538461538461538)</f>
        <v>0.5384615385</v>
      </c>
      <c r="H50" s="8">
        <f>IFERROR(__xludf.DUMMYFUNCTION("""COMPUTED_VALUE"""),0.452054794520547)</f>
        <v>0.4520547945</v>
      </c>
      <c r="I50" s="8">
        <f>IFERROR(__xludf.DUMMYFUNCTION("""COMPUTED_VALUE"""),0.408450704225352)</f>
        <v>0.4084507042</v>
      </c>
      <c r="J50" s="8">
        <f>IFERROR(__xludf.DUMMYFUNCTION("""COMPUTED_VALUE"""),0.306451612903225)</f>
        <v>0.3064516129</v>
      </c>
      <c r="K50" s="8">
        <f>IFERROR(__xludf.DUMMYFUNCTION("""COMPUTED_VALUE"""),0.296296296296296)</f>
        <v>0.2962962963</v>
      </c>
      <c r="L50" s="8">
        <f>IFERROR(__xludf.DUMMYFUNCTION("""COMPUTED_VALUE"""),0.285714285714285)</f>
        <v>0.2857142857</v>
      </c>
      <c r="M50" s="8">
        <f>IFERROR(__xludf.DUMMYFUNCTION("""COMPUTED_VALUE"""),0.27906976744186)</f>
        <v>0.2790697674</v>
      </c>
      <c r="N50" s="8">
        <f>IFERROR(__xludf.DUMMYFUNCTION("""COMPUTED_VALUE"""),0.266666666666666)</f>
        <v>0.2666666667</v>
      </c>
      <c r="O50" s="8">
        <f>IFERROR(__xludf.DUMMYFUNCTION("""COMPUTED_VALUE"""),0.0)</f>
        <v>0</v>
      </c>
      <c r="P50" s="8">
        <f>IFERROR(__xludf.DUMMYFUNCTION("""COMPUTED_VALUE"""),0.0)</f>
        <v>0</v>
      </c>
      <c r="Q50" s="8">
        <f>IFERROR(__xludf.DUMMYFUNCTION("""COMPUTED_VALUE"""),0.0)</f>
        <v>0</v>
      </c>
      <c r="R50" s="8">
        <f>IFERROR(__xludf.DUMMYFUNCTION("""COMPUTED_VALUE"""),0.0)</f>
        <v>0</v>
      </c>
      <c r="S50" s="8">
        <f>IFERROR(__xludf.DUMMYFUNCTION("""COMPUTED_VALUE"""),0.0)</f>
        <v>0</v>
      </c>
      <c r="T50" s="8">
        <f>IFERROR(__xludf.DUMMYFUNCTION("""COMPUTED_VALUE"""),0.0)</f>
        <v>0</v>
      </c>
      <c r="U50" s="8">
        <f>IFERROR(__xludf.DUMMYFUNCTION("""COMPUTED_VALUE"""),0.0)</f>
        <v>0</v>
      </c>
      <c r="V50" s="8">
        <f>IFERROR(__xludf.DUMMYFUNCTION("""COMPUTED_VALUE"""),0.0)</f>
        <v>0</v>
      </c>
      <c r="W50" s="8">
        <f>IFERROR(__xludf.DUMMYFUNCTION("""COMPUTED_VALUE"""),0.0)</f>
        <v>0</v>
      </c>
      <c r="X50" s="8">
        <f>IFERROR(__xludf.DUMMYFUNCTION("""COMPUTED_VALUE"""),0.0)</f>
        <v>0</v>
      </c>
      <c r="Y50" s="8">
        <f>IFERROR(__xludf.DUMMYFUNCTION("""COMPUTED_VALUE"""),0.0)</f>
        <v>0</v>
      </c>
      <c r="Z50" s="8">
        <f>IFERROR(__xludf.DUMMYFUNCTION("""COMPUTED_VALUE"""),0.0)</f>
        <v>0</v>
      </c>
      <c r="AA50" s="8">
        <f>IFERROR(__xludf.DUMMYFUNCTION("""COMPUTED_VALUE"""),0.0)</f>
        <v>0</v>
      </c>
      <c r="AB50" s="8">
        <f>IFERROR(__xludf.DUMMYFUNCTION("""COMPUTED_VALUE"""),0.0)</f>
        <v>0</v>
      </c>
      <c r="AC50" s="8">
        <f>IFERROR(__xludf.DUMMYFUNCTION("""COMPUTED_VALUE"""),0.0)</f>
        <v>0</v>
      </c>
    </row>
    <row r="51" ht="15.75" customHeight="1">
      <c r="A51" s="6" t="str">
        <f>IFERROR(__xludf.DUMMYFUNCTION("""COMPUTED_VALUE"""),"2969766ce2d0cd5c21da961666ea357622d5d073")</f>
        <v>2969766ce2d0cd5c21da961666ea357622d5d073</v>
      </c>
      <c r="B51" s="6" t="str">
        <f>IFERROR(__xludf.DUMMYFUNCTION("""COMPUTED_VALUE"""),"The Magical Mystic Master")</f>
        <v>The Magical Mystic Master</v>
      </c>
      <c r="C51" s="6" t="str">
        <f>IFERROR(__xludf.DUMMYFUNCTION("""COMPUTED_VALUE"""),"Fantasy")</f>
        <v>Fantasy</v>
      </c>
      <c r="D51" s="11">
        <f>IFERROR(__xludf.DUMMYFUNCTION("""COMPUTED_VALUE"""),759.0)</f>
        <v>759</v>
      </c>
      <c r="E51" s="8">
        <f>IFERROR(__xludf.DUMMYFUNCTION("""COMPUTED_VALUE"""),0.990777338603425)</f>
        <v>0.9907773386</v>
      </c>
      <c r="F51" s="8">
        <f>IFERROR(__xludf.DUMMYFUNCTION("""COMPUTED_VALUE"""),0.567852437417654)</f>
        <v>0.5678524374</v>
      </c>
      <c r="G51" s="8">
        <f>IFERROR(__xludf.DUMMYFUNCTION("""COMPUTED_VALUE"""),0.432147562582345)</f>
        <v>0.4321475626</v>
      </c>
      <c r="H51" s="8">
        <f>IFERROR(__xludf.DUMMYFUNCTION("""COMPUTED_VALUE"""),0.383905013192612)</f>
        <v>0.3839050132</v>
      </c>
      <c r="I51" s="8">
        <f>IFERROR(__xludf.DUMMYFUNCTION("""COMPUTED_VALUE"""),0.317941952506596)</f>
        <v>0.3179419525</v>
      </c>
      <c r="J51" s="8">
        <f>IFERROR(__xludf.DUMMYFUNCTION("""COMPUTED_VALUE"""),0.279683377308707)</f>
        <v>0.2796833773</v>
      </c>
      <c r="K51" s="8">
        <f>IFERROR(__xludf.DUMMYFUNCTION("""COMPUTED_VALUE"""),0.25)</f>
        <v>0.25</v>
      </c>
      <c r="L51" s="8">
        <f>IFERROR(__xludf.DUMMYFUNCTION("""COMPUTED_VALUE"""),0.234042553191489)</f>
        <v>0.2340425532</v>
      </c>
      <c r="M51" s="8">
        <f>IFERROR(__xludf.DUMMYFUNCTION("""COMPUTED_VALUE"""),0.225033288948069)</f>
        <v>0.2250332889</v>
      </c>
      <c r="N51" s="8">
        <f>IFERROR(__xludf.DUMMYFUNCTION("""COMPUTED_VALUE"""),0.214666666666666)</f>
        <v>0.2146666667</v>
      </c>
      <c r="O51" s="8">
        <f>IFERROR(__xludf.DUMMYFUNCTION("""COMPUTED_VALUE"""),0.159946236559139)</f>
        <v>0.1599462366</v>
      </c>
      <c r="P51" s="8">
        <f>IFERROR(__xludf.DUMMYFUNCTION("""COMPUTED_VALUE"""),0.0922865013774104)</f>
        <v>0.09228650138</v>
      </c>
      <c r="Q51" s="8">
        <f>IFERROR(__xludf.DUMMYFUNCTION("""COMPUTED_VALUE"""),0.151785714285714)</f>
        <v>0.1517857143</v>
      </c>
      <c r="R51" s="8">
        <f>IFERROR(__xludf.DUMMYFUNCTION("""COMPUTED_VALUE"""),0.127358490566037)</f>
        <v>0.1273584906</v>
      </c>
      <c r="S51" s="8">
        <f>IFERROR(__xludf.DUMMYFUNCTION("""COMPUTED_VALUE"""),0.0216216216216216)</f>
        <v>0.02162162162</v>
      </c>
      <c r="T51" s="8">
        <f>IFERROR(__xludf.DUMMYFUNCTION("""COMPUTED_VALUE"""),0.0)</f>
        <v>0</v>
      </c>
      <c r="U51" s="8">
        <f>IFERROR(__xludf.DUMMYFUNCTION("""COMPUTED_VALUE"""),0.0)</f>
        <v>0</v>
      </c>
      <c r="V51" s="8">
        <f>IFERROR(__xludf.DUMMYFUNCTION("""COMPUTED_VALUE"""),0.0)</f>
        <v>0</v>
      </c>
      <c r="W51" s="8">
        <f>IFERROR(__xludf.DUMMYFUNCTION("""COMPUTED_VALUE"""),0.0)</f>
        <v>0</v>
      </c>
      <c r="X51" s="8">
        <f>IFERROR(__xludf.DUMMYFUNCTION("""COMPUTED_VALUE"""),0.0)</f>
        <v>0</v>
      </c>
      <c r="Y51" s="8">
        <f>IFERROR(__xludf.DUMMYFUNCTION("""COMPUTED_VALUE"""),0.0)</f>
        <v>0</v>
      </c>
      <c r="Z51" s="8">
        <f>IFERROR(__xludf.DUMMYFUNCTION("""COMPUTED_VALUE"""),0.0)</f>
        <v>0</v>
      </c>
      <c r="AA51" s="8">
        <f>IFERROR(__xludf.DUMMYFUNCTION("""COMPUTED_VALUE"""),0.0)</f>
        <v>0</v>
      </c>
      <c r="AB51" s="8">
        <f>IFERROR(__xludf.DUMMYFUNCTION("""COMPUTED_VALUE"""),0.0)</f>
        <v>0</v>
      </c>
      <c r="AC51" s="8">
        <f>IFERROR(__xludf.DUMMYFUNCTION("""COMPUTED_VALUE"""),0.0)</f>
        <v>0</v>
      </c>
    </row>
    <row r="52" ht="15.75" customHeight="1">
      <c r="A52" s="6" t="str">
        <f>IFERROR(__xludf.DUMMYFUNCTION("""COMPUTED_VALUE"""),"29b6547143fa9e79e6e0d3e0463e7b79ac00c7fd")</f>
        <v>29b6547143fa9e79e6e0d3e0463e7b79ac00c7fd</v>
      </c>
      <c r="B52" s="6" t="str">
        <f>IFERROR(__xludf.DUMMYFUNCTION("""COMPUTED_VALUE"""),"Love, Revenge &amp; My Past")</f>
        <v>Love, Revenge &amp; My Past</v>
      </c>
      <c r="C52" s="6" t="str">
        <f>IFERROR(__xludf.DUMMYFUNCTION("""COMPUTED_VALUE"""),"Romance")</f>
        <v>Romance</v>
      </c>
      <c r="D52" s="11">
        <f>IFERROR(__xludf.DUMMYFUNCTION("""COMPUTED_VALUE"""),84.0)</f>
        <v>84</v>
      </c>
      <c r="E52" s="8">
        <f>IFERROR(__xludf.DUMMYFUNCTION("""COMPUTED_VALUE"""),0.988095238095238)</f>
        <v>0.9880952381</v>
      </c>
      <c r="F52" s="8">
        <f>IFERROR(__xludf.DUMMYFUNCTION("""COMPUTED_VALUE"""),0.345238095238095)</f>
        <v>0.3452380952</v>
      </c>
      <c r="G52" s="8">
        <f>IFERROR(__xludf.DUMMYFUNCTION("""COMPUTED_VALUE"""),0.285714285714285)</f>
        <v>0.2857142857</v>
      </c>
      <c r="H52" s="8">
        <f>IFERROR(__xludf.DUMMYFUNCTION("""COMPUTED_VALUE"""),0.285714285714285)</f>
        <v>0.2857142857</v>
      </c>
      <c r="I52" s="8">
        <f>IFERROR(__xludf.DUMMYFUNCTION("""COMPUTED_VALUE"""),0.25)</f>
        <v>0.25</v>
      </c>
      <c r="J52" s="8">
        <f>IFERROR(__xludf.DUMMYFUNCTION("""COMPUTED_VALUE"""),0.214285714285714)</f>
        <v>0.2142857143</v>
      </c>
      <c r="K52" s="8">
        <f>IFERROR(__xludf.DUMMYFUNCTION("""COMPUTED_VALUE"""),0.202380952380952)</f>
        <v>0.2023809524</v>
      </c>
      <c r="L52" s="8">
        <f>IFERROR(__xludf.DUMMYFUNCTION("""COMPUTED_VALUE"""),0.19047619047619)</f>
        <v>0.1904761905</v>
      </c>
      <c r="M52" s="8">
        <f>IFERROR(__xludf.DUMMYFUNCTION("""COMPUTED_VALUE"""),0.19047619047619)</f>
        <v>0.1904761905</v>
      </c>
      <c r="N52" s="8">
        <f>IFERROR(__xludf.DUMMYFUNCTION("""COMPUTED_VALUE"""),0.178571428571428)</f>
        <v>0.1785714286</v>
      </c>
      <c r="O52" s="8">
        <f>IFERROR(__xludf.DUMMYFUNCTION("""COMPUTED_VALUE"""),0.107142857142857)</f>
        <v>0.1071428571</v>
      </c>
      <c r="P52" s="8">
        <f>IFERROR(__xludf.DUMMYFUNCTION("""COMPUTED_VALUE"""),0.0476190476190476)</f>
        <v>0.04761904762</v>
      </c>
      <c r="Q52" s="8">
        <f>IFERROR(__xludf.DUMMYFUNCTION("""COMPUTED_VALUE"""),0.0)</f>
        <v>0</v>
      </c>
      <c r="R52" s="8">
        <f>IFERROR(__xludf.DUMMYFUNCTION("""COMPUTED_VALUE"""),0.037037037037037)</f>
        <v>0.03703703704</v>
      </c>
      <c r="S52" s="8">
        <f>IFERROR(__xludf.DUMMYFUNCTION("""COMPUTED_VALUE"""),0.0)</f>
        <v>0</v>
      </c>
      <c r="T52" s="8">
        <f>IFERROR(__xludf.DUMMYFUNCTION("""COMPUTED_VALUE"""),0.0)</f>
        <v>0</v>
      </c>
      <c r="U52" s="8">
        <f>IFERROR(__xludf.DUMMYFUNCTION("""COMPUTED_VALUE"""),0.0)</f>
        <v>0</v>
      </c>
      <c r="V52" s="8">
        <f>IFERROR(__xludf.DUMMYFUNCTION("""COMPUTED_VALUE"""),0.0)</f>
        <v>0</v>
      </c>
      <c r="W52" s="8">
        <f>IFERROR(__xludf.DUMMYFUNCTION("""COMPUTED_VALUE"""),0.0)</f>
        <v>0</v>
      </c>
      <c r="X52" s="8">
        <f>IFERROR(__xludf.DUMMYFUNCTION("""COMPUTED_VALUE"""),0.0)</f>
        <v>0</v>
      </c>
      <c r="Y52" s="8">
        <f>IFERROR(__xludf.DUMMYFUNCTION("""COMPUTED_VALUE"""),0.0)</f>
        <v>0</v>
      </c>
      <c r="Z52" s="8">
        <f>IFERROR(__xludf.DUMMYFUNCTION("""COMPUTED_VALUE"""),0.0)</f>
        <v>0</v>
      </c>
      <c r="AA52" s="8">
        <f>IFERROR(__xludf.DUMMYFUNCTION("""COMPUTED_VALUE"""),0.0)</f>
        <v>0</v>
      </c>
      <c r="AB52" s="8">
        <f>IFERROR(__xludf.DUMMYFUNCTION("""COMPUTED_VALUE"""),0.0)</f>
        <v>0</v>
      </c>
      <c r="AC52" s="8">
        <f>IFERROR(__xludf.DUMMYFUNCTION("""COMPUTED_VALUE"""),0.0)</f>
        <v>0</v>
      </c>
    </row>
    <row r="53" ht="15.75" customHeight="1">
      <c r="A53" s="6" t="str">
        <f>IFERROR(__xludf.DUMMYFUNCTION("""COMPUTED_VALUE"""),"2a8120a20d0bebaa0f325746e4058859d5e610ee")</f>
        <v>2a8120a20d0bebaa0f325746e4058859d5e610ee</v>
      </c>
      <c r="B53" s="6" t="str">
        <f>IFERROR(__xludf.DUMMYFUNCTION("""COMPUTED_VALUE"""),"Cultivated Love")</f>
        <v>Cultivated Love</v>
      </c>
      <c r="C53" s="6" t="str">
        <f>IFERROR(__xludf.DUMMYFUNCTION("""COMPUTED_VALUE"""),"Romance")</f>
        <v>Romance</v>
      </c>
      <c r="D53" s="11">
        <f>IFERROR(__xludf.DUMMYFUNCTION("""COMPUTED_VALUE"""),24.0)</f>
        <v>24</v>
      </c>
      <c r="E53" s="8">
        <f>IFERROR(__xludf.DUMMYFUNCTION("""COMPUTED_VALUE"""),1.0)</f>
        <v>1</v>
      </c>
      <c r="F53" s="8">
        <f>IFERROR(__xludf.DUMMYFUNCTION("""COMPUTED_VALUE"""),0.208333333333333)</f>
        <v>0.2083333333</v>
      </c>
      <c r="G53" s="8">
        <f>IFERROR(__xludf.DUMMYFUNCTION("""COMPUTED_VALUE"""),0.125)</f>
        <v>0.125</v>
      </c>
      <c r="H53" s="8">
        <f>IFERROR(__xludf.DUMMYFUNCTION("""COMPUTED_VALUE"""),0.0909090909090909)</f>
        <v>0.09090909091</v>
      </c>
      <c r="I53" s="8">
        <f>IFERROR(__xludf.DUMMYFUNCTION("""COMPUTED_VALUE"""),0.0952380952380952)</f>
        <v>0.09523809524</v>
      </c>
      <c r="J53" s="8">
        <f>IFERROR(__xludf.DUMMYFUNCTION("""COMPUTED_VALUE"""),0.0952380952380952)</f>
        <v>0.09523809524</v>
      </c>
      <c r="K53" s="8">
        <f>IFERROR(__xludf.DUMMYFUNCTION("""COMPUTED_VALUE"""),0.0952380952380952)</f>
        <v>0.09523809524</v>
      </c>
      <c r="L53" s="8">
        <f>IFERROR(__xludf.DUMMYFUNCTION("""COMPUTED_VALUE"""),0.0952380952380952)</f>
        <v>0.09523809524</v>
      </c>
      <c r="M53" s="8">
        <f>IFERROR(__xludf.DUMMYFUNCTION("""COMPUTED_VALUE"""),0.0952380952380952)</f>
        <v>0.09523809524</v>
      </c>
      <c r="N53" s="8">
        <f>IFERROR(__xludf.DUMMYFUNCTION("""COMPUTED_VALUE"""),0.105263157894736)</f>
        <v>0.1052631579</v>
      </c>
      <c r="O53" s="8">
        <f>IFERROR(__xludf.DUMMYFUNCTION("""COMPUTED_VALUE"""),0.166666666666666)</f>
        <v>0.1666666667</v>
      </c>
      <c r="P53" s="8">
        <f>IFERROR(__xludf.DUMMYFUNCTION("""COMPUTED_VALUE"""),0.0833333333333333)</f>
        <v>0.08333333333</v>
      </c>
      <c r="Q53" s="8">
        <f>IFERROR(__xludf.DUMMYFUNCTION("""COMPUTED_VALUE"""),0.0)</f>
        <v>0</v>
      </c>
      <c r="R53" s="8">
        <f>IFERROR(__xludf.DUMMYFUNCTION("""COMPUTED_VALUE"""),0.0)</f>
        <v>0</v>
      </c>
      <c r="S53" s="8">
        <f>IFERROR(__xludf.DUMMYFUNCTION("""COMPUTED_VALUE"""),0.0)</f>
        <v>0</v>
      </c>
      <c r="T53" s="8">
        <f>IFERROR(__xludf.DUMMYFUNCTION("""COMPUTED_VALUE"""),0.0)</f>
        <v>0</v>
      </c>
      <c r="U53" s="8">
        <f>IFERROR(__xludf.DUMMYFUNCTION("""COMPUTED_VALUE"""),0.0)</f>
        <v>0</v>
      </c>
      <c r="V53" s="8">
        <f>IFERROR(__xludf.DUMMYFUNCTION("""COMPUTED_VALUE"""),0.0)</f>
        <v>0</v>
      </c>
      <c r="W53" s="8">
        <f>IFERROR(__xludf.DUMMYFUNCTION("""COMPUTED_VALUE"""),0.0)</f>
        <v>0</v>
      </c>
      <c r="X53" s="8">
        <f>IFERROR(__xludf.DUMMYFUNCTION("""COMPUTED_VALUE"""),0.0)</f>
        <v>0</v>
      </c>
      <c r="Y53" s="8">
        <f>IFERROR(__xludf.DUMMYFUNCTION("""COMPUTED_VALUE"""),0.0)</f>
        <v>0</v>
      </c>
      <c r="Z53" s="8">
        <f>IFERROR(__xludf.DUMMYFUNCTION("""COMPUTED_VALUE"""),0.0)</f>
        <v>0</v>
      </c>
      <c r="AA53" s="8">
        <f>IFERROR(__xludf.DUMMYFUNCTION("""COMPUTED_VALUE"""),0.0)</f>
        <v>0</v>
      </c>
      <c r="AB53" s="8">
        <f>IFERROR(__xludf.DUMMYFUNCTION("""COMPUTED_VALUE"""),0.0)</f>
        <v>0</v>
      </c>
      <c r="AC53" s="8">
        <f>IFERROR(__xludf.DUMMYFUNCTION("""COMPUTED_VALUE"""),0.0)</f>
        <v>0</v>
      </c>
    </row>
    <row r="54" ht="15.75" customHeight="1">
      <c r="A54" s="6" t="str">
        <f>IFERROR(__xludf.DUMMYFUNCTION("""COMPUTED_VALUE"""),"2b967281ca19c941aa99d03c959adaf6349da9b3")</f>
        <v>2b967281ca19c941aa99d03c959adaf6349da9b3</v>
      </c>
      <c r="B54" s="6" t="str">
        <f>IFERROR(__xludf.DUMMYFUNCTION("""COMPUTED_VALUE"""),"The Unlikely Heiress")</f>
        <v>The Unlikely Heiress</v>
      </c>
      <c r="C54" s="6" t="str">
        <f>IFERROR(__xludf.DUMMYFUNCTION("""COMPUTED_VALUE"""),"Romance")</f>
        <v>Romance</v>
      </c>
      <c r="D54" s="11">
        <f>IFERROR(__xludf.DUMMYFUNCTION("""COMPUTED_VALUE"""),910.0)</f>
        <v>910</v>
      </c>
      <c r="E54" s="8">
        <f>IFERROR(__xludf.DUMMYFUNCTION("""COMPUTED_VALUE"""),0.961538461538461)</f>
        <v>0.9615384615</v>
      </c>
      <c r="F54" s="8">
        <f>IFERROR(__xludf.DUMMYFUNCTION("""COMPUTED_VALUE"""),0.549450549450549)</f>
        <v>0.5494505495</v>
      </c>
      <c r="G54" s="8">
        <f>IFERROR(__xludf.DUMMYFUNCTION("""COMPUTED_VALUE"""),0.525274725274725)</f>
        <v>0.5252747253</v>
      </c>
      <c r="H54" s="8">
        <f>IFERROR(__xludf.DUMMYFUNCTION("""COMPUTED_VALUE"""),0.495604395604395)</f>
        <v>0.4956043956</v>
      </c>
      <c r="I54" s="8">
        <f>IFERROR(__xludf.DUMMYFUNCTION("""COMPUTED_VALUE"""),0.479120879120879)</f>
        <v>0.4791208791</v>
      </c>
      <c r="J54" s="8">
        <f>IFERROR(__xludf.DUMMYFUNCTION("""COMPUTED_VALUE"""),0.469230769230769)</f>
        <v>0.4692307692</v>
      </c>
      <c r="K54" s="8">
        <f>IFERROR(__xludf.DUMMYFUNCTION("""COMPUTED_VALUE"""),0.456043956043956)</f>
        <v>0.456043956</v>
      </c>
      <c r="L54" s="8">
        <f>IFERROR(__xludf.DUMMYFUNCTION("""COMPUTED_VALUE"""),0.440528634361233)</f>
        <v>0.4405286344</v>
      </c>
      <c r="M54" s="8">
        <f>IFERROR(__xludf.DUMMYFUNCTION("""COMPUTED_VALUE"""),0.421633554083885)</f>
        <v>0.4216335541</v>
      </c>
      <c r="N54" s="8">
        <f>IFERROR(__xludf.DUMMYFUNCTION("""COMPUTED_VALUE"""),0.419247787610619)</f>
        <v>0.4192477876</v>
      </c>
      <c r="O54" s="8">
        <f>IFERROR(__xludf.DUMMYFUNCTION("""COMPUTED_VALUE"""),0.368070953436807)</f>
        <v>0.3680709534</v>
      </c>
      <c r="P54" s="8">
        <f>IFERROR(__xludf.DUMMYFUNCTION("""COMPUTED_VALUE"""),0.298109010011123)</f>
        <v>0.29810901</v>
      </c>
      <c r="Q54" s="8">
        <f>IFERROR(__xludf.DUMMYFUNCTION("""COMPUTED_VALUE"""),0.184563758389261)</f>
        <v>0.1845637584</v>
      </c>
      <c r="R54" s="8">
        <f>IFERROR(__xludf.DUMMYFUNCTION("""COMPUTED_VALUE"""),0.167800453514739)</f>
        <v>0.1678004535</v>
      </c>
      <c r="S54" s="8">
        <f>IFERROR(__xludf.DUMMYFUNCTION("""COMPUTED_VALUE"""),0.11908931698774)</f>
        <v>0.119089317</v>
      </c>
      <c r="T54" s="8">
        <f>IFERROR(__xludf.DUMMYFUNCTION("""COMPUTED_VALUE"""),0.130434782608695)</f>
        <v>0.1304347826</v>
      </c>
      <c r="U54" s="8">
        <f>IFERROR(__xludf.DUMMYFUNCTION("""COMPUTED_VALUE"""),0.0)</f>
        <v>0</v>
      </c>
      <c r="V54" s="8">
        <f>IFERROR(__xludf.DUMMYFUNCTION("""COMPUTED_VALUE"""),0.0)</f>
        <v>0</v>
      </c>
      <c r="W54" s="8">
        <f>IFERROR(__xludf.DUMMYFUNCTION("""COMPUTED_VALUE"""),0.0)</f>
        <v>0</v>
      </c>
      <c r="X54" s="8">
        <f>IFERROR(__xludf.DUMMYFUNCTION("""COMPUTED_VALUE"""),0.0)</f>
        <v>0</v>
      </c>
      <c r="Y54" s="8">
        <f>IFERROR(__xludf.DUMMYFUNCTION("""COMPUTED_VALUE"""),0.0)</f>
        <v>0</v>
      </c>
      <c r="Z54" s="8">
        <f>IFERROR(__xludf.DUMMYFUNCTION("""COMPUTED_VALUE"""),0.0)</f>
        <v>0</v>
      </c>
      <c r="AA54" s="8">
        <f>IFERROR(__xludf.DUMMYFUNCTION("""COMPUTED_VALUE"""),0.0)</f>
        <v>0</v>
      </c>
      <c r="AB54" s="8">
        <f>IFERROR(__xludf.DUMMYFUNCTION("""COMPUTED_VALUE"""),0.0)</f>
        <v>0</v>
      </c>
      <c r="AC54" s="8">
        <f>IFERROR(__xludf.DUMMYFUNCTION("""COMPUTED_VALUE"""),0.0)</f>
        <v>0</v>
      </c>
    </row>
    <row r="55" ht="15.75" customHeight="1">
      <c r="A55" s="6" t="str">
        <f>IFERROR(__xludf.DUMMYFUNCTION("""COMPUTED_VALUE"""),"2fb79ac2c90574002aaeec2f842f6693eb8ff7c2")</f>
        <v>2fb79ac2c90574002aaeec2f842f6693eb8ff7c2</v>
      </c>
      <c r="B55" s="6" t="str">
        <f>IFERROR(__xludf.DUMMYFUNCTION("""COMPUTED_VALUE"""),"Dear Boss")</f>
        <v>Dear Boss</v>
      </c>
      <c r="C55" s="6" t="str">
        <f>IFERROR(__xludf.DUMMYFUNCTION("""COMPUTED_VALUE"""),"Romance")</f>
        <v>Romance</v>
      </c>
      <c r="D55" s="11">
        <f>IFERROR(__xludf.DUMMYFUNCTION("""COMPUTED_VALUE"""),41.0)</f>
        <v>41</v>
      </c>
      <c r="E55" s="8">
        <f>IFERROR(__xludf.DUMMYFUNCTION("""COMPUTED_VALUE"""),0.926829268292683)</f>
        <v>0.9268292683</v>
      </c>
      <c r="F55" s="8">
        <f>IFERROR(__xludf.DUMMYFUNCTION("""COMPUTED_VALUE"""),0.512195121951219)</f>
        <v>0.512195122</v>
      </c>
      <c r="G55" s="8">
        <f>IFERROR(__xludf.DUMMYFUNCTION("""COMPUTED_VALUE"""),0.365853658536585)</f>
        <v>0.3658536585</v>
      </c>
      <c r="H55" s="8">
        <f>IFERROR(__xludf.DUMMYFUNCTION("""COMPUTED_VALUE"""),0.341463414634146)</f>
        <v>0.3414634146</v>
      </c>
      <c r="I55" s="8">
        <f>IFERROR(__xludf.DUMMYFUNCTION("""COMPUTED_VALUE"""),0.317073170731707)</f>
        <v>0.3170731707</v>
      </c>
      <c r="J55" s="8">
        <f>IFERROR(__xludf.DUMMYFUNCTION("""COMPUTED_VALUE"""),0.268292682926829)</f>
        <v>0.2682926829</v>
      </c>
      <c r="K55" s="8">
        <f>IFERROR(__xludf.DUMMYFUNCTION("""COMPUTED_VALUE"""),0.268292682926829)</f>
        <v>0.2682926829</v>
      </c>
      <c r="L55" s="8">
        <f>IFERROR(__xludf.DUMMYFUNCTION("""COMPUTED_VALUE"""),0.24390243902439)</f>
        <v>0.243902439</v>
      </c>
      <c r="M55" s="8">
        <f>IFERROR(__xludf.DUMMYFUNCTION("""COMPUTED_VALUE"""),0.225)</f>
        <v>0.225</v>
      </c>
      <c r="N55" s="8">
        <f>IFERROR(__xludf.DUMMYFUNCTION("""COMPUTED_VALUE"""),0.243243243243243)</f>
        <v>0.2432432432</v>
      </c>
      <c r="O55" s="8">
        <f>IFERROR(__xludf.DUMMYFUNCTION("""COMPUTED_VALUE"""),0.4)</f>
        <v>0.4</v>
      </c>
      <c r="P55" s="8">
        <f>IFERROR(__xludf.DUMMYFUNCTION("""COMPUTED_VALUE"""),0.0)</f>
        <v>0</v>
      </c>
      <c r="Q55" s="8">
        <f>IFERROR(__xludf.DUMMYFUNCTION("""COMPUTED_VALUE"""),0.0)</f>
        <v>0</v>
      </c>
      <c r="R55" s="8">
        <f>IFERROR(__xludf.DUMMYFUNCTION("""COMPUTED_VALUE"""),0.0)</f>
        <v>0</v>
      </c>
      <c r="S55" s="8">
        <f>IFERROR(__xludf.DUMMYFUNCTION("""COMPUTED_VALUE"""),0.0)</f>
        <v>0</v>
      </c>
      <c r="T55" s="8">
        <f>IFERROR(__xludf.DUMMYFUNCTION("""COMPUTED_VALUE"""),0.0)</f>
        <v>0</v>
      </c>
      <c r="U55" s="8">
        <f>IFERROR(__xludf.DUMMYFUNCTION("""COMPUTED_VALUE"""),0.0)</f>
        <v>0</v>
      </c>
      <c r="V55" s="8">
        <f>IFERROR(__xludf.DUMMYFUNCTION("""COMPUTED_VALUE"""),0.0)</f>
        <v>0</v>
      </c>
      <c r="W55" s="8">
        <f>IFERROR(__xludf.DUMMYFUNCTION("""COMPUTED_VALUE"""),0.0)</f>
        <v>0</v>
      </c>
      <c r="X55" s="8">
        <f>IFERROR(__xludf.DUMMYFUNCTION("""COMPUTED_VALUE"""),0.0)</f>
        <v>0</v>
      </c>
      <c r="Y55" s="8">
        <f>IFERROR(__xludf.DUMMYFUNCTION("""COMPUTED_VALUE"""),0.0)</f>
        <v>0</v>
      </c>
      <c r="Z55" s="8">
        <f>IFERROR(__xludf.DUMMYFUNCTION("""COMPUTED_VALUE"""),0.0)</f>
        <v>0</v>
      </c>
      <c r="AA55" s="8">
        <f>IFERROR(__xludf.DUMMYFUNCTION("""COMPUTED_VALUE"""),0.0)</f>
        <v>0</v>
      </c>
      <c r="AB55" s="8">
        <f>IFERROR(__xludf.DUMMYFUNCTION("""COMPUTED_VALUE"""),0.0)</f>
        <v>0</v>
      </c>
      <c r="AC55" s="8">
        <f>IFERROR(__xludf.DUMMYFUNCTION("""COMPUTED_VALUE"""),0.0)</f>
        <v>0</v>
      </c>
    </row>
    <row r="56" ht="15.75" customHeight="1">
      <c r="A56" s="6" t="str">
        <f>IFERROR(__xludf.DUMMYFUNCTION("""COMPUTED_VALUE"""),"31b86ee5ffeadf52fab3148c3add083a2f90b442")</f>
        <v>31b86ee5ffeadf52fab3148c3add083a2f90b442</v>
      </c>
      <c r="B56" s="6" t="str">
        <f>IFERROR(__xludf.DUMMYFUNCTION("""COMPUTED_VALUE"""),"Enchanted by Blood ")</f>
        <v>Enchanted by Blood </v>
      </c>
      <c r="C56" s="6" t="str">
        <f>IFERROR(__xludf.DUMMYFUNCTION("""COMPUTED_VALUE"""),"Romantasy")</f>
        <v>Romantasy</v>
      </c>
      <c r="D56" s="11">
        <f>IFERROR(__xludf.DUMMYFUNCTION("""COMPUTED_VALUE"""),4.0)</f>
        <v>4</v>
      </c>
      <c r="E56" s="8">
        <f>IFERROR(__xludf.DUMMYFUNCTION("""COMPUTED_VALUE"""),1.0)</f>
        <v>1</v>
      </c>
      <c r="F56" s="8">
        <f>IFERROR(__xludf.DUMMYFUNCTION("""COMPUTED_VALUE"""),0.5)</f>
        <v>0.5</v>
      </c>
      <c r="G56" s="8">
        <f>IFERROR(__xludf.DUMMYFUNCTION("""COMPUTED_VALUE"""),0.5)</f>
        <v>0.5</v>
      </c>
      <c r="H56" s="8">
        <f>IFERROR(__xludf.DUMMYFUNCTION("""COMPUTED_VALUE"""),0.5)</f>
        <v>0.5</v>
      </c>
      <c r="I56" s="8">
        <f>IFERROR(__xludf.DUMMYFUNCTION("""COMPUTED_VALUE"""),0.5)</f>
        <v>0.5</v>
      </c>
      <c r="J56" s="8">
        <f>IFERROR(__xludf.DUMMYFUNCTION("""COMPUTED_VALUE"""),0.5)</f>
        <v>0.5</v>
      </c>
      <c r="K56" s="8">
        <f>IFERROR(__xludf.DUMMYFUNCTION("""COMPUTED_VALUE"""),0.5)</f>
        <v>0.5</v>
      </c>
      <c r="L56" s="8">
        <f>IFERROR(__xludf.DUMMYFUNCTION("""COMPUTED_VALUE"""),0.666666666666666)</f>
        <v>0.6666666667</v>
      </c>
      <c r="M56" s="8">
        <f>IFERROR(__xludf.DUMMYFUNCTION("""COMPUTED_VALUE"""),0.666666666666666)</f>
        <v>0.6666666667</v>
      </c>
      <c r="N56" s="8">
        <f>IFERROR(__xludf.DUMMYFUNCTION("""COMPUTED_VALUE"""),0.666666666666666)</f>
        <v>0.6666666667</v>
      </c>
      <c r="O56" s="8">
        <f>IFERROR(__xludf.DUMMYFUNCTION("""COMPUTED_VALUE"""),0.0)</f>
        <v>0</v>
      </c>
      <c r="P56" s="8">
        <f>IFERROR(__xludf.DUMMYFUNCTION("""COMPUTED_VALUE"""),0.0)</f>
        <v>0</v>
      </c>
      <c r="Q56" s="8">
        <f>IFERROR(__xludf.DUMMYFUNCTION("""COMPUTED_VALUE"""),0.0)</f>
        <v>0</v>
      </c>
      <c r="R56" s="8">
        <f>IFERROR(__xludf.DUMMYFUNCTION("""COMPUTED_VALUE"""),0.0)</f>
        <v>0</v>
      </c>
      <c r="S56" s="8">
        <f>IFERROR(__xludf.DUMMYFUNCTION("""COMPUTED_VALUE"""),0.0)</f>
        <v>0</v>
      </c>
      <c r="T56" s="8">
        <f>IFERROR(__xludf.DUMMYFUNCTION("""COMPUTED_VALUE"""),0.0)</f>
        <v>0</v>
      </c>
      <c r="U56" s="8">
        <f>IFERROR(__xludf.DUMMYFUNCTION("""COMPUTED_VALUE"""),0.0)</f>
        <v>0</v>
      </c>
      <c r="V56" s="8">
        <f>IFERROR(__xludf.DUMMYFUNCTION("""COMPUTED_VALUE"""),0.0)</f>
        <v>0</v>
      </c>
      <c r="W56" s="8">
        <f>IFERROR(__xludf.DUMMYFUNCTION("""COMPUTED_VALUE"""),0.0)</f>
        <v>0</v>
      </c>
      <c r="X56" s="8">
        <f>IFERROR(__xludf.DUMMYFUNCTION("""COMPUTED_VALUE"""),0.0)</f>
        <v>0</v>
      </c>
      <c r="Y56" s="8">
        <f>IFERROR(__xludf.DUMMYFUNCTION("""COMPUTED_VALUE"""),0.0)</f>
        <v>0</v>
      </c>
      <c r="Z56" s="8">
        <f>IFERROR(__xludf.DUMMYFUNCTION("""COMPUTED_VALUE"""),0.0)</f>
        <v>0</v>
      </c>
      <c r="AA56" s="8">
        <f>IFERROR(__xludf.DUMMYFUNCTION("""COMPUTED_VALUE"""),0.0)</f>
        <v>0</v>
      </c>
      <c r="AB56" s="8">
        <f>IFERROR(__xludf.DUMMYFUNCTION("""COMPUTED_VALUE"""),0.0)</f>
        <v>0</v>
      </c>
      <c r="AC56" s="8">
        <f>IFERROR(__xludf.DUMMYFUNCTION("""COMPUTED_VALUE"""),0.0)</f>
        <v>0</v>
      </c>
    </row>
    <row r="57" ht="15.75" customHeight="1">
      <c r="A57" s="6" t="str">
        <f>IFERROR(__xludf.DUMMYFUNCTION("""COMPUTED_VALUE"""),"31e58f7ec421b1daaed1f4ac654ecd9eb855bc93")</f>
        <v>31e58f7ec421b1daaed1f4ac654ecd9eb855bc93</v>
      </c>
      <c r="B57" s="6" t="str">
        <f>IFERROR(__xludf.DUMMYFUNCTION("""COMPUTED_VALUE"""),"The Forsaken Path")</f>
        <v>The Forsaken Path</v>
      </c>
      <c r="C57" s="6" t="str">
        <f>IFERROR(__xludf.DUMMYFUNCTION("""COMPUTED_VALUE"""),"Fantasy")</f>
        <v>Fantasy</v>
      </c>
      <c r="D57" s="11">
        <f>IFERROR(__xludf.DUMMYFUNCTION("""COMPUTED_VALUE"""),562.0)</f>
        <v>562</v>
      </c>
      <c r="E57" s="8">
        <f>IFERROR(__xludf.DUMMYFUNCTION("""COMPUTED_VALUE"""),0.98932384341637)</f>
        <v>0.9893238434</v>
      </c>
      <c r="F57" s="8">
        <f>IFERROR(__xludf.DUMMYFUNCTION("""COMPUTED_VALUE"""),0.546263345195729)</f>
        <v>0.5462633452</v>
      </c>
      <c r="G57" s="8">
        <f>IFERROR(__xludf.DUMMYFUNCTION("""COMPUTED_VALUE"""),0.491103202846975)</f>
        <v>0.4911032028</v>
      </c>
      <c r="H57" s="8">
        <f>IFERROR(__xludf.DUMMYFUNCTION("""COMPUTED_VALUE"""),0.424731182795698)</f>
        <v>0.4247311828</v>
      </c>
      <c r="I57" s="8">
        <f>IFERROR(__xludf.DUMMYFUNCTION("""COMPUTED_VALUE"""),0.411552346570397)</f>
        <v>0.4115523466</v>
      </c>
      <c r="J57" s="8">
        <f>IFERROR(__xludf.DUMMYFUNCTION("""COMPUTED_VALUE"""),0.392727272727272)</f>
        <v>0.3927272727</v>
      </c>
      <c r="K57" s="8">
        <f>IFERROR(__xludf.DUMMYFUNCTION("""COMPUTED_VALUE"""),0.371794871794871)</f>
        <v>0.3717948718</v>
      </c>
      <c r="L57" s="8">
        <f>IFERROR(__xludf.DUMMYFUNCTION("""COMPUTED_VALUE"""),0.360594795539033)</f>
        <v>0.3605947955</v>
      </c>
      <c r="M57" s="8">
        <f>IFERROR(__xludf.DUMMYFUNCTION("""COMPUTED_VALUE"""),0.347169811320754)</f>
        <v>0.3471698113</v>
      </c>
      <c r="N57" s="8">
        <f>IFERROR(__xludf.DUMMYFUNCTION("""COMPUTED_VALUE"""),0.338709677419354)</f>
        <v>0.3387096774</v>
      </c>
      <c r="O57" s="8">
        <f>IFERROR(__xludf.DUMMYFUNCTION("""COMPUTED_VALUE"""),0.186046511627906)</f>
        <v>0.1860465116</v>
      </c>
      <c r="P57" s="8">
        <f>IFERROR(__xludf.DUMMYFUNCTION("""COMPUTED_VALUE"""),0.153846153846153)</f>
        <v>0.1538461538</v>
      </c>
      <c r="Q57" s="8">
        <f>IFERROR(__xludf.DUMMYFUNCTION("""COMPUTED_VALUE"""),0.114285714285714)</f>
        <v>0.1142857143</v>
      </c>
      <c r="R57" s="8">
        <f>IFERROR(__xludf.DUMMYFUNCTION("""COMPUTED_VALUE"""),0.4)</f>
        <v>0.4</v>
      </c>
      <c r="S57" s="8">
        <f>IFERROR(__xludf.DUMMYFUNCTION("""COMPUTED_VALUE"""),0.0)</f>
        <v>0</v>
      </c>
      <c r="T57" s="8">
        <f>IFERROR(__xludf.DUMMYFUNCTION("""COMPUTED_VALUE"""),0.0)</f>
        <v>0</v>
      </c>
      <c r="U57" s="8">
        <f>IFERROR(__xludf.DUMMYFUNCTION("""COMPUTED_VALUE"""),0.0)</f>
        <v>0</v>
      </c>
      <c r="V57" s="8">
        <f>IFERROR(__xludf.DUMMYFUNCTION("""COMPUTED_VALUE"""),0.0)</f>
        <v>0</v>
      </c>
      <c r="W57" s="8">
        <f>IFERROR(__xludf.DUMMYFUNCTION("""COMPUTED_VALUE"""),0.0)</f>
        <v>0</v>
      </c>
      <c r="X57" s="8">
        <f>IFERROR(__xludf.DUMMYFUNCTION("""COMPUTED_VALUE"""),0.0)</f>
        <v>0</v>
      </c>
      <c r="Y57" s="8">
        <f>IFERROR(__xludf.DUMMYFUNCTION("""COMPUTED_VALUE"""),0.0)</f>
        <v>0</v>
      </c>
      <c r="Z57" s="8">
        <f>IFERROR(__xludf.DUMMYFUNCTION("""COMPUTED_VALUE"""),0.0)</f>
        <v>0</v>
      </c>
      <c r="AA57" s="8">
        <f>IFERROR(__xludf.DUMMYFUNCTION("""COMPUTED_VALUE"""),0.0)</f>
        <v>0</v>
      </c>
      <c r="AB57" s="8">
        <f>IFERROR(__xludf.DUMMYFUNCTION("""COMPUTED_VALUE"""),0.0)</f>
        <v>0</v>
      </c>
      <c r="AC57" s="8">
        <f>IFERROR(__xludf.DUMMYFUNCTION("""COMPUTED_VALUE"""),0.0)</f>
        <v>0</v>
      </c>
    </row>
    <row r="58" ht="15.75" customHeight="1">
      <c r="A58" s="6" t="str">
        <f>IFERROR(__xludf.DUMMYFUNCTION("""COMPUTED_VALUE"""),"328a6c95d732271bc4717aa2abf3a7c15f89a25e")</f>
        <v>328a6c95d732271bc4717aa2abf3a7c15f89a25e</v>
      </c>
      <c r="B58" s="6" t="str">
        <f>IFERROR(__xludf.DUMMYFUNCTION("""COMPUTED_VALUE"""),"Braving the Rapid Waters")</f>
        <v>Braving the Rapid Waters</v>
      </c>
      <c r="C58" s="6" t="str">
        <f>IFERROR(__xludf.DUMMYFUNCTION("""COMPUTED_VALUE"""),"Romance")</f>
        <v>Romance</v>
      </c>
      <c r="D58" s="11">
        <f>IFERROR(__xludf.DUMMYFUNCTION("""COMPUTED_VALUE"""),86.0)</f>
        <v>86</v>
      </c>
      <c r="E58" s="8">
        <f>IFERROR(__xludf.DUMMYFUNCTION("""COMPUTED_VALUE"""),0.965116279069767)</f>
        <v>0.9651162791</v>
      </c>
      <c r="F58" s="8">
        <f>IFERROR(__xludf.DUMMYFUNCTION("""COMPUTED_VALUE"""),0.534883720930232)</f>
        <v>0.5348837209</v>
      </c>
      <c r="G58" s="8">
        <f>IFERROR(__xludf.DUMMYFUNCTION("""COMPUTED_VALUE"""),0.465116279069767)</f>
        <v>0.4651162791</v>
      </c>
      <c r="H58" s="8">
        <f>IFERROR(__xludf.DUMMYFUNCTION("""COMPUTED_VALUE"""),0.453488372093023)</f>
        <v>0.4534883721</v>
      </c>
      <c r="I58" s="8">
        <f>IFERROR(__xludf.DUMMYFUNCTION("""COMPUTED_VALUE"""),0.406976744186046)</f>
        <v>0.4069767442</v>
      </c>
      <c r="J58" s="8">
        <f>IFERROR(__xludf.DUMMYFUNCTION("""COMPUTED_VALUE"""),0.395348837209302)</f>
        <v>0.3953488372</v>
      </c>
      <c r="K58" s="8">
        <f>IFERROR(__xludf.DUMMYFUNCTION("""COMPUTED_VALUE"""),0.372093023255813)</f>
        <v>0.3720930233</v>
      </c>
      <c r="L58" s="8">
        <f>IFERROR(__xludf.DUMMYFUNCTION("""COMPUTED_VALUE"""),0.372093023255813)</f>
        <v>0.3720930233</v>
      </c>
      <c r="M58" s="8">
        <f>IFERROR(__xludf.DUMMYFUNCTION("""COMPUTED_VALUE"""),0.360465116279069)</f>
        <v>0.3604651163</v>
      </c>
      <c r="N58" s="8">
        <f>IFERROR(__xludf.DUMMYFUNCTION("""COMPUTED_VALUE"""),0.337209302325581)</f>
        <v>0.3372093023</v>
      </c>
      <c r="O58" s="8">
        <f>IFERROR(__xludf.DUMMYFUNCTION("""COMPUTED_VALUE"""),0.270588235294117)</f>
        <v>0.2705882353</v>
      </c>
      <c r="P58" s="8">
        <f>IFERROR(__xludf.DUMMYFUNCTION("""COMPUTED_VALUE"""),0.164705882352941)</f>
        <v>0.1647058824</v>
      </c>
      <c r="Q58" s="8">
        <f>IFERROR(__xludf.DUMMYFUNCTION("""COMPUTED_VALUE"""),0.0941176470588235)</f>
        <v>0.09411764706</v>
      </c>
      <c r="R58" s="8">
        <f>IFERROR(__xludf.DUMMYFUNCTION("""COMPUTED_VALUE"""),0.0352941176470588)</f>
        <v>0.03529411765</v>
      </c>
      <c r="S58" s="8">
        <f>IFERROR(__xludf.DUMMYFUNCTION("""COMPUTED_VALUE"""),0.0)</f>
        <v>0</v>
      </c>
      <c r="T58" s="8">
        <f>IFERROR(__xludf.DUMMYFUNCTION("""COMPUTED_VALUE"""),0.0)</f>
        <v>0</v>
      </c>
      <c r="U58" s="8">
        <f>IFERROR(__xludf.DUMMYFUNCTION("""COMPUTED_VALUE"""),0.0)</f>
        <v>0</v>
      </c>
      <c r="V58" s="8">
        <f>IFERROR(__xludf.DUMMYFUNCTION("""COMPUTED_VALUE"""),0.0)</f>
        <v>0</v>
      </c>
      <c r="W58" s="8">
        <f>IFERROR(__xludf.DUMMYFUNCTION("""COMPUTED_VALUE"""),0.0)</f>
        <v>0</v>
      </c>
      <c r="X58" s="8">
        <f>IFERROR(__xludf.DUMMYFUNCTION("""COMPUTED_VALUE"""),0.0)</f>
        <v>0</v>
      </c>
      <c r="Y58" s="8">
        <f>IFERROR(__xludf.DUMMYFUNCTION("""COMPUTED_VALUE"""),0.0)</f>
        <v>0</v>
      </c>
      <c r="Z58" s="8">
        <f>IFERROR(__xludf.DUMMYFUNCTION("""COMPUTED_VALUE"""),0.0)</f>
        <v>0</v>
      </c>
      <c r="AA58" s="8">
        <f>IFERROR(__xludf.DUMMYFUNCTION("""COMPUTED_VALUE"""),0.0)</f>
        <v>0</v>
      </c>
      <c r="AB58" s="8">
        <f>IFERROR(__xludf.DUMMYFUNCTION("""COMPUTED_VALUE"""),0.0)</f>
        <v>0</v>
      </c>
      <c r="AC58" s="8">
        <f>IFERROR(__xludf.DUMMYFUNCTION("""COMPUTED_VALUE"""),0.0)</f>
        <v>0</v>
      </c>
    </row>
    <row r="59" ht="15.75" customHeight="1">
      <c r="A59" s="6" t="str">
        <f>IFERROR(__xludf.DUMMYFUNCTION("""COMPUTED_VALUE"""),"328d4b017d5db890a886902acdade960088fb3d8")</f>
        <v>328d4b017d5db890a886902acdade960088fb3d8</v>
      </c>
      <c r="B59" s="6" t="str">
        <f>IFERROR(__xludf.DUMMYFUNCTION("""COMPUTED_VALUE"""),"Her Worthless Son-in-Law")</f>
        <v>Her Worthless Son-in-Law</v>
      </c>
      <c r="C59" s="6" t="str">
        <f>IFERROR(__xludf.DUMMYFUNCTION("""COMPUTED_VALUE"""),"System and Superpower")</f>
        <v>System and Superpower</v>
      </c>
      <c r="D59" s="11">
        <f>IFERROR(__xludf.DUMMYFUNCTION("""COMPUTED_VALUE"""),91.0)</f>
        <v>91</v>
      </c>
      <c r="E59" s="8">
        <f>IFERROR(__xludf.DUMMYFUNCTION("""COMPUTED_VALUE"""),0.901098901098901)</f>
        <v>0.9010989011</v>
      </c>
      <c r="F59" s="8">
        <f>IFERROR(__xludf.DUMMYFUNCTION("""COMPUTED_VALUE"""),0.758241758241758)</f>
        <v>0.7582417582</v>
      </c>
      <c r="G59" s="8">
        <f>IFERROR(__xludf.DUMMYFUNCTION("""COMPUTED_VALUE"""),0.714285714285714)</f>
        <v>0.7142857143</v>
      </c>
      <c r="H59" s="8">
        <f>IFERROR(__xludf.DUMMYFUNCTION("""COMPUTED_VALUE"""),0.645569620253164)</f>
        <v>0.6455696203</v>
      </c>
      <c r="I59" s="8">
        <f>IFERROR(__xludf.DUMMYFUNCTION("""COMPUTED_VALUE"""),0.61038961038961)</f>
        <v>0.6103896104</v>
      </c>
      <c r="J59" s="8">
        <f>IFERROR(__xludf.DUMMYFUNCTION("""COMPUTED_VALUE"""),0.569444444444444)</f>
        <v>0.5694444444</v>
      </c>
      <c r="K59" s="8">
        <f>IFERROR(__xludf.DUMMYFUNCTION("""COMPUTED_VALUE"""),0.577464788732394)</f>
        <v>0.5774647887</v>
      </c>
      <c r="L59" s="8">
        <f>IFERROR(__xludf.DUMMYFUNCTION("""COMPUTED_VALUE"""),0.542857142857142)</f>
        <v>0.5428571429</v>
      </c>
      <c r="M59" s="8">
        <f>IFERROR(__xludf.DUMMYFUNCTION("""COMPUTED_VALUE"""),0.528571428571428)</f>
        <v>0.5285714286</v>
      </c>
      <c r="N59" s="8">
        <f>IFERROR(__xludf.DUMMYFUNCTION("""COMPUTED_VALUE"""),0.552238805970149)</f>
        <v>0.552238806</v>
      </c>
      <c r="O59" s="8">
        <f>IFERROR(__xludf.DUMMYFUNCTION("""COMPUTED_VALUE"""),0.436363636363636)</f>
        <v>0.4363636364</v>
      </c>
      <c r="P59" s="8">
        <f>IFERROR(__xludf.DUMMYFUNCTION("""COMPUTED_VALUE"""),0.358490566037735)</f>
        <v>0.358490566</v>
      </c>
      <c r="Q59" s="8">
        <f>IFERROR(__xludf.DUMMYFUNCTION("""COMPUTED_VALUE"""),0.236842105263157)</f>
        <v>0.2368421053</v>
      </c>
      <c r="R59" s="8">
        <f>IFERROR(__xludf.DUMMYFUNCTION("""COMPUTED_VALUE"""),0.125)</f>
        <v>0.125</v>
      </c>
      <c r="S59" s="8">
        <f>IFERROR(__xludf.DUMMYFUNCTION("""COMPUTED_VALUE"""),0.0)</f>
        <v>0</v>
      </c>
      <c r="T59" s="8">
        <f>IFERROR(__xludf.DUMMYFUNCTION("""COMPUTED_VALUE"""),0.0)</f>
        <v>0</v>
      </c>
      <c r="U59" s="8">
        <f>IFERROR(__xludf.DUMMYFUNCTION("""COMPUTED_VALUE"""),0.0)</f>
        <v>0</v>
      </c>
      <c r="V59" s="8">
        <f>IFERROR(__xludf.DUMMYFUNCTION("""COMPUTED_VALUE"""),0.0)</f>
        <v>0</v>
      </c>
      <c r="W59" s="8">
        <f>IFERROR(__xludf.DUMMYFUNCTION("""COMPUTED_VALUE"""),0.0)</f>
        <v>0</v>
      </c>
      <c r="X59" s="8">
        <f>IFERROR(__xludf.DUMMYFUNCTION("""COMPUTED_VALUE"""),0.0)</f>
        <v>0</v>
      </c>
      <c r="Y59" s="8">
        <f>IFERROR(__xludf.DUMMYFUNCTION("""COMPUTED_VALUE"""),0.0)</f>
        <v>0</v>
      </c>
      <c r="Z59" s="8">
        <f>IFERROR(__xludf.DUMMYFUNCTION("""COMPUTED_VALUE"""),0.0)</f>
        <v>0</v>
      </c>
      <c r="AA59" s="8">
        <f>IFERROR(__xludf.DUMMYFUNCTION("""COMPUTED_VALUE"""),0.0)</f>
        <v>0</v>
      </c>
      <c r="AB59" s="8">
        <f>IFERROR(__xludf.DUMMYFUNCTION("""COMPUTED_VALUE"""),0.0)</f>
        <v>0</v>
      </c>
      <c r="AC59" s="8">
        <f>IFERROR(__xludf.DUMMYFUNCTION("""COMPUTED_VALUE"""),0.0)</f>
        <v>0</v>
      </c>
    </row>
    <row r="60" ht="15.75" customHeight="1">
      <c r="A60" s="6" t="str">
        <f>IFERROR(__xludf.DUMMYFUNCTION("""COMPUTED_VALUE"""),"33e8ab0db9ae32917785af78276932f16eac10c0")</f>
        <v>33e8ab0db9ae32917785af78276932f16eac10c0</v>
      </c>
      <c r="B60" s="6" t="str">
        <f>IFERROR(__xludf.DUMMYFUNCTION("""COMPUTED_VALUE"""),"The Crowns Selection")</f>
        <v>The Crowns Selection</v>
      </c>
      <c r="C60" s="6" t="str">
        <f>IFERROR(__xludf.DUMMYFUNCTION("""COMPUTED_VALUE"""),"Romance")</f>
        <v>Romance</v>
      </c>
      <c r="D60" s="11">
        <f>IFERROR(__xludf.DUMMYFUNCTION("""COMPUTED_VALUE"""),21.0)</f>
        <v>21</v>
      </c>
      <c r="E60" s="8">
        <f>IFERROR(__xludf.DUMMYFUNCTION("""COMPUTED_VALUE"""),1.0)</f>
        <v>1</v>
      </c>
      <c r="F60" s="8">
        <f>IFERROR(__xludf.DUMMYFUNCTION("""COMPUTED_VALUE"""),0.761904761904761)</f>
        <v>0.7619047619</v>
      </c>
      <c r="G60" s="8">
        <f>IFERROR(__xludf.DUMMYFUNCTION("""COMPUTED_VALUE"""),0.761904761904761)</f>
        <v>0.7619047619</v>
      </c>
      <c r="H60" s="8">
        <f>IFERROR(__xludf.DUMMYFUNCTION("""COMPUTED_VALUE"""),0.666666666666666)</f>
        <v>0.6666666667</v>
      </c>
      <c r="I60" s="8">
        <f>IFERROR(__xludf.DUMMYFUNCTION("""COMPUTED_VALUE"""),0.5)</f>
        <v>0.5</v>
      </c>
      <c r="J60" s="8">
        <f>IFERROR(__xludf.DUMMYFUNCTION("""COMPUTED_VALUE"""),0.421052631578947)</f>
        <v>0.4210526316</v>
      </c>
      <c r="K60" s="8">
        <f>IFERROR(__xludf.DUMMYFUNCTION("""COMPUTED_VALUE"""),0.444444444444444)</f>
        <v>0.4444444444</v>
      </c>
      <c r="L60" s="8">
        <f>IFERROR(__xludf.DUMMYFUNCTION("""COMPUTED_VALUE"""),0.4375)</f>
        <v>0.4375</v>
      </c>
      <c r="M60" s="8">
        <f>IFERROR(__xludf.DUMMYFUNCTION("""COMPUTED_VALUE"""),0.466666666666666)</f>
        <v>0.4666666667</v>
      </c>
      <c r="N60" s="8">
        <f>IFERROR(__xludf.DUMMYFUNCTION("""COMPUTED_VALUE"""),0.461538461538461)</f>
        <v>0.4615384615</v>
      </c>
      <c r="O60" s="8">
        <f>IFERROR(__xludf.DUMMYFUNCTION("""COMPUTED_VALUE"""),0.6)</f>
        <v>0.6</v>
      </c>
      <c r="P60" s="8">
        <f>IFERROR(__xludf.DUMMYFUNCTION("""COMPUTED_VALUE"""),0.5)</f>
        <v>0.5</v>
      </c>
      <c r="Q60" s="8">
        <f>IFERROR(__xludf.DUMMYFUNCTION("""COMPUTED_VALUE"""),0.0)</f>
        <v>0</v>
      </c>
      <c r="R60" s="8">
        <f>IFERROR(__xludf.DUMMYFUNCTION("""COMPUTED_VALUE"""),0.0)</f>
        <v>0</v>
      </c>
      <c r="S60" s="8">
        <f>IFERROR(__xludf.DUMMYFUNCTION("""COMPUTED_VALUE"""),0.0)</f>
        <v>0</v>
      </c>
      <c r="T60" s="8">
        <f>IFERROR(__xludf.DUMMYFUNCTION("""COMPUTED_VALUE"""),0.0)</f>
        <v>0</v>
      </c>
      <c r="U60" s="8">
        <f>IFERROR(__xludf.DUMMYFUNCTION("""COMPUTED_VALUE"""),0.0)</f>
        <v>0</v>
      </c>
      <c r="V60" s="8">
        <f>IFERROR(__xludf.DUMMYFUNCTION("""COMPUTED_VALUE"""),0.0)</f>
        <v>0</v>
      </c>
      <c r="W60" s="8">
        <f>IFERROR(__xludf.DUMMYFUNCTION("""COMPUTED_VALUE"""),0.0)</f>
        <v>0</v>
      </c>
      <c r="X60" s="8">
        <f>IFERROR(__xludf.DUMMYFUNCTION("""COMPUTED_VALUE"""),0.0)</f>
        <v>0</v>
      </c>
      <c r="Y60" s="8">
        <f>IFERROR(__xludf.DUMMYFUNCTION("""COMPUTED_VALUE"""),0.0)</f>
        <v>0</v>
      </c>
      <c r="Z60" s="8">
        <f>IFERROR(__xludf.DUMMYFUNCTION("""COMPUTED_VALUE"""),0.0)</f>
        <v>0</v>
      </c>
      <c r="AA60" s="8">
        <f>IFERROR(__xludf.DUMMYFUNCTION("""COMPUTED_VALUE"""),0.0)</f>
        <v>0</v>
      </c>
      <c r="AB60" s="8">
        <f>IFERROR(__xludf.DUMMYFUNCTION("""COMPUTED_VALUE"""),0.0)</f>
        <v>0</v>
      </c>
      <c r="AC60" s="8">
        <f>IFERROR(__xludf.DUMMYFUNCTION("""COMPUTED_VALUE"""),0.0)</f>
        <v>0</v>
      </c>
    </row>
    <row r="61" ht="15.75" customHeight="1">
      <c r="A61" s="6" t="str">
        <f>IFERROR(__xludf.DUMMYFUNCTION("""COMPUTED_VALUE"""),"344fcbb2ea419c5e240def842cb2949db59acee4")</f>
        <v>344fcbb2ea419c5e240def842cb2949db59acee4</v>
      </c>
      <c r="B61" s="6" t="str">
        <f>IFERROR(__xludf.DUMMYFUNCTION("""COMPUTED_VALUE"""),"Gate of Immortality")</f>
        <v>Gate of Immortality</v>
      </c>
      <c r="C61" s="6" t="str">
        <f>IFERROR(__xludf.DUMMYFUNCTION("""COMPUTED_VALUE"""),"Drama")</f>
        <v>Drama</v>
      </c>
      <c r="D61" s="11">
        <f>IFERROR(__xludf.DUMMYFUNCTION("""COMPUTED_VALUE"""),317.0)</f>
        <v>317</v>
      </c>
      <c r="E61" s="8">
        <f>IFERROR(__xludf.DUMMYFUNCTION("""COMPUTED_VALUE"""),0.987381703470031)</f>
        <v>0.9873817035</v>
      </c>
      <c r="F61" s="8">
        <f>IFERROR(__xludf.DUMMYFUNCTION("""COMPUTED_VALUE"""),0.630914826498422)</f>
        <v>0.6309148265</v>
      </c>
      <c r="G61" s="8">
        <f>IFERROR(__xludf.DUMMYFUNCTION("""COMPUTED_VALUE"""),0.574132492113564)</f>
        <v>0.5741324921</v>
      </c>
      <c r="H61" s="8">
        <f>IFERROR(__xludf.DUMMYFUNCTION("""COMPUTED_VALUE"""),0.521739130434782)</f>
        <v>0.5217391304</v>
      </c>
      <c r="I61" s="8">
        <f>IFERROR(__xludf.DUMMYFUNCTION("""COMPUTED_VALUE"""),0.491304347826086)</f>
        <v>0.4913043478</v>
      </c>
      <c r="J61" s="8">
        <f>IFERROR(__xludf.DUMMYFUNCTION("""COMPUTED_VALUE"""),0.461139896373056)</f>
        <v>0.4611398964</v>
      </c>
      <c r="K61" s="8">
        <f>IFERROR(__xludf.DUMMYFUNCTION("""COMPUTED_VALUE"""),0.389221556886227)</f>
        <v>0.3892215569</v>
      </c>
      <c r="L61" s="8">
        <f>IFERROR(__xludf.DUMMYFUNCTION("""COMPUTED_VALUE"""),0.360294117647058)</f>
        <v>0.3602941176</v>
      </c>
      <c r="M61" s="8">
        <f>IFERROR(__xludf.DUMMYFUNCTION("""COMPUTED_VALUE"""),0.321100917431192)</f>
        <v>0.3211009174</v>
      </c>
      <c r="N61" s="8">
        <f>IFERROR(__xludf.DUMMYFUNCTION("""COMPUTED_VALUE"""),0.302325581395348)</f>
        <v>0.3023255814</v>
      </c>
      <c r="O61" s="8">
        <f>IFERROR(__xludf.DUMMYFUNCTION("""COMPUTED_VALUE"""),0.209302325581395)</f>
        <v>0.2093023256</v>
      </c>
      <c r="P61" s="8">
        <f>IFERROR(__xludf.DUMMYFUNCTION("""COMPUTED_VALUE"""),0.219512195121951)</f>
        <v>0.2195121951</v>
      </c>
      <c r="Q61" s="8">
        <f>IFERROR(__xludf.DUMMYFUNCTION("""COMPUTED_VALUE"""),0.1)</f>
        <v>0.1</v>
      </c>
      <c r="R61" s="8">
        <f>IFERROR(__xludf.DUMMYFUNCTION("""COMPUTED_VALUE"""),0.0)</f>
        <v>0</v>
      </c>
      <c r="S61" s="8">
        <f>IFERROR(__xludf.DUMMYFUNCTION("""COMPUTED_VALUE"""),0.0)</f>
        <v>0</v>
      </c>
      <c r="T61" s="8">
        <f>IFERROR(__xludf.DUMMYFUNCTION("""COMPUTED_VALUE"""),0.0)</f>
        <v>0</v>
      </c>
      <c r="U61" s="8">
        <f>IFERROR(__xludf.DUMMYFUNCTION("""COMPUTED_VALUE"""),0.0)</f>
        <v>0</v>
      </c>
      <c r="V61" s="8">
        <f>IFERROR(__xludf.DUMMYFUNCTION("""COMPUTED_VALUE"""),0.0)</f>
        <v>0</v>
      </c>
      <c r="W61" s="8">
        <f>IFERROR(__xludf.DUMMYFUNCTION("""COMPUTED_VALUE"""),0.0)</f>
        <v>0</v>
      </c>
      <c r="X61" s="8">
        <f>IFERROR(__xludf.DUMMYFUNCTION("""COMPUTED_VALUE"""),0.0)</f>
        <v>0</v>
      </c>
      <c r="Y61" s="8">
        <f>IFERROR(__xludf.DUMMYFUNCTION("""COMPUTED_VALUE"""),0.0)</f>
        <v>0</v>
      </c>
      <c r="Z61" s="8">
        <f>IFERROR(__xludf.DUMMYFUNCTION("""COMPUTED_VALUE"""),0.0)</f>
        <v>0</v>
      </c>
      <c r="AA61" s="8">
        <f>IFERROR(__xludf.DUMMYFUNCTION("""COMPUTED_VALUE"""),0.0)</f>
        <v>0</v>
      </c>
      <c r="AB61" s="8">
        <f>IFERROR(__xludf.DUMMYFUNCTION("""COMPUTED_VALUE"""),0.0)</f>
        <v>0</v>
      </c>
      <c r="AC61" s="8">
        <f>IFERROR(__xludf.DUMMYFUNCTION("""COMPUTED_VALUE"""),0.0)</f>
        <v>0</v>
      </c>
    </row>
    <row r="62" ht="15.75" customHeight="1">
      <c r="A62" s="6" t="str">
        <f>IFERROR(__xludf.DUMMYFUNCTION("""COMPUTED_VALUE"""),"34997bc4167305107b251e0bf8431553064ef3a5")</f>
        <v>34997bc4167305107b251e0bf8431553064ef3a5</v>
      </c>
      <c r="B62" s="6" t="str">
        <f>IFERROR(__xludf.DUMMYFUNCTION("""COMPUTED_VALUE"""),"The Ghost Heiress")</f>
        <v>The Ghost Heiress</v>
      </c>
      <c r="C62" s="6" t="str">
        <f>IFERROR(__xludf.DUMMYFUNCTION("""COMPUTED_VALUE"""),"Romance")</f>
        <v>Romance</v>
      </c>
      <c r="D62" s="11">
        <f>IFERROR(__xludf.DUMMYFUNCTION("""COMPUTED_VALUE"""),64.0)</f>
        <v>64</v>
      </c>
      <c r="E62" s="8">
        <f>IFERROR(__xludf.DUMMYFUNCTION("""COMPUTED_VALUE"""),0.96875)</f>
        <v>0.96875</v>
      </c>
      <c r="F62" s="8">
        <f>IFERROR(__xludf.DUMMYFUNCTION("""COMPUTED_VALUE"""),0.65625)</f>
        <v>0.65625</v>
      </c>
      <c r="G62" s="8">
        <f>IFERROR(__xludf.DUMMYFUNCTION("""COMPUTED_VALUE"""),0.59375)</f>
        <v>0.59375</v>
      </c>
      <c r="H62" s="8">
        <f>IFERROR(__xludf.DUMMYFUNCTION("""COMPUTED_VALUE"""),0.482758620689655)</f>
        <v>0.4827586207</v>
      </c>
      <c r="I62" s="8">
        <f>IFERROR(__xludf.DUMMYFUNCTION("""COMPUTED_VALUE"""),0.464285714285714)</f>
        <v>0.4642857143</v>
      </c>
      <c r="J62" s="8">
        <f>IFERROR(__xludf.DUMMYFUNCTION("""COMPUTED_VALUE"""),0.42)</f>
        <v>0.42</v>
      </c>
      <c r="K62" s="8">
        <f>IFERROR(__xludf.DUMMYFUNCTION("""COMPUTED_VALUE"""),0.326530612244897)</f>
        <v>0.3265306122</v>
      </c>
      <c r="L62" s="8">
        <f>IFERROR(__xludf.DUMMYFUNCTION("""COMPUTED_VALUE"""),0.34090909090909)</f>
        <v>0.3409090909</v>
      </c>
      <c r="M62" s="8">
        <f>IFERROR(__xludf.DUMMYFUNCTION("""COMPUTED_VALUE"""),0.405405405405405)</f>
        <v>0.4054054054</v>
      </c>
      <c r="N62" s="8">
        <f>IFERROR(__xludf.DUMMYFUNCTION("""COMPUTED_VALUE"""),0.375)</f>
        <v>0.375</v>
      </c>
      <c r="O62" s="8">
        <f>IFERROR(__xludf.DUMMYFUNCTION("""COMPUTED_VALUE"""),0.375)</f>
        <v>0.375</v>
      </c>
      <c r="P62" s="8">
        <f>IFERROR(__xludf.DUMMYFUNCTION("""COMPUTED_VALUE"""),0.3125)</f>
        <v>0.3125</v>
      </c>
      <c r="Q62" s="8">
        <f>IFERROR(__xludf.DUMMYFUNCTION("""COMPUTED_VALUE"""),0.0)</f>
        <v>0</v>
      </c>
      <c r="R62" s="8">
        <f>IFERROR(__xludf.DUMMYFUNCTION("""COMPUTED_VALUE"""),0.0)</f>
        <v>0</v>
      </c>
      <c r="S62" s="8">
        <f>IFERROR(__xludf.DUMMYFUNCTION("""COMPUTED_VALUE"""),0.0)</f>
        <v>0</v>
      </c>
      <c r="T62" s="8">
        <f>IFERROR(__xludf.DUMMYFUNCTION("""COMPUTED_VALUE"""),0.0)</f>
        <v>0</v>
      </c>
      <c r="U62" s="8">
        <f>IFERROR(__xludf.DUMMYFUNCTION("""COMPUTED_VALUE"""),0.0)</f>
        <v>0</v>
      </c>
      <c r="V62" s="8">
        <f>IFERROR(__xludf.DUMMYFUNCTION("""COMPUTED_VALUE"""),0.0)</f>
        <v>0</v>
      </c>
      <c r="W62" s="8">
        <f>IFERROR(__xludf.DUMMYFUNCTION("""COMPUTED_VALUE"""),0.0)</f>
        <v>0</v>
      </c>
      <c r="X62" s="8">
        <f>IFERROR(__xludf.DUMMYFUNCTION("""COMPUTED_VALUE"""),0.0)</f>
        <v>0</v>
      </c>
      <c r="Y62" s="8">
        <f>IFERROR(__xludf.DUMMYFUNCTION("""COMPUTED_VALUE"""),0.0)</f>
        <v>0</v>
      </c>
      <c r="Z62" s="8">
        <f>IFERROR(__xludf.DUMMYFUNCTION("""COMPUTED_VALUE"""),0.0)</f>
        <v>0</v>
      </c>
      <c r="AA62" s="8">
        <f>IFERROR(__xludf.DUMMYFUNCTION("""COMPUTED_VALUE"""),0.0)</f>
        <v>0</v>
      </c>
      <c r="AB62" s="8">
        <f>IFERROR(__xludf.DUMMYFUNCTION("""COMPUTED_VALUE"""),0.0)</f>
        <v>0</v>
      </c>
      <c r="AC62" s="8">
        <f>IFERROR(__xludf.DUMMYFUNCTION("""COMPUTED_VALUE"""),0.0)</f>
        <v>0</v>
      </c>
    </row>
    <row r="63" ht="15.75" customHeight="1">
      <c r="A63" s="6" t="str">
        <f>IFERROR(__xludf.DUMMYFUNCTION("""COMPUTED_VALUE"""),"34f2f307c600eaadeadd185f5681a891034fb635")</f>
        <v>34f2f307c600eaadeadd185f5681a891034fb635</v>
      </c>
      <c r="B63" s="6" t="str">
        <f>IFERROR(__xludf.DUMMYFUNCTION("""COMPUTED_VALUE"""),"Complete Deception")</f>
        <v>Complete Deception</v>
      </c>
      <c r="C63" s="6" t="str">
        <f>IFERROR(__xludf.DUMMYFUNCTION("""COMPUTED_VALUE"""),"Romance")</f>
        <v>Romance</v>
      </c>
      <c r="D63" s="11">
        <f>IFERROR(__xludf.DUMMYFUNCTION("""COMPUTED_VALUE"""),56.0)</f>
        <v>56</v>
      </c>
      <c r="E63" s="8">
        <f>IFERROR(__xludf.DUMMYFUNCTION("""COMPUTED_VALUE"""),0.964285714285714)</f>
        <v>0.9642857143</v>
      </c>
      <c r="F63" s="8">
        <f>IFERROR(__xludf.DUMMYFUNCTION("""COMPUTED_VALUE"""),0.410714285714285)</f>
        <v>0.4107142857</v>
      </c>
      <c r="G63" s="8">
        <f>IFERROR(__xludf.DUMMYFUNCTION("""COMPUTED_VALUE"""),0.321428571428571)</f>
        <v>0.3214285714</v>
      </c>
      <c r="H63" s="8">
        <f>IFERROR(__xludf.DUMMYFUNCTION("""COMPUTED_VALUE"""),0.303571428571428)</f>
        <v>0.3035714286</v>
      </c>
      <c r="I63" s="8">
        <f>IFERROR(__xludf.DUMMYFUNCTION("""COMPUTED_VALUE"""),0.285714285714285)</f>
        <v>0.2857142857</v>
      </c>
      <c r="J63" s="8">
        <f>IFERROR(__xludf.DUMMYFUNCTION("""COMPUTED_VALUE"""),0.25)</f>
        <v>0.25</v>
      </c>
      <c r="K63" s="8">
        <f>IFERROR(__xludf.DUMMYFUNCTION("""COMPUTED_VALUE"""),0.232142857142857)</f>
        <v>0.2321428571</v>
      </c>
      <c r="L63" s="8">
        <f>IFERROR(__xludf.DUMMYFUNCTION("""COMPUTED_VALUE"""),0.232142857142857)</f>
        <v>0.2321428571</v>
      </c>
      <c r="M63" s="8">
        <f>IFERROR(__xludf.DUMMYFUNCTION("""COMPUTED_VALUE"""),0.25)</f>
        <v>0.25</v>
      </c>
      <c r="N63" s="8">
        <f>IFERROR(__xludf.DUMMYFUNCTION("""COMPUTED_VALUE"""),0.277777777777777)</f>
        <v>0.2777777778</v>
      </c>
      <c r="O63" s="8">
        <f>IFERROR(__xludf.DUMMYFUNCTION("""COMPUTED_VALUE"""),0.23076923076923)</f>
        <v>0.2307692308</v>
      </c>
      <c r="P63" s="8">
        <f>IFERROR(__xludf.DUMMYFUNCTION("""COMPUTED_VALUE"""),0.130434782608695)</f>
        <v>0.1304347826</v>
      </c>
      <c r="Q63" s="8">
        <f>IFERROR(__xludf.DUMMYFUNCTION("""COMPUTED_VALUE"""),0.0434782608695652)</f>
        <v>0.04347826087</v>
      </c>
      <c r="R63" s="8">
        <f>IFERROR(__xludf.DUMMYFUNCTION("""COMPUTED_VALUE"""),0.0434782608695652)</f>
        <v>0.04347826087</v>
      </c>
      <c r="S63" s="8">
        <f>IFERROR(__xludf.DUMMYFUNCTION("""COMPUTED_VALUE"""),0.0)</f>
        <v>0</v>
      </c>
      <c r="T63" s="8">
        <f>IFERROR(__xludf.DUMMYFUNCTION("""COMPUTED_VALUE"""),0.0)</f>
        <v>0</v>
      </c>
      <c r="U63" s="8">
        <f>IFERROR(__xludf.DUMMYFUNCTION("""COMPUTED_VALUE"""),0.0)</f>
        <v>0</v>
      </c>
      <c r="V63" s="8">
        <f>IFERROR(__xludf.DUMMYFUNCTION("""COMPUTED_VALUE"""),0.0)</f>
        <v>0</v>
      </c>
      <c r="W63" s="8">
        <f>IFERROR(__xludf.DUMMYFUNCTION("""COMPUTED_VALUE"""),0.0)</f>
        <v>0</v>
      </c>
      <c r="X63" s="8">
        <f>IFERROR(__xludf.DUMMYFUNCTION("""COMPUTED_VALUE"""),0.0)</f>
        <v>0</v>
      </c>
      <c r="Y63" s="8">
        <f>IFERROR(__xludf.DUMMYFUNCTION("""COMPUTED_VALUE"""),0.0)</f>
        <v>0</v>
      </c>
      <c r="Z63" s="8">
        <f>IFERROR(__xludf.DUMMYFUNCTION("""COMPUTED_VALUE"""),0.0)</f>
        <v>0</v>
      </c>
      <c r="AA63" s="8">
        <f>IFERROR(__xludf.DUMMYFUNCTION("""COMPUTED_VALUE"""),0.0)</f>
        <v>0</v>
      </c>
      <c r="AB63" s="8">
        <f>IFERROR(__xludf.DUMMYFUNCTION("""COMPUTED_VALUE"""),0.0)</f>
        <v>0</v>
      </c>
      <c r="AC63" s="8">
        <f>IFERROR(__xludf.DUMMYFUNCTION("""COMPUTED_VALUE"""),0.0)</f>
        <v>0</v>
      </c>
    </row>
    <row r="64" ht="15.75" customHeight="1">
      <c r="A64" s="6" t="str">
        <f>IFERROR(__xludf.DUMMYFUNCTION("""COMPUTED_VALUE"""),"362902a5f0edf9862b88e64b166bdf3fa44487fc")</f>
        <v>362902a5f0edf9862b88e64b166bdf3fa44487fc</v>
      </c>
      <c r="B64" s="6" t="str">
        <f>IFERROR(__xludf.DUMMYFUNCTION("""COMPUTED_VALUE"""),"Almighty Sword Domain")</f>
        <v>Almighty Sword Domain</v>
      </c>
      <c r="C64" s="6" t="str">
        <f>IFERROR(__xludf.DUMMYFUNCTION("""COMPUTED_VALUE"""),"Fantasy")</f>
        <v>Fantasy</v>
      </c>
      <c r="D64" s="11">
        <f>IFERROR(__xludf.DUMMYFUNCTION("""COMPUTED_VALUE"""),66.0)</f>
        <v>66</v>
      </c>
      <c r="E64" s="8">
        <f>IFERROR(__xludf.DUMMYFUNCTION("""COMPUTED_VALUE"""),0.969696969696969)</f>
        <v>0.9696969697</v>
      </c>
      <c r="F64" s="8">
        <f>IFERROR(__xludf.DUMMYFUNCTION("""COMPUTED_VALUE"""),0.318181818181818)</f>
        <v>0.3181818182</v>
      </c>
      <c r="G64" s="8">
        <f>IFERROR(__xludf.DUMMYFUNCTION("""COMPUTED_VALUE"""),0.303030303030303)</f>
        <v>0.303030303</v>
      </c>
      <c r="H64" s="8">
        <f>IFERROR(__xludf.DUMMYFUNCTION("""COMPUTED_VALUE"""),0.289473684210526)</f>
        <v>0.2894736842</v>
      </c>
      <c r="I64" s="8">
        <f>IFERROR(__xludf.DUMMYFUNCTION("""COMPUTED_VALUE"""),0.259259259259259)</f>
        <v>0.2592592593</v>
      </c>
      <c r="J64" s="8">
        <f>IFERROR(__xludf.DUMMYFUNCTION("""COMPUTED_VALUE"""),0.333333333333333)</f>
        <v>0.3333333333</v>
      </c>
      <c r="K64" s="8">
        <f>IFERROR(__xludf.DUMMYFUNCTION("""COMPUTED_VALUE"""),0.368421052631578)</f>
        <v>0.3684210526</v>
      </c>
      <c r="L64" s="8">
        <f>IFERROR(__xludf.DUMMYFUNCTION("""COMPUTED_VALUE"""),0.368421052631578)</f>
        <v>0.3684210526</v>
      </c>
      <c r="M64" s="8">
        <f>IFERROR(__xludf.DUMMYFUNCTION("""COMPUTED_VALUE"""),0.421052631578947)</f>
        <v>0.4210526316</v>
      </c>
      <c r="N64" s="8">
        <f>IFERROR(__xludf.DUMMYFUNCTION("""COMPUTED_VALUE"""),0.368421052631578)</f>
        <v>0.3684210526</v>
      </c>
      <c r="O64" s="8">
        <f>IFERROR(__xludf.DUMMYFUNCTION("""COMPUTED_VALUE"""),0.333333333333333)</f>
        <v>0.3333333333</v>
      </c>
      <c r="P64" s="8">
        <f>IFERROR(__xludf.DUMMYFUNCTION("""COMPUTED_VALUE"""),0.352941176470588)</f>
        <v>0.3529411765</v>
      </c>
      <c r="Q64" s="8">
        <f>IFERROR(__xludf.DUMMYFUNCTION("""COMPUTED_VALUE"""),0.3125)</f>
        <v>0.3125</v>
      </c>
      <c r="R64" s="8">
        <f>IFERROR(__xludf.DUMMYFUNCTION("""COMPUTED_VALUE"""),0.307692307692307)</f>
        <v>0.3076923077</v>
      </c>
      <c r="S64" s="8">
        <f>IFERROR(__xludf.DUMMYFUNCTION("""COMPUTED_VALUE"""),0.444444444444444)</f>
        <v>0.4444444444</v>
      </c>
      <c r="T64" s="8">
        <f>IFERROR(__xludf.DUMMYFUNCTION("""COMPUTED_VALUE"""),0.2)</f>
        <v>0.2</v>
      </c>
      <c r="U64" s="8">
        <f>IFERROR(__xludf.DUMMYFUNCTION("""COMPUTED_VALUE"""),0.0)</f>
        <v>0</v>
      </c>
      <c r="V64" s="8">
        <f>IFERROR(__xludf.DUMMYFUNCTION("""COMPUTED_VALUE"""),0.0)</f>
        <v>0</v>
      </c>
      <c r="W64" s="8">
        <f>IFERROR(__xludf.DUMMYFUNCTION("""COMPUTED_VALUE"""),0.0)</f>
        <v>0</v>
      </c>
      <c r="X64" s="8">
        <f>IFERROR(__xludf.DUMMYFUNCTION("""COMPUTED_VALUE"""),0.0)</f>
        <v>0</v>
      </c>
      <c r="Y64" s="8">
        <f>IFERROR(__xludf.DUMMYFUNCTION("""COMPUTED_VALUE"""),0.0)</f>
        <v>0</v>
      </c>
      <c r="Z64" s="8">
        <f>IFERROR(__xludf.DUMMYFUNCTION("""COMPUTED_VALUE"""),0.0)</f>
        <v>0</v>
      </c>
      <c r="AA64" s="8">
        <f>IFERROR(__xludf.DUMMYFUNCTION("""COMPUTED_VALUE"""),0.0)</f>
        <v>0</v>
      </c>
      <c r="AB64" s="8">
        <f>IFERROR(__xludf.DUMMYFUNCTION("""COMPUTED_VALUE"""),0.0)</f>
        <v>0</v>
      </c>
      <c r="AC64" s="8">
        <f>IFERROR(__xludf.DUMMYFUNCTION("""COMPUTED_VALUE"""),0.0)</f>
        <v>0</v>
      </c>
    </row>
    <row r="65" ht="15.75" customHeight="1">
      <c r="A65" s="6" t="str">
        <f>IFERROR(__xludf.DUMMYFUNCTION("""COMPUTED_VALUE"""),"37a4619595e440ac361cdc0df4d1bd0a9bd5d60c")</f>
        <v>37a4619595e440ac361cdc0df4d1bd0a9bd5d60c</v>
      </c>
      <c r="B65" s="6" t="str">
        <f>IFERROR(__xludf.DUMMYFUNCTION("""COMPUTED_VALUE"""),"The Bloodline Copy System")</f>
        <v>The Bloodline Copy System</v>
      </c>
      <c r="C65" s="6" t="str">
        <f>IFERROR(__xludf.DUMMYFUNCTION("""COMPUTED_VALUE"""),"System and Superpower")</f>
        <v>System and Superpower</v>
      </c>
      <c r="D65" s="11">
        <f>IFERROR(__xludf.DUMMYFUNCTION("""COMPUTED_VALUE"""),878.0)</f>
        <v>878</v>
      </c>
      <c r="E65" s="8">
        <f>IFERROR(__xludf.DUMMYFUNCTION("""COMPUTED_VALUE"""),0.982915717539863)</f>
        <v>0.9829157175</v>
      </c>
      <c r="F65" s="8">
        <f>IFERROR(__xludf.DUMMYFUNCTION("""COMPUTED_VALUE"""),0.657175398633257)</f>
        <v>0.6571753986</v>
      </c>
      <c r="G65" s="8">
        <f>IFERROR(__xludf.DUMMYFUNCTION("""COMPUTED_VALUE"""),0.594533029612756)</f>
        <v>0.5945330296</v>
      </c>
      <c r="H65" s="8">
        <f>IFERROR(__xludf.DUMMYFUNCTION("""COMPUTED_VALUE"""),0.526980482204362)</f>
        <v>0.5269804822</v>
      </c>
      <c r="I65" s="8">
        <f>IFERROR(__xludf.DUMMYFUNCTION("""COMPUTED_VALUE"""),0.493071593533487)</f>
        <v>0.4930715935</v>
      </c>
      <c r="J65" s="8">
        <f>IFERROR(__xludf.DUMMYFUNCTION("""COMPUTED_VALUE"""),0.460910151691948)</f>
        <v>0.4609101517</v>
      </c>
      <c r="K65" s="8">
        <f>IFERROR(__xludf.DUMMYFUNCTION("""COMPUTED_VALUE"""),0.44131455399061)</f>
        <v>0.441314554</v>
      </c>
      <c r="L65" s="8">
        <f>IFERROR(__xludf.DUMMYFUNCTION("""COMPUTED_VALUE"""),0.426872770511296)</f>
        <v>0.4268727705</v>
      </c>
      <c r="M65" s="8">
        <f>IFERROR(__xludf.DUMMYFUNCTION("""COMPUTED_VALUE"""),0.411976047904191)</f>
        <v>0.4119760479</v>
      </c>
      <c r="N65" s="8">
        <f>IFERROR(__xludf.DUMMYFUNCTION("""COMPUTED_VALUE"""),0.391791044776119)</f>
        <v>0.3917910448</v>
      </c>
      <c r="O65" s="8">
        <f>IFERROR(__xludf.DUMMYFUNCTION("""COMPUTED_VALUE"""),0.37037037037037)</f>
        <v>0.3703703704</v>
      </c>
      <c r="P65" s="8">
        <f>IFERROR(__xludf.DUMMYFUNCTION("""COMPUTED_VALUE"""),0.220338983050847)</f>
        <v>0.2203389831</v>
      </c>
      <c r="Q65" s="8">
        <f>IFERROR(__xludf.DUMMYFUNCTION("""COMPUTED_VALUE"""),0.109375)</f>
        <v>0.109375</v>
      </c>
      <c r="R65" s="8">
        <f>IFERROR(__xludf.DUMMYFUNCTION("""COMPUTED_VALUE"""),0.0793650793650793)</f>
        <v>0.07936507937</v>
      </c>
      <c r="S65" s="8">
        <f>IFERROR(__xludf.DUMMYFUNCTION("""COMPUTED_VALUE"""),0.08)</f>
        <v>0.08</v>
      </c>
      <c r="T65" s="8">
        <f>IFERROR(__xludf.DUMMYFUNCTION("""COMPUTED_VALUE"""),0.0)</f>
        <v>0</v>
      </c>
      <c r="U65" s="8">
        <f>IFERROR(__xludf.DUMMYFUNCTION("""COMPUTED_VALUE"""),0.0)</f>
        <v>0</v>
      </c>
      <c r="V65" s="8">
        <f>IFERROR(__xludf.DUMMYFUNCTION("""COMPUTED_VALUE"""),0.0)</f>
        <v>0</v>
      </c>
      <c r="W65" s="8">
        <f>IFERROR(__xludf.DUMMYFUNCTION("""COMPUTED_VALUE"""),0.0)</f>
        <v>0</v>
      </c>
      <c r="X65" s="8">
        <f>IFERROR(__xludf.DUMMYFUNCTION("""COMPUTED_VALUE"""),0.0)</f>
        <v>0</v>
      </c>
      <c r="Y65" s="8">
        <f>IFERROR(__xludf.DUMMYFUNCTION("""COMPUTED_VALUE"""),0.0)</f>
        <v>0</v>
      </c>
      <c r="Z65" s="8">
        <f>IFERROR(__xludf.DUMMYFUNCTION("""COMPUTED_VALUE"""),0.0)</f>
        <v>0</v>
      </c>
      <c r="AA65" s="8">
        <f>IFERROR(__xludf.DUMMYFUNCTION("""COMPUTED_VALUE"""),0.0)</f>
        <v>0</v>
      </c>
      <c r="AB65" s="8">
        <f>IFERROR(__xludf.DUMMYFUNCTION("""COMPUTED_VALUE"""),0.0)</f>
        <v>0</v>
      </c>
      <c r="AC65" s="8">
        <f>IFERROR(__xludf.DUMMYFUNCTION("""COMPUTED_VALUE"""),0.0)</f>
        <v>0</v>
      </c>
    </row>
    <row r="66" ht="15.75" customHeight="1">
      <c r="A66" s="6" t="str">
        <f>IFERROR(__xludf.DUMMYFUNCTION("""COMPUTED_VALUE"""),"381f2f23cfe6043e04a4a705bfde2d0832cb6847")</f>
        <v>381f2f23cfe6043e04a4a705bfde2d0832cb6847</v>
      </c>
      <c r="B66" s="6" t="str">
        <f>IFERROR(__xludf.DUMMYFUNCTION("""COMPUTED_VALUE"""),"The Personal Maid")</f>
        <v>The Personal Maid</v>
      </c>
      <c r="C66" s="6" t="str">
        <f>IFERROR(__xludf.DUMMYFUNCTION("""COMPUTED_VALUE"""),"Romance")</f>
        <v>Romance</v>
      </c>
      <c r="D66" s="11">
        <f>IFERROR(__xludf.DUMMYFUNCTION("""COMPUTED_VALUE"""),10.0)</f>
        <v>10</v>
      </c>
      <c r="E66" s="8">
        <f>IFERROR(__xludf.DUMMYFUNCTION("""COMPUTED_VALUE"""),0.9)</f>
        <v>0.9</v>
      </c>
      <c r="F66" s="8">
        <f>IFERROR(__xludf.DUMMYFUNCTION("""COMPUTED_VALUE"""),0.5)</f>
        <v>0.5</v>
      </c>
      <c r="G66" s="8">
        <f>IFERROR(__xludf.DUMMYFUNCTION("""COMPUTED_VALUE"""),0.3)</f>
        <v>0.3</v>
      </c>
      <c r="H66" s="8">
        <f>IFERROR(__xludf.DUMMYFUNCTION("""COMPUTED_VALUE"""),0.3)</f>
        <v>0.3</v>
      </c>
      <c r="I66" s="8">
        <f>IFERROR(__xludf.DUMMYFUNCTION("""COMPUTED_VALUE"""),0.3)</f>
        <v>0.3</v>
      </c>
      <c r="J66" s="8">
        <f>IFERROR(__xludf.DUMMYFUNCTION("""COMPUTED_VALUE"""),0.3)</f>
        <v>0.3</v>
      </c>
      <c r="K66" s="8">
        <f>IFERROR(__xludf.DUMMYFUNCTION("""COMPUTED_VALUE"""),0.2)</f>
        <v>0.2</v>
      </c>
      <c r="L66" s="8">
        <f>IFERROR(__xludf.DUMMYFUNCTION("""COMPUTED_VALUE"""),0.2)</f>
        <v>0.2</v>
      </c>
      <c r="M66" s="8">
        <f>IFERROR(__xludf.DUMMYFUNCTION("""COMPUTED_VALUE"""),0.2)</f>
        <v>0.2</v>
      </c>
      <c r="N66" s="8">
        <f>IFERROR(__xludf.DUMMYFUNCTION("""COMPUTED_VALUE"""),0.2)</f>
        <v>0.2</v>
      </c>
      <c r="O66" s="8">
        <f>IFERROR(__xludf.DUMMYFUNCTION("""COMPUTED_VALUE"""),0.2)</f>
        <v>0.2</v>
      </c>
      <c r="P66" s="8">
        <f>IFERROR(__xludf.DUMMYFUNCTION("""COMPUTED_VALUE"""),0.3)</f>
        <v>0.3</v>
      </c>
      <c r="Q66" s="8">
        <f>IFERROR(__xludf.DUMMYFUNCTION("""COMPUTED_VALUE"""),0.142857142857142)</f>
        <v>0.1428571429</v>
      </c>
      <c r="R66" s="8">
        <f>IFERROR(__xludf.DUMMYFUNCTION("""COMPUTED_VALUE"""),0.0)</f>
        <v>0</v>
      </c>
      <c r="S66" s="8">
        <f>IFERROR(__xludf.DUMMYFUNCTION("""COMPUTED_VALUE"""),0.0)</f>
        <v>0</v>
      </c>
      <c r="T66" s="8">
        <f>IFERROR(__xludf.DUMMYFUNCTION("""COMPUTED_VALUE"""),0.0)</f>
        <v>0</v>
      </c>
      <c r="U66" s="8">
        <f>IFERROR(__xludf.DUMMYFUNCTION("""COMPUTED_VALUE"""),0.0)</f>
        <v>0</v>
      </c>
      <c r="V66" s="8">
        <f>IFERROR(__xludf.DUMMYFUNCTION("""COMPUTED_VALUE"""),0.0)</f>
        <v>0</v>
      </c>
      <c r="W66" s="8">
        <f>IFERROR(__xludf.DUMMYFUNCTION("""COMPUTED_VALUE"""),0.0)</f>
        <v>0</v>
      </c>
      <c r="X66" s="8">
        <f>IFERROR(__xludf.DUMMYFUNCTION("""COMPUTED_VALUE"""),0.0)</f>
        <v>0</v>
      </c>
      <c r="Y66" s="8">
        <f>IFERROR(__xludf.DUMMYFUNCTION("""COMPUTED_VALUE"""),0.0)</f>
        <v>0</v>
      </c>
      <c r="Z66" s="8">
        <f>IFERROR(__xludf.DUMMYFUNCTION("""COMPUTED_VALUE"""),0.0)</f>
        <v>0</v>
      </c>
      <c r="AA66" s="8">
        <f>IFERROR(__xludf.DUMMYFUNCTION("""COMPUTED_VALUE"""),0.0)</f>
        <v>0</v>
      </c>
      <c r="AB66" s="8">
        <f>IFERROR(__xludf.DUMMYFUNCTION("""COMPUTED_VALUE"""),0.0)</f>
        <v>0</v>
      </c>
      <c r="AC66" s="8">
        <f>IFERROR(__xludf.DUMMYFUNCTION("""COMPUTED_VALUE"""),0.0)</f>
        <v>0</v>
      </c>
    </row>
    <row r="67" ht="15.75" customHeight="1">
      <c r="A67" s="6" t="str">
        <f>IFERROR(__xludf.DUMMYFUNCTION("""COMPUTED_VALUE"""),"3a6212d18e444c9585676ce7dba35b7111dd1613")</f>
        <v>3a6212d18e444c9585676ce7dba35b7111dd1613</v>
      </c>
      <c r="B67" s="6" t="str">
        <f>IFERROR(__xludf.DUMMYFUNCTION("""COMPUTED_VALUE"""),"King of Throne")</f>
        <v>King of Throne</v>
      </c>
      <c r="C67" s="6" t="str">
        <f>IFERROR(__xludf.DUMMYFUNCTION("""COMPUTED_VALUE"""),"Fantasy")</f>
        <v>Fantasy</v>
      </c>
      <c r="D67" s="11">
        <f>IFERROR(__xludf.DUMMYFUNCTION("""COMPUTED_VALUE"""),293.0)</f>
        <v>293</v>
      </c>
      <c r="E67" s="8">
        <f>IFERROR(__xludf.DUMMYFUNCTION("""COMPUTED_VALUE"""),0.996587030716723)</f>
        <v>0.9965870307</v>
      </c>
      <c r="F67" s="8">
        <f>IFERROR(__xludf.DUMMYFUNCTION("""COMPUTED_VALUE"""),0.419795221843003)</f>
        <v>0.4197952218</v>
      </c>
      <c r="G67" s="8">
        <f>IFERROR(__xludf.DUMMYFUNCTION("""COMPUTED_VALUE"""),0.35494880546075)</f>
        <v>0.3549488055</v>
      </c>
      <c r="H67" s="8">
        <f>IFERROR(__xludf.DUMMYFUNCTION("""COMPUTED_VALUE"""),0.35)</f>
        <v>0.35</v>
      </c>
      <c r="I67" s="8">
        <f>IFERROR(__xludf.DUMMYFUNCTION("""COMPUTED_VALUE"""),0.380597014925373)</f>
        <v>0.3805970149</v>
      </c>
      <c r="J67" s="8">
        <f>IFERROR(__xludf.DUMMYFUNCTION("""COMPUTED_VALUE"""),0.379310344827586)</f>
        <v>0.3793103448</v>
      </c>
      <c r="K67" s="8">
        <f>IFERROR(__xludf.DUMMYFUNCTION("""COMPUTED_VALUE"""),0.0)</f>
        <v>0</v>
      </c>
      <c r="L67" s="8">
        <f>IFERROR(__xludf.DUMMYFUNCTION("""COMPUTED_VALUE"""),0.0)</f>
        <v>0</v>
      </c>
      <c r="M67" s="8">
        <f>IFERROR(__xludf.DUMMYFUNCTION("""COMPUTED_VALUE"""),0.0)</f>
        <v>0</v>
      </c>
      <c r="N67" s="8">
        <f>IFERROR(__xludf.DUMMYFUNCTION("""COMPUTED_VALUE"""),0.0)</f>
        <v>0</v>
      </c>
      <c r="O67" s="8">
        <f>IFERROR(__xludf.DUMMYFUNCTION("""COMPUTED_VALUE"""),0.0)</f>
        <v>0</v>
      </c>
      <c r="P67" s="8">
        <f>IFERROR(__xludf.DUMMYFUNCTION("""COMPUTED_VALUE"""),0.0)</f>
        <v>0</v>
      </c>
      <c r="Q67" s="8">
        <f>IFERROR(__xludf.DUMMYFUNCTION("""COMPUTED_VALUE"""),0.0)</f>
        <v>0</v>
      </c>
      <c r="R67" s="8">
        <f>IFERROR(__xludf.DUMMYFUNCTION("""COMPUTED_VALUE"""),0.0)</f>
        <v>0</v>
      </c>
      <c r="S67" s="8">
        <f>IFERROR(__xludf.DUMMYFUNCTION("""COMPUTED_VALUE"""),0.0)</f>
        <v>0</v>
      </c>
      <c r="T67" s="8">
        <f>IFERROR(__xludf.DUMMYFUNCTION("""COMPUTED_VALUE"""),0.0)</f>
        <v>0</v>
      </c>
      <c r="U67" s="8">
        <f>IFERROR(__xludf.DUMMYFUNCTION("""COMPUTED_VALUE"""),0.0)</f>
        <v>0</v>
      </c>
      <c r="V67" s="8">
        <f>IFERROR(__xludf.DUMMYFUNCTION("""COMPUTED_VALUE"""),0.0)</f>
        <v>0</v>
      </c>
      <c r="W67" s="8">
        <f>IFERROR(__xludf.DUMMYFUNCTION("""COMPUTED_VALUE"""),0.0)</f>
        <v>0</v>
      </c>
      <c r="X67" s="8">
        <f>IFERROR(__xludf.DUMMYFUNCTION("""COMPUTED_VALUE"""),0.0)</f>
        <v>0</v>
      </c>
      <c r="Y67" s="8">
        <f>IFERROR(__xludf.DUMMYFUNCTION("""COMPUTED_VALUE"""),0.0)</f>
        <v>0</v>
      </c>
      <c r="Z67" s="8">
        <f>IFERROR(__xludf.DUMMYFUNCTION("""COMPUTED_VALUE"""),0.0)</f>
        <v>0</v>
      </c>
      <c r="AA67" s="8">
        <f>IFERROR(__xludf.DUMMYFUNCTION("""COMPUTED_VALUE"""),0.0)</f>
        <v>0</v>
      </c>
      <c r="AB67" s="8">
        <f>IFERROR(__xludf.DUMMYFUNCTION("""COMPUTED_VALUE"""),0.0)</f>
        <v>0</v>
      </c>
      <c r="AC67" s="8">
        <f>IFERROR(__xludf.DUMMYFUNCTION("""COMPUTED_VALUE"""),0.0)</f>
        <v>0</v>
      </c>
    </row>
    <row r="68" ht="15.75" customHeight="1">
      <c r="A68" s="6" t="str">
        <f>IFERROR(__xludf.DUMMYFUNCTION("""COMPUTED_VALUE"""),"3b626e0d14c34edb82f4b215f3b8d2e50455bbdd")</f>
        <v>3b626e0d14c34edb82f4b215f3b8d2e50455bbdd</v>
      </c>
      <c r="B68" s="6" t="str">
        <f>IFERROR(__xludf.DUMMYFUNCTION("""COMPUTED_VALUE"""),"His Lady Boss Is a Mafia")</f>
        <v>His Lady Boss Is a Mafia</v>
      </c>
      <c r="C68" s="6" t="str">
        <f>IFERROR(__xludf.DUMMYFUNCTION("""COMPUTED_VALUE"""),"Romance")</f>
        <v>Romance</v>
      </c>
      <c r="D68" s="11">
        <f>IFERROR(__xludf.DUMMYFUNCTION("""COMPUTED_VALUE"""),236.0)</f>
        <v>236</v>
      </c>
      <c r="E68" s="8">
        <f>IFERROR(__xludf.DUMMYFUNCTION("""COMPUTED_VALUE"""),0.949152542372881)</f>
        <v>0.9491525424</v>
      </c>
      <c r="F68" s="8">
        <f>IFERROR(__xludf.DUMMYFUNCTION("""COMPUTED_VALUE"""),0.631355932203389)</f>
        <v>0.6313559322</v>
      </c>
      <c r="G68" s="8">
        <f>IFERROR(__xludf.DUMMYFUNCTION("""COMPUTED_VALUE"""),0.610169491525423)</f>
        <v>0.6101694915</v>
      </c>
      <c r="H68" s="8">
        <f>IFERROR(__xludf.DUMMYFUNCTION("""COMPUTED_VALUE"""),0.55793991416309)</f>
        <v>0.5579399142</v>
      </c>
      <c r="I68" s="8">
        <f>IFERROR(__xludf.DUMMYFUNCTION("""COMPUTED_VALUE"""),0.519480519480519)</f>
        <v>0.5194805195</v>
      </c>
      <c r="J68" s="8">
        <f>IFERROR(__xludf.DUMMYFUNCTION("""COMPUTED_VALUE"""),0.48471615720524)</f>
        <v>0.4847161572</v>
      </c>
      <c r="K68" s="8">
        <f>IFERROR(__xludf.DUMMYFUNCTION("""COMPUTED_VALUE"""),0.43859649122807)</f>
        <v>0.4385964912</v>
      </c>
      <c r="L68" s="8">
        <f>IFERROR(__xludf.DUMMYFUNCTION("""COMPUTED_VALUE"""),0.415525114155251)</f>
        <v>0.4155251142</v>
      </c>
      <c r="M68" s="8">
        <f>IFERROR(__xludf.DUMMYFUNCTION("""COMPUTED_VALUE"""),0.433179723502304)</f>
        <v>0.4331797235</v>
      </c>
      <c r="N68" s="8">
        <f>IFERROR(__xludf.DUMMYFUNCTION("""COMPUTED_VALUE"""),0.411214953271028)</f>
        <v>0.4112149533</v>
      </c>
      <c r="O68" s="8">
        <f>IFERROR(__xludf.DUMMYFUNCTION("""COMPUTED_VALUE"""),0.38647342995169)</f>
        <v>0.38647343</v>
      </c>
      <c r="P68" s="8">
        <f>IFERROR(__xludf.DUMMYFUNCTION("""COMPUTED_VALUE"""),0.300970873786407)</f>
        <v>0.3009708738</v>
      </c>
      <c r="Q68" s="8">
        <f>IFERROR(__xludf.DUMMYFUNCTION("""COMPUTED_VALUE"""),0.0)</f>
        <v>0</v>
      </c>
      <c r="R68" s="8">
        <f>IFERROR(__xludf.DUMMYFUNCTION("""COMPUTED_VALUE"""),0.0)</f>
        <v>0</v>
      </c>
      <c r="S68" s="8">
        <f>IFERROR(__xludf.DUMMYFUNCTION("""COMPUTED_VALUE"""),0.0)</f>
        <v>0</v>
      </c>
      <c r="T68" s="8">
        <f>IFERROR(__xludf.DUMMYFUNCTION("""COMPUTED_VALUE"""),0.0)</f>
        <v>0</v>
      </c>
      <c r="U68" s="8">
        <f>IFERROR(__xludf.DUMMYFUNCTION("""COMPUTED_VALUE"""),0.0)</f>
        <v>0</v>
      </c>
      <c r="V68" s="8">
        <f>IFERROR(__xludf.DUMMYFUNCTION("""COMPUTED_VALUE"""),0.0)</f>
        <v>0</v>
      </c>
      <c r="W68" s="8">
        <f>IFERROR(__xludf.DUMMYFUNCTION("""COMPUTED_VALUE"""),0.0)</f>
        <v>0</v>
      </c>
      <c r="X68" s="8">
        <f>IFERROR(__xludf.DUMMYFUNCTION("""COMPUTED_VALUE"""),0.0)</f>
        <v>0</v>
      </c>
      <c r="Y68" s="8">
        <f>IFERROR(__xludf.DUMMYFUNCTION("""COMPUTED_VALUE"""),0.0)</f>
        <v>0</v>
      </c>
      <c r="Z68" s="8">
        <f>IFERROR(__xludf.DUMMYFUNCTION("""COMPUTED_VALUE"""),0.0)</f>
        <v>0</v>
      </c>
      <c r="AA68" s="8">
        <f>IFERROR(__xludf.DUMMYFUNCTION("""COMPUTED_VALUE"""),0.0)</f>
        <v>0</v>
      </c>
      <c r="AB68" s="8">
        <f>IFERROR(__xludf.DUMMYFUNCTION("""COMPUTED_VALUE"""),0.0)</f>
        <v>0</v>
      </c>
      <c r="AC68" s="8">
        <f>IFERROR(__xludf.DUMMYFUNCTION("""COMPUTED_VALUE"""),0.0)</f>
        <v>0</v>
      </c>
    </row>
    <row r="69" ht="15.75" customHeight="1">
      <c r="A69" s="6" t="str">
        <f>IFERROR(__xludf.DUMMYFUNCTION("""COMPUTED_VALUE"""),"3c57dd9bd6f929bdb36d8716aa9f261a72778e24")</f>
        <v>3c57dd9bd6f929bdb36d8716aa9f261a72778e24</v>
      </c>
      <c r="B69" s="6" t="str">
        <f>IFERROR(__xludf.DUMMYFUNCTION("""COMPUTED_VALUE"""),"Resurrected as a Secret Billionaire Liam Carson")</f>
        <v>Resurrected as a Secret Billionaire Liam Carson</v>
      </c>
      <c r="C69" s="6" t="str">
        <f>IFERROR(__xludf.DUMMYFUNCTION("""COMPUTED_VALUE"""),"Fantasy")</f>
        <v>Fantasy</v>
      </c>
      <c r="D69" s="11">
        <f>IFERROR(__xludf.DUMMYFUNCTION("""COMPUTED_VALUE"""),9262.0)</f>
        <v>9262</v>
      </c>
      <c r="E69" s="8">
        <f>IFERROR(__xludf.DUMMYFUNCTION("""COMPUTED_VALUE"""),0.932843878212049)</f>
        <v>0.9328438782</v>
      </c>
      <c r="F69" s="8">
        <f>IFERROR(__xludf.DUMMYFUNCTION("""COMPUTED_VALUE"""),0.596847333189376)</f>
        <v>0.5968473332</v>
      </c>
      <c r="G69" s="8">
        <f>IFERROR(__xludf.DUMMYFUNCTION("""COMPUTED_VALUE"""),0.553876052688404)</f>
        <v>0.5538760527</v>
      </c>
      <c r="H69" s="8">
        <f>IFERROR(__xludf.DUMMYFUNCTION("""COMPUTED_VALUE"""),0.530250648228176)</f>
        <v>0.5302506482</v>
      </c>
      <c r="I69" s="8">
        <f>IFERROR(__xludf.DUMMYFUNCTION("""COMPUTED_VALUE"""),0.511509780611693)</f>
        <v>0.5115097806</v>
      </c>
      <c r="J69" s="8">
        <f>IFERROR(__xludf.DUMMYFUNCTION("""COMPUTED_VALUE"""),0.49826914755517)</f>
        <v>0.4982691476</v>
      </c>
      <c r="K69" s="8">
        <f>IFERROR(__xludf.DUMMYFUNCTION("""COMPUTED_VALUE"""),0.493831168831168)</f>
        <v>0.4938311688</v>
      </c>
      <c r="L69" s="8">
        <f>IFERROR(__xludf.DUMMYFUNCTION("""COMPUTED_VALUE"""),0.48586591573703)</f>
        <v>0.4858659157</v>
      </c>
      <c r="M69" s="8">
        <f>IFERROR(__xludf.DUMMYFUNCTION("""COMPUTED_VALUE"""),0.480281690140845)</f>
        <v>0.4802816901</v>
      </c>
      <c r="N69" s="8">
        <f>IFERROR(__xludf.DUMMYFUNCTION("""COMPUTED_VALUE"""),0.476629432816397)</f>
        <v>0.4766294328</v>
      </c>
      <c r="O69" s="8">
        <f>IFERROR(__xludf.DUMMYFUNCTION("""COMPUTED_VALUE"""),0.458224543080939)</f>
        <v>0.4582245431</v>
      </c>
      <c r="P69" s="8">
        <f>IFERROR(__xludf.DUMMYFUNCTION("""COMPUTED_VALUE"""),0.410281597904387)</f>
        <v>0.4102815979</v>
      </c>
      <c r="Q69" s="8">
        <f>IFERROR(__xludf.DUMMYFUNCTION("""COMPUTED_VALUE"""),0.340068079499286)</f>
        <v>0.3400680795</v>
      </c>
      <c r="R69" s="8">
        <f>IFERROR(__xludf.DUMMYFUNCTION("""COMPUTED_VALUE"""),0.294402820625826)</f>
        <v>0.2944028206</v>
      </c>
      <c r="S69" s="8">
        <f>IFERROR(__xludf.DUMMYFUNCTION("""COMPUTED_VALUE"""),0.237711255937258)</f>
        <v>0.2377112559</v>
      </c>
      <c r="T69" s="8">
        <f>IFERROR(__xludf.DUMMYFUNCTION("""COMPUTED_VALUE"""),0.209505871925548)</f>
        <v>0.2095058719</v>
      </c>
      <c r="U69" s="8">
        <f>IFERROR(__xludf.DUMMYFUNCTION("""COMPUTED_VALUE"""),0.191871236683649)</f>
        <v>0.1918712367</v>
      </c>
      <c r="V69" s="8">
        <f>IFERROR(__xludf.DUMMYFUNCTION("""COMPUTED_VALUE"""),0.174336176859305)</f>
        <v>0.1743361769</v>
      </c>
      <c r="W69" s="8">
        <f>IFERROR(__xludf.DUMMYFUNCTION("""COMPUTED_VALUE"""),0.150456482045039)</f>
        <v>0.150456482</v>
      </c>
      <c r="X69" s="8">
        <f>IFERROR(__xludf.DUMMYFUNCTION("""COMPUTED_VALUE"""),0.112818439142741)</f>
        <v>0.1128184391</v>
      </c>
      <c r="Y69" s="8">
        <f>IFERROR(__xludf.DUMMYFUNCTION("""COMPUTED_VALUE"""),0.0505627414748866)</f>
        <v>0.05056274147</v>
      </c>
      <c r="Z69" s="8">
        <f>IFERROR(__xludf.DUMMYFUNCTION("""COMPUTED_VALUE"""),0.0312429250622594)</f>
        <v>0.03124292506</v>
      </c>
      <c r="AA69" s="8">
        <f>IFERROR(__xludf.DUMMYFUNCTION("""COMPUTED_VALUE"""),0.025088028169014)</f>
        <v>0.02508802817</v>
      </c>
      <c r="AB69" s="8">
        <f>IFERROR(__xludf.DUMMYFUNCTION("""COMPUTED_VALUE"""),0.0)</f>
        <v>0</v>
      </c>
      <c r="AC69" s="8">
        <f>IFERROR(__xludf.DUMMYFUNCTION("""COMPUTED_VALUE"""),0.0)</f>
        <v>0</v>
      </c>
    </row>
    <row r="70" ht="15.75" customHeight="1">
      <c r="A70" s="6" t="str">
        <f>IFERROR(__xludf.DUMMYFUNCTION("""COMPUTED_VALUE"""),"4010f733ac400156fd9f4d75852b8ebdeabe1689")</f>
        <v>4010f733ac400156fd9f4d75852b8ebdeabe1689</v>
      </c>
      <c r="B70" s="6" t="str">
        <f>IFERROR(__xludf.DUMMYFUNCTION("""COMPUTED_VALUE"""),"My Ceo Husband's Secret")</f>
        <v>My Ceo Husband's Secret</v>
      </c>
      <c r="C70" s="6" t="str">
        <f>IFERROR(__xludf.DUMMYFUNCTION("""COMPUTED_VALUE"""),"Romance")</f>
        <v>Romance</v>
      </c>
      <c r="D70" s="11">
        <f>IFERROR(__xludf.DUMMYFUNCTION("""COMPUTED_VALUE"""),83.0)</f>
        <v>83</v>
      </c>
      <c r="E70" s="8">
        <f>IFERROR(__xludf.DUMMYFUNCTION("""COMPUTED_VALUE"""),0.975903614457831)</f>
        <v>0.9759036145</v>
      </c>
      <c r="F70" s="8">
        <f>IFERROR(__xludf.DUMMYFUNCTION("""COMPUTED_VALUE"""),0.710843373493975)</f>
        <v>0.7108433735</v>
      </c>
      <c r="G70" s="8">
        <f>IFERROR(__xludf.DUMMYFUNCTION("""COMPUTED_VALUE"""),0.585365853658536)</f>
        <v>0.5853658537</v>
      </c>
      <c r="H70" s="8">
        <f>IFERROR(__xludf.DUMMYFUNCTION("""COMPUTED_VALUE"""),0.560975609756097)</f>
        <v>0.5609756098</v>
      </c>
      <c r="I70" s="8">
        <f>IFERROR(__xludf.DUMMYFUNCTION("""COMPUTED_VALUE"""),0.536585365853658)</f>
        <v>0.5365853659</v>
      </c>
      <c r="J70" s="8">
        <f>IFERROR(__xludf.DUMMYFUNCTION("""COMPUTED_VALUE"""),0.451219512195121)</f>
        <v>0.4512195122</v>
      </c>
      <c r="K70" s="8">
        <f>IFERROR(__xludf.DUMMYFUNCTION("""COMPUTED_VALUE"""),0.390243902439024)</f>
        <v>0.3902439024</v>
      </c>
      <c r="L70" s="8">
        <f>IFERROR(__xludf.DUMMYFUNCTION("""COMPUTED_VALUE"""),0.341463414634146)</f>
        <v>0.3414634146</v>
      </c>
      <c r="M70" s="8">
        <f>IFERROR(__xludf.DUMMYFUNCTION("""COMPUTED_VALUE"""),0.292682926829268)</f>
        <v>0.2926829268</v>
      </c>
      <c r="N70" s="8">
        <f>IFERROR(__xludf.DUMMYFUNCTION("""COMPUTED_VALUE"""),0.268292682926829)</f>
        <v>0.2682926829</v>
      </c>
      <c r="O70" s="8">
        <f>IFERROR(__xludf.DUMMYFUNCTION("""COMPUTED_VALUE"""),0.246913580246913)</f>
        <v>0.2469135802</v>
      </c>
      <c r="P70" s="8">
        <f>IFERROR(__xludf.DUMMYFUNCTION("""COMPUTED_VALUE"""),0.21311475409836)</f>
        <v>0.2131147541</v>
      </c>
      <c r="Q70" s="8">
        <f>IFERROR(__xludf.DUMMYFUNCTION("""COMPUTED_VALUE"""),0.666666666666666)</f>
        <v>0.6666666667</v>
      </c>
      <c r="R70" s="8">
        <f>IFERROR(__xludf.DUMMYFUNCTION("""COMPUTED_VALUE"""),0.6)</f>
        <v>0.6</v>
      </c>
      <c r="S70" s="8">
        <f>IFERROR(__xludf.DUMMYFUNCTION("""COMPUTED_VALUE"""),0.454545454545454)</f>
        <v>0.4545454545</v>
      </c>
      <c r="T70" s="8">
        <f>IFERROR(__xludf.DUMMYFUNCTION("""COMPUTED_VALUE"""),0.0)</f>
        <v>0</v>
      </c>
      <c r="U70" s="8">
        <f>IFERROR(__xludf.DUMMYFUNCTION("""COMPUTED_VALUE"""),0.0)</f>
        <v>0</v>
      </c>
      <c r="V70" s="8">
        <f>IFERROR(__xludf.DUMMYFUNCTION("""COMPUTED_VALUE"""),0.0)</f>
        <v>0</v>
      </c>
      <c r="W70" s="8">
        <f>IFERROR(__xludf.DUMMYFUNCTION("""COMPUTED_VALUE"""),0.0)</f>
        <v>0</v>
      </c>
      <c r="X70" s="8">
        <f>IFERROR(__xludf.DUMMYFUNCTION("""COMPUTED_VALUE"""),0.0)</f>
        <v>0</v>
      </c>
      <c r="Y70" s="8">
        <f>IFERROR(__xludf.DUMMYFUNCTION("""COMPUTED_VALUE"""),0.0)</f>
        <v>0</v>
      </c>
      <c r="Z70" s="8">
        <f>IFERROR(__xludf.DUMMYFUNCTION("""COMPUTED_VALUE"""),0.0)</f>
        <v>0</v>
      </c>
      <c r="AA70" s="8">
        <f>IFERROR(__xludf.DUMMYFUNCTION("""COMPUTED_VALUE"""),0.0)</f>
        <v>0</v>
      </c>
      <c r="AB70" s="8">
        <f>IFERROR(__xludf.DUMMYFUNCTION("""COMPUTED_VALUE"""),0.0)</f>
        <v>0</v>
      </c>
      <c r="AC70" s="8">
        <f>IFERROR(__xludf.DUMMYFUNCTION("""COMPUTED_VALUE"""),0.0)</f>
        <v>0</v>
      </c>
    </row>
    <row r="71" ht="15.75" customHeight="1">
      <c r="A71" s="6" t="str">
        <f>IFERROR(__xludf.DUMMYFUNCTION("""COMPUTED_VALUE"""),"4056d8e031445adbb80d52b1fd723609be585a3b")</f>
        <v>4056d8e031445adbb80d52b1fd723609be585a3b</v>
      </c>
      <c r="B71" s="6" t="str">
        <f>IFERROR(__xludf.DUMMYFUNCTION("""COMPUTED_VALUE"""),"Only Boy on the Bus")</f>
        <v>Only Boy on the Bus</v>
      </c>
      <c r="C71" s="6" t="str">
        <f>IFERROR(__xludf.DUMMYFUNCTION("""COMPUTED_VALUE"""),"Fantasy")</f>
        <v>Fantasy</v>
      </c>
      <c r="D71" s="11">
        <f>IFERROR(__xludf.DUMMYFUNCTION("""COMPUTED_VALUE"""),543.0)</f>
        <v>543</v>
      </c>
      <c r="E71" s="8">
        <f>IFERROR(__xludf.DUMMYFUNCTION("""COMPUTED_VALUE"""),0.981583793738489)</f>
        <v>0.9815837937</v>
      </c>
      <c r="F71" s="8">
        <f>IFERROR(__xludf.DUMMYFUNCTION("""COMPUTED_VALUE"""),0.67403314917127)</f>
        <v>0.6740331492</v>
      </c>
      <c r="G71" s="8">
        <f>IFERROR(__xludf.DUMMYFUNCTION("""COMPUTED_VALUE"""),0.576427255985267)</f>
        <v>0.576427256</v>
      </c>
      <c r="H71" s="8">
        <f>IFERROR(__xludf.DUMMYFUNCTION("""COMPUTED_VALUE"""),0.526901669758812)</f>
        <v>0.5269016698</v>
      </c>
      <c r="I71" s="8">
        <f>IFERROR(__xludf.DUMMYFUNCTION("""COMPUTED_VALUE"""),0.49814126394052)</f>
        <v>0.4981412639</v>
      </c>
      <c r="J71" s="8">
        <f>IFERROR(__xludf.DUMMYFUNCTION("""COMPUTED_VALUE"""),0.472118959107806)</f>
        <v>0.4721189591</v>
      </c>
      <c r="K71" s="8">
        <f>IFERROR(__xludf.DUMMYFUNCTION("""COMPUTED_VALUE"""),0.429368029739776)</f>
        <v>0.4293680297</v>
      </c>
      <c r="L71" s="8">
        <f>IFERROR(__xludf.DUMMYFUNCTION("""COMPUTED_VALUE"""),0.41340782122905)</f>
        <v>0.4134078212</v>
      </c>
      <c r="M71" s="8">
        <f>IFERROR(__xludf.DUMMYFUNCTION("""COMPUTED_VALUE"""),0.408582089552238)</f>
        <v>0.4085820896</v>
      </c>
      <c r="N71" s="8">
        <f>IFERROR(__xludf.DUMMYFUNCTION("""COMPUTED_VALUE"""),0.4)</f>
        <v>0.4</v>
      </c>
      <c r="O71" s="8">
        <f>IFERROR(__xludf.DUMMYFUNCTION("""COMPUTED_VALUE"""),0.386666666666666)</f>
        <v>0.3866666667</v>
      </c>
      <c r="P71" s="8">
        <f>IFERROR(__xludf.DUMMYFUNCTION("""COMPUTED_VALUE"""),0.311518324607329)</f>
        <v>0.3115183246</v>
      </c>
      <c r="Q71" s="8">
        <f>IFERROR(__xludf.DUMMYFUNCTION("""COMPUTED_VALUE"""),0.086021505376344)</f>
        <v>0.08602150538</v>
      </c>
      <c r="R71" s="8">
        <f>IFERROR(__xludf.DUMMYFUNCTION("""COMPUTED_VALUE"""),0.0)</f>
        <v>0</v>
      </c>
      <c r="S71" s="8">
        <f>IFERROR(__xludf.DUMMYFUNCTION("""COMPUTED_VALUE"""),0.0)</f>
        <v>0</v>
      </c>
      <c r="T71" s="8">
        <f>IFERROR(__xludf.DUMMYFUNCTION("""COMPUTED_VALUE"""),0.0)</f>
        <v>0</v>
      </c>
      <c r="U71" s="8">
        <f>IFERROR(__xludf.DUMMYFUNCTION("""COMPUTED_VALUE"""),0.0)</f>
        <v>0</v>
      </c>
      <c r="V71" s="8">
        <f>IFERROR(__xludf.DUMMYFUNCTION("""COMPUTED_VALUE"""),0.0)</f>
        <v>0</v>
      </c>
      <c r="W71" s="8">
        <f>IFERROR(__xludf.DUMMYFUNCTION("""COMPUTED_VALUE"""),0.0)</f>
        <v>0</v>
      </c>
      <c r="X71" s="8">
        <f>IFERROR(__xludf.DUMMYFUNCTION("""COMPUTED_VALUE"""),0.0)</f>
        <v>0</v>
      </c>
      <c r="Y71" s="8">
        <f>IFERROR(__xludf.DUMMYFUNCTION("""COMPUTED_VALUE"""),0.0)</f>
        <v>0</v>
      </c>
      <c r="Z71" s="8">
        <f>IFERROR(__xludf.DUMMYFUNCTION("""COMPUTED_VALUE"""),0.0)</f>
        <v>0</v>
      </c>
      <c r="AA71" s="8">
        <f>IFERROR(__xludf.DUMMYFUNCTION("""COMPUTED_VALUE"""),0.0)</f>
        <v>0</v>
      </c>
      <c r="AB71" s="8">
        <f>IFERROR(__xludf.DUMMYFUNCTION("""COMPUTED_VALUE"""),0.0)</f>
        <v>0</v>
      </c>
      <c r="AC71" s="8">
        <f>IFERROR(__xludf.DUMMYFUNCTION("""COMPUTED_VALUE"""),0.0)</f>
        <v>0</v>
      </c>
    </row>
    <row r="72" ht="15.75" customHeight="1">
      <c r="A72" s="6" t="str">
        <f>IFERROR(__xludf.DUMMYFUNCTION("""COMPUTED_VALUE"""),"40e06046d3679811f910f8beed9306369f59c60e")</f>
        <v>40e06046d3679811f910f8beed9306369f59c60e</v>
      </c>
      <c r="B72" s="6" t="str">
        <f>IFERROR(__xludf.DUMMYFUNCTION("""COMPUTED_VALUE"""),"Lycan Unity Academy")</f>
        <v>Lycan Unity Academy</v>
      </c>
      <c r="C72" s="6" t="str">
        <f>IFERROR(__xludf.DUMMYFUNCTION("""COMPUTED_VALUE"""),"Romantasy")</f>
        <v>Romantasy</v>
      </c>
      <c r="D72" s="11">
        <f>IFERROR(__xludf.DUMMYFUNCTION("""COMPUTED_VALUE"""),136.0)</f>
        <v>136</v>
      </c>
      <c r="E72" s="8">
        <f>IFERROR(__xludf.DUMMYFUNCTION("""COMPUTED_VALUE"""),0.992647058823529)</f>
        <v>0.9926470588</v>
      </c>
      <c r="F72" s="8">
        <f>IFERROR(__xludf.DUMMYFUNCTION("""COMPUTED_VALUE"""),0.558823529411764)</f>
        <v>0.5588235294</v>
      </c>
      <c r="G72" s="8">
        <f>IFERROR(__xludf.DUMMYFUNCTION("""COMPUTED_VALUE"""),0.485294117647058)</f>
        <v>0.4852941176</v>
      </c>
      <c r="H72" s="8">
        <f>IFERROR(__xludf.DUMMYFUNCTION("""COMPUTED_VALUE"""),0.463235294117647)</f>
        <v>0.4632352941</v>
      </c>
      <c r="I72" s="8">
        <f>IFERROR(__xludf.DUMMYFUNCTION("""COMPUTED_VALUE"""),0.433823529411764)</f>
        <v>0.4338235294</v>
      </c>
      <c r="J72" s="8">
        <f>IFERROR(__xludf.DUMMYFUNCTION("""COMPUTED_VALUE"""),0.389705882352941)</f>
        <v>0.3897058824</v>
      </c>
      <c r="K72" s="8">
        <f>IFERROR(__xludf.DUMMYFUNCTION("""COMPUTED_VALUE"""),0.411764705882352)</f>
        <v>0.4117647059</v>
      </c>
      <c r="L72" s="8">
        <f>IFERROR(__xludf.DUMMYFUNCTION("""COMPUTED_VALUE"""),0.404411764705882)</f>
        <v>0.4044117647</v>
      </c>
      <c r="M72" s="8">
        <f>IFERROR(__xludf.DUMMYFUNCTION("""COMPUTED_VALUE"""),0.345588235294117)</f>
        <v>0.3455882353</v>
      </c>
      <c r="N72" s="8">
        <f>IFERROR(__xludf.DUMMYFUNCTION("""COMPUTED_VALUE"""),0.338235294117647)</f>
        <v>0.3382352941</v>
      </c>
      <c r="O72" s="8">
        <f>IFERROR(__xludf.DUMMYFUNCTION("""COMPUTED_VALUE"""),0.279411764705882)</f>
        <v>0.2794117647</v>
      </c>
      <c r="P72" s="8">
        <f>IFERROR(__xludf.DUMMYFUNCTION("""COMPUTED_VALUE"""),0.227272727272727)</f>
        <v>0.2272727273</v>
      </c>
      <c r="Q72" s="8">
        <f>IFERROR(__xludf.DUMMYFUNCTION("""COMPUTED_VALUE"""),0.087378640776699)</f>
        <v>0.08737864078</v>
      </c>
      <c r="R72" s="8">
        <f>IFERROR(__xludf.DUMMYFUNCTION("""COMPUTED_VALUE"""),0.0909090909090909)</f>
        <v>0.09090909091</v>
      </c>
      <c r="S72" s="8">
        <f>IFERROR(__xludf.DUMMYFUNCTION("""COMPUTED_VALUE"""),0.0)</f>
        <v>0</v>
      </c>
      <c r="T72" s="8">
        <f>IFERROR(__xludf.DUMMYFUNCTION("""COMPUTED_VALUE"""),0.0)</f>
        <v>0</v>
      </c>
      <c r="U72" s="8">
        <f>IFERROR(__xludf.DUMMYFUNCTION("""COMPUTED_VALUE"""),0.0)</f>
        <v>0</v>
      </c>
      <c r="V72" s="8">
        <f>IFERROR(__xludf.DUMMYFUNCTION("""COMPUTED_VALUE"""),0.0)</f>
        <v>0</v>
      </c>
      <c r="W72" s="8">
        <f>IFERROR(__xludf.DUMMYFUNCTION("""COMPUTED_VALUE"""),0.0)</f>
        <v>0</v>
      </c>
      <c r="X72" s="8">
        <f>IFERROR(__xludf.DUMMYFUNCTION("""COMPUTED_VALUE"""),0.0)</f>
        <v>0</v>
      </c>
      <c r="Y72" s="8">
        <f>IFERROR(__xludf.DUMMYFUNCTION("""COMPUTED_VALUE"""),0.0)</f>
        <v>0</v>
      </c>
      <c r="Z72" s="8">
        <f>IFERROR(__xludf.DUMMYFUNCTION("""COMPUTED_VALUE"""),0.0)</f>
        <v>0</v>
      </c>
      <c r="AA72" s="8">
        <f>IFERROR(__xludf.DUMMYFUNCTION("""COMPUTED_VALUE"""),0.0)</f>
        <v>0</v>
      </c>
      <c r="AB72" s="8">
        <f>IFERROR(__xludf.DUMMYFUNCTION("""COMPUTED_VALUE"""),0.0)</f>
        <v>0</v>
      </c>
      <c r="AC72" s="8">
        <f>IFERROR(__xludf.DUMMYFUNCTION("""COMPUTED_VALUE"""),0.0)</f>
        <v>0</v>
      </c>
    </row>
    <row r="73" ht="15.75" customHeight="1">
      <c r="A73" s="6" t="str">
        <f>IFERROR(__xludf.DUMMYFUNCTION("""COMPUTED_VALUE"""),"41afeacb4e481e249d618ae39936f1173864e026")</f>
        <v>41afeacb4e481e249d618ae39936f1173864e026</v>
      </c>
      <c r="B73" s="6" t="str">
        <f>IFERROR(__xludf.DUMMYFUNCTION("""COMPUTED_VALUE"""),"Disguised Successor")</f>
        <v>Disguised Successor</v>
      </c>
      <c r="C73" s="6" t="str">
        <f>IFERROR(__xludf.DUMMYFUNCTION("""COMPUTED_VALUE"""),"Drama")</f>
        <v>Drama</v>
      </c>
      <c r="D73" s="11">
        <f>IFERROR(__xludf.DUMMYFUNCTION("""COMPUTED_VALUE"""),470.0)</f>
        <v>470</v>
      </c>
      <c r="E73" s="8">
        <f>IFERROR(__xludf.DUMMYFUNCTION("""COMPUTED_VALUE"""),0.96595744680851)</f>
        <v>0.9659574468</v>
      </c>
      <c r="F73" s="8">
        <f>IFERROR(__xludf.DUMMYFUNCTION("""COMPUTED_VALUE"""),0.740425531914893)</f>
        <v>0.7404255319</v>
      </c>
      <c r="G73" s="8">
        <f>IFERROR(__xludf.DUMMYFUNCTION("""COMPUTED_VALUE"""),0.657446808510638)</f>
        <v>0.6574468085</v>
      </c>
      <c r="H73" s="8">
        <f>IFERROR(__xludf.DUMMYFUNCTION("""COMPUTED_VALUE"""),0.635394456289978)</f>
        <v>0.6353944563</v>
      </c>
      <c r="I73" s="8">
        <f>IFERROR(__xludf.DUMMYFUNCTION("""COMPUTED_VALUE"""),0.618336886993603)</f>
        <v>0.618336887</v>
      </c>
      <c r="J73" s="8">
        <f>IFERROR(__xludf.DUMMYFUNCTION("""COMPUTED_VALUE"""),0.586723768736616)</f>
        <v>0.5867237687</v>
      </c>
      <c r="K73" s="8">
        <f>IFERROR(__xludf.DUMMYFUNCTION("""COMPUTED_VALUE"""),0.541755888650963)</f>
        <v>0.5417558887</v>
      </c>
      <c r="L73" s="8">
        <f>IFERROR(__xludf.DUMMYFUNCTION("""COMPUTED_VALUE"""),0.535331905781584)</f>
        <v>0.5353319058</v>
      </c>
      <c r="M73" s="8">
        <f>IFERROR(__xludf.DUMMYFUNCTION("""COMPUTED_VALUE"""),0.488222698072805)</f>
        <v>0.4882226981</v>
      </c>
      <c r="N73" s="8">
        <f>IFERROR(__xludf.DUMMYFUNCTION("""COMPUTED_VALUE"""),0.460385438972162)</f>
        <v>0.460385439</v>
      </c>
      <c r="O73" s="8">
        <f>IFERROR(__xludf.DUMMYFUNCTION("""COMPUTED_VALUE"""),0.398692810457516)</f>
        <v>0.3986928105</v>
      </c>
      <c r="P73" s="8">
        <f>IFERROR(__xludf.DUMMYFUNCTION("""COMPUTED_VALUE"""),0.249438202247191)</f>
        <v>0.2494382022</v>
      </c>
      <c r="Q73" s="8">
        <f>IFERROR(__xludf.DUMMYFUNCTION("""COMPUTED_VALUE"""),0.125858123569794)</f>
        <v>0.1258581236</v>
      </c>
      <c r="R73" s="8">
        <f>IFERROR(__xludf.DUMMYFUNCTION("""COMPUTED_VALUE"""),0.0680100755667506)</f>
        <v>0.06801007557</v>
      </c>
      <c r="S73" s="8">
        <f>IFERROR(__xludf.DUMMYFUNCTION("""COMPUTED_VALUE"""),0.0)</f>
        <v>0</v>
      </c>
      <c r="T73" s="8">
        <f>IFERROR(__xludf.DUMMYFUNCTION("""COMPUTED_VALUE"""),0.0)</f>
        <v>0</v>
      </c>
      <c r="U73" s="8">
        <f>IFERROR(__xludf.DUMMYFUNCTION("""COMPUTED_VALUE"""),0.0)</f>
        <v>0</v>
      </c>
      <c r="V73" s="8">
        <f>IFERROR(__xludf.DUMMYFUNCTION("""COMPUTED_VALUE"""),0.0)</f>
        <v>0</v>
      </c>
      <c r="W73" s="8">
        <f>IFERROR(__xludf.DUMMYFUNCTION("""COMPUTED_VALUE"""),0.0)</f>
        <v>0</v>
      </c>
      <c r="X73" s="8">
        <f>IFERROR(__xludf.DUMMYFUNCTION("""COMPUTED_VALUE"""),0.0)</f>
        <v>0</v>
      </c>
      <c r="Y73" s="8">
        <f>IFERROR(__xludf.DUMMYFUNCTION("""COMPUTED_VALUE"""),0.0)</f>
        <v>0</v>
      </c>
      <c r="Z73" s="8">
        <f>IFERROR(__xludf.DUMMYFUNCTION("""COMPUTED_VALUE"""),0.0)</f>
        <v>0</v>
      </c>
      <c r="AA73" s="8">
        <f>IFERROR(__xludf.DUMMYFUNCTION("""COMPUTED_VALUE"""),0.0)</f>
        <v>0</v>
      </c>
      <c r="AB73" s="8">
        <f>IFERROR(__xludf.DUMMYFUNCTION("""COMPUTED_VALUE"""),0.0)</f>
        <v>0</v>
      </c>
      <c r="AC73" s="8">
        <f>IFERROR(__xludf.DUMMYFUNCTION("""COMPUTED_VALUE"""),0.0)</f>
        <v>0</v>
      </c>
    </row>
    <row r="74" ht="15.75" customHeight="1">
      <c r="A74" s="6" t="str">
        <f>IFERROR(__xludf.DUMMYFUNCTION("""COMPUTED_VALUE"""),"41fe3152f98c34f655d93ac2fc85bf506eac3371")</f>
        <v>41fe3152f98c34f655d93ac2fc85bf506eac3371</v>
      </c>
      <c r="B74" s="6" t="str">
        <f>IFERROR(__xludf.DUMMYFUNCTION("""COMPUTED_VALUE"""),"Owen &amp; Liam")</f>
        <v>Owen &amp; Liam</v>
      </c>
      <c r="C74" s="6" t="str">
        <f>IFERROR(__xludf.DUMMYFUNCTION("""COMPUTED_VALUE"""),"Romance")</f>
        <v>Romance</v>
      </c>
      <c r="D74" s="11">
        <f>IFERROR(__xludf.DUMMYFUNCTION("""COMPUTED_VALUE"""),1383.0)</f>
        <v>1383</v>
      </c>
      <c r="E74" s="8">
        <f>IFERROR(__xludf.DUMMYFUNCTION("""COMPUTED_VALUE"""),0.963846710050614)</f>
        <v>0.9638467101</v>
      </c>
      <c r="F74" s="8">
        <f>IFERROR(__xludf.DUMMYFUNCTION("""COMPUTED_VALUE"""),0.501807664497469)</f>
        <v>0.5018076645</v>
      </c>
      <c r="G74" s="8">
        <f>IFERROR(__xludf.DUMMYFUNCTION("""COMPUTED_VALUE"""),0.397686189443239)</f>
        <v>0.3976861894</v>
      </c>
      <c r="H74" s="8">
        <f>IFERROR(__xludf.DUMMYFUNCTION("""COMPUTED_VALUE"""),0.353579175704989)</f>
        <v>0.3535791757</v>
      </c>
      <c r="I74" s="8">
        <f>IFERROR(__xludf.DUMMYFUNCTION("""COMPUTED_VALUE"""),0.322487346348517)</f>
        <v>0.3224873463</v>
      </c>
      <c r="J74" s="8">
        <f>IFERROR(__xludf.DUMMYFUNCTION("""COMPUTED_VALUE"""),0.303687635574837)</f>
        <v>0.3036876356</v>
      </c>
      <c r="K74" s="8">
        <f>IFERROR(__xludf.DUMMYFUNCTION("""COMPUTED_VALUE"""),0.288503253796095)</f>
        <v>0.2885032538</v>
      </c>
      <c r="L74" s="8">
        <f>IFERROR(__xludf.DUMMYFUNCTION("""COMPUTED_VALUE"""),0.275488069414316)</f>
        <v>0.2754880694</v>
      </c>
      <c r="M74" s="8">
        <f>IFERROR(__xludf.DUMMYFUNCTION("""COMPUTED_VALUE"""),0.26174981923355)</f>
        <v>0.2617498192</v>
      </c>
      <c r="N74" s="8">
        <f>IFERROR(__xludf.DUMMYFUNCTION("""COMPUTED_VALUE"""),0.255426917510853)</f>
        <v>0.2554269175</v>
      </c>
      <c r="O74" s="8">
        <f>IFERROR(__xludf.DUMMYFUNCTION("""COMPUTED_VALUE"""),0.229543808834178)</f>
        <v>0.2295438088</v>
      </c>
      <c r="P74" s="8">
        <f>IFERROR(__xludf.DUMMYFUNCTION("""COMPUTED_VALUE"""),0.170890658942795)</f>
        <v>0.1708906589</v>
      </c>
      <c r="Q74" s="8">
        <f>IFERROR(__xludf.DUMMYFUNCTION("""COMPUTED_VALUE"""),0.141361256544502)</f>
        <v>0.1413612565</v>
      </c>
      <c r="R74" s="8">
        <f>IFERROR(__xludf.DUMMYFUNCTION("""COMPUTED_VALUE"""),0.113207547169811)</f>
        <v>0.1132075472</v>
      </c>
      <c r="S74" s="8">
        <f>IFERROR(__xludf.DUMMYFUNCTION("""COMPUTED_VALUE"""),0.115942028985507)</f>
        <v>0.115942029</v>
      </c>
      <c r="T74" s="8">
        <f>IFERROR(__xludf.DUMMYFUNCTION("""COMPUTED_VALUE"""),0.113207547169811)</f>
        <v>0.1132075472</v>
      </c>
      <c r="U74" s="8">
        <f>IFERROR(__xludf.DUMMYFUNCTION("""COMPUTED_VALUE"""),0.0997442455242966)</f>
        <v>0.09974424552</v>
      </c>
      <c r="V74" s="8">
        <f>IFERROR(__xludf.DUMMYFUNCTION("""COMPUTED_VALUE"""),0.0977653631284916)</f>
        <v>0.09776536313</v>
      </c>
      <c r="W74" s="8">
        <f>IFERROR(__xludf.DUMMYFUNCTION("""COMPUTED_VALUE"""),0.08)</f>
        <v>0.08</v>
      </c>
      <c r="X74" s="8">
        <f>IFERROR(__xludf.DUMMYFUNCTION("""COMPUTED_VALUE"""),0.0850340136054421)</f>
        <v>0.08503401361</v>
      </c>
      <c r="Y74" s="8">
        <f>IFERROR(__xludf.DUMMYFUNCTION("""COMPUTED_VALUE"""),0.0283018867924528)</f>
        <v>0.02830188679</v>
      </c>
      <c r="Z74" s="8">
        <f>IFERROR(__xludf.DUMMYFUNCTION("""COMPUTED_VALUE"""),0.0454545454545454)</f>
        <v>0.04545454545</v>
      </c>
      <c r="AA74" s="8">
        <f>IFERROR(__xludf.DUMMYFUNCTION("""COMPUTED_VALUE"""),0.0)</f>
        <v>0</v>
      </c>
      <c r="AB74" s="8">
        <f>IFERROR(__xludf.DUMMYFUNCTION("""COMPUTED_VALUE"""),0.0)</f>
        <v>0</v>
      </c>
      <c r="AC74" s="8">
        <f>IFERROR(__xludf.DUMMYFUNCTION("""COMPUTED_VALUE"""),0.0)</f>
        <v>0</v>
      </c>
    </row>
    <row r="75" ht="15.75" customHeight="1">
      <c r="A75" s="6" t="str">
        <f>IFERROR(__xludf.DUMMYFUNCTION("""COMPUTED_VALUE"""),"424b450dc35cc4bf4fc088069830e978aa97884a")</f>
        <v>424b450dc35cc4bf4fc088069830e978aa97884a</v>
      </c>
      <c r="B75" s="6" t="str">
        <f>IFERROR(__xludf.DUMMYFUNCTION("""COMPUTED_VALUE"""),"The Alpha's Witch")</f>
        <v>The Alpha's Witch</v>
      </c>
      <c r="C75" s="6" t="str">
        <f>IFERROR(__xludf.DUMMYFUNCTION("""COMPUTED_VALUE"""),"Romantasy")</f>
        <v>Romantasy</v>
      </c>
      <c r="D75" s="11">
        <f>IFERROR(__xludf.DUMMYFUNCTION("""COMPUTED_VALUE"""),141.0)</f>
        <v>141</v>
      </c>
      <c r="E75" s="8">
        <f>IFERROR(__xludf.DUMMYFUNCTION("""COMPUTED_VALUE"""),0.985815602836879)</f>
        <v>0.9858156028</v>
      </c>
      <c r="F75" s="8">
        <f>IFERROR(__xludf.DUMMYFUNCTION("""COMPUTED_VALUE"""),0.638297872340425)</f>
        <v>0.6382978723</v>
      </c>
      <c r="G75" s="8">
        <f>IFERROR(__xludf.DUMMYFUNCTION("""COMPUTED_VALUE"""),0.524822695035461)</f>
        <v>0.524822695</v>
      </c>
      <c r="H75" s="8">
        <f>IFERROR(__xludf.DUMMYFUNCTION("""COMPUTED_VALUE"""),0.460992907801418)</f>
        <v>0.4609929078</v>
      </c>
      <c r="I75" s="8">
        <f>IFERROR(__xludf.DUMMYFUNCTION("""COMPUTED_VALUE"""),0.432624113475177)</f>
        <v>0.4326241135</v>
      </c>
      <c r="J75" s="8">
        <f>IFERROR(__xludf.DUMMYFUNCTION("""COMPUTED_VALUE"""),0.421428571428571)</f>
        <v>0.4214285714</v>
      </c>
      <c r="K75" s="8">
        <f>IFERROR(__xludf.DUMMYFUNCTION("""COMPUTED_VALUE"""),0.385714285714285)</f>
        <v>0.3857142857</v>
      </c>
      <c r="L75" s="8">
        <f>IFERROR(__xludf.DUMMYFUNCTION("""COMPUTED_VALUE"""),0.378571428571428)</f>
        <v>0.3785714286</v>
      </c>
      <c r="M75" s="8">
        <f>IFERROR(__xludf.DUMMYFUNCTION("""COMPUTED_VALUE"""),0.371428571428571)</f>
        <v>0.3714285714</v>
      </c>
      <c r="N75" s="8">
        <f>IFERROR(__xludf.DUMMYFUNCTION("""COMPUTED_VALUE"""),0.335714285714285)</f>
        <v>0.3357142857</v>
      </c>
      <c r="O75" s="8">
        <f>IFERROR(__xludf.DUMMYFUNCTION("""COMPUTED_VALUE"""),0.18978102189781)</f>
        <v>0.1897810219</v>
      </c>
      <c r="P75" s="8">
        <f>IFERROR(__xludf.DUMMYFUNCTION("""COMPUTED_VALUE"""),0.150375939849624)</f>
        <v>0.1503759398</v>
      </c>
      <c r="Q75" s="8">
        <f>IFERROR(__xludf.DUMMYFUNCTION("""COMPUTED_VALUE"""),0.138888888888888)</f>
        <v>0.1388888889</v>
      </c>
      <c r="R75" s="8">
        <f>IFERROR(__xludf.DUMMYFUNCTION("""COMPUTED_VALUE"""),0.222222222222222)</f>
        <v>0.2222222222</v>
      </c>
      <c r="S75" s="8">
        <f>IFERROR(__xludf.DUMMYFUNCTION("""COMPUTED_VALUE"""),0.0)</f>
        <v>0</v>
      </c>
      <c r="T75" s="8">
        <f>IFERROR(__xludf.DUMMYFUNCTION("""COMPUTED_VALUE"""),0.0)</f>
        <v>0</v>
      </c>
      <c r="U75" s="8">
        <f>IFERROR(__xludf.DUMMYFUNCTION("""COMPUTED_VALUE"""),0.0)</f>
        <v>0</v>
      </c>
      <c r="V75" s="8">
        <f>IFERROR(__xludf.DUMMYFUNCTION("""COMPUTED_VALUE"""),0.0)</f>
        <v>0</v>
      </c>
      <c r="W75" s="8">
        <f>IFERROR(__xludf.DUMMYFUNCTION("""COMPUTED_VALUE"""),0.0)</f>
        <v>0</v>
      </c>
      <c r="X75" s="8">
        <f>IFERROR(__xludf.DUMMYFUNCTION("""COMPUTED_VALUE"""),0.0)</f>
        <v>0</v>
      </c>
      <c r="Y75" s="8">
        <f>IFERROR(__xludf.DUMMYFUNCTION("""COMPUTED_VALUE"""),0.0)</f>
        <v>0</v>
      </c>
      <c r="Z75" s="8">
        <f>IFERROR(__xludf.DUMMYFUNCTION("""COMPUTED_VALUE"""),0.0)</f>
        <v>0</v>
      </c>
      <c r="AA75" s="8">
        <f>IFERROR(__xludf.DUMMYFUNCTION("""COMPUTED_VALUE"""),0.0)</f>
        <v>0</v>
      </c>
      <c r="AB75" s="8">
        <f>IFERROR(__xludf.DUMMYFUNCTION("""COMPUTED_VALUE"""),0.0)</f>
        <v>0</v>
      </c>
      <c r="AC75" s="8">
        <f>IFERROR(__xludf.DUMMYFUNCTION("""COMPUTED_VALUE"""),0.0)</f>
        <v>0</v>
      </c>
    </row>
    <row r="76" ht="15.75" customHeight="1">
      <c r="A76" s="6" t="str">
        <f>IFERROR(__xludf.DUMMYFUNCTION("""COMPUTED_VALUE"""),"42515091e7b47b7b2d2381d7512fdb9f9866aa1e")</f>
        <v>42515091e7b47b7b2d2381d7512fdb9f9866aa1e</v>
      </c>
      <c r="B76" s="6" t="str">
        <f>IFERROR(__xludf.DUMMYFUNCTION("""COMPUTED_VALUE"""),"The Tomboy Love Story")</f>
        <v>The Tomboy Love Story</v>
      </c>
      <c r="C76" s="6" t="str">
        <f>IFERROR(__xludf.DUMMYFUNCTION("""COMPUTED_VALUE"""),"Romance")</f>
        <v>Romance</v>
      </c>
      <c r="D76" s="11">
        <f>IFERROR(__xludf.DUMMYFUNCTION("""COMPUTED_VALUE"""),90.0)</f>
        <v>90</v>
      </c>
      <c r="E76" s="8">
        <f>IFERROR(__xludf.DUMMYFUNCTION("""COMPUTED_VALUE"""),0.933333333333333)</f>
        <v>0.9333333333</v>
      </c>
      <c r="F76" s="8">
        <f>IFERROR(__xludf.DUMMYFUNCTION("""COMPUTED_VALUE"""),0.555555555555555)</f>
        <v>0.5555555556</v>
      </c>
      <c r="G76" s="8">
        <f>IFERROR(__xludf.DUMMYFUNCTION("""COMPUTED_VALUE"""),0.488888888888888)</f>
        <v>0.4888888889</v>
      </c>
      <c r="H76" s="8">
        <f>IFERROR(__xludf.DUMMYFUNCTION("""COMPUTED_VALUE"""),0.46067415730337)</f>
        <v>0.4606741573</v>
      </c>
      <c r="I76" s="8">
        <f>IFERROR(__xludf.DUMMYFUNCTION("""COMPUTED_VALUE"""),0.449438202247191)</f>
        <v>0.4494382022</v>
      </c>
      <c r="J76" s="8">
        <f>IFERROR(__xludf.DUMMYFUNCTION("""COMPUTED_VALUE"""),0.449438202247191)</f>
        <v>0.4494382022</v>
      </c>
      <c r="K76" s="8">
        <f>IFERROR(__xludf.DUMMYFUNCTION("""COMPUTED_VALUE"""),0.393258426966292)</f>
        <v>0.393258427</v>
      </c>
      <c r="L76" s="8">
        <f>IFERROR(__xludf.DUMMYFUNCTION("""COMPUTED_VALUE"""),0.393258426966292)</f>
        <v>0.393258427</v>
      </c>
      <c r="M76" s="8">
        <f>IFERROR(__xludf.DUMMYFUNCTION("""COMPUTED_VALUE"""),0.393258426966292)</f>
        <v>0.393258427</v>
      </c>
      <c r="N76" s="8">
        <f>IFERROR(__xludf.DUMMYFUNCTION("""COMPUTED_VALUE"""),0.370786516853932)</f>
        <v>0.3707865169</v>
      </c>
      <c r="O76" s="8">
        <f>IFERROR(__xludf.DUMMYFUNCTION("""COMPUTED_VALUE"""),0.356321839080459)</f>
        <v>0.3563218391</v>
      </c>
      <c r="P76" s="8">
        <f>IFERROR(__xludf.DUMMYFUNCTION("""COMPUTED_VALUE"""),0.267441860465116)</f>
        <v>0.2674418605</v>
      </c>
      <c r="Q76" s="8">
        <f>IFERROR(__xludf.DUMMYFUNCTION("""COMPUTED_VALUE"""),0.189873417721519)</f>
        <v>0.1898734177</v>
      </c>
      <c r="R76" s="8">
        <f>IFERROR(__xludf.DUMMYFUNCTION("""COMPUTED_VALUE"""),0.103448275862068)</f>
        <v>0.1034482759</v>
      </c>
      <c r="S76" s="8">
        <f>IFERROR(__xludf.DUMMYFUNCTION("""COMPUTED_VALUE"""),0.181818181818181)</f>
        <v>0.1818181818</v>
      </c>
      <c r="T76" s="8">
        <f>IFERROR(__xludf.DUMMYFUNCTION("""COMPUTED_VALUE"""),0.0)</f>
        <v>0</v>
      </c>
      <c r="U76" s="8">
        <f>IFERROR(__xludf.DUMMYFUNCTION("""COMPUTED_VALUE"""),0.0)</f>
        <v>0</v>
      </c>
      <c r="V76" s="8">
        <f>IFERROR(__xludf.DUMMYFUNCTION("""COMPUTED_VALUE"""),0.0)</f>
        <v>0</v>
      </c>
      <c r="W76" s="8">
        <f>IFERROR(__xludf.DUMMYFUNCTION("""COMPUTED_VALUE"""),0.0)</f>
        <v>0</v>
      </c>
      <c r="X76" s="8">
        <f>IFERROR(__xludf.DUMMYFUNCTION("""COMPUTED_VALUE"""),0.0)</f>
        <v>0</v>
      </c>
      <c r="Y76" s="8">
        <f>IFERROR(__xludf.DUMMYFUNCTION("""COMPUTED_VALUE"""),0.0)</f>
        <v>0</v>
      </c>
      <c r="Z76" s="8">
        <f>IFERROR(__xludf.DUMMYFUNCTION("""COMPUTED_VALUE"""),0.0)</f>
        <v>0</v>
      </c>
      <c r="AA76" s="8">
        <f>IFERROR(__xludf.DUMMYFUNCTION("""COMPUTED_VALUE"""),0.0)</f>
        <v>0</v>
      </c>
      <c r="AB76" s="8">
        <f>IFERROR(__xludf.DUMMYFUNCTION("""COMPUTED_VALUE"""),0.0)</f>
        <v>0</v>
      </c>
      <c r="AC76" s="8">
        <f>IFERROR(__xludf.DUMMYFUNCTION("""COMPUTED_VALUE"""),0.0)</f>
        <v>0</v>
      </c>
    </row>
    <row r="77" ht="15.75" customHeight="1">
      <c r="A77" s="6" t="str">
        <f>IFERROR(__xludf.DUMMYFUNCTION("""COMPUTED_VALUE"""),"4335258b71733375cbccc0fbf7ce0bf0975b095d")</f>
        <v>4335258b71733375cbccc0fbf7ce0bf0975b095d</v>
      </c>
      <c r="B77" s="6" t="str">
        <f>IFERROR(__xludf.DUMMYFUNCTION("""COMPUTED_VALUE"""),"Alex &amp; the Prison System")</f>
        <v>Alex &amp; the Prison System</v>
      </c>
      <c r="C77" s="6" t="str">
        <f>IFERROR(__xludf.DUMMYFUNCTION("""COMPUTED_VALUE"""),"System and Superpower")</f>
        <v>System and Superpower</v>
      </c>
      <c r="D77" s="11">
        <f>IFERROR(__xludf.DUMMYFUNCTION("""COMPUTED_VALUE"""),1159.0)</f>
        <v>1159</v>
      </c>
      <c r="E77" s="8">
        <f>IFERROR(__xludf.DUMMYFUNCTION("""COMPUTED_VALUE"""),0.972389991371872)</f>
        <v>0.9723899914</v>
      </c>
      <c r="F77" s="8">
        <f>IFERROR(__xludf.DUMMYFUNCTION("""COMPUTED_VALUE"""),0.725625539257981)</f>
        <v>0.7256255393</v>
      </c>
      <c r="G77" s="8">
        <f>IFERROR(__xludf.DUMMYFUNCTION("""COMPUTED_VALUE"""),0.673856773080241)</f>
        <v>0.6738567731</v>
      </c>
      <c r="H77" s="8">
        <f>IFERROR(__xludf.DUMMYFUNCTION("""COMPUTED_VALUE"""),0.651122625215889)</f>
        <v>0.6511226252</v>
      </c>
      <c r="I77" s="8">
        <f>IFERROR(__xludf.DUMMYFUNCTION("""COMPUTED_VALUE"""),0.628892733564013)</f>
        <v>0.6288927336</v>
      </c>
      <c r="J77" s="8">
        <f>IFERROR(__xludf.DUMMYFUNCTION("""COMPUTED_VALUE"""),0.62077922077922)</f>
        <v>0.6207792208</v>
      </c>
      <c r="K77" s="8">
        <f>IFERROR(__xludf.DUMMYFUNCTION("""COMPUTED_VALUE"""),0.610051993067591)</f>
        <v>0.6100519931</v>
      </c>
      <c r="L77" s="8">
        <f>IFERROR(__xludf.DUMMYFUNCTION("""COMPUTED_VALUE"""),0.599303135888501)</f>
        <v>0.5993031359</v>
      </c>
      <c r="M77" s="8">
        <f>IFERROR(__xludf.DUMMYFUNCTION("""COMPUTED_VALUE"""),0.585876198779424)</f>
        <v>0.5858761988</v>
      </c>
      <c r="N77" s="8">
        <f>IFERROR(__xludf.DUMMYFUNCTION("""COMPUTED_VALUE"""),0.562171628721541)</f>
        <v>0.5621716287</v>
      </c>
      <c r="O77" s="8">
        <f>IFERROR(__xludf.DUMMYFUNCTION("""COMPUTED_VALUE"""),0.463458110516934)</f>
        <v>0.4634581105</v>
      </c>
      <c r="P77" s="8">
        <f>IFERROR(__xludf.DUMMYFUNCTION("""COMPUTED_VALUE"""),0.320987654320987)</f>
        <v>0.3209876543</v>
      </c>
      <c r="Q77" s="8">
        <f>IFERROR(__xludf.DUMMYFUNCTION("""COMPUTED_VALUE"""),0.263157894736842)</f>
        <v>0.2631578947</v>
      </c>
      <c r="R77" s="8">
        <f>IFERROR(__xludf.DUMMYFUNCTION("""COMPUTED_VALUE"""),0.161290322580645)</f>
        <v>0.1612903226</v>
      </c>
      <c r="S77" s="8">
        <f>IFERROR(__xludf.DUMMYFUNCTION("""COMPUTED_VALUE"""),0.2)</f>
        <v>0.2</v>
      </c>
      <c r="T77" s="8">
        <f>IFERROR(__xludf.DUMMYFUNCTION("""COMPUTED_VALUE"""),0.0)</f>
        <v>0</v>
      </c>
      <c r="U77" s="8">
        <f>IFERROR(__xludf.DUMMYFUNCTION("""COMPUTED_VALUE"""),0.0)</f>
        <v>0</v>
      </c>
      <c r="V77" s="8">
        <f>IFERROR(__xludf.DUMMYFUNCTION("""COMPUTED_VALUE"""),0.0)</f>
        <v>0</v>
      </c>
      <c r="W77" s="8">
        <f>IFERROR(__xludf.DUMMYFUNCTION("""COMPUTED_VALUE"""),0.0)</f>
        <v>0</v>
      </c>
      <c r="X77" s="8">
        <f>IFERROR(__xludf.DUMMYFUNCTION("""COMPUTED_VALUE"""),0.0)</f>
        <v>0</v>
      </c>
      <c r="Y77" s="8">
        <f>IFERROR(__xludf.DUMMYFUNCTION("""COMPUTED_VALUE"""),0.0)</f>
        <v>0</v>
      </c>
      <c r="Z77" s="8">
        <f>IFERROR(__xludf.DUMMYFUNCTION("""COMPUTED_VALUE"""),0.0)</f>
        <v>0</v>
      </c>
      <c r="AA77" s="8">
        <f>IFERROR(__xludf.DUMMYFUNCTION("""COMPUTED_VALUE"""),0.0)</f>
        <v>0</v>
      </c>
      <c r="AB77" s="8">
        <f>IFERROR(__xludf.DUMMYFUNCTION("""COMPUTED_VALUE"""),0.0)</f>
        <v>0</v>
      </c>
      <c r="AC77" s="8">
        <f>IFERROR(__xludf.DUMMYFUNCTION("""COMPUTED_VALUE"""),0.0)</f>
        <v>0</v>
      </c>
    </row>
    <row r="78" ht="15.75" customHeight="1">
      <c r="A78" s="6" t="str">
        <f>IFERROR(__xludf.DUMMYFUNCTION("""COMPUTED_VALUE"""),"43de49339ed40a2c4d8acef5644870ce292f541e")</f>
        <v>43de49339ed40a2c4d8acef5644870ce292f541e</v>
      </c>
      <c r="B78" s="6" t="str">
        <f>IFERROR(__xludf.DUMMYFUNCTION("""COMPUTED_VALUE"""),"Second Chances: Reborn to Be a CEO’s Wife")</f>
        <v>Second Chances: Reborn to Be a CEO’s Wife</v>
      </c>
      <c r="C78" s="6" t="str">
        <f>IFERROR(__xludf.DUMMYFUNCTION("""COMPUTED_VALUE"""),"Romance")</f>
        <v>Romance</v>
      </c>
      <c r="D78" s="11">
        <f>IFERROR(__xludf.DUMMYFUNCTION("""COMPUTED_VALUE"""),120.0)</f>
        <v>120</v>
      </c>
      <c r="E78" s="8">
        <f>IFERROR(__xludf.DUMMYFUNCTION("""COMPUTED_VALUE"""),0.966666666666666)</f>
        <v>0.9666666667</v>
      </c>
      <c r="F78" s="8">
        <f>IFERROR(__xludf.DUMMYFUNCTION("""COMPUTED_VALUE"""),0.591666666666666)</f>
        <v>0.5916666667</v>
      </c>
      <c r="G78" s="8">
        <f>IFERROR(__xludf.DUMMYFUNCTION("""COMPUTED_VALUE"""),0.525)</f>
        <v>0.525</v>
      </c>
      <c r="H78" s="8">
        <f>IFERROR(__xludf.DUMMYFUNCTION("""COMPUTED_VALUE"""),0.458333333333333)</f>
        <v>0.4583333333</v>
      </c>
      <c r="I78" s="8">
        <f>IFERROR(__xludf.DUMMYFUNCTION("""COMPUTED_VALUE"""),0.425)</f>
        <v>0.425</v>
      </c>
      <c r="J78" s="8">
        <f>IFERROR(__xludf.DUMMYFUNCTION("""COMPUTED_VALUE"""),0.375)</f>
        <v>0.375</v>
      </c>
      <c r="K78" s="8">
        <f>IFERROR(__xludf.DUMMYFUNCTION("""COMPUTED_VALUE"""),0.35)</f>
        <v>0.35</v>
      </c>
      <c r="L78" s="8">
        <f>IFERROR(__xludf.DUMMYFUNCTION("""COMPUTED_VALUE"""),0.341666666666666)</f>
        <v>0.3416666667</v>
      </c>
      <c r="M78" s="8">
        <f>IFERROR(__xludf.DUMMYFUNCTION("""COMPUTED_VALUE"""),0.333333333333333)</f>
        <v>0.3333333333</v>
      </c>
      <c r="N78" s="8">
        <f>IFERROR(__xludf.DUMMYFUNCTION("""COMPUTED_VALUE"""),0.310924369747899)</f>
        <v>0.3109243697</v>
      </c>
      <c r="O78" s="8">
        <f>IFERROR(__xludf.DUMMYFUNCTION("""COMPUTED_VALUE"""),0.262711864406779)</f>
        <v>0.2627118644</v>
      </c>
      <c r="P78" s="8">
        <f>IFERROR(__xludf.DUMMYFUNCTION("""COMPUTED_VALUE"""),0.0862068965517241)</f>
        <v>0.08620689655</v>
      </c>
      <c r="Q78" s="8">
        <f>IFERROR(__xludf.DUMMYFUNCTION("""COMPUTED_VALUE"""),0.0087719298245614)</f>
        <v>0.008771929825</v>
      </c>
      <c r="R78" s="8">
        <f>IFERROR(__xludf.DUMMYFUNCTION("""COMPUTED_VALUE"""),0.0)</f>
        <v>0</v>
      </c>
      <c r="S78" s="8">
        <f>IFERROR(__xludf.DUMMYFUNCTION("""COMPUTED_VALUE"""),0.0)</f>
        <v>0</v>
      </c>
      <c r="T78" s="8">
        <f>IFERROR(__xludf.DUMMYFUNCTION("""COMPUTED_VALUE"""),0.0)</f>
        <v>0</v>
      </c>
      <c r="U78" s="8">
        <f>IFERROR(__xludf.DUMMYFUNCTION("""COMPUTED_VALUE"""),0.0)</f>
        <v>0</v>
      </c>
      <c r="V78" s="8">
        <f>IFERROR(__xludf.DUMMYFUNCTION("""COMPUTED_VALUE"""),0.0)</f>
        <v>0</v>
      </c>
      <c r="W78" s="8">
        <f>IFERROR(__xludf.DUMMYFUNCTION("""COMPUTED_VALUE"""),0.0)</f>
        <v>0</v>
      </c>
      <c r="X78" s="8">
        <f>IFERROR(__xludf.DUMMYFUNCTION("""COMPUTED_VALUE"""),0.0)</f>
        <v>0</v>
      </c>
      <c r="Y78" s="8">
        <f>IFERROR(__xludf.DUMMYFUNCTION("""COMPUTED_VALUE"""),0.0)</f>
        <v>0</v>
      </c>
      <c r="Z78" s="8">
        <f>IFERROR(__xludf.DUMMYFUNCTION("""COMPUTED_VALUE"""),0.0)</f>
        <v>0</v>
      </c>
      <c r="AA78" s="8">
        <f>IFERROR(__xludf.DUMMYFUNCTION("""COMPUTED_VALUE"""),0.0)</f>
        <v>0</v>
      </c>
      <c r="AB78" s="8">
        <f>IFERROR(__xludf.DUMMYFUNCTION("""COMPUTED_VALUE"""),0.0)</f>
        <v>0</v>
      </c>
      <c r="AC78" s="8">
        <f>IFERROR(__xludf.DUMMYFUNCTION("""COMPUTED_VALUE"""),0.0)</f>
        <v>0</v>
      </c>
    </row>
    <row r="79" ht="15.75" customHeight="1">
      <c r="A79" s="6" t="str">
        <f>IFERROR(__xludf.DUMMYFUNCTION("""COMPUTED_VALUE"""),"442d4dce8ca376c2bb4438209980daa53b761b51")</f>
        <v>442d4dce8ca376c2bb4438209980daa53b761b51</v>
      </c>
      <c r="B79" s="6" t="str">
        <f>IFERROR(__xludf.DUMMYFUNCTION("""COMPUTED_VALUE"""),"Rejected and Craved")</f>
        <v>Rejected and Craved</v>
      </c>
      <c r="C79" s="6" t="str">
        <f>IFERROR(__xludf.DUMMYFUNCTION("""COMPUTED_VALUE"""),"Romantasy")</f>
        <v>Romantasy</v>
      </c>
      <c r="D79" s="11">
        <f>IFERROR(__xludf.DUMMYFUNCTION("""COMPUTED_VALUE"""),58.0)</f>
        <v>58</v>
      </c>
      <c r="E79" s="8">
        <f>IFERROR(__xludf.DUMMYFUNCTION("""COMPUTED_VALUE"""),0.982758620689655)</f>
        <v>0.9827586207</v>
      </c>
      <c r="F79" s="8">
        <f>IFERROR(__xludf.DUMMYFUNCTION("""COMPUTED_VALUE"""),0.603448275862069)</f>
        <v>0.6034482759</v>
      </c>
      <c r="G79" s="8">
        <f>IFERROR(__xludf.DUMMYFUNCTION("""COMPUTED_VALUE"""),0.534482758620689)</f>
        <v>0.5344827586</v>
      </c>
      <c r="H79" s="8">
        <f>IFERROR(__xludf.DUMMYFUNCTION("""COMPUTED_VALUE"""),0.46551724137931)</f>
        <v>0.4655172414</v>
      </c>
      <c r="I79" s="8">
        <f>IFERROR(__xludf.DUMMYFUNCTION("""COMPUTED_VALUE"""),0.482758620689655)</f>
        <v>0.4827586207</v>
      </c>
      <c r="J79" s="8">
        <f>IFERROR(__xludf.DUMMYFUNCTION("""COMPUTED_VALUE"""),0.448275862068965)</f>
        <v>0.4482758621</v>
      </c>
      <c r="K79" s="8">
        <f>IFERROR(__xludf.DUMMYFUNCTION("""COMPUTED_VALUE"""),0.43103448275862)</f>
        <v>0.4310344828</v>
      </c>
      <c r="L79" s="8">
        <f>IFERROR(__xludf.DUMMYFUNCTION("""COMPUTED_VALUE"""),0.43103448275862)</f>
        <v>0.4310344828</v>
      </c>
      <c r="M79" s="8">
        <f>IFERROR(__xludf.DUMMYFUNCTION("""COMPUTED_VALUE"""),0.43103448275862)</f>
        <v>0.4310344828</v>
      </c>
      <c r="N79" s="8">
        <f>IFERROR(__xludf.DUMMYFUNCTION("""COMPUTED_VALUE"""),0.448275862068965)</f>
        <v>0.4482758621</v>
      </c>
      <c r="O79" s="8">
        <f>IFERROR(__xludf.DUMMYFUNCTION("""COMPUTED_VALUE"""),0.37037037037037)</f>
        <v>0.3703703704</v>
      </c>
      <c r="P79" s="8">
        <f>IFERROR(__xludf.DUMMYFUNCTION("""COMPUTED_VALUE"""),0.150943396226415)</f>
        <v>0.1509433962</v>
      </c>
      <c r="Q79" s="8">
        <f>IFERROR(__xludf.DUMMYFUNCTION("""COMPUTED_VALUE"""),0.0)</f>
        <v>0</v>
      </c>
      <c r="R79" s="8">
        <f>IFERROR(__xludf.DUMMYFUNCTION("""COMPUTED_VALUE"""),0.0)</f>
        <v>0</v>
      </c>
      <c r="S79" s="8">
        <f>IFERROR(__xludf.DUMMYFUNCTION("""COMPUTED_VALUE"""),0.0)</f>
        <v>0</v>
      </c>
      <c r="T79" s="8">
        <f>IFERROR(__xludf.DUMMYFUNCTION("""COMPUTED_VALUE"""),0.0)</f>
        <v>0</v>
      </c>
      <c r="U79" s="8">
        <f>IFERROR(__xludf.DUMMYFUNCTION("""COMPUTED_VALUE"""),0.0)</f>
        <v>0</v>
      </c>
      <c r="V79" s="8">
        <f>IFERROR(__xludf.DUMMYFUNCTION("""COMPUTED_VALUE"""),0.0)</f>
        <v>0</v>
      </c>
      <c r="W79" s="8">
        <f>IFERROR(__xludf.DUMMYFUNCTION("""COMPUTED_VALUE"""),0.0)</f>
        <v>0</v>
      </c>
      <c r="X79" s="8">
        <f>IFERROR(__xludf.DUMMYFUNCTION("""COMPUTED_VALUE"""),0.0)</f>
        <v>0</v>
      </c>
      <c r="Y79" s="8">
        <f>IFERROR(__xludf.DUMMYFUNCTION("""COMPUTED_VALUE"""),0.0)</f>
        <v>0</v>
      </c>
      <c r="Z79" s="8">
        <f>IFERROR(__xludf.DUMMYFUNCTION("""COMPUTED_VALUE"""),0.0)</f>
        <v>0</v>
      </c>
      <c r="AA79" s="8">
        <f>IFERROR(__xludf.DUMMYFUNCTION("""COMPUTED_VALUE"""),0.0)</f>
        <v>0</v>
      </c>
      <c r="AB79" s="8">
        <f>IFERROR(__xludf.DUMMYFUNCTION("""COMPUTED_VALUE"""),0.0)</f>
        <v>0</v>
      </c>
      <c r="AC79" s="8">
        <f>IFERROR(__xludf.DUMMYFUNCTION("""COMPUTED_VALUE"""),0.0)</f>
        <v>0</v>
      </c>
    </row>
    <row r="80" ht="15.75" customHeight="1">
      <c r="A80" s="6" t="str">
        <f>IFERROR(__xludf.DUMMYFUNCTION("""COMPUTED_VALUE"""),"446d5769edafce0d5daf04c6cfc40515f289004f")</f>
        <v>446d5769edafce0d5daf04c6cfc40515f289004f</v>
      </c>
      <c r="B80" s="6" t="str">
        <f>IFERROR(__xludf.DUMMYFUNCTION("""COMPUTED_VALUE"""),"The Cloaked Mogul")</f>
        <v>The Cloaked Mogul</v>
      </c>
      <c r="C80" s="6" t="str">
        <f>IFERROR(__xludf.DUMMYFUNCTION("""COMPUTED_VALUE"""),"Drama")</f>
        <v>Drama</v>
      </c>
      <c r="D80" s="11">
        <f>IFERROR(__xludf.DUMMYFUNCTION("""COMPUTED_VALUE"""),2848.0)</f>
        <v>2848</v>
      </c>
      <c r="E80" s="8">
        <f>IFERROR(__xludf.DUMMYFUNCTION("""COMPUTED_VALUE"""),0.935393258426966)</f>
        <v>0.9353932584</v>
      </c>
      <c r="F80" s="8">
        <f>IFERROR(__xludf.DUMMYFUNCTION("""COMPUTED_VALUE"""),0.616221910112359)</f>
        <v>0.6162219101</v>
      </c>
      <c r="G80" s="8">
        <f>IFERROR(__xludf.DUMMYFUNCTION("""COMPUTED_VALUE"""),0.575842696629213)</f>
        <v>0.5758426966</v>
      </c>
      <c r="H80" s="8">
        <f>IFERROR(__xludf.DUMMYFUNCTION("""COMPUTED_VALUE"""),0.553445850914205)</f>
        <v>0.5534458509</v>
      </c>
      <c r="I80" s="8">
        <f>IFERROR(__xludf.DUMMYFUNCTION("""COMPUTED_VALUE"""),0.540626099190995)</f>
        <v>0.5406260992</v>
      </c>
      <c r="J80" s="8">
        <f>IFERROR(__xludf.DUMMYFUNCTION("""COMPUTED_VALUE"""),0.529121073067419)</f>
        <v>0.5291210731</v>
      </c>
      <c r="K80" s="8">
        <f>IFERROR(__xludf.DUMMYFUNCTION("""COMPUTED_VALUE"""),0.519632118853908)</f>
        <v>0.5196321189</v>
      </c>
      <c r="L80" s="8">
        <f>IFERROR(__xludf.DUMMYFUNCTION("""COMPUTED_VALUE"""),0.508150248051027)</f>
        <v>0.5081502481</v>
      </c>
      <c r="M80" s="8">
        <f>IFERROR(__xludf.DUMMYFUNCTION("""COMPUTED_VALUE"""),0.504258339247693)</f>
        <v>0.5042583392</v>
      </c>
      <c r="N80" s="8">
        <f>IFERROR(__xludf.DUMMYFUNCTION("""COMPUTED_VALUE"""),0.488975817923186)</f>
        <v>0.4889758179</v>
      </c>
      <c r="O80" s="8">
        <f>IFERROR(__xludf.DUMMYFUNCTION("""COMPUTED_VALUE"""),0.453730272596843)</f>
        <v>0.4537302726</v>
      </c>
      <c r="P80" s="8">
        <f>IFERROR(__xludf.DUMMYFUNCTION("""COMPUTED_VALUE"""),0.407770515613652)</f>
        <v>0.4077705156</v>
      </c>
      <c r="Q80" s="8">
        <f>IFERROR(__xludf.DUMMYFUNCTION("""COMPUTED_VALUE"""),0.304589193190229)</f>
        <v>0.3045891932</v>
      </c>
      <c r="R80" s="8">
        <f>IFERROR(__xludf.DUMMYFUNCTION("""COMPUTED_VALUE"""),0.188141923436041)</f>
        <v>0.1881419234</v>
      </c>
      <c r="S80" s="8">
        <f>IFERROR(__xludf.DUMMYFUNCTION("""COMPUTED_VALUE"""),0.159654178674351)</f>
        <v>0.1596541787</v>
      </c>
      <c r="T80" s="8">
        <f>IFERROR(__xludf.DUMMYFUNCTION("""COMPUTED_VALUE"""),0.135886349598517)</f>
        <v>0.1358863496</v>
      </c>
      <c r="U80" s="8">
        <f>IFERROR(__xludf.DUMMYFUNCTION("""COMPUTED_VALUE"""),0.120351588911426)</f>
        <v>0.1203515889</v>
      </c>
      <c r="V80" s="8">
        <f>IFERROR(__xludf.DUMMYFUNCTION("""COMPUTED_VALUE"""),0.103671706263498)</f>
        <v>0.1036717063</v>
      </c>
      <c r="W80" s="8">
        <f>IFERROR(__xludf.DUMMYFUNCTION("""COMPUTED_VALUE"""),0.0464743589743589)</f>
        <v>0.04647435897</v>
      </c>
      <c r="X80" s="8">
        <f>IFERROR(__xludf.DUMMYFUNCTION("""COMPUTED_VALUE"""),0.0)</f>
        <v>0</v>
      </c>
      <c r="Y80" s="8">
        <f>IFERROR(__xludf.DUMMYFUNCTION("""COMPUTED_VALUE"""),0.0)</f>
        <v>0</v>
      </c>
      <c r="Z80" s="8">
        <f>IFERROR(__xludf.DUMMYFUNCTION("""COMPUTED_VALUE"""),0.0)</f>
        <v>0</v>
      </c>
      <c r="AA80" s="8">
        <f>IFERROR(__xludf.DUMMYFUNCTION("""COMPUTED_VALUE"""),0.0)</f>
        <v>0</v>
      </c>
      <c r="AB80" s="8">
        <f>IFERROR(__xludf.DUMMYFUNCTION("""COMPUTED_VALUE"""),0.0)</f>
        <v>0</v>
      </c>
      <c r="AC80" s="8">
        <f>IFERROR(__xludf.DUMMYFUNCTION("""COMPUTED_VALUE"""),0.0)</f>
        <v>0</v>
      </c>
    </row>
    <row r="81" ht="15.75" customHeight="1">
      <c r="A81" s="6" t="str">
        <f>IFERROR(__xludf.DUMMYFUNCTION("""COMPUTED_VALUE"""),"44c616c59b6b2cd7fcb80263ece968b250ad9dbe")</f>
        <v>44c616c59b6b2cd7fcb80263ece968b250ad9dbe</v>
      </c>
      <c r="B81" s="6" t="str">
        <f>IFERROR(__xludf.DUMMYFUNCTION("""COMPUTED_VALUE"""),"Supreme Miracle Doctor")</f>
        <v>Supreme Miracle Doctor</v>
      </c>
      <c r="C81" s="6" t="str">
        <f>IFERROR(__xludf.DUMMYFUNCTION("""COMPUTED_VALUE"""),"Drama")</f>
        <v>Drama</v>
      </c>
      <c r="D81" s="11">
        <f>IFERROR(__xludf.DUMMYFUNCTION("""COMPUTED_VALUE"""),225.0)</f>
        <v>225</v>
      </c>
      <c r="E81" s="8">
        <f>IFERROR(__xludf.DUMMYFUNCTION("""COMPUTED_VALUE"""),0.986666666666666)</f>
        <v>0.9866666667</v>
      </c>
      <c r="F81" s="8">
        <f>IFERROR(__xludf.DUMMYFUNCTION("""COMPUTED_VALUE"""),0.6)</f>
        <v>0.6</v>
      </c>
      <c r="G81" s="8">
        <f>IFERROR(__xludf.DUMMYFUNCTION("""COMPUTED_VALUE"""),0.524444444444444)</f>
        <v>0.5244444444</v>
      </c>
      <c r="H81" s="8">
        <f>IFERROR(__xludf.DUMMYFUNCTION("""COMPUTED_VALUE"""),0.472636815920398)</f>
        <v>0.4726368159</v>
      </c>
      <c r="I81" s="8">
        <f>IFERROR(__xludf.DUMMYFUNCTION("""COMPUTED_VALUE"""),0.417525773195876)</f>
        <v>0.4175257732</v>
      </c>
      <c r="J81" s="8">
        <f>IFERROR(__xludf.DUMMYFUNCTION("""COMPUTED_VALUE"""),0.365714285714285)</f>
        <v>0.3657142857</v>
      </c>
      <c r="K81" s="8">
        <f>IFERROR(__xludf.DUMMYFUNCTION("""COMPUTED_VALUE"""),0.331288343558282)</f>
        <v>0.3312883436</v>
      </c>
      <c r="L81" s="8">
        <f>IFERROR(__xludf.DUMMYFUNCTION("""COMPUTED_VALUE"""),0.336)</f>
        <v>0.336</v>
      </c>
      <c r="M81" s="8">
        <f>IFERROR(__xludf.DUMMYFUNCTION("""COMPUTED_VALUE"""),0.318181818181818)</f>
        <v>0.3181818182</v>
      </c>
      <c r="N81" s="8">
        <f>IFERROR(__xludf.DUMMYFUNCTION("""COMPUTED_VALUE"""),0.319148936170212)</f>
        <v>0.3191489362</v>
      </c>
      <c r="O81" s="8">
        <f>IFERROR(__xludf.DUMMYFUNCTION("""COMPUTED_VALUE"""),0.266666666666666)</f>
        <v>0.2666666667</v>
      </c>
      <c r="P81" s="8">
        <f>IFERROR(__xludf.DUMMYFUNCTION("""COMPUTED_VALUE"""),0.222222222222222)</f>
        <v>0.2222222222</v>
      </c>
      <c r="Q81" s="8">
        <f>IFERROR(__xludf.DUMMYFUNCTION("""COMPUTED_VALUE"""),0.0)</f>
        <v>0</v>
      </c>
      <c r="R81" s="8">
        <f>IFERROR(__xludf.DUMMYFUNCTION("""COMPUTED_VALUE"""),0.0)</f>
        <v>0</v>
      </c>
      <c r="S81" s="8">
        <f>IFERROR(__xludf.DUMMYFUNCTION("""COMPUTED_VALUE"""),0.0)</f>
        <v>0</v>
      </c>
      <c r="T81" s="8">
        <f>IFERROR(__xludf.DUMMYFUNCTION("""COMPUTED_VALUE"""),0.0)</f>
        <v>0</v>
      </c>
      <c r="U81" s="8">
        <f>IFERROR(__xludf.DUMMYFUNCTION("""COMPUTED_VALUE"""),0.0)</f>
        <v>0</v>
      </c>
      <c r="V81" s="8">
        <f>IFERROR(__xludf.DUMMYFUNCTION("""COMPUTED_VALUE"""),0.0)</f>
        <v>0</v>
      </c>
      <c r="W81" s="8">
        <f>IFERROR(__xludf.DUMMYFUNCTION("""COMPUTED_VALUE"""),0.0)</f>
        <v>0</v>
      </c>
      <c r="X81" s="8">
        <f>IFERROR(__xludf.DUMMYFUNCTION("""COMPUTED_VALUE"""),0.0)</f>
        <v>0</v>
      </c>
      <c r="Y81" s="8">
        <f>IFERROR(__xludf.DUMMYFUNCTION("""COMPUTED_VALUE"""),0.0)</f>
        <v>0</v>
      </c>
      <c r="Z81" s="8">
        <f>IFERROR(__xludf.DUMMYFUNCTION("""COMPUTED_VALUE"""),0.0)</f>
        <v>0</v>
      </c>
      <c r="AA81" s="8">
        <f>IFERROR(__xludf.DUMMYFUNCTION("""COMPUTED_VALUE"""),0.0)</f>
        <v>0</v>
      </c>
      <c r="AB81" s="8">
        <f>IFERROR(__xludf.DUMMYFUNCTION("""COMPUTED_VALUE"""),0.0)</f>
        <v>0</v>
      </c>
      <c r="AC81" s="8">
        <f>IFERROR(__xludf.DUMMYFUNCTION("""COMPUTED_VALUE"""),0.0)</f>
        <v>0</v>
      </c>
    </row>
    <row r="82" ht="15.75" customHeight="1">
      <c r="A82" s="6" t="str">
        <f>IFERROR(__xludf.DUMMYFUNCTION("""COMPUTED_VALUE"""),"44f5a6fb4876567a5eec3722df1d0a3d436d8bdf")</f>
        <v>44f5a6fb4876567a5eec3722df1d0a3d436d8bdf</v>
      </c>
      <c r="B82" s="6" t="str">
        <f>IFERROR(__xludf.DUMMYFUNCTION("""COMPUTED_VALUE"""),"Alpha Kyros")</f>
        <v>Alpha Kyros</v>
      </c>
      <c r="C82" s="6" t="str">
        <f>IFERROR(__xludf.DUMMYFUNCTION("""COMPUTED_VALUE"""),"Romantasy")</f>
        <v>Romantasy</v>
      </c>
      <c r="D82" s="11">
        <f>IFERROR(__xludf.DUMMYFUNCTION("""COMPUTED_VALUE"""),469.0)</f>
        <v>469</v>
      </c>
      <c r="E82" s="8">
        <f>IFERROR(__xludf.DUMMYFUNCTION("""COMPUTED_VALUE"""),0.985074626865671)</f>
        <v>0.9850746269</v>
      </c>
      <c r="F82" s="8">
        <f>IFERROR(__xludf.DUMMYFUNCTION("""COMPUTED_VALUE"""),0.622601279317697)</f>
        <v>0.6226012793</v>
      </c>
      <c r="G82" s="8">
        <f>IFERROR(__xludf.DUMMYFUNCTION("""COMPUTED_VALUE"""),0.588486140724946)</f>
        <v>0.5884861407</v>
      </c>
      <c r="H82" s="8">
        <f>IFERROR(__xludf.DUMMYFUNCTION("""COMPUTED_VALUE"""),0.559829059829059)</f>
        <v>0.5598290598</v>
      </c>
      <c r="I82" s="8">
        <f>IFERROR(__xludf.DUMMYFUNCTION("""COMPUTED_VALUE"""),0.538461538461538)</f>
        <v>0.5384615385</v>
      </c>
      <c r="J82" s="8">
        <f>IFERROR(__xludf.DUMMYFUNCTION("""COMPUTED_VALUE"""),0.525641025641025)</f>
        <v>0.5256410256</v>
      </c>
      <c r="K82" s="8">
        <f>IFERROR(__xludf.DUMMYFUNCTION("""COMPUTED_VALUE"""),0.521367521367521)</f>
        <v>0.5213675214</v>
      </c>
      <c r="L82" s="8">
        <f>IFERROR(__xludf.DUMMYFUNCTION("""COMPUTED_VALUE"""),0.506410256410256)</f>
        <v>0.5064102564</v>
      </c>
      <c r="M82" s="8">
        <f>IFERROR(__xludf.DUMMYFUNCTION("""COMPUTED_VALUE"""),0.49678800856531)</f>
        <v>0.4967880086</v>
      </c>
      <c r="N82" s="8">
        <f>IFERROR(__xludf.DUMMYFUNCTION("""COMPUTED_VALUE"""),0.471092077087794)</f>
        <v>0.4710920771</v>
      </c>
      <c r="O82" s="8">
        <f>IFERROR(__xludf.DUMMYFUNCTION("""COMPUTED_VALUE"""),0.407327586206896)</f>
        <v>0.4073275862</v>
      </c>
      <c r="P82" s="8">
        <f>IFERROR(__xludf.DUMMYFUNCTION("""COMPUTED_VALUE"""),0.326781326781326)</f>
        <v>0.3267813268</v>
      </c>
      <c r="Q82" s="8">
        <f>IFERROR(__xludf.DUMMYFUNCTION("""COMPUTED_VALUE"""),0.2)</f>
        <v>0.2</v>
      </c>
      <c r="R82" s="8">
        <f>IFERROR(__xludf.DUMMYFUNCTION("""COMPUTED_VALUE"""),0.05)</f>
        <v>0.05</v>
      </c>
      <c r="S82" s="8">
        <f>IFERROR(__xludf.DUMMYFUNCTION("""COMPUTED_VALUE"""),0.0)</f>
        <v>0</v>
      </c>
      <c r="T82" s="8">
        <f>IFERROR(__xludf.DUMMYFUNCTION("""COMPUTED_VALUE"""),0.0)</f>
        <v>0</v>
      </c>
      <c r="U82" s="8">
        <f>IFERROR(__xludf.DUMMYFUNCTION("""COMPUTED_VALUE"""),0.0)</f>
        <v>0</v>
      </c>
      <c r="V82" s="8">
        <f>IFERROR(__xludf.DUMMYFUNCTION("""COMPUTED_VALUE"""),0.0)</f>
        <v>0</v>
      </c>
      <c r="W82" s="8">
        <f>IFERROR(__xludf.DUMMYFUNCTION("""COMPUTED_VALUE"""),0.0)</f>
        <v>0</v>
      </c>
      <c r="X82" s="8">
        <f>IFERROR(__xludf.DUMMYFUNCTION("""COMPUTED_VALUE"""),0.0)</f>
        <v>0</v>
      </c>
      <c r="Y82" s="8">
        <f>IFERROR(__xludf.DUMMYFUNCTION("""COMPUTED_VALUE"""),0.0)</f>
        <v>0</v>
      </c>
      <c r="Z82" s="8">
        <f>IFERROR(__xludf.DUMMYFUNCTION("""COMPUTED_VALUE"""),0.0)</f>
        <v>0</v>
      </c>
      <c r="AA82" s="8">
        <f>IFERROR(__xludf.DUMMYFUNCTION("""COMPUTED_VALUE"""),0.0)</f>
        <v>0</v>
      </c>
      <c r="AB82" s="8">
        <f>IFERROR(__xludf.DUMMYFUNCTION("""COMPUTED_VALUE"""),0.0)</f>
        <v>0</v>
      </c>
      <c r="AC82" s="8">
        <f>IFERROR(__xludf.DUMMYFUNCTION("""COMPUTED_VALUE"""),0.0)</f>
        <v>0</v>
      </c>
    </row>
    <row r="83" ht="15.75" customHeight="1">
      <c r="A83" s="6" t="str">
        <f>IFERROR(__xludf.DUMMYFUNCTION("""COMPUTED_VALUE"""),"462b561ac0c6d238fc5ed6d8ce632a9e6a2152d9")</f>
        <v>462b561ac0c6d238fc5ed6d8ce632a9e6a2152d9</v>
      </c>
      <c r="B83" s="6" t="str">
        <f>IFERROR(__xludf.DUMMYFUNCTION("""COMPUTED_VALUE"""),"My Billionaire System")</f>
        <v>My Billionaire System</v>
      </c>
      <c r="C83" s="6" t="str">
        <f>IFERROR(__xludf.DUMMYFUNCTION("""COMPUTED_VALUE"""),"System and Superpower")</f>
        <v>System and Superpower</v>
      </c>
      <c r="D83" s="11">
        <f>IFERROR(__xludf.DUMMYFUNCTION("""COMPUTED_VALUE"""),652.0)</f>
        <v>652</v>
      </c>
      <c r="E83" s="8">
        <f>IFERROR(__xludf.DUMMYFUNCTION("""COMPUTED_VALUE"""),0.989263803680981)</f>
        <v>0.9892638037</v>
      </c>
      <c r="F83" s="8">
        <f>IFERROR(__xludf.DUMMYFUNCTION("""COMPUTED_VALUE"""),0.641104294478527)</f>
        <v>0.6411042945</v>
      </c>
      <c r="G83" s="8">
        <f>IFERROR(__xludf.DUMMYFUNCTION("""COMPUTED_VALUE"""),0.535276073619631)</f>
        <v>0.5352760736</v>
      </c>
      <c r="H83" s="8">
        <f>IFERROR(__xludf.DUMMYFUNCTION("""COMPUTED_VALUE"""),0.464506172839506)</f>
        <v>0.4645061728</v>
      </c>
      <c r="I83" s="8">
        <f>IFERROR(__xludf.DUMMYFUNCTION("""COMPUTED_VALUE"""),0.413043478260869)</f>
        <v>0.4130434783</v>
      </c>
      <c r="J83" s="8">
        <f>IFERROR(__xludf.DUMMYFUNCTION("""COMPUTED_VALUE"""),0.375586854460093)</f>
        <v>0.3755868545</v>
      </c>
      <c r="K83" s="8">
        <f>IFERROR(__xludf.DUMMYFUNCTION("""COMPUTED_VALUE"""),0.319620253164556)</f>
        <v>0.3196202532</v>
      </c>
      <c r="L83" s="8">
        <f>IFERROR(__xludf.DUMMYFUNCTION("""COMPUTED_VALUE"""),0.296296296296296)</f>
        <v>0.2962962963</v>
      </c>
      <c r="M83" s="8">
        <f>IFERROR(__xludf.DUMMYFUNCTION("""COMPUTED_VALUE"""),0.276315789473684)</f>
        <v>0.2763157895</v>
      </c>
      <c r="N83" s="8">
        <f>IFERROR(__xludf.DUMMYFUNCTION("""COMPUTED_VALUE"""),0.258503401360544)</f>
        <v>0.2585034014</v>
      </c>
      <c r="O83" s="8">
        <f>IFERROR(__xludf.DUMMYFUNCTION("""COMPUTED_VALUE"""),0.321428571428571)</f>
        <v>0.3214285714</v>
      </c>
      <c r="P83" s="8">
        <f>IFERROR(__xludf.DUMMYFUNCTION("""COMPUTED_VALUE"""),0.375)</f>
        <v>0.375</v>
      </c>
      <c r="Q83" s="8">
        <f>IFERROR(__xludf.DUMMYFUNCTION("""COMPUTED_VALUE"""),0.0)</f>
        <v>0</v>
      </c>
      <c r="R83" s="8">
        <f>IFERROR(__xludf.DUMMYFUNCTION("""COMPUTED_VALUE"""),0.0)</f>
        <v>0</v>
      </c>
      <c r="S83" s="8">
        <f>IFERROR(__xludf.DUMMYFUNCTION("""COMPUTED_VALUE"""),0.0)</f>
        <v>0</v>
      </c>
      <c r="T83" s="8">
        <f>IFERROR(__xludf.DUMMYFUNCTION("""COMPUTED_VALUE"""),0.0)</f>
        <v>0</v>
      </c>
      <c r="U83" s="8">
        <f>IFERROR(__xludf.DUMMYFUNCTION("""COMPUTED_VALUE"""),0.0)</f>
        <v>0</v>
      </c>
      <c r="V83" s="8">
        <f>IFERROR(__xludf.DUMMYFUNCTION("""COMPUTED_VALUE"""),0.0)</f>
        <v>0</v>
      </c>
      <c r="W83" s="8">
        <f>IFERROR(__xludf.DUMMYFUNCTION("""COMPUTED_VALUE"""),0.0)</f>
        <v>0</v>
      </c>
      <c r="X83" s="8">
        <f>IFERROR(__xludf.DUMMYFUNCTION("""COMPUTED_VALUE"""),0.0)</f>
        <v>0</v>
      </c>
      <c r="Y83" s="8">
        <f>IFERROR(__xludf.DUMMYFUNCTION("""COMPUTED_VALUE"""),0.0)</f>
        <v>0</v>
      </c>
      <c r="Z83" s="8">
        <f>IFERROR(__xludf.DUMMYFUNCTION("""COMPUTED_VALUE"""),0.0)</f>
        <v>0</v>
      </c>
      <c r="AA83" s="8">
        <f>IFERROR(__xludf.DUMMYFUNCTION("""COMPUTED_VALUE"""),0.0)</f>
        <v>0</v>
      </c>
      <c r="AB83" s="8">
        <f>IFERROR(__xludf.DUMMYFUNCTION("""COMPUTED_VALUE"""),0.0)</f>
        <v>0</v>
      </c>
      <c r="AC83" s="8">
        <f>IFERROR(__xludf.DUMMYFUNCTION("""COMPUTED_VALUE"""),0.0)</f>
        <v>0</v>
      </c>
    </row>
    <row r="84" ht="15.75" customHeight="1">
      <c r="A84" s="6" t="str">
        <f>IFERROR(__xludf.DUMMYFUNCTION("""COMPUTED_VALUE"""),"46b27558432dbda1475a912729ae1e1dee8ac6fa")</f>
        <v>46b27558432dbda1475a912729ae1e1dee8ac6fa</v>
      </c>
      <c r="B84" s="6" t="str">
        <f>IFERROR(__xludf.DUMMYFUNCTION("""COMPUTED_VALUE"""),"Secrets of Thunder Eyes ")</f>
        <v>Secrets of Thunder Eyes </v>
      </c>
      <c r="C84" s="6" t="str">
        <f>IFERROR(__xludf.DUMMYFUNCTION("""COMPUTED_VALUE"""),"Fantasy")</f>
        <v>Fantasy</v>
      </c>
      <c r="D84" s="11">
        <f>IFERROR(__xludf.DUMMYFUNCTION("""COMPUTED_VALUE"""),270.0)</f>
        <v>270</v>
      </c>
      <c r="E84" s="8">
        <f>IFERROR(__xludf.DUMMYFUNCTION("""COMPUTED_VALUE"""),0.992592592592592)</f>
        <v>0.9925925926</v>
      </c>
      <c r="F84" s="8">
        <f>IFERROR(__xludf.DUMMYFUNCTION("""COMPUTED_VALUE"""),0.314814814814814)</f>
        <v>0.3148148148</v>
      </c>
      <c r="G84" s="8">
        <f>IFERROR(__xludf.DUMMYFUNCTION("""COMPUTED_VALUE"""),0.214814814814814)</f>
        <v>0.2148148148</v>
      </c>
      <c r="H84" s="8">
        <f>IFERROR(__xludf.DUMMYFUNCTION("""COMPUTED_VALUE"""),0.191235059760956)</f>
        <v>0.1912350598</v>
      </c>
      <c r="I84" s="8">
        <f>IFERROR(__xludf.DUMMYFUNCTION("""COMPUTED_VALUE"""),0.16260162601626)</f>
        <v>0.162601626</v>
      </c>
      <c r="J84" s="8">
        <f>IFERROR(__xludf.DUMMYFUNCTION("""COMPUTED_VALUE"""),0.144067796610169)</f>
        <v>0.1440677966</v>
      </c>
      <c r="K84" s="8">
        <f>IFERROR(__xludf.DUMMYFUNCTION("""COMPUTED_VALUE"""),0.11353711790393)</f>
        <v>0.1135371179</v>
      </c>
      <c r="L84" s="8">
        <f>IFERROR(__xludf.DUMMYFUNCTION("""COMPUTED_VALUE"""),0.0980392156862745)</f>
        <v>0.09803921569</v>
      </c>
      <c r="M84" s="8">
        <f>IFERROR(__xludf.DUMMYFUNCTION("""COMPUTED_VALUE"""),0.0989583333333333)</f>
        <v>0.09895833333</v>
      </c>
      <c r="N84" s="8">
        <f>IFERROR(__xludf.DUMMYFUNCTION("""COMPUTED_VALUE"""),0.0878378378378378)</f>
        <v>0.08783783784</v>
      </c>
      <c r="O84" s="8">
        <f>IFERROR(__xludf.DUMMYFUNCTION("""COMPUTED_VALUE"""),0.081081081081081)</f>
        <v>0.08108108108</v>
      </c>
      <c r="P84" s="8">
        <f>IFERROR(__xludf.DUMMYFUNCTION("""COMPUTED_VALUE"""),0.0833333333333333)</f>
        <v>0.08333333333</v>
      </c>
      <c r="Q84" s="8">
        <f>IFERROR(__xludf.DUMMYFUNCTION("""COMPUTED_VALUE"""),0.0571428571428571)</f>
        <v>0.05714285714</v>
      </c>
      <c r="R84" s="8">
        <f>IFERROR(__xludf.DUMMYFUNCTION("""COMPUTED_VALUE"""),0.0294117647058823)</f>
        <v>0.02941176471</v>
      </c>
      <c r="S84" s="8">
        <f>IFERROR(__xludf.DUMMYFUNCTION("""COMPUTED_VALUE"""),0.0294117647058823)</f>
        <v>0.02941176471</v>
      </c>
      <c r="T84" s="8">
        <f>IFERROR(__xludf.DUMMYFUNCTION("""COMPUTED_VALUE"""),0.03125)</f>
        <v>0.03125</v>
      </c>
      <c r="U84" s="8">
        <f>IFERROR(__xludf.DUMMYFUNCTION("""COMPUTED_VALUE"""),0.0357142857142857)</f>
        <v>0.03571428571</v>
      </c>
      <c r="V84" s="8">
        <f>IFERROR(__xludf.DUMMYFUNCTION("""COMPUTED_VALUE"""),0.0)</f>
        <v>0</v>
      </c>
      <c r="W84" s="8">
        <f>IFERROR(__xludf.DUMMYFUNCTION("""COMPUTED_VALUE"""),0.0)</f>
        <v>0</v>
      </c>
      <c r="X84" s="8">
        <f>IFERROR(__xludf.DUMMYFUNCTION("""COMPUTED_VALUE"""),0.0)</f>
        <v>0</v>
      </c>
      <c r="Y84" s="8">
        <f>IFERROR(__xludf.DUMMYFUNCTION("""COMPUTED_VALUE"""),0.0)</f>
        <v>0</v>
      </c>
      <c r="Z84" s="8">
        <f>IFERROR(__xludf.DUMMYFUNCTION("""COMPUTED_VALUE"""),0.0)</f>
        <v>0</v>
      </c>
      <c r="AA84" s="8">
        <f>IFERROR(__xludf.DUMMYFUNCTION("""COMPUTED_VALUE"""),0.0)</f>
        <v>0</v>
      </c>
      <c r="AB84" s="8">
        <f>IFERROR(__xludf.DUMMYFUNCTION("""COMPUTED_VALUE"""),0.0)</f>
        <v>0</v>
      </c>
      <c r="AC84" s="8">
        <f>IFERROR(__xludf.DUMMYFUNCTION("""COMPUTED_VALUE"""),0.0)</f>
        <v>0</v>
      </c>
    </row>
    <row r="85" ht="15.75" customHeight="1">
      <c r="A85" s="6" t="str">
        <f>IFERROR(__xludf.DUMMYFUNCTION("""COMPUTED_VALUE"""),"48b422f2dbf0dc909fde9fadad832fde3d20f4a4")</f>
        <v>48b422f2dbf0dc909fde9fadad832fde3d20f4a4</v>
      </c>
      <c r="B85" s="6" t="str">
        <f>IFERROR(__xludf.DUMMYFUNCTION("""COMPUTED_VALUE"""),"Bride of the Ice Ceo")</f>
        <v>Bride of the Ice Ceo</v>
      </c>
      <c r="C85" s="6" t="str">
        <f>IFERROR(__xludf.DUMMYFUNCTION("""COMPUTED_VALUE"""),"Romance")</f>
        <v>Romance</v>
      </c>
      <c r="D85" s="11">
        <f>IFERROR(__xludf.DUMMYFUNCTION("""COMPUTED_VALUE"""),82.0)</f>
        <v>82</v>
      </c>
      <c r="E85" s="8">
        <f>IFERROR(__xludf.DUMMYFUNCTION("""COMPUTED_VALUE"""),0.975609756097561)</f>
        <v>0.9756097561</v>
      </c>
      <c r="F85" s="8">
        <f>IFERROR(__xludf.DUMMYFUNCTION("""COMPUTED_VALUE"""),0.670731707317073)</f>
        <v>0.6707317073</v>
      </c>
      <c r="G85" s="8">
        <f>IFERROR(__xludf.DUMMYFUNCTION("""COMPUTED_VALUE"""),0.634146341463414)</f>
        <v>0.6341463415</v>
      </c>
      <c r="H85" s="8">
        <f>IFERROR(__xludf.DUMMYFUNCTION("""COMPUTED_VALUE"""),0.597560975609756)</f>
        <v>0.5975609756</v>
      </c>
      <c r="I85" s="8">
        <f>IFERROR(__xludf.DUMMYFUNCTION("""COMPUTED_VALUE"""),0.548780487804878)</f>
        <v>0.5487804878</v>
      </c>
      <c r="J85" s="8">
        <f>IFERROR(__xludf.DUMMYFUNCTION("""COMPUTED_VALUE"""),0.536585365853658)</f>
        <v>0.5365853659</v>
      </c>
      <c r="K85" s="8">
        <f>IFERROR(__xludf.DUMMYFUNCTION("""COMPUTED_VALUE"""),0.5)</f>
        <v>0.5</v>
      </c>
      <c r="L85" s="8">
        <f>IFERROR(__xludf.DUMMYFUNCTION("""COMPUTED_VALUE"""),0.5)</f>
        <v>0.5</v>
      </c>
      <c r="M85" s="8">
        <f>IFERROR(__xludf.DUMMYFUNCTION("""COMPUTED_VALUE"""),0.47560975609756)</f>
        <v>0.4756097561</v>
      </c>
      <c r="N85" s="8">
        <f>IFERROR(__xludf.DUMMYFUNCTION("""COMPUTED_VALUE"""),0.47560975609756)</f>
        <v>0.4756097561</v>
      </c>
      <c r="O85" s="8">
        <f>IFERROR(__xludf.DUMMYFUNCTION("""COMPUTED_VALUE"""),0.341463414634146)</f>
        <v>0.3414634146</v>
      </c>
      <c r="P85" s="8">
        <f>IFERROR(__xludf.DUMMYFUNCTION("""COMPUTED_VALUE"""),0.2375)</f>
        <v>0.2375</v>
      </c>
      <c r="Q85" s="8">
        <f>IFERROR(__xludf.DUMMYFUNCTION("""COMPUTED_VALUE"""),0.125)</f>
        <v>0.125</v>
      </c>
      <c r="R85" s="8">
        <f>IFERROR(__xludf.DUMMYFUNCTION("""COMPUTED_VALUE"""),0.0985915492957746)</f>
        <v>0.0985915493</v>
      </c>
      <c r="S85" s="8">
        <f>IFERROR(__xludf.DUMMYFUNCTION("""COMPUTED_VALUE"""),0.0)</f>
        <v>0</v>
      </c>
      <c r="T85" s="8">
        <f>IFERROR(__xludf.DUMMYFUNCTION("""COMPUTED_VALUE"""),0.0)</f>
        <v>0</v>
      </c>
      <c r="U85" s="8">
        <f>IFERROR(__xludf.DUMMYFUNCTION("""COMPUTED_VALUE"""),0.0)</f>
        <v>0</v>
      </c>
      <c r="V85" s="8">
        <f>IFERROR(__xludf.DUMMYFUNCTION("""COMPUTED_VALUE"""),0.0)</f>
        <v>0</v>
      </c>
      <c r="W85" s="8">
        <f>IFERROR(__xludf.DUMMYFUNCTION("""COMPUTED_VALUE"""),0.0)</f>
        <v>0</v>
      </c>
      <c r="X85" s="8">
        <f>IFERROR(__xludf.DUMMYFUNCTION("""COMPUTED_VALUE"""),0.0)</f>
        <v>0</v>
      </c>
      <c r="Y85" s="8">
        <f>IFERROR(__xludf.DUMMYFUNCTION("""COMPUTED_VALUE"""),0.0)</f>
        <v>0</v>
      </c>
      <c r="Z85" s="8">
        <f>IFERROR(__xludf.DUMMYFUNCTION("""COMPUTED_VALUE"""),0.0)</f>
        <v>0</v>
      </c>
      <c r="AA85" s="8">
        <f>IFERROR(__xludf.DUMMYFUNCTION("""COMPUTED_VALUE"""),0.0)</f>
        <v>0</v>
      </c>
      <c r="AB85" s="8">
        <f>IFERROR(__xludf.DUMMYFUNCTION("""COMPUTED_VALUE"""),0.0)</f>
        <v>0</v>
      </c>
      <c r="AC85" s="8">
        <f>IFERROR(__xludf.DUMMYFUNCTION("""COMPUTED_VALUE"""),0.0)</f>
        <v>0</v>
      </c>
    </row>
    <row r="86" ht="15.75" customHeight="1">
      <c r="A86" s="6" t="str">
        <f>IFERROR(__xludf.DUMMYFUNCTION("""COMPUTED_VALUE"""),"4a310051c4c56c2fab46c3a7f528a09901399ecd")</f>
        <v>4a310051c4c56c2fab46c3a7f528a09901399ecd</v>
      </c>
      <c r="B86" s="6" t="str">
        <f>IFERROR(__xludf.DUMMYFUNCTION("""COMPUTED_VALUE"""),"Strongest Warlock ")</f>
        <v>Strongest Warlock </v>
      </c>
      <c r="C86" s="6" t="str">
        <f>IFERROR(__xludf.DUMMYFUNCTION("""COMPUTED_VALUE"""),"Fantasy")</f>
        <v>Fantasy</v>
      </c>
      <c r="D86" s="11">
        <f>IFERROR(__xludf.DUMMYFUNCTION("""COMPUTED_VALUE"""),29146.0)</f>
        <v>29146</v>
      </c>
      <c r="E86" s="8">
        <f>IFERROR(__xludf.DUMMYFUNCTION("""COMPUTED_VALUE"""),0.951176833870857)</f>
        <v>0.9511768339</v>
      </c>
      <c r="F86" s="8">
        <f>IFERROR(__xludf.DUMMYFUNCTION("""COMPUTED_VALUE"""),0.586461263981335)</f>
        <v>0.586461264</v>
      </c>
      <c r="G86" s="8">
        <f>IFERROR(__xludf.DUMMYFUNCTION("""COMPUTED_VALUE"""),0.539490839223221)</f>
        <v>0.5394908392</v>
      </c>
      <c r="H86" s="8">
        <f>IFERROR(__xludf.DUMMYFUNCTION("""COMPUTED_VALUE"""),0.509903713892709)</f>
        <v>0.5099037139</v>
      </c>
      <c r="I86" s="8">
        <f>IFERROR(__xludf.DUMMYFUNCTION("""COMPUTED_VALUE"""),0.490754450604318)</f>
        <v>0.4907544506</v>
      </c>
      <c r="J86" s="8">
        <f>IFERROR(__xludf.DUMMYFUNCTION("""COMPUTED_VALUE"""),0.47547378231903)</f>
        <v>0.4754737823</v>
      </c>
      <c r="K86" s="8">
        <f>IFERROR(__xludf.DUMMYFUNCTION("""COMPUTED_VALUE"""),0.460136910524132)</f>
        <v>0.4601369105</v>
      </c>
      <c r="L86" s="8">
        <f>IFERROR(__xludf.DUMMYFUNCTION("""COMPUTED_VALUE"""),0.451738255499271)</f>
        <v>0.4517382555</v>
      </c>
      <c r="M86" s="8">
        <f>IFERROR(__xludf.DUMMYFUNCTION("""COMPUTED_VALUE"""),0.443436239744124)</f>
        <v>0.4434362397</v>
      </c>
      <c r="N86" s="8">
        <f>IFERROR(__xludf.DUMMYFUNCTION("""COMPUTED_VALUE"""),0.434884126154382)</f>
        <v>0.4348841262</v>
      </c>
      <c r="O86" s="8">
        <f>IFERROR(__xludf.DUMMYFUNCTION("""COMPUTED_VALUE"""),0.405320758700777)</f>
        <v>0.4053207587</v>
      </c>
      <c r="P86" s="8">
        <f>IFERROR(__xludf.DUMMYFUNCTION("""COMPUTED_VALUE"""),0.364637929190287)</f>
        <v>0.3646379292</v>
      </c>
      <c r="Q86" s="8">
        <f>IFERROR(__xludf.DUMMYFUNCTION("""COMPUTED_VALUE"""),0.300927453352395)</f>
        <v>0.3009274534</v>
      </c>
      <c r="R86" s="8">
        <f>IFERROR(__xludf.DUMMYFUNCTION("""COMPUTED_VALUE"""),0.262539623345142)</f>
        <v>0.2625396233</v>
      </c>
      <c r="S86" s="8">
        <f>IFERROR(__xludf.DUMMYFUNCTION("""COMPUTED_VALUE"""),0.229568168960965)</f>
        <v>0.229568169</v>
      </c>
      <c r="T86" s="8">
        <f>IFERROR(__xludf.DUMMYFUNCTION("""COMPUTED_VALUE"""),0.207535633765141)</f>
        <v>0.2075356338</v>
      </c>
      <c r="U86" s="8">
        <f>IFERROR(__xludf.DUMMYFUNCTION("""COMPUTED_VALUE"""),0.19082377476538)</f>
        <v>0.1908237748</v>
      </c>
      <c r="V86" s="8">
        <f>IFERROR(__xludf.DUMMYFUNCTION("""COMPUTED_VALUE"""),0.178313064560278)</f>
        <v>0.1783130646</v>
      </c>
      <c r="W86" s="8">
        <f>IFERROR(__xludf.DUMMYFUNCTION("""COMPUTED_VALUE"""),0.167054829668811)</f>
        <v>0.1670548297</v>
      </c>
      <c r="X86" s="8">
        <f>IFERROR(__xludf.DUMMYFUNCTION("""COMPUTED_VALUE"""),0.145093028826958)</f>
        <v>0.1450930288</v>
      </c>
      <c r="Y86" s="8">
        <f>IFERROR(__xludf.DUMMYFUNCTION("""COMPUTED_VALUE"""),0.109485491343574)</f>
        <v>0.1094854913</v>
      </c>
      <c r="Z86" s="8">
        <f>IFERROR(__xludf.DUMMYFUNCTION("""COMPUTED_VALUE"""),0.0126188203063384)</f>
        <v>0.01261882031</v>
      </c>
      <c r="AA86" s="8">
        <f>IFERROR(__xludf.DUMMYFUNCTION("""COMPUTED_VALUE"""),0.0)</f>
        <v>0</v>
      </c>
      <c r="AB86" s="8">
        <f>IFERROR(__xludf.DUMMYFUNCTION("""COMPUTED_VALUE"""),0.0)</f>
        <v>0</v>
      </c>
      <c r="AC86" s="8">
        <f>IFERROR(__xludf.DUMMYFUNCTION("""COMPUTED_VALUE"""),0.0)</f>
        <v>0</v>
      </c>
    </row>
    <row r="87" ht="15.75" customHeight="1">
      <c r="A87" s="6" t="str">
        <f>IFERROR(__xludf.DUMMYFUNCTION("""COMPUTED_VALUE"""),"4b2d918a2f639175cf29754151e058356b36f273")</f>
        <v>4b2d918a2f639175cf29754151e058356b36f273</v>
      </c>
      <c r="B87" s="6" t="str">
        <f>IFERROR(__xludf.DUMMYFUNCTION("""COMPUTED_VALUE"""),"Surviving Zombies Rising")</f>
        <v>Surviving Zombies Rising</v>
      </c>
      <c r="C87" s="6" t="str">
        <f>IFERROR(__xludf.DUMMYFUNCTION("""COMPUTED_VALUE"""),"Sci-Fi")</f>
        <v>Sci-Fi</v>
      </c>
      <c r="D87" s="11">
        <f>IFERROR(__xludf.DUMMYFUNCTION("""COMPUTED_VALUE"""),153.0)</f>
        <v>153</v>
      </c>
      <c r="E87" s="8">
        <f>IFERROR(__xludf.DUMMYFUNCTION("""COMPUTED_VALUE"""),0.986928104575163)</f>
        <v>0.9869281046</v>
      </c>
      <c r="F87" s="8">
        <f>IFERROR(__xludf.DUMMYFUNCTION("""COMPUTED_VALUE"""),0.431372549019607)</f>
        <v>0.431372549</v>
      </c>
      <c r="G87" s="8">
        <f>IFERROR(__xludf.DUMMYFUNCTION("""COMPUTED_VALUE"""),0.370860927152317)</f>
        <v>0.3708609272</v>
      </c>
      <c r="H87" s="8">
        <f>IFERROR(__xludf.DUMMYFUNCTION("""COMPUTED_VALUE"""),0.298507462686567)</f>
        <v>0.2985074627</v>
      </c>
      <c r="I87" s="8">
        <f>IFERROR(__xludf.DUMMYFUNCTION("""COMPUTED_VALUE"""),0.278195488721804)</f>
        <v>0.2781954887</v>
      </c>
      <c r="J87" s="8">
        <f>IFERROR(__xludf.DUMMYFUNCTION("""COMPUTED_VALUE"""),0.2734375)</f>
        <v>0.2734375</v>
      </c>
      <c r="K87" s="8">
        <f>IFERROR(__xludf.DUMMYFUNCTION("""COMPUTED_VALUE"""),0.264)</f>
        <v>0.264</v>
      </c>
      <c r="L87" s="8">
        <f>IFERROR(__xludf.DUMMYFUNCTION("""COMPUTED_VALUE"""),0.223140495867768)</f>
        <v>0.2231404959</v>
      </c>
      <c r="M87" s="8">
        <f>IFERROR(__xludf.DUMMYFUNCTION("""COMPUTED_VALUE"""),0.214876033057851)</f>
        <v>0.2148760331</v>
      </c>
      <c r="N87" s="8">
        <f>IFERROR(__xludf.DUMMYFUNCTION("""COMPUTED_VALUE"""),0.211864406779661)</f>
        <v>0.2118644068</v>
      </c>
      <c r="O87" s="8">
        <f>IFERROR(__xludf.DUMMYFUNCTION("""COMPUTED_VALUE"""),0.182608695652173)</f>
        <v>0.1826086957</v>
      </c>
      <c r="P87" s="8">
        <f>IFERROR(__xludf.DUMMYFUNCTION("""COMPUTED_VALUE"""),0.122448979591836)</f>
        <v>0.1224489796</v>
      </c>
      <c r="Q87" s="8">
        <f>IFERROR(__xludf.DUMMYFUNCTION("""COMPUTED_VALUE"""),0.0675675675675675)</f>
        <v>0.06756756757</v>
      </c>
      <c r="R87" s="8">
        <f>IFERROR(__xludf.DUMMYFUNCTION("""COMPUTED_VALUE"""),0.0)</f>
        <v>0</v>
      </c>
      <c r="S87" s="8">
        <f>IFERROR(__xludf.DUMMYFUNCTION("""COMPUTED_VALUE"""),0.0)</f>
        <v>0</v>
      </c>
      <c r="T87" s="8">
        <f>IFERROR(__xludf.DUMMYFUNCTION("""COMPUTED_VALUE"""),0.0)</f>
        <v>0</v>
      </c>
      <c r="U87" s="8">
        <f>IFERROR(__xludf.DUMMYFUNCTION("""COMPUTED_VALUE"""),0.0)</f>
        <v>0</v>
      </c>
      <c r="V87" s="8">
        <f>IFERROR(__xludf.DUMMYFUNCTION("""COMPUTED_VALUE"""),0.0)</f>
        <v>0</v>
      </c>
      <c r="W87" s="8">
        <f>IFERROR(__xludf.DUMMYFUNCTION("""COMPUTED_VALUE"""),0.0)</f>
        <v>0</v>
      </c>
      <c r="X87" s="8">
        <f>IFERROR(__xludf.DUMMYFUNCTION("""COMPUTED_VALUE"""),0.0)</f>
        <v>0</v>
      </c>
      <c r="Y87" s="8">
        <f>IFERROR(__xludf.DUMMYFUNCTION("""COMPUTED_VALUE"""),0.0)</f>
        <v>0</v>
      </c>
      <c r="Z87" s="8">
        <f>IFERROR(__xludf.DUMMYFUNCTION("""COMPUTED_VALUE"""),0.0)</f>
        <v>0</v>
      </c>
      <c r="AA87" s="8">
        <f>IFERROR(__xludf.DUMMYFUNCTION("""COMPUTED_VALUE"""),0.0)</f>
        <v>0</v>
      </c>
      <c r="AB87" s="8">
        <f>IFERROR(__xludf.DUMMYFUNCTION("""COMPUTED_VALUE"""),0.0)</f>
        <v>0</v>
      </c>
      <c r="AC87" s="8">
        <f>IFERROR(__xludf.DUMMYFUNCTION("""COMPUTED_VALUE"""),0.0)</f>
        <v>0</v>
      </c>
    </row>
    <row r="88" ht="15.75" customHeight="1">
      <c r="A88" s="6" t="str">
        <f>IFERROR(__xludf.DUMMYFUNCTION("""COMPUTED_VALUE"""),"4bb85319b3dd3ab4ec654bdd13098e3f37cb3e3b")</f>
        <v>4bb85319b3dd3ab4ec654bdd13098e3f37cb3e3b</v>
      </c>
      <c r="B88" s="6" t="str">
        <f>IFERROR(__xludf.DUMMYFUNCTION("""COMPUTED_VALUE"""),"Shadowed Wealth")</f>
        <v>Shadowed Wealth</v>
      </c>
      <c r="C88" s="6" t="str">
        <f>IFERROR(__xludf.DUMMYFUNCTION("""COMPUTED_VALUE"""),"System and Superpower")</f>
        <v>System and Superpower</v>
      </c>
      <c r="D88" s="11">
        <f>IFERROR(__xludf.DUMMYFUNCTION("""COMPUTED_VALUE"""),140.0)</f>
        <v>140</v>
      </c>
      <c r="E88" s="8">
        <f>IFERROR(__xludf.DUMMYFUNCTION("""COMPUTED_VALUE"""),0.942857142857142)</f>
        <v>0.9428571429</v>
      </c>
      <c r="F88" s="8">
        <f>IFERROR(__xludf.DUMMYFUNCTION("""COMPUTED_VALUE"""),0.742857142857142)</f>
        <v>0.7428571429</v>
      </c>
      <c r="G88" s="8">
        <f>IFERROR(__xludf.DUMMYFUNCTION("""COMPUTED_VALUE"""),0.7)</f>
        <v>0.7</v>
      </c>
      <c r="H88" s="8">
        <f>IFERROR(__xludf.DUMMYFUNCTION("""COMPUTED_VALUE"""),0.635714285714285)</f>
        <v>0.6357142857</v>
      </c>
      <c r="I88" s="8">
        <f>IFERROR(__xludf.DUMMYFUNCTION("""COMPUTED_VALUE"""),0.5)</f>
        <v>0.5</v>
      </c>
      <c r="J88" s="8">
        <f>IFERROR(__xludf.DUMMYFUNCTION("""COMPUTED_VALUE"""),0.431654676258992)</f>
        <v>0.4316546763</v>
      </c>
      <c r="K88" s="8">
        <f>IFERROR(__xludf.DUMMYFUNCTION("""COMPUTED_VALUE"""),0.438848920863309)</f>
        <v>0.4388489209</v>
      </c>
      <c r="L88" s="8">
        <f>IFERROR(__xludf.DUMMYFUNCTION("""COMPUTED_VALUE"""),0.424460431654676)</f>
        <v>0.4244604317</v>
      </c>
      <c r="M88" s="8">
        <f>IFERROR(__xludf.DUMMYFUNCTION("""COMPUTED_VALUE"""),0.424460431654676)</f>
        <v>0.4244604317</v>
      </c>
      <c r="N88" s="8">
        <f>IFERROR(__xludf.DUMMYFUNCTION("""COMPUTED_VALUE"""),0.416058394160583)</f>
        <v>0.4160583942</v>
      </c>
      <c r="O88" s="8">
        <f>IFERROR(__xludf.DUMMYFUNCTION("""COMPUTED_VALUE"""),0.328358208955223)</f>
        <v>0.328358209</v>
      </c>
      <c r="P88" s="8">
        <f>IFERROR(__xludf.DUMMYFUNCTION("""COMPUTED_VALUE"""),0.18796992481203)</f>
        <v>0.1879699248</v>
      </c>
      <c r="Q88" s="8">
        <f>IFERROR(__xludf.DUMMYFUNCTION("""COMPUTED_VALUE"""),0.0526315789473684)</f>
        <v>0.05263157895</v>
      </c>
      <c r="R88" s="8">
        <f>IFERROR(__xludf.DUMMYFUNCTION("""COMPUTED_VALUE"""),0.0)</f>
        <v>0</v>
      </c>
      <c r="S88" s="8">
        <f>IFERROR(__xludf.DUMMYFUNCTION("""COMPUTED_VALUE"""),0.0)</f>
        <v>0</v>
      </c>
      <c r="T88" s="8">
        <f>IFERROR(__xludf.DUMMYFUNCTION("""COMPUTED_VALUE"""),0.0)</f>
        <v>0</v>
      </c>
      <c r="U88" s="8">
        <f>IFERROR(__xludf.DUMMYFUNCTION("""COMPUTED_VALUE"""),0.0)</f>
        <v>0</v>
      </c>
      <c r="V88" s="8">
        <f>IFERROR(__xludf.DUMMYFUNCTION("""COMPUTED_VALUE"""),0.0)</f>
        <v>0</v>
      </c>
      <c r="W88" s="8">
        <f>IFERROR(__xludf.DUMMYFUNCTION("""COMPUTED_VALUE"""),0.0)</f>
        <v>0</v>
      </c>
      <c r="X88" s="8">
        <f>IFERROR(__xludf.DUMMYFUNCTION("""COMPUTED_VALUE"""),0.0)</f>
        <v>0</v>
      </c>
      <c r="Y88" s="8">
        <f>IFERROR(__xludf.DUMMYFUNCTION("""COMPUTED_VALUE"""),0.0)</f>
        <v>0</v>
      </c>
      <c r="Z88" s="8">
        <f>IFERROR(__xludf.DUMMYFUNCTION("""COMPUTED_VALUE"""),0.0)</f>
        <v>0</v>
      </c>
      <c r="AA88" s="8">
        <f>IFERROR(__xludf.DUMMYFUNCTION("""COMPUTED_VALUE"""),0.0)</f>
        <v>0</v>
      </c>
      <c r="AB88" s="8">
        <f>IFERROR(__xludf.DUMMYFUNCTION("""COMPUTED_VALUE"""),0.0)</f>
        <v>0</v>
      </c>
      <c r="AC88" s="8">
        <f>IFERROR(__xludf.DUMMYFUNCTION("""COMPUTED_VALUE"""),0.0)</f>
        <v>0</v>
      </c>
    </row>
    <row r="89" ht="15.75" customHeight="1">
      <c r="A89" s="6" t="str">
        <f>IFERROR(__xludf.DUMMYFUNCTION("""COMPUTED_VALUE"""),"4c43207d3f7885c90d8aaafbb8952de80561f21d")</f>
        <v>4c43207d3f7885c90d8aaafbb8952de80561f21d</v>
      </c>
      <c r="B89" s="6" t="str">
        <f>IFERROR(__xludf.DUMMYFUNCTION("""COMPUTED_VALUE"""),"The Boss &amp; His Fake Wife")</f>
        <v>The Boss &amp; His Fake Wife</v>
      </c>
      <c r="C89" s="6" t="str">
        <f>IFERROR(__xludf.DUMMYFUNCTION("""COMPUTED_VALUE"""),"Romance")</f>
        <v>Romance</v>
      </c>
      <c r="D89" s="11">
        <f>IFERROR(__xludf.DUMMYFUNCTION("""COMPUTED_VALUE"""),8.0)</f>
        <v>8</v>
      </c>
      <c r="E89" s="8">
        <f>IFERROR(__xludf.DUMMYFUNCTION("""COMPUTED_VALUE"""),1.0)</f>
        <v>1</v>
      </c>
      <c r="F89" s="8">
        <f>IFERROR(__xludf.DUMMYFUNCTION("""COMPUTED_VALUE"""),0.75)</f>
        <v>0.75</v>
      </c>
      <c r="G89" s="8">
        <f>IFERROR(__xludf.DUMMYFUNCTION("""COMPUTED_VALUE"""),0.75)</f>
        <v>0.75</v>
      </c>
      <c r="H89" s="8">
        <f>IFERROR(__xludf.DUMMYFUNCTION("""COMPUTED_VALUE"""),0.75)</f>
        <v>0.75</v>
      </c>
      <c r="I89" s="8">
        <f>IFERROR(__xludf.DUMMYFUNCTION("""COMPUTED_VALUE"""),0.75)</f>
        <v>0.75</v>
      </c>
      <c r="J89" s="8">
        <f>IFERROR(__xludf.DUMMYFUNCTION("""COMPUTED_VALUE"""),0.75)</f>
        <v>0.75</v>
      </c>
      <c r="K89" s="8">
        <f>IFERROR(__xludf.DUMMYFUNCTION("""COMPUTED_VALUE"""),0.75)</f>
        <v>0.75</v>
      </c>
      <c r="L89" s="8">
        <f>IFERROR(__xludf.DUMMYFUNCTION("""COMPUTED_VALUE"""),0.75)</f>
        <v>0.75</v>
      </c>
      <c r="M89" s="8">
        <f>IFERROR(__xludf.DUMMYFUNCTION("""COMPUTED_VALUE"""),0.75)</f>
        <v>0.75</v>
      </c>
      <c r="N89" s="8">
        <f>IFERROR(__xludf.DUMMYFUNCTION("""COMPUTED_VALUE"""),0.75)</f>
        <v>0.75</v>
      </c>
      <c r="O89" s="8">
        <f>IFERROR(__xludf.DUMMYFUNCTION("""COMPUTED_VALUE"""),0.5)</f>
        <v>0.5</v>
      </c>
      <c r="P89" s="8">
        <f>IFERROR(__xludf.DUMMYFUNCTION("""COMPUTED_VALUE"""),1.0)</f>
        <v>1</v>
      </c>
      <c r="Q89" s="8">
        <f>IFERROR(__xludf.DUMMYFUNCTION("""COMPUTED_VALUE"""),0.0)</f>
        <v>0</v>
      </c>
      <c r="R89" s="8">
        <f>IFERROR(__xludf.DUMMYFUNCTION("""COMPUTED_VALUE"""),0.0)</f>
        <v>0</v>
      </c>
      <c r="S89" s="8">
        <f>IFERROR(__xludf.DUMMYFUNCTION("""COMPUTED_VALUE"""),0.0)</f>
        <v>0</v>
      </c>
      <c r="T89" s="8">
        <f>IFERROR(__xludf.DUMMYFUNCTION("""COMPUTED_VALUE"""),0.0)</f>
        <v>0</v>
      </c>
      <c r="U89" s="8">
        <f>IFERROR(__xludf.DUMMYFUNCTION("""COMPUTED_VALUE"""),0.0)</f>
        <v>0</v>
      </c>
      <c r="V89" s="8">
        <f>IFERROR(__xludf.DUMMYFUNCTION("""COMPUTED_VALUE"""),0.0)</f>
        <v>0</v>
      </c>
      <c r="W89" s="8">
        <f>IFERROR(__xludf.DUMMYFUNCTION("""COMPUTED_VALUE"""),0.0)</f>
        <v>0</v>
      </c>
      <c r="X89" s="8">
        <f>IFERROR(__xludf.DUMMYFUNCTION("""COMPUTED_VALUE"""),0.0)</f>
        <v>0</v>
      </c>
      <c r="Y89" s="8">
        <f>IFERROR(__xludf.DUMMYFUNCTION("""COMPUTED_VALUE"""),0.0)</f>
        <v>0</v>
      </c>
      <c r="Z89" s="8">
        <f>IFERROR(__xludf.DUMMYFUNCTION("""COMPUTED_VALUE"""),0.0)</f>
        <v>0</v>
      </c>
      <c r="AA89" s="8">
        <f>IFERROR(__xludf.DUMMYFUNCTION("""COMPUTED_VALUE"""),0.0)</f>
        <v>0</v>
      </c>
      <c r="AB89" s="8">
        <f>IFERROR(__xludf.DUMMYFUNCTION("""COMPUTED_VALUE"""),0.0)</f>
        <v>0</v>
      </c>
      <c r="AC89" s="8">
        <f>IFERROR(__xludf.DUMMYFUNCTION("""COMPUTED_VALUE"""),0.0)</f>
        <v>0</v>
      </c>
    </row>
    <row r="90" ht="15.75" customHeight="1">
      <c r="A90" s="6" t="str">
        <f>IFERROR(__xludf.DUMMYFUNCTION("""COMPUTED_VALUE"""),"4d01d84cdfff217f33b380cdb07a2a1c706749ea")</f>
        <v>4d01d84cdfff217f33b380cdb07a2a1c706749ea</v>
      </c>
      <c r="B90" s="6" t="str">
        <f>IFERROR(__xludf.DUMMYFUNCTION("""COMPUTED_VALUE"""),"The Fifth Bride")</f>
        <v>The Fifth Bride</v>
      </c>
      <c r="C90" s="6" t="str">
        <f>IFERROR(__xludf.DUMMYFUNCTION("""COMPUTED_VALUE"""),"Suspense or Thriller")</f>
        <v>Suspense or Thriller</v>
      </c>
      <c r="D90" s="11">
        <f>IFERROR(__xludf.DUMMYFUNCTION("""COMPUTED_VALUE"""),22.0)</f>
        <v>22</v>
      </c>
      <c r="E90" s="8">
        <f>IFERROR(__xludf.DUMMYFUNCTION("""COMPUTED_VALUE"""),0.909090909090909)</f>
        <v>0.9090909091</v>
      </c>
      <c r="F90" s="8">
        <f>IFERROR(__xludf.DUMMYFUNCTION("""COMPUTED_VALUE"""),0.5)</f>
        <v>0.5</v>
      </c>
      <c r="G90" s="8">
        <f>IFERROR(__xludf.DUMMYFUNCTION("""COMPUTED_VALUE"""),0.454545454545454)</f>
        <v>0.4545454545</v>
      </c>
      <c r="H90" s="8">
        <f>IFERROR(__xludf.DUMMYFUNCTION("""COMPUTED_VALUE"""),0.409090909090909)</f>
        <v>0.4090909091</v>
      </c>
      <c r="I90" s="8">
        <f>IFERROR(__xludf.DUMMYFUNCTION("""COMPUTED_VALUE"""),0.318181818181818)</f>
        <v>0.3181818182</v>
      </c>
      <c r="J90" s="8">
        <f>IFERROR(__xludf.DUMMYFUNCTION("""COMPUTED_VALUE"""),0.318181818181818)</f>
        <v>0.3181818182</v>
      </c>
      <c r="K90" s="8">
        <f>IFERROR(__xludf.DUMMYFUNCTION("""COMPUTED_VALUE"""),0.363636363636363)</f>
        <v>0.3636363636</v>
      </c>
      <c r="L90" s="8">
        <f>IFERROR(__xludf.DUMMYFUNCTION("""COMPUTED_VALUE"""),0.272727272727272)</f>
        <v>0.2727272727</v>
      </c>
      <c r="M90" s="8">
        <f>IFERROR(__xludf.DUMMYFUNCTION("""COMPUTED_VALUE"""),0.318181818181818)</f>
        <v>0.3181818182</v>
      </c>
      <c r="N90" s="8">
        <f>IFERROR(__xludf.DUMMYFUNCTION("""COMPUTED_VALUE"""),0.272727272727272)</f>
        <v>0.2727272727</v>
      </c>
      <c r="O90" s="8">
        <f>IFERROR(__xludf.DUMMYFUNCTION("""COMPUTED_VALUE"""),0.227272727272727)</f>
        <v>0.2272727273</v>
      </c>
      <c r="P90" s="8">
        <f>IFERROR(__xludf.DUMMYFUNCTION("""COMPUTED_VALUE"""),0.136363636363636)</f>
        <v>0.1363636364</v>
      </c>
      <c r="Q90" s="8">
        <f>IFERROR(__xludf.DUMMYFUNCTION("""COMPUTED_VALUE"""),0.0)</f>
        <v>0</v>
      </c>
      <c r="R90" s="8">
        <f>IFERROR(__xludf.DUMMYFUNCTION("""COMPUTED_VALUE"""),0.0)</f>
        <v>0</v>
      </c>
      <c r="S90" s="8">
        <f>IFERROR(__xludf.DUMMYFUNCTION("""COMPUTED_VALUE"""),0.0)</f>
        <v>0</v>
      </c>
      <c r="T90" s="8">
        <f>IFERROR(__xludf.DUMMYFUNCTION("""COMPUTED_VALUE"""),0.0)</f>
        <v>0</v>
      </c>
      <c r="U90" s="8">
        <f>IFERROR(__xludf.DUMMYFUNCTION("""COMPUTED_VALUE"""),0.0)</f>
        <v>0</v>
      </c>
      <c r="V90" s="8">
        <f>IFERROR(__xludf.DUMMYFUNCTION("""COMPUTED_VALUE"""),0.0)</f>
        <v>0</v>
      </c>
      <c r="W90" s="8">
        <f>IFERROR(__xludf.DUMMYFUNCTION("""COMPUTED_VALUE"""),0.0)</f>
        <v>0</v>
      </c>
      <c r="X90" s="8">
        <f>IFERROR(__xludf.DUMMYFUNCTION("""COMPUTED_VALUE"""),0.0)</f>
        <v>0</v>
      </c>
      <c r="Y90" s="8">
        <f>IFERROR(__xludf.DUMMYFUNCTION("""COMPUTED_VALUE"""),0.0)</f>
        <v>0</v>
      </c>
      <c r="Z90" s="8">
        <f>IFERROR(__xludf.DUMMYFUNCTION("""COMPUTED_VALUE"""),0.0)</f>
        <v>0</v>
      </c>
      <c r="AA90" s="8">
        <f>IFERROR(__xludf.DUMMYFUNCTION("""COMPUTED_VALUE"""),0.0)</f>
        <v>0</v>
      </c>
      <c r="AB90" s="8">
        <f>IFERROR(__xludf.DUMMYFUNCTION("""COMPUTED_VALUE"""),0.0)</f>
        <v>0</v>
      </c>
      <c r="AC90" s="8">
        <f>IFERROR(__xludf.DUMMYFUNCTION("""COMPUTED_VALUE"""),0.0)</f>
        <v>0</v>
      </c>
    </row>
    <row r="91" ht="15.75" customHeight="1">
      <c r="A91" s="6" t="str">
        <f>IFERROR(__xludf.DUMMYFUNCTION("""COMPUTED_VALUE"""),"4d887dec2a071a00150fdcd6417f16bcaf5f02b0")</f>
        <v>4d887dec2a071a00150fdcd6417f16bcaf5f02b0</v>
      </c>
      <c r="B91" s="6" t="str">
        <f>IFERROR(__xludf.DUMMYFUNCTION("""COMPUTED_VALUE"""),"Loving Nathaniel Hawthorne: The Billionaire Playboy")</f>
        <v>Loving Nathaniel Hawthorne: The Billionaire Playboy</v>
      </c>
      <c r="C91" s="6" t="str">
        <f>IFERROR(__xludf.DUMMYFUNCTION("""COMPUTED_VALUE"""),"Romance")</f>
        <v>Romance</v>
      </c>
      <c r="D91" s="11">
        <f>IFERROR(__xludf.DUMMYFUNCTION("""COMPUTED_VALUE"""),821.0)</f>
        <v>821</v>
      </c>
      <c r="E91" s="8">
        <f>IFERROR(__xludf.DUMMYFUNCTION("""COMPUTED_VALUE"""),0.914738124238733)</f>
        <v>0.9147381242</v>
      </c>
      <c r="F91" s="8">
        <f>IFERROR(__xludf.DUMMYFUNCTION("""COMPUTED_VALUE"""),0.48599269183922)</f>
        <v>0.4859926918</v>
      </c>
      <c r="G91" s="8">
        <f>IFERROR(__xludf.DUMMYFUNCTION("""COMPUTED_VALUE"""),0.450669914738124)</f>
        <v>0.4506699147</v>
      </c>
      <c r="H91" s="8">
        <f>IFERROR(__xludf.DUMMYFUNCTION("""COMPUTED_VALUE"""),0.426309378806333)</f>
        <v>0.4263093788</v>
      </c>
      <c r="I91" s="8">
        <f>IFERROR(__xludf.DUMMYFUNCTION("""COMPUTED_VALUE"""),0.414129110840438)</f>
        <v>0.4141291108</v>
      </c>
      <c r="J91" s="8">
        <f>IFERROR(__xludf.DUMMYFUNCTION("""COMPUTED_VALUE"""),0.399512789281364)</f>
        <v>0.3995127893</v>
      </c>
      <c r="K91" s="8">
        <f>IFERROR(__xludf.DUMMYFUNCTION("""COMPUTED_VALUE"""),0.386114494518879)</f>
        <v>0.3861144945</v>
      </c>
      <c r="L91" s="8">
        <f>IFERROR(__xludf.DUMMYFUNCTION("""COMPUTED_VALUE"""),0.384896467722289)</f>
        <v>0.3848964677</v>
      </c>
      <c r="M91" s="8">
        <f>IFERROR(__xludf.DUMMYFUNCTION("""COMPUTED_VALUE"""),0.380024360535931)</f>
        <v>0.3800243605</v>
      </c>
      <c r="N91" s="8">
        <f>IFERROR(__xludf.DUMMYFUNCTION("""COMPUTED_VALUE"""),0.375152253349573)</f>
        <v>0.3751522533</v>
      </c>
      <c r="O91" s="8">
        <f>IFERROR(__xludf.DUMMYFUNCTION("""COMPUTED_VALUE"""),0.345919610231425)</f>
        <v>0.3459196102</v>
      </c>
      <c r="P91" s="8">
        <f>IFERROR(__xludf.DUMMYFUNCTION("""COMPUTED_VALUE"""),0.274056029232643)</f>
        <v>0.2740560292</v>
      </c>
      <c r="Q91" s="8">
        <f>IFERROR(__xludf.DUMMYFUNCTION("""COMPUTED_VALUE"""),0.194376528117359)</f>
        <v>0.1943765281</v>
      </c>
      <c r="R91" s="8">
        <f>IFERROR(__xludf.DUMMYFUNCTION("""COMPUTED_VALUE"""),0.156479217603911)</f>
        <v>0.1564792176</v>
      </c>
      <c r="S91" s="8">
        <f>IFERROR(__xludf.DUMMYFUNCTION("""COMPUTED_VALUE"""),0.134803921568627)</f>
        <v>0.1348039216</v>
      </c>
      <c r="T91" s="8">
        <f>IFERROR(__xludf.DUMMYFUNCTION("""COMPUTED_VALUE"""),0.117936117936117)</f>
        <v>0.1179361179</v>
      </c>
      <c r="U91" s="8">
        <f>IFERROR(__xludf.DUMMYFUNCTION("""COMPUTED_VALUE"""),0.103703703703703)</f>
        <v>0.1037037037</v>
      </c>
      <c r="V91" s="8">
        <f>IFERROR(__xludf.DUMMYFUNCTION("""COMPUTED_VALUE"""),0.0992167101827676)</f>
        <v>0.09921671018</v>
      </c>
      <c r="W91" s="8">
        <f>IFERROR(__xludf.DUMMYFUNCTION("""COMPUTED_VALUE"""),0.0957446808510638)</f>
        <v>0.09574468085</v>
      </c>
      <c r="X91" s="8">
        <f>IFERROR(__xludf.DUMMYFUNCTION("""COMPUTED_VALUE"""),0.0808678500986193)</f>
        <v>0.0808678501</v>
      </c>
      <c r="Y91" s="8">
        <f>IFERROR(__xludf.DUMMYFUNCTION("""COMPUTED_VALUE"""),0.0677419354838709)</f>
        <v>0.06774193548</v>
      </c>
      <c r="Z91" s="8">
        <f>IFERROR(__xludf.DUMMYFUNCTION("""COMPUTED_VALUE"""),0.0323886639676113)</f>
        <v>0.03238866397</v>
      </c>
      <c r="AA91" s="8">
        <f>IFERROR(__xludf.DUMMYFUNCTION("""COMPUTED_VALUE"""),0.0)</f>
        <v>0</v>
      </c>
      <c r="AB91" s="8">
        <f>IFERROR(__xludf.DUMMYFUNCTION("""COMPUTED_VALUE"""),0.0)</f>
        <v>0</v>
      </c>
      <c r="AC91" s="8">
        <f>IFERROR(__xludf.DUMMYFUNCTION("""COMPUTED_VALUE"""),0.0)</f>
        <v>0</v>
      </c>
    </row>
    <row r="92" ht="15.75" customHeight="1">
      <c r="A92" s="6" t="str">
        <f>IFERROR(__xludf.DUMMYFUNCTION("""COMPUTED_VALUE"""),"4e3bbfc86993cf8c574bdebca34a49627f4a386a")</f>
        <v>4e3bbfc86993cf8c574bdebca34a49627f4a386a</v>
      </c>
      <c r="B92" s="6" t="str">
        <f>IFERROR(__xludf.DUMMYFUNCTION("""COMPUTED_VALUE"""),"Our Beloved Villains ")</f>
        <v>Our Beloved Villains </v>
      </c>
      <c r="C92" s="6" t="str">
        <f>IFERROR(__xludf.DUMMYFUNCTION("""COMPUTED_VALUE"""),"Fantasy")</f>
        <v>Fantasy</v>
      </c>
      <c r="D92" s="11">
        <f>IFERROR(__xludf.DUMMYFUNCTION("""COMPUTED_VALUE"""),67.0)</f>
        <v>67</v>
      </c>
      <c r="E92" s="8">
        <f>IFERROR(__xludf.DUMMYFUNCTION("""COMPUTED_VALUE"""),0.985074626865671)</f>
        <v>0.9850746269</v>
      </c>
      <c r="F92" s="8">
        <f>IFERROR(__xludf.DUMMYFUNCTION("""COMPUTED_VALUE"""),0.492537313432835)</f>
        <v>0.4925373134</v>
      </c>
      <c r="G92" s="8">
        <f>IFERROR(__xludf.DUMMYFUNCTION("""COMPUTED_VALUE"""),0.402985074626865)</f>
        <v>0.4029850746</v>
      </c>
      <c r="H92" s="8">
        <f>IFERROR(__xludf.DUMMYFUNCTION("""COMPUTED_VALUE"""),0.338461538461538)</f>
        <v>0.3384615385</v>
      </c>
      <c r="I92" s="8">
        <f>IFERROR(__xludf.DUMMYFUNCTION("""COMPUTED_VALUE"""),0.25)</f>
        <v>0.25</v>
      </c>
      <c r="J92" s="8">
        <f>IFERROR(__xludf.DUMMYFUNCTION("""COMPUTED_VALUE"""),0.25)</f>
        <v>0.25</v>
      </c>
      <c r="K92" s="8">
        <f>IFERROR(__xludf.DUMMYFUNCTION("""COMPUTED_VALUE"""),0.1875)</f>
        <v>0.1875</v>
      </c>
      <c r="L92" s="8">
        <f>IFERROR(__xludf.DUMMYFUNCTION("""COMPUTED_VALUE"""),0.1875)</f>
        <v>0.1875</v>
      </c>
      <c r="M92" s="8">
        <f>IFERROR(__xludf.DUMMYFUNCTION("""COMPUTED_VALUE"""),0.1875)</f>
        <v>0.1875</v>
      </c>
      <c r="N92" s="8">
        <f>IFERROR(__xludf.DUMMYFUNCTION("""COMPUTED_VALUE"""),0.171875)</f>
        <v>0.171875</v>
      </c>
      <c r="O92" s="8">
        <f>IFERROR(__xludf.DUMMYFUNCTION("""COMPUTED_VALUE"""),0.0806451612903225)</f>
        <v>0.08064516129</v>
      </c>
      <c r="P92" s="8">
        <f>IFERROR(__xludf.DUMMYFUNCTION("""COMPUTED_VALUE"""),0.0517241379310344)</f>
        <v>0.05172413793</v>
      </c>
      <c r="Q92" s="8">
        <f>IFERROR(__xludf.DUMMYFUNCTION("""COMPUTED_VALUE"""),0.0)</f>
        <v>0</v>
      </c>
      <c r="R92" s="8">
        <f>IFERROR(__xludf.DUMMYFUNCTION("""COMPUTED_VALUE"""),0.0)</f>
        <v>0</v>
      </c>
      <c r="S92" s="8">
        <f>IFERROR(__xludf.DUMMYFUNCTION("""COMPUTED_VALUE"""),0.0)</f>
        <v>0</v>
      </c>
      <c r="T92" s="8">
        <f>IFERROR(__xludf.DUMMYFUNCTION("""COMPUTED_VALUE"""),0.0)</f>
        <v>0</v>
      </c>
      <c r="U92" s="8">
        <f>IFERROR(__xludf.DUMMYFUNCTION("""COMPUTED_VALUE"""),0.0)</f>
        <v>0</v>
      </c>
      <c r="V92" s="8">
        <f>IFERROR(__xludf.DUMMYFUNCTION("""COMPUTED_VALUE"""),0.0)</f>
        <v>0</v>
      </c>
      <c r="W92" s="8">
        <f>IFERROR(__xludf.DUMMYFUNCTION("""COMPUTED_VALUE"""),0.0)</f>
        <v>0</v>
      </c>
      <c r="X92" s="8">
        <f>IFERROR(__xludf.DUMMYFUNCTION("""COMPUTED_VALUE"""),0.0)</f>
        <v>0</v>
      </c>
      <c r="Y92" s="8">
        <f>IFERROR(__xludf.DUMMYFUNCTION("""COMPUTED_VALUE"""),0.0)</f>
        <v>0</v>
      </c>
      <c r="Z92" s="8">
        <f>IFERROR(__xludf.DUMMYFUNCTION("""COMPUTED_VALUE"""),0.0)</f>
        <v>0</v>
      </c>
      <c r="AA92" s="8">
        <f>IFERROR(__xludf.DUMMYFUNCTION("""COMPUTED_VALUE"""),0.0)</f>
        <v>0</v>
      </c>
      <c r="AB92" s="8">
        <f>IFERROR(__xludf.DUMMYFUNCTION("""COMPUTED_VALUE"""),0.0)</f>
        <v>0</v>
      </c>
      <c r="AC92" s="8">
        <f>IFERROR(__xludf.DUMMYFUNCTION("""COMPUTED_VALUE"""),0.0)</f>
        <v>0</v>
      </c>
    </row>
    <row r="93" ht="15.75" customHeight="1">
      <c r="A93" s="6" t="str">
        <f>IFERROR(__xludf.DUMMYFUNCTION("""COMPUTED_VALUE"""),"4e767fe3eae1eb30991fabcb73be16e9925ab124")</f>
        <v>4e767fe3eae1eb30991fabcb73be16e9925ab124</v>
      </c>
      <c r="B93" s="6" t="str">
        <f>IFERROR(__xludf.DUMMYFUNCTION("""COMPUTED_VALUE"""),"The Ill-Fated Aristocrat")</f>
        <v>The Ill-Fated Aristocrat</v>
      </c>
      <c r="C93" s="6" t="str">
        <f>IFERROR(__xludf.DUMMYFUNCTION("""COMPUTED_VALUE"""),"Romance")</f>
        <v>Romance</v>
      </c>
      <c r="D93" s="11">
        <f>IFERROR(__xludf.DUMMYFUNCTION("""COMPUTED_VALUE"""),72.0)</f>
        <v>72</v>
      </c>
      <c r="E93" s="8">
        <f>IFERROR(__xludf.DUMMYFUNCTION("""COMPUTED_VALUE"""),0.972222222222222)</f>
        <v>0.9722222222</v>
      </c>
      <c r="F93" s="8">
        <f>IFERROR(__xludf.DUMMYFUNCTION("""COMPUTED_VALUE"""),0.583333333333333)</f>
        <v>0.5833333333</v>
      </c>
      <c r="G93" s="8">
        <f>IFERROR(__xludf.DUMMYFUNCTION("""COMPUTED_VALUE"""),0.5)</f>
        <v>0.5</v>
      </c>
      <c r="H93" s="8">
        <f>IFERROR(__xludf.DUMMYFUNCTION("""COMPUTED_VALUE"""),0.52112676056338)</f>
        <v>0.5211267606</v>
      </c>
      <c r="I93" s="8">
        <f>IFERROR(__xludf.DUMMYFUNCTION("""COMPUTED_VALUE"""),0.436619718309859)</f>
        <v>0.4366197183</v>
      </c>
      <c r="J93" s="8">
        <f>IFERROR(__xludf.DUMMYFUNCTION("""COMPUTED_VALUE"""),0.436619718309859)</f>
        <v>0.4366197183</v>
      </c>
      <c r="K93" s="8">
        <f>IFERROR(__xludf.DUMMYFUNCTION("""COMPUTED_VALUE"""),0.436619718309859)</f>
        <v>0.4366197183</v>
      </c>
      <c r="L93" s="8">
        <f>IFERROR(__xludf.DUMMYFUNCTION("""COMPUTED_VALUE"""),0.408450704225352)</f>
        <v>0.4084507042</v>
      </c>
      <c r="M93" s="8">
        <f>IFERROR(__xludf.DUMMYFUNCTION("""COMPUTED_VALUE"""),0.394366197183098)</f>
        <v>0.3943661972</v>
      </c>
      <c r="N93" s="8">
        <f>IFERROR(__xludf.DUMMYFUNCTION("""COMPUTED_VALUE"""),0.380281690140845)</f>
        <v>0.3802816901</v>
      </c>
      <c r="O93" s="8">
        <f>IFERROR(__xludf.DUMMYFUNCTION("""COMPUTED_VALUE"""),0.380281690140845)</f>
        <v>0.3802816901</v>
      </c>
      <c r="P93" s="8">
        <f>IFERROR(__xludf.DUMMYFUNCTION("""COMPUTED_VALUE"""),0.271428571428571)</f>
        <v>0.2714285714</v>
      </c>
      <c r="Q93" s="8">
        <f>IFERROR(__xludf.DUMMYFUNCTION("""COMPUTED_VALUE"""),0.210526315789473)</f>
        <v>0.2105263158</v>
      </c>
      <c r="R93" s="8">
        <f>IFERROR(__xludf.DUMMYFUNCTION("""COMPUTED_VALUE"""),0.074074074074074)</f>
        <v>0.07407407407</v>
      </c>
      <c r="S93" s="8">
        <f>IFERROR(__xludf.DUMMYFUNCTION("""COMPUTED_VALUE"""),0.0)</f>
        <v>0</v>
      </c>
      <c r="T93" s="8">
        <f>IFERROR(__xludf.DUMMYFUNCTION("""COMPUTED_VALUE"""),0.0)</f>
        <v>0</v>
      </c>
      <c r="U93" s="8">
        <f>IFERROR(__xludf.DUMMYFUNCTION("""COMPUTED_VALUE"""),0.0)</f>
        <v>0</v>
      </c>
      <c r="V93" s="8">
        <f>IFERROR(__xludf.DUMMYFUNCTION("""COMPUTED_VALUE"""),0.0)</f>
        <v>0</v>
      </c>
      <c r="W93" s="8">
        <f>IFERROR(__xludf.DUMMYFUNCTION("""COMPUTED_VALUE"""),0.0)</f>
        <v>0</v>
      </c>
      <c r="X93" s="8">
        <f>IFERROR(__xludf.DUMMYFUNCTION("""COMPUTED_VALUE"""),0.0)</f>
        <v>0</v>
      </c>
      <c r="Y93" s="8">
        <f>IFERROR(__xludf.DUMMYFUNCTION("""COMPUTED_VALUE"""),0.0)</f>
        <v>0</v>
      </c>
      <c r="Z93" s="8">
        <f>IFERROR(__xludf.DUMMYFUNCTION("""COMPUTED_VALUE"""),0.0)</f>
        <v>0</v>
      </c>
      <c r="AA93" s="8">
        <f>IFERROR(__xludf.DUMMYFUNCTION("""COMPUTED_VALUE"""),0.0)</f>
        <v>0</v>
      </c>
      <c r="AB93" s="8">
        <f>IFERROR(__xludf.DUMMYFUNCTION("""COMPUTED_VALUE"""),0.0)</f>
        <v>0</v>
      </c>
      <c r="AC93" s="8">
        <f>IFERROR(__xludf.DUMMYFUNCTION("""COMPUTED_VALUE"""),0.0)</f>
        <v>0</v>
      </c>
    </row>
    <row r="94" ht="15.75" customHeight="1">
      <c r="A94" s="6" t="str">
        <f>IFERROR(__xludf.DUMMYFUNCTION("""COMPUTED_VALUE"""),"4e82e5be987e78daa5bb2bb67006b68256170925")</f>
        <v>4e82e5be987e78daa5bb2bb67006b68256170925</v>
      </c>
      <c r="B94" s="6" t="str">
        <f>IFERROR(__xludf.DUMMYFUNCTION("""COMPUTED_VALUE"""),"Machine Invasion")</f>
        <v>Machine Invasion</v>
      </c>
      <c r="C94" s="6" t="str">
        <f>IFERROR(__xludf.DUMMYFUNCTION("""COMPUTED_VALUE"""),"System and Superpower")</f>
        <v>System and Superpower</v>
      </c>
      <c r="D94" s="11">
        <f>IFERROR(__xludf.DUMMYFUNCTION("""COMPUTED_VALUE"""),1522.0)</f>
        <v>1522</v>
      </c>
      <c r="E94" s="8">
        <f>IFERROR(__xludf.DUMMYFUNCTION("""COMPUTED_VALUE"""),0.975032851511169)</f>
        <v>0.9750328515</v>
      </c>
      <c r="F94" s="8">
        <f>IFERROR(__xludf.DUMMYFUNCTION("""COMPUTED_VALUE"""),0.673455978975032)</f>
        <v>0.673455979</v>
      </c>
      <c r="G94" s="8">
        <f>IFERROR(__xludf.DUMMYFUNCTION("""COMPUTED_VALUE"""),0.626149802890933)</f>
        <v>0.6261498029</v>
      </c>
      <c r="H94" s="8">
        <f>IFERROR(__xludf.DUMMYFUNCTION("""COMPUTED_VALUE"""),0.593955321944809)</f>
        <v>0.5939553219</v>
      </c>
      <c r="I94" s="8">
        <f>IFERROR(__xludf.DUMMYFUNCTION("""COMPUTED_VALUE"""),0.57293035479632)</f>
        <v>0.5729303548</v>
      </c>
      <c r="J94" s="8">
        <f>IFERROR(__xludf.DUMMYFUNCTION("""COMPUTED_VALUE"""),0.550953320184089)</f>
        <v>0.5509533202</v>
      </c>
      <c r="K94" s="8">
        <f>IFERROR(__xludf.DUMMYFUNCTION("""COMPUTED_VALUE"""),0.534516765285996)</f>
        <v>0.5345167653</v>
      </c>
      <c r="L94" s="8">
        <f>IFERROR(__xludf.DUMMYFUNCTION("""COMPUTED_VALUE"""),0.497698882314266)</f>
        <v>0.4976988823</v>
      </c>
      <c r="M94" s="8">
        <f>IFERROR(__xludf.DUMMYFUNCTION("""COMPUTED_VALUE"""),0.493087557603686)</f>
        <v>0.4930875576</v>
      </c>
      <c r="N94" s="8">
        <f>IFERROR(__xludf.DUMMYFUNCTION("""COMPUTED_VALUE"""),0.484508899143045)</f>
        <v>0.4845088991</v>
      </c>
      <c r="O94" s="8">
        <f>IFERROR(__xludf.DUMMYFUNCTION("""COMPUTED_VALUE"""),0.447405329593267)</f>
        <v>0.4474053296</v>
      </c>
      <c r="P94" s="8">
        <f>IFERROR(__xludf.DUMMYFUNCTION("""COMPUTED_VALUE"""),0.362156663275686)</f>
        <v>0.3621566633</v>
      </c>
      <c r="Q94" s="8">
        <f>IFERROR(__xludf.DUMMYFUNCTION("""COMPUTED_VALUE"""),0.294117647058823)</f>
        <v>0.2941176471</v>
      </c>
      <c r="R94" s="8">
        <f>IFERROR(__xludf.DUMMYFUNCTION("""COMPUTED_VALUE"""),0.0)</f>
        <v>0</v>
      </c>
      <c r="S94" s="8">
        <f>IFERROR(__xludf.DUMMYFUNCTION("""COMPUTED_VALUE"""),0.0)</f>
        <v>0</v>
      </c>
      <c r="T94" s="8">
        <f>IFERROR(__xludf.DUMMYFUNCTION("""COMPUTED_VALUE"""),0.0)</f>
        <v>0</v>
      </c>
      <c r="U94" s="8">
        <f>IFERROR(__xludf.DUMMYFUNCTION("""COMPUTED_VALUE"""),0.0)</f>
        <v>0</v>
      </c>
      <c r="V94" s="8">
        <f>IFERROR(__xludf.DUMMYFUNCTION("""COMPUTED_VALUE"""),0.0)</f>
        <v>0</v>
      </c>
      <c r="W94" s="8">
        <f>IFERROR(__xludf.DUMMYFUNCTION("""COMPUTED_VALUE"""),0.0)</f>
        <v>0</v>
      </c>
      <c r="X94" s="8">
        <f>IFERROR(__xludf.DUMMYFUNCTION("""COMPUTED_VALUE"""),0.0)</f>
        <v>0</v>
      </c>
      <c r="Y94" s="8">
        <f>IFERROR(__xludf.DUMMYFUNCTION("""COMPUTED_VALUE"""),0.0)</f>
        <v>0</v>
      </c>
      <c r="Z94" s="8">
        <f>IFERROR(__xludf.DUMMYFUNCTION("""COMPUTED_VALUE"""),0.0)</f>
        <v>0</v>
      </c>
      <c r="AA94" s="8">
        <f>IFERROR(__xludf.DUMMYFUNCTION("""COMPUTED_VALUE"""),0.0)</f>
        <v>0</v>
      </c>
      <c r="AB94" s="8">
        <f>IFERROR(__xludf.DUMMYFUNCTION("""COMPUTED_VALUE"""),0.0)</f>
        <v>0</v>
      </c>
      <c r="AC94" s="8">
        <f>IFERROR(__xludf.DUMMYFUNCTION("""COMPUTED_VALUE"""),0.0)</f>
        <v>0</v>
      </c>
    </row>
    <row r="95" ht="15.75" customHeight="1">
      <c r="A95" s="6" t="str">
        <f>IFERROR(__xludf.DUMMYFUNCTION("""COMPUTED_VALUE"""),"4e8fc1ec90ca0e70f873bdd45aea984fc56b5c89")</f>
        <v>4e8fc1ec90ca0e70f873bdd45aea984fc56b5c89</v>
      </c>
      <c r="B95" s="6" t="str">
        <f>IFERROR(__xludf.DUMMYFUNCTION("""COMPUTED_VALUE"""),"When Strangers Say I Do")</f>
        <v>When Strangers Say I Do</v>
      </c>
      <c r="C95" s="6" t="str">
        <f>IFERROR(__xludf.DUMMYFUNCTION("""COMPUTED_VALUE"""),"Drama")</f>
        <v>Drama</v>
      </c>
      <c r="D95" s="11">
        <f>IFERROR(__xludf.DUMMYFUNCTION("""COMPUTED_VALUE"""),194.0)</f>
        <v>194</v>
      </c>
      <c r="E95" s="8">
        <f>IFERROR(__xludf.DUMMYFUNCTION("""COMPUTED_VALUE"""),0.989690721649484)</f>
        <v>0.9896907216</v>
      </c>
      <c r="F95" s="8">
        <f>IFERROR(__xludf.DUMMYFUNCTION("""COMPUTED_VALUE"""),0.494845360824742)</f>
        <v>0.4948453608</v>
      </c>
      <c r="G95" s="8">
        <f>IFERROR(__xludf.DUMMYFUNCTION("""COMPUTED_VALUE"""),0.350515463917525)</f>
        <v>0.3505154639</v>
      </c>
      <c r="H95" s="8">
        <f>IFERROR(__xludf.DUMMYFUNCTION("""COMPUTED_VALUE"""),0.264550264550264)</f>
        <v>0.2645502646</v>
      </c>
      <c r="I95" s="8">
        <f>IFERROR(__xludf.DUMMYFUNCTION("""COMPUTED_VALUE"""),0.222222222222222)</f>
        <v>0.2222222222</v>
      </c>
      <c r="J95" s="8">
        <f>IFERROR(__xludf.DUMMYFUNCTION("""COMPUTED_VALUE"""),0.183783783783783)</f>
        <v>0.1837837838</v>
      </c>
      <c r="K95" s="8">
        <f>IFERROR(__xludf.DUMMYFUNCTION("""COMPUTED_VALUE"""),0.172972972972972)</f>
        <v>0.172972973</v>
      </c>
      <c r="L95" s="8">
        <f>IFERROR(__xludf.DUMMYFUNCTION("""COMPUTED_VALUE"""),0.171270718232044)</f>
        <v>0.1712707182</v>
      </c>
      <c r="M95" s="8">
        <f>IFERROR(__xludf.DUMMYFUNCTION("""COMPUTED_VALUE"""),0.156424581005586)</f>
        <v>0.156424581</v>
      </c>
      <c r="N95" s="8">
        <f>IFERROR(__xludf.DUMMYFUNCTION("""COMPUTED_VALUE"""),0.129213483146067)</f>
        <v>0.1292134831</v>
      </c>
      <c r="O95" s="8">
        <f>IFERROR(__xludf.DUMMYFUNCTION("""COMPUTED_VALUE"""),0.0797546012269938)</f>
        <v>0.07975460123</v>
      </c>
      <c r="P95" s="8">
        <f>IFERROR(__xludf.DUMMYFUNCTION("""COMPUTED_VALUE"""),0.0)</f>
        <v>0</v>
      </c>
      <c r="Q95" s="8">
        <f>IFERROR(__xludf.DUMMYFUNCTION("""COMPUTED_VALUE"""),0.0)</f>
        <v>0</v>
      </c>
      <c r="R95" s="8">
        <f>IFERROR(__xludf.DUMMYFUNCTION("""COMPUTED_VALUE"""),0.0)</f>
        <v>0</v>
      </c>
      <c r="S95" s="8">
        <f>IFERROR(__xludf.DUMMYFUNCTION("""COMPUTED_VALUE"""),0.0)</f>
        <v>0</v>
      </c>
      <c r="T95" s="8">
        <f>IFERROR(__xludf.DUMMYFUNCTION("""COMPUTED_VALUE"""),0.0)</f>
        <v>0</v>
      </c>
      <c r="U95" s="8">
        <f>IFERROR(__xludf.DUMMYFUNCTION("""COMPUTED_VALUE"""),0.0)</f>
        <v>0</v>
      </c>
      <c r="V95" s="8">
        <f>IFERROR(__xludf.DUMMYFUNCTION("""COMPUTED_VALUE"""),0.0)</f>
        <v>0</v>
      </c>
      <c r="W95" s="8">
        <f>IFERROR(__xludf.DUMMYFUNCTION("""COMPUTED_VALUE"""),0.0)</f>
        <v>0</v>
      </c>
      <c r="X95" s="8">
        <f>IFERROR(__xludf.DUMMYFUNCTION("""COMPUTED_VALUE"""),0.0)</f>
        <v>0</v>
      </c>
      <c r="Y95" s="8">
        <f>IFERROR(__xludf.DUMMYFUNCTION("""COMPUTED_VALUE"""),0.0)</f>
        <v>0</v>
      </c>
      <c r="Z95" s="8">
        <f>IFERROR(__xludf.DUMMYFUNCTION("""COMPUTED_VALUE"""),0.0)</f>
        <v>0</v>
      </c>
      <c r="AA95" s="8">
        <f>IFERROR(__xludf.DUMMYFUNCTION("""COMPUTED_VALUE"""),0.0)</f>
        <v>0</v>
      </c>
      <c r="AB95" s="8">
        <f>IFERROR(__xludf.DUMMYFUNCTION("""COMPUTED_VALUE"""),0.0)</f>
        <v>0</v>
      </c>
      <c r="AC95" s="8">
        <f>IFERROR(__xludf.DUMMYFUNCTION("""COMPUTED_VALUE"""),0.0)</f>
        <v>0</v>
      </c>
    </row>
    <row r="96" ht="15.75" customHeight="1">
      <c r="A96" s="6" t="str">
        <f>IFERROR(__xludf.DUMMYFUNCTION("""COMPUTED_VALUE"""),"4ef829b74ddfb2f550d1c5ceb22a6d68f5936dff")</f>
        <v>4ef829b74ddfb2f550d1c5ceb22a6d68f5936dff</v>
      </c>
      <c r="B96" s="6" t="str">
        <f>IFERROR(__xludf.DUMMYFUNCTION("""COMPUTED_VALUE"""),"The Mad Alpha’s True Luna")</f>
        <v>The Mad Alpha’s True Luna</v>
      </c>
      <c r="C96" s="6" t="str">
        <f>IFERROR(__xludf.DUMMYFUNCTION("""COMPUTED_VALUE"""),"Romantasy")</f>
        <v>Romantasy</v>
      </c>
      <c r="D96" s="11">
        <f>IFERROR(__xludf.DUMMYFUNCTION("""COMPUTED_VALUE"""),40.0)</f>
        <v>40</v>
      </c>
      <c r="E96" s="8">
        <f>IFERROR(__xludf.DUMMYFUNCTION("""COMPUTED_VALUE"""),0.975)</f>
        <v>0.975</v>
      </c>
      <c r="F96" s="8">
        <f>IFERROR(__xludf.DUMMYFUNCTION("""COMPUTED_VALUE"""),0.65)</f>
        <v>0.65</v>
      </c>
      <c r="G96" s="8">
        <f>IFERROR(__xludf.DUMMYFUNCTION("""COMPUTED_VALUE"""),0.55)</f>
        <v>0.55</v>
      </c>
      <c r="H96" s="8">
        <f>IFERROR(__xludf.DUMMYFUNCTION("""COMPUTED_VALUE"""),0.513513513513513)</f>
        <v>0.5135135135</v>
      </c>
      <c r="I96" s="8">
        <f>IFERROR(__xludf.DUMMYFUNCTION("""COMPUTED_VALUE"""),0.535714285714285)</f>
        <v>0.5357142857</v>
      </c>
      <c r="J96" s="8">
        <f>IFERROR(__xludf.DUMMYFUNCTION("""COMPUTED_VALUE"""),0.375)</f>
        <v>0.375</v>
      </c>
      <c r="K96" s="8">
        <f>IFERROR(__xludf.DUMMYFUNCTION("""COMPUTED_VALUE"""),0.166666666666666)</f>
        <v>0.1666666667</v>
      </c>
      <c r="L96" s="8">
        <f>IFERROR(__xludf.DUMMYFUNCTION("""COMPUTED_VALUE"""),0.166666666666666)</f>
        <v>0.1666666667</v>
      </c>
      <c r="M96" s="8">
        <f>IFERROR(__xludf.DUMMYFUNCTION("""COMPUTED_VALUE"""),0.0)</f>
        <v>0</v>
      </c>
      <c r="N96" s="8">
        <f>IFERROR(__xludf.DUMMYFUNCTION("""COMPUTED_VALUE"""),0.166666666666666)</f>
        <v>0.1666666667</v>
      </c>
      <c r="O96" s="8">
        <f>IFERROR(__xludf.DUMMYFUNCTION("""COMPUTED_VALUE"""),0.166666666666666)</f>
        <v>0.1666666667</v>
      </c>
      <c r="P96" s="8">
        <f>IFERROR(__xludf.DUMMYFUNCTION("""COMPUTED_VALUE"""),0.166666666666666)</f>
        <v>0.1666666667</v>
      </c>
      <c r="Q96" s="8">
        <f>IFERROR(__xludf.DUMMYFUNCTION("""COMPUTED_VALUE"""),0.0)</f>
        <v>0</v>
      </c>
      <c r="R96" s="8">
        <f>IFERROR(__xludf.DUMMYFUNCTION("""COMPUTED_VALUE"""),0.0)</f>
        <v>0</v>
      </c>
      <c r="S96" s="8">
        <f>IFERROR(__xludf.DUMMYFUNCTION("""COMPUTED_VALUE"""),0.0)</f>
        <v>0</v>
      </c>
      <c r="T96" s="8">
        <f>IFERROR(__xludf.DUMMYFUNCTION("""COMPUTED_VALUE"""),0.0)</f>
        <v>0</v>
      </c>
      <c r="U96" s="8">
        <f>IFERROR(__xludf.DUMMYFUNCTION("""COMPUTED_VALUE"""),0.0)</f>
        <v>0</v>
      </c>
      <c r="V96" s="8">
        <f>IFERROR(__xludf.DUMMYFUNCTION("""COMPUTED_VALUE"""),0.0)</f>
        <v>0</v>
      </c>
      <c r="W96" s="8">
        <f>IFERROR(__xludf.DUMMYFUNCTION("""COMPUTED_VALUE"""),0.0)</f>
        <v>0</v>
      </c>
      <c r="X96" s="8">
        <f>IFERROR(__xludf.DUMMYFUNCTION("""COMPUTED_VALUE"""),0.0)</f>
        <v>0</v>
      </c>
      <c r="Y96" s="8">
        <f>IFERROR(__xludf.DUMMYFUNCTION("""COMPUTED_VALUE"""),0.0)</f>
        <v>0</v>
      </c>
      <c r="Z96" s="8">
        <f>IFERROR(__xludf.DUMMYFUNCTION("""COMPUTED_VALUE"""),0.0)</f>
        <v>0</v>
      </c>
      <c r="AA96" s="8">
        <f>IFERROR(__xludf.DUMMYFUNCTION("""COMPUTED_VALUE"""),0.0)</f>
        <v>0</v>
      </c>
      <c r="AB96" s="8">
        <f>IFERROR(__xludf.DUMMYFUNCTION("""COMPUTED_VALUE"""),0.0)</f>
        <v>0</v>
      </c>
      <c r="AC96" s="8">
        <f>IFERROR(__xludf.DUMMYFUNCTION("""COMPUTED_VALUE"""),0.0)</f>
        <v>0</v>
      </c>
    </row>
    <row r="97" ht="15.75" customHeight="1">
      <c r="A97" s="6" t="str">
        <f>IFERROR(__xludf.DUMMYFUNCTION("""COMPUTED_VALUE"""),"4fed71af64877bcaf79252f171bf022a3b80e926")</f>
        <v>4fed71af64877bcaf79252f171bf022a3b80e926</v>
      </c>
      <c r="B97" s="6" t="str">
        <f>IFERROR(__xludf.DUMMYFUNCTION("""COMPUTED_VALUE"""),"Doomsday Hoarder")</f>
        <v>Doomsday Hoarder</v>
      </c>
      <c r="C97" s="6" t="str">
        <f>IFERROR(__xludf.DUMMYFUNCTION("""COMPUTED_VALUE"""),"Fantasy")</f>
        <v>Fantasy</v>
      </c>
      <c r="D97" s="11">
        <f>IFERROR(__xludf.DUMMYFUNCTION("""COMPUTED_VALUE"""),20.0)</f>
        <v>20</v>
      </c>
      <c r="E97" s="8">
        <f>IFERROR(__xludf.DUMMYFUNCTION("""COMPUTED_VALUE"""),1.0)</f>
        <v>1</v>
      </c>
      <c r="F97" s="8">
        <f>IFERROR(__xludf.DUMMYFUNCTION("""COMPUTED_VALUE"""),0.7)</f>
        <v>0.7</v>
      </c>
      <c r="G97" s="8">
        <f>IFERROR(__xludf.DUMMYFUNCTION("""COMPUTED_VALUE"""),0.65)</f>
        <v>0.65</v>
      </c>
      <c r="H97" s="8">
        <f>IFERROR(__xludf.DUMMYFUNCTION("""COMPUTED_VALUE"""),0.65)</f>
        <v>0.65</v>
      </c>
      <c r="I97" s="8">
        <f>IFERROR(__xludf.DUMMYFUNCTION("""COMPUTED_VALUE"""),0.65)</f>
        <v>0.65</v>
      </c>
      <c r="J97" s="8">
        <f>IFERROR(__xludf.DUMMYFUNCTION("""COMPUTED_VALUE"""),0.65)</f>
        <v>0.65</v>
      </c>
      <c r="K97" s="8">
        <f>IFERROR(__xludf.DUMMYFUNCTION("""COMPUTED_VALUE"""),0.65)</f>
        <v>0.65</v>
      </c>
      <c r="L97" s="8">
        <f>IFERROR(__xludf.DUMMYFUNCTION("""COMPUTED_VALUE"""),0.6)</f>
        <v>0.6</v>
      </c>
      <c r="M97" s="8">
        <f>IFERROR(__xludf.DUMMYFUNCTION("""COMPUTED_VALUE"""),0.6)</f>
        <v>0.6</v>
      </c>
      <c r="N97" s="8">
        <f>IFERROR(__xludf.DUMMYFUNCTION("""COMPUTED_VALUE"""),0.55)</f>
        <v>0.55</v>
      </c>
      <c r="O97" s="8">
        <f>IFERROR(__xludf.DUMMYFUNCTION("""COMPUTED_VALUE"""),0.45)</f>
        <v>0.45</v>
      </c>
      <c r="P97" s="8">
        <f>IFERROR(__xludf.DUMMYFUNCTION("""COMPUTED_VALUE"""),0.4)</f>
        <v>0.4</v>
      </c>
      <c r="Q97" s="8">
        <f>IFERROR(__xludf.DUMMYFUNCTION("""COMPUTED_VALUE"""),0.2)</f>
        <v>0.2</v>
      </c>
      <c r="R97" s="8">
        <f>IFERROR(__xludf.DUMMYFUNCTION("""COMPUTED_VALUE"""),0.0)</f>
        <v>0</v>
      </c>
      <c r="S97" s="8">
        <f>IFERROR(__xludf.DUMMYFUNCTION("""COMPUTED_VALUE"""),0.0)</f>
        <v>0</v>
      </c>
      <c r="T97" s="8">
        <f>IFERROR(__xludf.DUMMYFUNCTION("""COMPUTED_VALUE"""),0.0)</f>
        <v>0</v>
      </c>
      <c r="U97" s="8">
        <f>IFERROR(__xludf.DUMMYFUNCTION("""COMPUTED_VALUE"""),0.0)</f>
        <v>0</v>
      </c>
      <c r="V97" s="8">
        <f>IFERROR(__xludf.DUMMYFUNCTION("""COMPUTED_VALUE"""),0.0)</f>
        <v>0</v>
      </c>
      <c r="W97" s="8">
        <f>IFERROR(__xludf.DUMMYFUNCTION("""COMPUTED_VALUE"""),0.0)</f>
        <v>0</v>
      </c>
      <c r="X97" s="8">
        <f>IFERROR(__xludf.DUMMYFUNCTION("""COMPUTED_VALUE"""),0.0)</f>
        <v>0</v>
      </c>
      <c r="Y97" s="8">
        <f>IFERROR(__xludf.DUMMYFUNCTION("""COMPUTED_VALUE"""),0.0)</f>
        <v>0</v>
      </c>
      <c r="Z97" s="8">
        <f>IFERROR(__xludf.DUMMYFUNCTION("""COMPUTED_VALUE"""),0.0)</f>
        <v>0</v>
      </c>
      <c r="AA97" s="8">
        <f>IFERROR(__xludf.DUMMYFUNCTION("""COMPUTED_VALUE"""),0.0)</f>
        <v>0</v>
      </c>
      <c r="AB97" s="8">
        <f>IFERROR(__xludf.DUMMYFUNCTION("""COMPUTED_VALUE"""),0.0)</f>
        <v>0</v>
      </c>
      <c r="AC97" s="8">
        <f>IFERROR(__xludf.DUMMYFUNCTION("""COMPUTED_VALUE"""),0.0)</f>
        <v>0</v>
      </c>
    </row>
    <row r="98" ht="15.75" customHeight="1">
      <c r="A98" s="6" t="str">
        <f>IFERROR(__xludf.DUMMYFUNCTION("""COMPUTED_VALUE"""),"514efd834428337923e640a1254ea9d7477b18b3")</f>
        <v>514efd834428337923e640a1254ea9d7477b18b3</v>
      </c>
      <c r="B98" s="6" t="str">
        <f>IFERROR(__xludf.DUMMYFUNCTION("""COMPUTED_VALUE"""),"Bride of a Dragon")</f>
        <v>Bride of a Dragon</v>
      </c>
      <c r="C98" s="6" t="str">
        <f>IFERROR(__xludf.DUMMYFUNCTION("""COMPUTED_VALUE"""),"Romantasy")</f>
        <v>Romantasy</v>
      </c>
      <c r="D98" s="11">
        <f>IFERROR(__xludf.DUMMYFUNCTION("""COMPUTED_VALUE"""),411.0)</f>
        <v>411</v>
      </c>
      <c r="E98" s="8">
        <f>IFERROR(__xludf.DUMMYFUNCTION("""COMPUTED_VALUE"""),0.961070559610705)</f>
        <v>0.9610705596</v>
      </c>
      <c r="F98" s="8">
        <f>IFERROR(__xludf.DUMMYFUNCTION("""COMPUTED_VALUE"""),0.610705596107056)</f>
        <v>0.6107055961</v>
      </c>
      <c r="G98" s="8">
        <f>IFERROR(__xludf.DUMMYFUNCTION("""COMPUTED_VALUE"""),0.56934306569343)</f>
        <v>0.5693430657</v>
      </c>
      <c r="H98" s="8">
        <f>IFERROR(__xludf.DUMMYFUNCTION("""COMPUTED_VALUE"""),0.521951219512195)</f>
        <v>0.5219512195</v>
      </c>
      <c r="I98" s="8">
        <f>IFERROR(__xludf.DUMMYFUNCTION("""COMPUTED_VALUE"""),0.490243902439024)</f>
        <v>0.4902439024</v>
      </c>
      <c r="J98" s="8">
        <f>IFERROR(__xludf.DUMMYFUNCTION("""COMPUTED_VALUE"""),0.46078431372549)</f>
        <v>0.4607843137</v>
      </c>
      <c r="K98" s="8">
        <f>IFERROR(__xludf.DUMMYFUNCTION("""COMPUTED_VALUE"""),0.443627450980392)</f>
        <v>0.443627451</v>
      </c>
      <c r="L98" s="8">
        <f>IFERROR(__xludf.DUMMYFUNCTION("""COMPUTED_VALUE"""),0.42014742014742)</f>
        <v>0.4201474201</v>
      </c>
      <c r="M98" s="8">
        <f>IFERROR(__xludf.DUMMYFUNCTION("""COMPUTED_VALUE"""),0.405405405405405)</f>
        <v>0.4054054054</v>
      </c>
      <c r="N98" s="8">
        <f>IFERROR(__xludf.DUMMYFUNCTION("""COMPUTED_VALUE"""),0.399014778325123)</f>
        <v>0.3990147783</v>
      </c>
      <c r="O98" s="8">
        <f>IFERROR(__xludf.DUMMYFUNCTION("""COMPUTED_VALUE"""),0.348258706467661)</f>
        <v>0.3482587065</v>
      </c>
      <c r="P98" s="8">
        <f>IFERROR(__xludf.DUMMYFUNCTION("""COMPUTED_VALUE"""),0.343434343434343)</f>
        <v>0.3434343434</v>
      </c>
      <c r="Q98" s="8">
        <f>IFERROR(__xludf.DUMMYFUNCTION("""COMPUTED_VALUE"""),0.303225806451612)</f>
        <v>0.3032258065</v>
      </c>
      <c r="R98" s="8">
        <f>IFERROR(__xludf.DUMMYFUNCTION("""COMPUTED_VALUE"""),0.414634146341463)</f>
        <v>0.4146341463</v>
      </c>
      <c r="S98" s="8">
        <f>IFERROR(__xludf.DUMMYFUNCTION("""COMPUTED_VALUE"""),0.337837837837837)</f>
        <v>0.3378378378</v>
      </c>
      <c r="T98" s="8">
        <f>IFERROR(__xludf.DUMMYFUNCTION("""COMPUTED_VALUE"""),0.15625)</f>
        <v>0.15625</v>
      </c>
      <c r="U98" s="8">
        <f>IFERROR(__xludf.DUMMYFUNCTION("""COMPUTED_VALUE"""),0.0)</f>
        <v>0</v>
      </c>
      <c r="V98" s="8">
        <f>IFERROR(__xludf.DUMMYFUNCTION("""COMPUTED_VALUE"""),0.0)</f>
        <v>0</v>
      </c>
      <c r="W98" s="8">
        <f>IFERROR(__xludf.DUMMYFUNCTION("""COMPUTED_VALUE"""),0.0)</f>
        <v>0</v>
      </c>
      <c r="X98" s="8">
        <f>IFERROR(__xludf.DUMMYFUNCTION("""COMPUTED_VALUE"""),0.0)</f>
        <v>0</v>
      </c>
      <c r="Y98" s="8">
        <f>IFERROR(__xludf.DUMMYFUNCTION("""COMPUTED_VALUE"""),0.0)</f>
        <v>0</v>
      </c>
      <c r="Z98" s="8">
        <f>IFERROR(__xludf.DUMMYFUNCTION("""COMPUTED_VALUE"""),0.0)</f>
        <v>0</v>
      </c>
      <c r="AA98" s="8">
        <f>IFERROR(__xludf.DUMMYFUNCTION("""COMPUTED_VALUE"""),0.0)</f>
        <v>0</v>
      </c>
      <c r="AB98" s="8">
        <f>IFERROR(__xludf.DUMMYFUNCTION("""COMPUTED_VALUE"""),0.0)</f>
        <v>0</v>
      </c>
      <c r="AC98" s="8">
        <f>IFERROR(__xludf.DUMMYFUNCTION("""COMPUTED_VALUE"""),0.0)</f>
        <v>0</v>
      </c>
    </row>
    <row r="99" ht="15.75" customHeight="1">
      <c r="A99" s="6" t="str">
        <f>IFERROR(__xludf.DUMMYFUNCTION("""COMPUTED_VALUE"""),"5269f35d5665dd7c25aa81eac9fa9e452b693897")</f>
        <v>5269f35d5665dd7c25aa81eac9fa9e452b693897</v>
      </c>
      <c r="B99" s="6" t="str">
        <f>IFERROR(__xludf.DUMMYFUNCTION("""COMPUTED_VALUE"""),"Her Royal Vampire")</f>
        <v>Her Royal Vampire</v>
      </c>
      <c r="C99" s="6" t="str">
        <f>IFERROR(__xludf.DUMMYFUNCTION("""COMPUTED_VALUE"""),"Romantasy")</f>
        <v>Romantasy</v>
      </c>
      <c r="D99" s="11">
        <f>IFERROR(__xludf.DUMMYFUNCTION("""COMPUTED_VALUE"""),123.0)</f>
        <v>123</v>
      </c>
      <c r="E99" s="8">
        <f>IFERROR(__xludf.DUMMYFUNCTION("""COMPUTED_VALUE"""),0.951219512195121)</f>
        <v>0.9512195122</v>
      </c>
      <c r="F99" s="8">
        <f>IFERROR(__xludf.DUMMYFUNCTION("""COMPUTED_VALUE"""),0.56910569105691)</f>
        <v>0.5691056911</v>
      </c>
      <c r="G99" s="8">
        <f>IFERROR(__xludf.DUMMYFUNCTION("""COMPUTED_VALUE"""),0.512195121951219)</f>
        <v>0.512195122</v>
      </c>
      <c r="H99" s="8">
        <f>IFERROR(__xludf.DUMMYFUNCTION("""COMPUTED_VALUE"""),0.447154471544715)</f>
        <v>0.4471544715</v>
      </c>
      <c r="I99" s="8">
        <f>IFERROR(__xludf.DUMMYFUNCTION("""COMPUTED_VALUE"""),0.430894308943089)</f>
        <v>0.4308943089</v>
      </c>
      <c r="J99" s="8">
        <f>IFERROR(__xludf.DUMMYFUNCTION("""COMPUTED_VALUE"""),0.401639344262295)</f>
        <v>0.4016393443</v>
      </c>
      <c r="K99" s="8">
        <f>IFERROR(__xludf.DUMMYFUNCTION("""COMPUTED_VALUE"""),0.396694214876033)</f>
        <v>0.3966942149</v>
      </c>
      <c r="L99" s="8">
        <f>IFERROR(__xludf.DUMMYFUNCTION("""COMPUTED_VALUE"""),0.363636363636363)</f>
        <v>0.3636363636</v>
      </c>
      <c r="M99" s="8">
        <f>IFERROR(__xludf.DUMMYFUNCTION("""COMPUTED_VALUE"""),0.355371900826446)</f>
        <v>0.3553719008</v>
      </c>
      <c r="N99" s="8">
        <f>IFERROR(__xludf.DUMMYFUNCTION("""COMPUTED_VALUE"""),0.341666666666666)</f>
        <v>0.3416666667</v>
      </c>
      <c r="O99" s="8">
        <f>IFERROR(__xludf.DUMMYFUNCTION("""COMPUTED_VALUE"""),0.279279279279279)</f>
        <v>0.2792792793</v>
      </c>
      <c r="P99" s="8">
        <f>IFERROR(__xludf.DUMMYFUNCTION("""COMPUTED_VALUE"""),0.264367816091954)</f>
        <v>0.2643678161</v>
      </c>
      <c r="Q99" s="8">
        <f>IFERROR(__xludf.DUMMYFUNCTION("""COMPUTED_VALUE"""),0.226666666666666)</f>
        <v>0.2266666667</v>
      </c>
      <c r="R99" s="8">
        <f>IFERROR(__xludf.DUMMYFUNCTION("""COMPUTED_VALUE"""),0.176470588235294)</f>
        <v>0.1764705882</v>
      </c>
      <c r="S99" s="8">
        <f>IFERROR(__xludf.DUMMYFUNCTION("""COMPUTED_VALUE"""),0.0588235294117647)</f>
        <v>0.05882352941</v>
      </c>
      <c r="T99" s="8">
        <f>IFERROR(__xludf.DUMMYFUNCTION("""COMPUTED_VALUE"""),0.0833333333333333)</f>
        <v>0.08333333333</v>
      </c>
      <c r="U99" s="8">
        <f>IFERROR(__xludf.DUMMYFUNCTION("""COMPUTED_VALUE"""),0.0)</f>
        <v>0</v>
      </c>
      <c r="V99" s="8">
        <f>IFERROR(__xludf.DUMMYFUNCTION("""COMPUTED_VALUE"""),0.0)</f>
        <v>0</v>
      </c>
      <c r="W99" s="8">
        <f>IFERROR(__xludf.DUMMYFUNCTION("""COMPUTED_VALUE"""),0.0)</f>
        <v>0</v>
      </c>
      <c r="X99" s="8">
        <f>IFERROR(__xludf.DUMMYFUNCTION("""COMPUTED_VALUE"""),0.0)</f>
        <v>0</v>
      </c>
      <c r="Y99" s="8">
        <f>IFERROR(__xludf.DUMMYFUNCTION("""COMPUTED_VALUE"""),0.0)</f>
        <v>0</v>
      </c>
      <c r="Z99" s="8">
        <f>IFERROR(__xludf.DUMMYFUNCTION("""COMPUTED_VALUE"""),0.0)</f>
        <v>0</v>
      </c>
      <c r="AA99" s="8">
        <f>IFERROR(__xludf.DUMMYFUNCTION("""COMPUTED_VALUE"""),0.0)</f>
        <v>0</v>
      </c>
      <c r="AB99" s="8">
        <f>IFERROR(__xludf.DUMMYFUNCTION("""COMPUTED_VALUE"""),0.0)</f>
        <v>0</v>
      </c>
      <c r="AC99" s="8">
        <f>IFERROR(__xludf.DUMMYFUNCTION("""COMPUTED_VALUE"""),0.0)</f>
        <v>0</v>
      </c>
    </row>
    <row r="100" ht="15.75" customHeight="1">
      <c r="A100" s="6" t="str">
        <f>IFERROR(__xludf.DUMMYFUNCTION("""COMPUTED_VALUE"""),"5276da779c8fe48836102d34eea2143d4421865c")</f>
        <v>5276da779c8fe48836102d34eea2143d4421865c</v>
      </c>
      <c r="B100" s="6" t="str">
        <f>IFERROR(__xludf.DUMMYFUNCTION("""COMPUTED_VALUE"""),"The Single Father's Surrender")</f>
        <v>The Single Father's Surrender</v>
      </c>
      <c r="C100" s="6" t="str">
        <f>IFERROR(__xludf.DUMMYFUNCTION("""COMPUTED_VALUE"""),"Romance")</f>
        <v>Romance</v>
      </c>
      <c r="D100" s="11">
        <f>IFERROR(__xludf.DUMMYFUNCTION("""COMPUTED_VALUE"""),57.0)</f>
        <v>57</v>
      </c>
      <c r="E100" s="8">
        <f>IFERROR(__xludf.DUMMYFUNCTION("""COMPUTED_VALUE"""),0.964912280701754)</f>
        <v>0.9649122807</v>
      </c>
      <c r="F100" s="8">
        <f>IFERROR(__xludf.DUMMYFUNCTION("""COMPUTED_VALUE"""),0.736842105263157)</f>
        <v>0.7368421053</v>
      </c>
      <c r="G100" s="8">
        <f>IFERROR(__xludf.DUMMYFUNCTION("""COMPUTED_VALUE"""),0.561403508771929)</f>
        <v>0.5614035088</v>
      </c>
      <c r="H100" s="8">
        <f>IFERROR(__xludf.DUMMYFUNCTION("""COMPUTED_VALUE"""),0.553571428571428)</f>
        <v>0.5535714286</v>
      </c>
      <c r="I100" s="8">
        <f>IFERROR(__xludf.DUMMYFUNCTION("""COMPUTED_VALUE"""),0.527272727272727)</f>
        <v>0.5272727273</v>
      </c>
      <c r="J100" s="8">
        <f>IFERROR(__xludf.DUMMYFUNCTION("""COMPUTED_VALUE"""),0.509090909090909)</f>
        <v>0.5090909091</v>
      </c>
      <c r="K100" s="8">
        <f>IFERROR(__xludf.DUMMYFUNCTION("""COMPUTED_VALUE"""),0.49090909090909)</f>
        <v>0.4909090909</v>
      </c>
      <c r="L100" s="8">
        <f>IFERROR(__xludf.DUMMYFUNCTION("""COMPUTED_VALUE"""),0.48076923076923)</f>
        <v>0.4807692308</v>
      </c>
      <c r="M100" s="8">
        <f>IFERROR(__xludf.DUMMYFUNCTION("""COMPUTED_VALUE"""),0.428571428571428)</f>
        <v>0.4285714286</v>
      </c>
      <c r="N100" s="8">
        <f>IFERROR(__xludf.DUMMYFUNCTION("""COMPUTED_VALUE"""),0.422222222222222)</f>
        <v>0.4222222222</v>
      </c>
      <c r="O100" s="8">
        <f>IFERROR(__xludf.DUMMYFUNCTION("""COMPUTED_VALUE"""),0.454545454545454)</f>
        <v>0.4545454545</v>
      </c>
      <c r="P100" s="8">
        <f>IFERROR(__xludf.DUMMYFUNCTION("""COMPUTED_VALUE"""),0.5)</f>
        <v>0.5</v>
      </c>
      <c r="Q100" s="8">
        <f>IFERROR(__xludf.DUMMYFUNCTION("""COMPUTED_VALUE"""),0.5)</f>
        <v>0.5</v>
      </c>
      <c r="R100" s="8">
        <f>IFERROR(__xludf.DUMMYFUNCTION("""COMPUTED_VALUE"""),0.0)</f>
        <v>0</v>
      </c>
      <c r="S100" s="8">
        <f>IFERROR(__xludf.DUMMYFUNCTION("""COMPUTED_VALUE"""),0.0)</f>
        <v>0</v>
      </c>
      <c r="T100" s="8">
        <f>IFERROR(__xludf.DUMMYFUNCTION("""COMPUTED_VALUE"""),0.0)</f>
        <v>0</v>
      </c>
      <c r="U100" s="8">
        <f>IFERROR(__xludf.DUMMYFUNCTION("""COMPUTED_VALUE"""),0.0)</f>
        <v>0</v>
      </c>
      <c r="V100" s="8">
        <f>IFERROR(__xludf.DUMMYFUNCTION("""COMPUTED_VALUE"""),0.0)</f>
        <v>0</v>
      </c>
      <c r="W100" s="8">
        <f>IFERROR(__xludf.DUMMYFUNCTION("""COMPUTED_VALUE"""),0.0)</f>
        <v>0</v>
      </c>
      <c r="X100" s="8">
        <f>IFERROR(__xludf.DUMMYFUNCTION("""COMPUTED_VALUE"""),0.0)</f>
        <v>0</v>
      </c>
      <c r="Y100" s="8">
        <f>IFERROR(__xludf.DUMMYFUNCTION("""COMPUTED_VALUE"""),0.0)</f>
        <v>0</v>
      </c>
      <c r="Z100" s="8">
        <f>IFERROR(__xludf.DUMMYFUNCTION("""COMPUTED_VALUE"""),0.0)</f>
        <v>0</v>
      </c>
      <c r="AA100" s="8">
        <f>IFERROR(__xludf.DUMMYFUNCTION("""COMPUTED_VALUE"""),0.0)</f>
        <v>0</v>
      </c>
      <c r="AB100" s="8">
        <f>IFERROR(__xludf.DUMMYFUNCTION("""COMPUTED_VALUE"""),0.0)</f>
        <v>0</v>
      </c>
      <c r="AC100" s="8">
        <f>IFERROR(__xludf.DUMMYFUNCTION("""COMPUTED_VALUE"""),0.0)</f>
        <v>0</v>
      </c>
    </row>
    <row r="101" ht="15.75" customHeight="1">
      <c r="A101" s="6" t="str">
        <f>IFERROR(__xludf.DUMMYFUNCTION("""COMPUTED_VALUE"""),"53bd90147df4228136243c0a218345e3a338b8c1")</f>
        <v>53bd90147df4228136243c0a218345e3a338b8c1</v>
      </c>
      <c r="B101" s="6" t="str">
        <f>IFERROR(__xludf.DUMMYFUNCTION("""COMPUTED_VALUE"""),"His Abandoned Wife")</f>
        <v>His Abandoned Wife</v>
      </c>
      <c r="C101" s="6" t="str">
        <f>IFERROR(__xludf.DUMMYFUNCTION("""COMPUTED_VALUE"""),"Romance")</f>
        <v>Romance</v>
      </c>
      <c r="D101" s="11">
        <f>IFERROR(__xludf.DUMMYFUNCTION("""COMPUTED_VALUE"""),2.0)</f>
        <v>2</v>
      </c>
      <c r="E101" s="8">
        <f>IFERROR(__xludf.DUMMYFUNCTION("""COMPUTED_VALUE"""),1.0)</f>
        <v>1</v>
      </c>
      <c r="F101" s="8">
        <f>IFERROR(__xludf.DUMMYFUNCTION("""COMPUTED_VALUE"""),0.5)</f>
        <v>0.5</v>
      </c>
      <c r="G101" s="8">
        <f>IFERROR(__xludf.DUMMYFUNCTION("""COMPUTED_VALUE"""),0.5)</f>
        <v>0.5</v>
      </c>
      <c r="H101" s="8">
        <f>IFERROR(__xludf.DUMMYFUNCTION("""COMPUTED_VALUE"""),0.5)</f>
        <v>0.5</v>
      </c>
      <c r="I101" s="8">
        <f>IFERROR(__xludf.DUMMYFUNCTION("""COMPUTED_VALUE"""),0.5)</f>
        <v>0.5</v>
      </c>
      <c r="J101" s="8">
        <f>IFERROR(__xludf.DUMMYFUNCTION("""COMPUTED_VALUE"""),0.0)</f>
        <v>0</v>
      </c>
      <c r="K101" s="8">
        <f>IFERROR(__xludf.DUMMYFUNCTION("""COMPUTED_VALUE"""),0.0)</f>
        <v>0</v>
      </c>
      <c r="L101" s="8">
        <f>IFERROR(__xludf.DUMMYFUNCTION("""COMPUTED_VALUE"""),0.0)</f>
        <v>0</v>
      </c>
      <c r="M101" s="8">
        <f>IFERROR(__xludf.DUMMYFUNCTION("""COMPUTED_VALUE"""),0.0)</f>
        <v>0</v>
      </c>
      <c r="N101" s="8">
        <f>IFERROR(__xludf.DUMMYFUNCTION("""COMPUTED_VALUE"""),0.0)</f>
        <v>0</v>
      </c>
      <c r="O101" s="8">
        <f>IFERROR(__xludf.DUMMYFUNCTION("""COMPUTED_VALUE"""),0.0)</f>
        <v>0</v>
      </c>
      <c r="P101" s="8">
        <f>IFERROR(__xludf.DUMMYFUNCTION("""COMPUTED_VALUE"""),0.0)</f>
        <v>0</v>
      </c>
      <c r="Q101" s="8">
        <f>IFERROR(__xludf.DUMMYFUNCTION("""COMPUTED_VALUE"""),0.0)</f>
        <v>0</v>
      </c>
      <c r="R101" s="8">
        <f>IFERROR(__xludf.DUMMYFUNCTION("""COMPUTED_VALUE"""),0.0)</f>
        <v>0</v>
      </c>
      <c r="S101" s="8">
        <f>IFERROR(__xludf.DUMMYFUNCTION("""COMPUTED_VALUE"""),0.0)</f>
        <v>0</v>
      </c>
      <c r="T101" s="8">
        <f>IFERROR(__xludf.DUMMYFUNCTION("""COMPUTED_VALUE"""),0.0)</f>
        <v>0</v>
      </c>
      <c r="U101" s="8">
        <f>IFERROR(__xludf.DUMMYFUNCTION("""COMPUTED_VALUE"""),0.0)</f>
        <v>0</v>
      </c>
      <c r="V101" s="8">
        <f>IFERROR(__xludf.DUMMYFUNCTION("""COMPUTED_VALUE"""),0.0)</f>
        <v>0</v>
      </c>
      <c r="W101" s="8">
        <f>IFERROR(__xludf.DUMMYFUNCTION("""COMPUTED_VALUE"""),0.0)</f>
        <v>0</v>
      </c>
      <c r="X101" s="8">
        <f>IFERROR(__xludf.DUMMYFUNCTION("""COMPUTED_VALUE"""),0.0)</f>
        <v>0</v>
      </c>
      <c r="Y101" s="8">
        <f>IFERROR(__xludf.DUMMYFUNCTION("""COMPUTED_VALUE"""),0.0)</f>
        <v>0</v>
      </c>
      <c r="Z101" s="8">
        <f>IFERROR(__xludf.DUMMYFUNCTION("""COMPUTED_VALUE"""),0.0)</f>
        <v>0</v>
      </c>
      <c r="AA101" s="8">
        <f>IFERROR(__xludf.DUMMYFUNCTION("""COMPUTED_VALUE"""),0.0)</f>
        <v>0</v>
      </c>
      <c r="AB101" s="8">
        <f>IFERROR(__xludf.DUMMYFUNCTION("""COMPUTED_VALUE"""),0.0)</f>
        <v>0</v>
      </c>
      <c r="AC101" s="8">
        <f>IFERROR(__xludf.DUMMYFUNCTION("""COMPUTED_VALUE"""),0.0)</f>
        <v>0</v>
      </c>
    </row>
    <row r="102" ht="15.75" customHeight="1">
      <c r="A102" s="6" t="str">
        <f>IFERROR(__xludf.DUMMYFUNCTION("""COMPUTED_VALUE"""),"54a2cb963cd2e93491b9f03d9cf379ed72d3271f")</f>
        <v>54a2cb963cd2e93491b9f03d9cf379ed72d3271f</v>
      </c>
      <c r="B102" s="6" t="str">
        <f>IFERROR(__xludf.DUMMYFUNCTION("""COMPUTED_VALUE"""),"The One He Can't Break")</f>
        <v>The One He Can't Break</v>
      </c>
      <c r="C102" s="6" t="str">
        <f>IFERROR(__xludf.DUMMYFUNCTION("""COMPUTED_VALUE"""),"Romance")</f>
        <v>Romance</v>
      </c>
      <c r="D102" s="11">
        <f>IFERROR(__xludf.DUMMYFUNCTION("""COMPUTED_VALUE"""),76.0)</f>
        <v>76</v>
      </c>
      <c r="E102" s="8">
        <f>IFERROR(__xludf.DUMMYFUNCTION("""COMPUTED_VALUE"""),0.947368421052631)</f>
        <v>0.9473684211</v>
      </c>
      <c r="F102" s="8">
        <f>IFERROR(__xludf.DUMMYFUNCTION("""COMPUTED_VALUE"""),0.592105263157894)</f>
        <v>0.5921052632</v>
      </c>
      <c r="G102" s="8">
        <f>IFERROR(__xludf.DUMMYFUNCTION("""COMPUTED_VALUE"""),0.526315789473684)</f>
        <v>0.5263157895</v>
      </c>
      <c r="H102" s="8">
        <f>IFERROR(__xludf.DUMMYFUNCTION("""COMPUTED_VALUE"""),0.5)</f>
        <v>0.5</v>
      </c>
      <c r="I102" s="8">
        <f>IFERROR(__xludf.DUMMYFUNCTION("""COMPUTED_VALUE"""),0.460526315789473)</f>
        <v>0.4605263158</v>
      </c>
      <c r="J102" s="8">
        <f>IFERROR(__xludf.DUMMYFUNCTION("""COMPUTED_VALUE"""),0.421052631578947)</f>
        <v>0.4210526316</v>
      </c>
      <c r="K102" s="8">
        <f>IFERROR(__xludf.DUMMYFUNCTION("""COMPUTED_VALUE"""),0.421052631578947)</f>
        <v>0.4210526316</v>
      </c>
      <c r="L102" s="8">
        <f>IFERROR(__xludf.DUMMYFUNCTION("""COMPUTED_VALUE"""),0.356164383561643)</f>
        <v>0.3561643836</v>
      </c>
      <c r="M102" s="8">
        <f>IFERROR(__xludf.DUMMYFUNCTION("""COMPUTED_VALUE"""),0.367647058823529)</f>
        <v>0.3676470588</v>
      </c>
      <c r="N102" s="8">
        <f>IFERROR(__xludf.DUMMYFUNCTION("""COMPUTED_VALUE"""),0.387096774193548)</f>
        <v>0.3870967742</v>
      </c>
      <c r="O102" s="8">
        <f>IFERROR(__xludf.DUMMYFUNCTION("""COMPUTED_VALUE"""),0.34375)</f>
        <v>0.34375</v>
      </c>
      <c r="P102" s="8">
        <f>IFERROR(__xludf.DUMMYFUNCTION("""COMPUTED_VALUE"""),0.166666666666666)</f>
        <v>0.1666666667</v>
      </c>
      <c r="Q102" s="8">
        <f>IFERROR(__xludf.DUMMYFUNCTION("""COMPUTED_VALUE"""),0.08)</f>
        <v>0.08</v>
      </c>
      <c r="R102" s="8">
        <f>IFERROR(__xludf.DUMMYFUNCTION("""COMPUTED_VALUE"""),0.2)</f>
        <v>0.2</v>
      </c>
      <c r="S102" s="8">
        <f>IFERROR(__xludf.DUMMYFUNCTION("""COMPUTED_VALUE"""),0.0)</f>
        <v>0</v>
      </c>
      <c r="T102" s="8">
        <f>IFERROR(__xludf.DUMMYFUNCTION("""COMPUTED_VALUE"""),0.0)</f>
        <v>0</v>
      </c>
      <c r="U102" s="8">
        <f>IFERROR(__xludf.DUMMYFUNCTION("""COMPUTED_VALUE"""),0.0)</f>
        <v>0</v>
      </c>
      <c r="V102" s="8">
        <f>IFERROR(__xludf.DUMMYFUNCTION("""COMPUTED_VALUE"""),0.0)</f>
        <v>0</v>
      </c>
      <c r="W102" s="8">
        <f>IFERROR(__xludf.DUMMYFUNCTION("""COMPUTED_VALUE"""),0.0)</f>
        <v>0</v>
      </c>
      <c r="X102" s="8">
        <f>IFERROR(__xludf.DUMMYFUNCTION("""COMPUTED_VALUE"""),0.0)</f>
        <v>0</v>
      </c>
      <c r="Y102" s="8">
        <f>IFERROR(__xludf.DUMMYFUNCTION("""COMPUTED_VALUE"""),0.0)</f>
        <v>0</v>
      </c>
      <c r="Z102" s="8">
        <f>IFERROR(__xludf.DUMMYFUNCTION("""COMPUTED_VALUE"""),0.0)</f>
        <v>0</v>
      </c>
      <c r="AA102" s="8">
        <f>IFERROR(__xludf.DUMMYFUNCTION("""COMPUTED_VALUE"""),0.0)</f>
        <v>0</v>
      </c>
      <c r="AB102" s="8">
        <f>IFERROR(__xludf.DUMMYFUNCTION("""COMPUTED_VALUE"""),0.0)</f>
        <v>0</v>
      </c>
      <c r="AC102" s="8">
        <f>IFERROR(__xludf.DUMMYFUNCTION("""COMPUTED_VALUE"""),0.0)</f>
        <v>0</v>
      </c>
    </row>
    <row r="103" ht="15.75" customHeight="1">
      <c r="A103" s="6" t="str">
        <f>IFERROR(__xludf.DUMMYFUNCTION("""COMPUTED_VALUE"""),"55254a77c40862bb825ededf69a85438157d664f")</f>
        <v>55254a77c40862bb825ededf69a85438157d664f</v>
      </c>
      <c r="B103" s="6" t="str">
        <f>IFERROR(__xludf.DUMMYFUNCTION("""COMPUTED_VALUE"""),"The Billionaire With Mask")</f>
        <v>The Billionaire With Mask</v>
      </c>
      <c r="C103" s="6" t="str">
        <f>IFERROR(__xludf.DUMMYFUNCTION("""COMPUTED_VALUE"""),"Drama")</f>
        <v>Drama</v>
      </c>
      <c r="D103" s="11">
        <f>IFERROR(__xludf.DUMMYFUNCTION("""COMPUTED_VALUE"""),41.0)</f>
        <v>41</v>
      </c>
      <c r="E103" s="8">
        <f>IFERROR(__xludf.DUMMYFUNCTION("""COMPUTED_VALUE"""),0.975609756097561)</f>
        <v>0.9756097561</v>
      </c>
      <c r="F103" s="8">
        <f>IFERROR(__xludf.DUMMYFUNCTION("""COMPUTED_VALUE"""),0.73170731707317)</f>
        <v>0.7317073171</v>
      </c>
      <c r="G103" s="8">
        <f>IFERROR(__xludf.DUMMYFUNCTION("""COMPUTED_VALUE"""),0.609756097560975)</f>
        <v>0.6097560976</v>
      </c>
      <c r="H103" s="8">
        <f>IFERROR(__xludf.DUMMYFUNCTION("""COMPUTED_VALUE"""),0.585365853658536)</f>
        <v>0.5853658537</v>
      </c>
      <c r="I103" s="8">
        <f>IFERROR(__xludf.DUMMYFUNCTION("""COMPUTED_VALUE"""),0.560975609756097)</f>
        <v>0.5609756098</v>
      </c>
      <c r="J103" s="8">
        <f>IFERROR(__xludf.DUMMYFUNCTION("""COMPUTED_VALUE"""),0.560975609756097)</f>
        <v>0.5609756098</v>
      </c>
      <c r="K103" s="8">
        <f>IFERROR(__xludf.DUMMYFUNCTION("""COMPUTED_VALUE"""),0.560975609756097)</f>
        <v>0.5609756098</v>
      </c>
      <c r="L103" s="8">
        <f>IFERROR(__xludf.DUMMYFUNCTION("""COMPUTED_VALUE"""),0.560975609756097)</f>
        <v>0.5609756098</v>
      </c>
      <c r="M103" s="8">
        <f>IFERROR(__xludf.DUMMYFUNCTION("""COMPUTED_VALUE"""),0.536585365853658)</f>
        <v>0.5365853659</v>
      </c>
      <c r="N103" s="8">
        <f>IFERROR(__xludf.DUMMYFUNCTION("""COMPUTED_VALUE"""),0.512195121951219)</f>
        <v>0.512195122</v>
      </c>
      <c r="O103" s="8">
        <f>IFERROR(__xludf.DUMMYFUNCTION("""COMPUTED_VALUE"""),0.463414634146341)</f>
        <v>0.4634146341</v>
      </c>
      <c r="P103" s="8">
        <f>IFERROR(__xludf.DUMMYFUNCTION("""COMPUTED_VALUE"""),0.473684210526315)</f>
        <v>0.4736842105</v>
      </c>
      <c r="Q103" s="8">
        <f>IFERROR(__xludf.DUMMYFUNCTION("""COMPUTED_VALUE"""),0.304347826086956)</f>
        <v>0.3043478261</v>
      </c>
      <c r="R103" s="8">
        <f>IFERROR(__xludf.DUMMYFUNCTION("""COMPUTED_VALUE"""),0.222222222222222)</f>
        <v>0.2222222222</v>
      </c>
      <c r="S103" s="8">
        <f>IFERROR(__xludf.DUMMYFUNCTION("""COMPUTED_VALUE"""),0.1875)</f>
        <v>0.1875</v>
      </c>
      <c r="T103" s="8">
        <f>IFERROR(__xludf.DUMMYFUNCTION("""COMPUTED_VALUE"""),0.0)</f>
        <v>0</v>
      </c>
      <c r="U103" s="8">
        <f>IFERROR(__xludf.DUMMYFUNCTION("""COMPUTED_VALUE"""),0.0)</f>
        <v>0</v>
      </c>
      <c r="V103" s="8">
        <f>IFERROR(__xludf.DUMMYFUNCTION("""COMPUTED_VALUE"""),0.0)</f>
        <v>0</v>
      </c>
      <c r="W103" s="8">
        <f>IFERROR(__xludf.DUMMYFUNCTION("""COMPUTED_VALUE"""),0.0)</f>
        <v>0</v>
      </c>
      <c r="X103" s="8">
        <f>IFERROR(__xludf.DUMMYFUNCTION("""COMPUTED_VALUE"""),0.0)</f>
        <v>0</v>
      </c>
      <c r="Y103" s="8">
        <f>IFERROR(__xludf.DUMMYFUNCTION("""COMPUTED_VALUE"""),0.0)</f>
        <v>0</v>
      </c>
      <c r="Z103" s="8">
        <f>IFERROR(__xludf.DUMMYFUNCTION("""COMPUTED_VALUE"""),0.0)</f>
        <v>0</v>
      </c>
      <c r="AA103" s="8">
        <f>IFERROR(__xludf.DUMMYFUNCTION("""COMPUTED_VALUE"""),0.0)</f>
        <v>0</v>
      </c>
      <c r="AB103" s="8">
        <f>IFERROR(__xludf.DUMMYFUNCTION("""COMPUTED_VALUE"""),0.0)</f>
        <v>0</v>
      </c>
      <c r="AC103" s="8">
        <f>IFERROR(__xludf.DUMMYFUNCTION("""COMPUTED_VALUE"""),0.0)</f>
        <v>0</v>
      </c>
    </row>
    <row r="104" ht="15.75" customHeight="1">
      <c r="A104" s="6" t="str">
        <f>IFERROR(__xludf.DUMMYFUNCTION("""COMPUTED_VALUE"""),"559db21e99cf5bc0720a814784386a0617e020b9")</f>
        <v>559db21e99cf5bc0720a814784386a0617e020b9</v>
      </c>
      <c r="B104" s="6" t="str">
        <f>IFERROR(__xludf.DUMMYFUNCTION("""COMPUTED_VALUE"""),"The Reborn Sovereign")</f>
        <v>The Reborn Sovereign</v>
      </c>
      <c r="C104" s="6" t="str">
        <f>IFERROR(__xludf.DUMMYFUNCTION("""COMPUTED_VALUE"""),"Fantasy")</f>
        <v>Fantasy</v>
      </c>
      <c r="D104" s="11">
        <f>IFERROR(__xludf.DUMMYFUNCTION("""COMPUTED_VALUE"""),1337.0)</f>
        <v>1337</v>
      </c>
      <c r="E104" s="8">
        <f>IFERROR(__xludf.DUMMYFUNCTION("""COMPUTED_VALUE"""),0.965594614809274)</f>
        <v>0.9655946148</v>
      </c>
      <c r="F104" s="8">
        <f>IFERROR(__xludf.DUMMYFUNCTION("""COMPUTED_VALUE"""),0.745699326851159)</f>
        <v>0.7456993269</v>
      </c>
      <c r="G104" s="8">
        <f>IFERROR(__xludf.DUMMYFUNCTION("""COMPUTED_VALUE"""),0.721765145848915)</f>
        <v>0.7217651458</v>
      </c>
      <c r="H104" s="8">
        <f>IFERROR(__xludf.DUMMYFUNCTION("""COMPUTED_VALUE"""),0.714636140637775)</f>
        <v>0.7146361406</v>
      </c>
      <c r="I104" s="8">
        <f>IFERROR(__xludf.DUMMYFUNCTION("""COMPUTED_VALUE"""),0.702199661590524)</f>
        <v>0.7021996616</v>
      </c>
      <c r="J104" s="8">
        <f>IFERROR(__xludf.DUMMYFUNCTION("""COMPUTED_VALUE"""),0.689972401103955)</f>
        <v>0.6899724011</v>
      </c>
      <c r="K104" s="8">
        <f>IFERROR(__xludf.DUMMYFUNCTION("""COMPUTED_VALUE"""),0.683044315992292)</f>
        <v>0.683044316</v>
      </c>
      <c r="L104" s="8">
        <f>IFERROR(__xludf.DUMMYFUNCTION("""COMPUTED_VALUE"""),0.668763102725366)</f>
        <v>0.6687631027</v>
      </c>
      <c r="M104" s="8">
        <f>IFERROR(__xludf.DUMMYFUNCTION("""COMPUTED_VALUE"""),0.663755458515283)</f>
        <v>0.6637554585</v>
      </c>
      <c r="N104" s="8">
        <f>IFERROR(__xludf.DUMMYFUNCTION("""COMPUTED_VALUE"""),0.66548463356974)</f>
        <v>0.6654846336</v>
      </c>
      <c r="O104" s="8">
        <f>IFERROR(__xludf.DUMMYFUNCTION("""COMPUTED_VALUE"""),0.590742996345919)</f>
        <v>0.5907429963</v>
      </c>
      <c r="P104" s="8">
        <f>IFERROR(__xludf.DUMMYFUNCTION("""COMPUTED_VALUE"""),0.459158415841584)</f>
        <v>0.4591584158</v>
      </c>
      <c r="Q104" s="8">
        <f>IFERROR(__xludf.DUMMYFUNCTION("""COMPUTED_VALUE"""),0.341025641025641)</f>
        <v>0.341025641</v>
      </c>
      <c r="R104" s="8">
        <f>IFERROR(__xludf.DUMMYFUNCTION("""COMPUTED_VALUE"""),0.246630727762803)</f>
        <v>0.2466307278</v>
      </c>
      <c r="S104" s="8">
        <f>IFERROR(__xludf.DUMMYFUNCTION("""COMPUTED_VALUE"""),0.179970972423802)</f>
        <v>0.1799709724</v>
      </c>
      <c r="T104" s="8">
        <f>IFERROR(__xludf.DUMMYFUNCTION("""COMPUTED_VALUE"""),0.0)</f>
        <v>0</v>
      </c>
      <c r="U104" s="8">
        <f>IFERROR(__xludf.DUMMYFUNCTION("""COMPUTED_VALUE"""),0.0)</f>
        <v>0</v>
      </c>
      <c r="V104" s="8">
        <f>IFERROR(__xludf.DUMMYFUNCTION("""COMPUTED_VALUE"""),0.0)</f>
        <v>0</v>
      </c>
      <c r="W104" s="8">
        <f>IFERROR(__xludf.DUMMYFUNCTION("""COMPUTED_VALUE"""),0.0)</f>
        <v>0</v>
      </c>
      <c r="X104" s="8">
        <f>IFERROR(__xludf.DUMMYFUNCTION("""COMPUTED_VALUE"""),0.0)</f>
        <v>0</v>
      </c>
      <c r="Y104" s="8">
        <f>IFERROR(__xludf.DUMMYFUNCTION("""COMPUTED_VALUE"""),0.0)</f>
        <v>0</v>
      </c>
      <c r="Z104" s="8">
        <f>IFERROR(__xludf.DUMMYFUNCTION("""COMPUTED_VALUE"""),0.0)</f>
        <v>0</v>
      </c>
      <c r="AA104" s="8">
        <f>IFERROR(__xludf.DUMMYFUNCTION("""COMPUTED_VALUE"""),0.0)</f>
        <v>0</v>
      </c>
      <c r="AB104" s="8">
        <f>IFERROR(__xludf.DUMMYFUNCTION("""COMPUTED_VALUE"""),0.0)</f>
        <v>0</v>
      </c>
      <c r="AC104" s="8">
        <f>IFERROR(__xludf.DUMMYFUNCTION("""COMPUTED_VALUE"""),0.0)</f>
        <v>0</v>
      </c>
    </row>
    <row r="105" ht="15.75" customHeight="1">
      <c r="A105" s="6" t="str">
        <f>IFERROR(__xludf.DUMMYFUNCTION("""COMPUTED_VALUE"""),"562f725dcc83392df0b3d429b6d1ff538f81e71b")</f>
        <v>562f725dcc83392df0b3d429b6d1ff538f81e71b</v>
      </c>
      <c r="B105" s="6" t="str">
        <f>IFERROR(__xludf.DUMMYFUNCTION("""COMPUTED_VALUE"""),"Their Contracted Hearts")</f>
        <v>Their Contracted Hearts</v>
      </c>
      <c r="C105" s="6" t="str">
        <f>IFERROR(__xludf.DUMMYFUNCTION("""COMPUTED_VALUE"""),"Romance")</f>
        <v>Romance</v>
      </c>
      <c r="D105" s="11">
        <f>IFERROR(__xludf.DUMMYFUNCTION("""COMPUTED_VALUE"""),66.0)</f>
        <v>66</v>
      </c>
      <c r="E105" s="8">
        <f>IFERROR(__xludf.DUMMYFUNCTION("""COMPUTED_VALUE"""),0.984848484848484)</f>
        <v>0.9848484848</v>
      </c>
      <c r="F105" s="8">
        <f>IFERROR(__xludf.DUMMYFUNCTION("""COMPUTED_VALUE"""),0.606060606060606)</f>
        <v>0.6060606061</v>
      </c>
      <c r="G105" s="8">
        <f>IFERROR(__xludf.DUMMYFUNCTION("""COMPUTED_VALUE"""),0.56060606060606)</f>
        <v>0.5606060606</v>
      </c>
      <c r="H105" s="8">
        <f>IFERROR(__xludf.DUMMYFUNCTION("""COMPUTED_VALUE"""),0.515151515151515)</f>
        <v>0.5151515152</v>
      </c>
      <c r="I105" s="8">
        <f>IFERROR(__xludf.DUMMYFUNCTION("""COMPUTED_VALUE"""),0.5)</f>
        <v>0.5</v>
      </c>
      <c r="J105" s="8">
        <f>IFERROR(__xludf.DUMMYFUNCTION("""COMPUTED_VALUE"""),0.484848484848484)</f>
        <v>0.4848484848</v>
      </c>
      <c r="K105" s="8">
        <f>IFERROR(__xludf.DUMMYFUNCTION("""COMPUTED_VALUE"""),0.439393939393939)</f>
        <v>0.4393939394</v>
      </c>
      <c r="L105" s="8">
        <f>IFERROR(__xludf.DUMMYFUNCTION("""COMPUTED_VALUE"""),0.424242424242424)</f>
        <v>0.4242424242</v>
      </c>
      <c r="M105" s="8">
        <f>IFERROR(__xludf.DUMMYFUNCTION("""COMPUTED_VALUE"""),0.378787878787878)</f>
        <v>0.3787878788</v>
      </c>
      <c r="N105" s="8">
        <f>IFERROR(__xludf.DUMMYFUNCTION("""COMPUTED_VALUE"""),0.348484848484848)</f>
        <v>0.3484848485</v>
      </c>
      <c r="O105" s="8">
        <f>IFERROR(__xludf.DUMMYFUNCTION("""COMPUTED_VALUE"""),0.242424242424242)</f>
        <v>0.2424242424</v>
      </c>
      <c r="P105" s="8">
        <f>IFERROR(__xludf.DUMMYFUNCTION("""COMPUTED_VALUE"""),0.138461538461538)</f>
        <v>0.1384615385</v>
      </c>
      <c r="Q105" s="8">
        <f>IFERROR(__xludf.DUMMYFUNCTION("""COMPUTED_VALUE"""),0.25)</f>
        <v>0.25</v>
      </c>
      <c r="R105" s="8">
        <f>IFERROR(__xludf.DUMMYFUNCTION("""COMPUTED_VALUE"""),0.25)</f>
        <v>0.25</v>
      </c>
      <c r="S105" s="8">
        <f>IFERROR(__xludf.DUMMYFUNCTION("""COMPUTED_VALUE"""),0.0)</f>
        <v>0</v>
      </c>
      <c r="T105" s="8">
        <f>IFERROR(__xludf.DUMMYFUNCTION("""COMPUTED_VALUE"""),0.0)</f>
        <v>0</v>
      </c>
      <c r="U105" s="8">
        <f>IFERROR(__xludf.DUMMYFUNCTION("""COMPUTED_VALUE"""),0.0)</f>
        <v>0</v>
      </c>
      <c r="V105" s="8">
        <f>IFERROR(__xludf.DUMMYFUNCTION("""COMPUTED_VALUE"""),0.0)</f>
        <v>0</v>
      </c>
      <c r="W105" s="8">
        <f>IFERROR(__xludf.DUMMYFUNCTION("""COMPUTED_VALUE"""),0.0)</f>
        <v>0</v>
      </c>
      <c r="X105" s="8">
        <f>IFERROR(__xludf.DUMMYFUNCTION("""COMPUTED_VALUE"""),0.0)</f>
        <v>0</v>
      </c>
      <c r="Y105" s="8">
        <f>IFERROR(__xludf.DUMMYFUNCTION("""COMPUTED_VALUE"""),0.0)</f>
        <v>0</v>
      </c>
      <c r="Z105" s="8">
        <f>IFERROR(__xludf.DUMMYFUNCTION("""COMPUTED_VALUE"""),0.0)</f>
        <v>0</v>
      </c>
      <c r="AA105" s="8">
        <f>IFERROR(__xludf.DUMMYFUNCTION("""COMPUTED_VALUE"""),0.0)</f>
        <v>0</v>
      </c>
      <c r="AB105" s="8">
        <f>IFERROR(__xludf.DUMMYFUNCTION("""COMPUTED_VALUE"""),0.0)</f>
        <v>0</v>
      </c>
      <c r="AC105" s="8">
        <f>IFERROR(__xludf.DUMMYFUNCTION("""COMPUTED_VALUE"""),0.0)</f>
        <v>0</v>
      </c>
    </row>
    <row r="106" ht="15.75" customHeight="1">
      <c r="A106" s="6" t="str">
        <f>IFERROR(__xludf.DUMMYFUNCTION("""COMPUTED_VALUE"""),"56fd2f13dbccca0c55f9b02f7334d302737ec3df")</f>
        <v>56fd2f13dbccca0c55f9b02f7334d302737ec3df</v>
      </c>
      <c r="B106" s="6" t="str">
        <f>IFERROR(__xludf.DUMMYFUNCTION("""COMPUTED_VALUE"""),"Heaven-Shaking Doctor")</f>
        <v>Heaven-Shaking Doctor</v>
      </c>
      <c r="C106" s="6" t="str">
        <f>IFERROR(__xludf.DUMMYFUNCTION("""COMPUTED_VALUE"""),"Drama")</f>
        <v>Drama</v>
      </c>
      <c r="D106" s="11">
        <f>IFERROR(__xludf.DUMMYFUNCTION("""COMPUTED_VALUE"""),478.0)</f>
        <v>478</v>
      </c>
      <c r="E106" s="8">
        <f>IFERROR(__xludf.DUMMYFUNCTION("""COMPUTED_VALUE"""),0.993723849372384)</f>
        <v>0.9937238494</v>
      </c>
      <c r="F106" s="8">
        <f>IFERROR(__xludf.DUMMYFUNCTION("""COMPUTED_VALUE"""),0.615062761506276)</f>
        <v>0.6150627615</v>
      </c>
      <c r="G106" s="8">
        <f>IFERROR(__xludf.DUMMYFUNCTION("""COMPUTED_VALUE"""),0.479079497907949)</f>
        <v>0.4790794979</v>
      </c>
      <c r="H106" s="8">
        <f>IFERROR(__xludf.DUMMYFUNCTION("""COMPUTED_VALUE"""),0.405857740585774)</f>
        <v>0.4058577406</v>
      </c>
      <c r="I106" s="8">
        <f>IFERROR(__xludf.DUMMYFUNCTION("""COMPUTED_VALUE"""),0.329831932773109)</f>
        <v>0.3298319328</v>
      </c>
      <c r="J106" s="8">
        <f>IFERROR(__xludf.DUMMYFUNCTION("""COMPUTED_VALUE"""),0.281512605042016)</f>
        <v>0.281512605</v>
      </c>
      <c r="K106" s="8">
        <f>IFERROR(__xludf.DUMMYFUNCTION("""COMPUTED_VALUE"""),0.252100840336134)</f>
        <v>0.2521008403</v>
      </c>
      <c r="L106" s="8">
        <f>IFERROR(__xludf.DUMMYFUNCTION("""COMPUTED_VALUE"""),0.210084033613445)</f>
        <v>0.2100840336</v>
      </c>
      <c r="M106" s="8">
        <f>IFERROR(__xludf.DUMMYFUNCTION("""COMPUTED_VALUE"""),0.182773109243697)</f>
        <v>0.1827731092</v>
      </c>
      <c r="N106" s="8">
        <f>IFERROR(__xludf.DUMMYFUNCTION("""COMPUTED_VALUE"""),0.172995780590717)</f>
        <v>0.1729957806</v>
      </c>
      <c r="O106" s="8">
        <f>IFERROR(__xludf.DUMMYFUNCTION("""COMPUTED_VALUE"""),0.119402985074626)</f>
        <v>0.1194029851</v>
      </c>
      <c r="P106" s="8">
        <f>IFERROR(__xludf.DUMMYFUNCTION("""COMPUTED_VALUE"""),0.0652173913043478)</f>
        <v>0.0652173913</v>
      </c>
      <c r="Q106" s="8">
        <f>IFERROR(__xludf.DUMMYFUNCTION("""COMPUTED_VALUE"""),0.0)</f>
        <v>0</v>
      </c>
      <c r="R106" s="8">
        <f>IFERROR(__xludf.DUMMYFUNCTION("""COMPUTED_VALUE"""),0.0)</f>
        <v>0</v>
      </c>
      <c r="S106" s="8">
        <f>IFERROR(__xludf.DUMMYFUNCTION("""COMPUTED_VALUE"""),0.0)</f>
        <v>0</v>
      </c>
      <c r="T106" s="8">
        <f>IFERROR(__xludf.DUMMYFUNCTION("""COMPUTED_VALUE"""),0.0)</f>
        <v>0</v>
      </c>
      <c r="U106" s="8">
        <f>IFERROR(__xludf.DUMMYFUNCTION("""COMPUTED_VALUE"""),0.0)</f>
        <v>0</v>
      </c>
      <c r="V106" s="8">
        <f>IFERROR(__xludf.DUMMYFUNCTION("""COMPUTED_VALUE"""),0.0)</f>
        <v>0</v>
      </c>
      <c r="W106" s="8">
        <f>IFERROR(__xludf.DUMMYFUNCTION("""COMPUTED_VALUE"""),0.0)</f>
        <v>0</v>
      </c>
      <c r="X106" s="8">
        <f>IFERROR(__xludf.DUMMYFUNCTION("""COMPUTED_VALUE"""),0.0)</f>
        <v>0</v>
      </c>
      <c r="Y106" s="8">
        <f>IFERROR(__xludf.DUMMYFUNCTION("""COMPUTED_VALUE"""),0.0)</f>
        <v>0</v>
      </c>
      <c r="Z106" s="8">
        <f>IFERROR(__xludf.DUMMYFUNCTION("""COMPUTED_VALUE"""),0.0)</f>
        <v>0</v>
      </c>
      <c r="AA106" s="8">
        <f>IFERROR(__xludf.DUMMYFUNCTION("""COMPUTED_VALUE"""),0.0)</f>
        <v>0</v>
      </c>
      <c r="AB106" s="8">
        <f>IFERROR(__xludf.DUMMYFUNCTION("""COMPUTED_VALUE"""),0.0)</f>
        <v>0</v>
      </c>
      <c r="AC106" s="8">
        <f>IFERROR(__xludf.DUMMYFUNCTION("""COMPUTED_VALUE"""),0.0)</f>
        <v>0</v>
      </c>
    </row>
    <row r="107" ht="15.75" customHeight="1">
      <c r="A107" s="6" t="str">
        <f>IFERROR(__xludf.DUMMYFUNCTION("""COMPUTED_VALUE"""),"5710ee62e2cd01947d8f11e6bcaaa653fd1281b2")</f>
        <v>5710ee62e2cd01947d8f11e6bcaaa653fd1281b2</v>
      </c>
      <c r="B107" s="6" t="str">
        <f>IFERROR(__xludf.DUMMYFUNCTION("""COMPUTED_VALUE"""),"The Greatest Son-in-Law")</f>
        <v>The Greatest Son-in-Law</v>
      </c>
      <c r="C107" s="6" t="str">
        <f>IFERROR(__xludf.DUMMYFUNCTION("""COMPUTED_VALUE"""),"Drama")</f>
        <v>Drama</v>
      </c>
      <c r="D107" s="11">
        <f>IFERROR(__xludf.DUMMYFUNCTION("""COMPUTED_VALUE"""),503.0)</f>
        <v>503</v>
      </c>
      <c r="E107" s="8">
        <f>IFERROR(__xludf.DUMMYFUNCTION("""COMPUTED_VALUE"""),0.980119284294234)</f>
        <v>0.9801192843</v>
      </c>
      <c r="F107" s="8">
        <f>IFERROR(__xludf.DUMMYFUNCTION("""COMPUTED_VALUE"""),0.542743538767395)</f>
        <v>0.5427435388</v>
      </c>
      <c r="G107" s="8">
        <f>IFERROR(__xludf.DUMMYFUNCTION("""COMPUTED_VALUE"""),0.445328031809145)</f>
        <v>0.4453280318</v>
      </c>
      <c r="H107" s="8">
        <f>IFERROR(__xludf.DUMMYFUNCTION("""COMPUTED_VALUE"""),0.38877755511022)</f>
        <v>0.3887775551</v>
      </c>
      <c r="I107" s="8">
        <f>IFERROR(__xludf.DUMMYFUNCTION("""COMPUTED_VALUE"""),0.329875518672199)</f>
        <v>0.3298755187</v>
      </c>
      <c r="J107" s="8">
        <f>IFERROR(__xludf.DUMMYFUNCTION("""COMPUTED_VALUE"""),0.293838862559241)</f>
        <v>0.2938388626</v>
      </c>
      <c r="K107" s="8">
        <f>IFERROR(__xludf.DUMMYFUNCTION("""COMPUTED_VALUE"""),0.262755102040816)</f>
        <v>0.262755102</v>
      </c>
      <c r="L107" s="8">
        <f>IFERROR(__xludf.DUMMYFUNCTION("""COMPUTED_VALUE"""),0.256130790190735)</f>
        <v>0.2561307902</v>
      </c>
      <c r="M107" s="8">
        <f>IFERROR(__xludf.DUMMYFUNCTION("""COMPUTED_VALUE"""),0.232558139534883)</f>
        <v>0.2325581395</v>
      </c>
      <c r="N107" s="8">
        <f>IFERROR(__xludf.DUMMYFUNCTION("""COMPUTED_VALUE"""),0.236966824644549)</f>
        <v>0.2369668246</v>
      </c>
      <c r="O107" s="8">
        <f>IFERROR(__xludf.DUMMYFUNCTION("""COMPUTED_VALUE"""),0.256410256410256)</f>
        <v>0.2564102564</v>
      </c>
      <c r="P107" s="8">
        <f>IFERROR(__xludf.DUMMYFUNCTION("""COMPUTED_VALUE"""),0.2)</f>
        <v>0.2</v>
      </c>
      <c r="Q107" s="8">
        <f>IFERROR(__xludf.DUMMYFUNCTION("""COMPUTED_VALUE"""),0.25)</f>
        <v>0.25</v>
      </c>
      <c r="R107" s="8">
        <f>IFERROR(__xludf.DUMMYFUNCTION("""COMPUTED_VALUE"""),0.0)</f>
        <v>0</v>
      </c>
      <c r="S107" s="8">
        <f>IFERROR(__xludf.DUMMYFUNCTION("""COMPUTED_VALUE"""),0.0)</f>
        <v>0</v>
      </c>
      <c r="T107" s="8">
        <f>IFERROR(__xludf.DUMMYFUNCTION("""COMPUTED_VALUE"""),0.0)</f>
        <v>0</v>
      </c>
      <c r="U107" s="8">
        <f>IFERROR(__xludf.DUMMYFUNCTION("""COMPUTED_VALUE"""),0.0)</f>
        <v>0</v>
      </c>
      <c r="V107" s="8">
        <f>IFERROR(__xludf.DUMMYFUNCTION("""COMPUTED_VALUE"""),0.0)</f>
        <v>0</v>
      </c>
      <c r="W107" s="8">
        <f>IFERROR(__xludf.DUMMYFUNCTION("""COMPUTED_VALUE"""),0.0)</f>
        <v>0</v>
      </c>
      <c r="X107" s="8">
        <f>IFERROR(__xludf.DUMMYFUNCTION("""COMPUTED_VALUE"""),0.0)</f>
        <v>0</v>
      </c>
      <c r="Y107" s="8">
        <f>IFERROR(__xludf.DUMMYFUNCTION("""COMPUTED_VALUE"""),0.0)</f>
        <v>0</v>
      </c>
      <c r="Z107" s="8">
        <f>IFERROR(__xludf.DUMMYFUNCTION("""COMPUTED_VALUE"""),0.0)</f>
        <v>0</v>
      </c>
      <c r="AA107" s="8">
        <f>IFERROR(__xludf.DUMMYFUNCTION("""COMPUTED_VALUE"""),0.0)</f>
        <v>0</v>
      </c>
      <c r="AB107" s="8">
        <f>IFERROR(__xludf.DUMMYFUNCTION("""COMPUTED_VALUE"""),0.0)</f>
        <v>0</v>
      </c>
      <c r="AC107" s="8">
        <f>IFERROR(__xludf.DUMMYFUNCTION("""COMPUTED_VALUE"""),0.0)</f>
        <v>0</v>
      </c>
    </row>
    <row r="108" ht="15.75" customHeight="1">
      <c r="A108" s="6" t="str">
        <f>IFERROR(__xludf.DUMMYFUNCTION("""COMPUTED_VALUE"""),"57c4ad36d88c94c3d6132c931c371b08f21ab0e1")</f>
        <v>57c4ad36d88c94c3d6132c931c371b08f21ab0e1</v>
      </c>
      <c r="B108" s="6" t="str">
        <f>IFERROR(__xludf.DUMMYFUNCTION("""COMPUTED_VALUE"""),"Warlord of the Frozen Daw")</f>
        <v>Warlord of the Frozen Daw</v>
      </c>
      <c r="C108" s="6" t="str">
        <f>IFERROR(__xludf.DUMMYFUNCTION("""COMPUTED_VALUE"""),"Drama")</f>
        <v>Drama</v>
      </c>
      <c r="D108" s="11">
        <f>IFERROR(__xludf.DUMMYFUNCTION("""COMPUTED_VALUE"""),8.0)</f>
        <v>8</v>
      </c>
      <c r="E108" s="8">
        <f>IFERROR(__xludf.DUMMYFUNCTION("""COMPUTED_VALUE"""),1.0)</f>
        <v>1</v>
      </c>
      <c r="F108" s="8">
        <f>IFERROR(__xludf.DUMMYFUNCTION("""COMPUTED_VALUE"""),0.5)</f>
        <v>0.5</v>
      </c>
      <c r="G108" s="8">
        <f>IFERROR(__xludf.DUMMYFUNCTION("""COMPUTED_VALUE"""),0.5)</f>
        <v>0.5</v>
      </c>
      <c r="H108" s="8">
        <f>IFERROR(__xludf.DUMMYFUNCTION("""COMPUTED_VALUE"""),0.375)</f>
        <v>0.375</v>
      </c>
      <c r="I108" s="8">
        <f>IFERROR(__xludf.DUMMYFUNCTION("""COMPUTED_VALUE"""),0.375)</f>
        <v>0.375</v>
      </c>
      <c r="J108" s="8">
        <f>IFERROR(__xludf.DUMMYFUNCTION("""COMPUTED_VALUE"""),0.375)</f>
        <v>0.375</v>
      </c>
      <c r="K108" s="8">
        <f>IFERROR(__xludf.DUMMYFUNCTION("""COMPUTED_VALUE"""),0.285714285714285)</f>
        <v>0.2857142857</v>
      </c>
      <c r="L108" s="8">
        <f>IFERROR(__xludf.DUMMYFUNCTION("""COMPUTED_VALUE"""),0.142857142857142)</f>
        <v>0.1428571429</v>
      </c>
      <c r="M108" s="8">
        <f>IFERROR(__xludf.DUMMYFUNCTION("""COMPUTED_VALUE"""),0.142857142857142)</f>
        <v>0.1428571429</v>
      </c>
      <c r="N108" s="8">
        <f>IFERROR(__xludf.DUMMYFUNCTION("""COMPUTED_VALUE"""),0.142857142857142)</f>
        <v>0.1428571429</v>
      </c>
      <c r="O108" s="8">
        <f>IFERROR(__xludf.DUMMYFUNCTION("""COMPUTED_VALUE"""),0.4)</f>
        <v>0.4</v>
      </c>
      <c r="P108" s="8">
        <f>IFERROR(__xludf.DUMMYFUNCTION("""COMPUTED_VALUE"""),0.2)</f>
        <v>0.2</v>
      </c>
      <c r="Q108" s="8">
        <f>IFERROR(__xludf.DUMMYFUNCTION("""COMPUTED_VALUE"""),0.0)</f>
        <v>0</v>
      </c>
      <c r="R108" s="8">
        <f>IFERROR(__xludf.DUMMYFUNCTION("""COMPUTED_VALUE"""),0.0)</f>
        <v>0</v>
      </c>
      <c r="S108" s="8">
        <f>IFERROR(__xludf.DUMMYFUNCTION("""COMPUTED_VALUE"""),0.0)</f>
        <v>0</v>
      </c>
      <c r="T108" s="8">
        <f>IFERROR(__xludf.DUMMYFUNCTION("""COMPUTED_VALUE"""),0.0)</f>
        <v>0</v>
      </c>
      <c r="U108" s="8">
        <f>IFERROR(__xludf.DUMMYFUNCTION("""COMPUTED_VALUE"""),0.0)</f>
        <v>0</v>
      </c>
      <c r="V108" s="8">
        <f>IFERROR(__xludf.DUMMYFUNCTION("""COMPUTED_VALUE"""),0.0)</f>
        <v>0</v>
      </c>
      <c r="W108" s="8">
        <f>IFERROR(__xludf.DUMMYFUNCTION("""COMPUTED_VALUE"""),0.0)</f>
        <v>0</v>
      </c>
      <c r="X108" s="8">
        <f>IFERROR(__xludf.DUMMYFUNCTION("""COMPUTED_VALUE"""),0.0)</f>
        <v>0</v>
      </c>
      <c r="Y108" s="8">
        <f>IFERROR(__xludf.DUMMYFUNCTION("""COMPUTED_VALUE"""),0.0)</f>
        <v>0</v>
      </c>
      <c r="Z108" s="8">
        <f>IFERROR(__xludf.DUMMYFUNCTION("""COMPUTED_VALUE"""),0.0)</f>
        <v>0</v>
      </c>
      <c r="AA108" s="8">
        <f>IFERROR(__xludf.DUMMYFUNCTION("""COMPUTED_VALUE"""),0.0)</f>
        <v>0</v>
      </c>
      <c r="AB108" s="8">
        <f>IFERROR(__xludf.DUMMYFUNCTION("""COMPUTED_VALUE"""),0.0)</f>
        <v>0</v>
      </c>
      <c r="AC108" s="8">
        <f>IFERROR(__xludf.DUMMYFUNCTION("""COMPUTED_VALUE"""),0.0)</f>
        <v>0</v>
      </c>
    </row>
    <row r="109" ht="15.75" customHeight="1">
      <c r="A109" s="6" t="str">
        <f>IFERROR(__xludf.DUMMYFUNCTION("""COMPUTED_VALUE"""),"57e670da35fed12abf270953b1cf3cf942fc89e1")</f>
        <v>57e670da35fed12abf270953b1cf3cf942fc89e1</v>
      </c>
      <c r="B109" s="6" t="str">
        <f>IFERROR(__xludf.DUMMYFUNCTION("""COMPUTED_VALUE"""),"You Are Mine Alone, Love")</f>
        <v>You Are Mine Alone, Love</v>
      </c>
      <c r="C109" s="6" t="str">
        <f>IFERROR(__xludf.DUMMYFUNCTION("""COMPUTED_VALUE"""),"Romance")</f>
        <v>Romance</v>
      </c>
      <c r="D109" s="11">
        <f>IFERROR(__xludf.DUMMYFUNCTION("""COMPUTED_VALUE"""),20.0)</f>
        <v>20</v>
      </c>
      <c r="E109" s="8">
        <f>IFERROR(__xludf.DUMMYFUNCTION("""COMPUTED_VALUE"""),1.0)</f>
        <v>1</v>
      </c>
      <c r="F109" s="8">
        <f>IFERROR(__xludf.DUMMYFUNCTION("""COMPUTED_VALUE"""),0.4)</f>
        <v>0.4</v>
      </c>
      <c r="G109" s="8">
        <f>IFERROR(__xludf.DUMMYFUNCTION("""COMPUTED_VALUE"""),0.4)</f>
        <v>0.4</v>
      </c>
      <c r="H109" s="8">
        <f>IFERROR(__xludf.DUMMYFUNCTION("""COMPUTED_VALUE"""),0.222222222222222)</f>
        <v>0.2222222222</v>
      </c>
      <c r="I109" s="8">
        <f>IFERROR(__xludf.DUMMYFUNCTION("""COMPUTED_VALUE"""),0.235294117647058)</f>
        <v>0.2352941176</v>
      </c>
      <c r="J109" s="8">
        <f>IFERROR(__xludf.DUMMYFUNCTION("""COMPUTED_VALUE"""),0.2)</f>
        <v>0.2</v>
      </c>
      <c r="K109" s="8">
        <f>IFERROR(__xludf.DUMMYFUNCTION("""COMPUTED_VALUE"""),0.142857142857142)</f>
        <v>0.1428571429</v>
      </c>
      <c r="L109" s="8">
        <f>IFERROR(__xludf.DUMMYFUNCTION("""COMPUTED_VALUE"""),0.0909090909090909)</f>
        <v>0.09090909091</v>
      </c>
      <c r="M109" s="8">
        <f>IFERROR(__xludf.DUMMYFUNCTION("""COMPUTED_VALUE"""),0.1)</f>
        <v>0.1</v>
      </c>
      <c r="N109" s="8">
        <f>IFERROR(__xludf.DUMMYFUNCTION("""COMPUTED_VALUE"""),0.125)</f>
        <v>0.125</v>
      </c>
      <c r="O109" s="8">
        <f>IFERROR(__xludf.DUMMYFUNCTION("""COMPUTED_VALUE"""),0.0)</f>
        <v>0</v>
      </c>
      <c r="P109" s="8">
        <f>IFERROR(__xludf.DUMMYFUNCTION("""COMPUTED_VALUE"""),0.0)</f>
        <v>0</v>
      </c>
      <c r="Q109" s="8">
        <f>IFERROR(__xludf.DUMMYFUNCTION("""COMPUTED_VALUE"""),0.0)</f>
        <v>0</v>
      </c>
      <c r="R109" s="8">
        <f>IFERROR(__xludf.DUMMYFUNCTION("""COMPUTED_VALUE"""),0.0)</f>
        <v>0</v>
      </c>
      <c r="S109" s="8">
        <f>IFERROR(__xludf.DUMMYFUNCTION("""COMPUTED_VALUE"""),0.0)</f>
        <v>0</v>
      </c>
      <c r="T109" s="8">
        <f>IFERROR(__xludf.DUMMYFUNCTION("""COMPUTED_VALUE"""),0.0)</f>
        <v>0</v>
      </c>
      <c r="U109" s="8">
        <f>IFERROR(__xludf.DUMMYFUNCTION("""COMPUTED_VALUE"""),0.0)</f>
        <v>0</v>
      </c>
      <c r="V109" s="8">
        <f>IFERROR(__xludf.DUMMYFUNCTION("""COMPUTED_VALUE"""),0.0)</f>
        <v>0</v>
      </c>
      <c r="W109" s="8">
        <f>IFERROR(__xludf.DUMMYFUNCTION("""COMPUTED_VALUE"""),0.0)</f>
        <v>0</v>
      </c>
      <c r="X109" s="8">
        <f>IFERROR(__xludf.DUMMYFUNCTION("""COMPUTED_VALUE"""),0.0)</f>
        <v>0</v>
      </c>
      <c r="Y109" s="8">
        <f>IFERROR(__xludf.DUMMYFUNCTION("""COMPUTED_VALUE"""),0.0)</f>
        <v>0</v>
      </c>
      <c r="Z109" s="8">
        <f>IFERROR(__xludf.DUMMYFUNCTION("""COMPUTED_VALUE"""),0.0)</f>
        <v>0</v>
      </c>
      <c r="AA109" s="8">
        <f>IFERROR(__xludf.DUMMYFUNCTION("""COMPUTED_VALUE"""),0.0)</f>
        <v>0</v>
      </c>
      <c r="AB109" s="8">
        <f>IFERROR(__xludf.DUMMYFUNCTION("""COMPUTED_VALUE"""),0.0)</f>
        <v>0</v>
      </c>
      <c r="AC109" s="8">
        <f>IFERROR(__xludf.DUMMYFUNCTION("""COMPUTED_VALUE"""),0.0)</f>
        <v>0</v>
      </c>
    </row>
    <row r="110" ht="15.75" customHeight="1">
      <c r="A110" s="6" t="str">
        <f>IFERROR(__xludf.DUMMYFUNCTION("""COMPUTED_VALUE"""),"57ebfa5b58a3257a521a5b9c12c5af19771e4403")</f>
        <v>57ebfa5b58a3257a521a5b9c12c5af19771e4403</v>
      </c>
      <c r="B110" s="6" t="str">
        <f>IFERROR(__xludf.DUMMYFUNCTION("""COMPUTED_VALUE"""),"Unmasking the Bride")</f>
        <v>Unmasking the Bride</v>
      </c>
      <c r="C110" s="6" t="str">
        <f>IFERROR(__xludf.DUMMYFUNCTION("""COMPUTED_VALUE"""),"Romance")</f>
        <v>Romance</v>
      </c>
      <c r="D110" s="11">
        <f>IFERROR(__xludf.DUMMYFUNCTION("""COMPUTED_VALUE"""),9.0)</f>
        <v>9</v>
      </c>
      <c r="E110" s="8">
        <f>IFERROR(__xludf.DUMMYFUNCTION("""COMPUTED_VALUE"""),1.0)</f>
        <v>1</v>
      </c>
      <c r="F110" s="8">
        <f>IFERROR(__xludf.DUMMYFUNCTION("""COMPUTED_VALUE"""),0.444444444444444)</f>
        <v>0.4444444444</v>
      </c>
      <c r="G110" s="8">
        <f>IFERROR(__xludf.DUMMYFUNCTION("""COMPUTED_VALUE"""),0.333333333333333)</f>
        <v>0.3333333333</v>
      </c>
      <c r="H110" s="8">
        <f>IFERROR(__xludf.DUMMYFUNCTION("""COMPUTED_VALUE"""),0.333333333333333)</f>
        <v>0.3333333333</v>
      </c>
      <c r="I110" s="8">
        <f>IFERROR(__xludf.DUMMYFUNCTION("""COMPUTED_VALUE"""),0.222222222222222)</f>
        <v>0.2222222222</v>
      </c>
      <c r="J110" s="8">
        <f>IFERROR(__xludf.DUMMYFUNCTION("""COMPUTED_VALUE"""),0.111111111111111)</f>
        <v>0.1111111111</v>
      </c>
      <c r="K110" s="8">
        <f>IFERROR(__xludf.DUMMYFUNCTION("""COMPUTED_VALUE"""),0.222222222222222)</f>
        <v>0.2222222222</v>
      </c>
      <c r="L110" s="8">
        <f>IFERROR(__xludf.DUMMYFUNCTION("""COMPUTED_VALUE"""),0.222222222222222)</f>
        <v>0.2222222222</v>
      </c>
      <c r="M110" s="8">
        <f>IFERROR(__xludf.DUMMYFUNCTION("""COMPUTED_VALUE"""),0.222222222222222)</f>
        <v>0.2222222222</v>
      </c>
      <c r="N110" s="8">
        <f>IFERROR(__xludf.DUMMYFUNCTION("""COMPUTED_VALUE"""),0.111111111111111)</f>
        <v>0.1111111111</v>
      </c>
      <c r="O110" s="8">
        <f>IFERROR(__xludf.DUMMYFUNCTION("""COMPUTED_VALUE"""),0.333333333333333)</f>
        <v>0.3333333333</v>
      </c>
      <c r="P110" s="8">
        <f>IFERROR(__xludf.DUMMYFUNCTION("""COMPUTED_VALUE"""),0.222222222222222)</f>
        <v>0.2222222222</v>
      </c>
      <c r="Q110" s="8">
        <f>IFERROR(__xludf.DUMMYFUNCTION("""COMPUTED_VALUE"""),0.125)</f>
        <v>0.125</v>
      </c>
      <c r="R110" s="8">
        <f>IFERROR(__xludf.DUMMYFUNCTION("""COMPUTED_VALUE"""),0.0)</f>
        <v>0</v>
      </c>
      <c r="S110" s="8">
        <f>IFERROR(__xludf.DUMMYFUNCTION("""COMPUTED_VALUE"""),0.0)</f>
        <v>0</v>
      </c>
      <c r="T110" s="8">
        <f>IFERROR(__xludf.DUMMYFUNCTION("""COMPUTED_VALUE"""),0.0)</f>
        <v>0</v>
      </c>
      <c r="U110" s="8">
        <f>IFERROR(__xludf.DUMMYFUNCTION("""COMPUTED_VALUE"""),0.0)</f>
        <v>0</v>
      </c>
      <c r="V110" s="8">
        <f>IFERROR(__xludf.DUMMYFUNCTION("""COMPUTED_VALUE"""),0.0)</f>
        <v>0</v>
      </c>
      <c r="W110" s="8">
        <f>IFERROR(__xludf.DUMMYFUNCTION("""COMPUTED_VALUE"""),0.0)</f>
        <v>0</v>
      </c>
      <c r="X110" s="8">
        <f>IFERROR(__xludf.DUMMYFUNCTION("""COMPUTED_VALUE"""),0.0)</f>
        <v>0</v>
      </c>
      <c r="Y110" s="8">
        <f>IFERROR(__xludf.DUMMYFUNCTION("""COMPUTED_VALUE"""),0.0)</f>
        <v>0</v>
      </c>
      <c r="Z110" s="8">
        <f>IFERROR(__xludf.DUMMYFUNCTION("""COMPUTED_VALUE"""),0.0)</f>
        <v>0</v>
      </c>
      <c r="AA110" s="8">
        <f>IFERROR(__xludf.DUMMYFUNCTION("""COMPUTED_VALUE"""),0.0)</f>
        <v>0</v>
      </c>
      <c r="AB110" s="8">
        <f>IFERROR(__xludf.DUMMYFUNCTION("""COMPUTED_VALUE"""),0.0)</f>
        <v>0</v>
      </c>
      <c r="AC110" s="8">
        <f>IFERROR(__xludf.DUMMYFUNCTION("""COMPUTED_VALUE"""),0.0)</f>
        <v>0</v>
      </c>
    </row>
    <row r="111" ht="15.75" customHeight="1">
      <c r="A111" s="6" t="str">
        <f>IFERROR(__xludf.DUMMYFUNCTION("""COMPUTED_VALUE"""),"5843f25ac24c8ba34301e2cfe9e73ddc0bfd8fc7")</f>
        <v>5843f25ac24c8ba34301e2cfe9e73ddc0bfd8fc7</v>
      </c>
      <c r="B111" s="6" t="str">
        <f>IFERROR(__xludf.DUMMYFUNCTION("""COMPUTED_VALUE"""),"The Fire Reborn Xavier")</f>
        <v>The Fire Reborn Xavier</v>
      </c>
      <c r="C111" s="6" t="str">
        <f>IFERROR(__xludf.DUMMYFUNCTION("""COMPUTED_VALUE"""),"System and Superpower")</f>
        <v>System and Superpower</v>
      </c>
      <c r="D111" s="11">
        <f>IFERROR(__xludf.DUMMYFUNCTION("""COMPUTED_VALUE"""),581.0)</f>
        <v>581</v>
      </c>
      <c r="E111" s="8">
        <f>IFERROR(__xludf.DUMMYFUNCTION("""COMPUTED_VALUE"""),0.989672977624784)</f>
        <v>0.9896729776</v>
      </c>
      <c r="F111" s="8">
        <f>IFERROR(__xludf.DUMMYFUNCTION("""COMPUTED_VALUE"""),0.511187607573149)</f>
        <v>0.5111876076</v>
      </c>
      <c r="G111" s="8">
        <f>IFERROR(__xludf.DUMMYFUNCTION("""COMPUTED_VALUE"""),0.450946643717728)</f>
        <v>0.4509466437</v>
      </c>
      <c r="H111" s="8">
        <f>IFERROR(__xludf.DUMMYFUNCTION("""COMPUTED_VALUE"""),0.400690846286701)</f>
        <v>0.4006908463</v>
      </c>
      <c r="I111" s="8">
        <f>IFERROR(__xludf.DUMMYFUNCTION("""COMPUTED_VALUE"""),0.374350086655112)</f>
        <v>0.3743500867</v>
      </c>
      <c r="J111" s="8">
        <f>IFERROR(__xludf.DUMMYFUNCTION("""COMPUTED_VALUE"""),0.348958333333333)</f>
        <v>0.3489583333</v>
      </c>
      <c r="K111" s="8">
        <f>IFERROR(__xludf.DUMMYFUNCTION("""COMPUTED_VALUE"""),0.321116928446771)</f>
        <v>0.3211169284</v>
      </c>
      <c r="L111" s="8">
        <f>IFERROR(__xludf.DUMMYFUNCTION("""COMPUTED_VALUE"""),0.314183123877917)</f>
        <v>0.3141831239</v>
      </c>
      <c r="M111" s="8">
        <f>IFERROR(__xludf.DUMMYFUNCTION("""COMPUTED_VALUE"""),0.291164658634538)</f>
        <v>0.2911646586</v>
      </c>
      <c r="N111" s="8">
        <f>IFERROR(__xludf.DUMMYFUNCTION("""COMPUTED_VALUE"""),0.270642201834862)</f>
        <v>0.2706422018</v>
      </c>
      <c r="O111" s="8">
        <f>IFERROR(__xludf.DUMMYFUNCTION("""COMPUTED_VALUE"""),0.3125)</f>
        <v>0.3125</v>
      </c>
      <c r="P111" s="8">
        <f>IFERROR(__xludf.DUMMYFUNCTION("""COMPUTED_VALUE"""),0.25)</f>
        <v>0.25</v>
      </c>
      <c r="Q111" s="8">
        <f>IFERROR(__xludf.DUMMYFUNCTION("""COMPUTED_VALUE"""),0.197916666666666)</f>
        <v>0.1979166667</v>
      </c>
      <c r="R111" s="8">
        <f>IFERROR(__xludf.DUMMYFUNCTION("""COMPUTED_VALUE"""),0.108433734939759)</f>
        <v>0.1084337349</v>
      </c>
      <c r="S111" s="8">
        <f>IFERROR(__xludf.DUMMYFUNCTION("""COMPUTED_VALUE"""),0.0909090909090909)</f>
        <v>0.09090909091</v>
      </c>
      <c r="T111" s="8">
        <f>IFERROR(__xludf.DUMMYFUNCTION("""COMPUTED_VALUE"""),0.0)</f>
        <v>0</v>
      </c>
      <c r="U111" s="8">
        <f>IFERROR(__xludf.DUMMYFUNCTION("""COMPUTED_VALUE"""),0.0)</f>
        <v>0</v>
      </c>
      <c r="V111" s="8">
        <f>IFERROR(__xludf.DUMMYFUNCTION("""COMPUTED_VALUE"""),0.0)</f>
        <v>0</v>
      </c>
      <c r="W111" s="8">
        <f>IFERROR(__xludf.DUMMYFUNCTION("""COMPUTED_VALUE"""),0.0)</f>
        <v>0</v>
      </c>
      <c r="X111" s="8">
        <f>IFERROR(__xludf.DUMMYFUNCTION("""COMPUTED_VALUE"""),0.0)</f>
        <v>0</v>
      </c>
      <c r="Y111" s="8">
        <f>IFERROR(__xludf.DUMMYFUNCTION("""COMPUTED_VALUE"""),0.0)</f>
        <v>0</v>
      </c>
      <c r="Z111" s="8">
        <f>IFERROR(__xludf.DUMMYFUNCTION("""COMPUTED_VALUE"""),0.0)</f>
        <v>0</v>
      </c>
      <c r="AA111" s="8">
        <f>IFERROR(__xludf.DUMMYFUNCTION("""COMPUTED_VALUE"""),0.0)</f>
        <v>0</v>
      </c>
      <c r="AB111" s="8">
        <f>IFERROR(__xludf.DUMMYFUNCTION("""COMPUTED_VALUE"""),0.0)</f>
        <v>0</v>
      </c>
      <c r="AC111" s="8">
        <f>IFERROR(__xludf.DUMMYFUNCTION("""COMPUTED_VALUE"""),0.0)</f>
        <v>0</v>
      </c>
    </row>
    <row r="112" ht="15.75" customHeight="1">
      <c r="A112" s="6" t="str">
        <f>IFERROR(__xludf.DUMMYFUNCTION("""COMPUTED_VALUE"""),"596d213162507bbf543b3c2a618f8bb54acd4623")</f>
        <v>596d213162507bbf543b3c2a618f8bb54acd4623</v>
      </c>
      <c r="B112" s="6" t="str">
        <f>IFERROR(__xludf.DUMMYFUNCTION("""COMPUTED_VALUE"""),"Echoes of Regrets")</f>
        <v>Echoes of Regrets</v>
      </c>
      <c r="C112" s="6" t="str">
        <f>IFERROR(__xludf.DUMMYFUNCTION("""COMPUTED_VALUE"""),"Romance")</f>
        <v>Romance</v>
      </c>
      <c r="D112" s="11">
        <f>IFERROR(__xludf.DUMMYFUNCTION("""COMPUTED_VALUE"""),25.0)</f>
        <v>25</v>
      </c>
      <c r="E112" s="8">
        <f>IFERROR(__xludf.DUMMYFUNCTION("""COMPUTED_VALUE"""),1.0)</f>
        <v>1</v>
      </c>
      <c r="F112" s="8">
        <f>IFERROR(__xludf.DUMMYFUNCTION("""COMPUTED_VALUE"""),0.6)</f>
        <v>0.6</v>
      </c>
      <c r="G112" s="8">
        <f>IFERROR(__xludf.DUMMYFUNCTION("""COMPUTED_VALUE"""),0.44)</f>
        <v>0.44</v>
      </c>
      <c r="H112" s="8">
        <f>IFERROR(__xludf.DUMMYFUNCTION("""COMPUTED_VALUE"""),0.347826086956521)</f>
        <v>0.347826087</v>
      </c>
      <c r="I112" s="8">
        <f>IFERROR(__xludf.DUMMYFUNCTION("""COMPUTED_VALUE"""),0.285714285714285)</f>
        <v>0.2857142857</v>
      </c>
      <c r="J112" s="8">
        <f>IFERROR(__xludf.DUMMYFUNCTION("""COMPUTED_VALUE"""),0.2)</f>
        <v>0.2</v>
      </c>
      <c r="K112" s="8">
        <f>IFERROR(__xludf.DUMMYFUNCTION("""COMPUTED_VALUE"""),0.2)</f>
        <v>0.2</v>
      </c>
      <c r="L112" s="8">
        <f>IFERROR(__xludf.DUMMYFUNCTION("""COMPUTED_VALUE"""),0.214285714285714)</f>
        <v>0.2142857143</v>
      </c>
      <c r="M112" s="8">
        <f>IFERROR(__xludf.DUMMYFUNCTION("""COMPUTED_VALUE"""),0.1)</f>
        <v>0.1</v>
      </c>
      <c r="N112" s="8">
        <f>IFERROR(__xludf.DUMMYFUNCTION("""COMPUTED_VALUE"""),0.111111111111111)</f>
        <v>0.1111111111</v>
      </c>
      <c r="O112" s="8">
        <f>IFERROR(__xludf.DUMMYFUNCTION("""COMPUTED_VALUE"""),0.125)</f>
        <v>0.125</v>
      </c>
      <c r="P112" s="8">
        <f>IFERROR(__xludf.DUMMYFUNCTION("""COMPUTED_VALUE"""),0.125)</f>
        <v>0.125</v>
      </c>
      <c r="Q112" s="8">
        <f>IFERROR(__xludf.DUMMYFUNCTION("""COMPUTED_VALUE"""),0.0)</f>
        <v>0</v>
      </c>
      <c r="R112" s="8">
        <f>IFERROR(__xludf.DUMMYFUNCTION("""COMPUTED_VALUE"""),0.0)</f>
        <v>0</v>
      </c>
      <c r="S112" s="8">
        <f>IFERROR(__xludf.DUMMYFUNCTION("""COMPUTED_VALUE"""),0.0)</f>
        <v>0</v>
      </c>
      <c r="T112" s="8">
        <f>IFERROR(__xludf.DUMMYFUNCTION("""COMPUTED_VALUE"""),0.0)</f>
        <v>0</v>
      </c>
      <c r="U112" s="8">
        <f>IFERROR(__xludf.DUMMYFUNCTION("""COMPUTED_VALUE"""),0.0)</f>
        <v>0</v>
      </c>
      <c r="V112" s="8">
        <f>IFERROR(__xludf.DUMMYFUNCTION("""COMPUTED_VALUE"""),0.0)</f>
        <v>0</v>
      </c>
      <c r="W112" s="8">
        <f>IFERROR(__xludf.DUMMYFUNCTION("""COMPUTED_VALUE"""),0.0)</f>
        <v>0</v>
      </c>
      <c r="X112" s="8">
        <f>IFERROR(__xludf.DUMMYFUNCTION("""COMPUTED_VALUE"""),0.0)</f>
        <v>0</v>
      </c>
      <c r="Y112" s="8">
        <f>IFERROR(__xludf.DUMMYFUNCTION("""COMPUTED_VALUE"""),0.0)</f>
        <v>0</v>
      </c>
      <c r="Z112" s="8">
        <f>IFERROR(__xludf.DUMMYFUNCTION("""COMPUTED_VALUE"""),0.0)</f>
        <v>0</v>
      </c>
      <c r="AA112" s="8">
        <f>IFERROR(__xludf.DUMMYFUNCTION("""COMPUTED_VALUE"""),0.0)</f>
        <v>0</v>
      </c>
      <c r="AB112" s="8">
        <f>IFERROR(__xludf.DUMMYFUNCTION("""COMPUTED_VALUE"""),0.0)</f>
        <v>0</v>
      </c>
      <c r="AC112" s="8">
        <f>IFERROR(__xludf.DUMMYFUNCTION("""COMPUTED_VALUE"""),0.0)</f>
        <v>0</v>
      </c>
    </row>
    <row r="113" ht="15.75" customHeight="1">
      <c r="A113" s="6" t="str">
        <f>IFERROR(__xludf.DUMMYFUNCTION("""COMPUTED_VALUE"""),"5c0a4a3bda3c16a4ed94c8945bade52e165a2848")</f>
        <v>5c0a4a3bda3c16a4ed94c8945bade52e165a2848</v>
      </c>
      <c r="B113" s="6" t="str">
        <f>IFERROR(__xludf.DUMMYFUNCTION("""COMPUTED_VALUE"""),"Bound to Reclusive Alpha")</f>
        <v>Bound to Reclusive Alpha</v>
      </c>
      <c r="C113" s="6" t="str">
        <f>IFERROR(__xludf.DUMMYFUNCTION("""COMPUTED_VALUE"""),"Fantasy")</f>
        <v>Fantasy</v>
      </c>
      <c r="D113" s="11">
        <f>IFERROR(__xludf.DUMMYFUNCTION("""COMPUTED_VALUE"""),48.0)</f>
        <v>48</v>
      </c>
      <c r="E113" s="8">
        <f>IFERROR(__xludf.DUMMYFUNCTION("""COMPUTED_VALUE"""),0.979166666666666)</f>
        <v>0.9791666667</v>
      </c>
      <c r="F113" s="8">
        <f>IFERROR(__xludf.DUMMYFUNCTION("""COMPUTED_VALUE"""),0.479166666666666)</f>
        <v>0.4791666667</v>
      </c>
      <c r="G113" s="8">
        <f>IFERROR(__xludf.DUMMYFUNCTION("""COMPUTED_VALUE"""),0.375)</f>
        <v>0.375</v>
      </c>
      <c r="H113" s="8">
        <f>IFERROR(__xludf.DUMMYFUNCTION("""COMPUTED_VALUE"""),0.354166666666666)</f>
        <v>0.3541666667</v>
      </c>
      <c r="I113" s="8">
        <f>IFERROR(__xludf.DUMMYFUNCTION("""COMPUTED_VALUE"""),0.361702127659574)</f>
        <v>0.3617021277</v>
      </c>
      <c r="J113" s="8">
        <f>IFERROR(__xludf.DUMMYFUNCTION("""COMPUTED_VALUE"""),0.347826086956521)</f>
        <v>0.347826087</v>
      </c>
      <c r="K113" s="8">
        <f>IFERROR(__xludf.DUMMYFUNCTION("""COMPUTED_VALUE"""),0.311111111111111)</f>
        <v>0.3111111111</v>
      </c>
      <c r="L113" s="8">
        <f>IFERROR(__xludf.DUMMYFUNCTION("""COMPUTED_VALUE"""),0.34090909090909)</f>
        <v>0.3409090909</v>
      </c>
      <c r="M113" s="8">
        <f>IFERROR(__xludf.DUMMYFUNCTION("""COMPUTED_VALUE"""),0.333333333333333)</f>
        <v>0.3333333333</v>
      </c>
      <c r="N113" s="8">
        <f>IFERROR(__xludf.DUMMYFUNCTION("""COMPUTED_VALUE"""),0.333333333333333)</f>
        <v>0.3333333333</v>
      </c>
      <c r="O113" s="8">
        <f>IFERROR(__xludf.DUMMYFUNCTION("""COMPUTED_VALUE"""),0.0857142857142857)</f>
        <v>0.08571428571</v>
      </c>
      <c r="P113" s="8">
        <f>IFERROR(__xludf.DUMMYFUNCTION("""COMPUTED_VALUE"""),0.1)</f>
        <v>0.1</v>
      </c>
      <c r="Q113" s="8">
        <f>IFERROR(__xludf.DUMMYFUNCTION("""COMPUTED_VALUE"""),0.0)</f>
        <v>0</v>
      </c>
      <c r="R113" s="8">
        <f>IFERROR(__xludf.DUMMYFUNCTION("""COMPUTED_VALUE"""),0.0)</f>
        <v>0</v>
      </c>
      <c r="S113" s="8">
        <f>IFERROR(__xludf.DUMMYFUNCTION("""COMPUTED_VALUE"""),0.0)</f>
        <v>0</v>
      </c>
      <c r="T113" s="8">
        <f>IFERROR(__xludf.DUMMYFUNCTION("""COMPUTED_VALUE"""),0.0)</f>
        <v>0</v>
      </c>
      <c r="U113" s="8">
        <f>IFERROR(__xludf.DUMMYFUNCTION("""COMPUTED_VALUE"""),0.0)</f>
        <v>0</v>
      </c>
      <c r="V113" s="8">
        <f>IFERROR(__xludf.DUMMYFUNCTION("""COMPUTED_VALUE"""),0.0)</f>
        <v>0</v>
      </c>
      <c r="W113" s="8">
        <f>IFERROR(__xludf.DUMMYFUNCTION("""COMPUTED_VALUE"""),0.0)</f>
        <v>0</v>
      </c>
      <c r="X113" s="8">
        <f>IFERROR(__xludf.DUMMYFUNCTION("""COMPUTED_VALUE"""),0.0)</f>
        <v>0</v>
      </c>
      <c r="Y113" s="8">
        <f>IFERROR(__xludf.DUMMYFUNCTION("""COMPUTED_VALUE"""),0.0)</f>
        <v>0</v>
      </c>
      <c r="Z113" s="8">
        <f>IFERROR(__xludf.DUMMYFUNCTION("""COMPUTED_VALUE"""),0.0)</f>
        <v>0</v>
      </c>
      <c r="AA113" s="8">
        <f>IFERROR(__xludf.DUMMYFUNCTION("""COMPUTED_VALUE"""),0.0)</f>
        <v>0</v>
      </c>
      <c r="AB113" s="8">
        <f>IFERROR(__xludf.DUMMYFUNCTION("""COMPUTED_VALUE"""),0.0)</f>
        <v>0</v>
      </c>
      <c r="AC113" s="8">
        <f>IFERROR(__xludf.DUMMYFUNCTION("""COMPUTED_VALUE"""),0.0)</f>
        <v>0</v>
      </c>
    </row>
    <row r="114" ht="15.75" customHeight="1">
      <c r="A114" s="6" t="str">
        <f>IFERROR(__xludf.DUMMYFUNCTION("""COMPUTED_VALUE"""),"5cf4b46f18d6bb7294440595874ef70922a2b9a3")</f>
        <v>5cf4b46f18d6bb7294440595874ef70922a2b9a3</v>
      </c>
      <c r="B114" s="6" t="str">
        <f>IFERROR(__xludf.DUMMYFUNCTION("""COMPUTED_VALUE"""),"Alabama Royal")</f>
        <v>Alabama Royal</v>
      </c>
      <c r="C114" s="6" t="str">
        <f>IFERROR(__xludf.DUMMYFUNCTION("""COMPUTED_VALUE"""),"Romance")</f>
        <v>Romance</v>
      </c>
      <c r="D114" s="11">
        <f>IFERROR(__xludf.DUMMYFUNCTION("""COMPUTED_VALUE"""),89.0)</f>
        <v>89</v>
      </c>
      <c r="E114" s="8">
        <f>IFERROR(__xludf.DUMMYFUNCTION("""COMPUTED_VALUE"""),0.98876404494382)</f>
        <v>0.9887640449</v>
      </c>
      <c r="F114" s="8">
        <f>IFERROR(__xludf.DUMMYFUNCTION("""COMPUTED_VALUE"""),0.449438202247191)</f>
        <v>0.4494382022</v>
      </c>
      <c r="G114" s="8">
        <f>IFERROR(__xludf.DUMMYFUNCTION("""COMPUTED_VALUE"""),0.382022471910112)</f>
        <v>0.3820224719</v>
      </c>
      <c r="H114" s="8">
        <f>IFERROR(__xludf.DUMMYFUNCTION("""COMPUTED_VALUE"""),0.337078651685393)</f>
        <v>0.3370786517</v>
      </c>
      <c r="I114" s="8">
        <f>IFERROR(__xludf.DUMMYFUNCTION("""COMPUTED_VALUE"""),0.325842696629213)</f>
        <v>0.3258426966</v>
      </c>
      <c r="J114" s="8">
        <f>IFERROR(__xludf.DUMMYFUNCTION("""COMPUTED_VALUE"""),0.325842696629213)</f>
        <v>0.3258426966</v>
      </c>
      <c r="K114" s="8">
        <f>IFERROR(__xludf.DUMMYFUNCTION("""COMPUTED_VALUE"""),0.325842696629213)</f>
        <v>0.3258426966</v>
      </c>
      <c r="L114" s="8">
        <f>IFERROR(__xludf.DUMMYFUNCTION("""COMPUTED_VALUE"""),0.325842696629213)</f>
        <v>0.3258426966</v>
      </c>
      <c r="M114" s="8">
        <f>IFERROR(__xludf.DUMMYFUNCTION("""COMPUTED_VALUE"""),0.303370786516853)</f>
        <v>0.3033707865</v>
      </c>
      <c r="N114" s="8">
        <f>IFERROR(__xludf.DUMMYFUNCTION("""COMPUTED_VALUE"""),0.303370786516853)</f>
        <v>0.3033707865</v>
      </c>
      <c r="O114" s="8">
        <f>IFERROR(__xludf.DUMMYFUNCTION("""COMPUTED_VALUE"""),0.269662921348314)</f>
        <v>0.2696629213</v>
      </c>
      <c r="P114" s="8">
        <f>IFERROR(__xludf.DUMMYFUNCTION("""COMPUTED_VALUE"""),0.204545454545454)</f>
        <v>0.2045454545</v>
      </c>
      <c r="Q114" s="8">
        <f>IFERROR(__xludf.DUMMYFUNCTION("""COMPUTED_VALUE"""),0.125)</f>
        <v>0.125</v>
      </c>
      <c r="R114" s="8">
        <f>IFERROR(__xludf.DUMMYFUNCTION("""COMPUTED_VALUE"""),0.0)</f>
        <v>0</v>
      </c>
      <c r="S114" s="8">
        <f>IFERROR(__xludf.DUMMYFUNCTION("""COMPUTED_VALUE"""),0.0)</f>
        <v>0</v>
      </c>
      <c r="T114" s="8">
        <f>IFERROR(__xludf.DUMMYFUNCTION("""COMPUTED_VALUE"""),0.0)</f>
        <v>0</v>
      </c>
      <c r="U114" s="8">
        <f>IFERROR(__xludf.DUMMYFUNCTION("""COMPUTED_VALUE"""),0.0)</f>
        <v>0</v>
      </c>
      <c r="V114" s="8">
        <f>IFERROR(__xludf.DUMMYFUNCTION("""COMPUTED_VALUE"""),0.0)</f>
        <v>0</v>
      </c>
      <c r="W114" s="8">
        <f>IFERROR(__xludf.DUMMYFUNCTION("""COMPUTED_VALUE"""),0.0)</f>
        <v>0</v>
      </c>
      <c r="X114" s="8">
        <f>IFERROR(__xludf.DUMMYFUNCTION("""COMPUTED_VALUE"""),0.0)</f>
        <v>0</v>
      </c>
      <c r="Y114" s="8">
        <f>IFERROR(__xludf.DUMMYFUNCTION("""COMPUTED_VALUE"""),0.0)</f>
        <v>0</v>
      </c>
      <c r="Z114" s="8">
        <f>IFERROR(__xludf.DUMMYFUNCTION("""COMPUTED_VALUE"""),0.0)</f>
        <v>0</v>
      </c>
      <c r="AA114" s="8">
        <f>IFERROR(__xludf.DUMMYFUNCTION("""COMPUTED_VALUE"""),0.0)</f>
        <v>0</v>
      </c>
      <c r="AB114" s="8">
        <f>IFERROR(__xludf.DUMMYFUNCTION("""COMPUTED_VALUE"""),0.0)</f>
        <v>0</v>
      </c>
      <c r="AC114" s="8">
        <f>IFERROR(__xludf.DUMMYFUNCTION("""COMPUTED_VALUE"""),0.0)</f>
        <v>0</v>
      </c>
    </row>
    <row r="115" ht="15.75" customHeight="1">
      <c r="A115" s="6" t="str">
        <f>IFERROR(__xludf.DUMMYFUNCTION("""COMPUTED_VALUE"""),"5d4e7e8696e74e383e0ea0e4f4f535ba9758496a")</f>
        <v>5d4e7e8696e74e383e0ea0e4f4f535ba9758496a</v>
      </c>
      <c r="B115" s="6" t="str">
        <f>IFERROR(__xludf.DUMMYFUNCTION("""COMPUTED_VALUE"""),"Who Fathered My Twins")</f>
        <v>Who Fathered My Twins</v>
      </c>
      <c r="C115" s="6" t="str">
        <f>IFERROR(__xludf.DUMMYFUNCTION("""COMPUTED_VALUE"""),"Romance")</f>
        <v>Romance</v>
      </c>
      <c r="D115" s="11">
        <f>IFERROR(__xludf.DUMMYFUNCTION("""COMPUTED_VALUE"""),11.0)</f>
        <v>11</v>
      </c>
      <c r="E115" s="8">
        <f>IFERROR(__xludf.DUMMYFUNCTION("""COMPUTED_VALUE"""),1.0)</f>
        <v>1</v>
      </c>
      <c r="F115" s="8">
        <f>IFERROR(__xludf.DUMMYFUNCTION("""COMPUTED_VALUE"""),0.727272727272727)</f>
        <v>0.7272727273</v>
      </c>
      <c r="G115" s="8">
        <f>IFERROR(__xludf.DUMMYFUNCTION("""COMPUTED_VALUE"""),0.727272727272727)</f>
        <v>0.7272727273</v>
      </c>
      <c r="H115" s="8">
        <f>IFERROR(__xludf.DUMMYFUNCTION("""COMPUTED_VALUE"""),0.636363636363636)</f>
        <v>0.6363636364</v>
      </c>
      <c r="I115" s="8">
        <f>IFERROR(__xludf.DUMMYFUNCTION("""COMPUTED_VALUE"""),0.636363636363636)</f>
        <v>0.6363636364</v>
      </c>
      <c r="J115" s="8">
        <f>IFERROR(__xludf.DUMMYFUNCTION("""COMPUTED_VALUE"""),0.636363636363636)</f>
        <v>0.6363636364</v>
      </c>
      <c r="K115" s="8">
        <f>IFERROR(__xludf.DUMMYFUNCTION("""COMPUTED_VALUE"""),0.545454545454545)</f>
        <v>0.5454545455</v>
      </c>
      <c r="L115" s="8">
        <f>IFERROR(__xludf.DUMMYFUNCTION("""COMPUTED_VALUE"""),0.545454545454545)</f>
        <v>0.5454545455</v>
      </c>
      <c r="M115" s="8">
        <f>IFERROR(__xludf.DUMMYFUNCTION("""COMPUTED_VALUE"""),0.454545454545454)</f>
        <v>0.4545454545</v>
      </c>
      <c r="N115" s="8">
        <f>IFERROR(__xludf.DUMMYFUNCTION("""COMPUTED_VALUE"""),0.454545454545454)</f>
        <v>0.4545454545</v>
      </c>
      <c r="O115" s="8">
        <f>IFERROR(__xludf.DUMMYFUNCTION("""COMPUTED_VALUE"""),0.5)</f>
        <v>0.5</v>
      </c>
      <c r="P115" s="8">
        <f>IFERROR(__xludf.DUMMYFUNCTION("""COMPUTED_VALUE"""),0.25)</f>
        <v>0.25</v>
      </c>
      <c r="Q115" s="8">
        <f>IFERROR(__xludf.DUMMYFUNCTION("""COMPUTED_VALUE"""),0.0)</f>
        <v>0</v>
      </c>
      <c r="R115" s="8">
        <f>IFERROR(__xludf.DUMMYFUNCTION("""COMPUTED_VALUE"""),0.0)</f>
        <v>0</v>
      </c>
      <c r="S115" s="8">
        <f>IFERROR(__xludf.DUMMYFUNCTION("""COMPUTED_VALUE"""),0.0)</f>
        <v>0</v>
      </c>
      <c r="T115" s="8">
        <f>IFERROR(__xludf.DUMMYFUNCTION("""COMPUTED_VALUE"""),0.0)</f>
        <v>0</v>
      </c>
      <c r="U115" s="8">
        <f>IFERROR(__xludf.DUMMYFUNCTION("""COMPUTED_VALUE"""),0.0)</f>
        <v>0</v>
      </c>
      <c r="V115" s="8">
        <f>IFERROR(__xludf.DUMMYFUNCTION("""COMPUTED_VALUE"""),0.0)</f>
        <v>0</v>
      </c>
      <c r="W115" s="8">
        <f>IFERROR(__xludf.DUMMYFUNCTION("""COMPUTED_VALUE"""),0.0)</f>
        <v>0</v>
      </c>
      <c r="X115" s="8">
        <f>IFERROR(__xludf.DUMMYFUNCTION("""COMPUTED_VALUE"""),0.0)</f>
        <v>0</v>
      </c>
      <c r="Y115" s="8">
        <f>IFERROR(__xludf.DUMMYFUNCTION("""COMPUTED_VALUE"""),0.0)</f>
        <v>0</v>
      </c>
      <c r="Z115" s="8">
        <f>IFERROR(__xludf.DUMMYFUNCTION("""COMPUTED_VALUE"""),0.0)</f>
        <v>0</v>
      </c>
      <c r="AA115" s="8">
        <f>IFERROR(__xludf.DUMMYFUNCTION("""COMPUTED_VALUE"""),0.0)</f>
        <v>0</v>
      </c>
      <c r="AB115" s="8">
        <f>IFERROR(__xludf.DUMMYFUNCTION("""COMPUTED_VALUE"""),0.0)</f>
        <v>0</v>
      </c>
      <c r="AC115" s="8">
        <f>IFERROR(__xludf.DUMMYFUNCTION("""COMPUTED_VALUE"""),0.0)</f>
        <v>0</v>
      </c>
    </row>
    <row r="116" ht="15.75" customHeight="1">
      <c r="A116" s="6" t="str">
        <f>IFERROR(__xludf.DUMMYFUNCTION("""COMPUTED_VALUE"""),"5e570d3fccfb5029774b4d9f9669429f580d0791")</f>
        <v>5e570d3fccfb5029774b4d9f9669429f580d0791</v>
      </c>
      <c r="B116" s="6" t="str">
        <f>IFERROR(__xludf.DUMMYFUNCTION("""COMPUTED_VALUE"""),"Princess Ebony &amp; the Silver Dragon")</f>
        <v>Princess Ebony &amp; the Silver Dragon</v>
      </c>
      <c r="C116" s="6" t="str">
        <f>IFERROR(__xludf.DUMMYFUNCTION("""COMPUTED_VALUE"""),"Fantasy")</f>
        <v>Fantasy</v>
      </c>
      <c r="D116" s="11">
        <f>IFERROR(__xludf.DUMMYFUNCTION("""COMPUTED_VALUE"""),676.0)</f>
        <v>676</v>
      </c>
      <c r="E116" s="8">
        <f>IFERROR(__xludf.DUMMYFUNCTION("""COMPUTED_VALUE"""),0.931952662721893)</f>
        <v>0.9319526627</v>
      </c>
      <c r="F116" s="8">
        <f>IFERROR(__xludf.DUMMYFUNCTION("""COMPUTED_VALUE"""),0.528106508875739)</f>
        <v>0.5281065089</v>
      </c>
      <c r="G116" s="8">
        <f>IFERROR(__xludf.DUMMYFUNCTION("""COMPUTED_VALUE"""),0.479289940828402)</f>
        <v>0.4792899408</v>
      </c>
      <c r="H116" s="8">
        <f>IFERROR(__xludf.DUMMYFUNCTION("""COMPUTED_VALUE"""),0.452662721893491)</f>
        <v>0.4526627219</v>
      </c>
      <c r="I116" s="8">
        <f>IFERROR(__xludf.DUMMYFUNCTION("""COMPUTED_VALUE"""),0.43491124260355)</f>
        <v>0.4349112426</v>
      </c>
      <c r="J116" s="8">
        <f>IFERROR(__xludf.DUMMYFUNCTION("""COMPUTED_VALUE"""),0.423076923076923)</f>
        <v>0.4230769231</v>
      </c>
      <c r="K116" s="8">
        <f>IFERROR(__xludf.DUMMYFUNCTION("""COMPUTED_VALUE"""),0.403846153846153)</f>
        <v>0.4038461538</v>
      </c>
      <c r="L116" s="8">
        <f>IFERROR(__xludf.DUMMYFUNCTION("""COMPUTED_VALUE"""),0.399408284023668)</f>
        <v>0.399408284</v>
      </c>
      <c r="M116" s="8">
        <f>IFERROR(__xludf.DUMMYFUNCTION("""COMPUTED_VALUE"""),0.394970414201183)</f>
        <v>0.3949704142</v>
      </c>
      <c r="N116" s="8">
        <f>IFERROR(__xludf.DUMMYFUNCTION("""COMPUTED_VALUE"""),0.381656804733727)</f>
        <v>0.3816568047</v>
      </c>
      <c r="O116" s="8">
        <f>IFERROR(__xludf.DUMMYFUNCTION("""COMPUTED_VALUE"""),0.347633136094674)</f>
        <v>0.3476331361</v>
      </c>
      <c r="P116" s="8">
        <f>IFERROR(__xludf.DUMMYFUNCTION("""COMPUTED_VALUE"""),0.297337278106508)</f>
        <v>0.2973372781</v>
      </c>
      <c r="Q116" s="8">
        <f>IFERROR(__xludf.DUMMYFUNCTION("""COMPUTED_VALUE"""),0.241124260355029)</f>
        <v>0.2411242604</v>
      </c>
      <c r="R116" s="8">
        <f>IFERROR(__xludf.DUMMYFUNCTION("""COMPUTED_VALUE"""),0.201183431952662)</f>
        <v>0.201183432</v>
      </c>
      <c r="S116" s="8">
        <f>IFERROR(__xludf.DUMMYFUNCTION("""COMPUTED_VALUE"""),0.178994082840236)</f>
        <v>0.1789940828</v>
      </c>
      <c r="T116" s="8">
        <f>IFERROR(__xludf.DUMMYFUNCTION("""COMPUTED_VALUE"""),0.152366863905325)</f>
        <v>0.1523668639</v>
      </c>
      <c r="U116" s="8">
        <f>IFERROR(__xludf.DUMMYFUNCTION("""COMPUTED_VALUE"""),0.0962343096234309)</f>
        <v>0.09623430962</v>
      </c>
      <c r="V116" s="8">
        <f>IFERROR(__xludf.DUMMYFUNCTION("""COMPUTED_VALUE"""),0.0670731707317073)</f>
        <v>0.06707317073</v>
      </c>
      <c r="W116" s="8">
        <f>IFERROR(__xludf.DUMMYFUNCTION("""COMPUTED_VALUE"""),0.0777777777777777)</f>
        <v>0.07777777778</v>
      </c>
      <c r="X116" s="8">
        <f>IFERROR(__xludf.DUMMYFUNCTION("""COMPUTED_VALUE"""),0.0166666666666666)</f>
        <v>0.01666666667</v>
      </c>
      <c r="Y116" s="8">
        <f>IFERROR(__xludf.DUMMYFUNCTION("""COMPUTED_VALUE"""),0.0)</f>
        <v>0</v>
      </c>
      <c r="Z116" s="8">
        <f>IFERROR(__xludf.DUMMYFUNCTION("""COMPUTED_VALUE"""),0.0)</f>
        <v>0</v>
      </c>
      <c r="AA116" s="8">
        <f>IFERROR(__xludf.DUMMYFUNCTION("""COMPUTED_VALUE"""),0.0)</f>
        <v>0</v>
      </c>
      <c r="AB116" s="8">
        <f>IFERROR(__xludf.DUMMYFUNCTION("""COMPUTED_VALUE"""),0.0)</f>
        <v>0</v>
      </c>
      <c r="AC116" s="8">
        <f>IFERROR(__xludf.DUMMYFUNCTION("""COMPUTED_VALUE"""),0.0)</f>
        <v>0</v>
      </c>
    </row>
    <row r="117" ht="15.75" customHeight="1">
      <c r="A117" s="6" t="str">
        <f>IFERROR(__xludf.DUMMYFUNCTION("""COMPUTED_VALUE"""),"600fd3dce36442cc62b42d3dc874d91d13e1d8e4")</f>
        <v>600fd3dce36442cc62b42d3dc874d91d13e1d8e4</v>
      </c>
      <c r="B117" s="6" t="str">
        <f>IFERROR(__xludf.DUMMYFUNCTION("""COMPUTED_VALUE"""),"Solo Leveling Respawn")</f>
        <v>Solo Leveling Respawn</v>
      </c>
      <c r="C117" s="6" t="str">
        <f>IFERROR(__xludf.DUMMYFUNCTION("""COMPUTED_VALUE"""),"System and Superpower")</f>
        <v>System and Superpower</v>
      </c>
      <c r="D117" s="11">
        <f>IFERROR(__xludf.DUMMYFUNCTION("""COMPUTED_VALUE"""),61.0)</f>
        <v>61</v>
      </c>
      <c r="E117" s="8">
        <f>IFERROR(__xludf.DUMMYFUNCTION("""COMPUTED_VALUE"""),0.983606557377049)</f>
        <v>0.9836065574</v>
      </c>
      <c r="F117" s="8">
        <f>IFERROR(__xludf.DUMMYFUNCTION("""COMPUTED_VALUE"""),0.508196721311475)</f>
        <v>0.5081967213</v>
      </c>
      <c r="G117" s="8">
        <f>IFERROR(__xludf.DUMMYFUNCTION("""COMPUTED_VALUE"""),0.344262295081967)</f>
        <v>0.3442622951</v>
      </c>
      <c r="H117" s="8">
        <f>IFERROR(__xludf.DUMMYFUNCTION("""COMPUTED_VALUE"""),0.278688524590163)</f>
        <v>0.2786885246</v>
      </c>
      <c r="I117" s="8">
        <f>IFERROR(__xludf.DUMMYFUNCTION("""COMPUTED_VALUE"""),0.245901639344262)</f>
        <v>0.2459016393</v>
      </c>
      <c r="J117" s="8">
        <f>IFERROR(__xludf.DUMMYFUNCTION("""COMPUTED_VALUE"""),0.216666666666666)</f>
        <v>0.2166666667</v>
      </c>
      <c r="K117" s="8">
        <f>IFERROR(__xludf.DUMMYFUNCTION("""COMPUTED_VALUE"""),0.166666666666666)</f>
        <v>0.1666666667</v>
      </c>
      <c r="L117" s="8">
        <f>IFERROR(__xludf.DUMMYFUNCTION("""COMPUTED_VALUE"""),0.172413793103448)</f>
        <v>0.1724137931</v>
      </c>
      <c r="M117" s="8">
        <f>IFERROR(__xludf.DUMMYFUNCTION("""COMPUTED_VALUE"""),0.157894736842105)</f>
        <v>0.1578947368</v>
      </c>
      <c r="N117" s="8">
        <f>IFERROR(__xludf.DUMMYFUNCTION("""COMPUTED_VALUE"""),0.125)</f>
        <v>0.125</v>
      </c>
      <c r="O117" s="8">
        <f>IFERROR(__xludf.DUMMYFUNCTION("""COMPUTED_VALUE"""),0.127272727272727)</f>
        <v>0.1272727273</v>
      </c>
      <c r="P117" s="8">
        <f>IFERROR(__xludf.DUMMYFUNCTION("""COMPUTED_VALUE"""),0.132075471698113)</f>
        <v>0.1320754717</v>
      </c>
      <c r="Q117" s="8">
        <f>IFERROR(__xludf.DUMMYFUNCTION("""COMPUTED_VALUE"""),0.06)</f>
        <v>0.06</v>
      </c>
      <c r="R117" s="8">
        <f>IFERROR(__xludf.DUMMYFUNCTION("""COMPUTED_VALUE"""),0.0212765957446808)</f>
        <v>0.02127659574</v>
      </c>
      <c r="S117" s="8">
        <f>IFERROR(__xludf.DUMMYFUNCTION("""COMPUTED_VALUE"""),0.05)</f>
        <v>0.05</v>
      </c>
      <c r="T117" s="8">
        <f>IFERROR(__xludf.DUMMYFUNCTION("""COMPUTED_VALUE"""),0.0294117647058823)</f>
        <v>0.02941176471</v>
      </c>
      <c r="U117" s="8">
        <f>IFERROR(__xludf.DUMMYFUNCTION("""COMPUTED_VALUE"""),0.0357142857142857)</f>
        <v>0.03571428571</v>
      </c>
      <c r="V117" s="8">
        <f>IFERROR(__xludf.DUMMYFUNCTION("""COMPUTED_VALUE"""),0.0)</f>
        <v>0</v>
      </c>
      <c r="W117" s="8">
        <f>IFERROR(__xludf.DUMMYFUNCTION("""COMPUTED_VALUE"""),0.0)</f>
        <v>0</v>
      </c>
      <c r="X117" s="8">
        <f>IFERROR(__xludf.DUMMYFUNCTION("""COMPUTED_VALUE"""),0.0)</f>
        <v>0</v>
      </c>
      <c r="Y117" s="8">
        <f>IFERROR(__xludf.DUMMYFUNCTION("""COMPUTED_VALUE"""),0.0)</f>
        <v>0</v>
      </c>
      <c r="Z117" s="8">
        <f>IFERROR(__xludf.DUMMYFUNCTION("""COMPUTED_VALUE"""),0.0)</f>
        <v>0</v>
      </c>
      <c r="AA117" s="8">
        <f>IFERROR(__xludf.DUMMYFUNCTION("""COMPUTED_VALUE"""),0.0)</f>
        <v>0</v>
      </c>
      <c r="AB117" s="8">
        <f>IFERROR(__xludf.DUMMYFUNCTION("""COMPUTED_VALUE"""),0.0)</f>
        <v>0</v>
      </c>
      <c r="AC117" s="8">
        <f>IFERROR(__xludf.DUMMYFUNCTION("""COMPUTED_VALUE"""),0.0)</f>
        <v>0</v>
      </c>
    </row>
    <row r="118" ht="15.75" customHeight="1">
      <c r="A118" s="6" t="str">
        <f>IFERROR(__xludf.DUMMYFUNCTION("""COMPUTED_VALUE"""),"607c0f609185406d26ef53f75ec53702dfb292d7")</f>
        <v>607c0f609185406d26ef53f75ec53702dfb292d7</v>
      </c>
      <c r="B118" s="6" t="str">
        <f>IFERROR(__xludf.DUMMYFUNCTION("""COMPUTED_VALUE"""),"The Chaosborn Child")</f>
        <v>The Chaosborn Child</v>
      </c>
      <c r="C118" s="6" t="str">
        <f>IFERROR(__xludf.DUMMYFUNCTION("""COMPUTED_VALUE"""),"Fantasy")</f>
        <v>Fantasy</v>
      </c>
      <c r="D118" s="11">
        <f>IFERROR(__xludf.DUMMYFUNCTION("""COMPUTED_VALUE"""),31.0)</f>
        <v>31</v>
      </c>
      <c r="E118" s="8">
        <f>IFERROR(__xludf.DUMMYFUNCTION("""COMPUTED_VALUE"""),0.967741935483871)</f>
        <v>0.9677419355</v>
      </c>
      <c r="F118" s="8">
        <f>IFERROR(__xludf.DUMMYFUNCTION("""COMPUTED_VALUE"""),0.483870967741935)</f>
        <v>0.4838709677</v>
      </c>
      <c r="G118" s="8">
        <f>IFERROR(__xludf.DUMMYFUNCTION("""COMPUTED_VALUE"""),0.451612903225806)</f>
        <v>0.4516129032</v>
      </c>
      <c r="H118" s="8">
        <f>IFERROR(__xludf.DUMMYFUNCTION("""COMPUTED_VALUE"""),0.451612903225806)</f>
        <v>0.4516129032</v>
      </c>
      <c r="I118" s="8">
        <f>IFERROR(__xludf.DUMMYFUNCTION("""COMPUTED_VALUE"""),0.419354838709677)</f>
        <v>0.4193548387</v>
      </c>
      <c r="J118" s="8">
        <f>IFERROR(__xludf.DUMMYFUNCTION("""COMPUTED_VALUE"""),0.387096774193548)</f>
        <v>0.3870967742</v>
      </c>
      <c r="K118" s="8">
        <f>IFERROR(__xludf.DUMMYFUNCTION("""COMPUTED_VALUE"""),0.387096774193548)</f>
        <v>0.3870967742</v>
      </c>
      <c r="L118" s="8">
        <f>IFERROR(__xludf.DUMMYFUNCTION("""COMPUTED_VALUE"""),0.354838709677419)</f>
        <v>0.3548387097</v>
      </c>
      <c r="M118" s="8">
        <f>IFERROR(__xludf.DUMMYFUNCTION("""COMPUTED_VALUE"""),0.366666666666666)</f>
        <v>0.3666666667</v>
      </c>
      <c r="N118" s="8">
        <f>IFERROR(__xludf.DUMMYFUNCTION("""COMPUTED_VALUE"""),0.333333333333333)</f>
        <v>0.3333333333</v>
      </c>
      <c r="O118" s="8">
        <f>IFERROR(__xludf.DUMMYFUNCTION("""COMPUTED_VALUE"""),0.321428571428571)</f>
        <v>0.3214285714</v>
      </c>
      <c r="P118" s="8">
        <f>IFERROR(__xludf.DUMMYFUNCTION("""COMPUTED_VALUE"""),0.235294117647058)</f>
        <v>0.2352941176</v>
      </c>
      <c r="Q118" s="8">
        <f>IFERROR(__xludf.DUMMYFUNCTION("""COMPUTED_VALUE"""),0.1)</f>
        <v>0.1</v>
      </c>
      <c r="R118" s="8">
        <f>IFERROR(__xludf.DUMMYFUNCTION("""COMPUTED_VALUE"""),0.0)</f>
        <v>0</v>
      </c>
      <c r="S118" s="8">
        <f>IFERROR(__xludf.DUMMYFUNCTION("""COMPUTED_VALUE"""),0.0)</f>
        <v>0</v>
      </c>
      <c r="T118" s="8">
        <f>IFERROR(__xludf.DUMMYFUNCTION("""COMPUTED_VALUE"""),0.0)</f>
        <v>0</v>
      </c>
      <c r="U118" s="8">
        <f>IFERROR(__xludf.DUMMYFUNCTION("""COMPUTED_VALUE"""),0.0)</f>
        <v>0</v>
      </c>
      <c r="V118" s="8">
        <f>IFERROR(__xludf.DUMMYFUNCTION("""COMPUTED_VALUE"""),0.0)</f>
        <v>0</v>
      </c>
      <c r="W118" s="8">
        <f>IFERROR(__xludf.DUMMYFUNCTION("""COMPUTED_VALUE"""),0.0)</f>
        <v>0</v>
      </c>
      <c r="X118" s="8">
        <f>IFERROR(__xludf.DUMMYFUNCTION("""COMPUTED_VALUE"""),0.0)</f>
        <v>0</v>
      </c>
      <c r="Y118" s="8">
        <f>IFERROR(__xludf.DUMMYFUNCTION("""COMPUTED_VALUE"""),0.0)</f>
        <v>0</v>
      </c>
      <c r="Z118" s="8">
        <f>IFERROR(__xludf.DUMMYFUNCTION("""COMPUTED_VALUE"""),0.0)</f>
        <v>0</v>
      </c>
      <c r="AA118" s="8">
        <f>IFERROR(__xludf.DUMMYFUNCTION("""COMPUTED_VALUE"""),0.0)</f>
        <v>0</v>
      </c>
      <c r="AB118" s="8">
        <f>IFERROR(__xludf.DUMMYFUNCTION("""COMPUTED_VALUE"""),0.0)</f>
        <v>0</v>
      </c>
      <c r="AC118" s="8">
        <f>IFERROR(__xludf.DUMMYFUNCTION("""COMPUTED_VALUE"""),0.0)</f>
        <v>0</v>
      </c>
    </row>
    <row r="119" ht="15.75" customHeight="1">
      <c r="A119" s="6" t="str">
        <f>IFERROR(__xludf.DUMMYFUNCTION("""COMPUTED_VALUE"""),"616431aa030a50bfb34a59a1919f5a8db0c29017")</f>
        <v>616431aa030a50bfb34a59a1919f5a8db0c29017</v>
      </c>
      <c r="B119" s="6" t="str">
        <f>IFERROR(__xludf.DUMMYFUNCTION("""COMPUTED_VALUE"""),"She Came Back Fabulous")</f>
        <v>She Came Back Fabulous</v>
      </c>
      <c r="C119" s="6" t="str">
        <f>IFERROR(__xludf.DUMMYFUNCTION("""COMPUTED_VALUE"""),"Romance")</f>
        <v>Romance</v>
      </c>
      <c r="D119" s="11">
        <f>IFERROR(__xludf.DUMMYFUNCTION("""COMPUTED_VALUE"""),53.0)</f>
        <v>53</v>
      </c>
      <c r="E119" s="8">
        <f>IFERROR(__xludf.DUMMYFUNCTION("""COMPUTED_VALUE"""),1.0)</f>
        <v>1</v>
      </c>
      <c r="F119" s="8">
        <f>IFERROR(__xludf.DUMMYFUNCTION("""COMPUTED_VALUE"""),0.716981132075471)</f>
        <v>0.7169811321</v>
      </c>
      <c r="G119" s="8">
        <f>IFERROR(__xludf.DUMMYFUNCTION("""COMPUTED_VALUE"""),0.622641509433962)</f>
        <v>0.6226415094</v>
      </c>
      <c r="H119" s="8">
        <f>IFERROR(__xludf.DUMMYFUNCTION("""COMPUTED_VALUE"""),0.529411764705882)</f>
        <v>0.5294117647</v>
      </c>
      <c r="I119" s="8">
        <f>IFERROR(__xludf.DUMMYFUNCTION("""COMPUTED_VALUE"""),0.5)</f>
        <v>0.5</v>
      </c>
      <c r="J119" s="8">
        <f>IFERROR(__xludf.DUMMYFUNCTION("""COMPUTED_VALUE"""),0.489795918367346)</f>
        <v>0.4897959184</v>
      </c>
      <c r="K119" s="8">
        <f>IFERROR(__xludf.DUMMYFUNCTION("""COMPUTED_VALUE"""),0.428571428571428)</f>
        <v>0.4285714286</v>
      </c>
      <c r="L119" s="8">
        <f>IFERROR(__xludf.DUMMYFUNCTION("""COMPUTED_VALUE"""),0.348837209302325)</f>
        <v>0.3488372093</v>
      </c>
      <c r="M119" s="8">
        <f>IFERROR(__xludf.DUMMYFUNCTION("""COMPUTED_VALUE"""),0.333333333333333)</f>
        <v>0.3333333333</v>
      </c>
      <c r="N119" s="8">
        <f>IFERROR(__xludf.DUMMYFUNCTION("""COMPUTED_VALUE"""),0.3125)</f>
        <v>0.3125</v>
      </c>
      <c r="O119" s="8">
        <f>IFERROR(__xludf.DUMMYFUNCTION("""COMPUTED_VALUE"""),0.0)</f>
        <v>0</v>
      </c>
      <c r="P119" s="8">
        <f>IFERROR(__xludf.DUMMYFUNCTION("""COMPUTED_VALUE"""),0.2)</f>
        <v>0.2</v>
      </c>
      <c r="Q119" s="8">
        <f>IFERROR(__xludf.DUMMYFUNCTION("""COMPUTED_VALUE"""),0.0)</f>
        <v>0</v>
      </c>
      <c r="R119" s="8">
        <f>IFERROR(__xludf.DUMMYFUNCTION("""COMPUTED_VALUE"""),0.0)</f>
        <v>0</v>
      </c>
      <c r="S119" s="8">
        <f>IFERROR(__xludf.DUMMYFUNCTION("""COMPUTED_VALUE"""),0.0)</f>
        <v>0</v>
      </c>
      <c r="T119" s="8">
        <f>IFERROR(__xludf.DUMMYFUNCTION("""COMPUTED_VALUE"""),0.0)</f>
        <v>0</v>
      </c>
      <c r="U119" s="8">
        <f>IFERROR(__xludf.DUMMYFUNCTION("""COMPUTED_VALUE"""),0.0)</f>
        <v>0</v>
      </c>
      <c r="V119" s="8">
        <f>IFERROR(__xludf.DUMMYFUNCTION("""COMPUTED_VALUE"""),0.0)</f>
        <v>0</v>
      </c>
      <c r="W119" s="8">
        <f>IFERROR(__xludf.DUMMYFUNCTION("""COMPUTED_VALUE"""),0.0)</f>
        <v>0</v>
      </c>
      <c r="X119" s="8">
        <f>IFERROR(__xludf.DUMMYFUNCTION("""COMPUTED_VALUE"""),0.0)</f>
        <v>0</v>
      </c>
      <c r="Y119" s="8">
        <f>IFERROR(__xludf.DUMMYFUNCTION("""COMPUTED_VALUE"""),0.0)</f>
        <v>0</v>
      </c>
      <c r="Z119" s="8">
        <f>IFERROR(__xludf.DUMMYFUNCTION("""COMPUTED_VALUE"""),0.0)</f>
        <v>0</v>
      </c>
      <c r="AA119" s="8">
        <f>IFERROR(__xludf.DUMMYFUNCTION("""COMPUTED_VALUE"""),0.0)</f>
        <v>0</v>
      </c>
      <c r="AB119" s="8">
        <f>IFERROR(__xludf.DUMMYFUNCTION("""COMPUTED_VALUE"""),0.0)</f>
        <v>0</v>
      </c>
      <c r="AC119" s="8">
        <f>IFERROR(__xludf.DUMMYFUNCTION("""COMPUTED_VALUE"""),0.0)</f>
        <v>0</v>
      </c>
    </row>
    <row r="120" ht="15.75" customHeight="1">
      <c r="A120" s="6" t="str">
        <f>IFERROR(__xludf.DUMMYFUNCTION("""COMPUTED_VALUE"""),"6214ecac2801afde28aa63c555faf06203321c85")</f>
        <v>6214ecac2801afde28aa63c555faf06203321c85</v>
      </c>
      <c r="B120" s="6" t="str">
        <f>IFERROR(__xludf.DUMMYFUNCTION("""COMPUTED_VALUE"""),"Love Behind the Screen")</f>
        <v>Love Behind the Screen</v>
      </c>
      <c r="C120" s="6" t="str">
        <f>IFERROR(__xludf.DUMMYFUNCTION("""COMPUTED_VALUE"""),"Romance")</f>
        <v>Romance</v>
      </c>
      <c r="D120" s="11">
        <f>IFERROR(__xludf.DUMMYFUNCTION("""COMPUTED_VALUE"""),78.0)</f>
        <v>78</v>
      </c>
      <c r="E120" s="8">
        <f>IFERROR(__xludf.DUMMYFUNCTION("""COMPUTED_VALUE"""),0.935897435897435)</f>
        <v>0.9358974359</v>
      </c>
      <c r="F120" s="8">
        <f>IFERROR(__xludf.DUMMYFUNCTION("""COMPUTED_VALUE"""),0.512820512820512)</f>
        <v>0.5128205128</v>
      </c>
      <c r="G120" s="8">
        <f>IFERROR(__xludf.DUMMYFUNCTION("""COMPUTED_VALUE"""),0.448717948717948)</f>
        <v>0.4487179487</v>
      </c>
      <c r="H120" s="8">
        <f>IFERROR(__xludf.DUMMYFUNCTION("""COMPUTED_VALUE"""),0.423076923076923)</f>
        <v>0.4230769231</v>
      </c>
      <c r="I120" s="8">
        <f>IFERROR(__xludf.DUMMYFUNCTION("""COMPUTED_VALUE"""),0.371794871794871)</f>
        <v>0.3717948718</v>
      </c>
      <c r="J120" s="8">
        <f>IFERROR(__xludf.DUMMYFUNCTION("""COMPUTED_VALUE"""),0.371794871794871)</f>
        <v>0.3717948718</v>
      </c>
      <c r="K120" s="8">
        <f>IFERROR(__xludf.DUMMYFUNCTION("""COMPUTED_VALUE"""),0.333333333333333)</f>
        <v>0.3333333333</v>
      </c>
      <c r="L120" s="8">
        <f>IFERROR(__xludf.DUMMYFUNCTION("""COMPUTED_VALUE"""),0.307692307692307)</f>
        <v>0.3076923077</v>
      </c>
      <c r="M120" s="8">
        <f>IFERROR(__xludf.DUMMYFUNCTION("""COMPUTED_VALUE"""),0.282051282051282)</f>
        <v>0.2820512821</v>
      </c>
      <c r="N120" s="8">
        <f>IFERROR(__xludf.DUMMYFUNCTION("""COMPUTED_VALUE"""),0.269230769230769)</f>
        <v>0.2692307692</v>
      </c>
      <c r="O120" s="8">
        <f>IFERROR(__xludf.DUMMYFUNCTION("""COMPUTED_VALUE"""),0.291666666666666)</f>
        <v>0.2916666667</v>
      </c>
      <c r="P120" s="8">
        <f>IFERROR(__xludf.DUMMYFUNCTION("""COMPUTED_VALUE"""),0.125)</f>
        <v>0.125</v>
      </c>
      <c r="Q120" s="8">
        <f>IFERROR(__xludf.DUMMYFUNCTION("""COMPUTED_VALUE"""),0.12)</f>
        <v>0.12</v>
      </c>
      <c r="R120" s="8">
        <f>IFERROR(__xludf.DUMMYFUNCTION("""COMPUTED_VALUE"""),0.08)</f>
        <v>0.08</v>
      </c>
      <c r="S120" s="8">
        <f>IFERROR(__xludf.DUMMYFUNCTION("""COMPUTED_VALUE"""),0.0465116279069767)</f>
        <v>0.04651162791</v>
      </c>
      <c r="T120" s="8">
        <f>IFERROR(__xludf.DUMMYFUNCTION("""COMPUTED_VALUE"""),0.0)</f>
        <v>0</v>
      </c>
      <c r="U120" s="8">
        <f>IFERROR(__xludf.DUMMYFUNCTION("""COMPUTED_VALUE"""),0.0)</f>
        <v>0</v>
      </c>
      <c r="V120" s="8">
        <f>IFERROR(__xludf.DUMMYFUNCTION("""COMPUTED_VALUE"""),0.0)</f>
        <v>0</v>
      </c>
      <c r="W120" s="8">
        <f>IFERROR(__xludf.DUMMYFUNCTION("""COMPUTED_VALUE"""),0.0)</f>
        <v>0</v>
      </c>
      <c r="X120" s="8">
        <f>IFERROR(__xludf.DUMMYFUNCTION("""COMPUTED_VALUE"""),0.0)</f>
        <v>0</v>
      </c>
      <c r="Y120" s="8">
        <f>IFERROR(__xludf.DUMMYFUNCTION("""COMPUTED_VALUE"""),0.0)</f>
        <v>0</v>
      </c>
      <c r="Z120" s="8">
        <f>IFERROR(__xludf.DUMMYFUNCTION("""COMPUTED_VALUE"""),0.0)</f>
        <v>0</v>
      </c>
      <c r="AA120" s="8">
        <f>IFERROR(__xludf.DUMMYFUNCTION("""COMPUTED_VALUE"""),0.0)</f>
        <v>0</v>
      </c>
      <c r="AB120" s="8">
        <f>IFERROR(__xludf.DUMMYFUNCTION("""COMPUTED_VALUE"""),0.0)</f>
        <v>0</v>
      </c>
      <c r="AC120" s="8">
        <f>IFERROR(__xludf.DUMMYFUNCTION("""COMPUTED_VALUE"""),0.0)</f>
        <v>0</v>
      </c>
    </row>
    <row r="121" ht="15.75" customHeight="1">
      <c r="A121" s="6" t="str">
        <f>IFERROR(__xludf.DUMMYFUNCTION("""COMPUTED_VALUE"""),"622c96a576425047d6bff8447205921132d7f61c")</f>
        <v>622c96a576425047d6bff8447205921132d7f61c</v>
      </c>
      <c r="B121" s="6" t="str">
        <f>IFERROR(__xludf.DUMMYFUNCTION("""COMPUTED_VALUE"""),"The Exit Nobody Expected")</f>
        <v>The Exit Nobody Expected</v>
      </c>
      <c r="C121" s="6" t="str">
        <f>IFERROR(__xludf.DUMMYFUNCTION("""COMPUTED_VALUE"""),"Suspense or Thriller")</f>
        <v>Suspense or Thriller</v>
      </c>
      <c r="D121" s="11">
        <f>IFERROR(__xludf.DUMMYFUNCTION("""COMPUTED_VALUE"""),8.0)</f>
        <v>8</v>
      </c>
      <c r="E121" s="8">
        <f>IFERROR(__xludf.DUMMYFUNCTION("""COMPUTED_VALUE"""),1.0)</f>
        <v>1</v>
      </c>
      <c r="F121" s="8">
        <f>IFERROR(__xludf.DUMMYFUNCTION("""COMPUTED_VALUE"""),0.125)</f>
        <v>0.125</v>
      </c>
      <c r="G121" s="8">
        <f>IFERROR(__xludf.DUMMYFUNCTION("""COMPUTED_VALUE"""),0.125)</f>
        <v>0.125</v>
      </c>
      <c r="H121" s="8">
        <f>IFERROR(__xludf.DUMMYFUNCTION("""COMPUTED_VALUE"""),0.125)</f>
        <v>0.125</v>
      </c>
      <c r="I121" s="8">
        <f>IFERROR(__xludf.DUMMYFUNCTION("""COMPUTED_VALUE"""),0.142857142857142)</f>
        <v>0.1428571429</v>
      </c>
      <c r="J121" s="8">
        <f>IFERROR(__xludf.DUMMYFUNCTION("""COMPUTED_VALUE"""),0.142857142857142)</f>
        <v>0.1428571429</v>
      </c>
      <c r="K121" s="8">
        <f>IFERROR(__xludf.DUMMYFUNCTION("""COMPUTED_VALUE"""),0.142857142857142)</f>
        <v>0.1428571429</v>
      </c>
      <c r="L121" s="8">
        <f>IFERROR(__xludf.DUMMYFUNCTION("""COMPUTED_VALUE"""),0.0)</f>
        <v>0</v>
      </c>
      <c r="M121" s="8">
        <f>IFERROR(__xludf.DUMMYFUNCTION("""COMPUTED_VALUE"""),0.0)</f>
        <v>0</v>
      </c>
      <c r="N121" s="8">
        <f>IFERROR(__xludf.DUMMYFUNCTION("""COMPUTED_VALUE"""),0.0)</f>
        <v>0</v>
      </c>
      <c r="O121" s="8">
        <f>IFERROR(__xludf.DUMMYFUNCTION("""COMPUTED_VALUE"""),0.0)</f>
        <v>0</v>
      </c>
      <c r="P121" s="8">
        <f>IFERROR(__xludf.DUMMYFUNCTION("""COMPUTED_VALUE"""),0.0)</f>
        <v>0</v>
      </c>
      <c r="Q121" s="8">
        <f>IFERROR(__xludf.DUMMYFUNCTION("""COMPUTED_VALUE"""),0.0)</f>
        <v>0</v>
      </c>
      <c r="R121" s="8">
        <f>IFERROR(__xludf.DUMMYFUNCTION("""COMPUTED_VALUE"""),0.0)</f>
        <v>0</v>
      </c>
      <c r="S121" s="8">
        <f>IFERROR(__xludf.DUMMYFUNCTION("""COMPUTED_VALUE"""),0.0)</f>
        <v>0</v>
      </c>
      <c r="T121" s="8">
        <f>IFERROR(__xludf.DUMMYFUNCTION("""COMPUTED_VALUE"""),0.0)</f>
        <v>0</v>
      </c>
      <c r="U121" s="8">
        <f>IFERROR(__xludf.DUMMYFUNCTION("""COMPUTED_VALUE"""),0.0)</f>
        <v>0</v>
      </c>
      <c r="V121" s="8">
        <f>IFERROR(__xludf.DUMMYFUNCTION("""COMPUTED_VALUE"""),0.0)</f>
        <v>0</v>
      </c>
      <c r="W121" s="8">
        <f>IFERROR(__xludf.DUMMYFUNCTION("""COMPUTED_VALUE"""),0.0)</f>
        <v>0</v>
      </c>
      <c r="X121" s="8">
        <f>IFERROR(__xludf.DUMMYFUNCTION("""COMPUTED_VALUE"""),0.0)</f>
        <v>0</v>
      </c>
      <c r="Y121" s="8">
        <f>IFERROR(__xludf.DUMMYFUNCTION("""COMPUTED_VALUE"""),0.0)</f>
        <v>0</v>
      </c>
      <c r="Z121" s="8">
        <f>IFERROR(__xludf.DUMMYFUNCTION("""COMPUTED_VALUE"""),0.0)</f>
        <v>0</v>
      </c>
      <c r="AA121" s="8">
        <f>IFERROR(__xludf.DUMMYFUNCTION("""COMPUTED_VALUE"""),0.0)</f>
        <v>0</v>
      </c>
      <c r="AB121" s="8">
        <f>IFERROR(__xludf.DUMMYFUNCTION("""COMPUTED_VALUE"""),0.0)</f>
        <v>0</v>
      </c>
      <c r="AC121" s="8">
        <f>IFERROR(__xludf.DUMMYFUNCTION("""COMPUTED_VALUE"""),0.0)</f>
        <v>0</v>
      </c>
    </row>
    <row r="122" ht="15.75" customHeight="1">
      <c r="A122" s="6" t="str">
        <f>IFERROR(__xludf.DUMMYFUNCTION("""COMPUTED_VALUE"""),"6346e154f10078de4f17cbc6268066519b02789f")</f>
        <v>6346e154f10078de4f17cbc6268066519b02789f</v>
      </c>
      <c r="B122" s="6" t="str">
        <f>IFERROR(__xludf.DUMMYFUNCTION("""COMPUTED_VALUE"""),"Doctor Young")</f>
        <v>Doctor Young</v>
      </c>
      <c r="C122" s="6" t="str">
        <f>IFERROR(__xludf.DUMMYFUNCTION("""COMPUTED_VALUE"""),"Suspense or Thriller")</f>
        <v>Suspense or Thriller</v>
      </c>
      <c r="D122" s="11">
        <f>IFERROR(__xludf.DUMMYFUNCTION("""COMPUTED_VALUE"""),155.0)</f>
        <v>155</v>
      </c>
      <c r="E122" s="8">
        <f>IFERROR(__xludf.DUMMYFUNCTION("""COMPUTED_VALUE"""),0.948387096774193)</f>
        <v>0.9483870968</v>
      </c>
      <c r="F122" s="8">
        <f>IFERROR(__xludf.DUMMYFUNCTION("""COMPUTED_VALUE"""),0.548387096774193)</f>
        <v>0.5483870968</v>
      </c>
      <c r="G122" s="8">
        <f>IFERROR(__xludf.DUMMYFUNCTION("""COMPUTED_VALUE"""),0.464516129032258)</f>
        <v>0.464516129</v>
      </c>
      <c r="H122" s="8">
        <f>IFERROR(__xludf.DUMMYFUNCTION("""COMPUTED_VALUE"""),0.437086092715231)</f>
        <v>0.4370860927</v>
      </c>
      <c r="I122" s="8">
        <f>IFERROR(__xludf.DUMMYFUNCTION("""COMPUTED_VALUE"""),0.403973509933774)</f>
        <v>0.4039735099</v>
      </c>
      <c r="J122" s="8">
        <f>IFERROR(__xludf.DUMMYFUNCTION("""COMPUTED_VALUE"""),0.3841059602649)</f>
        <v>0.3841059603</v>
      </c>
      <c r="K122" s="8">
        <f>IFERROR(__xludf.DUMMYFUNCTION("""COMPUTED_VALUE"""),0.34)</f>
        <v>0.34</v>
      </c>
      <c r="L122" s="8">
        <f>IFERROR(__xludf.DUMMYFUNCTION("""COMPUTED_VALUE"""),0.303448275862068)</f>
        <v>0.3034482759</v>
      </c>
      <c r="M122" s="8">
        <f>IFERROR(__xludf.DUMMYFUNCTION("""COMPUTED_VALUE"""),0.284722222222222)</f>
        <v>0.2847222222</v>
      </c>
      <c r="N122" s="8">
        <f>IFERROR(__xludf.DUMMYFUNCTION("""COMPUTED_VALUE"""),0.26950354609929)</f>
        <v>0.2695035461</v>
      </c>
      <c r="O122" s="8">
        <f>IFERROR(__xludf.DUMMYFUNCTION("""COMPUTED_VALUE"""),0.265486725663716)</f>
        <v>0.2654867257</v>
      </c>
      <c r="P122" s="8">
        <f>IFERROR(__xludf.DUMMYFUNCTION("""COMPUTED_VALUE"""),0.225225225225225)</f>
        <v>0.2252252252</v>
      </c>
      <c r="Q122" s="8">
        <f>IFERROR(__xludf.DUMMYFUNCTION("""COMPUTED_VALUE"""),0.129629629629629)</f>
        <v>0.1296296296</v>
      </c>
      <c r="R122" s="8">
        <f>IFERROR(__xludf.DUMMYFUNCTION("""COMPUTED_VALUE"""),0.11214953271028)</f>
        <v>0.1121495327</v>
      </c>
      <c r="S122" s="8">
        <f>IFERROR(__xludf.DUMMYFUNCTION("""COMPUTED_VALUE"""),0.0)</f>
        <v>0</v>
      </c>
      <c r="T122" s="8">
        <f>IFERROR(__xludf.DUMMYFUNCTION("""COMPUTED_VALUE"""),0.0)</f>
        <v>0</v>
      </c>
      <c r="U122" s="8">
        <f>IFERROR(__xludf.DUMMYFUNCTION("""COMPUTED_VALUE"""),0.0)</f>
        <v>0</v>
      </c>
      <c r="V122" s="8">
        <f>IFERROR(__xludf.DUMMYFUNCTION("""COMPUTED_VALUE"""),0.0)</f>
        <v>0</v>
      </c>
      <c r="W122" s="8">
        <f>IFERROR(__xludf.DUMMYFUNCTION("""COMPUTED_VALUE"""),0.0)</f>
        <v>0</v>
      </c>
      <c r="X122" s="8">
        <f>IFERROR(__xludf.DUMMYFUNCTION("""COMPUTED_VALUE"""),0.0)</f>
        <v>0</v>
      </c>
      <c r="Y122" s="8">
        <f>IFERROR(__xludf.DUMMYFUNCTION("""COMPUTED_VALUE"""),0.0)</f>
        <v>0</v>
      </c>
      <c r="Z122" s="8">
        <f>IFERROR(__xludf.DUMMYFUNCTION("""COMPUTED_VALUE"""),0.0)</f>
        <v>0</v>
      </c>
      <c r="AA122" s="8">
        <f>IFERROR(__xludf.DUMMYFUNCTION("""COMPUTED_VALUE"""),0.0)</f>
        <v>0</v>
      </c>
      <c r="AB122" s="8">
        <f>IFERROR(__xludf.DUMMYFUNCTION("""COMPUTED_VALUE"""),0.0)</f>
        <v>0</v>
      </c>
      <c r="AC122" s="8">
        <f>IFERROR(__xludf.DUMMYFUNCTION("""COMPUTED_VALUE"""),0.0)</f>
        <v>0</v>
      </c>
    </row>
    <row r="123" ht="15.75" customHeight="1">
      <c r="A123" s="6" t="str">
        <f>IFERROR(__xludf.DUMMYFUNCTION("""COMPUTED_VALUE"""),"646112abf2d6a5c232155a853f029ad1737b504e")</f>
        <v>646112abf2d6a5c232155a853f029ad1737b504e</v>
      </c>
      <c r="B123" s="6" t="str">
        <f>IFERROR(__xludf.DUMMYFUNCTION("""COMPUTED_VALUE"""),"Gatebreak")</f>
        <v>Gatebreak</v>
      </c>
      <c r="C123" s="6" t="str">
        <f>IFERROR(__xludf.DUMMYFUNCTION("""COMPUTED_VALUE"""),"Fantasy")</f>
        <v>Fantasy</v>
      </c>
      <c r="D123" s="11">
        <f>IFERROR(__xludf.DUMMYFUNCTION("""COMPUTED_VALUE"""),775.0)</f>
        <v>775</v>
      </c>
      <c r="E123" s="8">
        <f>IFERROR(__xludf.DUMMYFUNCTION("""COMPUTED_VALUE"""),0.969032258064516)</f>
        <v>0.9690322581</v>
      </c>
      <c r="F123" s="8">
        <f>IFERROR(__xludf.DUMMYFUNCTION("""COMPUTED_VALUE"""),0.670967741935483)</f>
        <v>0.6709677419</v>
      </c>
      <c r="G123" s="8">
        <f>IFERROR(__xludf.DUMMYFUNCTION("""COMPUTED_VALUE"""),0.629677419354838)</f>
        <v>0.6296774194</v>
      </c>
      <c r="H123" s="8">
        <f>IFERROR(__xludf.DUMMYFUNCTION("""COMPUTED_VALUE"""),0.597150259067357)</f>
        <v>0.5971502591</v>
      </c>
      <c r="I123" s="8">
        <f>IFERROR(__xludf.DUMMYFUNCTION("""COMPUTED_VALUE"""),0.575875486381322)</f>
        <v>0.5758754864</v>
      </c>
      <c r="J123" s="8">
        <f>IFERROR(__xludf.DUMMYFUNCTION("""COMPUTED_VALUE"""),0.563068920676202)</f>
        <v>0.5630689207</v>
      </c>
      <c r="K123" s="8">
        <f>IFERROR(__xludf.DUMMYFUNCTION("""COMPUTED_VALUE"""),0.553385416666666)</f>
        <v>0.5533854167</v>
      </c>
      <c r="L123" s="8">
        <f>IFERROR(__xludf.DUMMYFUNCTION("""COMPUTED_VALUE"""),0.544980443285528)</f>
        <v>0.5449804433</v>
      </c>
      <c r="M123" s="8">
        <f>IFERROR(__xludf.DUMMYFUNCTION("""COMPUTED_VALUE"""),0.533246414602346)</f>
        <v>0.5332464146</v>
      </c>
      <c r="N123" s="8">
        <f>IFERROR(__xludf.DUMMYFUNCTION("""COMPUTED_VALUE"""),0.529411764705882)</f>
        <v>0.5294117647</v>
      </c>
      <c r="O123" s="8">
        <f>IFERROR(__xludf.DUMMYFUNCTION("""COMPUTED_VALUE"""),0.46895640686922)</f>
        <v>0.4689564069</v>
      </c>
      <c r="P123" s="8">
        <f>IFERROR(__xludf.DUMMYFUNCTION("""COMPUTED_VALUE"""),0.344504021447721)</f>
        <v>0.3445040214</v>
      </c>
      <c r="Q123" s="8">
        <f>IFERROR(__xludf.DUMMYFUNCTION("""COMPUTED_VALUE"""),0.248611111111111)</f>
        <v>0.2486111111</v>
      </c>
      <c r="R123" s="8">
        <f>IFERROR(__xludf.DUMMYFUNCTION("""COMPUTED_VALUE"""),0.168302945301542)</f>
        <v>0.1683029453</v>
      </c>
      <c r="S123" s="8">
        <f>IFERROR(__xludf.DUMMYFUNCTION("""COMPUTED_VALUE"""),0.128939828080229)</f>
        <v>0.1289398281</v>
      </c>
      <c r="T123" s="8">
        <f>IFERROR(__xludf.DUMMYFUNCTION("""COMPUTED_VALUE"""),0.11177347242921)</f>
        <v>0.1117734724</v>
      </c>
      <c r="U123" s="8">
        <f>IFERROR(__xludf.DUMMYFUNCTION("""COMPUTED_VALUE"""),0.0869565217391304)</f>
        <v>0.08695652174</v>
      </c>
      <c r="V123" s="8">
        <f>IFERROR(__xludf.DUMMYFUNCTION("""COMPUTED_VALUE"""),0.0)</f>
        <v>0</v>
      </c>
      <c r="W123" s="8">
        <f>IFERROR(__xludf.DUMMYFUNCTION("""COMPUTED_VALUE"""),0.0)</f>
        <v>0</v>
      </c>
      <c r="X123" s="8">
        <f>IFERROR(__xludf.DUMMYFUNCTION("""COMPUTED_VALUE"""),0.0)</f>
        <v>0</v>
      </c>
      <c r="Y123" s="8">
        <f>IFERROR(__xludf.DUMMYFUNCTION("""COMPUTED_VALUE"""),0.0)</f>
        <v>0</v>
      </c>
      <c r="Z123" s="8">
        <f>IFERROR(__xludf.DUMMYFUNCTION("""COMPUTED_VALUE"""),0.0)</f>
        <v>0</v>
      </c>
      <c r="AA123" s="8">
        <f>IFERROR(__xludf.DUMMYFUNCTION("""COMPUTED_VALUE"""),0.0)</f>
        <v>0</v>
      </c>
      <c r="AB123" s="8">
        <f>IFERROR(__xludf.DUMMYFUNCTION("""COMPUTED_VALUE"""),0.0)</f>
        <v>0</v>
      </c>
      <c r="AC123" s="8">
        <f>IFERROR(__xludf.DUMMYFUNCTION("""COMPUTED_VALUE"""),0.0)</f>
        <v>0</v>
      </c>
    </row>
    <row r="124" ht="15.75" customHeight="1">
      <c r="A124" s="6" t="str">
        <f>IFERROR(__xludf.DUMMYFUNCTION("""COMPUTED_VALUE"""),"6537ebcf99ebb2572c378cc92edd07b6d165b13b")</f>
        <v>6537ebcf99ebb2572c378cc92edd07b6d165b13b</v>
      </c>
      <c r="B124" s="6" t="str">
        <f>IFERROR(__xludf.DUMMYFUNCTION("""COMPUTED_VALUE"""),"The Legendary Beast Archi")</f>
        <v>The Legendary Beast Archi</v>
      </c>
      <c r="C124" s="6" t="str">
        <f>IFERROR(__xludf.DUMMYFUNCTION("""COMPUTED_VALUE"""),"Fantasy")</f>
        <v>Fantasy</v>
      </c>
      <c r="D124" s="11">
        <f>IFERROR(__xludf.DUMMYFUNCTION("""COMPUTED_VALUE"""),551.0)</f>
        <v>551</v>
      </c>
      <c r="E124" s="8">
        <f>IFERROR(__xludf.DUMMYFUNCTION("""COMPUTED_VALUE"""),0.992740471869328)</f>
        <v>0.9927404719</v>
      </c>
      <c r="F124" s="8">
        <f>IFERROR(__xludf.DUMMYFUNCTION("""COMPUTED_VALUE"""),0.607985480943738)</f>
        <v>0.6079854809</v>
      </c>
      <c r="G124" s="8">
        <f>IFERROR(__xludf.DUMMYFUNCTION("""COMPUTED_VALUE"""),0.551724137931034)</f>
        <v>0.5517241379</v>
      </c>
      <c r="H124" s="8">
        <f>IFERROR(__xludf.DUMMYFUNCTION("""COMPUTED_VALUE"""),0.515426497277677)</f>
        <v>0.5154264973</v>
      </c>
      <c r="I124" s="8">
        <f>IFERROR(__xludf.DUMMYFUNCTION("""COMPUTED_VALUE"""),0.481751824817518)</f>
        <v>0.4817518248</v>
      </c>
      <c r="J124" s="8">
        <f>IFERROR(__xludf.DUMMYFUNCTION("""COMPUTED_VALUE"""),0.438888888888888)</f>
        <v>0.4388888889</v>
      </c>
      <c r="K124" s="8">
        <f>IFERROR(__xludf.DUMMYFUNCTION("""COMPUTED_VALUE"""),0.426900584795321)</f>
        <v>0.4269005848</v>
      </c>
      <c r="L124" s="8">
        <f>IFERROR(__xludf.DUMMYFUNCTION("""COMPUTED_VALUE"""),0.407582938388625)</f>
        <v>0.4075829384</v>
      </c>
      <c r="M124" s="8">
        <f>IFERROR(__xludf.DUMMYFUNCTION("""COMPUTED_VALUE"""),0.384428223844282)</f>
        <v>0.3844282238</v>
      </c>
      <c r="N124" s="8">
        <f>IFERROR(__xludf.DUMMYFUNCTION("""COMPUTED_VALUE"""),0.336065573770491)</f>
        <v>0.3360655738</v>
      </c>
      <c r="O124" s="8">
        <f>IFERROR(__xludf.DUMMYFUNCTION("""COMPUTED_VALUE"""),0.0)</f>
        <v>0</v>
      </c>
      <c r="P124" s="8">
        <f>IFERROR(__xludf.DUMMYFUNCTION("""COMPUTED_VALUE"""),0.0)</f>
        <v>0</v>
      </c>
      <c r="Q124" s="8">
        <f>IFERROR(__xludf.DUMMYFUNCTION("""COMPUTED_VALUE"""),0.0)</f>
        <v>0</v>
      </c>
      <c r="R124" s="8">
        <f>IFERROR(__xludf.DUMMYFUNCTION("""COMPUTED_VALUE"""),0.0)</f>
        <v>0</v>
      </c>
      <c r="S124" s="8">
        <f>IFERROR(__xludf.DUMMYFUNCTION("""COMPUTED_VALUE"""),0.0)</f>
        <v>0</v>
      </c>
      <c r="T124" s="8">
        <f>IFERROR(__xludf.DUMMYFUNCTION("""COMPUTED_VALUE"""),0.0)</f>
        <v>0</v>
      </c>
      <c r="U124" s="8">
        <f>IFERROR(__xludf.DUMMYFUNCTION("""COMPUTED_VALUE"""),0.0)</f>
        <v>0</v>
      </c>
      <c r="V124" s="8">
        <f>IFERROR(__xludf.DUMMYFUNCTION("""COMPUTED_VALUE"""),0.0)</f>
        <v>0</v>
      </c>
      <c r="W124" s="8">
        <f>IFERROR(__xludf.DUMMYFUNCTION("""COMPUTED_VALUE"""),0.0)</f>
        <v>0</v>
      </c>
      <c r="X124" s="8">
        <f>IFERROR(__xludf.DUMMYFUNCTION("""COMPUTED_VALUE"""),0.0)</f>
        <v>0</v>
      </c>
      <c r="Y124" s="8">
        <f>IFERROR(__xludf.DUMMYFUNCTION("""COMPUTED_VALUE"""),0.0)</f>
        <v>0</v>
      </c>
      <c r="Z124" s="8">
        <f>IFERROR(__xludf.DUMMYFUNCTION("""COMPUTED_VALUE"""),0.0)</f>
        <v>0</v>
      </c>
      <c r="AA124" s="8">
        <f>IFERROR(__xludf.DUMMYFUNCTION("""COMPUTED_VALUE"""),0.0)</f>
        <v>0</v>
      </c>
      <c r="AB124" s="8">
        <f>IFERROR(__xludf.DUMMYFUNCTION("""COMPUTED_VALUE"""),0.0)</f>
        <v>0</v>
      </c>
      <c r="AC124" s="8">
        <f>IFERROR(__xludf.DUMMYFUNCTION("""COMPUTED_VALUE"""),0.0)</f>
        <v>0</v>
      </c>
    </row>
    <row r="125" ht="15.75" customHeight="1">
      <c r="A125" s="6" t="str">
        <f>IFERROR(__xludf.DUMMYFUNCTION("""COMPUTED_VALUE"""),"66e5597d741c6d87c2bc8e35ec83065242c0e34d")</f>
        <v>66e5597d741c6d87c2bc8e35ec83065242c0e34d</v>
      </c>
      <c r="B125" s="6" t="str">
        <f>IFERROR(__xludf.DUMMYFUNCTION("""COMPUTED_VALUE"""),"Sky Lord")</f>
        <v>Sky Lord</v>
      </c>
      <c r="C125" s="6" t="str">
        <f>IFERROR(__xludf.DUMMYFUNCTION("""COMPUTED_VALUE"""),"Fantasy")</f>
        <v>Fantasy</v>
      </c>
      <c r="D125" s="11">
        <f>IFERROR(__xludf.DUMMYFUNCTION("""COMPUTED_VALUE"""),615.0)</f>
        <v>615</v>
      </c>
      <c r="E125" s="8">
        <f>IFERROR(__xludf.DUMMYFUNCTION("""COMPUTED_VALUE"""),0.977235772357723)</f>
        <v>0.9772357724</v>
      </c>
      <c r="F125" s="8">
        <f>IFERROR(__xludf.DUMMYFUNCTION("""COMPUTED_VALUE"""),0.684552845528455)</f>
        <v>0.6845528455</v>
      </c>
      <c r="G125" s="8">
        <f>IFERROR(__xludf.DUMMYFUNCTION("""COMPUTED_VALUE"""),0.635772357723577)</f>
        <v>0.6357723577</v>
      </c>
      <c r="H125" s="8">
        <f>IFERROR(__xludf.DUMMYFUNCTION("""COMPUTED_VALUE"""),0.622950819672131)</f>
        <v>0.6229508197</v>
      </c>
      <c r="I125" s="8">
        <f>IFERROR(__xludf.DUMMYFUNCTION("""COMPUTED_VALUE"""),0.563218390804597)</f>
        <v>0.5632183908</v>
      </c>
      <c r="J125" s="8">
        <f>IFERROR(__xludf.DUMMYFUNCTION("""COMPUTED_VALUE"""),0.538205980066445)</f>
        <v>0.5382059801</v>
      </c>
      <c r="K125" s="8">
        <f>IFERROR(__xludf.DUMMYFUNCTION("""COMPUTED_VALUE"""),0.505)</f>
        <v>0.505</v>
      </c>
      <c r="L125" s="8">
        <f>IFERROR(__xludf.DUMMYFUNCTION("""COMPUTED_VALUE"""),0.480541455160744)</f>
        <v>0.4805414552</v>
      </c>
      <c r="M125" s="8">
        <f>IFERROR(__xludf.DUMMYFUNCTION("""COMPUTED_VALUE"""),0.46875)</f>
        <v>0.46875</v>
      </c>
      <c r="N125" s="8">
        <f>IFERROR(__xludf.DUMMYFUNCTION("""COMPUTED_VALUE"""),0.446360153256705)</f>
        <v>0.4463601533</v>
      </c>
      <c r="O125" s="8">
        <f>IFERROR(__xludf.DUMMYFUNCTION("""COMPUTED_VALUE"""),0.483870967741935)</f>
        <v>0.4838709677</v>
      </c>
      <c r="P125" s="8">
        <f>IFERROR(__xludf.DUMMYFUNCTION("""COMPUTED_VALUE"""),0.416666666666666)</f>
        <v>0.4166666667</v>
      </c>
      <c r="Q125" s="8">
        <f>IFERROR(__xludf.DUMMYFUNCTION("""COMPUTED_VALUE"""),0.0)</f>
        <v>0</v>
      </c>
      <c r="R125" s="8">
        <f>IFERROR(__xludf.DUMMYFUNCTION("""COMPUTED_VALUE"""),0.0)</f>
        <v>0</v>
      </c>
      <c r="S125" s="8">
        <f>IFERROR(__xludf.DUMMYFUNCTION("""COMPUTED_VALUE"""),0.0)</f>
        <v>0</v>
      </c>
      <c r="T125" s="8">
        <f>IFERROR(__xludf.DUMMYFUNCTION("""COMPUTED_VALUE"""),0.0)</f>
        <v>0</v>
      </c>
      <c r="U125" s="8">
        <f>IFERROR(__xludf.DUMMYFUNCTION("""COMPUTED_VALUE"""),0.0)</f>
        <v>0</v>
      </c>
      <c r="V125" s="8">
        <f>IFERROR(__xludf.DUMMYFUNCTION("""COMPUTED_VALUE"""),0.0)</f>
        <v>0</v>
      </c>
      <c r="W125" s="8">
        <f>IFERROR(__xludf.DUMMYFUNCTION("""COMPUTED_VALUE"""),0.0)</f>
        <v>0</v>
      </c>
      <c r="X125" s="8">
        <f>IFERROR(__xludf.DUMMYFUNCTION("""COMPUTED_VALUE"""),0.0)</f>
        <v>0</v>
      </c>
      <c r="Y125" s="8">
        <f>IFERROR(__xludf.DUMMYFUNCTION("""COMPUTED_VALUE"""),0.0)</f>
        <v>0</v>
      </c>
      <c r="Z125" s="8">
        <f>IFERROR(__xludf.DUMMYFUNCTION("""COMPUTED_VALUE"""),0.0)</f>
        <v>0</v>
      </c>
      <c r="AA125" s="8">
        <f>IFERROR(__xludf.DUMMYFUNCTION("""COMPUTED_VALUE"""),0.0)</f>
        <v>0</v>
      </c>
      <c r="AB125" s="8">
        <f>IFERROR(__xludf.DUMMYFUNCTION("""COMPUTED_VALUE"""),0.0)</f>
        <v>0</v>
      </c>
      <c r="AC125" s="8">
        <f>IFERROR(__xludf.DUMMYFUNCTION("""COMPUTED_VALUE"""),0.0)</f>
        <v>0</v>
      </c>
    </row>
    <row r="126" ht="15.75" customHeight="1">
      <c r="A126" s="6" t="str">
        <f>IFERROR(__xludf.DUMMYFUNCTION("""COMPUTED_VALUE"""),"69e29d606b65c300fffe9a9af149d4b81b170a78")</f>
        <v>69e29d606b65c300fffe9a9af149d4b81b170a78</v>
      </c>
      <c r="B126" s="6" t="str">
        <f>IFERROR(__xludf.DUMMYFUNCTION("""COMPUTED_VALUE"""),"Unexpectedly Entwined")</f>
        <v>Unexpectedly Entwined</v>
      </c>
      <c r="C126" s="6" t="str">
        <f>IFERROR(__xludf.DUMMYFUNCTION("""COMPUTED_VALUE"""),"Romance")</f>
        <v>Romance</v>
      </c>
      <c r="D126" s="11">
        <f>IFERROR(__xludf.DUMMYFUNCTION("""COMPUTED_VALUE"""),23.0)</f>
        <v>23</v>
      </c>
      <c r="E126" s="8">
        <f>IFERROR(__xludf.DUMMYFUNCTION("""COMPUTED_VALUE"""),0.913043478260869)</f>
        <v>0.9130434783</v>
      </c>
      <c r="F126" s="8">
        <f>IFERROR(__xludf.DUMMYFUNCTION("""COMPUTED_VALUE"""),0.565217391304347)</f>
        <v>0.5652173913</v>
      </c>
      <c r="G126" s="8">
        <f>IFERROR(__xludf.DUMMYFUNCTION("""COMPUTED_VALUE"""),0.478260869565217)</f>
        <v>0.4782608696</v>
      </c>
      <c r="H126" s="8">
        <f>IFERROR(__xludf.DUMMYFUNCTION("""COMPUTED_VALUE"""),0.347826086956521)</f>
        <v>0.347826087</v>
      </c>
      <c r="I126" s="8">
        <f>IFERROR(__xludf.DUMMYFUNCTION("""COMPUTED_VALUE"""),0.347826086956521)</f>
        <v>0.347826087</v>
      </c>
      <c r="J126" s="8">
        <f>IFERROR(__xludf.DUMMYFUNCTION("""COMPUTED_VALUE"""),0.217391304347826)</f>
        <v>0.2173913043</v>
      </c>
      <c r="K126" s="8">
        <f>IFERROR(__xludf.DUMMYFUNCTION("""COMPUTED_VALUE"""),0.260869565217391)</f>
        <v>0.2608695652</v>
      </c>
      <c r="L126" s="8">
        <f>IFERROR(__xludf.DUMMYFUNCTION("""COMPUTED_VALUE"""),0.304347826086956)</f>
        <v>0.3043478261</v>
      </c>
      <c r="M126" s="8">
        <f>IFERROR(__xludf.DUMMYFUNCTION("""COMPUTED_VALUE"""),0.260869565217391)</f>
        <v>0.2608695652</v>
      </c>
      <c r="N126" s="8">
        <f>IFERROR(__xludf.DUMMYFUNCTION("""COMPUTED_VALUE"""),0.304347826086956)</f>
        <v>0.3043478261</v>
      </c>
      <c r="O126" s="8">
        <f>IFERROR(__xludf.DUMMYFUNCTION("""COMPUTED_VALUE"""),0.260869565217391)</f>
        <v>0.2608695652</v>
      </c>
      <c r="P126" s="8">
        <f>IFERROR(__xludf.DUMMYFUNCTION("""COMPUTED_VALUE"""),0.17391304347826)</f>
        <v>0.1739130435</v>
      </c>
      <c r="Q126" s="8">
        <f>IFERROR(__xludf.DUMMYFUNCTION("""COMPUTED_VALUE"""),0.1)</f>
        <v>0.1</v>
      </c>
      <c r="R126" s="8">
        <f>IFERROR(__xludf.DUMMYFUNCTION("""COMPUTED_VALUE"""),0.153846153846153)</f>
        <v>0.1538461538</v>
      </c>
      <c r="S126" s="8">
        <f>IFERROR(__xludf.DUMMYFUNCTION("""COMPUTED_VALUE"""),0.166666666666666)</f>
        <v>0.1666666667</v>
      </c>
      <c r="T126" s="8">
        <f>IFERROR(__xludf.DUMMYFUNCTION("""COMPUTED_VALUE"""),0.111111111111111)</f>
        <v>0.1111111111</v>
      </c>
      <c r="U126" s="8">
        <f>IFERROR(__xludf.DUMMYFUNCTION("""COMPUTED_VALUE"""),0.0)</f>
        <v>0</v>
      </c>
      <c r="V126" s="8">
        <f>IFERROR(__xludf.DUMMYFUNCTION("""COMPUTED_VALUE"""),0.0)</f>
        <v>0</v>
      </c>
      <c r="W126" s="8">
        <f>IFERROR(__xludf.DUMMYFUNCTION("""COMPUTED_VALUE"""),0.0)</f>
        <v>0</v>
      </c>
      <c r="X126" s="8">
        <f>IFERROR(__xludf.DUMMYFUNCTION("""COMPUTED_VALUE"""),0.0)</f>
        <v>0</v>
      </c>
      <c r="Y126" s="8">
        <f>IFERROR(__xludf.DUMMYFUNCTION("""COMPUTED_VALUE"""),0.0)</f>
        <v>0</v>
      </c>
      <c r="Z126" s="8">
        <f>IFERROR(__xludf.DUMMYFUNCTION("""COMPUTED_VALUE"""),0.0)</f>
        <v>0</v>
      </c>
      <c r="AA126" s="8">
        <f>IFERROR(__xludf.DUMMYFUNCTION("""COMPUTED_VALUE"""),0.0)</f>
        <v>0</v>
      </c>
      <c r="AB126" s="8">
        <f>IFERROR(__xludf.DUMMYFUNCTION("""COMPUTED_VALUE"""),0.0)</f>
        <v>0</v>
      </c>
      <c r="AC126" s="8">
        <f>IFERROR(__xludf.DUMMYFUNCTION("""COMPUTED_VALUE"""),0.0)</f>
        <v>0</v>
      </c>
    </row>
    <row r="127" ht="15.75" customHeight="1">
      <c r="A127" s="6" t="str">
        <f>IFERROR(__xludf.DUMMYFUNCTION("""COMPUTED_VALUE"""),"69e2eb3772b49e749fed57ae96a86147dde154cb")</f>
        <v>69e2eb3772b49e749fed57ae96a86147dde154cb</v>
      </c>
      <c r="B127" s="6" t="str">
        <f>IFERROR(__xludf.DUMMYFUNCTION("""COMPUTED_VALUE"""),"The Alpha She Chose")</f>
        <v>The Alpha She Chose</v>
      </c>
      <c r="C127" s="6" t="str">
        <f>IFERROR(__xludf.DUMMYFUNCTION("""COMPUTED_VALUE"""),"Romantasy")</f>
        <v>Romantasy</v>
      </c>
      <c r="D127" s="11">
        <f>IFERROR(__xludf.DUMMYFUNCTION("""COMPUTED_VALUE"""),53.0)</f>
        <v>53</v>
      </c>
      <c r="E127" s="8">
        <f>IFERROR(__xludf.DUMMYFUNCTION("""COMPUTED_VALUE"""),0.981132075471698)</f>
        <v>0.9811320755</v>
      </c>
      <c r="F127" s="8">
        <f>IFERROR(__xludf.DUMMYFUNCTION("""COMPUTED_VALUE"""),0.660377358490566)</f>
        <v>0.6603773585</v>
      </c>
      <c r="G127" s="8">
        <f>IFERROR(__xludf.DUMMYFUNCTION("""COMPUTED_VALUE"""),0.60377358490566)</f>
        <v>0.6037735849</v>
      </c>
      <c r="H127" s="8">
        <f>IFERROR(__xludf.DUMMYFUNCTION("""COMPUTED_VALUE"""),0.528301886792452)</f>
        <v>0.5283018868</v>
      </c>
      <c r="I127" s="8">
        <f>IFERROR(__xludf.DUMMYFUNCTION("""COMPUTED_VALUE"""),0.50943396226415)</f>
        <v>0.5094339623</v>
      </c>
      <c r="J127" s="8">
        <f>IFERROR(__xludf.DUMMYFUNCTION("""COMPUTED_VALUE"""),0.471698113207547)</f>
        <v>0.4716981132</v>
      </c>
      <c r="K127" s="8">
        <f>IFERROR(__xludf.DUMMYFUNCTION("""COMPUTED_VALUE"""),0.490566037735849)</f>
        <v>0.4905660377</v>
      </c>
      <c r="L127" s="8">
        <f>IFERROR(__xludf.DUMMYFUNCTION("""COMPUTED_VALUE"""),0.433962264150943)</f>
        <v>0.4339622642</v>
      </c>
      <c r="M127" s="8">
        <f>IFERROR(__xludf.DUMMYFUNCTION("""COMPUTED_VALUE"""),0.415094339622641)</f>
        <v>0.4150943396</v>
      </c>
      <c r="N127" s="8">
        <f>IFERROR(__xludf.DUMMYFUNCTION("""COMPUTED_VALUE"""),0.377358490566037)</f>
        <v>0.3773584906</v>
      </c>
      <c r="O127" s="8">
        <f>IFERROR(__xludf.DUMMYFUNCTION("""COMPUTED_VALUE"""),0.270833333333333)</f>
        <v>0.2708333333</v>
      </c>
      <c r="P127" s="8">
        <f>IFERROR(__xludf.DUMMYFUNCTION("""COMPUTED_VALUE"""),0.234042553191489)</f>
        <v>0.2340425532</v>
      </c>
      <c r="Q127" s="8">
        <f>IFERROR(__xludf.DUMMYFUNCTION("""COMPUTED_VALUE"""),0.17391304347826)</f>
        <v>0.1739130435</v>
      </c>
      <c r="R127" s="8">
        <f>IFERROR(__xludf.DUMMYFUNCTION("""COMPUTED_VALUE"""),0.0930232558139534)</f>
        <v>0.09302325581</v>
      </c>
      <c r="S127" s="8">
        <f>IFERROR(__xludf.DUMMYFUNCTION("""COMPUTED_VALUE"""),0.0)</f>
        <v>0</v>
      </c>
      <c r="T127" s="8">
        <f>IFERROR(__xludf.DUMMYFUNCTION("""COMPUTED_VALUE"""),0.0)</f>
        <v>0</v>
      </c>
      <c r="U127" s="8">
        <f>IFERROR(__xludf.DUMMYFUNCTION("""COMPUTED_VALUE"""),0.0)</f>
        <v>0</v>
      </c>
      <c r="V127" s="8">
        <f>IFERROR(__xludf.DUMMYFUNCTION("""COMPUTED_VALUE"""),0.0)</f>
        <v>0</v>
      </c>
      <c r="W127" s="8">
        <f>IFERROR(__xludf.DUMMYFUNCTION("""COMPUTED_VALUE"""),0.0)</f>
        <v>0</v>
      </c>
      <c r="X127" s="8">
        <f>IFERROR(__xludf.DUMMYFUNCTION("""COMPUTED_VALUE"""),0.0)</f>
        <v>0</v>
      </c>
      <c r="Y127" s="8">
        <f>IFERROR(__xludf.DUMMYFUNCTION("""COMPUTED_VALUE"""),0.0)</f>
        <v>0</v>
      </c>
      <c r="Z127" s="8">
        <f>IFERROR(__xludf.DUMMYFUNCTION("""COMPUTED_VALUE"""),0.0)</f>
        <v>0</v>
      </c>
      <c r="AA127" s="8">
        <f>IFERROR(__xludf.DUMMYFUNCTION("""COMPUTED_VALUE"""),0.0)</f>
        <v>0</v>
      </c>
      <c r="AB127" s="8">
        <f>IFERROR(__xludf.DUMMYFUNCTION("""COMPUTED_VALUE"""),0.0)</f>
        <v>0</v>
      </c>
      <c r="AC127" s="8">
        <f>IFERROR(__xludf.DUMMYFUNCTION("""COMPUTED_VALUE"""),0.0)</f>
        <v>0</v>
      </c>
    </row>
    <row r="128" ht="15.75" customHeight="1">
      <c r="A128" s="6" t="str">
        <f>IFERROR(__xludf.DUMMYFUNCTION("""COMPUTED_VALUE"""),"6c13ac0e01a86e60a2d75bbcee5bb8f9be472700")</f>
        <v>6c13ac0e01a86e60a2d75bbcee5bb8f9be472700</v>
      </c>
      <c r="B128" s="6" t="str">
        <f>IFERROR(__xludf.DUMMYFUNCTION("""COMPUTED_VALUE"""),"Fated to You")</f>
        <v>Fated to You</v>
      </c>
      <c r="C128" s="6" t="str">
        <f>IFERROR(__xludf.DUMMYFUNCTION("""COMPUTED_VALUE"""),"Romance")</f>
        <v>Romance</v>
      </c>
      <c r="D128" s="11">
        <f>IFERROR(__xludf.DUMMYFUNCTION("""COMPUTED_VALUE"""),15.0)</f>
        <v>15</v>
      </c>
      <c r="E128" s="8">
        <f>IFERROR(__xludf.DUMMYFUNCTION("""COMPUTED_VALUE"""),0.733333333333333)</f>
        <v>0.7333333333</v>
      </c>
      <c r="F128" s="8">
        <f>IFERROR(__xludf.DUMMYFUNCTION("""COMPUTED_VALUE"""),0.6)</f>
        <v>0.6</v>
      </c>
      <c r="G128" s="8">
        <f>IFERROR(__xludf.DUMMYFUNCTION("""COMPUTED_VALUE"""),0.466666666666666)</f>
        <v>0.4666666667</v>
      </c>
      <c r="H128" s="8">
        <f>IFERROR(__xludf.DUMMYFUNCTION("""COMPUTED_VALUE"""),0.533333333333333)</f>
        <v>0.5333333333</v>
      </c>
      <c r="I128" s="8">
        <f>IFERROR(__xludf.DUMMYFUNCTION("""COMPUTED_VALUE"""),0.266666666666666)</f>
        <v>0.2666666667</v>
      </c>
      <c r="J128" s="8">
        <f>IFERROR(__xludf.DUMMYFUNCTION("""COMPUTED_VALUE"""),0.266666666666666)</f>
        <v>0.2666666667</v>
      </c>
      <c r="K128" s="8">
        <f>IFERROR(__xludf.DUMMYFUNCTION("""COMPUTED_VALUE"""),0.266666666666666)</f>
        <v>0.2666666667</v>
      </c>
      <c r="L128" s="8">
        <f>IFERROR(__xludf.DUMMYFUNCTION("""COMPUTED_VALUE"""),0.266666666666666)</f>
        <v>0.2666666667</v>
      </c>
      <c r="M128" s="8">
        <f>IFERROR(__xludf.DUMMYFUNCTION("""COMPUTED_VALUE"""),0.2)</f>
        <v>0.2</v>
      </c>
      <c r="N128" s="8">
        <f>IFERROR(__xludf.DUMMYFUNCTION("""COMPUTED_VALUE"""),0.285714285714285)</f>
        <v>0.2857142857</v>
      </c>
      <c r="O128" s="8">
        <f>IFERROR(__xludf.DUMMYFUNCTION("""COMPUTED_VALUE"""),0.142857142857142)</f>
        <v>0.1428571429</v>
      </c>
      <c r="P128" s="8">
        <f>IFERROR(__xludf.DUMMYFUNCTION("""COMPUTED_VALUE"""),0.214285714285714)</f>
        <v>0.2142857143</v>
      </c>
      <c r="Q128" s="8">
        <f>IFERROR(__xludf.DUMMYFUNCTION("""COMPUTED_VALUE"""),0.0714285714285714)</f>
        <v>0.07142857143</v>
      </c>
      <c r="R128" s="8">
        <f>IFERROR(__xludf.DUMMYFUNCTION("""COMPUTED_VALUE"""),0.0)</f>
        <v>0</v>
      </c>
      <c r="S128" s="8">
        <f>IFERROR(__xludf.DUMMYFUNCTION("""COMPUTED_VALUE"""),0.0)</f>
        <v>0</v>
      </c>
      <c r="T128" s="8">
        <f>IFERROR(__xludf.DUMMYFUNCTION("""COMPUTED_VALUE"""),0.0)</f>
        <v>0</v>
      </c>
      <c r="U128" s="8">
        <f>IFERROR(__xludf.DUMMYFUNCTION("""COMPUTED_VALUE"""),0.0)</f>
        <v>0</v>
      </c>
      <c r="V128" s="8">
        <f>IFERROR(__xludf.DUMMYFUNCTION("""COMPUTED_VALUE"""),0.0)</f>
        <v>0</v>
      </c>
      <c r="W128" s="8">
        <f>IFERROR(__xludf.DUMMYFUNCTION("""COMPUTED_VALUE"""),0.0)</f>
        <v>0</v>
      </c>
      <c r="X128" s="8">
        <f>IFERROR(__xludf.DUMMYFUNCTION("""COMPUTED_VALUE"""),0.0)</f>
        <v>0</v>
      </c>
      <c r="Y128" s="8">
        <f>IFERROR(__xludf.DUMMYFUNCTION("""COMPUTED_VALUE"""),0.0)</f>
        <v>0</v>
      </c>
      <c r="Z128" s="8">
        <f>IFERROR(__xludf.DUMMYFUNCTION("""COMPUTED_VALUE"""),0.0)</f>
        <v>0</v>
      </c>
      <c r="AA128" s="8">
        <f>IFERROR(__xludf.DUMMYFUNCTION("""COMPUTED_VALUE"""),0.0)</f>
        <v>0</v>
      </c>
      <c r="AB128" s="8">
        <f>IFERROR(__xludf.DUMMYFUNCTION("""COMPUTED_VALUE"""),0.0)</f>
        <v>0</v>
      </c>
      <c r="AC128" s="8">
        <f>IFERROR(__xludf.DUMMYFUNCTION("""COMPUTED_VALUE"""),0.0)</f>
        <v>0</v>
      </c>
    </row>
    <row r="129" ht="15.75" customHeight="1">
      <c r="A129" s="6" t="str">
        <f>IFERROR(__xludf.DUMMYFUNCTION("""COMPUTED_VALUE"""),"6e9cd8b5ce597e73f12a6a180c18888a89f8aac3")</f>
        <v>6e9cd8b5ce597e73f12a6a180c18888a89f8aac3</v>
      </c>
      <c r="B129" s="6" t="str">
        <f>IFERROR(__xludf.DUMMYFUNCTION("""COMPUTED_VALUE"""),"Sovereign Retribution")</f>
        <v>Sovereign Retribution</v>
      </c>
      <c r="C129" s="6" t="str">
        <f>IFERROR(__xludf.DUMMYFUNCTION("""COMPUTED_VALUE"""),"Drama")</f>
        <v>Drama</v>
      </c>
      <c r="D129" s="11">
        <f>IFERROR(__xludf.DUMMYFUNCTION("""COMPUTED_VALUE"""),632.0)</f>
        <v>632</v>
      </c>
      <c r="E129" s="8">
        <f>IFERROR(__xludf.DUMMYFUNCTION("""COMPUTED_VALUE"""),0.968354430379746)</f>
        <v>0.9683544304</v>
      </c>
      <c r="F129" s="8">
        <f>IFERROR(__xludf.DUMMYFUNCTION("""COMPUTED_VALUE"""),0.810126582278481)</f>
        <v>0.8101265823</v>
      </c>
      <c r="G129" s="8">
        <f>IFERROR(__xludf.DUMMYFUNCTION("""COMPUTED_VALUE"""),0.783227848101265)</f>
        <v>0.7832278481</v>
      </c>
      <c r="H129" s="8">
        <f>IFERROR(__xludf.DUMMYFUNCTION("""COMPUTED_VALUE"""),0.761075949367088)</f>
        <v>0.7610759494</v>
      </c>
      <c r="I129" s="8">
        <f>IFERROR(__xludf.DUMMYFUNCTION("""COMPUTED_VALUE"""),0.737341772151898)</f>
        <v>0.7373417722</v>
      </c>
      <c r="J129" s="8">
        <f>IFERROR(__xludf.DUMMYFUNCTION("""COMPUTED_VALUE"""),0.729001584786053)</f>
        <v>0.7290015848</v>
      </c>
      <c r="K129" s="8">
        <f>IFERROR(__xludf.DUMMYFUNCTION("""COMPUTED_VALUE"""),0.712698412698412)</f>
        <v>0.7126984127</v>
      </c>
      <c r="L129" s="8">
        <f>IFERROR(__xludf.DUMMYFUNCTION("""COMPUTED_VALUE"""),0.689984101748807)</f>
        <v>0.6899841017</v>
      </c>
      <c r="M129" s="8">
        <f>IFERROR(__xludf.DUMMYFUNCTION("""COMPUTED_VALUE"""),0.678343949044586)</f>
        <v>0.678343949</v>
      </c>
      <c r="N129" s="8">
        <f>IFERROR(__xludf.DUMMYFUNCTION("""COMPUTED_VALUE"""),0.673566878980891)</f>
        <v>0.673566879</v>
      </c>
      <c r="O129" s="8">
        <f>IFERROR(__xludf.DUMMYFUNCTION("""COMPUTED_VALUE"""),0.61038961038961)</f>
        <v>0.6103896104</v>
      </c>
      <c r="P129" s="8">
        <f>IFERROR(__xludf.DUMMYFUNCTION("""COMPUTED_VALUE"""),0.476439790575916)</f>
        <v>0.4764397906</v>
      </c>
      <c r="Q129" s="8">
        <f>IFERROR(__xludf.DUMMYFUNCTION("""COMPUTED_VALUE"""),0.309055118110236)</f>
        <v>0.3090551181</v>
      </c>
      <c r="R129" s="8">
        <f>IFERROR(__xludf.DUMMYFUNCTION("""COMPUTED_VALUE"""),0.268292682926829)</f>
        <v>0.2682926829</v>
      </c>
      <c r="S129" s="8">
        <f>IFERROR(__xludf.DUMMYFUNCTION("""COMPUTED_VALUE"""),0.214285714285714)</f>
        <v>0.2142857143</v>
      </c>
      <c r="T129" s="8">
        <f>IFERROR(__xludf.DUMMYFUNCTION("""COMPUTED_VALUE"""),0.0)</f>
        <v>0</v>
      </c>
      <c r="U129" s="8">
        <f>IFERROR(__xludf.DUMMYFUNCTION("""COMPUTED_VALUE"""),0.0)</f>
        <v>0</v>
      </c>
      <c r="V129" s="8">
        <f>IFERROR(__xludf.DUMMYFUNCTION("""COMPUTED_VALUE"""),0.0)</f>
        <v>0</v>
      </c>
      <c r="W129" s="8">
        <f>IFERROR(__xludf.DUMMYFUNCTION("""COMPUTED_VALUE"""),0.0)</f>
        <v>0</v>
      </c>
      <c r="X129" s="8">
        <f>IFERROR(__xludf.DUMMYFUNCTION("""COMPUTED_VALUE"""),0.0)</f>
        <v>0</v>
      </c>
      <c r="Y129" s="8">
        <f>IFERROR(__xludf.DUMMYFUNCTION("""COMPUTED_VALUE"""),0.0)</f>
        <v>0</v>
      </c>
      <c r="Z129" s="8">
        <f>IFERROR(__xludf.DUMMYFUNCTION("""COMPUTED_VALUE"""),0.0)</f>
        <v>0</v>
      </c>
      <c r="AA129" s="8">
        <f>IFERROR(__xludf.DUMMYFUNCTION("""COMPUTED_VALUE"""),0.0)</f>
        <v>0</v>
      </c>
      <c r="AB129" s="8">
        <f>IFERROR(__xludf.DUMMYFUNCTION("""COMPUTED_VALUE"""),0.0)</f>
        <v>0</v>
      </c>
      <c r="AC129" s="8">
        <f>IFERROR(__xludf.DUMMYFUNCTION("""COMPUTED_VALUE"""),0.0)</f>
        <v>0</v>
      </c>
    </row>
    <row r="130" ht="15.75" customHeight="1">
      <c r="A130" s="6" t="str">
        <f>IFERROR(__xludf.DUMMYFUNCTION("""COMPUTED_VALUE"""),"6f82cdfa2792a89aec9172918610c124246ad8bd")</f>
        <v>6f82cdfa2792a89aec9172918610c124246ad8bd</v>
      </c>
      <c r="B130" s="6" t="str">
        <f>IFERROR(__xludf.DUMMYFUNCTION("""COMPUTED_VALUE"""),"Hector's Rise to Power")</f>
        <v>Hector's Rise to Power</v>
      </c>
      <c r="C130" s="6" t="str">
        <f>IFERROR(__xludf.DUMMYFUNCTION("""COMPUTED_VALUE"""),"Drama")</f>
        <v>Drama</v>
      </c>
      <c r="D130" s="11">
        <f>IFERROR(__xludf.DUMMYFUNCTION("""COMPUTED_VALUE"""),69.0)</f>
        <v>69</v>
      </c>
      <c r="E130" s="8">
        <f>IFERROR(__xludf.DUMMYFUNCTION("""COMPUTED_VALUE"""),0.942028985507246)</f>
        <v>0.9420289855</v>
      </c>
      <c r="F130" s="8">
        <f>IFERROR(__xludf.DUMMYFUNCTION("""COMPUTED_VALUE"""),0.808823529411764)</f>
        <v>0.8088235294</v>
      </c>
      <c r="G130" s="8">
        <f>IFERROR(__xludf.DUMMYFUNCTION("""COMPUTED_VALUE"""),0.602941176470588)</f>
        <v>0.6029411765</v>
      </c>
      <c r="H130" s="8">
        <f>IFERROR(__xludf.DUMMYFUNCTION("""COMPUTED_VALUE"""),0.558823529411764)</f>
        <v>0.5588235294</v>
      </c>
      <c r="I130" s="8">
        <f>IFERROR(__xludf.DUMMYFUNCTION("""COMPUTED_VALUE"""),0.441176470588235)</f>
        <v>0.4411764706</v>
      </c>
      <c r="J130" s="8">
        <f>IFERROR(__xludf.DUMMYFUNCTION("""COMPUTED_VALUE"""),0.461538461538461)</f>
        <v>0.4615384615</v>
      </c>
      <c r="K130" s="8">
        <f>IFERROR(__xludf.DUMMYFUNCTION("""COMPUTED_VALUE"""),0.396825396825396)</f>
        <v>0.3968253968</v>
      </c>
      <c r="L130" s="8">
        <f>IFERROR(__xludf.DUMMYFUNCTION("""COMPUTED_VALUE"""),0.396825396825396)</f>
        <v>0.3968253968</v>
      </c>
      <c r="M130" s="8">
        <f>IFERROR(__xludf.DUMMYFUNCTION("""COMPUTED_VALUE"""),0.349206349206349)</f>
        <v>0.3492063492</v>
      </c>
      <c r="N130" s="8">
        <f>IFERROR(__xludf.DUMMYFUNCTION("""COMPUTED_VALUE"""),0.317460317460317)</f>
        <v>0.3174603175</v>
      </c>
      <c r="O130" s="8">
        <f>IFERROR(__xludf.DUMMYFUNCTION("""COMPUTED_VALUE"""),0.245901639344262)</f>
        <v>0.2459016393</v>
      </c>
      <c r="P130" s="8">
        <f>IFERROR(__xludf.DUMMYFUNCTION("""COMPUTED_VALUE"""),0.162162162162162)</f>
        <v>0.1621621622</v>
      </c>
      <c r="Q130" s="8">
        <f>IFERROR(__xludf.DUMMYFUNCTION("""COMPUTED_VALUE"""),0.09375)</f>
        <v>0.09375</v>
      </c>
      <c r="R130" s="8">
        <f>IFERROR(__xludf.DUMMYFUNCTION("""COMPUTED_VALUE"""),0.0)</f>
        <v>0</v>
      </c>
      <c r="S130" s="8">
        <f>IFERROR(__xludf.DUMMYFUNCTION("""COMPUTED_VALUE"""),0.0)</f>
        <v>0</v>
      </c>
      <c r="T130" s="8">
        <f>IFERROR(__xludf.DUMMYFUNCTION("""COMPUTED_VALUE"""),0.0)</f>
        <v>0</v>
      </c>
      <c r="U130" s="8">
        <f>IFERROR(__xludf.DUMMYFUNCTION("""COMPUTED_VALUE"""),0.0)</f>
        <v>0</v>
      </c>
      <c r="V130" s="8">
        <f>IFERROR(__xludf.DUMMYFUNCTION("""COMPUTED_VALUE"""),0.0)</f>
        <v>0</v>
      </c>
      <c r="W130" s="8">
        <f>IFERROR(__xludf.DUMMYFUNCTION("""COMPUTED_VALUE"""),0.0)</f>
        <v>0</v>
      </c>
      <c r="X130" s="8">
        <f>IFERROR(__xludf.DUMMYFUNCTION("""COMPUTED_VALUE"""),0.0)</f>
        <v>0</v>
      </c>
      <c r="Y130" s="8">
        <f>IFERROR(__xludf.DUMMYFUNCTION("""COMPUTED_VALUE"""),0.0)</f>
        <v>0</v>
      </c>
      <c r="Z130" s="8">
        <f>IFERROR(__xludf.DUMMYFUNCTION("""COMPUTED_VALUE"""),0.0)</f>
        <v>0</v>
      </c>
      <c r="AA130" s="8">
        <f>IFERROR(__xludf.DUMMYFUNCTION("""COMPUTED_VALUE"""),0.0)</f>
        <v>0</v>
      </c>
      <c r="AB130" s="8">
        <f>IFERROR(__xludf.DUMMYFUNCTION("""COMPUTED_VALUE"""),0.0)</f>
        <v>0</v>
      </c>
      <c r="AC130" s="8">
        <f>IFERROR(__xludf.DUMMYFUNCTION("""COMPUTED_VALUE"""),0.0)</f>
        <v>0</v>
      </c>
    </row>
    <row r="131" ht="15.75" customHeight="1">
      <c r="A131" s="6" t="str">
        <f>IFERROR(__xludf.DUMMYFUNCTION("""COMPUTED_VALUE"""),"6f907f1e2ab28d03dcc8246bf380f11b97d00c06")</f>
        <v>6f907f1e2ab28d03dcc8246bf380f11b97d00c06</v>
      </c>
      <c r="B131" s="6" t="str">
        <f>IFERROR(__xludf.DUMMYFUNCTION("""COMPUTED_VALUE"""),"CEO Inherited Bride ")</f>
        <v>CEO Inherited Bride </v>
      </c>
      <c r="C131" s="6" t="str">
        <f>IFERROR(__xludf.DUMMYFUNCTION("""COMPUTED_VALUE"""),"Romance")</f>
        <v>Romance</v>
      </c>
      <c r="D131" s="11">
        <f>IFERROR(__xludf.DUMMYFUNCTION("""COMPUTED_VALUE"""),10.0)</f>
        <v>10</v>
      </c>
      <c r="E131" s="8">
        <f>IFERROR(__xludf.DUMMYFUNCTION("""COMPUTED_VALUE"""),1.0)</f>
        <v>1</v>
      </c>
      <c r="F131" s="8">
        <f>IFERROR(__xludf.DUMMYFUNCTION("""COMPUTED_VALUE"""),0.7)</f>
        <v>0.7</v>
      </c>
      <c r="G131" s="8">
        <f>IFERROR(__xludf.DUMMYFUNCTION("""COMPUTED_VALUE"""),0.7)</f>
        <v>0.7</v>
      </c>
      <c r="H131" s="8">
        <f>IFERROR(__xludf.DUMMYFUNCTION("""COMPUTED_VALUE"""),0.6)</f>
        <v>0.6</v>
      </c>
      <c r="I131" s="8">
        <f>IFERROR(__xludf.DUMMYFUNCTION("""COMPUTED_VALUE"""),0.6)</f>
        <v>0.6</v>
      </c>
      <c r="J131" s="8">
        <f>IFERROR(__xludf.DUMMYFUNCTION("""COMPUTED_VALUE"""),0.6)</f>
        <v>0.6</v>
      </c>
      <c r="K131" s="8">
        <f>IFERROR(__xludf.DUMMYFUNCTION("""COMPUTED_VALUE"""),0.6)</f>
        <v>0.6</v>
      </c>
      <c r="L131" s="8">
        <f>IFERROR(__xludf.DUMMYFUNCTION("""COMPUTED_VALUE"""),0.5)</f>
        <v>0.5</v>
      </c>
      <c r="M131" s="8">
        <f>IFERROR(__xludf.DUMMYFUNCTION("""COMPUTED_VALUE"""),0.5)</f>
        <v>0.5</v>
      </c>
      <c r="N131" s="8">
        <f>IFERROR(__xludf.DUMMYFUNCTION("""COMPUTED_VALUE"""),0.5)</f>
        <v>0.5</v>
      </c>
      <c r="O131" s="8">
        <f>IFERROR(__xludf.DUMMYFUNCTION("""COMPUTED_VALUE"""),0.3)</f>
        <v>0.3</v>
      </c>
      <c r="P131" s="8">
        <f>IFERROR(__xludf.DUMMYFUNCTION("""COMPUTED_VALUE"""),0.3)</f>
        <v>0.3</v>
      </c>
      <c r="Q131" s="8">
        <f>IFERROR(__xludf.DUMMYFUNCTION("""COMPUTED_VALUE"""),0.222222222222222)</f>
        <v>0.2222222222</v>
      </c>
      <c r="R131" s="8">
        <f>IFERROR(__xludf.DUMMYFUNCTION("""COMPUTED_VALUE"""),0.111111111111111)</f>
        <v>0.1111111111</v>
      </c>
      <c r="S131" s="8">
        <f>IFERROR(__xludf.DUMMYFUNCTION("""COMPUTED_VALUE"""),0.0)</f>
        <v>0</v>
      </c>
      <c r="T131" s="8">
        <f>IFERROR(__xludf.DUMMYFUNCTION("""COMPUTED_VALUE"""),0.0)</f>
        <v>0</v>
      </c>
      <c r="U131" s="8">
        <f>IFERROR(__xludf.DUMMYFUNCTION("""COMPUTED_VALUE"""),0.0)</f>
        <v>0</v>
      </c>
      <c r="V131" s="8">
        <f>IFERROR(__xludf.DUMMYFUNCTION("""COMPUTED_VALUE"""),0.0)</f>
        <v>0</v>
      </c>
      <c r="W131" s="8">
        <f>IFERROR(__xludf.DUMMYFUNCTION("""COMPUTED_VALUE"""),0.0)</f>
        <v>0</v>
      </c>
      <c r="X131" s="8">
        <f>IFERROR(__xludf.DUMMYFUNCTION("""COMPUTED_VALUE"""),0.0)</f>
        <v>0</v>
      </c>
      <c r="Y131" s="8">
        <f>IFERROR(__xludf.DUMMYFUNCTION("""COMPUTED_VALUE"""),0.0)</f>
        <v>0</v>
      </c>
      <c r="Z131" s="8">
        <f>IFERROR(__xludf.DUMMYFUNCTION("""COMPUTED_VALUE"""),0.0)</f>
        <v>0</v>
      </c>
      <c r="AA131" s="8">
        <f>IFERROR(__xludf.DUMMYFUNCTION("""COMPUTED_VALUE"""),0.0)</f>
        <v>0</v>
      </c>
      <c r="AB131" s="8">
        <f>IFERROR(__xludf.DUMMYFUNCTION("""COMPUTED_VALUE"""),0.0)</f>
        <v>0</v>
      </c>
      <c r="AC131" s="8">
        <f>IFERROR(__xludf.DUMMYFUNCTION("""COMPUTED_VALUE"""),0.0)</f>
        <v>0</v>
      </c>
    </row>
    <row r="132" ht="15.75" customHeight="1">
      <c r="A132" s="6" t="str">
        <f>IFERROR(__xludf.DUMMYFUNCTION("""COMPUTED_VALUE"""),"71bfacd374965f4c980894477e36ea695b41c609")</f>
        <v>71bfacd374965f4c980894477e36ea695b41c609</v>
      </c>
      <c r="B132" s="6" t="str">
        <f>IFERROR(__xludf.DUMMYFUNCTION("""COMPUTED_VALUE"""),"Bride Who Didn't Want Him")</f>
        <v>Bride Who Didn't Want Him</v>
      </c>
      <c r="C132" s="6" t="str">
        <f>IFERROR(__xludf.DUMMYFUNCTION("""COMPUTED_VALUE"""),"Romance")</f>
        <v>Romance</v>
      </c>
      <c r="D132" s="11">
        <f>IFERROR(__xludf.DUMMYFUNCTION("""COMPUTED_VALUE"""),68.0)</f>
        <v>68</v>
      </c>
      <c r="E132" s="8">
        <f>IFERROR(__xludf.DUMMYFUNCTION("""COMPUTED_VALUE"""),0.985294117647058)</f>
        <v>0.9852941176</v>
      </c>
      <c r="F132" s="8">
        <f>IFERROR(__xludf.DUMMYFUNCTION("""COMPUTED_VALUE"""),0.661764705882352)</f>
        <v>0.6617647059</v>
      </c>
      <c r="G132" s="8">
        <f>IFERROR(__xludf.DUMMYFUNCTION("""COMPUTED_VALUE"""),0.588235294117647)</f>
        <v>0.5882352941</v>
      </c>
      <c r="H132" s="8">
        <f>IFERROR(__xludf.DUMMYFUNCTION("""COMPUTED_VALUE"""),0.544117647058823)</f>
        <v>0.5441176471</v>
      </c>
      <c r="I132" s="8">
        <f>IFERROR(__xludf.DUMMYFUNCTION("""COMPUTED_VALUE"""),0.470588235294117)</f>
        <v>0.4705882353</v>
      </c>
      <c r="J132" s="8">
        <f>IFERROR(__xludf.DUMMYFUNCTION("""COMPUTED_VALUE"""),0.485294117647058)</f>
        <v>0.4852941176</v>
      </c>
      <c r="K132" s="8">
        <f>IFERROR(__xludf.DUMMYFUNCTION("""COMPUTED_VALUE"""),0.470588235294117)</f>
        <v>0.4705882353</v>
      </c>
      <c r="L132" s="8">
        <f>IFERROR(__xludf.DUMMYFUNCTION("""COMPUTED_VALUE"""),0.470588235294117)</f>
        <v>0.4705882353</v>
      </c>
      <c r="M132" s="8">
        <f>IFERROR(__xludf.DUMMYFUNCTION("""COMPUTED_VALUE"""),0.411764705882352)</f>
        <v>0.4117647059</v>
      </c>
      <c r="N132" s="8">
        <f>IFERROR(__xludf.DUMMYFUNCTION("""COMPUTED_VALUE"""),0.426470588235294)</f>
        <v>0.4264705882</v>
      </c>
      <c r="O132" s="8">
        <f>IFERROR(__xludf.DUMMYFUNCTION("""COMPUTED_VALUE"""),0.367647058823529)</f>
        <v>0.3676470588</v>
      </c>
      <c r="P132" s="8">
        <f>IFERROR(__xludf.DUMMYFUNCTION("""COMPUTED_VALUE"""),0.257575757575757)</f>
        <v>0.2575757576</v>
      </c>
      <c r="Q132" s="8">
        <f>IFERROR(__xludf.DUMMYFUNCTION("""COMPUTED_VALUE"""),0.09375)</f>
        <v>0.09375</v>
      </c>
      <c r="R132" s="8">
        <f>IFERROR(__xludf.DUMMYFUNCTION("""COMPUTED_VALUE"""),0.0)</f>
        <v>0</v>
      </c>
      <c r="S132" s="8">
        <f>IFERROR(__xludf.DUMMYFUNCTION("""COMPUTED_VALUE"""),0.0)</f>
        <v>0</v>
      </c>
      <c r="T132" s="8">
        <f>IFERROR(__xludf.DUMMYFUNCTION("""COMPUTED_VALUE"""),0.0)</f>
        <v>0</v>
      </c>
      <c r="U132" s="8">
        <f>IFERROR(__xludf.DUMMYFUNCTION("""COMPUTED_VALUE"""),0.0)</f>
        <v>0</v>
      </c>
      <c r="V132" s="8">
        <f>IFERROR(__xludf.DUMMYFUNCTION("""COMPUTED_VALUE"""),0.0)</f>
        <v>0</v>
      </c>
      <c r="W132" s="8">
        <f>IFERROR(__xludf.DUMMYFUNCTION("""COMPUTED_VALUE"""),0.0)</f>
        <v>0</v>
      </c>
      <c r="X132" s="8">
        <f>IFERROR(__xludf.DUMMYFUNCTION("""COMPUTED_VALUE"""),0.0)</f>
        <v>0</v>
      </c>
      <c r="Y132" s="8">
        <f>IFERROR(__xludf.DUMMYFUNCTION("""COMPUTED_VALUE"""),0.0)</f>
        <v>0</v>
      </c>
      <c r="Z132" s="8">
        <f>IFERROR(__xludf.DUMMYFUNCTION("""COMPUTED_VALUE"""),0.0)</f>
        <v>0</v>
      </c>
      <c r="AA132" s="8">
        <f>IFERROR(__xludf.DUMMYFUNCTION("""COMPUTED_VALUE"""),0.0)</f>
        <v>0</v>
      </c>
      <c r="AB132" s="8">
        <f>IFERROR(__xludf.DUMMYFUNCTION("""COMPUTED_VALUE"""),0.0)</f>
        <v>0</v>
      </c>
      <c r="AC132" s="8">
        <f>IFERROR(__xludf.DUMMYFUNCTION("""COMPUTED_VALUE"""),0.0)</f>
        <v>0</v>
      </c>
    </row>
    <row r="133" ht="15.75" customHeight="1">
      <c r="A133" s="6" t="str">
        <f>IFERROR(__xludf.DUMMYFUNCTION("""COMPUTED_VALUE"""),"730a3d0d6b094f151aed0a3dff6794a1d2fedee3")</f>
        <v>730a3d0d6b094f151aed0a3dff6794a1d2fedee3</v>
      </c>
      <c r="B133" s="6" t="str">
        <f>IFERROR(__xludf.DUMMYFUNCTION("""COMPUTED_VALUE"""),"Her Beauty Is Reborn")</f>
        <v>Her Beauty Is Reborn</v>
      </c>
      <c r="C133" s="6" t="str">
        <f>IFERROR(__xludf.DUMMYFUNCTION("""COMPUTED_VALUE"""),"Romance")</f>
        <v>Romance</v>
      </c>
      <c r="D133" s="11">
        <f>IFERROR(__xludf.DUMMYFUNCTION("""COMPUTED_VALUE"""),673.0)</f>
        <v>673</v>
      </c>
      <c r="E133" s="8">
        <f>IFERROR(__xludf.DUMMYFUNCTION("""COMPUTED_VALUE"""),0.950965824665676)</f>
        <v>0.9509658247</v>
      </c>
      <c r="F133" s="8">
        <f>IFERROR(__xludf.DUMMYFUNCTION("""COMPUTED_VALUE"""),0.576523031203566)</f>
        <v>0.5765230312</v>
      </c>
      <c r="G133" s="8">
        <f>IFERROR(__xludf.DUMMYFUNCTION("""COMPUTED_VALUE"""),0.520059435364041)</f>
        <v>0.5200594354</v>
      </c>
      <c r="H133" s="8">
        <f>IFERROR(__xludf.DUMMYFUNCTION("""COMPUTED_VALUE"""),0.493313521545319)</f>
        <v>0.4933135215</v>
      </c>
      <c r="I133" s="8">
        <f>IFERROR(__xludf.DUMMYFUNCTION("""COMPUTED_VALUE"""),0.479940564635958)</f>
        <v>0.4799405646</v>
      </c>
      <c r="J133" s="8">
        <f>IFERROR(__xludf.DUMMYFUNCTION("""COMPUTED_VALUE"""),0.460624071322436)</f>
        <v>0.4606240713</v>
      </c>
      <c r="K133" s="8">
        <f>IFERROR(__xludf.DUMMYFUNCTION("""COMPUTED_VALUE"""),0.450222882615156)</f>
        <v>0.4502228826</v>
      </c>
      <c r="L133" s="8">
        <f>IFERROR(__xludf.DUMMYFUNCTION("""COMPUTED_VALUE"""),0.433878157503714)</f>
        <v>0.4338781575</v>
      </c>
      <c r="M133" s="8">
        <f>IFERROR(__xludf.DUMMYFUNCTION("""COMPUTED_VALUE"""),0.426448736998514)</f>
        <v>0.426448737</v>
      </c>
      <c r="N133" s="8">
        <f>IFERROR(__xludf.DUMMYFUNCTION("""COMPUTED_VALUE"""),0.414561664190193)</f>
        <v>0.4145616642</v>
      </c>
      <c r="O133" s="8">
        <f>IFERROR(__xludf.DUMMYFUNCTION("""COMPUTED_VALUE"""),0.372023809523809)</f>
        <v>0.3720238095</v>
      </c>
      <c r="P133" s="8">
        <f>IFERROR(__xludf.DUMMYFUNCTION("""COMPUTED_VALUE"""),0.29806259314456)</f>
        <v>0.2980625931</v>
      </c>
      <c r="Q133" s="8">
        <f>IFERROR(__xludf.DUMMYFUNCTION("""COMPUTED_VALUE"""),0.242152466367713)</f>
        <v>0.2421524664</v>
      </c>
      <c r="R133" s="8">
        <f>IFERROR(__xludf.DUMMYFUNCTION("""COMPUTED_VALUE"""),0.20620842572062)</f>
        <v>0.2062084257</v>
      </c>
      <c r="S133" s="8">
        <f>IFERROR(__xludf.DUMMYFUNCTION("""COMPUTED_VALUE"""),0.197674418604651)</f>
        <v>0.1976744186</v>
      </c>
      <c r="T133" s="8">
        <f>IFERROR(__xludf.DUMMYFUNCTION("""COMPUTED_VALUE"""),0.171717171717171)</f>
        <v>0.1717171717</v>
      </c>
      <c r="U133" s="8">
        <f>IFERROR(__xludf.DUMMYFUNCTION("""COMPUTED_VALUE"""),0.139896373056994)</f>
        <v>0.1398963731</v>
      </c>
      <c r="V133" s="8">
        <f>IFERROR(__xludf.DUMMYFUNCTION("""COMPUTED_VALUE"""),0.10828025477707)</f>
        <v>0.1082802548</v>
      </c>
      <c r="W133" s="8">
        <f>IFERROR(__xludf.DUMMYFUNCTION("""COMPUTED_VALUE"""),0.102189781021897)</f>
        <v>0.102189781</v>
      </c>
      <c r="X133" s="8">
        <f>IFERROR(__xludf.DUMMYFUNCTION("""COMPUTED_VALUE"""),0.0982142857142857)</f>
        <v>0.09821428571</v>
      </c>
      <c r="Y133" s="8">
        <f>IFERROR(__xludf.DUMMYFUNCTION("""COMPUTED_VALUE"""),0.0178571428571428)</f>
        <v>0.01785714286</v>
      </c>
      <c r="Z133" s="8">
        <f>IFERROR(__xludf.DUMMYFUNCTION("""COMPUTED_VALUE"""),0.0)</f>
        <v>0</v>
      </c>
      <c r="AA133" s="8">
        <f>IFERROR(__xludf.DUMMYFUNCTION("""COMPUTED_VALUE"""),0.0)</f>
        <v>0</v>
      </c>
      <c r="AB133" s="8">
        <f>IFERROR(__xludf.DUMMYFUNCTION("""COMPUTED_VALUE"""),0.0)</f>
        <v>0</v>
      </c>
      <c r="AC133" s="8">
        <f>IFERROR(__xludf.DUMMYFUNCTION("""COMPUTED_VALUE"""),0.0)</f>
        <v>0</v>
      </c>
    </row>
    <row r="134" ht="15.75" customHeight="1">
      <c r="A134" s="6" t="str">
        <f>IFERROR(__xludf.DUMMYFUNCTION("""COMPUTED_VALUE"""),"7315dca13e406894d8407cd6d050c5d3b69eec10")</f>
        <v>7315dca13e406894d8407cd6d050c5d3b69eec10</v>
      </c>
      <c r="B134" s="6" t="str">
        <f>IFERROR(__xludf.DUMMYFUNCTION("""COMPUTED_VALUE"""),"The Uncle Who Chose Me")</f>
        <v>The Uncle Who Chose Me</v>
      </c>
      <c r="C134" s="6" t="str">
        <f>IFERROR(__xludf.DUMMYFUNCTION("""COMPUTED_VALUE"""),"Romance")</f>
        <v>Romance</v>
      </c>
      <c r="D134" s="11">
        <f>IFERROR(__xludf.DUMMYFUNCTION("""COMPUTED_VALUE"""),66.0)</f>
        <v>66</v>
      </c>
      <c r="E134" s="8">
        <f>IFERROR(__xludf.DUMMYFUNCTION("""COMPUTED_VALUE"""),0.969696969696969)</f>
        <v>0.9696969697</v>
      </c>
      <c r="F134" s="8">
        <f>IFERROR(__xludf.DUMMYFUNCTION("""COMPUTED_VALUE"""),0.621212121212121)</f>
        <v>0.6212121212</v>
      </c>
      <c r="G134" s="8">
        <f>IFERROR(__xludf.DUMMYFUNCTION("""COMPUTED_VALUE"""),0.484848484848484)</f>
        <v>0.4848484848</v>
      </c>
      <c r="H134" s="8">
        <f>IFERROR(__xludf.DUMMYFUNCTION("""COMPUTED_VALUE"""),0.393939393939393)</f>
        <v>0.3939393939</v>
      </c>
      <c r="I134" s="8">
        <f>IFERROR(__xludf.DUMMYFUNCTION("""COMPUTED_VALUE"""),0.363636363636363)</f>
        <v>0.3636363636</v>
      </c>
      <c r="J134" s="8">
        <f>IFERROR(__xludf.DUMMYFUNCTION("""COMPUTED_VALUE"""),0.348484848484848)</f>
        <v>0.3484848485</v>
      </c>
      <c r="K134" s="8">
        <f>IFERROR(__xludf.DUMMYFUNCTION("""COMPUTED_VALUE"""),0.348484848484848)</f>
        <v>0.3484848485</v>
      </c>
      <c r="L134" s="8">
        <f>IFERROR(__xludf.DUMMYFUNCTION("""COMPUTED_VALUE"""),0.363636363636363)</f>
        <v>0.3636363636</v>
      </c>
      <c r="M134" s="8">
        <f>IFERROR(__xludf.DUMMYFUNCTION("""COMPUTED_VALUE"""),0.363636363636363)</f>
        <v>0.3636363636</v>
      </c>
      <c r="N134" s="8">
        <f>IFERROR(__xludf.DUMMYFUNCTION("""COMPUTED_VALUE"""),0.333333333333333)</f>
        <v>0.3333333333</v>
      </c>
      <c r="O134" s="8">
        <f>IFERROR(__xludf.DUMMYFUNCTION("""COMPUTED_VALUE"""),0.227272727272727)</f>
        <v>0.2272727273</v>
      </c>
      <c r="P134" s="8">
        <f>IFERROR(__xludf.DUMMYFUNCTION("""COMPUTED_VALUE"""),0.109375)</f>
        <v>0.109375</v>
      </c>
      <c r="Q134" s="8">
        <f>IFERROR(__xludf.DUMMYFUNCTION("""COMPUTED_VALUE"""),0.032258064516129)</f>
        <v>0.03225806452</v>
      </c>
      <c r="R134" s="8">
        <f>IFERROR(__xludf.DUMMYFUNCTION("""COMPUTED_VALUE"""),0.0)</f>
        <v>0</v>
      </c>
      <c r="S134" s="8">
        <f>IFERROR(__xludf.DUMMYFUNCTION("""COMPUTED_VALUE"""),0.0)</f>
        <v>0</v>
      </c>
      <c r="T134" s="8">
        <f>IFERROR(__xludf.DUMMYFUNCTION("""COMPUTED_VALUE"""),0.0)</f>
        <v>0</v>
      </c>
      <c r="U134" s="8">
        <f>IFERROR(__xludf.DUMMYFUNCTION("""COMPUTED_VALUE"""),0.0)</f>
        <v>0</v>
      </c>
      <c r="V134" s="8">
        <f>IFERROR(__xludf.DUMMYFUNCTION("""COMPUTED_VALUE"""),0.0)</f>
        <v>0</v>
      </c>
      <c r="W134" s="8">
        <f>IFERROR(__xludf.DUMMYFUNCTION("""COMPUTED_VALUE"""),0.0)</f>
        <v>0</v>
      </c>
      <c r="X134" s="8">
        <f>IFERROR(__xludf.DUMMYFUNCTION("""COMPUTED_VALUE"""),0.0)</f>
        <v>0</v>
      </c>
      <c r="Y134" s="8">
        <f>IFERROR(__xludf.DUMMYFUNCTION("""COMPUTED_VALUE"""),0.0)</f>
        <v>0</v>
      </c>
      <c r="Z134" s="8">
        <f>IFERROR(__xludf.DUMMYFUNCTION("""COMPUTED_VALUE"""),0.0)</f>
        <v>0</v>
      </c>
      <c r="AA134" s="8">
        <f>IFERROR(__xludf.DUMMYFUNCTION("""COMPUTED_VALUE"""),0.0)</f>
        <v>0</v>
      </c>
      <c r="AB134" s="8">
        <f>IFERROR(__xludf.DUMMYFUNCTION("""COMPUTED_VALUE"""),0.0)</f>
        <v>0</v>
      </c>
      <c r="AC134" s="8">
        <f>IFERROR(__xludf.DUMMYFUNCTION("""COMPUTED_VALUE"""),0.0)</f>
        <v>0</v>
      </c>
    </row>
    <row r="135" ht="15.75" customHeight="1">
      <c r="A135" s="6" t="str">
        <f>IFERROR(__xludf.DUMMYFUNCTION("""COMPUTED_VALUE"""),"749524eadbd429949b1a44242bd8fb3559f3626c")</f>
        <v>749524eadbd429949b1a44242bd8fb3559f3626c</v>
      </c>
      <c r="B135" s="6" t="str">
        <f>IFERROR(__xludf.DUMMYFUNCTION("""COMPUTED_VALUE"""),"Monarch of His Shadows")</f>
        <v>Monarch of His Shadows</v>
      </c>
      <c r="C135" s="6" t="str">
        <f>IFERROR(__xludf.DUMMYFUNCTION("""COMPUTED_VALUE"""),"Fantasy")</f>
        <v>Fantasy</v>
      </c>
      <c r="D135" s="11">
        <f>IFERROR(__xludf.DUMMYFUNCTION("""COMPUTED_VALUE"""),67.0)</f>
        <v>67</v>
      </c>
      <c r="E135" s="8">
        <f>IFERROR(__xludf.DUMMYFUNCTION("""COMPUTED_VALUE"""),0.925373134328358)</f>
        <v>0.9253731343</v>
      </c>
      <c r="F135" s="8">
        <f>IFERROR(__xludf.DUMMYFUNCTION("""COMPUTED_VALUE"""),0.567164179104477)</f>
        <v>0.5671641791</v>
      </c>
      <c r="G135" s="8">
        <f>IFERROR(__xludf.DUMMYFUNCTION("""COMPUTED_VALUE"""),0.507462686567164)</f>
        <v>0.5074626866</v>
      </c>
      <c r="H135" s="8">
        <f>IFERROR(__xludf.DUMMYFUNCTION("""COMPUTED_VALUE"""),0.522388059701492)</f>
        <v>0.5223880597</v>
      </c>
      <c r="I135" s="8">
        <f>IFERROR(__xludf.DUMMYFUNCTION("""COMPUTED_VALUE"""),0.439393939393939)</f>
        <v>0.4393939394</v>
      </c>
      <c r="J135" s="8">
        <f>IFERROR(__xludf.DUMMYFUNCTION("""COMPUTED_VALUE"""),0.461538461538461)</f>
        <v>0.4615384615</v>
      </c>
      <c r="K135" s="8">
        <f>IFERROR(__xludf.DUMMYFUNCTION("""COMPUTED_VALUE"""),0.446153846153846)</f>
        <v>0.4461538462</v>
      </c>
      <c r="L135" s="8">
        <f>IFERROR(__xludf.DUMMYFUNCTION("""COMPUTED_VALUE"""),0.4)</f>
        <v>0.4</v>
      </c>
      <c r="M135" s="8">
        <f>IFERROR(__xludf.DUMMYFUNCTION("""COMPUTED_VALUE"""),0.369230769230769)</f>
        <v>0.3692307692</v>
      </c>
      <c r="N135" s="8">
        <f>IFERROR(__xludf.DUMMYFUNCTION("""COMPUTED_VALUE"""),0.369230769230769)</f>
        <v>0.3692307692</v>
      </c>
      <c r="O135" s="8">
        <f>IFERROR(__xludf.DUMMYFUNCTION("""COMPUTED_VALUE"""),0.301587301587301)</f>
        <v>0.3015873016</v>
      </c>
      <c r="P135" s="8">
        <f>IFERROR(__xludf.DUMMYFUNCTION("""COMPUTED_VALUE"""),0.126984126984126)</f>
        <v>0.126984127</v>
      </c>
      <c r="Q135" s="8">
        <f>IFERROR(__xludf.DUMMYFUNCTION("""COMPUTED_VALUE"""),0.0)</f>
        <v>0</v>
      </c>
      <c r="R135" s="8">
        <f>IFERROR(__xludf.DUMMYFUNCTION("""COMPUTED_VALUE"""),0.0)</f>
        <v>0</v>
      </c>
      <c r="S135" s="8">
        <f>IFERROR(__xludf.DUMMYFUNCTION("""COMPUTED_VALUE"""),0.0)</f>
        <v>0</v>
      </c>
      <c r="T135" s="8">
        <f>IFERROR(__xludf.DUMMYFUNCTION("""COMPUTED_VALUE"""),0.0)</f>
        <v>0</v>
      </c>
      <c r="U135" s="8">
        <f>IFERROR(__xludf.DUMMYFUNCTION("""COMPUTED_VALUE"""),0.0)</f>
        <v>0</v>
      </c>
      <c r="V135" s="8">
        <f>IFERROR(__xludf.DUMMYFUNCTION("""COMPUTED_VALUE"""),0.0)</f>
        <v>0</v>
      </c>
      <c r="W135" s="8">
        <f>IFERROR(__xludf.DUMMYFUNCTION("""COMPUTED_VALUE"""),0.0)</f>
        <v>0</v>
      </c>
      <c r="X135" s="8">
        <f>IFERROR(__xludf.DUMMYFUNCTION("""COMPUTED_VALUE"""),0.0)</f>
        <v>0</v>
      </c>
      <c r="Y135" s="8">
        <f>IFERROR(__xludf.DUMMYFUNCTION("""COMPUTED_VALUE"""),0.0)</f>
        <v>0</v>
      </c>
      <c r="Z135" s="8">
        <f>IFERROR(__xludf.DUMMYFUNCTION("""COMPUTED_VALUE"""),0.0)</f>
        <v>0</v>
      </c>
      <c r="AA135" s="8">
        <f>IFERROR(__xludf.DUMMYFUNCTION("""COMPUTED_VALUE"""),0.0)</f>
        <v>0</v>
      </c>
      <c r="AB135" s="8">
        <f>IFERROR(__xludf.DUMMYFUNCTION("""COMPUTED_VALUE"""),0.0)</f>
        <v>0</v>
      </c>
      <c r="AC135" s="8">
        <f>IFERROR(__xludf.DUMMYFUNCTION("""COMPUTED_VALUE"""),0.0)</f>
        <v>0</v>
      </c>
    </row>
    <row r="136" ht="15.75" customHeight="1">
      <c r="A136" s="6" t="str">
        <f>IFERROR(__xludf.DUMMYFUNCTION("""COMPUTED_VALUE"""),"75537e31c1c79bdbb6ca1cd286c8e6bcb2697a51")</f>
        <v>75537e31c1c79bdbb6ca1cd286c8e6bcb2697a51</v>
      </c>
      <c r="B136" s="6" t="str">
        <f>IFERROR(__xludf.DUMMYFUNCTION("""COMPUTED_VALUE"""),"The Story of the CEO and the Heiress")</f>
        <v>The Story of the CEO and the Heiress</v>
      </c>
      <c r="C136" s="6" t="str">
        <f>IFERROR(__xludf.DUMMYFUNCTION("""COMPUTED_VALUE"""),"Romance")</f>
        <v>Romance</v>
      </c>
      <c r="D136" s="11">
        <f>IFERROR(__xludf.DUMMYFUNCTION("""COMPUTED_VALUE"""),1119.0)</f>
        <v>1119</v>
      </c>
      <c r="E136" s="8">
        <f>IFERROR(__xludf.DUMMYFUNCTION("""COMPUTED_VALUE"""),0.962466487935656)</f>
        <v>0.9624664879</v>
      </c>
      <c r="F136" s="8">
        <f>IFERROR(__xludf.DUMMYFUNCTION("""COMPUTED_VALUE"""),0.519213583556747)</f>
        <v>0.5192135836</v>
      </c>
      <c r="G136" s="8">
        <f>IFERROR(__xludf.DUMMYFUNCTION("""COMPUTED_VALUE"""),0.438784629133154)</f>
        <v>0.4387846291</v>
      </c>
      <c r="H136" s="8">
        <f>IFERROR(__xludf.DUMMYFUNCTION("""COMPUTED_VALUE"""),0.407506702412868)</f>
        <v>0.4075067024</v>
      </c>
      <c r="I136" s="8">
        <f>IFERROR(__xludf.DUMMYFUNCTION("""COMPUTED_VALUE"""),0.376565295169946)</f>
        <v>0.3765652952</v>
      </c>
      <c r="J136" s="8">
        <f>IFERROR(__xludf.DUMMYFUNCTION("""COMPUTED_VALUE"""),0.36021505376344)</f>
        <v>0.3602150538</v>
      </c>
      <c r="K136" s="8">
        <f>IFERROR(__xludf.DUMMYFUNCTION("""COMPUTED_VALUE"""),0.348566308243727)</f>
        <v>0.3485663082</v>
      </c>
      <c r="L136" s="8">
        <f>IFERROR(__xludf.DUMMYFUNCTION("""COMPUTED_VALUE"""),0.338116591928251)</f>
        <v>0.3381165919</v>
      </c>
      <c r="M136" s="8">
        <f>IFERROR(__xludf.DUMMYFUNCTION("""COMPUTED_VALUE"""),0.334529147982062)</f>
        <v>0.334529148</v>
      </c>
      <c r="N136" s="8">
        <f>IFERROR(__xludf.DUMMYFUNCTION("""COMPUTED_VALUE"""),0.320754716981132)</f>
        <v>0.320754717</v>
      </c>
      <c r="O136" s="8">
        <f>IFERROR(__xludf.DUMMYFUNCTION("""COMPUTED_VALUE"""),0.307761732851985)</f>
        <v>0.3077617329</v>
      </c>
      <c r="P136" s="8">
        <f>IFERROR(__xludf.DUMMYFUNCTION("""COMPUTED_VALUE"""),0.26497277676951)</f>
        <v>0.2649727768</v>
      </c>
      <c r="Q136" s="8">
        <f>IFERROR(__xludf.DUMMYFUNCTION("""COMPUTED_VALUE"""),0.222323879231473)</f>
        <v>0.2223238792</v>
      </c>
      <c r="R136" s="8">
        <f>IFERROR(__xludf.DUMMYFUNCTION("""COMPUTED_VALUE"""),0.176308539944903)</f>
        <v>0.1763085399</v>
      </c>
      <c r="S136" s="8">
        <f>IFERROR(__xludf.DUMMYFUNCTION("""COMPUTED_VALUE"""),0.154343807763401)</f>
        <v>0.1543438078</v>
      </c>
      <c r="T136" s="8">
        <f>IFERROR(__xludf.DUMMYFUNCTION("""COMPUTED_VALUE"""),0.085972850678733)</f>
        <v>0.08597285068</v>
      </c>
      <c r="U136" s="8">
        <f>IFERROR(__xludf.DUMMYFUNCTION("""COMPUTED_VALUE"""),0.0666666666666666)</f>
        <v>0.06666666667</v>
      </c>
      <c r="V136" s="8">
        <f>IFERROR(__xludf.DUMMYFUNCTION("""COMPUTED_VALUE"""),0.0393258426966292)</f>
        <v>0.0393258427</v>
      </c>
      <c r="W136" s="8">
        <f>IFERROR(__xludf.DUMMYFUNCTION("""COMPUTED_VALUE"""),0.0186915887850467)</f>
        <v>0.01869158879</v>
      </c>
      <c r="X136" s="8">
        <f>IFERROR(__xludf.DUMMYFUNCTION("""COMPUTED_VALUE"""),0.0)</f>
        <v>0</v>
      </c>
      <c r="Y136" s="8">
        <f>IFERROR(__xludf.DUMMYFUNCTION("""COMPUTED_VALUE"""),0.0)</f>
        <v>0</v>
      </c>
      <c r="Z136" s="8">
        <f>IFERROR(__xludf.DUMMYFUNCTION("""COMPUTED_VALUE"""),0.0)</f>
        <v>0</v>
      </c>
      <c r="AA136" s="8">
        <f>IFERROR(__xludf.DUMMYFUNCTION("""COMPUTED_VALUE"""),0.0)</f>
        <v>0</v>
      </c>
      <c r="AB136" s="8">
        <f>IFERROR(__xludf.DUMMYFUNCTION("""COMPUTED_VALUE"""),0.0)</f>
        <v>0</v>
      </c>
      <c r="AC136" s="8">
        <f>IFERROR(__xludf.DUMMYFUNCTION("""COMPUTED_VALUE"""),0.0)</f>
        <v>0</v>
      </c>
    </row>
    <row r="137" ht="15.75" customHeight="1">
      <c r="A137" s="6" t="str">
        <f>IFERROR(__xludf.DUMMYFUNCTION("""COMPUTED_VALUE"""),"767e135d338072c6a947db01691ead3f3174c6e1")</f>
        <v>767e135d338072c6a947db01691ead3f3174c6e1</v>
      </c>
      <c r="B137" s="6" t="str">
        <f>IFERROR(__xludf.DUMMYFUNCTION("""COMPUTED_VALUE"""),"The Hidden Heir Returns")</f>
        <v>The Hidden Heir Returns</v>
      </c>
      <c r="C137" s="6" t="str">
        <f>IFERROR(__xludf.DUMMYFUNCTION("""COMPUTED_VALUE"""),"Drama")</f>
        <v>Drama</v>
      </c>
      <c r="D137" s="11">
        <f>IFERROR(__xludf.DUMMYFUNCTION("""COMPUTED_VALUE"""),2889.0)</f>
        <v>2889</v>
      </c>
      <c r="E137" s="8">
        <f>IFERROR(__xludf.DUMMYFUNCTION("""COMPUTED_VALUE"""),0.865351332641052)</f>
        <v>0.8653513326</v>
      </c>
      <c r="F137" s="8">
        <f>IFERROR(__xludf.DUMMYFUNCTION("""COMPUTED_VALUE"""),0.502596053997923)</f>
        <v>0.502596054</v>
      </c>
      <c r="G137" s="8">
        <f>IFERROR(__xludf.DUMMYFUNCTION("""COMPUTED_VALUE"""),0.465559016960886)</f>
        <v>0.465559017</v>
      </c>
      <c r="H137" s="8">
        <f>IFERROR(__xludf.DUMMYFUNCTION("""COMPUTED_VALUE"""),0.424738675958188)</f>
        <v>0.424738676</v>
      </c>
      <c r="I137" s="8">
        <f>IFERROR(__xludf.DUMMYFUNCTION("""COMPUTED_VALUE"""),0.394341599720572)</f>
        <v>0.3943415997</v>
      </c>
      <c r="J137" s="8">
        <f>IFERROR(__xludf.DUMMYFUNCTION("""COMPUTED_VALUE"""),0.375394321766561)</f>
        <v>0.3753943218</v>
      </c>
      <c r="K137" s="8">
        <f>IFERROR(__xludf.DUMMYFUNCTION("""COMPUTED_VALUE"""),0.361619718309859)</f>
        <v>0.3616197183</v>
      </c>
      <c r="L137" s="8">
        <f>IFERROR(__xludf.DUMMYFUNCTION("""COMPUTED_VALUE"""),0.345035460992907)</f>
        <v>0.345035461</v>
      </c>
      <c r="M137" s="8">
        <f>IFERROR(__xludf.DUMMYFUNCTION("""COMPUTED_VALUE"""),0.333096338428723)</f>
        <v>0.3330963384</v>
      </c>
      <c r="N137" s="8">
        <f>IFERROR(__xludf.DUMMYFUNCTION("""COMPUTED_VALUE"""),0.315225160829163)</f>
        <v>0.3152251608</v>
      </c>
      <c r="O137" s="8">
        <f>IFERROR(__xludf.DUMMYFUNCTION("""COMPUTED_VALUE"""),0.278976234003656)</f>
        <v>0.278976234</v>
      </c>
      <c r="P137" s="8">
        <f>IFERROR(__xludf.DUMMYFUNCTION("""COMPUTED_VALUE"""),0.2450430228208)</f>
        <v>0.2450430228</v>
      </c>
      <c r="Q137" s="8">
        <f>IFERROR(__xludf.DUMMYFUNCTION("""COMPUTED_VALUE"""),0.179186228482003)</f>
        <v>0.1791862285</v>
      </c>
      <c r="R137" s="8">
        <f>IFERROR(__xludf.DUMMYFUNCTION("""COMPUTED_VALUE"""),0.128473620620217)</f>
        <v>0.1284736206</v>
      </c>
      <c r="S137" s="8">
        <f>IFERROR(__xludf.DUMMYFUNCTION("""COMPUTED_VALUE"""),0.0956125827814569)</f>
        <v>0.09561258278</v>
      </c>
      <c r="T137" s="8">
        <f>IFERROR(__xludf.DUMMYFUNCTION("""COMPUTED_VALUE"""),0.0763651877133105)</f>
        <v>0.07636518771</v>
      </c>
      <c r="U137" s="8">
        <f>IFERROR(__xludf.DUMMYFUNCTION("""COMPUTED_VALUE"""),0.0636971046770601)</f>
        <v>0.06369710468</v>
      </c>
      <c r="V137" s="8">
        <f>IFERROR(__xludf.DUMMYFUNCTION("""COMPUTED_VALUE"""),0.0582159624413145)</f>
        <v>0.05821596244</v>
      </c>
      <c r="W137" s="8">
        <f>IFERROR(__xludf.DUMMYFUNCTION("""COMPUTED_VALUE"""),0.0505893909626719)</f>
        <v>0.05058939096</v>
      </c>
      <c r="X137" s="8">
        <f>IFERROR(__xludf.DUMMYFUNCTION("""COMPUTED_VALUE"""),0.046875)</f>
        <v>0.046875</v>
      </c>
      <c r="Y137" s="8">
        <f>IFERROR(__xludf.DUMMYFUNCTION("""COMPUTED_VALUE"""),0.0481798715203426)</f>
        <v>0.04817987152</v>
      </c>
      <c r="Z137" s="8">
        <f>IFERROR(__xludf.DUMMYFUNCTION("""COMPUTED_VALUE"""),0.0370786516853932)</f>
        <v>0.03707865169</v>
      </c>
      <c r="AA137" s="8">
        <f>IFERROR(__xludf.DUMMYFUNCTION("""COMPUTED_VALUE"""),0.0267441860465116)</f>
        <v>0.02674418605</v>
      </c>
      <c r="AB137" s="8">
        <f>IFERROR(__xludf.DUMMYFUNCTION("""COMPUTED_VALUE"""),0.0197674418604651)</f>
        <v>0.01976744186</v>
      </c>
      <c r="AC137" s="8">
        <f>IFERROR(__xludf.DUMMYFUNCTION("""COMPUTED_VALUE"""),6.88231245698554E-4)</f>
        <v>0.0006882312457</v>
      </c>
    </row>
    <row r="138" ht="15.75" customHeight="1">
      <c r="A138" s="6" t="str">
        <f>IFERROR(__xludf.DUMMYFUNCTION("""COMPUTED_VALUE"""),"778663539ccabc8ee781b66d2bf6ff6a7f527163")</f>
        <v>778663539ccabc8ee781b66d2bf6ff6a7f527163</v>
      </c>
      <c r="B138" s="6" t="str">
        <f>IFERROR(__xludf.DUMMYFUNCTION("""COMPUTED_VALUE"""),"The Lazuras Engine System")</f>
        <v>The Lazuras Engine System</v>
      </c>
      <c r="C138" s="6" t="str">
        <f>IFERROR(__xludf.DUMMYFUNCTION("""COMPUTED_VALUE"""),"System and Superpower")</f>
        <v>System and Superpower</v>
      </c>
      <c r="D138" s="11">
        <f>IFERROR(__xludf.DUMMYFUNCTION("""COMPUTED_VALUE"""),50.0)</f>
        <v>50</v>
      </c>
      <c r="E138" s="8">
        <f>IFERROR(__xludf.DUMMYFUNCTION("""COMPUTED_VALUE"""),0.92)</f>
        <v>0.92</v>
      </c>
      <c r="F138" s="8">
        <f>IFERROR(__xludf.DUMMYFUNCTION("""COMPUTED_VALUE"""),0.48)</f>
        <v>0.48</v>
      </c>
      <c r="G138" s="8">
        <f>IFERROR(__xludf.DUMMYFUNCTION("""COMPUTED_VALUE"""),0.42)</f>
        <v>0.42</v>
      </c>
      <c r="H138" s="8">
        <f>IFERROR(__xludf.DUMMYFUNCTION("""COMPUTED_VALUE"""),0.34)</f>
        <v>0.34</v>
      </c>
      <c r="I138" s="8">
        <f>IFERROR(__xludf.DUMMYFUNCTION("""COMPUTED_VALUE"""),0.32)</f>
        <v>0.32</v>
      </c>
      <c r="J138" s="8">
        <f>IFERROR(__xludf.DUMMYFUNCTION("""COMPUTED_VALUE"""),0.3)</f>
        <v>0.3</v>
      </c>
      <c r="K138" s="8">
        <f>IFERROR(__xludf.DUMMYFUNCTION("""COMPUTED_VALUE"""),0.3)</f>
        <v>0.3</v>
      </c>
      <c r="L138" s="8">
        <f>IFERROR(__xludf.DUMMYFUNCTION("""COMPUTED_VALUE"""),0.32)</f>
        <v>0.32</v>
      </c>
      <c r="M138" s="8">
        <f>IFERROR(__xludf.DUMMYFUNCTION("""COMPUTED_VALUE"""),0.28)</f>
        <v>0.28</v>
      </c>
      <c r="N138" s="8">
        <f>IFERROR(__xludf.DUMMYFUNCTION("""COMPUTED_VALUE"""),0.26)</f>
        <v>0.26</v>
      </c>
      <c r="O138" s="8">
        <f>IFERROR(__xludf.DUMMYFUNCTION("""COMPUTED_VALUE"""),0.127659574468085)</f>
        <v>0.1276595745</v>
      </c>
      <c r="P138" s="8">
        <f>IFERROR(__xludf.DUMMYFUNCTION("""COMPUTED_VALUE"""),0.075)</f>
        <v>0.075</v>
      </c>
      <c r="Q138" s="8">
        <f>IFERROR(__xludf.DUMMYFUNCTION("""COMPUTED_VALUE"""),0.0)</f>
        <v>0</v>
      </c>
      <c r="R138" s="8">
        <f>IFERROR(__xludf.DUMMYFUNCTION("""COMPUTED_VALUE"""),0.0)</f>
        <v>0</v>
      </c>
      <c r="S138" s="8">
        <f>IFERROR(__xludf.DUMMYFUNCTION("""COMPUTED_VALUE"""),0.0)</f>
        <v>0</v>
      </c>
      <c r="T138" s="8">
        <f>IFERROR(__xludf.DUMMYFUNCTION("""COMPUTED_VALUE"""),0.0)</f>
        <v>0</v>
      </c>
      <c r="U138" s="8">
        <f>IFERROR(__xludf.DUMMYFUNCTION("""COMPUTED_VALUE"""),0.0)</f>
        <v>0</v>
      </c>
      <c r="V138" s="8">
        <f>IFERROR(__xludf.DUMMYFUNCTION("""COMPUTED_VALUE"""),0.0)</f>
        <v>0</v>
      </c>
      <c r="W138" s="8">
        <f>IFERROR(__xludf.DUMMYFUNCTION("""COMPUTED_VALUE"""),0.0)</f>
        <v>0</v>
      </c>
      <c r="X138" s="8">
        <f>IFERROR(__xludf.DUMMYFUNCTION("""COMPUTED_VALUE"""),0.0)</f>
        <v>0</v>
      </c>
      <c r="Y138" s="8">
        <f>IFERROR(__xludf.DUMMYFUNCTION("""COMPUTED_VALUE"""),0.0)</f>
        <v>0</v>
      </c>
      <c r="Z138" s="8">
        <f>IFERROR(__xludf.DUMMYFUNCTION("""COMPUTED_VALUE"""),0.0)</f>
        <v>0</v>
      </c>
      <c r="AA138" s="8">
        <f>IFERROR(__xludf.DUMMYFUNCTION("""COMPUTED_VALUE"""),0.0)</f>
        <v>0</v>
      </c>
      <c r="AB138" s="8">
        <f>IFERROR(__xludf.DUMMYFUNCTION("""COMPUTED_VALUE"""),0.0)</f>
        <v>0</v>
      </c>
      <c r="AC138" s="8">
        <f>IFERROR(__xludf.DUMMYFUNCTION("""COMPUTED_VALUE"""),0.0)</f>
        <v>0</v>
      </c>
    </row>
    <row r="139" ht="15.75" customHeight="1">
      <c r="A139" s="6" t="str">
        <f>IFERROR(__xludf.DUMMYFUNCTION("""COMPUTED_VALUE"""),"7b3a625b0f5bbaa9080a6795b2d70e994716f8a5")</f>
        <v>7b3a625b0f5bbaa9080a6795b2d70e994716f8a5</v>
      </c>
      <c r="B139" s="6" t="str">
        <f>IFERROR(__xludf.DUMMYFUNCTION("""COMPUTED_VALUE"""),"Unexpectedly Yours")</f>
        <v>Unexpectedly Yours</v>
      </c>
      <c r="C139" s="6" t="str">
        <f>IFERROR(__xludf.DUMMYFUNCTION("""COMPUTED_VALUE"""),"Romance")</f>
        <v>Romance</v>
      </c>
      <c r="D139" s="11">
        <f>IFERROR(__xludf.DUMMYFUNCTION("""COMPUTED_VALUE"""),17.0)</f>
        <v>17</v>
      </c>
      <c r="E139" s="8">
        <f>IFERROR(__xludf.DUMMYFUNCTION("""COMPUTED_VALUE"""),0.941176470588235)</f>
        <v>0.9411764706</v>
      </c>
      <c r="F139" s="8">
        <f>IFERROR(__xludf.DUMMYFUNCTION("""COMPUTED_VALUE"""),0.352941176470588)</f>
        <v>0.3529411765</v>
      </c>
      <c r="G139" s="8">
        <f>IFERROR(__xludf.DUMMYFUNCTION("""COMPUTED_VALUE"""),0.294117647058823)</f>
        <v>0.2941176471</v>
      </c>
      <c r="H139" s="8">
        <f>IFERROR(__xludf.DUMMYFUNCTION("""COMPUTED_VALUE"""),0.166666666666666)</f>
        <v>0.1666666667</v>
      </c>
      <c r="I139" s="8">
        <f>IFERROR(__xludf.DUMMYFUNCTION("""COMPUTED_VALUE"""),0.25)</f>
        <v>0.25</v>
      </c>
      <c r="J139" s="8">
        <f>IFERROR(__xludf.DUMMYFUNCTION("""COMPUTED_VALUE"""),0.222222222222222)</f>
        <v>0.2222222222</v>
      </c>
      <c r="K139" s="8">
        <f>IFERROR(__xludf.DUMMYFUNCTION("""COMPUTED_VALUE"""),0.333333333333333)</f>
        <v>0.3333333333</v>
      </c>
      <c r="L139" s="8">
        <f>IFERROR(__xludf.DUMMYFUNCTION("""COMPUTED_VALUE"""),0.333333333333333)</f>
        <v>0.3333333333</v>
      </c>
      <c r="M139" s="8">
        <f>IFERROR(__xludf.DUMMYFUNCTION("""COMPUTED_VALUE"""),0.222222222222222)</f>
        <v>0.2222222222</v>
      </c>
      <c r="N139" s="8">
        <f>IFERROR(__xludf.DUMMYFUNCTION("""COMPUTED_VALUE"""),0.333333333333333)</f>
        <v>0.3333333333</v>
      </c>
      <c r="O139" s="8">
        <f>IFERROR(__xludf.DUMMYFUNCTION("""COMPUTED_VALUE"""),0.0)</f>
        <v>0</v>
      </c>
      <c r="P139" s="8">
        <f>IFERROR(__xludf.DUMMYFUNCTION("""COMPUTED_VALUE"""),0.0)</f>
        <v>0</v>
      </c>
      <c r="Q139" s="8">
        <f>IFERROR(__xludf.DUMMYFUNCTION("""COMPUTED_VALUE"""),0.0)</f>
        <v>0</v>
      </c>
      <c r="R139" s="8">
        <f>IFERROR(__xludf.DUMMYFUNCTION("""COMPUTED_VALUE"""),0.0)</f>
        <v>0</v>
      </c>
      <c r="S139" s="8">
        <f>IFERROR(__xludf.DUMMYFUNCTION("""COMPUTED_VALUE"""),0.0)</f>
        <v>0</v>
      </c>
      <c r="T139" s="8">
        <f>IFERROR(__xludf.DUMMYFUNCTION("""COMPUTED_VALUE"""),0.0)</f>
        <v>0</v>
      </c>
      <c r="U139" s="8">
        <f>IFERROR(__xludf.DUMMYFUNCTION("""COMPUTED_VALUE"""),0.0)</f>
        <v>0</v>
      </c>
      <c r="V139" s="8">
        <f>IFERROR(__xludf.DUMMYFUNCTION("""COMPUTED_VALUE"""),0.0)</f>
        <v>0</v>
      </c>
      <c r="W139" s="8">
        <f>IFERROR(__xludf.DUMMYFUNCTION("""COMPUTED_VALUE"""),0.0)</f>
        <v>0</v>
      </c>
      <c r="X139" s="8">
        <f>IFERROR(__xludf.DUMMYFUNCTION("""COMPUTED_VALUE"""),0.0)</f>
        <v>0</v>
      </c>
      <c r="Y139" s="8">
        <f>IFERROR(__xludf.DUMMYFUNCTION("""COMPUTED_VALUE"""),0.0)</f>
        <v>0</v>
      </c>
      <c r="Z139" s="8">
        <f>IFERROR(__xludf.DUMMYFUNCTION("""COMPUTED_VALUE"""),0.0)</f>
        <v>0</v>
      </c>
      <c r="AA139" s="8">
        <f>IFERROR(__xludf.DUMMYFUNCTION("""COMPUTED_VALUE"""),0.0)</f>
        <v>0</v>
      </c>
      <c r="AB139" s="8">
        <f>IFERROR(__xludf.DUMMYFUNCTION("""COMPUTED_VALUE"""),0.0)</f>
        <v>0</v>
      </c>
      <c r="AC139" s="8">
        <f>IFERROR(__xludf.DUMMYFUNCTION("""COMPUTED_VALUE"""),0.0)</f>
        <v>0</v>
      </c>
    </row>
    <row r="140" ht="15.75" customHeight="1">
      <c r="A140" s="6" t="str">
        <f>IFERROR(__xludf.DUMMYFUNCTION("""COMPUTED_VALUE"""),"7c9e3c835e58a5ec8e21381910eaaf785ea5ddfc")</f>
        <v>7c9e3c835e58a5ec8e21381910eaaf785ea5ddfc</v>
      </c>
      <c r="B140" s="6" t="str">
        <f>IFERROR(__xludf.DUMMYFUNCTION("""COMPUTED_VALUE"""),"I Do ... Or Do I? ")</f>
        <v>I Do ... Or Do I? </v>
      </c>
      <c r="C140" s="6" t="str">
        <f>IFERROR(__xludf.DUMMYFUNCTION("""COMPUTED_VALUE"""),"Romance")</f>
        <v>Romance</v>
      </c>
      <c r="D140" s="11">
        <f>IFERROR(__xludf.DUMMYFUNCTION("""COMPUTED_VALUE"""),21.0)</f>
        <v>21</v>
      </c>
      <c r="E140" s="8">
        <f>IFERROR(__xludf.DUMMYFUNCTION("""COMPUTED_VALUE"""),1.0)</f>
        <v>1</v>
      </c>
      <c r="F140" s="8">
        <f>IFERROR(__xludf.DUMMYFUNCTION("""COMPUTED_VALUE"""),0.571428571428571)</f>
        <v>0.5714285714</v>
      </c>
      <c r="G140" s="8">
        <f>IFERROR(__xludf.DUMMYFUNCTION("""COMPUTED_VALUE"""),0.523809523809523)</f>
        <v>0.5238095238</v>
      </c>
      <c r="H140" s="8">
        <f>IFERROR(__xludf.DUMMYFUNCTION("""COMPUTED_VALUE"""),0.578947368421052)</f>
        <v>0.5789473684</v>
      </c>
      <c r="I140" s="8">
        <f>IFERROR(__xludf.DUMMYFUNCTION("""COMPUTED_VALUE"""),0.5625)</f>
        <v>0.5625</v>
      </c>
      <c r="J140" s="8">
        <f>IFERROR(__xludf.DUMMYFUNCTION("""COMPUTED_VALUE"""),0.533333333333333)</f>
        <v>0.5333333333</v>
      </c>
      <c r="K140" s="8">
        <f>IFERROR(__xludf.DUMMYFUNCTION("""COMPUTED_VALUE"""),0.533333333333333)</f>
        <v>0.5333333333</v>
      </c>
      <c r="L140" s="8">
        <f>IFERROR(__xludf.DUMMYFUNCTION("""COMPUTED_VALUE"""),0.538461538461538)</f>
        <v>0.5384615385</v>
      </c>
      <c r="M140" s="8">
        <f>IFERROR(__xludf.DUMMYFUNCTION("""COMPUTED_VALUE"""),0.416666666666666)</f>
        <v>0.4166666667</v>
      </c>
      <c r="N140" s="8">
        <f>IFERROR(__xludf.DUMMYFUNCTION("""COMPUTED_VALUE"""),0.3)</f>
        <v>0.3</v>
      </c>
      <c r="O140" s="8">
        <f>IFERROR(__xludf.DUMMYFUNCTION("""COMPUTED_VALUE"""),0.4)</f>
        <v>0.4</v>
      </c>
      <c r="P140" s="8">
        <f>IFERROR(__xludf.DUMMYFUNCTION("""COMPUTED_VALUE"""),0.5)</f>
        <v>0.5</v>
      </c>
      <c r="Q140" s="8">
        <f>IFERROR(__xludf.DUMMYFUNCTION("""COMPUTED_VALUE"""),0.5)</f>
        <v>0.5</v>
      </c>
      <c r="R140" s="8">
        <f>IFERROR(__xludf.DUMMYFUNCTION("""COMPUTED_VALUE"""),0.0)</f>
        <v>0</v>
      </c>
      <c r="S140" s="8">
        <f>IFERROR(__xludf.DUMMYFUNCTION("""COMPUTED_VALUE"""),0.0)</f>
        <v>0</v>
      </c>
      <c r="T140" s="8">
        <f>IFERROR(__xludf.DUMMYFUNCTION("""COMPUTED_VALUE"""),0.0)</f>
        <v>0</v>
      </c>
      <c r="U140" s="8">
        <f>IFERROR(__xludf.DUMMYFUNCTION("""COMPUTED_VALUE"""),0.0)</f>
        <v>0</v>
      </c>
      <c r="V140" s="8">
        <f>IFERROR(__xludf.DUMMYFUNCTION("""COMPUTED_VALUE"""),0.0)</f>
        <v>0</v>
      </c>
      <c r="W140" s="8">
        <f>IFERROR(__xludf.DUMMYFUNCTION("""COMPUTED_VALUE"""),0.0)</f>
        <v>0</v>
      </c>
      <c r="X140" s="8">
        <f>IFERROR(__xludf.DUMMYFUNCTION("""COMPUTED_VALUE"""),0.0)</f>
        <v>0</v>
      </c>
      <c r="Y140" s="8">
        <f>IFERROR(__xludf.DUMMYFUNCTION("""COMPUTED_VALUE"""),0.0)</f>
        <v>0</v>
      </c>
      <c r="Z140" s="8">
        <f>IFERROR(__xludf.DUMMYFUNCTION("""COMPUTED_VALUE"""),0.0)</f>
        <v>0</v>
      </c>
      <c r="AA140" s="8">
        <f>IFERROR(__xludf.DUMMYFUNCTION("""COMPUTED_VALUE"""),0.0)</f>
        <v>0</v>
      </c>
      <c r="AB140" s="8">
        <f>IFERROR(__xludf.DUMMYFUNCTION("""COMPUTED_VALUE"""),0.0)</f>
        <v>0</v>
      </c>
      <c r="AC140" s="8">
        <f>IFERROR(__xludf.DUMMYFUNCTION("""COMPUTED_VALUE"""),0.0)</f>
        <v>0</v>
      </c>
    </row>
    <row r="141" ht="15.75" customHeight="1">
      <c r="A141" s="6" t="str">
        <f>IFERROR(__xludf.DUMMYFUNCTION("""COMPUTED_VALUE"""),"7d18c26c9a61af0d543d74280e7328e01a907988")</f>
        <v>7d18c26c9a61af0d543d74280e7328e01a907988</v>
      </c>
      <c r="B141" s="6" t="str">
        <f>IFERROR(__xludf.DUMMYFUNCTION("""COMPUTED_VALUE"""),"Empire of Love and War")</f>
        <v>Empire of Love and War</v>
      </c>
      <c r="C141" s="6" t="str">
        <f>IFERROR(__xludf.DUMMYFUNCTION("""COMPUTED_VALUE"""),"Romance")</f>
        <v>Romance</v>
      </c>
      <c r="D141" s="11">
        <f>IFERROR(__xludf.DUMMYFUNCTION("""COMPUTED_VALUE"""),86.0)</f>
        <v>86</v>
      </c>
      <c r="E141" s="8">
        <f>IFERROR(__xludf.DUMMYFUNCTION("""COMPUTED_VALUE"""),0.953488372093023)</f>
        <v>0.9534883721</v>
      </c>
      <c r="F141" s="8">
        <f>IFERROR(__xludf.DUMMYFUNCTION("""COMPUTED_VALUE"""),0.616279069767441)</f>
        <v>0.6162790698</v>
      </c>
      <c r="G141" s="8">
        <f>IFERROR(__xludf.DUMMYFUNCTION("""COMPUTED_VALUE"""),0.569767441860465)</f>
        <v>0.5697674419</v>
      </c>
      <c r="H141" s="8">
        <f>IFERROR(__xludf.DUMMYFUNCTION("""COMPUTED_VALUE"""),0.525)</f>
        <v>0.525</v>
      </c>
      <c r="I141" s="8">
        <f>IFERROR(__xludf.DUMMYFUNCTION("""COMPUTED_VALUE"""),0.5)</f>
        <v>0.5</v>
      </c>
      <c r="J141" s="8">
        <f>IFERROR(__xludf.DUMMYFUNCTION("""COMPUTED_VALUE"""),0.512820512820512)</f>
        <v>0.5128205128</v>
      </c>
      <c r="K141" s="8">
        <f>IFERROR(__xludf.DUMMYFUNCTION("""COMPUTED_VALUE"""),0.48)</f>
        <v>0.48</v>
      </c>
      <c r="L141" s="8">
        <f>IFERROR(__xludf.DUMMYFUNCTION("""COMPUTED_VALUE"""),0.436619718309859)</f>
        <v>0.4366197183</v>
      </c>
      <c r="M141" s="8">
        <f>IFERROR(__xludf.DUMMYFUNCTION("""COMPUTED_VALUE"""),0.426229508196721)</f>
        <v>0.4262295082</v>
      </c>
      <c r="N141" s="8">
        <f>IFERROR(__xludf.DUMMYFUNCTION("""COMPUTED_VALUE"""),0.369565217391304)</f>
        <v>0.3695652174</v>
      </c>
      <c r="O141" s="8">
        <f>IFERROR(__xludf.DUMMYFUNCTION("""COMPUTED_VALUE"""),0.285714285714285)</f>
        <v>0.2857142857</v>
      </c>
      <c r="P141" s="8">
        <f>IFERROR(__xludf.DUMMYFUNCTION("""COMPUTED_VALUE"""),0.272727272727272)</f>
        <v>0.2727272727</v>
      </c>
      <c r="Q141" s="8">
        <f>IFERROR(__xludf.DUMMYFUNCTION("""COMPUTED_VALUE"""),0.125)</f>
        <v>0.125</v>
      </c>
      <c r="R141" s="8">
        <f>IFERROR(__xludf.DUMMYFUNCTION("""COMPUTED_VALUE"""),0.0)</f>
        <v>0</v>
      </c>
      <c r="S141" s="8">
        <f>IFERROR(__xludf.DUMMYFUNCTION("""COMPUTED_VALUE"""),0.0)</f>
        <v>0</v>
      </c>
      <c r="T141" s="8">
        <f>IFERROR(__xludf.DUMMYFUNCTION("""COMPUTED_VALUE"""),0.0)</f>
        <v>0</v>
      </c>
      <c r="U141" s="8">
        <f>IFERROR(__xludf.DUMMYFUNCTION("""COMPUTED_VALUE"""),0.0)</f>
        <v>0</v>
      </c>
      <c r="V141" s="8">
        <f>IFERROR(__xludf.DUMMYFUNCTION("""COMPUTED_VALUE"""),0.0)</f>
        <v>0</v>
      </c>
      <c r="W141" s="8">
        <f>IFERROR(__xludf.DUMMYFUNCTION("""COMPUTED_VALUE"""),0.0)</f>
        <v>0</v>
      </c>
      <c r="X141" s="8">
        <f>IFERROR(__xludf.DUMMYFUNCTION("""COMPUTED_VALUE"""),0.0)</f>
        <v>0</v>
      </c>
      <c r="Y141" s="8">
        <f>IFERROR(__xludf.DUMMYFUNCTION("""COMPUTED_VALUE"""),0.0)</f>
        <v>0</v>
      </c>
      <c r="Z141" s="8">
        <f>IFERROR(__xludf.DUMMYFUNCTION("""COMPUTED_VALUE"""),0.0)</f>
        <v>0</v>
      </c>
      <c r="AA141" s="8">
        <f>IFERROR(__xludf.DUMMYFUNCTION("""COMPUTED_VALUE"""),0.0)</f>
        <v>0</v>
      </c>
      <c r="AB141" s="8">
        <f>IFERROR(__xludf.DUMMYFUNCTION("""COMPUTED_VALUE"""),0.0)</f>
        <v>0</v>
      </c>
      <c r="AC141" s="8">
        <f>IFERROR(__xludf.DUMMYFUNCTION("""COMPUTED_VALUE"""),0.0)</f>
        <v>0</v>
      </c>
    </row>
    <row r="142" ht="15.75" customHeight="1">
      <c r="A142" s="6" t="str">
        <f>IFERROR(__xludf.DUMMYFUNCTION("""COMPUTED_VALUE"""),"7dcd0d4c632448440b17285c811990532a31efec")</f>
        <v>7dcd0d4c632448440b17285c811990532a31efec</v>
      </c>
      <c r="B142" s="6" t="str">
        <f>IFERROR(__xludf.DUMMYFUNCTION("""COMPUTED_VALUE"""),"The Scentless Luna")</f>
        <v>The Scentless Luna</v>
      </c>
      <c r="C142" s="6" t="str">
        <f>IFERROR(__xludf.DUMMYFUNCTION("""COMPUTED_VALUE"""),"Romantasy")</f>
        <v>Romantasy</v>
      </c>
      <c r="D142" s="11">
        <f>IFERROR(__xludf.DUMMYFUNCTION("""COMPUTED_VALUE"""),15.0)</f>
        <v>15</v>
      </c>
      <c r="E142" s="8">
        <f>IFERROR(__xludf.DUMMYFUNCTION("""COMPUTED_VALUE"""),1.0)</f>
        <v>1</v>
      </c>
      <c r="F142" s="8">
        <f>IFERROR(__xludf.DUMMYFUNCTION("""COMPUTED_VALUE"""),0.4)</f>
        <v>0.4</v>
      </c>
      <c r="G142" s="8">
        <f>IFERROR(__xludf.DUMMYFUNCTION("""COMPUTED_VALUE"""),0.266666666666666)</f>
        <v>0.2666666667</v>
      </c>
      <c r="H142" s="8">
        <f>IFERROR(__xludf.DUMMYFUNCTION("""COMPUTED_VALUE"""),0.166666666666666)</f>
        <v>0.1666666667</v>
      </c>
      <c r="I142" s="8">
        <f>IFERROR(__xludf.DUMMYFUNCTION("""COMPUTED_VALUE"""),0.166666666666666)</f>
        <v>0.1666666667</v>
      </c>
      <c r="J142" s="8">
        <f>IFERROR(__xludf.DUMMYFUNCTION("""COMPUTED_VALUE"""),0.166666666666666)</f>
        <v>0.1666666667</v>
      </c>
      <c r="K142" s="8">
        <f>IFERROR(__xludf.DUMMYFUNCTION("""COMPUTED_VALUE"""),0.166666666666666)</f>
        <v>0.1666666667</v>
      </c>
      <c r="L142" s="8">
        <f>IFERROR(__xludf.DUMMYFUNCTION("""COMPUTED_VALUE"""),0.0909090909090909)</f>
        <v>0.09090909091</v>
      </c>
      <c r="M142" s="8">
        <f>IFERROR(__xludf.DUMMYFUNCTION("""COMPUTED_VALUE"""),0.0909090909090909)</f>
        <v>0.09090909091</v>
      </c>
      <c r="N142" s="8">
        <f>IFERROR(__xludf.DUMMYFUNCTION("""COMPUTED_VALUE"""),0.0909090909090909)</f>
        <v>0.09090909091</v>
      </c>
      <c r="O142" s="8">
        <f>IFERROR(__xludf.DUMMYFUNCTION("""COMPUTED_VALUE"""),0.0909090909090909)</f>
        <v>0.09090909091</v>
      </c>
      <c r="P142" s="8">
        <f>IFERROR(__xludf.DUMMYFUNCTION("""COMPUTED_VALUE"""),0.0909090909090909)</f>
        <v>0.09090909091</v>
      </c>
      <c r="Q142" s="8">
        <f>IFERROR(__xludf.DUMMYFUNCTION("""COMPUTED_VALUE"""),0.0)</f>
        <v>0</v>
      </c>
      <c r="R142" s="8">
        <f>IFERROR(__xludf.DUMMYFUNCTION("""COMPUTED_VALUE"""),0.0)</f>
        <v>0</v>
      </c>
      <c r="S142" s="8">
        <f>IFERROR(__xludf.DUMMYFUNCTION("""COMPUTED_VALUE"""),0.0)</f>
        <v>0</v>
      </c>
      <c r="T142" s="8">
        <f>IFERROR(__xludf.DUMMYFUNCTION("""COMPUTED_VALUE"""),0.0)</f>
        <v>0</v>
      </c>
      <c r="U142" s="8">
        <f>IFERROR(__xludf.DUMMYFUNCTION("""COMPUTED_VALUE"""),0.0)</f>
        <v>0</v>
      </c>
      <c r="V142" s="8">
        <f>IFERROR(__xludf.DUMMYFUNCTION("""COMPUTED_VALUE"""),0.0)</f>
        <v>0</v>
      </c>
      <c r="W142" s="8">
        <f>IFERROR(__xludf.DUMMYFUNCTION("""COMPUTED_VALUE"""),0.0)</f>
        <v>0</v>
      </c>
      <c r="X142" s="8">
        <f>IFERROR(__xludf.DUMMYFUNCTION("""COMPUTED_VALUE"""),0.0)</f>
        <v>0</v>
      </c>
      <c r="Y142" s="8">
        <f>IFERROR(__xludf.DUMMYFUNCTION("""COMPUTED_VALUE"""),0.0)</f>
        <v>0</v>
      </c>
      <c r="Z142" s="8">
        <f>IFERROR(__xludf.DUMMYFUNCTION("""COMPUTED_VALUE"""),0.0)</f>
        <v>0</v>
      </c>
      <c r="AA142" s="8">
        <f>IFERROR(__xludf.DUMMYFUNCTION("""COMPUTED_VALUE"""),0.0)</f>
        <v>0</v>
      </c>
      <c r="AB142" s="8">
        <f>IFERROR(__xludf.DUMMYFUNCTION("""COMPUTED_VALUE"""),0.0)</f>
        <v>0</v>
      </c>
      <c r="AC142" s="8">
        <f>IFERROR(__xludf.DUMMYFUNCTION("""COMPUTED_VALUE"""),0.0)</f>
        <v>0</v>
      </c>
    </row>
    <row r="143" ht="15.75" customHeight="1">
      <c r="A143" s="6" t="str">
        <f>IFERROR(__xludf.DUMMYFUNCTION("""COMPUTED_VALUE"""),"7fb3b080b1ad8976195f7a18e1df497bc23037fa")</f>
        <v>7fb3b080b1ad8976195f7a18e1df497bc23037fa</v>
      </c>
      <c r="B143" s="6" t="str">
        <f>IFERROR(__xludf.DUMMYFUNCTION("""COMPUTED_VALUE"""),"The Ghostwalker")</f>
        <v>The Ghostwalker</v>
      </c>
      <c r="C143" s="6" t="str">
        <f>IFERROR(__xludf.DUMMYFUNCTION("""COMPUTED_VALUE"""),"Suspense or Thriller")</f>
        <v>Suspense or Thriller</v>
      </c>
      <c r="D143" s="11">
        <f>IFERROR(__xludf.DUMMYFUNCTION("""COMPUTED_VALUE"""),562.0)</f>
        <v>562</v>
      </c>
      <c r="E143" s="8">
        <f>IFERROR(__xludf.DUMMYFUNCTION("""COMPUTED_VALUE"""),0.987544483985765)</f>
        <v>0.987544484</v>
      </c>
      <c r="F143" s="8">
        <f>IFERROR(__xludf.DUMMYFUNCTION("""COMPUTED_VALUE"""),0.473309608540925)</f>
        <v>0.4733096085</v>
      </c>
      <c r="G143" s="8">
        <f>IFERROR(__xludf.DUMMYFUNCTION("""COMPUTED_VALUE"""),0.361209964412811)</f>
        <v>0.3612099644</v>
      </c>
      <c r="H143" s="8">
        <f>IFERROR(__xludf.DUMMYFUNCTION("""COMPUTED_VALUE"""),0.315412186379928)</f>
        <v>0.3154121864</v>
      </c>
      <c r="I143" s="8">
        <f>IFERROR(__xludf.DUMMYFUNCTION("""COMPUTED_VALUE"""),0.288288288288288)</f>
        <v>0.2882882883</v>
      </c>
      <c r="J143" s="8">
        <f>IFERROR(__xludf.DUMMYFUNCTION("""COMPUTED_VALUE"""),0.25812274368231)</f>
        <v>0.2581227437</v>
      </c>
      <c r="K143" s="8">
        <f>IFERROR(__xludf.DUMMYFUNCTION("""COMPUTED_VALUE"""),0.221014492753623)</f>
        <v>0.2210144928</v>
      </c>
      <c r="L143" s="8">
        <f>IFERROR(__xludf.DUMMYFUNCTION("""COMPUTED_VALUE"""),0.198542805100182)</f>
        <v>0.1985428051</v>
      </c>
      <c r="M143" s="8">
        <f>IFERROR(__xludf.DUMMYFUNCTION("""COMPUTED_VALUE"""),0.186471663619744)</f>
        <v>0.1864716636</v>
      </c>
      <c r="N143" s="8">
        <f>IFERROR(__xludf.DUMMYFUNCTION("""COMPUTED_VALUE"""),0.177449168207024)</f>
        <v>0.1774491682</v>
      </c>
      <c r="O143" s="8">
        <f>IFERROR(__xludf.DUMMYFUNCTION("""COMPUTED_VALUE"""),0.132631578947368)</f>
        <v>0.1326315789</v>
      </c>
      <c r="P143" s="8">
        <f>IFERROR(__xludf.DUMMYFUNCTION("""COMPUTED_VALUE"""),0.146464646464646)</f>
        <v>0.1464646465</v>
      </c>
      <c r="Q143" s="8">
        <f>IFERROR(__xludf.DUMMYFUNCTION("""COMPUTED_VALUE"""),0.0)</f>
        <v>0</v>
      </c>
      <c r="R143" s="8">
        <f>IFERROR(__xludf.DUMMYFUNCTION("""COMPUTED_VALUE"""),0.0)</f>
        <v>0</v>
      </c>
      <c r="S143" s="8">
        <f>IFERROR(__xludf.DUMMYFUNCTION("""COMPUTED_VALUE"""),0.0)</f>
        <v>0</v>
      </c>
      <c r="T143" s="8">
        <f>IFERROR(__xludf.DUMMYFUNCTION("""COMPUTED_VALUE"""),0.0)</f>
        <v>0</v>
      </c>
      <c r="U143" s="8">
        <f>IFERROR(__xludf.DUMMYFUNCTION("""COMPUTED_VALUE"""),0.0)</f>
        <v>0</v>
      </c>
      <c r="V143" s="8">
        <f>IFERROR(__xludf.DUMMYFUNCTION("""COMPUTED_VALUE"""),0.0)</f>
        <v>0</v>
      </c>
      <c r="W143" s="8">
        <f>IFERROR(__xludf.DUMMYFUNCTION("""COMPUTED_VALUE"""),0.0)</f>
        <v>0</v>
      </c>
      <c r="X143" s="8">
        <f>IFERROR(__xludf.DUMMYFUNCTION("""COMPUTED_VALUE"""),0.0)</f>
        <v>0</v>
      </c>
      <c r="Y143" s="8">
        <f>IFERROR(__xludf.DUMMYFUNCTION("""COMPUTED_VALUE"""),0.0)</f>
        <v>0</v>
      </c>
      <c r="Z143" s="8">
        <f>IFERROR(__xludf.DUMMYFUNCTION("""COMPUTED_VALUE"""),0.0)</f>
        <v>0</v>
      </c>
      <c r="AA143" s="8">
        <f>IFERROR(__xludf.DUMMYFUNCTION("""COMPUTED_VALUE"""),0.0)</f>
        <v>0</v>
      </c>
      <c r="AB143" s="8">
        <f>IFERROR(__xludf.DUMMYFUNCTION("""COMPUTED_VALUE"""),0.0)</f>
        <v>0</v>
      </c>
      <c r="AC143" s="8">
        <f>IFERROR(__xludf.DUMMYFUNCTION("""COMPUTED_VALUE"""),0.0)</f>
        <v>0</v>
      </c>
    </row>
    <row r="144" ht="15.75" customHeight="1">
      <c r="A144" s="6" t="str">
        <f>IFERROR(__xludf.DUMMYFUNCTION("""COMPUTED_VALUE"""),"7fd747e6520471a8653824ad1a2ba2ad33b91835")</f>
        <v>7fd747e6520471a8653824ad1a2ba2ad33b91835</v>
      </c>
      <c r="B144" s="6" t="str">
        <f>IFERROR(__xludf.DUMMYFUNCTION("""COMPUTED_VALUE"""),"Evolution Online")</f>
        <v>Evolution Online</v>
      </c>
      <c r="C144" s="6" t="str">
        <f>IFERROR(__xludf.DUMMYFUNCTION("""COMPUTED_VALUE"""),"Fantasy")</f>
        <v>Fantasy</v>
      </c>
      <c r="D144" s="11">
        <f>IFERROR(__xludf.DUMMYFUNCTION("""COMPUTED_VALUE"""),46.0)</f>
        <v>46</v>
      </c>
      <c r="E144" s="8">
        <f>IFERROR(__xludf.DUMMYFUNCTION("""COMPUTED_VALUE"""),1.0)</f>
        <v>1</v>
      </c>
      <c r="F144" s="8">
        <f>IFERROR(__xludf.DUMMYFUNCTION("""COMPUTED_VALUE"""),0.565217391304347)</f>
        <v>0.5652173913</v>
      </c>
      <c r="G144" s="8">
        <f>IFERROR(__xludf.DUMMYFUNCTION("""COMPUTED_VALUE"""),0.391304347826087)</f>
        <v>0.3913043478</v>
      </c>
      <c r="H144" s="8">
        <f>IFERROR(__xludf.DUMMYFUNCTION("""COMPUTED_VALUE"""),0.369565217391304)</f>
        <v>0.3695652174</v>
      </c>
      <c r="I144" s="8">
        <f>IFERROR(__xludf.DUMMYFUNCTION("""COMPUTED_VALUE"""),0.369565217391304)</f>
        <v>0.3695652174</v>
      </c>
      <c r="J144" s="8">
        <f>IFERROR(__xludf.DUMMYFUNCTION("""COMPUTED_VALUE"""),0.347826086956521)</f>
        <v>0.347826087</v>
      </c>
      <c r="K144" s="8">
        <f>IFERROR(__xludf.DUMMYFUNCTION("""COMPUTED_VALUE"""),0.326086956521739)</f>
        <v>0.3260869565</v>
      </c>
      <c r="L144" s="8">
        <f>IFERROR(__xludf.DUMMYFUNCTION("""COMPUTED_VALUE"""),0.282608695652173)</f>
        <v>0.2826086957</v>
      </c>
      <c r="M144" s="8">
        <f>IFERROR(__xludf.DUMMYFUNCTION("""COMPUTED_VALUE"""),0.260869565217391)</f>
        <v>0.2608695652</v>
      </c>
      <c r="N144" s="8">
        <f>IFERROR(__xludf.DUMMYFUNCTION("""COMPUTED_VALUE"""),0.239130434782608)</f>
        <v>0.2391304348</v>
      </c>
      <c r="O144" s="8">
        <f>IFERROR(__xludf.DUMMYFUNCTION("""COMPUTED_VALUE"""),0.133333333333333)</f>
        <v>0.1333333333</v>
      </c>
      <c r="P144" s="8">
        <f>IFERROR(__xludf.DUMMYFUNCTION("""COMPUTED_VALUE"""),0.0909090909090909)</f>
        <v>0.09090909091</v>
      </c>
      <c r="Q144" s="8">
        <f>IFERROR(__xludf.DUMMYFUNCTION("""COMPUTED_VALUE"""),0.0952380952380952)</f>
        <v>0.09523809524</v>
      </c>
      <c r="R144" s="8">
        <f>IFERROR(__xludf.DUMMYFUNCTION("""COMPUTED_VALUE"""),0.0)</f>
        <v>0</v>
      </c>
      <c r="S144" s="8">
        <f>IFERROR(__xludf.DUMMYFUNCTION("""COMPUTED_VALUE"""),0.0)</f>
        <v>0</v>
      </c>
      <c r="T144" s="8">
        <f>IFERROR(__xludf.DUMMYFUNCTION("""COMPUTED_VALUE"""),0.0)</f>
        <v>0</v>
      </c>
      <c r="U144" s="8">
        <f>IFERROR(__xludf.DUMMYFUNCTION("""COMPUTED_VALUE"""),0.0)</f>
        <v>0</v>
      </c>
      <c r="V144" s="8">
        <f>IFERROR(__xludf.DUMMYFUNCTION("""COMPUTED_VALUE"""),0.0)</f>
        <v>0</v>
      </c>
      <c r="W144" s="8">
        <f>IFERROR(__xludf.DUMMYFUNCTION("""COMPUTED_VALUE"""),0.0)</f>
        <v>0</v>
      </c>
      <c r="X144" s="8">
        <f>IFERROR(__xludf.DUMMYFUNCTION("""COMPUTED_VALUE"""),0.0)</f>
        <v>0</v>
      </c>
      <c r="Y144" s="8">
        <f>IFERROR(__xludf.DUMMYFUNCTION("""COMPUTED_VALUE"""),0.0)</f>
        <v>0</v>
      </c>
      <c r="Z144" s="8">
        <f>IFERROR(__xludf.DUMMYFUNCTION("""COMPUTED_VALUE"""),0.0)</f>
        <v>0</v>
      </c>
      <c r="AA144" s="8">
        <f>IFERROR(__xludf.DUMMYFUNCTION("""COMPUTED_VALUE"""),0.0)</f>
        <v>0</v>
      </c>
      <c r="AB144" s="8">
        <f>IFERROR(__xludf.DUMMYFUNCTION("""COMPUTED_VALUE"""),0.0)</f>
        <v>0</v>
      </c>
      <c r="AC144" s="8">
        <f>IFERROR(__xludf.DUMMYFUNCTION("""COMPUTED_VALUE"""),0.0)</f>
        <v>0</v>
      </c>
    </row>
    <row r="145" ht="15.75" customHeight="1">
      <c r="A145" s="6" t="str">
        <f>IFERROR(__xludf.DUMMYFUNCTION("""COMPUTED_VALUE"""),"80e6be6f7d165552c60a2fc7cbf39746d2ab2466")</f>
        <v>80e6be6f7d165552c60a2fc7cbf39746d2ab2466</v>
      </c>
      <c r="B145" s="6" t="str">
        <f>IFERROR(__xludf.DUMMYFUNCTION("""COMPUTED_VALUE"""),"Marked by Him: True Mate")</f>
        <v>Marked by Him: True Mate</v>
      </c>
      <c r="C145" s="6" t="str">
        <f>IFERROR(__xludf.DUMMYFUNCTION("""COMPUTED_VALUE"""),"Romantasy")</f>
        <v>Romantasy</v>
      </c>
      <c r="D145" s="11">
        <f>IFERROR(__xludf.DUMMYFUNCTION("""COMPUTED_VALUE"""),92.0)</f>
        <v>92</v>
      </c>
      <c r="E145" s="8">
        <f>IFERROR(__xludf.DUMMYFUNCTION("""COMPUTED_VALUE"""),0.934782608695652)</f>
        <v>0.9347826087</v>
      </c>
      <c r="F145" s="8">
        <f>IFERROR(__xludf.DUMMYFUNCTION("""COMPUTED_VALUE"""),0.597826086956521)</f>
        <v>0.597826087</v>
      </c>
      <c r="G145" s="8">
        <f>IFERROR(__xludf.DUMMYFUNCTION("""COMPUTED_VALUE"""),0.58695652173913)</f>
        <v>0.5869565217</v>
      </c>
      <c r="H145" s="8">
        <f>IFERROR(__xludf.DUMMYFUNCTION("""COMPUTED_VALUE"""),0.576086956521739)</f>
        <v>0.5760869565</v>
      </c>
      <c r="I145" s="8">
        <f>IFERROR(__xludf.DUMMYFUNCTION("""COMPUTED_VALUE"""),0.576086956521739)</f>
        <v>0.5760869565</v>
      </c>
      <c r="J145" s="8">
        <f>IFERROR(__xludf.DUMMYFUNCTION("""COMPUTED_VALUE"""),0.521739130434782)</f>
        <v>0.5217391304</v>
      </c>
      <c r="K145" s="8">
        <f>IFERROR(__xludf.DUMMYFUNCTION("""COMPUTED_VALUE"""),0.543478260869565)</f>
        <v>0.5434782609</v>
      </c>
      <c r="L145" s="8">
        <f>IFERROR(__xludf.DUMMYFUNCTION("""COMPUTED_VALUE"""),0.533333333333333)</f>
        <v>0.5333333333</v>
      </c>
      <c r="M145" s="8">
        <f>IFERROR(__xludf.DUMMYFUNCTION("""COMPUTED_VALUE"""),0.555555555555555)</f>
        <v>0.5555555556</v>
      </c>
      <c r="N145" s="8">
        <f>IFERROR(__xludf.DUMMYFUNCTION("""COMPUTED_VALUE"""),0.540229885057471)</f>
        <v>0.5402298851</v>
      </c>
      <c r="O145" s="8">
        <f>IFERROR(__xludf.DUMMYFUNCTION("""COMPUTED_VALUE"""),0.603448275862069)</f>
        <v>0.6034482759</v>
      </c>
      <c r="P145" s="8">
        <f>IFERROR(__xludf.DUMMYFUNCTION("""COMPUTED_VALUE"""),0.491228070175438)</f>
        <v>0.4912280702</v>
      </c>
      <c r="Q145" s="8">
        <f>IFERROR(__xludf.DUMMYFUNCTION("""COMPUTED_VALUE"""),0.306122448979591)</f>
        <v>0.306122449</v>
      </c>
      <c r="R145" s="8">
        <f>IFERROR(__xludf.DUMMYFUNCTION("""COMPUTED_VALUE"""),0.0)</f>
        <v>0</v>
      </c>
      <c r="S145" s="8">
        <f>IFERROR(__xludf.DUMMYFUNCTION("""COMPUTED_VALUE"""),0.0)</f>
        <v>0</v>
      </c>
      <c r="T145" s="8">
        <f>IFERROR(__xludf.DUMMYFUNCTION("""COMPUTED_VALUE"""),0.0)</f>
        <v>0</v>
      </c>
      <c r="U145" s="8">
        <f>IFERROR(__xludf.DUMMYFUNCTION("""COMPUTED_VALUE"""),0.0)</f>
        <v>0</v>
      </c>
      <c r="V145" s="8">
        <f>IFERROR(__xludf.DUMMYFUNCTION("""COMPUTED_VALUE"""),0.0)</f>
        <v>0</v>
      </c>
      <c r="W145" s="8">
        <f>IFERROR(__xludf.DUMMYFUNCTION("""COMPUTED_VALUE"""),0.0)</f>
        <v>0</v>
      </c>
      <c r="X145" s="8">
        <f>IFERROR(__xludf.DUMMYFUNCTION("""COMPUTED_VALUE"""),0.0)</f>
        <v>0</v>
      </c>
      <c r="Y145" s="8">
        <f>IFERROR(__xludf.DUMMYFUNCTION("""COMPUTED_VALUE"""),0.0)</f>
        <v>0</v>
      </c>
      <c r="Z145" s="8">
        <f>IFERROR(__xludf.DUMMYFUNCTION("""COMPUTED_VALUE"""),0.0)</f>
        <v>0</v>
      </c>
      <c r="AA145" s="8">
        <f>IFERROR(__xludf.DUMMYFUNCTION("""COMPUTED_VALUE"""),0.0)</f>
        <v>0</v>
      </c>
      <c r="AB145" s="8">
        <f>IFERROR(__xludf.DUMMYFUNCTION("""COMPUTED_VALUE"""),0.0)</f>
        <v>0</v>
      </c>
      <c r="AC145" s="8">
        <f>IFERROR(__xludf.DUMMYFUNCTION("""COMPUTED_VALUE"""),0.0)</f>
        <v>0</v>
      </c>
    </row>
    <row r="146" ht="15.75" customHeight="1">
      <c r="A146" s="6" t="str">
        <f>IFERROR(__xludf.DUMMYFUNCTION("""COMPUTED_VALUE"""),"820e3a2951adfcd3997c3ea5696cb62bc975f0a0")</f>
        <v>820e3a2951adfcd3997c3ea5696cb62bc975f0a0</v>
      </c>
      <c r="B146" s="6" t="str">
        <f>IFERROR(__xludf.DUMMYFUNCTION("""COMPUTED_VALUE"""),"The Return of Master ")</f>
        <v>The Return of Master </v>
      </c>
      <c r="C146" s="6" t="str">
        <f>IFERROR(__xludf.DUMMYFUNCTION("""COMPUTED_VALUE"""),"Fantasy")</f>
        <v>Fantasy</v>
      </c>
      <c r="D146" s="11">
        <f>IFERROR(__xludf.DUMMYFUNCTION("""COMPUTED_VALUE"""),24.0)</f>
        <v>24</v>
      </c>
      <c r="E146" s="8">
        <f>IFERROR(__xludf.DUMMYFUNCTION("""COMPUTED_VALUE"""),1.0)</f>
        <v>1</v>
      </c>
      <c r="F146" s="8">
        <f>IFERROR(__xludf.DUMMYFUNCTION("""COMPUTED_VALUE"""),0.875)</f>
        <v>0.875</v>
      </c>
      <c r="G146" s="8">
        <f>IFERROR(__xludf.DUMMYFUNCTION("""COMPUTED_VALUE"""),0.791666666666666)</f>
        <v>0.7916666667</v>
      </c>
      <c r="H146" s="8">
        <f>IFERROR(__xludf.DUMMYFUNCTION("""COMPUTED_VALUE"""),0.625)</f>
        <v>0.625</v>
      </c>
      <c r="I146" s="8">
        <f>IFERROR(__xludf.DUMMYFUNCTION("""COMPUTED_VALUE"""),0.625)</f>
        <v>0.625</v>
      </c>
      <c r="J146" s="8">
        <f>IFERROR(__xludf.DUMMYFUNCTION("""COMPUTED_VALUE"""),0.625)</f>
        <v>0.625</v>
      </c>
      <c r="K146" s="8">
        <f>IFERROR(__xludf.DUMMYFUNCTION("""COMPUTED_VALUE"""),0.625)</f>
        <v>0.625</v>
      </c>
      <c r="L146" s="8">
        <f>IFERROR(__xludf.DUMMYFUNCTION("""COMPUTED_VALUE"""),0.625)</f>
        <v>0.625</v>
      </c>
      <c r="M146" s="8">
        <f>IFERROR(__xludf.DUMMYFUNCTION("""COMPUTED_VALUE"""),0.583333333333333)</f>
        <v>0.5833333333</v>
      </c>
      <c r="N146" s="8">
        <f>IFERROR(__xludf.DUMMYFUNCTION("""COMPUTED_VALUE"""),0.625)</f>
        <v>0.625</v>
      </c>
      <c r="O146" s="8">
        <f>IFERROR(__xludf.DUMMYFUNCTION("""COMPUTED_VALUE"""),0.333333333333333)</f>
        <v>0.3333333333</v>
      </c>
      <c r="P146" s="8">
        <f>IFERROR(__xludf.DUMMYFUNCTION("""COMPUTED_VALUE"""),0.130434782608695)</f>
        <v>0.1304347826</v>
      </c>
      <c r="Q146" s="8">
        <f>IFERROR(__xludf.DUMMYFUNCTION("""COMPUTED_VALUE"""),0.0)</f>
        <v>0</v>
      </c>
      <c r="R146" s="8">
        <f>IFERROR(__xludf.DUMMYFUNCTION("""COMPUTED_VALUE"""),0.0)</f>
        <v>0</v>
      </c>
      <c r="S146" s="8">
        <f>IFERROR(__xludf.DUMMYFUNCTION("""COMPUTED_VALUE"""),0.0)</f>
        <v>0</v>
      </c>
      <c r="T146" s="8">
        <f>IFERROR(__xludf.DUMMYFUNCTION("""COMPUTED_VALUE"""),0.0)</f>
        <v>0</v>
      </c>
      <c r="U146" s="8">
        <f>IFERROR(__xludf.DUMMYFUNCTION("""COMPUTED_VALUE"""),0.0)</f>
        <v>0</v>
      </c>
      <c r="V146" s="8">
        <f>IFERROR(__xludf.DUMMYFUNCTION("""COMPUTED_VALUE"""),0.0)</f>
        <v>0</v>
      </c>
      <c r="W146" s="8">
        <f>IFERROR(__xludf.DUMMYFUNCTION("""COMPUTED_VALUE"""),0.0)</f>
        <v>0</v>
      </c>
      <c r="X146" s="8">
        <f>IFERROR(__xludf.DUMMYFUNCTION("""COMPUTED_VALUE"""),0.0)</f>
        <v>0</v>
      </c>
      <c r="Y146" s="8">
        <f>IFERROR(__xludf.DUMMYFUNCTION("""COMPUTED_VALUE"""),0.0)</f>
        <v>0</v>
      </c>
      <c r="Z146" s="8">
        <f>IFERROR(__xludf.DUMMYFUNCTION("""COMPUTED_VALUE"""),0.0)</f>
        <v>0</v>
      </c>
      <c r="AA146" s="8">
        <f>IFERROR(__xludf.DUMMYFUNCTION("""COMPUTED_VALUE"""),0.0)</f>
        <v>0</v>
      </c>
      <c r="AB146" s="8">
        <f>IFERROR(__xludf.DUMMYFUNCTION("""COMPUTED_VALUE"""),0.0)</f>
        <v>0</v>
      </c>
      <c r="AC146" s="8">
        <f>IFERROR(__xludf.DUMMYFUNCTION("""COMPUTED_VALUE"""),0.0)</f>
        <v>0</v>
      </c>
    </row>
    <row r="147" ht="15.75" customHeight="1">
      <c r="A147" s="6" t="str">
        <f>IFERROR(__xludf.DUMMYFUNCTION("""COMPUTED_VALUE"""),"82ff8ba01d1e1fbcea7c734b687b1a9ff858733d")</f>
        <v>82ff8ba01d1e1fbcea7c734b687b1a9ff858733d</v>
      </c>
      <c r="B147" s="6" t="str">
        <f>IFERROR(__xludf.DUMMYFUNCTION("""COMPUTED_VALUE"""),"Twin Realms Traveler")</f>
        <v>Twin Realms Traveler</v>
      </c>
      <c r="C147" s="6" t="str">
        <f>IFERROR(__xludf.DUMMYFUNCTION("""COMPUTED_VALUE"""),"System and Superpower")</f>
        <v>System and Superpower</v>
      </c>
      <c r="D147" s="11">
        <f>IFERROR(__xludf.DUMMYFUNCTION("""COMPUTED_VALUE"""),9.0)</f>
        <v>9</v>
      </c>
      <c r="E147" s="8">
        <f>IFERROR(__xludf.DUMMYFUNCTION("""COMPUTED_VALUE"""),1.0)</f>
        <v>1</v>
      </c>
      <c r="F147" s="8">
        <f>IFERROR(__xludf.DUMMYFUNCTION("""COMPUTED_VALUE"""),0.222222222222222)</f>
        <v>0.2222222222</v>
      </c>
      <c r="G147" s="8">
        <f>IFERROR(__xludf.DUMMYFUNCTION("""COMPUTED_VALUE"""),0.222222222222222)</f>
        <v>0.2222222222</v>
      </c>
      <c r="H147" s="8">
        <f>IFERROR(__xludf.DUMMYFUNCTION("""COMPUTED_VALUE"""),0.25)</f>
        <v>0.25</v>
      </c>
      <c r="I147" s="8">
        <f>IFERROR(__xludf.DUMMYFUNCTION("""COMPUTED_VALUE"""),0.25)</f>
        <v>0.25</v>
      </c>
      <c r="J147" s="8">
        <f>IFERROR(__xludf.DUMMYFUNCTION("""COMPUTED_VALUE"""),0.25)</f>
        <v>0.25</v>
      </c>
      <c r="K147" s="8">
        <f>IFERROR(__xludf.DUMMYFUNCTION("""COMPUTED_VALUE"""),0.25)</f>
        <v>0.25</v>
      </c>
      <c r="L147" s="8">
        <f>IFERROR(__xludf.DUMMYFUNCTION("""COMPUTED_VALUE"""),0.25)</f>
        <v>0.25</v>
      </c>
      <c r="M147" s="8">
        <f>IFERROR(__xludf.DUMMYFUNCTION("""COMPUTED_VALUE"""),0.25)</f>
        <v>0.25</v>
      </c>
      <c r="N147" s="8">
        <f>IFERROR(__xludf.DUMMYFUNCTION("""COMPUTED_VALUE"""),0.25)</f>
        <v>0.25</v>
      </c>
      <c r="O147" s="8">
        <f>IFERROR(__xludf.DUMMYFUNCTION("""COMPUTED_VALUE"""),0.25)</f>
        <v>0.25</v>
      </c>
      <c r="P147" s="8">
        <f>IFERROR(__xludf.DUMMYFUNCTION("""COMPUTED_VALUE"""),0.285714285714285)</f>
        <v>0.2857142857</v>
      </c>
      <c r="Q147" s="8">
        <f>IFERROR(__xludf.DUMMYFUNCTION("""COMPUTED_VALUE"""),0.333333333333333)</f>
        <v>0.3333333333</v>
      </c>
      <c r="R147" s="8">
        <f>IFERROR(__xludf.DUMMYFUNCTION("""COMPUTED_VALUE"""),0.333333333333333)</f>
        <v>0.3333333333</v>
      </c>
      <c r="S147" s="8">
        <f>IFERROR(__xludf.DUMMYFUNCTION("""COMPUTED_VALUE"""),0.4)</f>
        <v>0.4</v>
      </c>
      <c r="T147" s="8">
        <f>IFERROR(__xludf.DUMMYFUNCTION("""COMPUTED_VALUE"""),0.5)</f>
        <v>0.5</v>
      </c>
      <c r="U147" s="8">
        <f>IFERROR(__xludf.DUMMYFUNCTION("""COMPUTED_VALUE"""),0.666666666666666)</f>
        <v>0.6666666667</v>
      </c>
      <c r="V147" s="8">
        <f>IFERROR(__xludf.DUMMYFUNCTION("""COMPUTED_VALUE"""),0.0)</f>
        <v>0</v>
      </c>
      <c r="W147" s="8">
        <f>IFERROR(__xludf.DUMMYFUNCTION("""COMPUTED_VALUE"""),0.0)</f>
        <v>0</v>
      </c>
      <c r="X147" s="8">
        <f>IFERROR(__xludf.DUMMYFUNCTION("""COMPUTED_VALUE"""),0.0)</f>
        <v>0</v>
      </c>
      <c r="Y147" s="8">
        <f>IFERROR(__xludf.DUMMYFUNCTION("""COMPUTED_VALUE"""),0.0)</f>
        <v>0</v>
      </c>
      <c r="Z147" s="8">
        <f>IFERROR(__xludf.DUMMYFUNCTION("""COMPUTED_VALUE"""),0.0)</f>
        <v>0</v>
      </c>
      <c r="AA147" s="8">
        <f>IFERROR(__xludf.DUMMYFUNCTION("""COMPUTED_VALUE"""),0.0)</f>
        <v>0</v>
      </c>
      <c r="AB147" s="8">
        <f>IFERROR(__xludf.DUMMYFUNCTION("""COMPUTED_VALUE"""),0.0)</f>
        <v>0</v>
      </c>
      <c r="AC147" s="8">
        <f>IFERROR(__xludf.DUMMYFUNCTION("""COMPUTED_VALUE"""),0.0)</f>
        <v>0</v>
      </c>
    </row>
    <row r="148" ht="15.75" customHeight="1">
      <c r="A148" s="6" t="str">
        <f>IFERROR(__xludf.DUMMYFUNCTION("""COMPUTED_VALUE"""),"84289ce4a2b527c3aa47651760eaff877da6adad")</f>
        <v>84289ce4a2b527c3aa47651760eaff877da6adad</v>
      </c>
      <c r="B148" s="6" t="str">
        <f>IFERROR(__xludf.DUMMYFUNCTION("""COMPUTED_VALUE"""),"Contracted by Love")</f>
        <v>Contracted by Love</v>
      </c>
      <c r="C148" s="6" t="str">
        <f>IFERROR(__xludf.DUMMYFUNCTION("""COMPUTED_VALUE"""),"Romance")</f>
        <v>Romance</v>
      </c>
      <c r="D148" s="11">
        <f>IFERROR(__xludf.DUMMYFUNCTION("""COMPUTED_VALUE"""),48.0)</f>
        <v>48</v>
      </c>
      <c r="E148" s="8">
        <f>IFERROR(__xludf.DUMMYFUNCTION("""COMPUTED_VALUE"""),1.0)</f>
        <v>1</v>
      </c>
      <c r="F148" s="8">
        <f>IFERROR(__xludf.DUMMYFUNCTION("""COMPUTED_VALUE"""),0.583333333333333)</f>
        <v>0.5833333333</v>
      </c>
      <c r="G148" s="8">
        <f>IFERROR(__xludf.DUMMYFUNCTION("""COMPUTED_VALUE"""),0.5)</f>
        <v>0.5</v>
      </c>
      <c r="H148" s="8">
        <f>IFERROR(__xludf.DUMMYFUNCTION("""COMPUTED_VALUE"""),0.458333333333333)</f>
        <v>0.4583333333</v>
      </c>
      <c r="I148" s="8">
        <f>IFERROR(__xludf.DUMMYFUNCTION("""COMPUTED_VALUE"""),0.395833333333333)</f>
        <v>0.3958333333</v>
      </c>
      <c r="J148" s="8">
        <f>IFERROR(__xludf.DUMMYFUNCTION("""COMPUTED_VALUE"""),0.375)</f>
        <v>0.375</v>
      </c>
      <c r="K148" s="8">
        <f>IFERROR(__xludf.DUMMYFUNCTION("""COMPUTED_VALUE"""),0.3125)</f>
        <v>0.3125</v>
      </c>
      <c r="L148" s="8">
        <f>IFERROR(__xludf.DUMMYFUNCTION("""COMPUTED_VALUE"""),0.270833333333333)</f>
        <v>0.2708333333</v>
      </c>
      <c r="M148" s="8">
        <f>IFERROR(__xludf.DUMMYFUNCTION("""COMPUTED_VALUE"""),0.25)</f>
        <v>0.25</v>
      </c>
      <c r="N148" s="8">
        <f>IFERROR(__xludf.DUMMYFUNCTION("""COMPUTED_VALUE"""),0.25)</f>
        <v>0.25</v>
      </c>
      <c r="O148" s="8">
        <f>IFERROR(__xludf.DUMMYFUNCTION("""COMPUTED_VALUE"""),0.321428571428571)</f>
        <v>0.3214285714</v>
      </c>
      <c r="P148" s="8">
        <f>IFERROR(__xludf.DUMMYFUNCTION("""COMPUTED_VALUE"""),0.0)</f>
        <v>0</v>
      </c>
      <c r="Q148" s="8">
        <f>IFERROR(__xludf.DUMMYFUNCTION("""COMPUTED_VALUE"""),0.0)</f>
        <v>0</v>
      </c>
      <c r="R148" s="8">
        <f>IFERROR(__xludf.DUMMYFUNCTION("""COMPUTED_VALUE"""),0.0)</f>
        <v>0</v>
      </c>
      <c r="S148" s="8">
        <f>IFERROR(__xludf.DUMMYFUNCTION("""COMPUTED_VALUE"""),0.0)</f>
        <v>0</v>
      </c>
      <c r="T148" s="8">
        <f>IFERROR(__xludf.DUMMYFUNCTION("""COMPUTED_VALUE"""),0.0)</f>
        <v>0</v>
      </c>
      <c r="U148" s="8">
        <f>IFERROR(__xludf.DUMMYFUNCTION("""COMPUTED_VALUE"""),0.0)</f>
        <v>0</v>
      </c>
      <c r="V148" s="8">
        <f>IFERROR(__xludf.DUMMYFUNCTION("""COMPUTED_VALUE"""),0.0)</f>
        <v>0</v>
      </c>
      <c r="W148" s="8">
        <f>IFERROR(__xludf.DUMMYFUNCTION("""COMPUTED_VALUE"""),0.0)</f>
        <v>0</v>
      </c>
      <c r="X148" s="8">
        <f>IFERROR(__xludf.DUMMYFUNCTION("""COMPUTED_VALUE"""),0.0)</f>
        <v>0</v>
      </c>
      <c r="Y148" s="8">
        <f>IFERROR(__xludf.DUMMYFUNCTION("""COMPUTED_VALUE"""),0.0)</f>
        <v>0</v>
      </c>
      <c r="Z148" s="8">
        <f>IFERROR(__xludf.DUMMYFUNCTION("""COMPUTED_VALUE"""),0.0)</f>
        <v>0</v>
      </c>
      <c r="AA148" s="8">
        <f>IFERROR(__xludf.DUMMYFUNCTION("""COMPUTED_VALUE"""),0.0)</f>
        <v>0</v>
      </c>
      <c r="AB148" s="8">
        <f>IFERROR(__xludf.DUMMYFUNCTION("""COMPUTED_VALUE"""),0.0)</f>
        <v>0</v>
      </c>
      <c r="AC148" s="8">
        <f>IFERROR(__xludf.DUMMYFUNCTION("""COMPUTED_VALUE"""),0.0)</f>
        <v>0</v>
      </c>
    </row>
    <row r="149" ht="15.75" customHeight="1">
      <c r="A149" s="6" t="str">
        <f>IFERROR(__xludf.DUMMYFUNCTION("""COMPUTED_VALUE"""),"87b65acb9b6fcd4bc45f30d46f017fa847a0ce3c")</f>
        <v>87b65acb9b6fcd4bc45f30d46f017fa847a0ce3c</v>
      </c>
      <c r="B149" s="6" t="str">
        <f>IFERROR(__xludf.DUMMYFUNCTION("""COMPUTED_VALUE"""),"The Wife's Sweet Revenge")</f>
        <v>The Wife's Sweet Revenge</v>
      </c>
      <c r="C149" s="6" t="str">
        <f>IFERROR(__xludf.DUMMYFUNCTION("""COMPUTED_VALUE"""),"Romance")</f>
        <v>Romance</v>
      </c>
      <c r="D149" s="11">
        <f>IFERROR(__xludf.DUMMYFUNCTION("""COMPUTED_VALUE"""),1.0)</f>
        <v>1</v>
      </c>
      <c r="E149" s="8">
        <f>IFERROR(__xludf.DUMMYFUNCTION("""COMPUTED_VALUE"""),1.0)</f>
        <v>1</v>
      </c>
      <c r="F149" s="8">
        <f>IFERROR(__xludf.DUMMYFUNCTION("""COMPUTED_VALUE"""),1.0)</f>
        <v>1</v>
      </c>
      <c r="G149" s="8">
        <f>IFERROR(__xludf.DUMMYFUNCTION("""COMPUTED_VALUE"""),1.0)</f>
        <v>1</v>
      </c>
      <c r="H149" s="8">
        <f>IFERROR(__xludf.DUMMYFUNCTION("""COMPUTED_VALUE"""),1.0)</f>
        <v>1</v>
      </c>
      <c r="I149" s="8">
        <f>IFERROR(__xludf.DUMMYFUNCTION("""COMPUTED_VALUE"""),1.0)</f>
        <v>1</v>
      </c>
      <c r="J149" s="8">
        <f>IFERROR(__xludf.DUMMYFUNCTION("""COMPUTED_VALUE"""),1.0)</f>
        <v>1</v>
      </c>
      <c r="K149" s="8">
        <f>IFERROR(__xludf.DUMMYFUNCTION("""COMPUTED_VALUE"""),1.0)</f>
        <v>1</v>
      </c>
      <c r="L149" s="8">
        <f>IFERROR(__xludf.DUMMYFUNCTION("""COMPUTED_VALUE"""),1.0)</f>
        <v>1</v>
      </c>
      <c r="M149" s="8">
        <f>IFERROR(__xludf.DUMMYFUNCTION("""COMPUTED_VALUE"""),1.0)</f>
        <v>1</v>
      </c>
      <c r="N149" s="8">
        <f>IFERROR(__xludf.DUMMYFUNCTION("""COMPUTED_VALUE"""),0.0)</f>
        <v>0</v>
      </c>
      <c r="O149" s="8">
        <f>IFERROR(__xludf.DUMMYFUNCTION("""COMPUTED_VALUE"""),0.0)</f>
        <v>0</v>
      </c>
      <c r="P149" s="8">
        <f>IFERROR(__xludf.DUMMYFUNCTION("""COMPUTED_VALUE"""),0.0)</f>
        <v>0</v>
      </c>
      <c r="Q149" s="8">
        <f>IFERROR(__xludf.DUMMYFUNCTION("""COMPUTED_VALUE"""),0.0)</f>
        <v>0</v>
      </c>
      <c r="R149" s="8">
        <f>IFERROR(__xludf.DUMMYFUNCTION("""COMPUTED_VALUE"""),0.0)</f>
        <v>0</v>
      </c>
      <c r="S149" s="8">
        <f>IFERROR(__xludf.DUMMYFUNCTION("""COMPUTED_VALUE"""),0.0)</f>
        <v>0</v>
      </c>
      <c r="T149" s="8">
        <f>IFERROR(__xludf.DUMMYFUNCTION("""COMPUTED_VALUE"""),0.0)</f>
        <v>0</v>
      </c>
      <c r="U149" s="8">
        <f>IFERROR(__xludf.DUMMYFUNCTION("""COMPUTED_VALUE"""),0.0)</f>
        <v>0</v>
      </c>
      <c r="V149" s="8">
        <f>IFERROR(__xludf.DUMMYFUNCTION("""COMPUTED_VALUE"""),0.0)</f>
        <v>0</v>
      </c>
      <c r="W149" s="8">
        <f>IFERROR(__xludf.DUMMYFUNCTION("""COMPUTED_VALUE"""),0.0)</f>
        <v>0</v>
      </c>
      <c r="X149" s="8">
        <f>IFERROR(__xludf.DUMMYFUNCTION("""COMPUTED_VALUE"""),0.0)</f>
        <v>0</v>
      </c>
      <c r="Y149" s="8">
        <f>IFERROR(__xludf.DUMMYFUNCTION("""COMPUTED_VALUE"""),0.0)</f>
        <v>0</v>
      </c>
      <c r="Z149" s="8">
        <f>IFERROR(__xludf.DUMMYFUNCTION("""COMPUTED_VALUE"""),0.0)</f>
        <v>0</v>
      </c>
      <c r="AA149" s="8">
        <f>IFERROR(__xludf.DUMMYFUNCTION("""COMPUTED_VALUE"""),0.0)</f>
        <v>0</v>
      </c>
      <c r="AB149" s="8">
        <f>IFERROR(__xludf.DUMMYFUNCTION("""COMPUTED_VALUE"""),0.0)</f>
        <v>0</v>
      </c>
      <c r="AC149" s="8">
        <f>IFERROR(__xludf.DUMMYFUNCTION("""COMPUTED_VALUE"""),0.0)</f>
        <v>0</v>
      </c>
    </row>
    <row r="150" ht="15.75" customHeight="1">
      <c r="A150" s="6" t="str">
        <f>IFERROR(__xludf.DUMMYFUNCTION("""COMPUTED_VALUE"""),"8824fc43e4267c5a0e2b7acff644eae4b8b2222d")</f>
        <v>8824fc43e4267c5a0e2b7acff644eae4b8b2222d</v>
      </c>
      <c r="B150" s="6" t="str">
        <f>IFERROR(__xludf.DUMMYFUNCTION("""COMPUTED_VALUE"""),"Was It Only Lust?")</f>
        <v>Was It Only Lust?</v>
      </c>
      <c r="C150" s="6" t="str">
        <f>IFERROR(__xludf.DUMMYFUNCTION("""COMPUTED_VALUE"""),"Romance")</f>
        <v>Romance</v>
      </c>
      <c r="D150" s="11">
        <f>IFERROR(__xludf.DUMMYFUNCTION("""COMPUTED_VALUE"""),60.0)</f>
        <v>60</v>
      </c>
      <c r="E150" s="8">
        <f>IFERROR(__xludf.DUMMYFUNCTION("""COMPUTED_VALUE"""),0.95)</f>
        <v>0.95</v>
      </c>
      <c r="F150" s="8">
        <f>IFERROR(__xludf.DUMMYFUNCTION("""COMPUTED_VALUE"""),0.55)</f>
        <v>0.55</v>
      </c>
      <c r="G150" s="8">
        <f>IFERROR(__xludf.DUMMYFUNCTION("""COMPUTED_VALUE"""),0.516666666666666)</f>
        <v>0.5166666667</v>
      </c>
      <c r="H150" s="8">
        <f>IFERROR(__xludf.DUMMYFUNCTION("""COMPUTED_VALUE"""),0.466666666666666)</f>
        <v>0.4666666667</v>
      </c>
      <c r="I150" s="8">
        <f>IFERROR(__xludf.DUMMYFUNCTION("""COMPUTED_VALUE"""),0.45)</f>
        <v>0.45</v>
      </c>
      <c r="J150" s="8">
        <f>IFERROR(__xludf.DUMMYFUNCTION("""COMPUTED_VALUE"""),0.433333333333333)</f>
        <v>0.4333333333</v>
      </c>
      <c r="K150" s="8">
        <f>IFERROR(__xludf.DUMMYFUNCTION("""COMPUTED_VALUE"""),0.416666666666666)</f>
        <v>0.4166666667</v>
      </c>
      <c r="L150" s="8">
        <f>IFERROR(__xludf.DUMMYFUNCTION("""COMPUTED_VALUE"""),0.406779661016949)</f>
        <v>0.406779661</v>
      </c>
      <c r="M150" s="8">
        <f>IFERROR(__xludf.DUMMYFUNCTION("""COMPUTED_VALUE"""),0.338983050847457)</f>
        <v>0.3389830508</v>
      </c>
      <c r="N150" s="8">
        <f>IFERROR(__xludf.DUMMYFUNCTION("""COMPUTED_VALUE"""),0.322033898305084)</f>
        <v>0.3220338983</v>
      </c>
      <c r="O150" s="8">
        <f>IFERROR(__xludf.DUMMYFUNCTION("""COMPUTED_VALUE"""),0.203389830508474)</f>
        <v>0.2033898305</v>
      </c>
      <c r="P150" s="8">
        <f>IFERROR(__xludf.DUMMYFUNCTION("""COMPUTED_VALUE"""),0.0517241379310344)</f>
        <v>0.05172413793</v>
      </c>
      <c r="Q150" s="8">
        <f>IFERROR(__xludf.DUMMYFUNCTION("""COMPUTED_VALUE"""),0.142857142857142)</f>
        <v>0.1428571429</v>
      </c>
      <c r="R150" s="8">
        <f>IFERROR(__xludf.DUMMYFUNCTION("""COMPUTED_VALUE"""),0.0)</f>
        <v>0</v>
      </c>
      <c r="S150" s="8">
        <f>IFERROR(__xludf.DUMMYFUNCTION("""COMPUTED_VALUE"""),0.0)</f>
        <v>0</v>
      </c>
      <c r="T150" s="8">
        <f>IFERROR(__xludf.DUMMYFUNCTION("""COMPUTED_VALUE"""),0.0)</f>
        <v>0</v>
      </c>
      <c r="U150" s="8">
        <f>IFERROR(__xludf.DUMMYFUNCTION("""COMPUTED_VALUE"""),0.0)</f>
        <v>0</v>
      </c>
      <c r="V150" s="8">
        <f>IFERROR(__xludf.DUMMYFUNCTION("""COMPUTED_VALUE"""),0.0)</f>
        <v>0</v>
      </c>
      <c r="W150" s="8">
        <f>IFERROR(__xludf.DUMMYFUNCTION("""COMPUTED_VALUE"""),0.0)</f>
        <v>0</v>
      </c>
      <c r="X150" s="8">
        <f>IFERROR(__xludf.DUMMYFUNCTION("""COMPUTED_VALUE"""),0.0)</f>
        <v>0</v>
      </c>
      <c r="Y150" s="8">
        <f>IFERROR(__xludf.DUMMYFUNCTION("""COMPUTED_VALUE"""),0.0)</f>
        <v>0</v>
      </c>
      <c r="Z150" s="8">
        <f>IFERROR(__xludf.DUMMYFUNCTION("""COMPUTED_VALUE"""),0.0)</f>
        <v>0</v>
      </c>
      <c r="AA150" s="8">
        <f>IFERROR(__xludf.DUMMYFUNCTION("""COMPUTED_VALUE"""),0.0)</f>
        <v>0</v>
      </c>
      <c r="AB150" s="8">
        <f>IFERROR(__xludf.DUMMYFUNCTION("""COMPUTED_VALUE"""),0.0)</f>
        <v>0</v>
      </c>
      <c r="AC150" s="8">
        <f>IFERROR(__xludf.DUMMYFUNCTION("""COMPUTED_VALUE"""),0.0)</f>
        <v>0</v>
      </c>
    </row>
    <row r="151" ht="15.75" customHeight="1">
      <c r="A151" s="6" t="str">
        <f>IFERROR(__xludf.DUMMYFUNCTION("""COMPUTED_VALUE"""),"8aab13cef66595bf85428c05007cefe16b733ba5")</f>
        <v>8aab13cef66595bf85428c05007cefe16b733ba5</v>
      </c>
      <c r="B151" s="6" t="str">
        <f>IFERROR(__xludf.DUMMYFUNCTION("""COMPUTED_VALUE"""),"Reborn Heartbeat")</f>
        <v>Reborn Heartbeat</v>
      </c>
      <c r="C151" s="6" t="str">
        <f>IFERROR(__xludf.DUMMYFUNCTION("""COMPUTED_VALUE"""),"Romance")</f>
        <v>Romance</v>
      </c>
      <c r="D151" s="11">
        <f>IFERROR(__xludf.DUMMYFUNCTION("""COMPUTED_VALUE"""),236.0)</f>
        <v>236</v>
      </c>
      <c r="E151" s="8">
        <f>IFERROR(__xludf.DUMMYFUNCTION("""COMPUTED_VALUE"""),0.944915254237288)</f>
        <v>0.9449152542</v>
      </c>
      <c r="F151" s="8">
        <f>IFERROR(__xludf.DUMMYFUNCTION("""COMPUTED_VALUE"""),0.542372881355932)</f>
        <v>0.5423728814</v>
      </c>
      <c r="G151" s="8">
        <f>IFERROR(__xludf.DUMMYFUNCTION("""COMPUTED_VALUE"""),0.5)</f>
        <v>0.5</v>
      </c>
      <c r="H151" s="8">
        <f>IFERROR(__xludf.DUMMYFUNCTION("""COMPUTED_VALUE"""),0.472340425531914)</f>
        <v>0.4723404255</v>
      </c>
      <c r="I151" s="8">
        <f>IFERROR(__xludf.DUMMYFUNCTION("""COMPUTED_VALUE"""),0.468085106382978)</f>
        <v>0.4680851064</v>
      </c>
      <c r="J151" s="8">
        <f>IFERROR(__xludf.DUMMYFUNCTION("""COMPUTED_VALUE"""),0.448717948717948)</f>
        <v>0.4487179487</v>
      </c>
      <c r="K151" s="8">
        <f>IFERROR(__xludf.DUMMYFUNCTION("""COMPUTED_VALUE"""),0.450643776824034)</f>
        <v>0.4506437768</v>
      </c>
      <c r="L151" s="8">
        <f>IFERROR(__xludf.DUMMYFUNCTION("""COMPUTED_VALUE"""),0.433476394849785)</f>
        <v>0.4334763948</v>
      </c>
      <c r="M151" s="8">
        <f>IFERROR(__xludf.DUMMYFUNCTION("""COMPUTED_VALUE"""),0.419913419913419)</f>
        <v>0.4199134199</v>
      </c>
      <c r="N151" s="8">
        <f>IFERROR(__xludf.DUMMYFUNCTION("""COMPUTED_VALUE"""),0.432900432900432)</f>
        <v>0.4329004329</v>
      </c>
      <c r="O151" s="8">
        <f>IFERROR(__xludf.DUMMYFUNCTION("""COMPUTED_VALUE"""),0.417391304347826)</f>
        <v>0.4173913043</v>
      </c>
      <c r="P151" s="8">
        <f>IFERROR(__xludf.DUMMYFUNCTION("""COMPUTED_VALUE"""),0.256521739130434)</f>
        <v>0.2565217391</v>
      </c>
      <c r="Q151" s="8">
        <f>IFERROR(__xludf.DUMMYFUNCTION("""COMPUTED_VALUE"""),0.191304347826086)</f>
        <v>0.1913043478</v>
      </c>
      <c r="R151" s="8">
        <f>IFERROR(__xludf.DUMMYFUNCTION("""COMPUTED_VALUE"""),0.0)</f>
        <v>0</v>
      </c>
      <c r="S151" s="8">
        <f>IFERROR(__xludf.DUMMYFUNCTION("""COMPUTED_VALUE"""),0.0)</f>
        <v>0</v>
      </c>
      <c r="T151" s="8">
        <f>IFERROR(__xludf.DUMMYFUNCTION("""COMPUTED_VALUE"""),0.0)</f>
        <v>0</v>
      </c>
      <c r="U151" s="8">
        <f>IFERROR(__xludf.DUMMYFUNCTION("""COMPUTED_VALUE"""),0.0)</f>
        <v>0</v>
      </c>
      <c r="V151" s="8">
        <f>IFERROR(__xludf.DUMMYFUNCTION("""COMPUTED_VALUE"""),0.0)</f>
        <v>0</v>
      </c>
      <c r="W151" s="8">
        <f>IFERROR(__xludf.DUMMYFUNCTION("""COMPUTED_VALUE"""),0.0)</f>
        <v>0</v>
      </c>
      <c r="X151" s="8">
        <f>IFERROR(__xludf.DUMMYFUNCTION("""COMPUTED_VALUE"""),0.0)</f>
        <v>0</v>
      </c>
      <c r="Y151" s="8">
        <f>IFERROR(__xludf.DUMMYFUNCTION("""COMPUTED_VALUE"""),0.0)</f>
        <v>0</v>
      </c>
      <c r="Z151" s="8">
        <f>IFERROR(__xludf.DUMMYFUNCTION("""COMPUTED_VALUE"""),0.0)</f>
        <v>0</v>
      </c>
      <c r="AA151" s="8">
        <f>IFERROR(__xludf.DUMMYFUNCTION("""COMPUTED_VALUE"""),0.0)</f>
        <v>0</v>
      </c>
      <c r="AB151" s="8">
        <f>IFERROR(__xludf.DUMMYFUNCTION("""COMPUTED_VALUE"""),0.0)</f>
        <v>0</v>
      </c>
      <c r="AC151" s="8">
        <f>IFERROR(__xludf.DUMMYFUNCTION("""COMPUTED_VALUE"""),0.0)</f>
        <v>0</v>
      </c>
    </row>
    <row r="152" ht="15.75" customHeight="1">
      <c r="A152" s="6" t="str">
        <f>IFERROR(__xludf.DUMMYFUNCTION("""COMPUTED_VALUE"""),"8b0fd7aa03d26e2de1586a0fe7c91505431575cc")</f>
        <v>8b0fd7aa03d26e2de1586a0fe7c91505431575cc</v>
      </c>
      <c r="B152" s="6" t="str">
        <f>IFERROR(__xludf.DUMMYFUNCTION("""COMPUTED_VALUE"""),"The Midnight Luna")</f>
        <v>The Midnight Luna</v>
      </c>
      <c r="C152" s="6" t="str">
        <f>IFERROR(__xludf.DUMMYFUNCTION("""COMPUTED_VALUE"""),"Romantasy")</f>
        <v>Romantasy</v>
      </c>
      <c r="D152" s="11">
        <f>IFERROR(__xludf.DUMMYFUNCTION("""COMPUTED_VALUE"""),120.0)</f>
        <v>120</v>
      </c>
      <c r="E152" s="8">
        <f>IFERROR(__xludf.DUMMYFUNCTION("""COMPUTED_VALUE"""),0.966666666666666)</f>
        <v>0.9666666667</v>
      </c>
      <c r="F152" s="8">
        <f>IFERROR(__xludf.DUMMYFUNCTION("""COMPUTED_VALUE"""),0.575)</f>
        <v>0.575</v>
      </c>
      <c r="G152" s="8">
        <f>IFERROR(__xludf.DUMMYFUNCTION("""COMPUTED_VALUE"""),0.5)</f>
        <v>0.5</v>
      </c>
      <c r="H152" s="8">
        <f>IFERROR(__xludf.DUMMYFUNCTION("""COMPUTED_VALUE"""),0.466666666666666)</f>
        <v>0.4666666667</v>
      </c>
      <c r="I152" s="8">
        <f>IFERROR(__xludf.DUMMYFUNCTION("""COMPUTED_VALUE"""),0.433333333333333)</f>
        <v>0.4333333333</v>
      </c>
      <c r="J152" s="8">
        <f>IFERROR(__xludf.DUMMYFUNCTION("""COMPUTED_VALUE"""),0.416666666666666)</f>
        <v>0.4166666667</v>
      </c>
      <c r="K152" s="8">
        <f>IFERROR(__xludf.DUMMYFUNCTION("""COMPUTED_VALUE"""),0.416666666666666)</f>
        <v>0.4166666667</v>
      </c>
      <c r="L152" s="8">
        <f>IFERROR(__xludf.DUMMYFUNCTION("""COMPUTED_VALUE"""),0.394957983193277)</f>
        <v>0.3949579832</v>
      </c>
      <c r="M152" s="8">
        <f>IFERROR(__xludf.DUMMYFUNCTION("""COMPUTED_VALUE"""),0.369747899159663)</f>
        <v>0.3697478992</v>
      </c>
      <c r="N152" s="8">
        <f>IFERROR(__xludf.DUMMYFUNCTION("""COMPUTED_VALUE"""),0.338983050847457)</f>
        <v>0.3389830508</v>
      </c>
      <c r="O152" s="8">
        <f>IFERROR(__xludf.DUMMYFUNCTION("""COMPUTED_VALUE"""),0.304347826086956)</f>
        <v>0.3043478261</v>
      </c>
      <c r="P152" s="8">
        <f>IFERROR(__xludf.DUMMYFUNCTION("""COMPUTED_VALUE"""),0.0)</f>
        <v>0</v>
      </c>
      <c r="Q152" s="8">
        <f>IFERROR(__xludf.DUMMYFUNCTION("""COMPUTED_VALUE"""),0.0)</f>
        <v>0</v>
      </c>
      <c r="R152" s="8">
        <f>IFERROR(__xludf.DUMMYFUNCTION("""COMPUTED_VALUE"""),0.0)</f>
        <v>0</v>
      </c>
      <c r="S152" s="8">
        <f>IFERROR(__xludf.DUMMYFUNCTION("""COMPUTED_VALUE"""),0.0)</f>
        <v>0</v>
      </c>
      <c r="T152" s="8">
        <f>IFERROR(__xludf.DUMMYFUNCTION("""COMPUTED_VALUE"""),0.0)</f>
        <v>0</v>
      </c>
      <c r="U152" s="8">
        <f>IFERROR(__xludf.DUMMYFUNCTION("""COMPUTED_VALUE"""),0.0)</f>
        <v>0</v>
      </c>
      <c r="V152" s="8">
        <f>IFERROR(__xludf.DUMMYFUNCTION("""COMPUTED_VALUE"""),0.0)</f>
        <v>0</v>
      </c>
      <c r="W152" s="8">
        <f>IFERROR(__xludf.DUMMYFUNCTION("""COMPUTED_VALUE"""),0.0)</f>
        <v>0</v>
      </c>
      <c r="X152" s="8">
        <f>IFERROR(__xludf.DUMMYFUNCTION("""COMPUTED_VALUE"""),0.0)</f>
        <v>0</v>
      </c>
      <c r="Y152" s="8">
        <f>IFERROR(__xludf.DUMMYFUNCTION("""COMPUTED_VALUE"""),0.0)</f>
        <v>0</v>
      </c>
      <c r="Z152" s="8">
        <f>IFERROR(__xludf.DUMMYFUNCTION("""COMPUTED_VALUE"""),0.0)</f>
        <v>0</v>
      </c>
      <c r="AA152" s="8">
        <f>IFERROR(__xludf.DUMMYFUNCTION("""COMPUTED_VALUE"""),0.0)</f>
        <v>0</v>
      </c>
      <c r="AB152" s="8">
        <f>IFERROR(__xludf.DUMMYFUNCTION("""COMPUTED_VALUE"""),0.0)</f>
        <v>0</v>
      </c>
      <c r="AC152" s="8">
        <f>IFERROR(__xludf.DUMMYFUNCTION("""COMPUTED_VALUE"""),0.0)</f>
        <v>0</v>
      </c>
    </row>
    <row r="153" ht="15.75" customHeight="1">
      <c r="A153" s="6" t="str">
        <f>IFERROR(__xludf.DUMMYFUNCTION("""COMPUTED_VALUE"""),"8bba1c491698de2d4d33abe2f115e5d666e141b2")</f>
        <v>8bba1c491698de2d4d33abe2f115e5d666e141b2</v>
      </c>
      <c r="B153" s="6" t="str">
        <f>IFERROR(__xludf.DUMMYFUNCTION("""COMPUTED_VALUE"""),"Until He Remembers Me")</f>
        <v>Until He Remembers Me</v>
      </c>
      <c r="C153" s="6" t="str">
        <f>IFERROR(__xludf.DUMMYFUNCTION("""COMPUTED_VALUE"""),"Romance")</f>
        <v>Romance</v>
      </c>
      <c r="D153" s="11">
        <f>IFERROR(__xludf.DUMMYFUNCTION("""COMPUTED_VALUE"""),11.0)</f>
        <v>11</v>
      </c>
      <c r="E153" s="8">
        <f>IFERROR(__xludf.DUMMYFUNCTION("""COMPUTED_VALUE"""),1.0)</f>
        <v>1</v>
      </c>
      <c r="F153" s="8">
        <f>IFERROR(__xludf.DUMMYFUNCTION("""COMPUTED_VALUE"""),0.454545454545454)</f>
        <v>0.4545454545</v>
      </c>
      <c r="G153" s="8">
        <f>IFERROR(__xludf.DUMMYFUNCTION("""COMPUTED_VALUE"""),0.454545454545454)</f>
        <v>0.4545454545</v>
      </c>
      <c r="H153" s="8">
        <f>IFERROR(__xludf.DUMMYFUNCTION("""COMPUTED_VALUE"""),0.454545454545454)</f>
        <v>0.4545454545</v>
      </c>
      <c r="I153" s="8">
        <f>IFERROR(__xludf.DUMMYFUNCTION("""COMPUTED_VALUE"""),0.454545454545454)</f>
        <v>0.4545454545</v>
      </c>
      <c r="J153" s="8">
        <f>IFERROR(__xludf.DUMMYFUNCTION("""COMPUTED_VALUE"""),0.3)</f>
        <v>0.3</v>
      </c>
      <c r="K153" s="8">
        <f>IFERROR(__xludf.DUMMYFUNCTION("""COMPUTED_VALUE"""),0.3)</f>
        <v>0.3</v>
      </c>
      <c r="L153" s="8">
        <f>IFERROR(__xludf.DUMMYFUNCTION("""COMPUTED_VALUE"""),0.333333333333333)</f>
        <v>0.3333333333</v>
      </c>
      <c r="M153" s="8">
        <f>IFERROR(__xludf.DUMMYFUNCTION("""COMPUTED_VALUE"""),0.333333333333333)</f>
        <v>0.3333333333</v>
      </c>
      <c r="N153" s="8">
        <f>IFERROR(__xludf.DUMMYFUNCTION("""COMPUTED_VALUE"""),0.333333333333333)</f>
        <v>0.3333333333</v>
      </c>
      <c r="O153" s="8">
        <f>IFERROR(__xludf.DUMMYFUNCTION("""COMPUTED_VALUE"""),0.375)</f>
        <v>0.375</v>
      </c>
      <c r="P153" s="8">
        <f>IFERROR(__xludf.DUMMYFUNCTION("""COMPUTED_VALUE"""),0.25)</f>
        <v>0.25</v>
      </c>
      <c r="Q153" s="8">
        <f>IFERROR(__xludf.DUMMYFUNCTION("""COMPUTED_VALUE"""),0.0)</f>
        <v>0</v>
      </c>
      <c r="R153" s="8">
        <f>IFERROR(__xludf.DUMMYFUNCTION("""COMPUTED_VALUE"""),0.0)</f>
        <v>0</v>
      </c>
      <c r="S153" s="8">
        <f>IFERROR(__xludf.DUMMYFUNCTION("""COMPUTED_VALUE"""),0.0)</f>
        <v>0</v>
      </c>
      <c r="T153" s="8">
        <f>IFERROR(__xludf.DUMMYFUNCTION("""COMPUTED_VALUE"""),0.0)</f>
        <v>0</v>
      </c>
      <c r="U153" s="8">
        <f>IFERROR(__xludf.DUMMYFUNCTION("""COMPUTED_VALUE"""),0.0)</f>
        <v>0</v>
      </c>
      <c r="V153" s="8">
        <f>IFERROR(__xludf.DUMMYFUNCTION("""COMPUTED_VALUE"""),0.0)</f>
        <v>0</v>
      </c>
      <c r="W153" s="8">
        <f>IFERROR(__xludf.DUMMYFUNCTION("""COMPUTED_VALUE"""),0.0)</f>
        <v>0</v>
      </c>
      <c r="X153" s="8">
        <f>IFERROR(__xludf.DUMMYFUNCTION("""COMPUTED_VALUE"""),0.0)</f>
        <v>0</v>
      </c>
      <c r="Y153" s="8">
        <f>IFERROR(__xludf.DUMMYFUNCTION("""COMPUTED_VALUE"""),0.0)</f>
        <v>0</v>
      </c>
      <c r="Z153" s="8">
        <f>IFERROR(__xludf.DUMMYFUNCTION("""COMPUTED_VALUE"""),0.0)</f>
        <v>0</v>
      </c>
      <c r="AA153" s="8">
        <f>IFERROR(__xludf.DUMMYFUNCTION("""COMPUTED_VALUE"""),0.0)</f>
        <v>0</v>
      </c>
      <c r="AB153" s="8">
        <f>IFERROR(__xludf.DUMMYFUNCTION("""COMPUTED_VALUE"""),0.0)</f>
        <v>0</v>
      </c>
      <c r="AC153" s="8">
        <f>IFERROR(__xludf.DUMMYFUNCTION("""COMPUTED_VALUE"""),0.0)</f>
        <v>0</v>
      </c>
    </row>
    <row r="154" ht="15.75" customHeight="1">
      <c r="A154" s="6" t="str">
        <f>IFERROR(__xludf.DUMMYFUNCTION("""COMPUTED_VALUE"""),"8bcd1b852cfa9d73ac3583317066946ad2b0abf7")</f>
        <v>8bcd1b852cfa9d73ac3583317066946ad2b0abf7</v>
      </c>
      <c r="B154" s="6" t="str">
        <f>IFERROR(__xludf.DUMMYFUNCTION("""COMPUTED_VALUE"""),"Heir to Draconic Dominion")</f>
        <v>Heir to Draconic Dominion</v>
      </c>
      <c r="C154" s="6" t="str">
        <f>IFERROR(__xludf.DUMMYFUNCTION("""COMPUTED_VALUE"""),"Fantasy")</f>
        <v>Fantasy</v>
      </c>
      <c r="D154" s="11">
        <f>IFERROR(__xludf.DUMMYFUNCTION("""COMPUTED_VALUE"""),885.0)</f>
        <v>885</v>
      </c>
      <c r="E154" s="8">
        <f>IFERROR(__xludf.DUMMYFUNCTION("""COMPUTED_VALUE"""),0.975141242937853)</f>
        <v>0.9751412429</v>
      </c>
      <c r="F154" s="8">
        <f>IFERROR(__xludf.DUMMYFUNCTION("""COMPUTED_VALUE"""),0.648924122310305)</f>
        <v>0.6489241223</v>
      </c>
      <c r="G154" s="8">
        <f>IFERROR(__xludf.DUMMYFUNCTION("""COMPUTED_VALUE"""),0.607021517553793)</f>
        <v>0.6070215176</v>
      </c>
      <c r="H154" s="8">
        <f>IFERROR(__xludf.DUMMYFUNCTION("""COMPUTED_VALUE"""),0.580681818181818)</f>
        <v>0.5806818182</v>
      </c>
      <c r="I154" s="8">
        <f>IFERROR(__xludf.DUMMYFUNCTION("""COMPUTED_VALUE"""),0.560364464692482)</f>
        <v>0.5603644647</v>
      </c>
      <c r="J154" s="8">
        <f>IFERROR(__xludf.DUMMYFUNCTION("""COMPUTED_VALUE"""),0.550741163055872)</f>
        <v>0.5507411631</v>
      </c>
      <c r="K154" s="8">
        <f>IFERROR(__xludf.DUMMYFUNCTION("""COMPUTED_VALUE"""),0.537142857142857)</f>
        <v>0.5371428571</v>
      </c>
      <c r="L154" s="8">
        <f>IFERROR(__xludf.DUMMYFUNCTION("""COMPUTED_VALUE"""),0.519630484988452)</f>
        <v>0.519630485</v>
      </c>
      <c r="M154" s="8">
        <f>IFERROR(__xludf.DUMMYFUNCTION("""COMPUTED_VALUE"""),0.500579374275782)</f>
        <v>0.5005793743</v>
      </c>
      <c r="N154" s="8">
        <f>IFERROR(__xludf.DUMMYFUNCTION("""COMPUTED_VALUE"""),0.489510489510489)</f>
        <v>0.4895104895</v>
      </c>
      <c r="O154" s="8">
        <f>IFERROR(__xludf.DUMMYFUNCTION("""COMPUTED_VALUE"""),0.456599286563614)</f>
        <v>0.4565992866</v>
      </c>
      <c r="P154" s="8">
        <f>IFERROR(__xludf.DUMMYFUNCTION("""COMPUTED_VALUE"""),0.375469336670838)</f>
        <v>0.3754693367</v>
      </c>
      <c r="Q154" s="8">
        <f>IFERROR(__xludf.DUMMYFUNCTION("""COMPUTED_VALUE"""),0.226356589147286)</f>
        <v>0.2263565891</v>
      </c>
      <c r="R154" s="8">
        <f>IFERROR(__xludf.DUMMYFUNCTION("""COMPUTED_VALUE"""),0.0769230769230769)</f>
        <v>0.07692307692</v>
      </c>
      <c r="S154" s="8">
        <f>IFERROR(__xludf.DUMMYFUNCTION("""COMPUTED_VALUE"""),0.0)</f>
        <v>0</v>
      </c>
      <c r="T154" s="8">
        <f>IFERROR(__xludf.DUMMYFUNCTION("""COMPUTED_VALUE"""),0.0)</f>
        <v>0</v>
      </c>
      <c r="U154" s="8">
        <f>IFERROR(__xludf.DUMMYFUNCTION("""COMPUTED_VALUE"""),0.0)</f>
        <v>0</v>
      </c>
      <c r="V154" s="8">
        <f>IFERROR(__xludf.DUMMYFUNCTION("""COMPUTED_VALUE"""),0.0)</f>
        <v>0</v>
      </c>
      <c r="W154" s="8">
        <f>IFERROR(__xludf.DUMMYFUNCTION("""COMPUTED_VALUE"""),0.0)</f>
        <v>0</v>
      </c>
      <c r="X154" s="8">
        <f>IFERROR(__xludf.DUMMYFUNCTION("""COMPUTED_VALUE"""),0.0)</f>
        <v>0</v>
      </c>
      <c r="Y154" s="8">
        <f>IFERROR(__xludf.DUMMYFUNCTION("""COMPUTED_VALUE"""),0.0)</f>
        <v>0</v>
      </c>
      <c r="Z154" s="8">
        <f>IFERROR(__xludf.DUMMYFUNCTION("""COMPUTED_VALUE"""),0.0)</f>
        <v>0</v>
      </c>
      <c r="AA154" s="8">
        <f>IFERROR(__xludf.DUMMYFUNCTION("""COMPUTED_VALUE"""),0.0)</f>
        <v>0</v>
      </c>
      <c r="AB154" s="8">
        <f>IFERROR(__xludf.DUMMYFUNCTION("""COMPUTED_VALUE"""),0.0)</f>
        <v>0</v>
      </c>
      <c r="AC154" s="8">
        <f>IFERROR(__xludf.DUMMYFUNCTION("""COMPUTED_VALUE"""),0.0)</f>
        <v>0</v>
      </c>
    </row>
    <row r="155" ht="15.75" customHeight="1">
      <c r="A155" s="6" t="str">
        <f>IFERROR(__xludf.DUMMYFUNCTION("""COMPUTED_VALUE"""),"8e36a60de34dcee5a96156507eb902741b36cc77")</f>
        <v>8e36a60de34dcee5a96156507eb902741b36cc77</v>
      </c>
      <c r="B155" s="6" t="str">
        <f>IFERROR(__xludf.DUMMYFUNCTION("""COMPUTED_VALUE"""),"It's Crystal")</f>
        <v>It's Crystal</v>
      </c>
      <c r="C155" s="6" t="str">
        <f>IFERROR(__xludf.DUMMYFUNCTION("""COMPUTED_VALUE"""),"Romance")</f>
        <v>Romance</v>
      </c>
      <c r="D155" s="11">
        <f>IFERROR(__xludf.DUMMYFUNCTION("""COMPUTED_VALUE"""),59.0)</f>
        <v>59</v>
      </c>
      <c r="E155" s="8">
        <f>IFERROR(__xludf.DUMMYFUNCTION("""COMPUTED_VALUE"""),0.932203389830508)</f>
        <v>0.9322033898</v>
      </c>
      <c r="F155" s="8">
        <f>IFERROR(__xludf.DUMMYFUNCTION("""COMPUTED_VALUE"""),0.542372881355932)</f>
        <v>0.5423728814</v>
      </c>
      <c r="G155" s="8">
        <f>IFERROR(__xludf.DUMMYFUNCTION("""COMPUTED_VALUE"""),0.47457627118644)</f>
        <v>0.4745762712</v>
      </c>
      <c r="H155" s="8">
        <f>IFERROR(__xludf.DUMMYFUNCTION("""COMPUTED_VALUE"""),0.457627118644067)</f>
        <v>0.4576271186</v>
      </c>
      <c r="I155" s="8">
        <f>IFERROR(__xludf.DUMMYFUNCTION("""COMPUTED_VALUE"""),0.491525423728813)</f>
        <v>0.4915254237</v>
      </c>
      <c r="J155" s="8">
        <f>IFERROR(__xludf.DUMMYFUNCTION("""COMPUTED_VALUE"""),0.457627118644067)</f>
        <v>0.4576271186</v>
      </c>
      <c r="K155" s="8">
        <f>IFERROR(__xludf.DUMMYFUNCTION("""COMPUTED_VALUE"""),0.423728813559322)</f>
        <v>0.4237288136</v>
      </c>
      <c r="L155" s="8">
        <f>IFERROR(__xludf.DUMMYFUNCTION("""COMPUTED_VALUE"""),0.35593220338983)</f>
        <v>0.3559322034</v>
      </c>
      <c r="M155" s="8">
        <f>IFERROR(__xludf.DUMMYFUNCTION("""COMPUTED_VALUE"""),0.322033898305084)</f>
        <v>0.3220338983</v>
      </c>
      <c r="N155" s="8">
        <f>IFERROR(__xludf.DUMMYFUNCTION("""COMPUTED_VALUE"""),0.271186440677966)</f>
        <v>0.2711864407</v>
      </c>
      <c r="O155" s="8">
        <f>IFERROR(__xludf.DUMMYFUNCTION("""COMPUTED_VALUE"""),0.254237288135593)</f>
        <v>0.2542372881</v>
      </c>
      <c r="P155" s="8">
        <f>IFERROR(__xludf.DUMMYFUNCTION("""COMPUTED_VALUE"""),0.241379310344827)</f>
        <v>0.2413793103</v>
      </c>
      <c r="Q155" s="8">
        <f>IFERROR(__xludf.DUMMYFUNCTION("""COMPUTED_VALUE"""),0.0925925925925925)</f>
        <v>0.09259259259</v>
      </c>
      <c r="R155" s="8">
        <f>IFERROR(__xludf.DUMMYFUNCTION("""COMPUTED_VALUE"""),0.05)</f>
        <v>0.05</v>
      </c>
      <c r="S155" s="8">
        <f>IFERROR(__xludf.DUMMYFUNCTION("""COMPUTED_VALUE"""),0.0)</f>
        <v>0</v>
      </c>
      <c r="T155" s="8">
        <f>IFERROR(__xludf.DUMMYFUNCTION("""COMPUTED_VALUE"""),0.0)</f>
        <v>0</v>
      </c>
      <c r="U155" s="8">
        <f>IFERROR(__xludf.DUMMYFUNCTION("""COMPUTED_VALUE"""),0.0)</f>
        <v>0</v>
      </c>
      <c r="V155" s="8">
        <f>IFERROR(__xludf.DUMMYFUNCTION("""COMPUTED_VALUE"""),0.0)</f>
        <v>0</v>
      </c>
      <c r="W155" s="8">
        <f>IFERROR(__xludf.DUMMYFUNCTION("""COMPUTED_VALUE"""),0.0)</f>
        <v>0</v>
      </c>
      <c r="X155" s="8">
        <f>IFERROR(__xludf.DUMMYFUNCTION("""COMPUTED_VALUE"""),0.0)</f>
        <v>0</v>
      </c>
      <c r="Y155" s="8">
        <f>IFERROR(__xludf.DUMMYFUNCTION("""COMPUTED_VALUE"""),0.0)</f>
        <v>0</v>
      </c>
      <c r="Z155" s="8">
        <f>IFERROR(__xludf.DUMMYFUNCTION("""COMPUTED_VALUE"""),0.0)</f>
        <v>0</v>
      </c>
      <c r="AA155" s="8">
        <f>IFERROR(__xludf.DUMMYFUNCTION("""COMPUTED_VALUE"""),0.0)</f>
        <v>0</v>
      </c>
      <c r="AB155" s="8">
        <f>IFERROR(__xludf.DUMMYFUNCTION("""COMPUTED_VALUE"""),0.0)</f>
        <v>0</v>
      </c>
      <c r="AC155" s="8">
        <f>IFERROR(__xludf.DUMMYFUNCTION("""COMPUTED_VALUE"""),0.0)</f>
        <v>0</v>
      </c>
    </row>
    <row r="156" ht="15.75" customHeight="1">
      <c r="A156" s="6" t="str">
        <f>IFERROR(__xludf.DUMMYFUNCTION("""COMPUTED_VALUE"""),"8e3c4698dede52f8548d10d283645c3e3f83c04a")</f>
        <v>8e3c4698dede52f8548d10d283645c3e3f83c04a</v>
      </c>
      <c r="B156" s="6" t="str">
        <f>IFERROR(__xludf.DUMMYFUNCTION("""COMPUTED_VALUE"""),"The Celestial God’s Heir")</f>
        <v>The Celestial God’s Heir</v>
      </c>
      <c r="C156" s="6" t="str">
        <f>IFERROR(__xludf.DUMMYFUNCTION("""COMPUTED_VALUE"""),"Fantasy")</f>
        <v>Fantasy</v>
      </c>
      <c r="D156" s="11">
        <f>IFERROR(__xludf.DUMMYFUNCTION("""COMPUTED_VALUE"""),85.0)</f>
        <v>85</v>
      </c>
      <c r="E156" s="8">
        <f>IFERROR(__xludf.DUMMYFUNCTION("""COMPUTED_VALUE"""),0.976470588235294)</f>
        <v>0.9764705882</v>
      </c>
      <c r="F156" s="8">
        <f>IFERROR(__xludf.DUMMYFUNCTION("""COMPUTED_VALUE"""),0.564705882352941)</f>
        <v>0.5647058824</v>
      </c>
      <c r="G156" s="8">
        <f>IFERROR(__xludf.DUMMYFUNCTION("""COMPUTED_VALUE"""),0.48235294117647)</f>
        <v>0.4823529412</v>
      </c>
      <c r="H156" s="8">
        <f>IFERROR(__xludf.DUMMYFUNCTION("""COMPUTED_VALUE"""),0.4375)</f>
        <v>0.4375</v>
      </c>
      <c r="I156" s="8">
        <f>IFERROR(__xludf.DUMMYFUNCTION("""COMPUTED_VALUE"""),0.394736842105263)</f>
        <v>0.3947368421</v>
      </c>
      <c r="J156" s="8">
        <f>IFERROR(__xludf.DUMMYFUNCTION("""COMPUTED_VALUE"""),0.352112676056338)</f>
        <v>0.3521126761</v>
      </c>
      <c r="K156" s="8">
        <f>IFERROR(__xludf.DUMMYFUNCTION("""COMPUTED_VALUE"""),0.352941176470588)</f>
        <v>0.3529411765</v>
      </c>
      <c r="L156" s="8">
        <f>IFERROR(__xludf.DUMMYFUNCTION("""COMPUTED_VALUE"""),0.353846153846153)</f>
        <v>0.3538461538</v>
      </c>
      <c r="M156" s="8">
        <f>IFERROR(__xludf.DUMMYFUNCTION("""COMPUTED_VALUE"""),0.353846153846153)</f>
        <v>0.3538461538</v>
      </c>
      <c r="N156" s="8">
        <f>IFERROR(__xludf.DUMMYFUNCTION("""COMPUTED_VALUE"""),0.305084745762711)</f>
        <v>0.3050847458</v>
      </c>
      <c r="O156" s="8">
        <f>IFERROR(__xludf.DUMMYFUNCTION("""COMPUTED_VALUE"""),0.0)</f>
        <v>0</v>
      </c>
      <c r="P156" s="8">
        <f>IFERROR(__xludf.DUMMYFUNCTION("""COMPUTED_VALUE"""),0.0)</f>
        <v>0</v>
      </c>
      <c r="Q156" s="8">
        <f>IFERROR(__xludf.DUMMYFUNCTION("""COMPUTED_VALUE"""),0.0)</f>
        <v>0</v>
      </c>
      <c r="R156" s="8">
        <f>IFERROR(__xludf.DUMMYFUNCTION("""COMPUTED_VALUE"""),0.0)</f>
        <v>0</v>
      </c>
      <c r="S156" s="8">
        <f>IFERROR(__xludf.DUMMYFUNCTION("""COMPUTED_VALUE"""),0.0)</f>
        <v>0</v>
      </c>
      <c r="T156" s="8">
        <f>IFERROR(__xludf.DUMMYFUNCTION("""COMPUTED_VALUE"""),0.0)</f>
        <v>0</v>
      </c>
      <c r="U156" s="8">
        <f>IFERROR(__xludf.DUMMYFUNCTION("""COMPUTED_VALUE"""),0.0)</f>
        <v>0</v>
      </c>
      <c r="V156" s="8">
        <f>IFERROR(__xludf.DUMMYFUNCTION("""COMPUTED_VALUE"""),0.0)</f>
        <v>0</v>
      </c>
      <c r="W156" s="8">
        <f>IFERROR(__xludf.DUMMYFUNCTION("""COMPUTED_VALUE"""),0.0)</f>
        <v>0</v>
      </c>
      <c r="X156" s="8">
        <f>IFERROR(__xludf.DUMMYFUNCTION("""COMPUTED_VALUE"""),0.0)</f>
        <v>0</v>
      </c>
      <c r="Y156" s="8">
        <f>IFERROR(__xludf.DUMMYFUNCTION("""COMPUTED_VALUE"""),0.0)</f>
        <v>0</v>
      </c>
      <c r="Z156" s="8">
        <f>IFERROR(__xludf.DUMMYFUNCTION("""COMPUTED_VALUE"""),0.0)</f>
        <v>0</v>
      </c>
      <c r="AA156" s="8">
        <f>IFERROR(__xludf.DUMMYFUNCTION("""COMPUTED_VALUE"""),0.0)</f>
        <v>0</v>
      </c>
      <c r="AB156" s="8">
        <f>IFERROR(__xludf.DUMMYFUNCTION("""COMPUTED_VALUE"""),0.0)</f>
        <v>0</v>
      </c>
      <c r="AC156" s="8">
        <f>IFERROR(__xludf.DUMMYFUNCTION("""COMPUTED_VALUE"""),0.0)</f>
        <v>0</v>
      </c>
    </row>
    <row r="157" ht="15.75" customHeight="1">
      <c r="A157" s="6" t="str">
        <f>IFERROR(__xludf.DUMMYFUNCTION("""COMPUTED_VALUE"""),"8f0fa62650413483426bef0ac7d66ca7627ab11f")</f>
        <v>8f0fa62650413483426bef0ac7d66ca7627ab11f</v>
      </c>
      <c r="B157" s="6" t="str">
        <f>IFERROR(__xludf.DUMMYFUNCTION("""COMPUTED_VALUE"""),"The Mind Reader: A Son-in-Law’s Revenge")</f>
        <v>The Mind Reader: A Son-in-Law’s Revenge</v>
      </c>
      <c r="C157" s="6" t="str">
        <f>IFERROR(__xludf.DUMMYFUNCTION("""COMPUTED_VALUE"""),"Drama")</f>
        <v>Drama</v>
      </c>
      <c r="D157" s="11">
        <f>IFERROR(__xludf.DUMMYFUNCTION("""COMPUTED_VALUE"""),273.0)</f>
        <v>273</v>
      </c>
      <c r="E157" s="8">
        <f>IFERROR(__xludf.DUMMYFUNCTION("""COMPUTED_VALUE"""),0.945054945054945)</f>
        <v>0.9450549451</v>
      </c>
      <c r="F157" s="8">
        <f>IFERROR(__xludf.DUMMYFUNCTION("""COMPUTED_VALUE"""),0.787545787545787)</f>
        <v>0.7875457875</v>
      </c>
      <c r="G157" s="8">
        <f>IFERROR(__xludf.DUMMYFUNCTION("""COMPUTED_VALUE"""),0.692307692307692)</f>
        <v>0.6923076923</v>
      </c>
      <c r="H157" s="8">
        <f>IFERROR(__xludf.DUMMYFUNCTION("""COMPUTED_VALUE"""),0.662551440329218)</f>
        <v>0.6625514403</v>
      </c>
      <c r="I157" s="8">
        <f>IFERROR(__xludf.DUMMYFUNCTION("""COMPUTED_VALUE"""),0.600823045267489)</f>
        <v>0.6008230453</v>
      </c>
      <c r="J157" s="8">
        <f>IFERROR(__xludf.DUMMYFUNCTION("""COMPUTED_VALUE"""),0.543209876543209)</f>
        <v>0.5432098765</v>
      </c>
      <c r="K157" s="8">
        <f>IFERROR(__xludf.DUMMYFUNCTION("""COMPUTED_VALUE"""),0.51440329218107)</f>
        <v>0.5144032922</v>
      </c>
      <c r="L157" s="8">
        <f>IFERROR(__xludf.DUMMYFUNCTION("""COMPUTED_VALUE"""),0.465020576131687)</f>
        <v>0.4650205761</v>
      </c>
      <c r="M157" s="8">
        <f>IFERROR(__xludf.DUMMYFUNCTION("""COMPUTED_VALUE"""),0.45679012345679)</f>
        <v>0.4567901235</v>
      </c>
      <c r="N157" s="8">
        <f>IFERROR(__xludf.DUMMYFUNCTION("""COMPUTED_VALUE"""),0.425619834710743)</f>
        <v>0.4256198347</v>
      </c>
      <c r="O157" s="8">
        <f>IFERROR(__xludf.DUMMYFUNCTION("""COMPUTED_VALUE"""),0.367768595041322)</f>
        <v>0.367768595</v>
      </c>
      <c r="P157" s="8">
        <f>IFERROR(__xludf.DUMMYFUNCTION("""COMPUTED_VALUE"""),0.272727272727272)</f>
        <v>0.2727272727</v>
      </c>
      <c r="Q157" s="8">
        <f>IFERROR(__xludf.DUMMYFUNCTION("""COMPUTED_VALUE"""),0.0871369294605809)</f>
        <v>0.08713692946</v>
      </c>
      <c r="R157" s="8">
        <f>IFERROR(__xludf.DUMMYFUNCTION("""COMPUTED_VALUE"""),0.0373443983402489)</f>
        <v>0.03734439834</v>
      </c>
      <c r="S157" s="8">
        <f>IFERROR(__xludf.DUMMYFUNCTION("""COMPUTED_VALUE"""),0.0)</f>
        <v>0</v>
      </c>
      <c r="T157" s="8">
        <f>IFERROR(__xludf.DUMMYFUNCTION("""COMPUTED_VALUE"""),0.0)</f>
        <v>0</v>
      </c>
      <c r="U157" s="8">
        <f>IFERROR(__xludf.DUMMYFUNCTION("""COMPUTED_VALUE"""),0.0)</f>
        <v>0</v>
      </c>
      <c r="V157" s="8">
        <f>IFERROR(__xludf.DUMMYFUNCTION("""COMPUTED_VALUE"""),0.0)</f>
        <v>0</v>
      </c>
      <c r="W157" s="8">
        <f>IFERROR(__xludf.DUMMYFUNCTION("""COMPUTED_VALUE"""),0.0)</f>
        <v>0</v>
      </c>
      <c r="X157" s="8">
        <f>IFERROR(__xludf.DUMMYFUNCTION("""COMPUTED_VALUE"""),0.0)</f>
        <v>0</v>
      </c>
      <c r="Y157" s="8">
        <f>IFERROR(__xludf.DUMMYFUNCTION("""COMPUTED_VALUE"""),0.0)</f>
        <v>0</v>
      </c>
      <c r="Z157" s="8">
        <f>IFERROR(__xludf.DUMMYFUNCTION("""COMPUTED_VALUE"""),0.0)</f>
        <v>0</v>
      </c>
      <c r="AA157" s="8">
        <f>IFERROR(__xludf.DUMMYFUNCTION("""COMPUTED_VALUE"""),0.0)</f>
        <v>0</v>
      </c>
      <c r="AB157" s="8">
        <f>IFERROR(__xludf.DUMMYFUNCTION("""COMPUTED_VALUE"""),0.0)</f>
        <v>0</v>
      </c>
      <c r="AC157" s="8">
        <f>IFERROR(__xludf.DUMMYFUNCTION("""COMPUTED_VALUE"""),0.0)</f>
        <v>0</v>
      </c>
    </row>
    <row r="158" ht="15.75" customHeight="1">
      <c r="A158" s="6" t="str">
        <f>IFERROR(__xludf.DUMMYFUNCTION("""COMPUTED_VALUE"""),"8f9097f70a41e0a3a637a3eb2b6551e036eb16b7")</f>
        <v>8f9097f70a41e0a3a637a3eb2b6551e036eb16b7</v>
      </c>
      <c r="B158" s="6" t="str">
        <f>IFERROR(__xludf.DUMMYFUNCTION("""COMPUTED_VALUE"""),"The Devine Root")</f>
        <v>The Devine Root</v>
      </c>
      <c r="C158" s="6" t="str">
        <f>IFERROR(__xludf.DUMMYFUNCTION("""COMPUTED_VALUE"""),"Fantasy")</f>
        <v>Fantasy</v>
      </c>
      <c r="D158" s="11">
        <f>IFERROR(__xludf.DUMMYFUNCTION("""COMPUTED_VALUE"""),3.0)</f>
        <v>3</v>
      </c>
      <c r="E158" s="8">
        <f>IFERROR(__xludf.DUMMYFUNCTION("""COMPUTED_VALUE"""),1.0)</f>
        <v>1</v>
      </c>
      <c r="F158" s="8">
        <f>IFERROR(__xludf.DUMMYFUNCTION("""COMPUTED_VALUE"""),0.666666666666666)</f>
        <v>0.6666666667</v>
      </c>
      <c r="G158" s="8">
        <f>IFERROR(__xludf.DUMMYFUNCTION("""COMPUTED_VALUE"""),0.666666666666666)</f>
        <v>0.6666666667</v>
      </c>
      <c r="H158" s="8">
        <f>IFERROR(__xludf.DUMMYFUNCTION("""COMPUTED_VALUE"""),0.666666666666666)</f>
        <v>0.6666666667</v>
      </c>
      <c r="I158" s="8">
        <f>IFERROR(__xludf.DUMMYFUNCTION("""COMPUTED_VALUE"""),0.333333333333333)</f>
        <v>0.3333333333</v>
      </c>
      <c r="J158" s="8">
        <f>IFERROR(__xludf.DUMMYFUNCTION("""COMPUTED_VALUE"""),0.666666666666666)</f>
        <v>0.6666666667</v>
      </c>
      <c r="K158" s="8">
        <f>IFERROR(__xludf.DUMMYFUNCTION("""COMPUTED_VALUE"""),0.666666666666666)</f>
        <v>0.6666666667</v>
      </c>
      <c r="L158" s="8">
        <f>IFERROR(__xludf.DUMMYFUNCTION("""COMPUTED_VALUE"""),0.666666666666666)</f>
        <v>0.6666666667</v>
      </c>
      <c r="M158" s="8">
        <f>IFERROR(__xludf.DUMMYFUNCTION("""COMPUTED_VALUE"""),0.666666666666666)</f>
        <v>0.6666666667</v>
      </c>
      <c r="N158" s="8">
        <f>IFERROR(__xludf.DUMMYFUNCTION("""COMPUTED_VALUE"""),1.0)</f>
        <v>1</v>
      </c>
      <c r="O158" s="8">
        <f>IFERROR(__xludf.DUMMYFUNCTION("""COMPUTED_VALUE"""),0.0)</f>
        <v>0</v>
      </c>
      <c r="P158" s="8">
        <f>IFERROR(__xludf.DUMMYFUNCTION("""COMPUTED_VALUE"""),0.0)</f>
        <v>0</v>
      </c>
      <c r="Q158" s="8">
        <f>IFERROR(__xludf.DUMMYFUNCTION("""COMPUTED_VALUE"""),0.0)</f>
        <v>0</v>
      </c>
      <c r="R158" s="8">
        <f>IFERROR(__xludf.DUMMYFUNCTION("""COMPUTED_VALUE"""),0.0)</f>
        <v>0</v>
      </c>
      <c r="S158" s="8">
        <f>IFERROR(__xludf.DUMMYFUNCTION("""COMPUTED_VALUE"""),0.0)</f>
        <v>0</v>
      </c>
      <c r="T158" s="8">
        <f>IFERROR(__xludf.DUMMYFUNCTION("""COMPUTED_VALUE"""),0.0)</f>
        <v>0</v>
      </c>
      <c r="U158" s="8">
        <f>IFERROR(__xludf.DUMMYFUNCTION("""COMPUTED_VALUE"""),0.0)</f>
        <v>0</v>
      </c>
      <c r="V158" s="8">
        <f>IFERROR(__xludf.DUMMYFUNCTION("""COMPUTED_VALUE"""),0.0)</f>
        <v>0</v>
      </c>
      <c r="W158" s="8">
        <f>IFERROR(__xludf.DUMMYFUNCTION("""COMPUTED_VALUE"""),0.0)</f>
        <v>0</v>
      </c>
      <c r="X158" s="8">
        <f>IFERROR(__xludf.DUMMYFUNCTION("""COMPUTED_VALUE"""),0.0)</f>
        <v>0</v>
      </c>
      <c r="Y158" s="8">
        <f>IFERROR(__xludf.DUMMYFUNCTION("""COMPUTED_VALUE"""),0.0)</f>
        <v>0</v>
      </c>
      <c r="Z158" s="8">
        <f>IFERROR(__xludf.DUMMYFUNCTION("""COMPUTED_VALUE"""),0.0)</f>
        <v>0</v>
      </c>
      <c r="AA158" s="8">
        <f>IFERROR(__xludf.DUMMYFUNCTION("""COMPUTED_VALUE"""),0.0)</f>
        <v>0</v>
      </c>
      <c r="AB158" s="8">
        <f>IFERROR(__xludf.DUMMYFUNCTION("""COMPUTED_VALUE"""),0.0)</f>
        <v>0</v>
      </c>
      <c r="AC158" s="8">
        <f>IFERROR(__xludf.DUMMYFUNCTION("""COMPUTED_VALUE"""),0.0)</f>
        <v>0</v>
      </c>
    </row>
    <row r="159" ht="15.75" customHeight="1">
      <c r="A159" s="6" t="str">
        <f>IFERROR(__xludf.DUMMYFUNCTION("""COMPUTED_VALUE"""),"8fc0fc1659f3b419e6fa13d9cb59b0e57bfec096")</f>
        <v>8fc0fc1659f3b419e6fa13d9cb59b0e57bfec096</v>
      </c>
      <c r="B159" s="6" t="str">
        <f>IFERROR(__xludf.DUMMYFUNCTION("""COMPUTED_VALUE"""),"The Exiled Heir")</f>
        <v>The Exiled Heir</v>
      </c>
      <c r="C159" s="6" t="str">
        <f>IFERROR(__xludf.DUMMYFUNCTION("""COMPUTED_VALUE"""),"Drama")</f>
        <v>Drama</v>
      </c>
      <c r="D159" s="11">
        <f>IFERROR(__xludf.DUMMYFUNCTION("""COMPUTED_VALUE"""),4643.0)</f>
        <v>4643</v>
      </c>
      <c r="E159" s="8">
        <f>IFERROR(__xludf.DUMMYFUNCTION("""COMPUTED_VALUE"""),0.947878526814559)</f>
        <v>0.9478785268</v>
      </c>
      <c r="F159" s="8">
        <f>IFERROR(__xludf.DUMMYFUNCTION("""COMPUTED_VALUE"""),0.690501830712901)</f>
        <v>0.6905018307</v>
      </c>
      <c r="G159" s="8">
        <f>IFERROR(__xludf.DUMMYFUNCTION("""COMPUTED_VALUE"""),0.630411371957786)</f>
        <v>0.630411372</v>
      </c>
      <c r="H159" s="8">
        <f>IFERROR(__xludf.DUMMYFUNCTION("""COMPUTED_VALUE"""),0.595248380129589)</f>
        <v>0.5952483801</v>
      </c>
      <c r="I159" s="8">
        <f>IFERROR(__xludf.DUMMYFUNCTION("""COMPUTED_VALUE"""),0.558511788881678)</f>
        <v>0.5585117889</v>
      </c>
      <c r="J159" s="8">
        <f>IFERROR(__xludf.DUMMYFUNCTION("""COMPUTED_VALUE"""),0.532523850823937)</f>
        <v>0.5325238508</v>
      </c>
      <c r="K159" s="8">
        <f>IFERROR(__xludf.DUMMYFUNCTION("""COMPUTED_VALUE"""),0.500868432479374)</f>
        <v>0.5008684325</v>
      </c>
      <c r="L159" s="8">
        <f>IFERROR(__xludf.DUMMYFUNCTION("""COMPUTED_VALUE"""),0.481723237597911)</f>
        <v>0.4817232376</v>
      </c>
      <c r="M159" s="8">
        <f>IFERROR(__xludf.DUMMYFUNCTION("""COMPUTED_VALUE"""),0.464036617262423)</f>
        <v>0.4640366173</v>
      </c>
      <c r="N159" s="8">
        <f>IFERROR(__xludf.DUMMYFUNCTION("""COMPUTED_VALUE"""),0.446409080986684)</f>
        <v>0.446409081</v>
      </c>
      <c r="O159" s="8">
        <f>IFERROR(__xludf.DUMMYFUNCTION("""COMPUTED_VALUE"""),0.413838695460555)</f>
        <v>0.4138386955</v>
      </c>
      <c r="P159" s="8">
        <f>IFERROR(__xludf.DUMMYFUNCTION("""COMPUTED_VALUE"""),0.330423102753525)</f>
        <v>0.3304231028</v>
      </c>
      <c r="Q159" s="8">
        <f>IFERROR(__xludf.DUMMYFUNCTION("""COMPUTED_VALUE"""),0.22530650011566)</f>
        <v>0.2253065001</v>
      </c>
      <c r="R159" s="8">
        <f>IFERROR(__xludf.DUMMYFUNCTION("""COMPUTED_VALUE"""),0.157455170719724)</f>
        <v>0.1574551707</v>
      </c>
      <c r="S159" s="8">
        <f>IFERROR(__xludf.DUMMYFUNCTION("""COMPUTED_VALUE"""),0.135218736190897)</f>
        <v>0.1352187362</v>
      </c>
      <c r="T159" s="8">
        <f>IFERROR(__xludf.DUMMYFUNCTION("""COMPUTED_VALUE"""),0.0792243767313019)</f>
        <v>0.07922437673</v>
      </c>
      <c r="U159" s="8">
        <f>IFERROR(__xludf.DUMMYFUNCTION("""COMPUTED_VALUE"""),0.0)</f>
        <v>0</v>
      </c>
      <c r="V159" s="8">
        <f>IFERROR(__xludf.DUMMYFUNCTION("""COMPUTED_VALUE"""),0.0)</f>
        <v>0</v>
      </c>
      <c r="W159" s="8">
        <f>IFERROR(__xludf.DUMMYFUNCTION("""COMPUTED_VALUE"""),0.0)</f>
        <v>0</v>
      </c>
      <c r="X159" s="8">
        <f>IFERROR(__xludf.DUMMYFUNCTION("""COMPUTED_VALUE"""),0.0)</f>
        <v>0</v>
      </c>
      <c r="Y159" s="8">
        <f>IFERROR(__xludf.DUMMYFUNCTION("""COMPUTED_VALUE"""),0.0)</f>
        <v>0</v>
      </c>
      <c r="Z159" s="8">
        <f>IFERROR(__xludf.DUMMYFUNCTION("""COMPUTED_VALUE"""),0.0)</f>
        <v>0</v>
      </c>
      <c r="AA159" s="8">
        <f>IFERROR(__xludf.DUMMYFUNCTION("""COMPUTED_VALUE"""),0.0)</f>
        <v>0</v>
      </c>
      <c r="AB159" s="8">
        <f>IFERROR(__xludf.DUMMYFUNCTION("""COMPUTED_VALUE"""),0.0)</f>
        <v>0</v>
      </c>
      <c r="AC159" s="8">
        <f>IFERROR(__xludf.DUMMYFUNCTION("""COMPUTED_VALUE"""),0.0)</f>
        <v>0</v>
      </c>
    </row>
    <row r="160" ht="15.75" customHeight="1">
      <c r="A160" s="6" t="str">
        <f>IFERROR(__xludf.DUMMYFUNCTION("""COMPUTED_VALUE"""),"9187815245dbab381e06e99b89e34db3f811e066")</f>
        <v>9187815245dbab381e06e99b89e34db3f811e066</v>
      </c>
      <c r="B160" s="6" t="str">
        <f>IFERROR(__xludf.DUMMYFUNCTION("""COMPUTED_VALUE"""),"Billionaire's Pursuit")</f>
        <v>Billionaire's Pursuit</v>
      </c>
      <c r="C160" s="6" t="str">
        <f>IFERROR(__xludf.DUMMYFUNCTION("""COMPUTED_VALUE"""),"Romance")</f>
        <v>Romance</v>
      </c>
      <c r="D160" s="11">
        <f>IFERROR(__xludf.DUMMYFUNCTION("""COMPUTED_VALUE"""),24.0)</f>
        <v>24</v>
      </c>
      <c r="E160" s="8">
        <f>IFERROR(__xludf.DUMMYFUNCTION("""COMPUTED_VALUE"""),0.916666666666666)</f>
        <v>0.9166666667</v>
      </c>
      <c r="F160" s="8">
        <f>IFERROR(__xludf.DUMMYFUNCTION("""COMPUTED_VALUE"""),0.375)</f>
        <v>0.375</v>
      </c>
      <c r="G160" s="8">
        <f>IFERROR(__xludf.DUMMYFUNCTION("""COMPUTED_VALUE"""),0.291666666666666)</f>
        <v>0.2916666667</v>
      </c>
      <c r="H160" s="8">
        <f>IFERROR(__xludf.DUMMYFUNCTION("""COMPUTED_VALUE"""),0.238095238095238)</f>
        <v>0.2380952381</v>
      </c>
      <c r="I160" s="8">
        <f>IFERROR(__xludf.DUMMYFUNCTION("""COMPUTED_VALUE"""),0.105263157894736)</f>
        <v>0.1052631579</v>
      </c>
      <c r="J160" s="8">
        <f>IFERROR(__xludf.DUMMYFUNCTION("""COMPUTED_VALUE"""),0.105263157894736)</f>
        <v>0.1052631579</v>
      </c>
      <c r="K160" s="8">
        <f>IFERROR(__xludf.DUMMYFUNCTION("""COMPUTED_VALUE"""),0.105263157894736)</f>
        <v>0.1052631579</v>
      </c>
      <c r="L160" s="8">
        <f>IFERROR(__xludf.DUMMYFUNCTION("""COMPUTED_VALUE"""),0.105263157894736)</f>
        <v>0.1052631579</v>
      </c>
      <c r="M160" s="8">
        <f>IFERROR(__xludf.DUMMYFUNCTION("""COMPUTED_VALUE"""),0.105263157894736)</f>
        <v>0.1052631579</v>
      </c>
      <c r="N160" s="8">
        <f>IFERROR(__xludf.DUMMYFUNCTION("""COMPUTED_VALUE"""),0.105263157894736)</f>
        <v>0.1052631579</v>
      </c>
      <c r="O160" s="8">
        <f>IFERROR(__xludf.DUMMYFUNCTION("""COMPUTED_VALUE"""),0.105263157894736)</f>
        <v>0.1052631579</v>
      </c>
      <c r="P160" s="8">
        <f>IFERROR(__xludf.DUMMYFUNCTION("""COMPUTED_VALUE"""),0.0526315789473684)</f>
        <v>0.05263157895</v>
      </c>
      <c r="Q160" s="8">
        <f>IFERROR(__xludf.DUMMYFUNCTION("""COMPUTED_VALUE"""),0.0)</f>
        <v>0</v>
      </c>
      <c r="R160" s="8">
        <f>IFERROR(__xludf.DUMMYFUNCTION("""COMPUTED_VALUE"""),0.0)</f>
        <v>0</v>
      </c>
      <c r="S160" s="8">
        <f>IFERROR(__xludf.DUMMYFUNCTION("""COMPUTED_VALUE"""),0.0)</f>
        <v>0</v>
      </c>
      <c r="T160" s="8">
        <f>IFERROR(__xludf.DUMMYFUNCTION("""COMPUTED_VALUE"""),0.0)</f>
        <v>0</v>
      </c>
      <c r="U160" s="8">
        <f>IFERROR(__xludf.DUMMYFUNCTION("""COMPUTED_VALUE"""),0.0)</f>
        <v>0</v>
      </c>
      <c r="V160" s="8">
        <f>IFERROR(__xludf.DUMMYFUNCTION("""COMPUTED_VALUE"""),0.0)</f>
        <v>0</v>
      </c>
      <c r="W160" s="8">
        <f>IFERROR(__xludf.DUMMYFUNCTION("""COMPUTED_VALUE"""),0.0)</f>
        <v>0</v>
      </c>
      <c r="X160" s="8">
        <f>IFERROR(__xludf.DUMMYFUNCTION("""COMPUTED_VALUE"""),0.0)</f>
        <v>0</v>
      </c>
      <c r="Y160" s="8">
        <f>IFERROR(__xludf.DUMMYFUNCTION("""COMPUTED_VALUE"""),0.0)</f>
        <v>0</v>
      </c>
      <c r="Z160" s="8">
        <f>IFERROR(__xludf.DUMMYFUNCTION("""COMPUTED_VALUE"""),0.0)</f>
        <v>0</v>
      </c>
      <c r="AA160" s="8">
        <f>IFERROR(__xludf.DUMMYFUNCTION("""COMPUTED_VALUE"""),0.0)</f>
        <v>0</v>
      </c>
      <c r="AB160" s="8">
        <f>IFERROR(__xludf.DUMMYFUNCTION("""COMPUTED_VALUE"""),0.0)</f>
        <v>0</v>
      </c>
      <c r="AC160" s="8">
        <f>IFERROR(__xludf.DUMMYFUNCTION("""COMPUTED_VALUE"""),0.0)</f>
        <v>0</v>
      </c>
    </row>
    <row r="161" ht="15.75" customHeight="1">
      <c r="A161" s="6" t="str">
        <f>IFERROR(__xludf.DUMMYFUNCTION("""COMPUTED_VALUE"""),"91df72ab8ef7c2a2797ba2a98264b6e4037cebc4")</f>
        <v>91df72ab8ef7c2a2797ba2a98264b6e4037cebc4</v>
      </c>
      <c r="B161" s="6" t="str">
        <f>IFERROR(__xludf.DUMMYFUNCTION("""COMPUTED_VALUE"""),"The Upgrade Gamer")</f>
        <v>The Upgrade Gamer</v>
      </c>
      <c r="C161" s="6" t="str">
        <f>IFERROR(__xludf.DUMMYFUNCTION("""COMPUTED_VALUE"""),"System and Superpower")</f>
        <v>System and Superpower</v>
      </c>
      <c r="D161" s="11">
        <f>IFERROR(__xludf.DUMMYFUNCTION("""COMPUTED_VALUE"""),611.0)</f>
        <v>611</v>
      </c>
      <c r="E161" s="8">
        <f>IFERROR(__xludf.DUMMYFUNCTION("""COMPUTED_VALUE"""),0.991816693944353)</f>
        <v>0.9918166939</v>
      </c>
      <c r="F161" s="8">
        <f>IFERROR(__xludf.DUMMYFUNCTION("""COMPUTED_VALUE"""),0.671031096563011)</f>
        <v>0.6710310966</v>
      </c>
      <c r="G161" s="8">
        <f>IFERROR(__xludf.DUMMYFUNCTION("""COMPUTED_VALUE"""),0.554828150572831)</f>
        <v>0.5548281506</v>
      </c>
      <c r="H161" s="8">
        <f>IFERROR(__xludf.DUMMYFUNCTION("""COMPUTED_VALUE"""),0.492586490939044)</f>
        <v>0.4925864909</v>
      </c>
      <c r="I161" s="8">
        <f>IFERROR(__xludf.DUMMYFUNCTION("""COMPUTED_VALUE"""),0.453047775947281)</f>
        <v>0.4530477759</v>
      </c>
      <c r="J161" s="8">
        <f>IFERROR(__xludf.DUMMYFUNCTION("""COMPUTED_VALUE"""),0.422628951747088)</f>
        <v>0.4226289517</v>
      </c>
      <c r="K161" s="8">
        <f>IFERROR(__xludf.DUMMYFUNCTION("""COMPUTED_VALUE"""),0.404362416107382)</f>
        <v>0.4043624161</v>
      </c>
      <c r="L161" s="8">
        <f>IFERROR(__xludf.DUMMYFUNCTION("""COMPUTED_VALUE"""),0.362711864406779)</f>
        <v>0.3627118644</v>
      </c>
      <c r="M161" s="8">
        <f>IFERROR(__xludf.DUMMYFUNCTION("""COMPUTED_VALUE"""),0.321305841924398)</f>
        <v>0.3213058419</v>
      </c>
      <c r="N161" s="8">
        <f>IFERROR(__xludf.DUMMYFUNCTION("""COMPUTED_VALUE"""),0.31180811808118)</f>
        <v>0.3118081181</v>
      </c>
      <c r="O161" s="8">
        <f>IFERROR(__xludf.DUMMYFUNCTION("""COMPUTED_VALUE"""),0.235294117647058)</f>
        <v>0.2352941176</v>
      </c>
      <c r="P161" s="8">
        <f>IFERROR(__xludf.DUMMYFUNCTION("""COMPUTED_VALUE"""),0.2)</f>
        <v>0.2</v>
      </c>
      <c r="Q161" s="8">
        <f>IFERROR(__xludf.DUMMYFUNCTION("""COMPUTED_VALUE"""),0.0)</f>
        <v>0</v>
      </c>
      <c r="R161" s="8">
        <f>IFERROR(__xludf.DUMMYFUNCTION("""COMPUTED_VALUE"""),0.0)</f>
        <v>0</v>
      </c>
      <c r="S161" s="8">
        <f>IFERROR(__xludf.DUMMYFUNCTION("""COMPUTED_VALUE"""),0.0)</f>
        <v>0</v>
      </c>
      <c r="T161" s="8">
        <f>IFERROR(__xludf.DUMMYFUNCTION("""COMPUTED_VALUE"""),0.0)</f>
        <v>0</v>
      </c>
      <c r="U161" s="8">
        <f>IFERROR(__xludf.DUMMYFUNCTION("""COMPUTED_VALUE"""),0.0)</f>
        <v>0</v>
      </c>
      <c r="V161" s="8">
        <f>IFERROR(__xludf.DUMMYFUNCTION("""COMPUTED_VALUE"""),0.0)</f>
        <v>0</v>
      </c>
      <c r="W161" s="8">
        <f>IFERROR(__xludf.DUMMYFUNCTION("""COMPUTED_VALUE"""),0.0)</f>
        <v>0</v>
      </c>
      <c r="X161" s="8">
        <f>IFERROR(__xludf.DUMMYFUNCTION("""COMPUTED_VALUE"""),0.0)</f>
        <v>0</v>
      </c>
      <c r="Y161" s="8">
        <f>IFERROR(__xludf.DUMMYFUNCTION("""COMPUTED_VALUE"""),0.0)</f>
        <v>0</v>
      </c>
      <c r="Z161" s="8">
        <f>IFERROR(__xludf.DUMMYFUNCTION("""COMPUTED_VALUE"""),0.0)</f>
        <v>0</v>
      </c>
      <c r="AA161" s="8">
        <f>IFERROR(__xludf.DUMMYFUNCTION("""COMPUTED_VALUE"""),0.0)</f>
        <v>0</v>
      </c>
      <c r="AB161" s="8">
        <f>IFERROR(__xludf.DUMMYFUNCTION("""COMPUTED_VALUE"""),0.0)</f>
        <v>0</v>
      </c>
      <c r="AC161" s="8">
        <f>IFERROR(__xludf.DUMMYFUNCTION("""COMPUTED_VALUE"""),0.0)</f>
        <v>0</v>
      </c>
    </row>
    <row r="162" ht="15.75" customHeight="1">
      <c r="A162" s="6" t="str">
        <f>IFERROR(__xludf.DUMMYFUNCTION("""COMPUTED_VALUE"""),"9236a79ea4f06488372a41ebcc7a4f0fbfc7b1c3")</f>
        <v>9236a79ea4f06488372a41ebcc7a4f0fbfc7b1c3</v>
      </c>
      <c r="B162" s="6" t="str">
        <f>IFERROR(__xludf.DUMMYFUNCTION("""COMPUTED_VALUE"""),"King of Mercenaries")</f>
        <v>King of Mercenaries</v>
      </c>
      <c r="C162" s="6" t="str">
        <f>IFERROR(__xludf.DUMMYFUNCTION("""COMPUTED_VALUE"""),"Suspense or Thriller")</f>
        <v>Suspense or Thriller</v>
      </c>
      <c r="D162" s="11">
        <f>IFERROR(__xludf.DUMMYFUNCTION("""COMPUTED_VALUE"""),50.0)</f>
        <v>50</v>
      </c>
      <c r="E162" s="8">
        <f>IFERROR(__xludf.DUMMYFUNCTION("""COMPUTED_VALUE"""),1.0)</f>
        <v>1</v>
      </c>
      <c r="F162" s="8">
        <f>IFERROR(__xludf.DUMMYFUNCTION("""COMPUTED_VALUE"""),0.4)</f>
        <v>0.4</v>
      </c>
      <c r="G162" s="8">
        <f>IFERROR(__xludf.DUMMYFUNCTION("""COMPUTED_VALUE"""),0.38)</f>
        <v>0.38</v>
      </c>
      <c r="H162" s="8">
        <f>IFERROR(__xludf.DUMMYFUNCTION("""COMPUTED_VALUE"""),0.317073170731707)</f>
        <v>0.3170731707</v>
      </c>
      <c r="I162" s="8">
        <f>IFERROR(__xludf.DUMMYFUNCTION("""COMPUTED_VALUE"""),0.277777777777777)</f>
        <v>0.2777777778</v>
      </c>
      <c r="J162" s="8">
        <f>IFERROR(__xludf.DUMMYFUNCTION("""COMPUTED_VALUE"""),0.225806451612903)</f>
        <v>0.2258064516</v>
      </c>
      <c r="K162" s="8">
        <f>IFERROR(__xludf.DUMMYFUNCTION("""COMPUTED_VALUE"""),0.2)</f>
        <v>0.2</v>
      </c>
      <c r="L162" s="8">
        <f>IFERROR(__xludf.DUMMYFUNCTION("""COMPUTED_VALUE"""),0.0909090909090909)</f>
        <v>0.09090909091</v>
      </c>
      <c r="M162" s="8">
        <f>IFERROR(__xludf.DUMMYFUNCTION("""COMPUTED_VALUE"""),0.105263157894736)</f>
        <v>0.1052631579</v>
      </c>
      <c r="N162" s="8">
        <f>IFERROR(__xludf.DUMMYFUNCTION("""COMPUTED_VALUE"""),0.1)</f>
        <v>0.1</v>
      </c>
      <c r="O162" s="8">
        <f>IFERROR(__xludf.DUMMYFUNCTION("""COMPUTED_VALUE"""),0.0)</f>
        <v>0</v>
      </c>
      <c r="P162" s="8">
        <f>IFERROR(__xludf.DUMMYFUNCTION("""COMPUTED_VALUE"""),0.0)</f>
        <v>0</v>
      </c>
      <c r="Q162" s="8">
        <f>IFERROR(__xludf.DUMMYFUNCTION("""COMPUTED_VALUE"""),0.0)</f>
        <v>0</v>
      </c>
      <c r="R162" s="8">
        <f>IFERROR(__xludf.DUMMYFUNCTION("""COMPUTED_VALUE"""),0.0)</f>
        <v>0</v>
      </c>
      <c r="S162" s="8">
        <f>IFERROR(__xludf.DUMMYFUNCTION("""COMPUTED_VALUE"""),0.0)</f>
        <v>0</v>
      </c>
      <c r="T162" s="8">
        <f>IFERROR(__xludf.DUMMYFUNCTION("""COMPUTED_VALUE"""),0.0)</f>
        <v>0</v>
      </c>
      <c r="U162" s="8">
        <f>IFERROR(__xludf.DUMMYFUNCTION("""COMPUTED_VALUE"""),0.0)</f>
        <v>0</v>
      </c>
      <c r="V162" s="8">
        <f>IFERROR(__xludf.DUMMYFUNCTION("""COMPUTED_VALUE"""),0.0)</f>
        <v>0</v>
      </c>
      <c r="W162" s="8">
        <f>IFERROR(__xludf.DUMMYFUNCTION("""COMPUTED_VALUE"""),0.0)</f>
        <v>0</v>
      </c>
      <c r="X162" s="8">
        <f>IFERROR(__xludf.DUMMYFUNCTION("""COMPUTED_VALUE"""),0.0)</f>
        <v>0</v>
      </c>
      <c r="Y162" s="8">
        <f>IFERROR(__xludf.DUMMYFUNCTION("""COMPUTED_VALUE"""),0.0)</f>
        <v>0</v>
      </c>
      <c r="Z162" s="8">
        <f>IFERROR(__xludf.DUMMYFUNCTION("""COMPUTED_VALUE"""),0.0)</f>
        <v>0</v>
      </c>
      <c r="AA162" s="8">
        <f>IFERROR(__xludf.DUMMYFUNCTION("""COMPUTED_VALUE"""),0.0)</f>
        <v>0</v>
      </c>
      <c r="AB162" s="8">
        <f>IFERROR(__xludf.DUMMYFUNCTION("""COMPUTED_VALUE"""),0.0)</f>
        <v>0</v>
      </c>
      <c r="AC162" s="8">
        <f>IFERROR(__xludf.DUMMYFUNCTION("""COMPUTED_VALUE"""),0.0)</f>
        <v>0</v>
      </c>
    </row>
    <row r="163" ht="15.75" customHeight="1">
      <c r="A163" s="6" t="str">
        <f>IFERROR(__xludf.DUMMYFUNCTION("""COMPUTED_VALUE"""),"94d808231f41a64988f80a2739e6a748f1278c28")</f>
        <v>94d808231f41a64988f80a2739e6a748f1278c28</v>
      </c>
      <c r="B163" s="6" t="str">
        <f>IFERROR(__xludf.DUMMYFUNCTION("""COMPUTED_VALUE"""),"My Amazing Husband's Life")</f>
        <v>My Amazing Husband's Life</v>
      </c>
      <c r="C163" s="6" t="str">
        <f>IFERROR(__xludf.DUMMYFUNCTION("""COMPUTED_VALUE"""),"Drama")</f>
        <v>Drama</v>
      </c>
      <c r="D163" s="11">
        <f>IFERROR(__xludf.DUMMYFUNCTION("""COMPUTED_VALUE"""),284.0)</f>
        <v>284</v>
      </c>
      <c r="E163" s="8">
        <f>IFERROR(__xludf.DUMMYFUNCTION("""COMPUTED_VALUE"""),0.982394366197183)</f>
        <v>0.9823943662</v>
      </c>
      <c r="F163" s="8">
        <f>IFERROR(__xludf.DUMMYFUNCTION("""COMPUTED_VALUE"""),0.577464788732394)</f>
        <v>0.5774647887</v>
      </c>
      <c r="G163" s="8">
        <f>IFERROR(__xludf.DUMMYFUNCTION("""COMPUTED_VALUE"""),0.5)</f>
        <v>0.5</v>
      </c>
      <c r="H163" s="8">
        <f>IFERROR(__xludf.DUMMYFUNCTION("""COMPUTED_VALUE"""),0.478632478632478)</f>
        <v>0.4786324786</v>
      </c>
      <c r="I163" s="8">
        <f>IFERROR(__xludf.DUMMYFUNCTION("""COMPUTED_VALUE"""),0.431924882629108)</f>
        <v>0.4319248826</v>
      </c>
      <c r="J163" s="8">
        <f>IFERROR(__xludf.DUMMYFUNCTION("""COMPUTED_VALUE"""),0.403141361256544)</f>
        <v>0.4031413613</v>
      </c>
      <c r="K163" s="8">
        <f>IFERROR(__xludf.DUMMYFUNCTION("""COMPUTED_VALUE"""),0.378531073446327)</f>
        <v>0.3785310734</v>
      </c>
      <c r="L163" s="8">
        <f>IFERROR(__xludf.DUMMYFUNCTION("""COMPUTED_VALUE"""),0.357615894039735)</f>
        <v>0.357615894</v>
      </c>
      <c r="M163" s="8">
        <f>IFERROR(__xludf.DUMMYFUNCTION("""COMPUTED_VALUE"""),0.335877862595419)</f>
        <v>0.3358778626</v>
      </c>
      <c r="N163" s="8">
        <f>IFERROR(__xludf.DUMMYFUNCTION("""COMPUTED_VALUE"""),0.359649122807017)</f>
        <v>0.3596491228</v>
      </c>
      <c r="O163" s="8">
        <f>IFERROR(__xludf.DUMMYFUNCTION("""COMPUTED_VALUE"""),0.325581395348837)</f>
        <v>0.3255813953</v>
      </c>
      <c r="P163" s="8">
        <f>IFERROR(__xludf.DUMMYFUNCTION("""COMPUTED_VALUE"""),0.27906976744186)</f>
        <v>0.2790697674</v>
      </c>
      <c r="Q163" s="8">
        <f>IFERROR(__xludf.DUMMYFUNCTION("""COMPUTED_VALUE"""),0.0666666666666666)</f>
        <v>0.06666666667</v>
      </c>
      <c r="R163" s="8">
        <f>IFERROR(__xludf.DUMMYFUNCTION("""COMPUTED_VALUE"""),0.0)</f>
        <v>0</v>
      </c>
      <c r="S163" s="8">
        <f>IFERROR(__xludf.DUMMYFUNCTION("""COMPUTED_VALUE"""),0.0)</f>
        <v>0</v>
      </c>
      <c r="T163" s="8">
        <f>IFERROR(__xludf.DUMMYFUNCTION("""COMPUTED_VALUE"""),0.0)</f>
        <v>0</v>
      </c>
      <c r="U163" s="8">
        <f>IFERROR(__xludf.DUMMYFUNCTION("""COMPUTED_VALUE"""),0.0)</f>
        <v>0</v>
      </c>
      <c r="V163" s="8">
        <f>IFERROR(__xludf.DUMMYFUNCTION("""COMPUTED_VALUE"""),0.0)</f>
        <v>0</v>
      </c>
      <c r="W163" s="8">
        <f>IFERROR(__xludf.DUMMYFUNCTION("""COMPUTED_VALUE"""),0.0)</f>
        <v>0</v>
      </c>
      <c r="X163" s="8">
        <f>IFERROR(__xludf.DUMMYFUNCTION("""COMPUTED_VALUE"""),0.0)</f>
        <v>0</v>
      </c>
      <c r="Y163" s="8">
        <f>IFERROR(__xludf.DUMMYFUNCTION("""COMPUTED_VALUE"""),0.0)</f>
        <v>0</v>
      </c>
      <c r="Z163" s="8">
        <f>IFERROR(__xludf.DUMMYFUNCTION("""COMPUTED_VALUE"""),0.0)</f>
        <v>0</v>
      </c>
      <c r="AA163" s="8">
        <f>IFERROR(__xludf.DUMMYFUNCTION("""COMPUTED_VALUE"""),0.0)</f>
        <v>0</v>
      </c>
      <c r="AB163" s="8">
        <f>IFERROR(__xludf.DUMMYFUNCTION("""COMPUTED_VALUE"""),0.0)</f>
        <v>0</v>
      </c>
      <c r="AC163" s="8">
        <f>IFERROR(__xludf.DUMMYFUNCTION("""COMPUTED_VALUE"""),0.0)</f>
        <v>0</v>
      </c>
    </row>
    <row r="164" ht="15.75" customHeight="1">
      <c r="A164" s="6" t="str">
        <f>IFERROR(__xludf.DUMMYFUNCTION("""COMPUTED_VALUE"""),"95cfee76565a1eb0481e08f4f0da75fa4a0cdb74")</f>
        <v>95cfee76565a1eb0481e08f4f0da75fa4a0cdb74</v>
      </c>
      <c r="B164" s="6" t="str">
        <f>IFERROR(__xludf.DUMMYFUNCTION("""COMPUTED_VALUE"""),"Revenge Called Athena")</f>
        <v>Revenge Called Athena</v>
      </c>
      <c r="C164" s="6" t="str">
        <f>IFERROR(__xludf.DUMMYFUNCTION("""COMPUTED_VALUE"""),"Drama")</f>
        <v>Drama</v>
      </c>
      <c r="D164" s="11">
        <f>IFERROR(__xludf.DUMMYFUNCTION("""COMPUTED_VALUE"""),162.0)</f>
        <v>162</v>
      </c>
      <c r="E164" s="8">
        <f>IFERROR(__xludf.DUMMYFUNCTION("""COMPUTED_VALUE"""),0.962962962962962)</f>
        <v>0.962962963</v>
      </c>
      <c r="F164" s="8">
        <f>IFERROR(__xludf.DUMMYFUNCTION("""COMPUTED_VALUE"""),0.691358024691358)</f>
        <v>0.6913580247</v>
      </c>
      <c r="G164" s="8">
        <f>IFERROR(__xludf.DUMMYFUNCTION("""COMPUTED_VALUE"""),0.648148148148148)</f>
        <v>0.6481481481</v>
      </c>
      <c r="H164" s="8">
        <f>IFERROR(__xludf.DUMMYFUNCTION("""COMPUTED_VALUE"""),0.629629629629629)</f>
        <v>0.6296296296</v>
      </c>
      <c r="I164" s="8">
        <f>IFERROR(__xludf.DUMMYFUNCTION("""COMPUTED_VALUE"""),0.611111111111111)</f>
        <v>0.6111111111</v>
      </c>
      <c r="J164" s="8">
        <f>IFERROR(__xludf.DUMMYFUNCTION("""COMPUTED_VALUE"""),0.6)</f>
        <v>0.6</v>
      </c>
      <c r="K164" s="8">
        <f>IFERROR(__xludf.DUMMYFUNCTION("""COMPUTED_VALUE"""),0.56875)</f>
        <v>0.56875</v>
      </c>
      <c r="L164" s="8">
        <f>IFERROR(__xludf.DUMMYFUNCTION("""COMPUTED_VALUE"""),0.53125)</f>
        <v>0.53125</v>
      </c>
      <c r="M164" s="8">
        <f>IFERROR(__xludf.DUMMYFUNCTION("""COMPUTED_VALUE"""),0.515723270440251)</f>
        <v>0.5157232704</v>
      </c>
      <c r="N164" s="8">
        <f>IFERROR(__xludf.DUMMYFUNCTION("""COMPUTED_VALUE"""),0.484076433121019)</f>
        <v>0.4840764331</v>
      </c>
      <c r="O164" s="8">
        <f>IFERROR(__xludf.DUMMYFUNCTION("""COMPUTED_VALUE"""),0.504761904761904)</f>
        <v>0.5047619048</v>
      </c>
      <c r="P164" s="8">
        <f>IFERROR(__xludf.DUMMYFUNCTION("""COMPUTED_VALUE"""),0.294117647058823)</f>
        <v>0.2941176471</v>
      </c>
      <c r="Q164" s="8">
        <f>IFERROR(__xludf.DUMMYFUNCTION("""COMPUTED_VALUE"""),0.24)</f>
        <v>0.24</v>
      </c>
      <c r="R164" s="8">
        <f>IFERROR(__xludf.DUMMYFUNCTION("""COMPUTED_VALUE"""),0.125)</f>
        <v>0.125</v>
      </c>
      <c r="S164" s="8">
        <f>IFERROR(__xludf.DUMMYFUNCTION("""COMPUTED_VALUE"""),0.0)</f>
        <v>0</v>
      </c>
      <c r="T164" s="8">
        <f>IFERROR(__xludf.DUMMYFUNCTION("""COMPUTED_VALUE"""),0.0)</f>
        <v>0</v>
      </c>
      <c r="U164" s="8">
        <f>IFERROR(__xludf.DUMMYFUNCTION("""COMPUTED_VALUE"""),0.0)</f>
        <v>0</v>
      </c>
      <c r="V164" s="8">
        <f>IFERROR(__xludf.DUMMYFUNCTION("""COMPUTED_VALUE"""),0.0)</f>
        <v>0</v>
      </c>
      <c r="W164" s="8">
        <f>IFERROR(__xludf.DUMMYFUNCTION("""COMPUTED_VALUE"""),0.0)</f>
        <v>0</v>
      </c>
      <c r="X164" s="8">
        <f>IFERROR(__xludf.DUMMYFUNCTION("""COMPUTED_VALUE"""),0.0)</f>
        <v>0</v>
      </c>
      <c r="Y164" s="8">
        <f>IFERROR(__xludf.DUMMYFUNCTION("""COMPUTED_VALUE"""),0.0)</f>
        <v>0</v>
      </c>
      <c r="Z164" s="8">
        <f>IFERROR(__xludf.DUMMYFUNCTION("""COMPUTED_VALUE"""),0.0)</f>
        <v>0</v>
      </c>
      <c r="AA164" s="8">
        <f>IFERROR(__xludf.DUMMYFUNCTION("""COMPUTED_VALUE"""),0.0)</f>
        <v>0</v>
      </c>
      <c r="AB164" s="8">
        <f>IFERROR(__xludf.DUMMYFUNCTION("""COMPUTED_VALUE"""),0.0)</f>
        <v>0</v>
      </c>
      <c r="AC164" s="8">
        <f>IFERROR(__xludf.DUMMYFUNCTION("""COMPUTED_VALUE"""),0.0)</f>
        <v>0</v>
      </c>
    </row>
    <row r="165" ht="15.75" customHeight="1">
      <c r="A165" s="6" t="str">
        <f>IFERROR(__xludf.DUMMYFUNCTION("""COMPUTED_VALUE"""),"964c4dbd3e851f0d215e0fc68b9c364303676665")</f>
        <v>964c4dbd3e851f0d215e0fc68b9c364303676665</v>
      </c>
      <c r="B165" s="6" t="str">
        <f>IFERROR(__xludf.DUMMYFUNCTION("""COMPUTED_VALUE"""),"The Governor's Wife")</f>
        <v>The Governor's Wife</v>
      </c>
      <c r="C165" s="6" t="str">
        <f>IFERROR(__xludf.DUMMYFUNCTION("""COMPUTED_VALUE"""),"Romance")</f>
        <v>Romance</v>
      </c>
      <c r="D165" s="11">
        <f>IFERROR(__xludf.DUMMYFUNCTION("""COMPUTED_VALUE"""),40.0)</f>
        <v>40</v>
      </c>
      <c r="E165" s="8">
        <f>IFERROR(__xludf.DUMMYFUNCTION("""COMPUTED_VALUE"""),1.0)</f>
        <v>1</v>
      </c>
      <c r="F165" s="8">
        <f>IFERROR(__xludf.DUMMYFUNCTION("""COMPUTED_VALUE"""),0.7)</f>
        <v>0.7</v>
      </c>
      <c r="G165" s="8">
        <f>IFERROR(__xludf.DUMMYFUNCTION("""COMPUTED_VALUE"""),0.65)</f>
        <v>0.65</v>
      </c>
      <c r="H165" s="8">
        <f>IFERROR(__xludf.DUMMYFUNCTION("""COMPUTED_VALUE"""),0.558823529411764)</f>
        <v>0.5588235294</v>
      </c>
      <c r="I165" s="8">
        <f>IFERROR(__xludf.DUMMYFUNCTION("""COMPUTED_VALUE"""),0.545454545454545)</f>
        <v>0.5454545455</v>
      </c>
      <c r="J165" s="8">
        <f>IFERROR(__xludf.DUMMYFUNCTION("""COMPUTED_VALUE"""),0.555555555555555)</f>
        <v>0.5555555556</v>
      </c>
      <c r="K165" s="8">
        <f>IFERROR(__xludf.DUMMYFUNCTION("""COMPUTED_VALUE"""),0.583333333333333)</f>
        <v>0.5833333333</v>
      </c>
      <c r="L165" s="8">
        <f>IFERROR(__xludf.DUMMYFUNCTION("""COMPUTED_VALUE"""),0.555555555555555)</f>
        <v>0.5555555556</v>
      </c>
      <c r="M165" s="8">
        <f>IFERROR(__xludf.DUMMYFUNCTION("""COMPUTED_VALUE"""),0.428571428571428)</f>
        <v>0.4285714286</v>
      </c>
      <c r="N165" s="8">
        <f>IFERROR(__xludf.DUMMYFUNCTION("""COMPUTED_VALUE"""),0.5)</f>
        <v>0.5</v>
      </c>
      <c r="O165" s="8">
        <f>IFERROR(__xludf.DUMMYFUNCTION("""COMPUTED_VALUE"""),0.25)</f>
        <v>0.25</v>
      </c>
      <c r="P165" s="8">
        <f>IFERROR(__xludf.DUMMYFUNCTION("""COMPUTED_VALUE"""),0.0)</f>
        <v>0</v>
      </c>
      <c r="Q165" s="8">
        <f>IFERROR(__xludf.DUMMYFUNCTION("""COMPUTED_VALUE"""),0.0)</f>
        <v>0</v>
      </c>
      <c r="R165" s="8">
        <f>IFERROR(__xludf.DUMMYFUNCTION("""COMPUTED_VALUE"""),0.0)</f>
        <v>0</v>
      </c>
      <c r="S165" s="8">
        <f>IFERROR(__xludf.DUMMYFUNCTION("""COMPUTED_VALUE"""),0.0)</f>
        <v>0</v>
      </c>
      <c r="T165" s="8">
        <f>IFERROR(__xludf.DUMMYFUNCTION("""COMPUTED_VALUE"""),0.0)</f>
        <v>0</v>
      </c>
      <c r="U165" s="8">
        <f>IFERROR(__xludf.DUMMYFUNCTION("""COMPUTED_VALUE"""),0.0)</f>
        <v>0</v>
      </c>
      <c r="V165" s="8">
        <f>IFERROR(__xludf.DUMMYFUNCTION("""COMPUTED_VALUE"""),0.0)</f>
        <v>0</v>
      </c>
      <c r="W165" s="8">
        <f>IFERROR(__xludf.DUMMYFUNCTION("""COMPUTED_VALUE"""),0.0)</f>
        <v>0</v>
      </c>
      <c r="X165" s="8">
        <f>IFERROR(__xludf.DUMMYFUNCTION("""COMPUTED_VALUE"""),0.0)</f>
        <v>0</v>
      </c>
      <c r="Y165" s="8">
        <f>IFERROR(__xludf.DUMMYFUNCTION("""COMPUTED_VALUE"""),0.0)</f>
        <v>0</v>
      </c>
      <c r="Z165" s="8">
        <f>IFERROR(__xludf.DUMMYFUNCTION("""COMPUTED_VALUE"""),0.0)</f>
        <v>0</v>
      </c>
      <c r="AA165" s="8">
        <f>IFERROR(__xludf.DUMMYFUNCTION("""COMPUTED_VALUE"""),0.0)</f>
        <v>0</v>
      </c>
      <c r="AB165" s="8">
        <f>IFERROR(__xludf.DUMMYFUNCTION("""COMPUTED_VALUE"""),0.0)</f>
        <v>0</v>
      </c>
      <c r="AC165" s="8">
        <f>IFERROR(__xludf.DUMMYFUNCTION("""COMPUTED_VALUE"""),0.0)</f>
        <v>0</v>
      </c>
    </row>
    <row r="166" ht="15.75" customHeight="1">
      <c r="A166" s="6" t="str">
        <f>IFERROR(__xludf.DUMMYFUNCTION("""COMPUTED_VALUE"""),"96f6721dc499b730f42b02d86e640d682f4f665d")</f>
        <v>96f6721dc499b730f42b02d86e640d682f4f665d</v>
      </c>
      <c r="B166" s="6" t="str">
        <f>IFERROR(__xludf.DUMMYFUNCTION("""COMPUTED_VALUE"""),"Last Witch of Swendel")</f>
        <v>Last Witch of Swendel</v>
      </c>
      <c r="C166" s="6" t="str">
        <f>IFERROR(__xludf.DUMMYFUNCTION("""COMPUTED_VALUE"""),"Romantasy")</f>
        <v>Romantasy</v>
      </c>
      <c r="D166" s="11">
        <f>IFERROR(__xludf.DUMMYFUNCTION("""COMPUTED_VALUE"""),783.0)</f>
        <v>783</v>
      </c>
      <c r="E166" s="8">
        <f>IFERROR(__xludf.DUMMYFUNCTION("""COMPUTED_VALUE"""),0.962962962962962)</f>
        <v>0.962962963</v>
      </c>
      <c r="F166" s="8">
        <f>IFERROR(__xludf.DUMMYFUNCTION("""COMPUTED_VALUE"""),0.615581098339719)</f>
        <v>0.6155810983</v>
      </c>
      <c r="G166" s="8">
        <f>IFERROR(__xludf.DUMMYFUNCTION("""COMPUTED_VALUE"""),0.568326947637292)</f>
        <v>0.5683269476</v>
      </c>
      <c r="H166" s="8">
        <f>IFERROR(__xludf.DUMMYFUNCTION("""COMPUTED_VALUE"""),0.528735632183908)</f>
        <v>0.5287356322</v>
      </c>
      <c r="I166" s="8">
        <f>IFERROR(__xludf.DUMMYFUNCTION("""COMPUTED_VALUE"""),0.508301404853129)</f>
        <v>0.5083014049</v>
      </c>
      <c r="J166" s="8">
        <f>IFERROR(__xludf.DUMMYFUNCTION("""COMPUTED_VALUE"""),0.492975734355044)</f>
        <v>0.4929757344</v>
      </c>
      <c r="K166" s="8">
        <f>IFERROR(__xludf.DUMMYFUNCTION("""COMPUTED_VALUE"""),0.476372924648786)</f>
        <v>0.4763729246</v>
      </c>
      <c r="L166" s="8">
        <f>IFERROR(__xludf.DUMMYFUNCTION("""COMPUTED_VALUE"""),0.452107279693486)</f>
        <v>0.4521072797</v>
      </c>
      <c r="M166" s="8">
        <f>IFERROR(__xludf.DUMMYFUNCTION("""COMPUTED_VALUE"""),0.448275862068965)</f>
        <v>0.4482758621</v>
      </c>
      <c r="N166" s="8">
        <f>IFERROR(__xludf.DUMMYFUNCTION("""COMPUTED_VALUE"""),0.439897698209718)</f>
        <v>0.4398976982</v>
      </c>
      <c r="O166" s="8">
        <f>IFERROR(__xludf.DUMMYFUNCTION("""COMPUTED_VALUE"""),0.39386189258312)</f>
        <v>0.3938618926</v>
      </c>
      <c r="P166" s="8">
        <f>IFERROR(__xludf.DUMMYFUNCTION("""COMPUTED_VALUE"""),0.298200514138817)</f>
        <v>0.2982005141</v>
      </c>
      <c r="Q166" s="8">
        <f>IFERROR(__xludf.DUMMYFUNCTION("""COMPUTED_VALUE"""),0.263779527559055)</f>
        <v>0.2637795276</v>
      </c>
      <c r="R166" s="8">
        <f>IFERROR(__xludf.DUMMYFUNCTION("""COMPUTED_VALUE"""),0.262458471760797)</f>
        <v>0.2624584718</v>
      </c>
      <c r="S166" s="8">
        <f>IFERROR(__xludf.DUMMYFUNCTION("""COMPUTED_VALUE"""),0.181818181818181)</f>
        <v>0.1818181818</v>
      </c>
      <c r="T166" s="8">
        <f>IFERROR(__xludf.DUMMYFUNCTION("""COMPUTED_VALUE"""),0.15)</f>
        <v>0.15</v>
      </c>
      <c r="U166" s="8">
        <f>IFERROR(__xludf.DUMMYFUNCTION("""COMPUTED_VALUE"""),0.130177514792899)</f>
        <v>0.1301775148</v>
      </c>
      <c r="V166" s="8">
        <f>IFERROR(__xludf.DUMMYFUNCTION("""COMPUTED_VALUE"""),0.104477611940298)</f>
        <v>0.1044776119</v>
      </c>
      <c r="W166" s="8">
        <f>IFERROR(__xludf.DUMMYFUNCTION("""COMPUTED_VALUE"""),0.074074074074074)</f>
        <v>0.07407407407</v>
      </c>
      <c r="X166" s="8">
        <f>IFERROR(__xludf.DUMMYFUNCTION("""COMPUTED_VALUE"""),0.0)</f>
        <v>0</v>
      </c>
      <c r="Y166" s="8">
        <f>IFERROR(__xludf.DUMMYFUNCTION("""COMPUTED_VALUE"""),0.0)</f>
        <v>0</v>
      </c>
      <c r="Z166" s="8">
        <f>IFERROR(__xludf.DUMMYFUNCTION("""COMPUTED_VALUE"""),0.0)</f>
        <v>0</v>
      </c>
      <c r="AA166" s="8">
        <f>IFERROR(__xludf.DUMMYFUNCTION("""COMPUTED_VALUE"""),0.0)</f>
        <v>0</v>
      </c>
      <c r="AB166" s="8">
        <f>IFERROR(__xludf.DUMMYFUNCTION("""COMPUTED_VALUE"""),0.0)</f>
        <v>0</v>
      </c>
      <c r="AC166" s="8">
        <f>IFERROR(__xludf.DUMMYFUNCTION("""COMPUTED_VALUE"""),0.0)</f>
        <v>0</v>
      </c>
    </row>
    <row r="167" ht="15.75" customHeight="1">
      <c r="A167" s="6" t="str">
        <f>IFERROR(__xludf.DUMMYFUNCTION("""COMPUTED_VALUE"""),"97bf3d3427830d8b1bc0c5929b0c0832cbf02a25")</f>
        <v>97bf3d3427830d8b1bc0c5929b0c0832cbf02a25</v>
      </c>
      <c r="B167" s="6" t="str">
        <f>IFERROR(__xludf.DUMMYFUNCTION("""COMPUTED_VALUE"""),"The Miraculous Physician")</f>
        <v>The Miraculous Physician</v>
      </c>
      <c r="C167" s="6" t="str">
        <f>IFERROR(__xludf.DUMMYFUNCTION("""COMPUTED_VALUE"""),"System and Superpower")</f>
        <v>System and Superpower</v>
      </c>
      <c r="D167" s="11">
        <f>IFERROR(__xludf.DUMMYFUNCTION("""COMPUTED_VALUE"""),117.0)</f>
        <v>117</v>
      </c>
      <c r="E167" s="8">
        <f>IFERROR(__xludf.DUMMYFUNCTION("""COMPUTED_VALUE"""),0.982905982905982)</f>
        <v>0.9829059829</v>
      </c>
      <c r="F167" s="8">
        <f>IFERROR(__xludf.DUMMYFUNCTION("""COMPUTED_VALUE"""),0.538461538461538)</f>
        <v>0.5384615385</v>
      </c>
      <c r="G167" s="8">
        <f>IFERROR(__xludf.DUMMYFUNCTION("""COMPUTED_VALUE"""),0.444444444444444)</f>
        <v>0.4444444444</v>
      </c>
      <c r="H167" s="8">
        <f>IFERROR(__xludf.DUMMYFUNCTION("""COMPUTED_VALUE"""),0.348623853211009)</f>
        <v>0.3486238532</v>
      </c>
      <c r="I167" s="8">
        <f>IFERROR(__xludf.DUMMYFUNCTION("""COMPUTED_VALUE"""),0.317757009345794)</f>
        <v>0.3177570093</v>
      </c>
      <c r="J167" s="8">
        <f>IFERROR(__xludf.DUMMYFUNCTION("""COMPUTED_VALUE"""),0.274509803921568)</f>
        <v>0.2745098039</v>
      </c>
      <c r="K167" s="8">
        <f>IFERROR(__xludf.DUMMYFUNCTION("""COMPUTED_VALUE"""),0.255102040816326)</f>
        <v>0.2551020408</v>
      </c>
      <c r="L167" s="8">
        <f>IFERROR(__xludf.DUMMYFUNCTION("""COMPUTED_VALUE"""),0.216867469879518)</f>
        <v>0.2168674699</v>
      </c>
      <c r="M167" s="8">
        <f>IFERROR(__xludf.DUMMYFUNCTION("""COMPUTED_VALUE"""),0.184615384615384)</f>
        <v>0.1846153846</v>
      </c>
      <c r="N167" s="8">
        <f>IFERROR(__xludf.DUMMYFUNCTION("""COMPUTED_VALUE"""),0.105263157894736)</f>
        <v>0.1052631579</v>
      </c>
      <c r="O167" s="8">
        <f>IFERROR(__xludf.DUMMYFUNCTION("""COMPUTED_VALUE"""),0.666666666666666)</f>
        <v>0.6666666667</v>
      </c>
      <c r="P167" s="8">
        <f>IFERROR(__xludf.DUMMYFUNCTION("""COMPUTED_VALUE"""),0.666666666666666)</f>
        <v>0.6666666667</v>
      </c>
      <c r="Q167" s="8">
        <f>IFERROR(__xludf.DUMMYFUNCTION("""COMPUTED_VALUE"""),0.0)</f>
        <v>0</v>
      </c>
      <c r="R167" s="8">
        <f>IFERROR(__xludf.DUMMYFUNCTION("""COMPUTED_VALUE"""),0.0)</f>
        <v>0</v>
      </c>
      <c r="S167" s="8">
        <f>IFERROR(__xludf.DUMMYFUNCTION("""COMPUTED_VALUE"""),0.0)</f>
        <v>0</v>
      </c>
      <c r="T167" s="8">
        <f>IFERROR(__xludf.DUMMYFUNCTION("""COMPUTED_VALUE"""),0.0)</f>
        <v>0</v>
      </c>
      <c r="U167" s="8">
        <f>IFERROR(__xludf.DUMMYFUNCTION("""COMPUTED_VALUE"""),0.0)</f>
        <v>0</v>
      </c>
      <c r="V167" s="8">
        <f>IFERROR(__xludf.DUMMYFUNCTION("""COMPUTED_VALUE"""),0.0)</f>
        <v>0</v>
      </c>
      <c r="W167" s="8">
        <f>IFERROR(__xludf.DUMMYFUNCTION("""COMPUTED_VALUE"""),0.0)</f>
        <v>0</v>
      </c>
      <c r="X167" s="8">
        <f>IFERROR(__xludf.DUMMYFUNCTION("""COMPUTED_VALUE"""),0.0)</f>
        <v>0</v>
      </c>
      <c r="Y167" s="8">
        <f>IFERROR(__xludf.DUMMYFUNCTION("""COMPUTED_VALUE"""),0.0)</f>
        <v>0</v>
      </c>
      <c r="Z167" s="8">
        <f>IFERROR(__xludf.DUMMYFUNCTION("""COMPUTED_VALUE"""),0.0)</f>
        <v>0</v>
      </c>
      <c r="AA167" s="8">
        <f>IFERROR(__xludf.DUMMYFUNCTION("""COMPUTED_VALUE"""),0.0)</f>
        <v>0</v>
      </c>
      <c r="AB167" s="8">
        <f>IFERROR(__xludf.DUMMYFUNCTION("""COMPUTED_VALUE"""),0.0)</f>
        <v>0</v>
      </c>
      <c r="AC167" s="8">
        <f>IFERROR(__xludf.DUMMYFUNCTION("""COMPUTED_VALUE"""),0.0)</f>
        <v>0</v>
      </c>
    </row>
    <row r="168" ht="15.75" customHeight="1">
      <c r="A168" s="6" t="str">
        <f>IFERROR(__xludf.DUMMYFUNCTION("""COMPUTED_VALUE"""),"97d2593a35303e42da5da630e9d8848fa086fc93")</f>
        <v>97d2593a35303e42da5da630e9d8848fa086fc93</v>
      </c>
      <c r="B168" s="6" t="str">
        <f>IFERROR(__xludf.DUMMYFUNCTION("""COMPUTED_VALUE"""),"Spying on My Rebel Alpha")</f>
        <v>Spying on My Rebel Alpha</v>
      </c>
      <c r="C168" s="6" t="str">
        <f>IFERROR(__xludf.DUMMYFUNCTION("""COMPUTED_VALUE"""),"Romantasy")</f>
        <v>Romantasy</v>
      </c>
      <c r="D168" s="11">
        <f>IFERROR(__xludf.DUMMYFUNCTION("""COMPUTED_VALUE"""),229.0)</f>
        <v>229</v>
      </c>
      <c r="E168" s="8">
        <f>IFERROR(__xludf.DUMMYFUNCTION("""COMPUTED_VALUE"""),0.965065502183406)</f>
        <v>0.9650655022</v>
      </c>
      <c r="F168" s="8">
        <f>IFERROR(__xludf.DUMMYFUNCTION("""COMPUTED_VALUE"""),0.56768558951965)</f>
        <v>0.5676855895</v>
      </c>
      <c r="G168" s="8">
        <f>IFERROR(__xludf.DUMMYFUNCTION("""COMPUTED_VALUE"""),0.510917030567685)</f>
        <v>0.5109170306</v>
      </c>
      <c r="H168" s="8">
        <f>IFERROR(__xludf.DUMMYFUNCTION("""COMPUTED_VALUE"""),0.449781659388646)</f>
        <v>0.4497816594</v>
      </c>
      <c r="I168" s="8">
        <f>IFERROR(__xludf.DUMMYFUNCTION("""COMPUTED_VALUE"""),0.393013100436681)</f>
        <v>0.3930131004</v>
      </c>
      <c r="J168" s="8">
        <f>IFERROR(__xludf.DUMMYFUNCTION("""COMPUTED_VALUE"""),0.37117903930131)</f>
        <v>0.3711790393</v>
      </c>
      <c r="K168" s="8">
        <f>IFERROR(__xludf.DUMMYFUNCTION("""COMPUTED_VALUE"""),0.362445414847161)</f>
        <v>0.3624454148</v>
      </c>
      <c r="L168" s="8">
        <f>IFERROR(__xludf.DUMMYFUNCTION("""COMPUTED_VALUE"""),0.353711790393013)</f>
        <v>0.3537117904</v>
      </c>
      <c r="M168" s="8">
        <f>IFERROR(__xludf.DUMMYFUNCTION("""COMPUTED_VALUE"""),0.339207048458149)</f>
        <v>0.3392070485</v>
      </c>
      <c r="N168" s="8">
        <f>IFERROR(__xludf.DUMMYFUNCTION("""COMPUTED_VALUE"""),0.32)</f>
        <v>0.32</v>
      </c>
      <c r="O168" s="8">
        <f>IFERROR(__xludf.DUMMYFUNCTION("""COMPUTED_VALUE"""),0.287671232876712)</f>
        <v>0.2876712329</v>
      </c>
      <c r="P168" s="8">
        <f>IFERROR(__xludf.DUMMYFUNCTION("""COMPUTED_VALUE"""),0.188888888888888)</f>
        <v>0.1888888889</v>
      </c>
      <c r="Q168" s="8">
        <f>IFERROR(__xludf.DUMMYFUNCTION("""COMPUTED_VALUE"""),0.166666666666666)</f>
        <v>0.1666666667</v>
      </c>
      <c r="R168" s="8">
        <f>IFERROR(__xludf.DUMMYFUNCTION("""COMPUTED_VALUE"""),0.0)</f>
        <v>0</v>
      </c>
      <c r="S168" s="8">
        <f>IFERROR(__xludf.DUMMYFUNCTION("""COMPUTED_VALUE"""),0.0)</f>
        <v>0</v>
      </c>
      <c r="T168" s="8">
        <f>IFERROR(__xludf.DUMMYFUNCTION("""COMPUTED_VALUE"""),0.0)</f>
        <v>0</v>
      </c>
      <c r="U168" s="8">
        <f>IFERROR(__xludf.DUMMYFUNCTION("""COMPUTED_VALUE"""),0.0)</f>
        <v>0</v>
      </c>
      <c r="V168" s="8">
        <f>IFERROR(__xludf.DUMMYFUNCTION("""COMPUTED_VALUE"""),0.0)</f>
        <v>0</v>
      </c>
      <c r="W168" s="8">
        <f>IFERROR(__xludf.DUMMYFUNCTION("""COMPUTED_VALUE"""),0.0)</f>
        <v>0</v>
      </c>
      <c r="X168" s="8">
        <f>IFERROR(__xludf.DUMMYFUNCTION("""COMPUTED_VALUE"""),0.0)</f>
        <v>0</v>
      </c>
      <c r="Y168" s="8">
        <f>IFERROR(__xludf.DUMMYFUNCTION("""COMPUTED_VALUE"""),0.0)</f>
        <v>0</v>
      </c>
      <c r="Z168" s="8">
        <f>IFERROR(__xludf.DUMMYFUNCTION("""COMPUTED_VALUE"""),0.0)</f>
        <v>0</v>
      </c>
      <c r="AA168" s="8">
        <f>IFERROR(__xludf.DUMMYFUNCTION("""COMPUTED_VALUE"""),0.0)</f>
        <v>0</v>
      </c>
      <c r="AB168" s="8">
        <f>IFERROR(__xludf.DUMMYFUNCTION("""COMPUTED_VALUE"""),0.0)</f>
        <v>0</v>
      </c>
      <c r="AC168" s="8">
        <f>IFERROR(__xludf.DUMMYFUNCTION("""COMPUTED_VALUE"""),0.0)</f>
        <v>0</v>
      </c>
    </row>
    <row r="169" ht="15.75" customHeight="1">
      <c r="A169" s="6" t="str">
        <f>IFERROR(__xludf.DUMMYFUNCTION("""COMPUTED_VALUE"""),"9897c34ca7143cb319fd56943504e8f8be1550c2")</f>
        <v>9897c34ca7143cb319fd56943504e8f8be1550c2</v>
      </c>
      <c r="B169" s="6" t="str">
        <f>IFERROR(__xludf.DUMMYFUNCTION("""COMPUTED_VALUE"""),"Priced Royal Kiss")</f>
        <v>Priced Royal Kiss</v>
      </c>
      <c r="C169" s="6" t="str">
        <f>IFERROR(__xludf.DUMMYFUNCTION("""COMPUTED_VALUE"""),"Drama")</f>
        <v>Drama</v>
      </c>
      <c r="D169" s="11">
        <f>IFERROR(__xludf.DUMMYFUNCTION("""COMPUTED_VALUE"""),12.0)</f>
        <v>12</v>
      </c>
      <c r="E169" s="8">
        <f>IFERROR(__xludf.DUMMYFUNCTION("""COMPUTED_VALUE"""),1.0)</f>
        <v>1</v>
      </c>
      <c r="F169" s="8">
        <f>IFERROR(__xludf.DUMMYFUNCTION("""COMPUTED_VALUE"""),0.666666666666666)</f>
        <v>0.6666666667</v>
      </c>
      <c r="G169" s="8">
        <f>IFERROR(__xludf.DUMMYFUNCTION("""COMPUTED_VALUE"""),0.666666666666666)</f>
        <v>0.6666666667</v>
      </c>
      <c r="H169" s="8">
        <f>IFERROR(__xludf.DUMMYFUNCTION("""COMPUTED_VALUE"""),0.666666666666666)</f>
        <v>0.6666666667</v>
      </c>
      <c r="I169" s="8">
        <f>IFERROR(__xludf.DUMMYFUNCTION("""COMPUTED_VALUE"""),0.636363636363636)</f>
        <v>0.6363636364</v>
      </c>
      <c r="J169" s="8">
        <f>IFERROR(__xludf.DUMMYFUNCTION("""COMPUTED_VALUE"""),0.636363636363636)</f>
        <v>0.6363636364</v>
      </c>
      <c r="K169" s="8">
        <f>IFERROR(__xludf.DUMMYFUNCTION("""COMPUTED_VALUE"""),0.636363636363636)</f>
        <v>0.6363636364</v>
      </c>
      <c r="L169" s="8">
        <f>IFERROR(__xludf.DUMMYFUNCTION("""COMPUTED_VALUE"""),0.636363636363636)</f>
        <v>0.6363636364</v>
      </c>
      <c r="M169" s="8">
        <f>IFERROR(__xludf.DUMMYFUNCTION("""COMPUTED_VALUE"""),0.636363636363636)</f>
        <v>0.6363636364</v>
      </c>
      <c r="N169" s="8">
        <f>IFERROR(__xludf.DUMMYFUNCTION("""COMPUTED_VALUE"""),0.6)</f>
        <v>0.6</v>
      </c>
      <c r="O169" s="8">
        <f>IFERROR(__xludf.DUMMYFUNCTION("""COMPUTED_VALUE"""),0.571428571428571)</f>
        <v>0.5714285714</v>
      </c>
      <c r="P169" s="8">
        <f>IFERROR(__xludf.DUMMYFUNCTION("""COMPUTED_VALUE"""),0.571428571428571)</f>
        <v>0.5714285714</v>
      </c>
      <c r="Q169" s="8">
        <f>IFERROR(__xludf.DUMMYFUNCTION("""COMPUTED_VALUE"""),0.428571428571428)</f>
        <v>0.4285714286</v>
      </c>
      <c r="R169" s="8">
        <f>IFERROR(__xludf.DUMMYFUNCTION("""COMPUTED_VALUE"""),0.285714285714285)</f>
        <v>0.2857142857</v>
      </c>
      <c r="S169" s="8">
        <f>IFERROR(__xludf.DUMMYFUNCTION("""COMPUTED_VALUE"""),0.25)</f>
        <v>0.25</v>
      </c>
      <c r="T169" s="8">
        <f>IFERROR(__xludf.DUMMYFUNCTION("""COMPUTED_VALUE"""),0.333333333333333)</f>
        <v>0.3333333333</v>
      </c>
      <c r="U169" s="8">
        <f>IFERROR(__xludf.DUMMYFUNCTION("""COMPUTED_VALUE"""),0.0)</f>
        <v>0</v>
      </c>
      <c r="V169" s="8">
        <f>IFERROR(__xludf.DUMMYFUNCTION("""COMPUTED_VALUE"""),0.0)</f>
        <v>0</v>
      </c>
      <c r="W169" s="8">
        <f>IFERROR(__xludf.DUMMYFUNCTION("""COMPUTED_VALUE"""),0.0)</f>
        <v>0</v>
      </c>
      <c r="X169" s="8">
        <f>IFERROR(__xludf.DUMMYFUNCTION("""COMPUTED_VALUE"""),0.0)</f>
        <v>0</v>
      </c>
      <c r="Y169" s="8">
        <f>IFERROR(__xludf.DUMMYFUNCTION("""COMPUTED_VALUE"""),0.0)</f>
        <v>0</v>
      </c>
      <c r="Z169" s="8">
        <f>IFERROR(__xludf.DUMMYFUNCTION("""COMPUTED_VALUE"""),0.0)</f>
        <v>0</v>
      </c>
      <c r="AA169" s="8">
        <f>IFERROR(__xludf.DUMMYFUNCTION("""COMPUTED_VALUE"""),0.0)</f>
        <v>0</v>
      </c>
      <c r="AB169" s="8">
        <f>IFERROR(__xludf.DUMMYFUNCTION("""COMPUTED_VALUE"""),0.0)</f>
        <v>0</v>
      </c>
      <c r="AC169" s="8">
        <f>IFERROR(__xludf.DUMMYFUNCTION("""COMPUTED_VALUE"""),0.0)</f>
        <v>0</v>
      </c>
    </row>
    <row r="170" ht="15.75" customHeight="1">
      <c r="A170" s="6" t="str">
        <f>IFERROR(__xludf.DUMMYFUNCTION("""COMPUTED_VALUE"""),"9b25cb8fec3919f6398cf69f6cec44382a44749e")</f>
        <v>9b25cb8fec3919f6398cf69f6cec44382a44749e</v>
      </c>
      <c r="B170" s="6" t="str">
        <f>IFERROR(__xludf.DUMMYFUNCTION("""COMPUTED_VALUE"""),"The Immortal's Mark")</f>
        <v>The Immortal's Mark</v>
      </c>
      <c r="C170" s="6" t="str">
        <f>IFERROR(__xludf.DUMMYFUNCTION("""COMPUTED_VALUE"""),"Romantasy")</f>
        <v>Romantasy</v>
      </c>
      <c r="D170" s="11">
        <f>IFERROR(__xludf.DUMMYFUNCTION("""COMPUTED_VALUE"""),112.0)</f>
        <v>112</v>
      </c>
      <c r="E170" s="8">
        <f>IFERROR(__xludf.DUMMYFUNCTION("""COMPUTED_VALUE"""),1.0)</f>
        <v>1</v>
      </c>
      <c r="F170" s="8">
        <f>IFERROR(__xludf.DUMMYFUNCTION("""COMPUTED_VALUE"""),0.508928571428571)</f>
        <v>0.5089285714</v>
      </c>
      <c r="G170" s="8">
        <f>IFERROR(__xludf.DUMMYFUNCTION("""COMPUTED_VALUE"""),0.392857142857142)</f>
        <v>0.3928571429</v>
      </c>
      <c r="H170" s="8">
        <f>IFERROR(__xludf.DUMMYFUNCTION("""COMPUTED_VALUE"""),0.293577981651376)</f>
        <v>0.2935779817</v>
      </c>
      <c r="I170" s="8">
        <f>IFERROR(__xludf.DUMMYFUNCTION("""COMPUTED_VALUE"""),0.238532110091743)</f>
        <v>0.2385321101</v>
      </c>
      <c r="J170" s="8">
        <f>IFERROR(__xludf.DUMMYFUNCTION("""COMPUTED_VALUE"""),0.220183486238532)</f>
        <v>0.2201834862</v>
      </c>
      <c r="K170" s="8">
        <f>IFERROR(__xludf.DUMMYFUNCTION("""COMPUTED_VALUE"""),0.194444444444444)</f>
        <v>0.1944444444</v>
      </c>
      <c r="L170" s="8">
        <f>IFERROR(__xludf.DUMMYFUNCTION("""COMPUTED_VALUE"""),0.194444444444444)</f>
        <v>0.1944444444</v>
      </c>
      <c r="M170" s="8">
        <f>IFERROR(__xludf.DUMMYFUNCTION("""COMPUTED_VALUE"""),0.194444444444444)</f>
        <v>0.1944444444</v>
      </c>
      <c r="N170" s="8">
        <f>IFERROR(__xludf.DUMMYFUNCTION("""COMPUTED_VALUE"""),0.185185185185185)</f>
        <v>0.1851851852</v>
      </c>
      <c r="O170" s="8">
        <f>IFERROR(__xludf.DUMMYFUNCTION("""COMPUTED_VALUE"""),0.173076923076923)</f>
        <v>0.1730769231</v>
      </c>
      <c r="P170" s="8">
        <f>IFERROR(__xludf.DUMMYFUNCTION("""COMPUTED_VALUE"""),0.103092783505154)</f>
        <v>0.1030927835</v>
      </c>
      <c r="Q170" s="8">
        <f>IFERROR(__xludf.DUMMYFUNCTION("""COMPUTED_VALUE"""),0.0588235294117647)</f>
        <v>0.05882352941</v>
      </c>
      <c r="R170" s="8">
        <f>IFERROR(__xludf.DUMMYFUNCTION("""COMPUTED_VALUE"""),0.0571428571428571)</f>
        <v>0.05714285714</v>
      </c>
      <c r="S170" s="8">
        <f>IFERROR(__xludf.DUMMYFUNCTION("""COMPUTED_VALUE"""),0.0434782608695652)</f>
        <v>0.04347826087</v>
      </c>
      <c r="T170" s="8">
        <f>IFERROR(__xludf.DUMMYFUNCTION("""COMPUTED_VALUE"""),0.0714285714285714)</f>
        <v>0.07142857143</v>
      </c>
      <c r="U170" s="8">
        <f>IFERROR(__xludf.DUMMYFUNCTION("""COMPUTED_VALUE"""),0.25)</f>
        <v>0.25</v>
      </c>
      <c r="V170" s="8">
        <f>IFERROR(__xludf.DUMMYFUNCTION("""COMPUTED_VALUE"""),0.0)</f>
        <v>0</v>
      </c>
      <c r="W170" s="8">
        <f>IFERROR(__xludf.DUMMYFUNCTION("""COMPUTED_VALUE"""),0.0)</f>
        <v>0</v>
      </c>
      <c r="X170" s="8">
        <f>IFERROR(__xludf.DUMMYFUNCTION("""COMPUTED_VALUE"""),0.0)</f>
        <v>0</v>
      </c>
      <c r="Y170" s="8">
        <f>IFERROR(__xludf.DUMMYFUNCTION("""COMPUTED_VALUE"""),0.0)</f>
        <v>0</v>
      </c>
      <c r="Z170" s="8">
        <f>IFERROR(__xludf.DUMMYFUNCTION("""COMPUTED_VALUE"""),0.0)</f>
        <v>0</v>
      </c>
      <c r="AA170" s="8">
        <f>IFERROR(__xludf.DUMMYFUNCTION("""COMPUTED_VALUE"""),0.0)</f>
        <v>0</v>
      </c>
      <c r="AB170" s="8">
        <f>IFERROR(__xludf.DUMMYFUNCTION("""COMPUTED_VALUE"""),0.0)</f>
        <v>0</v>
      </c>
      <c r="AC170" s="8">
        <f>IFERROR(__xludf.DUMMYFUNCTION("""COMPUTED_VALUE"""),0.0)</f>
        <v>0</v>
      </c>
    </row>
    <row r="171" ht="15.75" customHeight="1">
      <c r="A171" s="6" t="str">
        <f>IFERROR(__xludf.DUMMYFUNCTION("""COMPUTED_VALUE"""),"9c5a320e8591b0aad996347bc17f53479097ac00")</f>
        <v>9c5a320e8591b0aad996347bc17f53479097ac00</v>
      </c>
      <c r="B171" s="6" t="str">
        <f>IFERROR(__xludf.DUMMYFUNCTION("""COMPUTED_VALUE"""),"Dad's a Billionaire")</f>
        <v>Dad's a Billionaire</v>
      </c>
      <c r="C171" s="6" t="str">
        <f>IFERROR(__xludf.DUMMYFUNCTION("""COMPUTED_VALUE"""),"Romance")</f>
        <v>Romance</v>
      </c>
      <c r="D171" s="11">
        <f>IFERROR(__xludf.DUMMYFUNCTION("""COMPUTED_VALUE"""),12.0)</f>
        <v>12</v>
      </c>
      <c r="E171" s="8">
        <f>IFERROR(__xludf.DUMMYFUNCTION("""COMPUTED_VALUE"""),1.0)</f>
        <v>1</v>
      </c>
      <c r="F171" s="8">
        <f>IFERROR(__xludf.DUMMYFUNCTION("""COMPUTED_VALUE"""),0.0833333333333333)</f>
        <v>0.08333333333</v>
      </c>
      <c r="G171" s="8">
        <f>IFERROR(__xludf.DUMMYFUNCTION("""COMPUTED_VALUE"""),0.0)</f>
        <v>0</v>
      </c>
      <c r="H171" s="8">
        <f>IFERROR(__xludf.DUMMYFUNCTION("""COMPUTED_VALUE"""),0.0)</f>
        <v>0</v>
      </c>
      <c r="I171" s="8">
        <f>IFERROR(__xludf.DUMMYFUNCTION("""COMPUTED_VALUE"""),0.0)</f>
        <v>0</v>
      </c>
      <c r="J171" s="8">
        <f>IFERROR(__xludf.DUMMYFUNCTION("""COMPUTED_VALUE"""),0.0)</f>
        <v>0</v>
      </c>
      <c r="K171" s="8">
        <f>IFERROR(__xludf.DUMMYFUNCTION("""COMPUTED_VALUE"""),0.0)</f>
        <v>0</v>
      </c>
      <c r="L171" s="8">
        <f>IFERROR(__xludf.DUMMYFUNCTION("""COMPUTED_VALUE"""),0.0)</f>
        <v>0</v>
      </c>
      <c r="M171" s="8">
        <f>IFERROR(__xludf.DUMMYFUNCTION("""COMPUTED_VALUE"""),0.0)</f>
        <v>0</v>
      </c>
      <c r="N171" s="8">
        <f>IFERROR(__xludf.DUMMYFUNCTION("""COMPUTED_VALUE"""),0.0)</f>
        <v>0</v>
      </c>
      <c r="O171" s="8">
        <f>IFERROR(__xludf.DUMMYFUNCTION("""COMPUTED_VALUE"""),0.0)</f>
        <v>0</v>
      </c>
      <c r="P171" s="8">
        <f>IFERROR(__xludf.DUMMYFUNCTION("""COMPUTED_VALUE"""),0.0)</f>
        <v>0</v>
      </c>
      <c r="Q171" s="8">
        <f>IFERROR(__xludf.DUMMYFUNCTION("""COMPUTED_VALUE"""),0.0)</f>
        <v>0</v>
      </c>
      <c r="R171" s="8">
        <f>IFERROR(__xludf.DUMMYFUNCTION("""COMPUTED_VALUE"""),0.0)</f>
        <v>0</v>
      </c>
      <c r="S171" s="8">
        <f>IFERROR(__xludf.DUMMYFUNCTION("""COMPUTED_VALUE"""),0.0)</f>
        <v>0</v>
      </c>
      <c r="T171" s="8">
        <f>IFERROR(__xludf.DUMMYFUNCTION("""COMPUTED_VALUE"""),0.0)</f>
        <v>0</v>
      </c>
      <c r="U171" s="8">
        <f>IFERROR(__xludf.DUMMYFUNCTION("""COMPUTED_VALUE"""),0.0)</f>
        <v>0</v>
      </c>
      <c r="V171" s="8">
        <f>IFERROR(__xludf.DUMMYFUNCTION("""COMPUTED_VALUE"""),0.0)</f>
        <v>0</v>
      </c>
      <c r="W171" s="8">
        <f>IFERROR(__xludf.DUMMYFUNCTION("""COMPUTED_VALUE"""),0.0)</f>
        <v>0</v>
      </c>
      <c r="X171" s="8">
        <f>IFERROR(__xludf.DUMMYFUNCTION("""COMPUTED_VALUE"""),0.0)</f>
        <v>0</v>
      </c>
      <c r="Y171" s="8">
        <f>IFERROR(__xludf.DUMMYFUNCTION("""COMPUTED_VALUE"""),0.0)</f>
        <v>0</v>
      </c>
      <c r="Z171" s="8">
        <f>IFERROR(__xludf.DUMMYFUNCTION("""COMPUTED_VALUE"""),0.0)</f>
        <v>0</v>
      </c>
      <c r="AA171" s="8">
        <f>IFERROR(__xludf.DUMMYFUNCTION("""COMPUTED_VALUE"""),0.0)</f>
        <v>0</v>
      </c>
      <c r="AB171" s="8">
        <f>IFERROR(__xludf.DUMMYFUNCTION("""COMPUTED_VALUE"""),0.0)</f>
        <v>0</v>
      </c>
      <c r="AC171" s="8">
        <f>IFERROR(__xludf.DUMMYFUNCTION("""COMPUTED_VALUE"""),0.0)</f>
        <v>0</v>
      </c>
    </row>
    <row r="172" ht="15.75" customHeight="1">
      <c r="A172" s="6" t="str">
        <f>IFERROR(__xludf.DUMMYFUNCTION("""COMPUTED_VALUE"""),"9d3f3024e967ac2c104ada98aa10c481cd0f9e38")</f>
        <v>9d3f3024e967ac2c104ada98aa10c481cd0f9e38</v>
      </c>
      <c r="B172" s="6" t="str">
        <f>IFERROR(__xludf.DUMMYFUNCTION("""COMPUTED_VALUE"""),"The Wrong Mrs. Carter")</f>
        <v>The Wrong Mrs. Carter</v>
      </c>
      <c r="C172" s="6" t="str">
        <f>IFERROR(__xludf.DUMMYFUNCTION("""COMPUTED_VALUE"""),"Romance")</f>
        <v>Romance</v>
      </c>
      <c r="D172" s="11">
        <f>IFERROR(__xludf.DUMMYFUNCTION("""COMPUTED_VALUE"""),7.0)</f>
        <v>7</v>
      </c>
      <c r="E172" s="8">
        <f>IFERROR(__xludf.DUMMYFUNCTION("""COMPUTED_VALUE"""),0.857142857142857)</f>
        <v>0.8571428571</v>
      </c>
      <c r="F172" s="8">
        <f>IFERROR(__xludf.DUMMYFUNCTION("""COMPUTED_VALUE"""),0.857142857142857)</f>
        <v>0.8571428571</v>
      </c>
      <c r="G172" s="8">
        <f>IFERROR(__xludf.DUMMYFUNCTION("""COMPUTED_VALUE"""),0.714285714285714)</f>
        <v>0.7142857143</v>
      </c>
      <c r="H172" s="8">
        <f>IFERROR(__xludf.DUMMYFUNCTION("""COMPUTED_VALUE"""),0.4)</f>
        <v>0.4</v>
      </c>
      <c r="I172" s="8">
        <f>IFERROR(__xludf.DUMMYFUNCTION("""COMPUTED_VALUE"""),0.4)</f>
        <v>0.4</v>
      </c>
      <c r="J172" s="8">
        <f>IFERROR(__xludf.DUMMYFUNCTION("""COMPUTED_VALUE"""),0.6)</f>
        <v>0.6</v>
      </c>
      <c r="K172" s="8">
        <f>IFERROR(__xludf.DUMMYFUNCTION("""COMPUTED_VALUE"""),0.6)</f>
        <v>0.6</v>
      </c>
      <c r="L172" s="8">
        <f>IFERROR(__xludf.DUMMYFUNCTION("""COMPUTED_VALUE"""),0.4)</f>
        <v>0.4</v>
      </c>
      <c r="M172" s="8">
        <f>IFERROR(__xludf.DUMMYFUNCTION("""COMPUTED_VALUE"""),0.4)</f>
        <v>0.4</v>
      </c>
      <c r="N172" s="8">
        <f>IFERROR(__xludf.DUMMYFUNCTION("""COMPUTED_VALUE"""),0.4)</f>
        <v>0.4</v>
      </c>
      <c r="O172" s="8">
        <f>IFERROR(__xludf.DUMMYFUNCTION("""COMPUTED_VALUE"""),0.2)</f>
        <v>0.2</v>
      </c>
      <c r="P172" s="8">
        <f>IFERROR(__xludf.DUMMYFUNCTION("""COMPUTED_VALUE"""),0.0)</f>
        <v>0</v>
      </c>
      <c r="Q172" s="8">
        <f>IFERROR(__xludf.DUMMYFUNCTION("""COMPUTED_VALUE"""),0.0)</f>
        <v>0</v>
      </c>
      <c r="R172" s="8">
        <f>IFERROR(__xludf.DUMMYFUNCTION("""COMPUTED_VALUE"""),0.0)</f>
        <v>0</v>
      </c>
      <c r="S172" s="8">
        <f>IFERROR(__xludf.DUMMYFUNCTION("""COMPUTED_VALUE"""),0.0)</f>
        <v>0</v>
      </c>
      <c r="T172" s="8">
        <f>IFERROR(__xludf.DUMMYFUNCTION("""COMPUTED_VALUE"""),0.0)</f>
        <v>0</v>
      </c>
      <c r="U172" s="8">
        <f>IFERROR(__xludf.DUMMYFUNCTION("""COMPUTED_VALUE"""),0.0)</f>
        <v>0</v>
      </c>
      <c r="V172" s="8">
        <f>IFERROR(__xludf.DUMMYFUNCTION("""COMPUTED_VALUE"""),0.0)</f>
        <v>0</v>
      </c>
      <c r="W172" s="8">
        <f>IFERROR(__xludf.DUMMYFUNCTION("""COMPUTED_VALUE"""),0.0)</f>
        <v>0</v>
      </c>
      <c r="X172" s="8">
        <f>IFERROR(__xludf.DUMMYFUNCTION("""COMPUTED_VALUE"""),0.0)</f>
        <v>0</v>
      </c>
      <c r="Y172" s="8">
        <f>IFERROR(__xludf.DUMMYFUNCTION("""COMPUTED_VALUE"""),0.0)</f>
        <v>0</v>
      </c>
      <c r="Z172" s="8">
        <f>IFERROR(__xludf.DUMMYFUNCTION("""COMPUTED_VALUE"""),0.0)</f>
        <v>0</v>
      </c>
      <c r="AA172" s="8">
        <f>IFERROR(__xludf.DUMMYFUNCTION("""COMPUTED_VALUE"""),0.0)</f>
        <v>0</v>
      </c>
      <c r="AB172" s="8">
        <f>IFERROR(__xludf.DUMMYFUNCTION("""COMPUTED_VALUE"""),0.0)</f>
        <v>0</v>
      </c>
      <c r="AC172" s="8">
        <f>IFERROR(__xludf.DUMMYFUNCTION("""COMPUTED_VALUE"""),0.0)</f>
        <v>0</v>
      </c>
    </row>
    <row r="173" ht="15.75" customHeight="1">
      <c r="A173" s="6" t="str">
        <f>IFERROR(__xludf.DUMMYFUNCTION("""COMPUTED_VALUE"""),"9eb4932b6e7663416bee5ea2d2dd1b2ced5727be")</f>
        <v>9eb4932b6e7663416bee5ea2d2dd1b2ced5727be</v>
      </c>
      <c r="B173" s="6" t="str">
        <f>IFERROR(__xludf.DUMMYFUNCTION("""COMPUTED_VALUE"""),"Rise of the God Mage")</f>
        <v>Rise of the God Mage</v>
      </c>
      <c r="C173" s="6" t="str">
        <f>IFERROR(__xludf.DUMMYFUNCTION("""COMPUTED_VALUE"""),"Fantasy")</f>
        <v>Fantasy</v>
      </c>
      <c r="D173" s="11">
        <f>IFERROR(__xludf.DUMMYFUNCTION("""COMPUTED_VALUE"""),628.0)</f>
        <v>628</v>
      </c>
      <c r="E173" s="8">
        <f>IFERROR(__xludf.DUMMYFUNCTION("""COMPUTED_VALUE"""),0.987261146496815)</f>
        <v>0.9872611465</v>
      </c>
      <c r="F173" s="8">
        <f>IFERROR(__xludf.DUMMYFUNCTION("""COMPUTED_VALUE"""),0.730891719745222)</f>
        <v>0.7308917197</v>
      </c>
      <c r="G173" s="8">
        <f>IFERROR(__xludf.DUMMYFUNCTION("""COMPUTED_VALUE"""),0.651273885350318)</f>
        <v>0.6512738854</v>
      </c>
      <c r="H173" s="8">
        <f>IFERROR(__xludf.DUMMYFUNCTION("""COMPUTED_VALUE"""),0.626602564102564)</f>
        <v>0.6266025641</v>
      </c>
      <c r="I173" s="8">
        <f>IFERROR(__xludf.DUMMYFUNCTION("""COMPUTED_VALUE"""),0.593247588424437)</f>
        <v>0.5932475884</v>
      </c>
      <c r="J173" s="8">
        <f>IFERROR(__xludf.DUMMYFUNCTION("""COMPUTED_VALUE"""),0.556650246305418)</f>
        <v>0.5566502463</v>
      </c>
      <c r="K173" s="8">
        <f>IFERROR(__xludf.DUMMYFUNCTION("""COMPUTED_VALUE"""),0.551724137931034)</f>
        <v>0.5517241379</v>
      </c>
      <c r="L173" s="8">
        <f>IFERROR(__xludf.DUMMYFUNCTION("""COMPUTED_VALUE"""),0.525054466230936)</f>
        <v>0.5250544662</v>
      </c>
      <c r="M173" s="8">
        <f>IFERROR(__xludf.DUMMYFUNCTION("""COMPUTED_VALUE"""),0.512359550561797)</f>
        <v>0.5123595506</v>
      </c>
      <c r="N173" s="8">
        <f>IFERROR(__xludf.DUMMYFUNCTION("""COMPUTED_VALUE"""),0.458874458874458)</f>
        <v>0.4588744589</v>
      </c>
      <c r="O173" s="8">
        <f>IFERROR(__xludf.DUMMYFUNCTION("""COMPUTED_VALUE"""),0.607142857142857)</f>
        <v>0.6071428571</v>
      </c>
      <c r="P173" s="8">
        <f>IFERROR(__xludf.DUMMYFUNCTION("""COMPUTED_VALUE"""),0.583333333333333)</f>
        <v>0.5833333333</v>
      </c>
      <c r="Q173" s="8">
        <f>IFERROR(__xludf.DUMMYFUNCTION("""COMPUTED_VALUE"""),0.0)</f>
        <v>0</v>
      </c>
      <c r="R173" s="8">
        <f>IFERROR(__xludf.DUMMYFUNCTION("""COMPUTED_VALUE"""),0.0)</f>
        <v>0</v>
      </c>
      <c r="S173" s="8">
        <f>IFERROR(__xludf.DUMMYFUNCTION("""COMPUTED_VALUE"""),0.0)</f>
        <v>0</v>
      </c>
      <c r="T173" s="8">
        <f>IFERROR(__xludf.DUMMYFUNCTION("""COMPUTED_VALUE"""),0.0)</f>
        <v>0</v>
      </c>
      <c r="U173" s="8">
        <f>IFERROR(__xludf.DUMMYFUNCTION("""COMPUTED_VALUE"""),0.0)</f>
        <v>0</v>
      </c>
      <c r="V173" s="8">
        <f>IFERROR(__xludf.DUMMYFUNCTION("""COMPUTED_VALUE"""),0.0)</f>
        <v>0</v>
      </c>
      <c r="W173" s="8">
        <f>IFERROR(__xludf.DUMMYFUNCTION("""COMPUTED_VALUE"""),0.0)</f>
        <v>0</v>
      </c>
      <c r="X173" s="8">
        <f>IFERROR(__xludf.DUMMYFUNCTION("""COMPUTED_VALUE"""),0.0)</f>
        <v>0</v>
      </c>
      <c r="Y173" s="8">
        <f>IFERROR(__xludf.DUMMYFUNCTION("""COMPUTED_VALUE"""),0.0)</f>
        <v>0</v>
      </c>
      <c r="Z173" s="8">
        <f>IFERROR(__xludf.DUMMYFUNCTION("""COMPUTED_VALUE"""),0.0)</f>
        <v>0</v>
      </c>
      <c r="AA173" s="8">
        <f>IFERROR(__xludf.DUMMYFUNCTION("""COMPUTED_VALUE"""),0.0)</f>
        <v>0</v>
      </c>
      <c r="AB173" s="8">
        <f>IFERROR(__xludf.DUMMYFUNCTION("""COMPUTED_VALUE"""),0.0)</f>
        <v>0</v>
      </c>
      <c r="AC173" s="8">
        <f>IFERROR(__xludf.DUMMYFUNCTION("""COMPUTED_VALUE"""),0.0)</f>
        <v>0</v>
      </c>
    </row>
    <row r="174" ht="15.75" customHeight="1">
      <c r="A174" s="6" t="str">
        <f>IFERROR(__xludf.DUMMYFUNCTION("""COMPUTED_VALUE"""),"9f288c1b7bcd6e6181338579ca44a178a5b21573")</f>
        <v>9f288c1b7bcd6e6181338579ca44a178a5b21573</v>
      </c>
      <c r="B174" s="6" t="str">
        <f>IFERROR(__xludf.DUMMYFUNCTION("""COMPUTED_VALUE"""),"Vows of Blood &amp; Diamonds")</f>
        <v>Vows of Blood &amp; Diamonds</v>
      </c>
      <c r="C174" s="6" t="str">
        <f>IFERROR(__xludf.DUMMYFUNCTION("""COMPUTED_VALUE"""),"Romance")</f>
        <v>Romance</v>
      </c>
      <c r="D174" s="11">
        <f>IFERROR(__xludf.DUMMYFUNCTION("""COMPUTED_VALUE"""),18.0)</f>
        <v>18</v>
      </c>
      <c r="E174" s="8">
        <f>IFERROR(__xludf.DUMMYFUNCTION("""COMPUTED_VALUE"""),1.0)</f>
        <v>1</v>
      </c>
      <c r="F174" s="8">
        <f>IFERROR(__xludf.DUMMYFUNCTION("""COMPUTED_VALUE"""),0.5)</f>
        <v>0.5</v>
      </c>
      <c r="G174" s="8">
        <f>IFERROR(__xludf.DUMMYFUNCTION("""COMPUTED_VALUE"""),0.444444444444444)</f>
        <v>0.4444444444</v>
      </c>
      <c r="H174" s="8">
        <f>IFERROR(__xludf.DUMMYFUNCTION("""COMPUTED_VALUE"""),0.5)</f>
        <v>0.5</v>
      </c>
      <c r="I174" s="8">
        <f>IFERROR(__xludf.DUMMYFUNCTION("""COMPUTED_VALUE"""),0.4)</f>
        <v>0.4</v>
      </c>
      <c r="J174" s="8">
        <f>IFERROR(__xludf.DUMMYFUNCTION("""COMPUTED_VALUE"""),0.333333333333333)</f>
        <v>0.3333333333</v>
      </c>
      <c r="K174" s="8">
        <f>IFERROR(__xludf.DUMMYFUNCTION("""COMPUTED_VALUE"""),0.3)</f>
        <v>0.3</v>
      </c>
      <c r="L174" s="8">
        <f>IFERROR(__xludf.DUMMYFUNCTION("""COMPUTED_VALUE"""),0.25)</f>
        <v>0.25</v>
      </c>
      <c r="M174" s="8">
        <f>IFERROR(__xludf.DUMMYFUNCTION("""COMPUTED_VALUE"""),0.125)</f>
        <v>0.125</v>
      </c>
      <c r="N174" s="8">
        <f>IFERROR(__xludf.DUMMYFUNCTION("""COMPUTED_VALUE"""),0.142857142857142)</f>
        <v>0.1428571429</v>
      </c>
      <c r="O174" s="8">
        <f>IFERROR(__xludf.DUMMYFUNCTION("""COMPUTED_VALUE"""),0.0)</f>
        <v>0</v>
      </c>
      <c r="P174" s="8">
        <f>IFERROR(__xludf.DUMMYFUNCTION("""COMPUTED_VALUE"""),0.0)</f>
        <v>0</v>
      </c>
      <c r="Q174" s="8">
        <f>IFERROR(__xludf.DUMMYFUNCTION("""COMPUTED_VALUE"""),0.0)</f>
        <v>0</v>
      </c>
      <c r="R174" s="8">
        <f>IFERROR(__xludf.DUMMYFUNCTION("""COMPUTED_VALUE"""),0.0)</f>
        <v>0</v>
      </c>
      <c r="S174" s="8">
        <f>IFERROR(__xludf.DUMMYFUNCTION("""COMPUTED_VALUE"""),0.0)</f>
        <v>0</v>
      </c>
      <c r="T174" s="8">
        <f>IFERROR(__xludf.DUMMYFUNCTION("""COMPUTED_VALUE"""),0.0)</f>
        <v>0</v>
      </c>
      <c r="U174" s="8">
        <f>IFERROR(__xludf.DUMMYFUNCTION("""COMPUTED_VALUE"""),0.0)</f>
        <v>0</v>
      </c>
      <c r="V174" s="8">
        <f>IFERROR(__xludf.DUMMYFUNCTION("""COMPUTED_VALUE"""),0.0)</f>
        <v>0</v>
      </c>
      <c r="W174" s="8">
        <f>IFERROR(__xludf.DUMMYFUNCTION("""COMPUTED_VALUE"""),0.0)</f>
        <v>0</v>
      </c>
      <c r="X174" s="8">
        <f>IFERROR(__xludf.DUMMYFUNCTION("""COMPUTED_VALUE"""),0.0)</f>
        <v>0</v>
      </c>
      <c r="Y174" s="8">
        <f>IFERROR(__xludf.DUMMYFUNCTION("""COMPUTED_VALUE"""),0.0)</f>
        <v>0</v>
      </c>
      <c r="Z174" s="8">
        <f>IFERROR(__xludf.DUMMYFUNCTION("""COMPUTED_VALUE"""),0.0)</f>
        <v>0</v>
      </c>
      <c r="AA174" s="8">
        <f>IFERROR(__xludf.DUMMYFUNCTION("""COMPUTED_VALUE"""),0.0)</f>
        <v>0</v>
      </c>
      <c r="AB174" s="8">
        <f>IFERROR(__xludf.DUMMYFUNCTION("""COMPUTED_VALUE"""),0.0)</f>
        <v>0</v>
      </c>
      <c r="AC174" s="8">
        <f>IFERROR(__xludf.DUMMYFUNCTION("""COMPUTED_VALUE"""),0.0)</f>
        <v>0</v>
      </c>
    </row>
    <row r="175" ht="15.75" customHeight="1">
      <c r="A175" s="6" t="str">
        <f>IFERROR(__xludf.DUMMYFUNCTION("""COMPUTED_VALUE"""),"a028c06a528d6bc1425340cbedd71880abd4ad2b")</f>
        <v>a028c06a528d6bc1425340cbedd71880abd4ad2b</v>
      </c>
      <c r="B175" s="6" t="str">
        <f>IFERROR(__xludf.DUMMYFUNCTION("""COMPUTED_VALUE"""),"Rejected Luna's Secret")</f>
        <v>Rejected Luna's Secret</v>
      </c>
      <c r="C175" s="6" t="str">
        <f>IFERROR(__xludf.DUMMYFUNCTION("""COMPUTED_VALUE"""),"Romantasy")</f>
        <v>Romantasy</v>
      </c>
      <c r="D175" s="11">
        <f>IFERROR(__xludf.DUMMYFUNCTION("""COMPUTED_VALUE"""),3.0)</f>
        <v>3</v>
      </c>
      <c r="E175" s="8">
        <f>IFERROR(__xludf.DUMMYFUNCTION("""COMPUTED_VALUE"""),1.0)</f>
        <v>1</v>
      </c>
      <c r="F175" s="8">
        <f>IFERROR(__xludf.DUMMYFUNCTION("""COMPUTED_VALUE"""),0.666666666666666)</f>
        <v>0.6666666667</v>
      </c>
      <c r="G175" s="8">
        <f>IFERROR(__xludf.DUMMYFUNCTION("""COMPUTED_VALUE"""),0.333333333333333)</f>
        <v>0.3333333333</v>
      </c>
      <c r="H175" s="8">
        <f>IFERROR(__xludf.DUMMYFUNCTION("""COMPUTED_VALUE"""),0.0)</f>
        <v>0</v>
      </c>
      <c r="I175" s="8">
        <f>IFERROR(__xludf.DUMMYFUNCTION("""COMPUTED_VALUE"""),0.0)</f>
        <v>0</v>
      </c>
      <c r="J175" s="8">
        <f>IFERROR(__xludf.DUMMYFUNCTION("""COMPUTED_VALUE"""),0.0)</f>
        <v>0</v>
      </c>
      <c r="K175" s="8">
        <f>IFERROR(__xludf.DUMMYFUNCTION("""COMPUTED_VALUE"""),0.0)</f>
        <v>0</v>
      </c>
      <c r="L175" s="8">
        <f>IFERROR(__xludf.DUMMYFUNCTION("""COMPUTED_VALUE"""),0.0)</f>
        <v>0</v>
      </c>
      <c r="M175" s="8">
        <f>IFERROR(__xludf.DUMMYFUNCTION("""COMPUTED_VALUE"""),0.0)</f>
        <v>0</v>
      </c>
      <c r="N175" s="8">
        <f>IFERROR(__xludf.DUMMYFUNCTION("""COMPUTED_VALUE"""),0.0)</f>
        <v>0</v>
      </c>
      <c r="O175" s="8">
        <f>IFERROR(__xludf.DUMMYFUNCTION("""COMPUTED_VALUE"""),0.0)</f>
        <v>0</v>
      </c>
      <c r="P175" s="8">
        <f>IFERROR(__xludf.DUMMYFUNCTION("""COMPUTED_VALUE"""),0.0)</f>
        <v>0</v>
      </c>
      <c r="Q175" s="8">
        <f>IFERROR(__xludf.DUMMYFUNCTION("""COMPUTED_VALUE"""),0.0)</f>
        <v>0</v>
      </c>
      <c r="R175" s="8">
        <f>IFERROR(__xludf.DUMMYFUNCTION("""COMPUTED_VALUE"""),0.0)</f>
        <v>0</v>
      </c>
      <c r="S175" s="8">
        <f>IFERROR(__xludf.DUMMYFUNCTION("""COMPUTED_VALUE"""),0.0)</f>
        <v>0</v>
      </c>
      <c r="T175" s="8">
        <f>IFERROR(__xludf.DUMMYFUNCTION("""COMPUTED_VALUE"""),0.0)</f>
        <v>0</v>
      </c>
      <c r="U175" s="8">
        <f>IFERROR(__xludf.DUMMYFUNCTION("""COMPUTED_VALUE"""),0.0)</f>
        <v>0</v>
      </c>
      <c r="V175" s="8">
        <f>IFERROR(__xludf.DUMMYFUNCTION("""COMPUTED_VALUE"""),0.0)</f>
        <v>0</v>
      </c>
      <c r="W175" s="8">
        <f>IFERROR(__xludf.DUMMYFUNCTION("""COMPUTED_VALUE"""),0.0)</f>
        <v>0</v>
      </c>
      <c r="X175" s="8">
        <f>IFERROR(__xludf.DUMMYFUNCTION("""COMPUTED_VALUE"""),0.0)</f>
        <v>0</v>
      </c>
      <c r="Y175" s="8">
        <f>IFERROR(__xludf.DUMMYFUNCTION("""COMPUTED_VALUE"""),0.0)</f>
        <v>0</v>
      </c>
      <c r="Z175" s="8">
        <f>IFERROR(__xludf.DUMMYFUNCTION("""COMPUTED_VALUE"""),0.0)</f>
        <v>0</v>
      </c>
      <c r="AA175" s="8">
        <f>IFERROR(__xludf.DUMMYFUNCTION("""COMPUTED_VALUE"""),0.0)</f>
        <v>0</v>
      </c>
      <c r="AB175" s="8">
        <f>IFERROR(__xludf.DUMMYFUNCTION("""COMPUTED_VALUE"""),0.0)</f>
        <v>0</v>
      </c>
      <c r="AC175" s="8">
        <f>IFERROR(__xludf.DUMMYFUNCTION("""COMPUTED_VALUE"""),0.0)</f>
        <v>0</v>
      </c>
    </row>
    <row r="176" ht="15.75" customHeight="1">
      <c r="A176" s="6" t="str">
        <f>IFERROR(__xludf.DUMMYFUNCTION("""COMPUTED_VALUE"""),"a09fd281233c0dee7a45d32647f68bb0142a3b96")</f>
        <v>a09fd281233c0dee7a45d32647f68bb0142a3b96</v>
      </c>
      <c r="B176" s="6" t="str">
        <f>IFERROR(__xludf.DUMMYFUNCTION("""COMPUTED_VALUE"""),"The Comatose Billionaire")</f>
        <v>The Comatose Billionaire</v>
      </c>
      <c r="C176" s="6" t="str">
        <f>IFERROR(__xludf.DUMMYFUNCTION("""COMPUTED_VALUE"""),"Romance")</f>
        <v>Romance</v>
      </c>
      <c r="D176" s="11">
        <f>IFERROR(__xludf.DUMMYFUNCTION("""COMPUTED_VALUE"""),132.0)</f>
        <v>132</v>
      </c>
      <c r="E176" s="8">
        <f>IFERROR(__xludf.DUMMYFUNCTION("""COMPUTED_VALUE"""),0.977272727272727)</f>
        <v>0.9772727273</v>
      </c>
      <c r="F176" s="8">
        <f>IFERROR(__xludf.DUMMYFUNCTION("""COMPUTED_VALUE"""),0.583333333333333)</f>
        <v>0.5833333333</v>
      </c>
      <c r="G176" s="8">
        <f>IFERROR(__xludf.DUMMYFUNCTION("""COMPUTED_VALUE"""),0.492424242424242)</f>
        <v>0.4924242424</v>
      </c>
      <c r="H176" s="8">
        <f>IFERROR(__xludf.DUMMYFUNCTION("""COMPUTED_VALUE"""),0.469696969696969)</f>
        <v>0.4696969697</v>
      </c>
      <c r="I176" s="8">
        <f>IFERROR(__xludf.DUMMYFUNCTION("""COMPUTED_VALUE"""),0.439393939393939)</f>
        <v>0.4393939394</v>
      </c>
      <c r="J176" s="8">
        <f>IFERROR(__xludf.DUMMYFUNCTION("""COMPUTED_VALUE"""),0.431818181818181)</f>
        <v>0.4318181818</v>
      </c>
      <c r="K176" s="8">
        <f>IFERROR(__xludf.DUMMYFUNCTION("""COMPUTED_VALUE"""),0.401515151515151)</f>
        <v>0.4015151515</v>
      </c>
      <c r="L176" s="8">
        <f>IFERROR(__xludf.DUMMYFUNCTION("""COMPUTED_VALUE"""),0.363636363636363)</f>
        <v>0.3636363636</v>
      </c>
      <c r="M176" s="8">
        <f>IFERROR(__xludf.DUMMYFUNCTION("""COMPUTED_VALUE"""),0.356060606060606)</f>
        <v>0.3560606061</v>
      </c>
      <c r="N176" s="8">
        <f>IFERROR(__xludf.DUMMYFUNCTION("""COMPUTED_VALUE"""),0.34090909090909)</f>
        <v>0.3409090909</v>
      </c>
      <c r="O176" s="8">
        <f>IFERROR(__xludf.DUMMYFUNCTION("""COMPUTED_VALUE"""),0.287878787878787)</f>
        <v>0.2878787879</v>
      </c>
      <c r="P176" s="8">
        <f>IFERROR(__xludf.DUMMYFUNCTION("""COMPUTED_VALUE"""),0.140625)</f>
        <v>0.140625</v>
      </c>
      <c r="Q176" s="8">
        <f>IFERROR(__xludf.DUMMYFUNCTION("""COMPUTED_VALUE"""),0.072)</f>
        <v>0.072</v>
      </c>
      <c r="R176" s="8">
        <f>IFERROR(__xludf.DUMMYFUNCTION("""COMPUTED_VALUE"""),0.0380952380952381)</f>
        <v>0.0380952381</v>
      </c>
      <c r="S176" s="8">
        <f>IFERROR(__xludf.DUMMYFUNCTION("""COMPUTED_VALUE"""),0.0)</f>
        <v>0</v>
      </c>
      <c r="T176" s="8">
        <f>IFERROR(__xludf.DUMMYFUNCTION("""COMPUTED_VALUE"""),0.0)</f>
        <v>0</v>
      </c>
      <c r="U176" s="8">
        <f>IFERROR(__xludf.DUMMYFUNCTION("""COMPUTED_VALUE"""),0.0)</f>
        <v>0</v>
      </c>
      <c r="V176" s="8">
        <f>IFERROR(__xludf.DUMMYFUNCTION("""COMPUTED_VALUE"""),0.0)</f>
        <v>0</v>
      </c>
      <c r="W176" s="8">
        <f>IFERROR(__xludf.DUMMYFUNCTION("""COMPUTED_VALUE"""),0.0)</f>
        <v>0</v>
      </c>
      <c r="X176" s="8">
        <f>IFERROR(__xludf.DUMMYFUNCTION("""COMPUTED_VALUE"""),0.0)</f>
        <v>0</v>
      </c>
      <c r="Y176" s="8">
        <f>IFERROR(__xludf.DUMMYFUNCTION("""COMPUTED_VALUE"""),0.0)</f>
        <v>0</v>
      </c>
      <c r="Z176" s="8">
        <f>IFERROR(__xludf.DUMMYFUNCTION("""COMPUTED_VALUE"""),0.0)</f>
        <v>0</v>
      </c>
      <c r="AA176" s="8">
        <f>IFERROR(__xludf.DUMMYFUNCTION("""COMPUTED_VALUE"""),0.0)</f>
        <v>0</v>
      </c>
      <c r="AB176" s="8">
        <f>IFERROR(__xludf.DUMMYFUNCTION("""COMPUTED_VALUE"""),0.0)</f>
        <v>0</v>
      </c>
      <c r="AC176" s="8">
        <f>IFERROR(__xludf.DUMMYFUNCTION("""COMPUTED_VALUE"""),0.0)</f>
        <v>0</v>
      </c>
    </row>
    <row r="177" ht="15.75" customHeight="1">
      <c r="A177" s="6" t="str">
        <f>IFERROR(__xludf.DUMMYFUNCTION("""COMPUTED_VALUE"""),"a0f8c5bd5bdb02bdaa499febc39e36611127769b")</f>
        <v>a0f8c5bd5bdb02bdaa499febc39e36611127769b</v>
      </c>
      <c r="B177" s="6" t="str">
        <f>IFERROR(__xludf.DUMMYFUNCTION("""COMPUTED_VALUE"""),"The Wedding He Stole")</f>
        <v>The Wedding He Stole</v>
      </c>
      <c r="C177" s="6" t="str">
        <f>IFERROR(__xludf.DUMMYFUNCTION("""COMPUTED_VALUE"""),"Romance")</f>
        <v>Romance</v>
      </c>
      <c r="D177" s="11">
        <f>IFERROR(__xludf.DUMMYFUNCTION("""COMPUTED_VALUE"""),38.0)</f>
        <v>38</v>
      </c>
      <c r="E177" s="8">
        <f>IFERROR(__xludf.DUMMYFUNCTION("""COMPUTED_VALUE"""),1.0)</f>
        <v>1</v>
      </c>
      <c r="F177" s="8">
        <f>IFERROR(__xludf.DUMMYFUNCTION("""COMPUTED_VALUE"""),0.710526315789473)</f>
        <v>0.7105263158</v>
      </c>
      <c r="G177" s="8">
        <f>IFERROR(__xludf.DUMMYFUNCTION("""COMPUTED_VALUE"""),0.684210526315789)</f>
        <v>0.6842105263</v>
      </c>
      <c r="H177" s="8">
        <f>IFERROR(__xludf.DUMMYFUNCTION("""COMPUTED_VALUE"""),0.631578947368421)</f>
        <v>0.6315789474</v>
      </c>
      <c r="I177" s="8">
        <f>IFERROR(__xludf.DUMMYFUNCTION("""COMPUTED_VALUE"""),0.605263157894736)</f>
        <v>0.6052631579</v>
      </c>
      <c r="J177" s="8">
        <f>IFERROR(__xludf.DUMMYFUNCTION("""COMPUTED_VALUE"""),0.605263157894736)</f>
        <v>0.6052631579</v>
      </c>
      <c r="K177" s="8">
        <f>IFERROR(__xludf.DUMMYFUNCTION("""COMPUTED_VALUE"""),0.473684210526315)</f>
        <v>0.4736842105</v>
      </c>
      <c r="L177" s="8">
        <f>IFERROR(__xludf.DUMMYFUNCTION("""COMPUTED_VALUE"""),0.473684210526315)</f>
        <v>0.4736842105</v>
      </c>
      <c r="M177" s="8">
        <f>IFERROR(__xludf.DUMMYFUNCTION("""COMPUTED_VALUE"""),0.421052631578947)</f>
        <v>0.4210526316</v>
      </c>
      <c r="N177" s="8">
        <f>IFERROR(__xludf.DUMMYFUNCTION("""COMPUTED_VALUE"""),0.368421052631578)</f>
        <v>0.3684210526</v>
      </c>
      <c r="O177" s="8">
        <f>IFERROR(__xludf.DUMMYFUNCTION("""COMPUTED_VALUE"""),0.236842105263157)</f>
        <v>0.2368421053</v>
      </c>
      <c r="P177" s="8">
        <f>IFERROR(__xludf.DUMMYFUNCTION("""COMPUTED_VALUE"""),0.074074074074074)</f>
        <v>0.07407407407</v>
      </c>
      <c r="Q177" s="8">
        <f>IFERROR(__xludf.DUMMYFUNCTION("""COMPUTED_VALUE"""),0.0)</f>
        <v>0</v>
      </c>
      <c r="R177" s="8">
        <f>IFERROR(__xludf.DUMMYFUNCTION("""COMPUTED_VALUE"""),0.0)</f>
        <v>0</v>
      </c>
      <c r="S177" s="8">
        <f>IFERROR(__xludf.DUMMYFUNCTION("""COMPUTED_VALUE"""),0.0)</f>
        <v>0</v>
      </c>
      <c r="T177" s="8">
        <f>IFERROR(__xludf.DUMMYFUNCTION("""COMPUTED_VALUE"""),0.0)</f>
        <v>0</v>
      </c>
      <c r="U177" s="8">
        <f>IFERROR(__xludf.DUMMYFUNCTION("""COMPUTED_VALUE"""),0.0)</f>
        <v>0</v>
      </c>
      <c r="V177" s="8">
        <f>IFERROR(__xludf.DUMMYFUNCTION("""COMPUTED_VALUE"""),0.0)</f>
        <v>0</v>
      </c>
      <c r="W177" s="8">
        <f>IFERROR(__xludf.DUMMYFUNCTION("""COMPUTED_VALUE"""),0.0)</f>
        <v>0</v>
      </c>
      <c r="X177" s="8">
        <f>IFERROR(__xludf.DUMMYFUNCTION("""COMPUTED_VALUE"""),0.0)</f>
        <v>0</v>
      </c>
      <c r="Y177" s="8">
        <f>IFERROR(__xludf.DUMMYFUNCTION("""COMPUTED_VALUE"""),0.0)</f>
        <v>0</v>
      </c>
      <c r="Z177" s="8">
        <f>IFERROR(__xludf.DUMMYFUNCTION("""COMPUTED_VALUE"""),0.0)</f>
        <v>0</v>
      </c>
      <c r="AA177" s="8">
        <f>IFERROR(__xludf.DUMMYFUNCTION("""COMPUTED_VALUE"""),0.0)</f>
        <v>0</v>
      </c>
      <c r="AB177" s="8">
        <f>IFERROR(__xludf.DUMMYFUNCTION("""COMPUTED_VALUE"""),0.0)</f>
        <v>0</v>
      </c>
      <c r="AC177" s="8">
        <f>IFERROR(__xludf.DUMMYFUNCTION("""COMPUTED_VALUE"""),0.0)</f>
        <v>0</v>
      </c>
    </row>
    <row r="178" ht="15.75" customHeight="1">
      <c r="A178" s="6" t="str">
        <f>IFERROR(__xludf.DUMMYFUNCTION("""COMPUTED_VALUE"""),"a20d15b2c087672afecf4c46baa7e9368a4cbb9f")</f>
        <v>a20d15b2c087672afecf4c46baa7e9368a4cbb9f</v>
      </c>
      <c r="B178" s="6" t="str">
        <f>IFERROR(__xludf.DUMMYFUNCTION("""COMPUTED_VALUE"""),"Secrets and Bloodline")</f>
        <v>Secrets and Bloodline</v>
      </c>
      <c r="C178" s="6" t="str">
        <f>IFERROR(__xludf.DUMMYFUNCTION("""COMPUTED_VALUE"""),"Romance")</f>
        <v>Romance</v>
      </c>
      <c r="D178" s="11">
        <f>IFERROR(__xludf.DUMMYFUNCTION("""COMPUTED_VALUE"""),19.0)</f>
        <v>19</v>
      </c>
      <c r="E178" s="8">
        <f>IFERROR(__xludf.DUMMYFUNCTION("""COMPUTED_VALUE"""),1.0)</f>
        <v>1</v>
      </c>
      <c r="F178" s="8">
        <f>IFERROR(__xludf.DUMMYFUNCTION("""COMPUTED_VALUE"""),0.368421052631578)</f>
        <v>0.3684210526</v>
      </c>
      <c r="G178" s="8">
        <f>IFERROR(__xludf.DUMMYFUNCTION("""COMPUTED_VALUE"""),0.31578947368421)</f>
        <v>0.3157894737</v>
      </c>
      <c r="H178" s="8">
        <f>IFERROR(__xludf.DUMMYFUNCTION("""COMPUTED_VALUE"""),0.294117647058823)</f>
        <v>0.2941176471</v>
      </c>
      <c r="I178" s="8">
        <f>IFERROR(__xludf.DUMMYFUNCTION("""COMPUTED_VALUE"""),0.266666666666666)</f>
        <v>0.2666666667</v>
      </c>
      <c r="J178" s="8">
        <f>IFERROR(__xludf.DUMMYFUNCTION("""COMPUTED_VALUE"""),0.266666666666666)</f>
        <v>0.2666666667</v>
      </c>
      <c r="K178" s="8">
        <f>IFERROR(__xludf.DUMMYFUNCTION("""COMPUTED_VALUE"""),0.307692307692307)</f>
        <v>0.3076923077</v>
      </c>
      <c r="L178" s="8">
        <f>IFERROR(__xludf.DUMMYFUNCTION("""COMPUTED_VALUE"""),0.333333333333333)</f>
        <v>0.3333333333</v>
      </c>
      <c r="M178" s="8">
        <f>IFERROR(__xludf.DUMMYFUNCTION("""COMPUTED_VALUE"""),0.333333333333333)</f>
        <v>0.3333333333</v>
      </c>
      <c r="N178" s="8">
        <f>IFERROR(__xludf.DUMMYFUNCTION("""COMPUTED_VALUE"""),0.375)</f>
        <v>0.375</v>
      </c>
      <c r="O178" s="8">
        <f>IFERROR(__xludf.DUMMYFUNCTION("""COMPUTED_VALUE"""),0.0)</f>
        <v>0</v>
      </c>
      <c r="P178" s="8">
        <f>IFERROR(__xludf.DUMMYFUNCTION("""COMPUTED_VALUE"""),0.0)</f>
        <v>0</v>
      </c>
      <c r="Q178" s="8">
        <f>IFERROR(__xludf.DUMMYFUNCTION("""COMPUTED_VALUE"""),0.0)</f>
        <v>0</v>
      </c>
      <c r="R178" s="8">
        <f>IFERROR(__xludf.DUMMYFUNCTION("""COMPUTED_VALUE"""),0.0)</f>
        <v>0</v>
      </c>
      <c r="S178" s="8">
        <f>IFERROR(__xludf.DUMMYFUNCTION("""COMPUTED_VALUE"""),0.0)</f>
        <v>0</v>
      </c>
      <c r="T178" s="8">
        <f>IFERROR(__xludf.DUMMYFUNCTION("""COMPUTED_VALUE"""),0.0)</f>
        <v>0</v>
      </c>
      <c r="U178" s="8">
        <f>IFERROR(__xludf.DUMMYFUNCTION("""COMPUTED_VALUE"""),0.0)</f>
        <v>0</v>
      </c>
      <c r="V178" s="8">
        <f>IFERROR(__xludf.DUMMYFUNCTION("""COMPUTED_VALUE"""),0.0)</f>
        <v>0</v>
      </c>
      <c r="W178" s="8">
        <f>IFERROR(__xludf.DUMMYFUNCTION("""COMPUTED_VALUE"""),0.0)</f>
        <v>0</v>
      </c>
      <c r="X178" s="8">
        <f>IFERROR(__xludf.DUMMYFUNCTION("""COMPUTED_VALUE"""),0.0)</f>
        <v>0</v>
      </c>
      <c r="Y178" s="8">
        <f>IFERROR(__xludf.DUMMYFUNCTION("""COMPUTED_VALUE"""),0.0)</f>
        <v>0</v>
      </c>
      <c r="Z178" s="8">
        <f>IFERROR(__xludf.DUMMYFUNCTION("""COMPUTED_VALUE"""),0.0)</f>
        <v>0</v>
      </c>
      <c r="AA178" s="8">
        <f>IFERROR(__xludf.DUMMYFUNCTION("""COMPUTED_VALUE"""),0.0)</f>
        <v>0</v>
      </c>
      <c r="AB178" s="8">
        <f>IFERROR(__xludf.DUMMYFUNCTION("""COMPUTED_VALUE"""),0.0)</f>
        <v>0</v>
      </c>
      <c r="AC178" s="8">
        <f>IFERROR(__xludf.DUMMYFUNCTION("""COMPUTED_VALUE"""),0.0)</f>
        <v>0</v>
      </c>
    </row>
    <row r="179" ht="15.75" customHeight="1">
      <c r="A179" s="6" t="str">
        <f>IFERROR(__xludf.DUMMYFUNCTION("""COMPUTED_VALUE"""),"a3d40a3745a853e245e802a317e3934318836a28")</f>
        <v>a3d40a3745a853e245e802a317e3934318836a28</v>
      </c>
      <c r="B179" s="6" t="str">
        <f>IFERROR(__xludf.DUMMYFUNCTION("""COMPUTED_VALUE"""),"The Amazing Idiot Man")</f>
        <v>The Amazing Idiot Man</v>
      </c>
      <c r="C179" s="6" t="str">
        <f>IFERROR(__xludf.DUMMYFUNCTION("""COMPUTED_VALUE"""),"Drama")</f>
        <v>Drama</v>
      </c>
      <c r="D179" s="11">
        <f>IFERROR(__xludf.DUMMYFUNCTION("""COMPUTED_VALUE"""),521.0)</f>
        <v>521</v>
      </c>
      <c r="E179" s="8">
        <f>IFERROR(__xludf.DUMMYFUNCTION("""COMPUTED_VALUE"""),0.971209213051823)</f>
        <v>0.9712092131</v>
      </c>
      <c r="F179" s="8">
        <f>IFERROR(__xludf.DUMMYFUNCTION("""COMPUTED_VALUE"""),0.579654510556621)</f>
        <v>0.5796545106</v>
      </c>
      <c r="G179" s="8">
        <f>IFERROR(__xludf.DUMMYFUNCTION("""COMPUTED_VALUE"""),0.502879078694817)</f>
        <v>0.5028790787</v>
      </c>
      <c r="H179" s="8">
        <f>IFERROR(__xludf.DUMMYFUNCTION("""COMPUTED_VALUE"""),0.443378119001919)</f>
        <v>0.443378119</v>
      </c>
      <c r="I179" s="8">
        <f>IFERROR(__xludf.DUMMYFUNCTION("""COMPUTED_VALUE"""),0.413461538461538)</f>
        <v>0.4134615385</v>
      </c>
      <c r="J179" s="8">
        <f>IFERROR(__xludf.DUMMYFUNCTION("""COMPUTED_VALUE"""),0.394230769230769)</f>
        <v>0.3942307692</v>
      </c>
      <c r="K179" s="8">
        <f>IFERROR(__xludf.DUMMYFUNCTION("""COMPUTED_VALUE"""),0.365384615384615)</f>
        <v>0.3653846154</v>
      </c>
      <c r="L179" s="8">
        <f>IFERROR(__xludf.DUMMYFUNCTION("""COMPUTED_VALUE"""),0.338461538461538)</f>
        <v>0.3384615385</v>
      </c>
      <c r="M179" s="8">
        <f>IFERROR(__xludf.DUMMYFUNCTION("""COMPUTED_VALUE"""),0.33076923076923)</f>
        <v>0.3307692308</v>
      </c>
      <c r="N179" s="8">
        <f>IFERROR(__xludf.DUMMYFUNCTION("""COMPUTED_VALUE"""),0.313346228239845)</f>
        <v>0.3133462282</v>
      </c>
      <c r="O179" s="8">
        <f>IFERROR(__xludf.DUMMYFUNCTION("""COMPUTED_VALUE"""),0.262645914396887)</f>
        <v>0.2626459144</v>
      </c>
      <c r="P179" s="8">
        <f>IFERROR(__xludf.DUMMYFUNCTION("""COMPUTED_VALUE"""),0.189723320158102)</f>
        <v>0.1897233202</v>
      </c>
      <c r="Q179" s="8">
        <f>IFERROR(__xludf.DUMMYFUNCTION("""COMPUTED_VALUE"""),0.0)</f>
        <v>0</v>
      </c>
      <c r="R179" s="8">
        <f>IFERROR(__xludf.DUMMYFUNCTION("""COMPUTED_VALUE"""),0.0)</f>
        <v>0</v>
      </c>
      <c r="S179" s="8">
        <f>IFERROR(__xludf.DUMMYFUNCTION("""COMPUTED_VALUE"""),0.0)</f>
        <v>0</v>
      </c>
      <c r="T179" s="8">
        <f>IFERROR(__xludf.DUMMYFUNCTION("""COMPUTED_VALUE"""),0.0)</f>
        <v>0</v>
      </c>
      <c r="U179" s="8">
        <f>IFERROR(__xludf.DUMMYFUNCTION("""COMPUTED_VALUE"""),0.0)</f>
        <v>0</v>
      </c>
      <c r="V179" s="8">
        <f>IFERROR(__xludf.DUMMYFUNCTION("""COMPUTED_VALUE"""),0.0)</f>
        <v>0</v>
      </c>
      <c r="W179" s="8">
        <f>IFERROR(__xludf.DUMMYFUNCTION("""COMPUTED_VALUE"""),0.0)</f>
        <v>0</v>
      </c>
      <c r="X179" s="8">
        <f>IFERROR(__xludf.DUMMYFUNCTION("""COMPUTED_VALUE"""),0.0)</f>
        <v>0</v>
      </c>
      <c r="Y179" s="8">
        <f>IFERROR(__xludf.DUMMYFUNCTION("""COMPUTED_VALUE"""),0.0)</f>
        <v>0</v>
      </c>
      <c r="Z179" s="8">
        <f>IFERROR(__xludf.DUMMYFUNCTION("""COMPUTED_VALUE"""),0.0)</f>
        <v>0</v>
      </c>
      <c r="AA179" s="8">
        <f>IFERROR(__xludf.DUMMYFUNCTION("""COMPUTED_VALUE"""),0.0)</f>
        <v>0</v>
      </c>
      <c r="AB179" s="8">
        <f>IFERROR(__xludf.DUMMYFUNCTION("""COMPUTED_VALUE"""),0.0)</f>
        <v>0</v>
      </c>
      <c r="AC179" s="8">
        <f>IFERROR(__xludf.DUMMYFUNCTION("""COMPUTED_VALUE"""),0.0)</f>
        <v>0</v>
      </c>
    </row>
    <row r="180" ht="15.75" customHeight="1">
      <c r="A180" s="6" t="str">
        <f>IFERROR(__xludf.DUMMYFUNCTION("""COMPUTED_VALUE"""),"a48f5e77f994307c8a39968302f28c62b0c654af")</f>
        <v>a48f5e77f994307c8a39968302f28c62b0c654af</v>
      </c>
      <c r="B180" s="6" t="str">
        <f>IFERROR(__xludf.DUMMYFUNCTION("""COMPUTED_VALUE"""),"Battle Master")</f>
        <v>Battle Master</v>
      </c>
      <c r="C180" s="6" t="str">
        <f>IFERROR(__xludf.DUMMYFUNCTION("""COMPUTED_VALUE"""),"Fantasy")</f>
        <v>Fantasy</v>
      </c>
      <c r="D180" s="11">
        <f>IFERROR(__xludf.DUMMYFUNCTION("""COMPUTED_VALUE"""),318.0)</f>
        <v>318</v>
      </c>
      <c r="E180" s="8">
        <f>IFERROR(__xludf.DUMMYFUNCTION("""COMPUTED_VALUE"""),0.984276729559748)</f>
        <v>0.9842767296</v>
      </c>
      <c r="F180" s="8">
        <f>IFERROR(__xludf.DUMMYFUNCTION("""COMPUTED_VALUE"""),0.641509433962264)</f>
        <v>0.641509434</v>
      </c>
      <c r="G180" s="8">
        <f>IFERROR(__xludf.DUMMYFUNCTION("""COMPUTED_VALUE"""),0.597484276729559)</f>
        <v>0.5974842767</v>
      </c>
      <c r="H180" s="8">
        <f>IFERROR(__xludf.DUMMYFUNCTION("""COMPUTED_VALUE"""),0.467391304347826)</f>
        <v>0.4673913043</v>
      </c>
      <c r="I180" s="8">
        <f>IFERROR(__xludf.DUMMYFUNCTION("""COMPUTED_VALUE"""),0.446428571428571)</f>
        <v>0.4464285714</v>
      </c>
      <c r="J180" s="8">
        <f>IFERROR(__xludf.DUMMYFUNCTION("""COMPUTED_VALUE"""),0.466666666666666)</f>
        <v>0.4666666667</v>
      </c>
      <c r="K180" s="8">
        <f>IFERROR(__xludf.DUMMYFUNCTION("""COMPUTED_VALUE"""),1.0)</f>
        <v>1</v>
      </c>
      <c r="L180" s="8">
        <f>IFERROR(__xludf.DUMMYFUNCTION("""COMPUTED_VALUE"""),0.0)</f>
        <v>0</v>
      </c>
      <c r="M180" s="8">
        <f>IFERROR(__xludf.DUMMYFUNCTION("""COMPUTED_VALUE"""),0.0)</f>
        <v>0</v>
      </c>
      <c r="N180" s="8">
        <f>IFERROR(__xludf.DUMMYFUNCTION("""COMPUTED_VALUE"""),0.0)</f>
        <v>0</v>
      </c>
      <c r="O180" s="8">
        <f>IFERROR(__xludf.DUMMYFUNCTION("""COMPUTED_VALUE"""),0.0)</f>
        <v>0</v>
      </c>
      <c r="P180" s="8">
        <f>IFERROR(__xludf.DUMMYFUNCTION("""COMPUTED_VALUE"""),0.0)</f>
        <v>0</v>
      </c>
      <c r="Q180" s="8">
        <f>IFERROR(__xludf.DUMMYFUNCTION("""COMPUTED_VALUE"""),0.0)</f>
        <v>0</v>
      </c>
      <c r="R180" s="8">
        <f>IFERROR(__xludf.DUMMYFUNCTION("""COMPUTED_VALUE"""),0.0)</f>
        <v>0</v>
      </c>
      <c r="S180" s="8">
        <f>IFERROR(__xludf.DUMMYFUNCTION("""COMPUTED_VALUE"""),0.0)</f>
        <v>0</v>
      </c>
      <c r="T180" s="8">
        <f>IFERROR(__xludf.DUMMYFUNCTION("""COMPUTED_VALUE"""),0.0)</f>
        <v>0</v>
      </c>
      <c r="U180" s="8">
        <f>IFERROR(__xludf.DUMMYFUNCTION("""COMPUTED_VALUE"""),0.0)</f>
        <v>0</v>
      </c>
      <c r="V180" s="8">
        <f>IFERROR(__xludf.DUMMYFUNCTION("""COMPUTED_VALUE"""),0.0)</f>
        <v>0</v>
      </c>
      <c r="W180" s="8">
        <f>IFERROR(__xludf.DUMMYFUNCTION("""COMPUTED_VALUE"""),0.0)</f>
        <v>0</v>
      </c>
      <c r="X180" s="8">
        <f>IFERROR(__xludf.DUMMYFUNCTION("""COMPUTED_VALUE"""),0.0)</f>
        <v>0</v>
      </c>
      <c r="Y180" s="8">
        <f>IFERROR(__xludf.DUMMYFUNCTION("""COMPUTED_VALUE"""),0.0)</f>
        <v>0</v>
      </c>
      <c r="Z180" s="8">
        <f>IFERROR(__xludf.DUMMYFUNCTION("""COMPUTED_VALUE"""),0.0)</f>
        <v>0</v>
      </c>
      <c r="AA180" s="8">
        <f>IFERROR(__xludf.DUMMYFUNCTION("""COMPUTED_VALUE"""),0.0)</f>
        <v>0</v>
      </c>
      <c r="AB180" s="8">
        <f>IFERROR(__xludf.DUMMYFUNCTION("""COMPUTED_VALUE"""),0.0)</f>
        <v>0</v>
      </c>
      <c r="AC180" s="8">
        <f>IFERROR(__xludf.DUMMYFUNCTION("""COMPUTED_VALUE"""),0.0)</f>
        <v>0</v>
      </c>
    </row>
    <row r="181" ht="15.75" customHeight="1">
      <c r="A181" s="6" t="str">
        <f>IFERROR(__xludf.DUMMYFUNCTION("""COMPUTED_VALUE"""),"a4dd4053a025d38e2c0410dbcf348862c41c4c5b")</f>
        <v>a4dd4053a025d38e2c0410dbcf348862c41c4c5b</v>
      </c>
      <c r="B181" s="6" t="str">
        <f>IFERROR(__xludf.DUMMYFUNCTION("""COMPUTED_VALUE"""),"Twin Betrayal, Enemy Love")</f>
        <v>Twin Betrayal, Enemy Love</v>
      </c>
      <c r="C181" s="6" t="str">
        <f>IFERROR(__xludf.DUMMYFUNCTION("""COMPUTED_VALUE"""),"Romance")</f>
        <v>Romance</v>
      </c>
      <c r="D181" s="11">
        <f>IFERROR(__xludf.DUMMYFUNCTION("""COMPUTED_VALUE"""),87.0)</f>
        <v>87</v>
      </c>
      <c r="E181" s="8">
        <f>IFERROR(__xludf.DUMMYFUNCTION("""COMPUTED_VALUE"""),0.96551724137931)</f>
        <v>0.9655172414</v>
      </c>
      <c r="F181" s="8">
        <f>IFERROR(__xludf.DUMMYFUNCTION("""COMPUTED_VALUE"""),0.632183908045977)</f>
        <v>0.632183908</v>
      </c>
      <c r="G181" s="8">
        <f>IFERROR(__xludf.DUMMYFUNCTION("""COMPUTED_VALUE"""),0.517241379310344)</f>
        <v>0.5172413793</v>
      </c>
      <c r="H181" s="8">
        <f>IFERROR(__xludf.DUMMYFUNCTION("""COMPUTED_VALUE"""),0.482758620689655)</f>
        <v>0.4827586207</v>
      </c>
      <c r="I181" s="8">
        <f>IFERROR(__xludf.DUMMYFUNCTION("""COMPUTED_VALUE"""),0.471264367816091)</f>
        <v>0.4712643678</v>
      </c>
      <c r="J181" s="8">
        <f>IFERROR(__xludf.DUMMYFUNCTION("""COMPUTED_VALUE"""),0.436781609195402)</f>
        <v>0.4367816092</v>
      </c>
      <c r="K181" s="8">
        <f>IFERROR(__xludf.DUMMYFUNCTION("""COMPUTED_VALUE"""),0.413793103448275)</f>
        <v>0.4137931034</v>
      </c>
      <c r="L181" s="8">
        <f>IFERROR(__xludf.DUMMYFUNCTION("""COMPUTED_VALUE"""),0.379310344827586)</f>
        <v>0.3793103448</v>
      </c>
      <c r="M181" s="8">
        <f>IFERROR(__xludf.DUMMYFUNCTION("""COMPUTED_VALUE"""),0.32183908045977)</f>
        <v>0.3218390805</v>
      </c>
      <c r="N181" s="8">
        <f>IFERROR(__xludf.DUMMYFUNCTION("""COMPUTED_VALUE"""),0.264367816091954)</f>
        <v>0.2643678161</v>
      </c>
      <c r="O181" s="8">
        <f>IFERROR(__xludf.DUMMYFUNCTION("""COMPUTED_VALUE"""),0.229885057471264)</f>
        <v>0.2298850575</v>
      </c>
      <c r="P181" s="8">
        <f>IFERROR(__xludf.DUMMYFUNCTION("""COMPUTED_VALUE"""),0.129411764705882)</f>
        <v>0.1294117647</v>
      </c>
      <c r="Q181" s="8">
        <f>IFERROR(__xludf.DUMMYFUNCTION("""COMPUTED_VALUE"""),0.0952380952380952)</f>
        <v>0.09523809524</v>
      </c>
      <c r="R181" s="8">
        <f>IFERROR(__xludf.DUMMYFUNCTION("""COMPUTED_VALUE"""),0.0704225352112676)</f>
        <v>0.07042253521</v>
      </c>
      <c r="S181" s="8">
        <f>IFERROR(__xludf.DUMMYFUNCTION("""COMPUTED_VALUE"""),0.0163934426229508)</f>
        <v>0.01639344262</v>
      </c>
      <c r="T181" s="8">
        <f>IFERROR(__xludf.DUMMYFUNCTION("""COMPUTED_VALUE"""),0.0)</f>
        <v>0</v>
      </c>
      <c r="U181" s="8">
        <f>IFERROR(__xludf.DUMMYFUNCTION("""COMPUTED_VALUE"""),0.0)</f>
        <v>0</v>
      </c>
      <c r="V181" s="8">
        <f>IFERROR(__xludf.DUMMYFUNCTION("""COMPUTED_VALUE"""),0.0)</f>
        <v>0</v>
      </c>
      <c r="W181" s="8">
        <f>IFERROR(__xludf.DUMMYFUNCTION("""COMPUTED_VALUE"""),0.0)</f>
        <v>0</v>
      </c>
      <c r="X181" s="8">
        <f>IFERROR(__xludf.DUMMYFUNCTION("""COMPUTED_VALUE"""),0.0)</f>
        <v>0</v>
      </c>
      <c r="Y181" s="8">
        <f>IFERROR(__xludf.DUMMYFUNCTION("""COMPUTED_VALUE"""),0.0)</f>
        <v>0</v>
      </c>
      <c r="Z181" s="8">
        <f>IFERROR(__xludf.DUMMYFUNCTION("""COMPUTED_VALUE"""),0.0)</f>
        <v>0</v>
      </c>
      <c r="AA181" s="8">
        <f>IFERROR(__xludf.DUMMYFUNCTION("""COMPUTED_VALUE"""),0.0)</f>
        <v>0</v>
      </c>
      <c r="AB181" s="8">
        <f>IFERROR(__xludf.DUMMYFUNCTION("""COMPUTED_VALUE"""),0.0)</f>
        <v>0</v>
      </c>
      <c r="AC181" s="8">
        <f>IFERROR(__xludf.DUMMYFUNCTION("""COMPUTED_VALUE"""),0.0)</f>
        <v>0</v>
      </c>
    </row>
    <row r="182" ht="15.75" customHeight="1">
      <c r="A182" s="6" t="str">
        <f>IFERROR(__xludf.DUMMYFUNCTION("""COMPUTED_VALUE"""),"a58a0944241952550b248f5ed8bc3d2647482fe5")</f>
        <v>a58a0944241952550b248f5ed8bc3d2647482fe5</v>
      </c>
      <c r="B182" s="6" t="str">
        <f>IFERROR(__xludf.DUMMYFUNCTION("""COMPUTED_VALUE"""),"Miraculous Eyes")</f>
        <v>Miraculous Eyes</v>
      </c>
      <c r="C182" s="6" t="str">
        <f>IFERROR(__xludf.DUMMYFUNCTION("""COMPUTED_VALUE"""),"Drama")</f>
        <v>Drama</v>
      </c>
      <c r="D182" s="11">
        <f>IFERROR(__xludf.DUMMYFUNCTION("""COMPUTED_VALUE"""),515.0)</f>
        <v>515</v>
      </c>
      <c r="E182" s="8">
        <f>IFERROR(__xludf.DUMMYFUNCTION("""COMPUTED_VALUE"""),0.984466019417475)</f>
        <v>0.9844660194</v>
      </c>
      <c r="F182" s="8">
        <f>IFERROR(__xludf.DUMMYFUNCTION("""COMPUTED_VALUE"""),0.633009708737864)</f>
        <v>0.6330097087</v>
      </c>
      <c r="G182" s="8">
        <f>IFERROR(__xludf.DUMMYFUNCTION("""COMPUTED_VALUE"""),0.570873786407767)</f>
        <v>0.5708737864</v>
      </c>
      <c r="H182" s="8">
        <f>IFERROR(__xludf.DUMMYFUNCTION("""COMPUTED_VALUE"""),0.513618677042801)</f>
        <v>0.513618677</v>
      </c>
      <c r="I182" s="8">
        <f>IFERROR(__xludf.DUMMYFUNCTION("""COMPUTED_VALUE"""),0.453307392996108)</f>
        <v>0.453307393</v>
      </c>
      <c r="J182" s="8">
        <f>IFERROR(__xludf.DUMMYFUNCTION("""COMPUTED_VALUE"""),0.405458089668615)</f>
        <v>0.4054580897</v>
      </c>
      <c r="K182" s="8">
        <f>IFERROR(__xludf.DUMMYFUNCTION("""COMPUTED_VALUE"""),0.366471734892787)</f>
        <v>0.3664717349</v>
      </c>
      <c r="L182" s="8">
        <f>IFERROR(__xludf.DUMMYFUNCTION("""COMPUTED_VALUE"""),0.333984375)</f>
        <v>0.333984375</v>
      </c>
      <c r="M182" s="8">
        <f>IFERROR(__xludf.DUMMYFUNCTION("""COMPUTED_VALUE"""),0.32421875)</f>
        <v>0.32421875</v>
      </c>
      <c r="N182" s="8">
        <f>IFERROR(__xludf.DUMMYFUNCTION("""COMPUTED_VALUE"""),0.306640625)</f>
        <v>0.306640625</v>
      </c>
      <c r="O182" s="8">
        <f>IFERROR(__xludf.DUMMYFUNCTION("""COMPUTED_VALUE"""),0.224609375)</f>
        <v>0.224609375</v>
      </c>
      <c r="P182" s="8">
        <f>IFERROR(__xludf.DUMMYFUNCTION("""COMPUTED_VALUE"""),0.10546875)</f>
        <v>0.10546875</v>
      </c>
      <c r="Q182" s="8">
        <f>IFERROR(__xludf.DUMMYFUNCTION("""COMPUTED_VALUE"""),0.0126582278481012)</f>
        <v>0.01265822785</v>
      </c>
      <c r="R182" s="8">
        <f>IFERROR(__xludf.DUMMYFUNCTION("""COMPUTED_VALUE"""),0.0)</f>
        <v>0</v>
      </c>
      <c r="S182" s="8">
        <f>IFERROR(__xludf.DUMMYFUNCTION("""COMPUTED_VALUE"""),0.0)</f>
        <v>0</v>
      </c>
      <c r="T182" s="8">
        <f>IFERROR(__xludf.DUMMYFUNCTION("""COMPUTED_VALUE"""),0.0)</f>
        <v>0</v>
      </c>
      <c r="U182" s="8">
        <f>IFERROR(__xludf.DUMMYFUNCTION("""COMPUTED_VALUE"""),0.0)</f>
        <v>0</v>
      </c>
      <c r="V182" s="8">
        <f>IFERROR(__xludf.DUMMYFUNCTION("""COMPUTED_VALUE"""),0.0)</f>
        <v>0</v>
      </c>
      <c r="W182" s="8">
        <f>IFERROR(__xludf.DUMMYFUNCTION("""COMPUTED_VALUE"""),0.0)</f>
        <v>0</v>
      </c>
      <c r="X182" s="8">
        <f>IFERROR(__xludf.DUMMYFUNCTION("""COMPUTED_VALUE"""),0.0)</f>
        <v>0</v>
      </c>
      <c r="Y182" s="8">
        <f>IFERROR(__xludf.DUMMYFUNCTION("""COMPUTED_VALUE"""),0.0)</f>
        <v>0</v>
      </c>
      <c r="Z182" s="8">
        <f>IFERROR(__xludf.DUMMYFUNCTION("""COMPUTED_VALUE"""),0.0)</f>
        <v>0</v>
      </c>
      <c r="AA182" s="8">
        <f>IFERROR(__xludf.DUMMYFUNCTION("""COMPUTED_VALUE"""),0.0)</f>
        <v>0</v>
      </c>
      <c r="AB182" s="8">
        <f>IFERROR(__xludf.DUMMYFUNCTION("""COMPUTED_VALUE"""),0.0)</f>
        <v>0</v>
      </c>
      <c r="AC182" s="8">
        <f>IFERROR(__xludf.DUMMYFUNCTION("""COMPUTED_VALUE"""),0.0)</f>
        <v>0</v>
      </c>
    </row>
    <row r="183" ht="15.75" customHeight="1">
      <c r="A183" s="6" t="str">
        <f>IFERROR(__xludf.DUMMYFUNCTION("""COMPUTED_VALUE"""),"a6268ee1800866a09bab6b47c61f885556992b45")</f>
        <v>a6268ee1800866a09bab6b47c61f885556992b45</v>
      </c>
      <c r="B183" s="6" t="str">
        <f>IFERROR(__xludf.DUMMYFUNCTION("""COMPUTED_VALUE"""),"The System Creation: Intergalactic Entry")</f>
        <v>The System Creation: Intergalactic Entry</v>
      </c>
      <c r="C183" s="6" t="str">
        <f>IFERROR(__xludf.DUMMYFUNCTION("""COMPUTED_VALUE"""),"System and Superpower")</f>
        <v>System and Superpower</v>
      </c>
      <c r="D183" s="11">
        <f>IFERROR(__xludf.DUMMYFUNCTION("""COMPUTED_VALUE"""),7276.0)</f>
        <v>7276</v>
      </c>
      <c r="E183" s="8">
        <f>IFERROR(__xludf.DUMMYFUNCTION("""COMPUTED_VALUE"""),0.941176470588235)</f>
        <v>0.9411764706</v>
      </c>
      <c r="F183" s="8">
        <f>IFERROR(__xludf.DUMMYFUNCTION("""COMPUTED_VALUE"""),0.514156129741616)</f>
        <v>0.5141561297</v>
      </c>
      <c r="G183" s="8">
        <f>IFERROR(__xludf.DUMMYFUNCTION("""COMPUTED_VALUE"""),0.450522264980758)</f>
        <v>0.450522265</v>
      </c>
      <c r="H183" s="8">
        <f>IFERROR(__xludf.DUMMYFUNCTION("""COMPUTED_VALUE"""),0.407565337001375)</f>
        <v>0.407565337</v>
      </c>
      <c r="I183" s="8">
        <f>IFERROR(__xludf.DUMMYFUNCTION("""COMPUTED_VALUE"""),0.38670154185022)</f>
        <v>0.3867015419</v>
      </c>
      <c r="J183" s="8">
        <f>IFERROR(__xludf.DUMMYFUNCTION("""COMPUTED_VALUE"""),0.366629925599338)</f>
        <v>0.3666299256</v>
      </c>
      <c r="K183" s="8">
        <f>IFERROR(__xludf.DUMMYFUNCTION("""COMPUTED_VALUE"""),0.355261343262998)</f>
        <v>0.3552613433</v>
      </c>
      <c r="L183" s="8">
        <f>IFERROR(__xludf.DUMMYFUNCTION("""COMPUTED_VALUE"""),0.34368958851146)</f>
        <v>0.3436895885</v>
      </c>
      <c r="M183" s="8">
        <f>IFERROR(__xludf.DUMMYFUNCTION("""COMPUTED_VALUE"""),0.327991157778391)</f>
        <v>0.3279911578</v>
      </c>
      <c r="N183" s="8">
        <f>IFERROR(__xludf.DUMMYFUNCTION("""COMPUTED_VALUE"""),0.314064444751763)</f>
        <v>0.3140644448</v>
      </c>
      <c r="O183" s="8">
        <f>IFERROR(__xludf.DUMMYFUNCTION("""COMPUTED_VALUE"""),0.288885805466907)</f>
        <v>0.2888858055</v>
      </c>
      <c r="P183" s="8">
        <f>IFERROR(__xludf.DUMMYFUNCTION("""COMPUTED_VALUE"""),0.239163763066202)</f>
        <v>0.2391637631</v>
      </c>
      <c r="Q183" s="8">
        <f>IFERROR(__xludf.DUMMYFUNCTION("""COMPUTED_VALUE"""),0.18797521824838)</f>
        <v>0.1879752182</v>
      </c>
      <c r="R183" s="8">
        <f>IFERROR(__xludf.DUMMYFUNCTION("""COMPUTED_VALUE"""),0.166690230453838)</f>
        <v>0.1666902305</v>
      </c>
      <c r="S183" s="8">
        <f>IFERROR(__xludf.DUMMYFUNCTION("""COMPUTED_VALUE"""),0.148558443402925)</f>
        <v>0.1485584434</v>
      </c>
      <c r="T183" s="8">
        <f>IFERROR(__xludf.DUMMYFUNCTION("""COMPUTED_VALUE"""),0.13716814159292)</f>
        <v>0.1371681416</v>
      </c>
      <c r="U183" s="8">
        <f>IFERROR(__xludf.DUMMYFUNCTION("""COMPUTED_VALUE"""),0.126756524232864)</f>
        <v>0.1267565242</v>
      </c>
      <c r="V183" s="8">
        <f>IFERROR(__xludf.DUMMYFUNCTION("""COMPUTED_VALUE"""),0.119181438247586)</f>
        <v>0.1191814382</v>
      </c>
      <c r="W183" s="8">
        <f>IFERROR(__xludf.DUMMYFUNCTION("""COMPUTED_VALUE"""),0.108088554478367)</f>
        <v>0.1080885545</v>
      </c>
      <c r="X183" s="8">
        <f>IFERROR(__xludf.DUMMYFUNCTION("""COMPUTED_VALUE"""),0.0972626674432149)</f>
        <v>0.09726266744</v>
      </c>
      <c r="Y183" s="8">
        <f>IFERROR(__xludf.DUMMYFUNCTION("""COMPUTED_VALUE"""),0.0806704260651629)</f>
        <v>0.08067042607</v>
      </c>
      <c r="Z183" s="8">
        <f>IFERROR(__xludf.DUMMYFUNCTION("""COMPUTED_VALUE"""),0.0706936608031861)</f>
        <v>0.0706936608</v>
      </c>
      <c r="AA183" s="8">
        <f>IFERROR(__xludf.DUMMYFUNCTION("""COMPUTED_VALUE"""),0.0637318106465279)</f>
        <v>0.06373181065</v>
      </c>
      <c r="AB183" s="8">
        <f>IFERROR(__xludf.DUMMYFUNCTION("""COMPUTED_VALUE"""),0.052465233881163)</f>
        <v>0.05246523388</v>
      </c>
      <c r="AC183" s="8">
        <f>IFERROR(__xludf.DUMMYFUNCTION("""COMPUTED_VALUE"""),0.0413542926239419)</f>
        <v>0.04135429262</v>
      </c>
    </row>
    <row r="184" ht="15.75" customHeight="1">
      <c r="A184" s="6" t="str">
        <f>IFERROR(__xludf.DUMMYFUNCTION("""COMPUTED_VALUE"""),"a6f94887cb30090252bc97e34a7a53c7a6555b8d")</f>
        <v>a6f94887cb30090252bc97e34a7a53c7a6555b8d</v>
      </c>
      <c r="B184" s="6" t="str">
        <f>IFERROR(__xludf.DUMMYFUNCTION("""COMPUTED_VALUE"""),"A Surrogate Bride for a Paralyzed Ceo")</f>
        <v>A Surrogate Bride for a Paralyzed Ceo</v>
      </c>
      <c r="C184" s="6" t="str">
        <f>IFERROR(__xludf.DUMMYFUNCTION("""COMPUTED_VALUE"""),"Drama")</f>
        <v>Drama</v>
      </c>
      <c r="D184" s="11">
        <f>IFERROR(__xludf.DUMMYFUNCTION("""COMPUTED_VALUE"""),900.0)</f>
        <v>900</v>
      </c>
      <c r="E184" s="8">
        <f>IFERROR(__xludf.DUMMYFUNCTION("""COMPUTED_VALUE"""),0.893333333333333)</f>
        <v>0.8933333333</v>
      </c>
      <c r="F184" s="8">
        <f>IFERROR(__xludf.DUMMYFUNCTION("""COMPUTED_VALUE"""),0.55)</f>
        <v>0.55</v>
      </c>
      <c r="G184" s="8">
        <f>IFERROR(__xludf.DUMMYFUNCTION("""COMPUTED_VALUE"""),0.494444444444444)</f>
        <v>0.4944444444</v>
      </c>
      <c r="H184" s="8">
        <f>IFERROR(__xludf.DUMMYFUNCTION("""COMPUTED_VALUE"""),0.458888888888888)</f>
        <v>0.4588888889</v>
      </c>
      <c r="I184" s="8">
        <f>IFERROR(__xludf.DUMMYFUNCTION("""COMPUTED_VALUE"""),0.441111111111111)</f>
        <v>0.4411111111</v>
      </c>
      <c r="J184" s="8">
        <f>IFERROR(__xludf.DUMMYFUNCTION("""COMPUTED_VALUE"""),0.426666666666666)</f>
        <v>0.4266666667</v>
      </c>
      <c r="K184" s="8">
        <f>IFERROR(__xludf.DUMMYFUNCTION("""COMPUTED_VALUE"""),0.414444444444444)</f>
        <v>0.4144444444</v>
      </c>
      <c r="L184" s="8">
        <f>IFERROR(__xludf.DUMMYFUNCTION("""COMPUTED_VALUE"""),0.383333333333333)</f>
        <v>0.3833333333</v>
      </c>
      <c r="M184" s="8">
        <f>IFERROR(__xludf.DUMMYFUNCTION("""COMPUTED_VALUE"""),0.367777777777777)</f>
        <v>0.3677777778</v>
      </c>
      <c r="N184" s="8">
        <f>IFERROR(__xludf.DUMMYFUNCTION("""COMPUTED_VALUE"""),0.35706340378198)</f>
        <v>0.3570634038</v>
      </c>
      <c r="O184" s="8">
        <f>IFERROR(__xludf.DUMMYFUNCTION("""COMPUTED_VALUE"""),0.312569521690767)</f>
        <v>0.3125695217</v>
      </c>
      <c r="P184" s="8">
        <f>IFERROR(__xludf.DUMMYFUNCTION("""COMPUTED_VALUE"""),0.273942093541202)</f>
        <v>0.2739420935</v>
      </c>
      <c r="Q184" s="8">
        <f>IFERROR(__xludf.DUMMYFUNCTION("""COMPUTED_VALUE"""),0.217149220489977)</f>
        <v>0.2171492205</v>
      </c>
      <c r="R184" s="8">
        <f>IFERROR(__xludf.DUMMYFUNCTION("""COMPUTED_VALUE"""),0.178173719376391)</f>
        <v>0.1781737194</v>
      </c>
      <c r="S184" s="8">
        <f>IFERROR(__xludf.DUMMYFUNCTION("""COMPUTED_VALUE"""),0.15625)</f>
        <v>0.15625</v>
      </c>
      <c r="T184" s="8">
        <f>IFERROR(__xludf.DUMMYFUNCTION("""COMPUTED_VALUE"""),0.137276785714285)</f>
        <v>0.1372767857</v>
      </c>
      <c r="U184" s="8">
        <f>IFERROR(__xludf.DUMMYFUNCTION("""COMPUTED_VALUE"""),0.129608938547486)</f>
        <v>0.1296089385</v>
      </c>
      <c r="V184" s="8">
        <f>IFERROR(__xludf.DUMMYFUNCTION("""COMPUTED_VALUE"""),0.0971563981042654)</f>
        <v>0.0971563981</v>
      </c>
      <c r="W184" s="8">
        <f>IFERROR(__xludf.DUMMYFUNCTION("""COMPUTED_VALUE"""),0.0929878048780487)</f>
        <v>0.09298780488</v>
      </c>
      <c r="X184" s="8">
        <f>IFERROR(__xludf.DUMMYFUNCTION("""COMPUTED_VALUE"""),0.0891608391608391)</f>
        <v>0.08916083916</v>
      </c>
      <c r="Y184" s="8">
        <f>IFERROR(__xludf.DUMMYFUNCTION("""COMPUTED_VALUE"""),0.0679012345679012)</f>
        <v>0.06790123457</v>
      </c>
      <c r="Z184" s="8">
        <f>IFERROR(__xludf.DUMMYFUNCTION("""COMPUTED_VALUE"""),0.0628742514970059)</f>
        <v>0.0628742515</v>
      </c>
      <c r="AA184" s="8">
        <f>IFERROR(__xludf.DUMMYFUNCTION("""COMPUTED_VALUE"""),0.0592334494773519)</f>
        <v>0.05923344948</v>
      </c>
      <c r="AB184" s="8">
        <f>IFERROR(__xludf.DUMMYFUNCTION("""COMPUTED_VALUE"""),0.0389105058365758)</f>
        <v>0.03891050584</v>
      </c>
      <c r="AC184" s="8">
        <f>IFERROR(__xludf.DUMMYFUNCTION("""COMPUTED_VALUE"""),0.017391304347826)</f>
        <v>0.01739130435</v>
      </c>
    </row>
    <row r="185" ht="15.75" customHeight="1">
      <c r="A185" s="6" t="str">
        <f>IFERROR(__xludf.DUMMYFUNCTION("""COMPUTED_VALUE"""),"a830c3a71510f0594792edb43a5e99b9da02d7e7")</f>
        <v>a830c3a71510f0594792edb43a5e99b9da02d7e7</v>
      </c>
      <c r="B185" s="6" t="str">
        <f>IFERROR(__xludf.DUMMYFUNCTION("""COMPUTED_VALUE"""),"Married to a Dying Prince")</f>
        <v>Married to a Dying Prince</v>
      </c>
      <c r="C185" s="6" t="str">
        <f>IFERROR(__xludf.DUMMYFUNCTION("""COMPUTED_VALUE"""),"Romantasy")</f>
        <v>Romantasy</v>
      </c>
      <c r="D185" s="11">
        <f>IFERROR(__xludf.DUMMYFUNCTION("""COMPUTED_VALUE"""),77.0)</f>
        <v>77</v>
      </c>
      <c r="E185" s="8">
        <f>IFERROR(__xludf.DUMMYFUNCTION("""COMPUTED_VALUE"""),0.987012987012987)</f>
        <v>0.987012987</v>
      </c>
      <c r="F185" s="8">
        <f>IFERROR(__xludf.DUMMYFUNCTION("""COMPUTED_VALUE"""),0.584415584415584)</f>
        <v>0.5844155844</v>
      </c>
      <c r="G185" s="8">
        <f>IFERROR(__xludf.DUMMYFUNCTION("""COMPUTED_VALUE"""),0.558441558441558)</f>
        <v>0.5584415584</v>
      </c>
      <c r="H185" s="8">
        <f>IFERROR(__xludf.DUMMYFUNCTION("""COMPUTED_VALUE"""),0.519480519480519)</f>
        <v>0.5194805195</v>
      </c>
      <c r="I185" s="8">
        <f>IFERROR(__xludf.DUMMYFUNCTION("""COMPUTED_VALUE"""),0.493506493506493)</f>
        <v>0.4935064935</v>
      </c>
      <c r="J185" s="8">
        <f>IFERROR(__xludf.DUMMYFUNCTION("""COMPUTED_VALUE"""),0.467532467532467)</f>
        <v>0.4675324675</v>
      </c>
      <c r="K185" s="8">
        <f>IFERROR(__xludf.DUMMYFUNCTION("""COMPUTED_VALUE"""),0.467532467532467)</f>
        <v>0.4675324675</v>
      </c>
      <c r="L185" s="8">
        <f>IFERROR(__xludf.DUMMYFUNCTION("""COMPUTED_VALUE"""),0.467532467532467)</f>
        <v>0.4675324675</v>
      </c>
      <c r="M185" s="8">
        <f>IFERROR(__xludf.DUMMYFUNCTION("""COMPUTED_VALUE"""),0.467532467532467)</f>
        <v>0.4675324675</v>
      </c>
      <c r="N185" s="8">
        <f>IFERROR(__xludf.DUMMYFUNCTION("""COMPUTED_VALUE"""),0.441558441558441)</f>
        <v>0.4415584416</v>
      </c>
      <c r="O185" s="8">
        <f>IFERROR(__xludf.DUMMYFUNCTION("""COMPUTED_VALUE"""),0.428571428571428)</f>
        <v>0.4285714286</v>
      </c>
      <c r="P185" s="8">
        <f>IFERROR(__xludf.DUMMYFUNCTION("""COMPUTED_VALUE"""),0.324675324675324)</f>
        <v>0.3246753247</v>
      </c>
      <c r="Q185" s="8">
        <f>IFERROR(__xludf.DUMMYFUNCTION("""COMPUTED_VALUE"""),0.213333333333333)</f>
        <v>0.2133333333</v>
      </c>
      <c r="R185" s="8">
        <f>IFERROR(__xludf.DUMMYFUNCTION("""COMPUTED_VALUE"""),0.0)</f>
        <v>0</v>
      </c>
      <c r="S185" s="8">
        <f>IFERROR(__xludf.DUMMYFUNCTION("""COMPUTED_VALUE"""),0.0)</f>
        <v>0</v>
      </c>
      <c r="T185" s="8">
        <f>IFERROR(__xludf.DUMMYFUNCTION("""COMPUTED_VALUE"""),0.0)</f>
        <v>0</v>
      </c>
      <c r="U185" s="8">
        <f>IFERROR(__xludf.DUMMYFUNCTION("""COMPUTED_VALUE"""),0.0)</f>
        <v>0</v>
      </c>
      <c r="V185" s="8">
        <f>IFERROR(__xludf.DUMMYFUNCTION("""COMPUTED_VALUE"""),0.0)</f>
        <v>0</v>
      </c>
      <c r="W185" s="8">
        <f>IFERROR(__xludf.DUMMYFUNCTION("""COMPUTED_VALUE"""),0.0)</f>
        <v>0</v>
      </c>
      <c r="X185" s="8">
        <f>IFERROR(__xludf.DUMMYFUNCTION("""COMPUTED_VALUE"""),0.0)</f>
        <v>0</v>
      </c>
      <c r="Y185" s="8">
        <f>IFERROR(__xludf.DUMMYFUNCTION("""COMPUTED_VALUE"""),0.0)</f>
        <v>0</v>
      </c>
      <c r="Z185" s="8">
        <f>IFERROR(__xludf.DUMMYFUNCTION("""COMPUTED_VALUE"""),0.0)</f>
        <v>0</v>
      </c>
      <c r="AA185" s="8">
        <f>IFERROR(__xludf.DUMMYFUNCTION("""COMPUTED_VALUE"""),0.0)</f>
        <v>0</v>
      </c>
      <c r="AB185" s="8">
        <f>IFERROR(__xludf.DUMMYFUNCTION("""COMPUTED_VALUE"""),0.0)</f>
        <v>0</v>
      </c>
      <c r="AC185" s="8">
        <f>IFERROR(__xludf.DUMMYFUNCTION("""COMPUTED_VALUE"""),0.0)</f>
        <v>0</v>
      </c>
    </row>
    <row r="186" ht="15.75" customHeight="1">
      <c r="A186" s="6" t="str">
        <f>IFERROR(__xludf.DUMMYFUNCTION("""COMPUTED_VALUE"""),"a877c7bd8a3facfb24f79b876674d1437dd52fb5")</f>
        <v>a877c7bd8a3facfb24f79b876674d1437dd52fb5</v>
      </c>
      <c r="B186" s="6" t="str">
        <f>IFERROR(__xludf.DUMMYFUNCTION("""COMPUTED_VALUE"""),"Dragon System Awakening")</f>
        <v>Dragon System Awakening</v>
      </c>
      <c r="C186" s="6" t="str">
        <f>IFERROR(__xludf.DUMMYFUNCTION("""COMPUTED_VALUE"""),"System and Superpower")</f>
        <v>System and Superpower</v>
      </c>
      <c r="D186" s="11">
        <f>IFERROR(__xludf.DUMMYFUNCTION("""COMPUTED_VALUE"""),16986.0)</f>
        <v>16986</v>
      </c>
      <c r="E186" s="8">
        <f>IFERROR(__xludf.DUMMYFUNCTION("""COMPUTED_VALUE"""),0.952961262215942)</f>
        <v>0.9529612622</v>
      </c>
      <c r="F186" s="8">
        <f>IFERROR(__xludf.DUMMYFUNCTION("""COMPUTED_VALUE"""),0.69527846461792)</f>
        <v>0.6952784646</v>
      </c>
      <c r="G186" s="8">
        <f>IFERROR(__xludf.DUMMYFUNCTION("""COMPUTED_VALUE"""),0.647218133647335)</f>
        <v>0.6472181336</v>
      </c>
      <c r="H186" s="8">
        <f>IFERROR(__xludf.DUMMYFUNCTION("""COMPUTED_VALUE"""),0.616445623342175)</f>
        <v>0.6164456233</v>
      </c>
      <c r="I186" s="8">
        <f>IFERROR(__xludf.DUMMYFUNCTION("""COMPUTED_VALUE"""),0.58693087992451)</f>
        <v>0.5869308799</v>
      </c>
      <c r="J186" s="8">
        <f>IFERROR(__xludf.DUMMYFUNCTION("""COMPUTED_VALUE"""),0.570770593445527)</f>
        <v>0.5707705934</v>
      </c>
      <c r="K186" s="8">
        <f>IFERROR(__xludf.DUMMYFUNCTION("""COMPUTED_VALUE"""),0.551701725360434)</f>
        <v>0.5517017254</v>
      </c>
      <c r="L186" s="8">
        <f>IFERROR(__xludf.DUMMYFUNCTION("""COMPUTED_VALUE"""),0.536526166232536)</f>
        <v>0.5365261662</v>
      </c>
      <c r="M186" s="8">
        <f>IFERROR(__xludf.DUMMYFUNCTION("""COMPUTED_VALUE"""),0.520263064344116)</f>
        <v>0.5202630643</v>
      </c>
      <c r="N186" s="8">
        <f>IFERROR(__xludf.DUMMYFUNCTION("""COMPUTED_VALUE"""),0.50590259239485)</f>
        <v>0.5059025924</v>
      </c>
      <c r="O186" s="8">
        <f>IFERROR(__xludf.DUMMYFUNCTION("""COMPUTED_VALUE"""),0.456948505280744)</f>
        <v>0.4569485053</v>
      </c>
      <c r="P186" s="8">
        <f>IFERROR(__xludf.DUMMYFUNCTION("""COMPUTED_VALUE"""),0.383216951601252)</f>
        <v>0.3832169516</v>
      </c>
      <c r="Q186" s="8">
        <f>IFERROR(__xludf.DUMMYFUNCTION("""COMPUTED_VALUE"""),0.295733956233095)</f>
        <v>0.2957339562</v>
      </c>
      <c r="R186" s="8">
        <f>IFERROR(__xludf.DUMMYFUNCTION("""COMPUTED_VALUE"""),0.25950713034776)</f>
        <v>0.2595071303</v>
      </c>
      <c r="S186" s="8">
        <f>IFERROR(__xludf.DUMMYFUNCTION("""COMPUTED_VALUE"""),0.233780918727915)</f>
        <v>0.2337809187</v>
      </c>
      <c r="T186" s="8">
        <f>IFERROR(__xludf.DUMMYFUNCTION("""COMPUTED_VALUE"""),0.209997378309883)</f>
        <v>0.2099973783</v>
      </c>
      <c r="U186" s="8">
        <f>IFERROR(__xludf.DUMMYFUNCTION("""COMPUTED_VALUE"""),0.191529510430862)</f>
        <v>0.1915295104</v>
      </c>
      <c r="V186" s="8">
        <f>IFERROR(__xludf.DUMMYFUNCTION("""COMPUTED_VALUE"""),0.167562724014336)</f>
        <v>0.167562724</v>
      </c>
      <c r="W186" s="8">
        <f>IFERROR(__xludf.DUMMYFUNCTION("""COMPUTED_VALUE"""),0.145949926362297)</f>
        <v>0.1459499264</v>
      </c>
      <c r="X186" s="8">
        <f>IFERROR(__xludf.DUMMYFUNCTION("""COMPUTED_VALUE"""),0.126793823796548)</f>
        <v>0.1267938238</v>
      </c>
      <c r="Y186" s="8">
        <f>IFERROR(__xludf.DUMMYFUNCTION("""COMPUTED_VALUE"""),0.0836550836550836)</f>
        <v>0.08365508366</v>
      </c>
      <c r="Z186" s="8">
        <f>IFERROR(__xludf.DUMMYFUNCTION("""COMPUTED_VALUE"""),0.0)</f>
        <v>0</v>
      </c>
      <c r="AA186" s="8">
        <f>IFERROR(__xludf.DUMMYFUNCTION("""COMPUTED_VALUE"""),0.0)</f>
        <v>0</v>
      </c>
      <c r="AB186" s="8">
        <f>IFERROR(__xludf.DUMMYFUNCTION("""COMPUTED_VALUE"""),0.0)</f>
        <v>0</v>
      </c>
      <c r="AC186" s="8">
        <f>IFERROR(__xludf.DUMMYFUNCTION("""COMPUTED_VALUE"""),0.0)</f>
        <v>0</v>
      </c>
    </row>
    <row r="187" ht="15.75" customHeight="1">
      <c r="A187" s="6" t="str">
        <f>IFERROR(__xludf.DUMMYFUNCTION("""COMPUTED_VALUE"""),"a901618b218023453e7ca53e9fa1d9940b094e69")</f>
        <v>a901618b218023453e7ca53e9fa1d9940b094e69</v>
      </c>
      <c r="B187" s="6" t="str">
        <f>IFERROR(__xludf.DUMMYFUNCTION("""COMPUTED_VALUE"""),"The Devil's New Assistant")</f>
        <v>The Devil's New Assistant</v>
      </c>
      <c r="C187" s="6" t="str">
        <f>IFERROR(__xludf.DUMMYFUNCTION("""COMPUTED_VALUE"""),"Romance")</f>
        <v>Romance</v>
      </c>
      <c r="D187" s="11">
        <f>IFERROR(__xludf.DUMMYFUNCTION("""COMPUTED_VALUE"""),10.0)</f>
        <v>10</v>
      </c>
      <c r="E187" s="8">
        <f>IFERROR(__xludf.DUMMYFUNCTION("""COMPUTED_VALUE"""),1.0)</f>
        <v>1</v>
      </c>
      <c r="F187" s="8">
        <f>IFERROR(__xludf.DUMMYFUNCTION("""COMPUTED_VALUE"""),0.3)</f>
        <v>0.3</v>
      </c>
      <c r="G187" s="8">
        <f>IFERROR(__xludf.DUMMYFUNCTION("""COMPUTED_VALUE"""),0.3)</f>
        <v>0.3</v>
      </c>
      <c r="H187" s="8">
        <f>IFERROR(__xludf.DUMMYFUNCTION("""COMPUTED_VALUE"""),0.333333333333333)</f>
        <v>0.3333333333</v>
      </c>
      <c r="I187" s="8">
        <f>IFERROR(__xludf.DUMMYFUNCTION("""COMPUTED_VALUE"""),0.25)</f>
        <v>0.25</v>
      </c>
      <c r="J187" s="8">
        <f>IFERROR(__xludf.DUMMYFUNCTION("""COMPUTED_VALUE"""),0.333333333333333)</f>
        <v>0.3333333333</v>
      </c>
      <c r="K187" s="8">
        <f>IFERROR(__xludf.DUMMYFUNCTION("""COMPUTED_VALUE"""),0.333333333333333)</f>
        <v>0.3333333333</v>
      </c>
      <c r="L187" s="8">
        <f>IFERROR(__xludf.DUMMYFUNCTION("""COMPUTED_VALUE"""),0.333333333333333)</f>
        <v>0.3333333333</v>
      </c>
      <c r="M187" s="8">
        <f>IFERROR(__xludf.DUMMYFUNCTION("""COMPUTED_VALUE"""),0.333333333333333)</f>
        <v>0.3333333333</v>
      </c>
      <c r="N187" s="8">
        <f>IFERROR(__xludf.DUMMYFUNCTION("""COMPUTED_VALUE"""),0.5)</f>
        <v>0.5</v>
      </c>
      <c r="O187" s="8">
        <f>IFERROR(__xludf.DUMMYFUNCTION("""COMPUTED_VALUE"""),0.5)</f>
        <v>0.5</v>
      </c>
      <c r="P187" s="8">
        <f>IFERROR(__xludf.DUMMYFUNCTION("""COMPUTED_VALUE"""),0.5)</f>
        <v>0.5</v>
      </c>
      <c r="Q187" s="8">
        <f>IFERROR(__xludf.DUMMYFUNCTION("""COMPUTED_VALUE"""),0.0)</f>
        <v>0</v>
      </c>
      <c r="R187" s="8">
        <f>IFERROR(__xludf.DUMMYFUNCTION("""COMPUTED_VALUE"""),0.0)</f>
        <v>0</v>
      </c>
      <c r="S187" s="8">
        <f>IFERROR(__xludf.DUMMYFUNCTION("""COMPUTED_VALUE"""),0.0)</f>
        <v>0</v>
      </c>
      <c r="T187" s="8">
        <f>IFERROR(__xludf.DUMMYFUNCTION("""COMPUTED_VALUE"""),0.0)</f>
        <v>0</v>
      </c>
      <c r="U187" s="8">
        <f>IFERROR(__xludf.DUMMYFUNCTION("""COMPUTED_VALUE"""),0.0)</f>
        <v>0</v>
      </c>
      <c r="V187" s="8">
        <f>IFERROR(__xludf.DUMMYFUNCTION("""COMPUTED_VALUE"""),0.0)</f>
        <v>0</v>
      </c>
      <c r="W187" s="8">
        <f>IFERROR(__xludf.DUMMYFUNCTION("""COMPUTED_VALUE"""),0.0)</f>
        <v>0</v>
      </c>
      <c r="X187" s="8">
        <f>IFERROR(__xludf.DUMMYFUNCTION("""COMPUTED_VALUE"""),0.0)</f>
        <v>0</v>
      </c>
      <c r="Y187" s="8">
        <f>IFERROR(__xludf.DUMMYFUNCTION("""COMPUTED_VALUE"""),0.0)</f>
        <v>0</v>
      </c>
      <c r="Z187" s="8">
        <f>IFERROR(__xludf.DUMMYFUNCTION("""COMPUTED_VALUE"""),0.0)</f>
        <v>0</v>
      </c>
      <c r="AA187" s="8">
        <f>IFERROR(__xludf.DUMMYFUNCTION("""COMPUTED_VALUE"""),0.0)</f>
        <v>0</v>
      </c>
      <c r="AB187" s="8">
        <f>IFERROR(__xludf.DUMMYFUNCTION("""COMPUTED_VALUE"""),0.0)</f>
        <v>0</v>
      </c>
      <c r="AC187" s="8">
        <f>IFERROR(__xludf.DUMMYFUNCTION("""COMPUTED_VALUE"""),0.0)</f>
        <v>0</v>
      </c>
    </row>
    <row r="188" ht="15.75" customHeight="1">
      <c r="A188" s="6" t="str">
        <f>IFERROR(__xludf.DUMMYFUNCTION("""COMPUTED_VALUE"""),"a92aaf29dca1833b578f42a2abbcdab8db2ff12e")</f>
        <v>a92aaf29dca1833b578f42a2abbcdab8db2ff12e</v>
      </c>
      <c r="B188" s="6" t="str">
        <f>IFERROR(__xludf.DUMMYFUNCTION("""COMPUTED_VALUE"""),"Bought for the Ice Ceo")</f>
        <v>Bought for the Ice Ceo</v>
      </c>
      <c r="C188" s="6" t="str">
        <f>IFERROR(__xludf.DUMMYFUNCTION("""COMPUTED_VALUE"""),"Romance")</f>
        <v>Romance</v>
      </c>
      <c r="D188" s="11">
        <f>IFERROR(__xludf.DUMMYFUNCTION("""COMPUTED_VALUE"""),75.0)</f>
        <v>75</v>
      </c>
      <c r="E188" s="8">
        <f>IFERROR(__xludf.DUMMYFUNCTION("""COMPUTED_VALUE"""),0.973333333333333)</f>
        <v>0.9733333333</v>
      </c>
      <c r="F188" s="8">
        <f>IFERROR(__xludf.DUMMYFUNCTION("""COMPUTED_VALUE"""),0.653333333333333)</f>
        <v>0.6533333333</v>
      </c>
      <c r="G188" s="8">
        <f>IFERROR(__xludf.DUMMYFUNCTION("""COMPUTED_VALUE"""),0.613333333333333)</f>
        <v>0.6133333333</v>
      </c>
      <c r="H188" s="8">
        <f>IFERROR(__xludf.DUMMYFUNCTION("""COMPUTED_VALUE"""),0.586666666666666)</f>
        <v>0.5866666667</v>
      </c>
      <c r="I188" s="8">
        <f>IFERROR(__xludf.DUMMYFUNCTION("""COMPUTED_VALUE"""),0.533333333333333)</f>
        <v>0.5333333333</v>
      </c>
      <c r="J188" s="8">
        <f>IFERROR(__xludf.DUMMYFUNCTION("""COMPUTED_VALUE"""),0.493333333333333)</f>
        <v>0.4933333333</v>
      </c>
      <c r="K188" s="8">
        <f>IFERROR(__xludf.DUMMYFUNCTION("""COMPUTED_VALUE"""),0.48)</f>
        <v>0.48</v>
      </c>
      <c r="L188" s="8">
        <f>IFERROR(__xludf.DUMMYFUNCTION("""COMPUTED_VALUE"""),0.466666666666666)</f>
        <v>0.4666666667</v>
      </c>
      <c r="M188" s="8">
        <f>IFERROR(__xludf.DUMMYFUNCTION("""COMPUTED_VALUE"""),0.426666666666666)</f>
        <v>0.4266666667</v>
      </c>
      <c r="N188" s="8">
        <f>IFERROR(__xludf.DUMMYFUNCTION("""COMPUTED_VALUE"""),0.413333333333333)</f>
        <v>0.4133333333</v>
      </c>
      <c r="O188" s="8">
        <f>IFERROR(__xludf.DUMMYFUNCTION("""COMPUTED_VALUE"""),0.346666666666666)</f>
        <v>0.3466666667</v>
      </c>
      <c r="P188" s="8">
        <f>IFERROR(__xludf.DUMMYFUNCTION("""COMPUTED_VALUE"""),0.16)</f>
        <v>0.16</v>
      </c>
      <c r="Q188" s="8">
        <f>IFERROR(__xludf.DUMMYFUNCTION("""COMPUTED_VALUE"""),0.0694444444444444)</f>
        <v>0.06944444444</v>
      </c>
      <c r="R188" s="8">
        <f>IFERROR(__xludf.DUMMYFUNCTION("""COMPUTED_VALUE"""),0.0)</f>
        <v>0</v>
      </c>
      <c r="S188" s="8">
        <f>IFERROR(__xludf.DUMMYFUNCTION("""COMPUTED_VALUE"""),0.0)</f>
        <v>0</v>
      </c>
      <c r="T188" s="8">
        <f>IFERROR(__xludf.DUMMYFUNCTION("""COMPUTED_VALUE"""),0.0)</f>
        <v>0</v>
      </c>
      <c r="U188" s="8">
        <f>IFERROR(__xludf.DUMMYFUNCTION("""COMPUTED_VALUE"""),0.0)</f>
        <v>0</v>
      </c>
      <c r="V188" s="8">
        <f>IFERROR(__xludf.DUMMYFUNCTION("""COMPUTED_VALUE"""),0.0)</f>
        <v>0</v>
      </c>
      <c r="W188" s="8">
        <f>IFERROR(__xludf.DUMMYFUNCTION("""COMPUTED_VALUE"""),0.0)</f>
        <v>0</v>
      </c>
      <c r="X188" s="8">
        <f>IFERROR(__xludf.DUMMYFUNCTION("""COMPUTED_VALUE"""),0.0)</f>
        <v>0</v>
      </c>
      <c r="Y188" s="8">
        <f>IFERROR(__xludf.DUMMYFUNCTION("""COMPUTED_VALUE"""),0.0)</f>
        <v>0</v>
      </c>
      <c r="Z188" s="8">
        <f>IFERROR(__xludf.DUMMYFUNCTION("""COMPUTED_VALUE"""),0.0)</f>
        <v>0</v>
      </c>
      <c r="AA188" s="8">
        <f>IFERROR(__xludf.DUMMYFUNCTION("""COMPUTED_VALUE"""),0.0)</f>
        <v>0</v>
      </c>
      <c r="AB188" s="8">
        <f>IFERROR(__xludf.DUMMYFUNCTION("""COMPUTED_VALUE"""),0.0)</f>
        <v>0</v>
      </c>
      <c r="AC188" s="8">
        <f>IFERROR(__xludf.DUMMYFUNCTION("""COMPUTED_VALUE"""),0.0)</f>
        <v>0</v>
      </c>
    </row>
    <row r="189" ht="15.75" customHeight="1">
      <c r="A189" s="6" t="str">
        <f>IFERROR(__xludf.DUMMYFUNCTION("""COMPUTED_VALUE"""),"a978831eb87b7d63024465fa4df9a779feeaaf5a")</f>
        <v>a978831eb87b7d63024465fa4df9a779feeaaf5a</v>
      </c>
      <c r="B189" s="6" t="str">
        <f>IFERROR(__xludf.DUMMYFUNCTION("""COMPUTED_VALUE"""),"Extreme Medical Sage")</f>
        <v>Extreme Medical Sage</v>
      </c>
      <c r="C189" s="6" t="str">
        <f>IFERROR(__xludf.DUMMYFUNCTION("""COMPUTED_VALUE"""),"Fantasy")</f>
        <v>Fantasy</v>
      </c>
      <c r="D189" s="11">
        <f>IFERROR(__xludf.DUMMYFUNCTION("""COMPUTED_VALUE"""),337.0)</f>
        <v>337</v>
      </c>
      <c r="E189" s="8">
        <f>IFERROR(__xludf.DUMMYFUNCTION("""COMPUTED_VALUE"""),0.964391691394658)</f>
        <v>0.9643916914</v>
      </c>
      <c r="F189" s="8">
        <f>IFERROR(__xludf.DUMMYFUNCTION("""COMPUTED_VALUE"""),0.676557863501483)</f>
        <v>0.6765578635</v>
      </c>
      <c r="G189" s="8">
        <f>IFERROR(__xludf.DUMMYFUNCTION("""COMPUTED_VALUE"""),0.56973293768546)</f>
        <v>0.5697329377</v>
      </c>
      <c r="H189" s="8">
        <f>IFERROR(__xludf.DUMMYFUNCTION("""COMPUTED_VALUE"""),0.565693430656934)</f>
        <v>0.5656934307</v>
      </c>
      <c r="I189" s="8">
        <f>IFERROR(__xludf.DUMMYFUNCTION("""COMPUTED_VALUE"""),0.526923076923076)</f>
        <v>0.5269230769</v>
      </c>
      <c r="J189" s="8">
        <f>IFERROR(__xludf.DUMMYFUNCTION("""COMPUTED_VALUE"""),0.514522821576763)</f>
        <v>0.5145228216</v>
      </c>
      <c r="K189" s="8">
        <f>IFERROR(__xludf.DUMMYFUNCTION("""COMPUTED_VALUE"""),0.467811158798283)</f>
        <v>0.4678111588</v>
      </c>
      <c r="L189" s="8">
        <f>IFERROR(__xludf.DUMMYFUNCTION("""COMPUTED_VALUE"""),0.438914027149321)</f>
        <v>0.4389140271</v>
      </c>
      <c r="M189" s="8">
        <f>IFERROR(__xludf.DUMMYFUNCTION("""COMPUTED_VALUE"""),0.428571428571428)</f>
        <v>0.4285714286</v>
      </c>
      <c r="N189" s="8">
        <f>IFERROR(__xludf.DUMMYFUNCTION("""COMPUTED_VALUE"""),0.443820224719101)</f>
        <v>0.4438202247</v>
      </c>
      <c r="O189" s="8">
        <f>IFERROR(__xludf.DUMMYFUNCTION("""COMPUTED_VALUE"""),0.416666666666666)</f>
        <v>0.4166666667</v>
      </c>
      <c r="P189" s="8">
        <f>IFERROR(__xludf.DUMMYFUNCTION("""COMPUTED_VALUE"""),0.308943089430894)</f>
        <v>0.3089430894</v>
      </c>
      <c r="Q189" s="8">
        <f>IFERROR(__xludf.DUMMYFUNCTION("""COMPUTED_VALUE"""),0.0625)</f>
        <v>0.0625</v>
      </c>
      <c r="R189" s="8">
        <f>IFERROR(__xludf.DUMMYFUNCTION("""COMPUTED_VALUE"""),0.032258064516129)</f>
        <v>0.03225806452</v>
      </c>
      <c r="S189" s="8">
        <f>IFERROR(__xludf.DUMMYFUNCTION("""COMPUTED_VALUE"""),0.0)</f>
        <v>0</v>
      </c>
      <c r="T189" s="8">
        <f>IFERROR(__xludf.DUMMYFUNCTION("""COMPUTED_VALUE"""),0.0)</f>
        <v>0</v>
      </c>
      <c r="U189" s="8">
        <f>IFERROR(__xludf.DUMMYFUNCTION("""COMPUTED_VALUE"""),0.0)</f>
        <v>0</v>
      </c>
      <c r="V189" s="8">
        <f>IFERROR(__xludf.DUMMYFUNCTION("""COMPUTED_VALUE"""),0.0)</f>
        <v>0</v>
      </c>
      <c r="W189" s="8">
        <f>IFERROR(__xludf.DUMMYFUNCTION("""COMPUTED_VALUE"""),0.0)</f>
        <v>0</v>
      </c>
      <c r="X189" s="8">
        <f>IFERROR(__xludf.DUMMYFUNCTION("""COMPUTED_VALUE"""),0.0)</f>
        <v>0</v>
      </c>
      <c r="Y189" s="8">
        <f>IFERROR(__xludf.DUMMYFUNCTION("""COMPUTED_VALUE"""),0.0)</f>
        <v>0</v>
      </c>
      <c r="Z189" s="8">
        <f>IFERROR(__xludf.DUMMYFUNCTION("""COMPUTED_VALUE"""),0.0)</f>
        <v>0</v>
      </c>
      <c r="AA189" s="8">
        <f>IFERROR(__xludf.DUMMYFUNCTION("""COMPUTED_VALUE"""),0.0)</f>
        <v>0</v>
      </c>
      <c r="AB189" s="8">
        <f>IFERROR(__xludf.DUMMYFUNCTION("""COMPUTED_VALUE"""),0.0)</f>
        <v>0</v>
      </c>
      <c r="AC189" s="8">
        <f>IFERROR(__xludf.DUMMYFUNCTION("""COMPUTED_VALUE"""),0.0)</f>
        <v>0</v>
      </c>
    </row>
    <row r="190" ht="15.75" customHeight="1">
      <c r="A190" s="6" t="str">
        <f>IFERROR(__xludf.DUMMYFUNCTION("""COMPUTED_VALUE"""),"a9dd2d51d9347ce1a50ee64d1a38a6c33539ebc1")</f>
        <v>a9dd2d51d9347ce1a50ee64d1a38a6c33539ebc1</v>
      </c>
      <c r="B190" s="6" t="str">
        <f>IFERROR(__xludf.DUMMYFUNCTION("""COMPUTED_VALUE"""),"Billionaires Love Me")</f>
        <v>Billionaires Love Me</v>
      </c>
      <c r="C190" s="6" t="str">
        <f>IFERROR(__xludf.DUMMYFUNCTION("""COMPUTED_VALUE"""),"Romance")</f>
        <v>Romance</v>
      </c>
      <c r="D190" s="11">
        <f>IFERROR(__xludf.DUMMYFUNCTION("""COMPUTED_VALUE"""),32.0)</f>
        <v>32</v>
      </c>
      <c r="E190" s="8">
        <f>IFERROR(__xludf.DUMMYFUNCTION("""COMPUTED_VALUE"""),0.96875)</f>
        <v>0.96875</v>
      </c>
      <c r="F190" s="8">
        <f>IFERROR(__xludf.DUMMYFUNCTION("""COMPUTED_VALUE"""),0.5625)</f>
        <v>0.5625</v>
      </c>
      <c r="G190" s="8">
        <f>IFERROR(__xludf.DUMMYFUNCTION("""COMPUTED_VALUE"""),0.46875)</f>
        <v>0.46875</v>
      </c>
      <c r="H190" s="8">
        <f>IFERROR(__xludf.DUMMYFUNCTION("""COMPUTED_VALUE"""),0.473684210526315)</f>
        <v>0.4736842105</v>
      </c>
      <c r="I190" s="8">
        <f>IFERROR(__xludf.DUMMYFUNCTION("""COMPUTED_VALUE"""),0.428571428571428)</f>
        <v>0.4285714286</v>
      </c>
      <c r="J190" s="8">
        <f>IFERROR(__xludf.DUMMYFUNCTION("""COMPUTED_VALUE"""),0.428571428571428)</f>
        <v>0.4285714286</v>
      </c>
      <c r="K190" s="8">
        <f>IFERROR(__xludf.DUMMYFUNCTION("""COMPUTED_VALUE"""),0.357142857142857)</f>
        <v>0.3571428571</v>
      </c>
      <c r="L190" s="8">
        <f>IFERROR(__xludf.DUMMYFUNCTION("""COMPUTED_VALUE"""),0.285714285714285)</f>
        <v>0.2857142857</v>
      </c>
      <c r="M190" s="8">
        <f>IFERROR(__xludf.DUMMYFUNCTION("""COMPUTED_VALUE"""),0.357142857142857)</f>
        <v>0.3571428571</v>
      </c>
      <c r="N190" s="8">
        <f>IFERROR(__xludf.DUMMYFUNCTION("""COMPUTED_VALUE"""),0.285714285714285)</f>
        <v>0.2857142857</v>
      </c>
      <c r="O190" s="8">
        <f>IFERROR(__xludf.DUMMYFUNCTION("""COMPUTED_VALUE"""),0.285714285714285)</f>
        <v>0.2857142857</v>
      </c>
      <c r="P190" s="8">
        <f>IFERROR(__xludf.DUMMYFUNCTION("""COMPUTED_VALUE"""),0.384615384615384)</f>
        <v>0.3846153846</v>
      </c>
      <c r="Q190" s="8">
        <f>IFERROR(__xludf.DUMMYFUNCTION("""COMPUTED_VALUE"""),0.2)</f>
        <v>0.2</v>
      </c>
      <c r="R190" s="8">
        <f>IFERROR(__xludf.DUMMYFUNCTION("""COMPUTED_VALUE"""),0.2)</f>
        <v>0.2</v>
      </c>
      <c r="S190" s="8">
        <f>IFERROR(__xludf.DUMMYFUNCTION("""COMPUTED_VALUE"""),0.0)</f>
        <v>0</v>
      </c>
      <c r="T190" s="8">
        <f>IFERROR(__xludf.DUMMYFUNCTION("""COMPUTED_VALUE"""),0.0)</f>
        <v>0</v>
      </c>
      <c r="U190" s="8">
        <f>IFERROR(__xludf.DUMMYFUNCTION("""COMPUTED_VALUE"""),0.0)</f>
        <v>0</v>
      </c>
      <c r="V190" s="8">
        <f>IFERROR(__xludf.DUMMYFUNCTION("""COMPUTED_VALUE"""),0.0)</f>
        <v>0</v>
      </c>
      <c r="W190" s="8">
        <f>IFERROR(__xludf.DUMMYFUNCTION("""COMPUTED_VALUE"""),0.0)</f>
        <v>0</v>
      </c>
      <c r="X190" s="8">
        <f>IFERROR(__xludf.DUMMYFUNCTION("""COMPUTED_VALUE"""),0.0)</f>
        <v>0</v>
      </c>
      <c r="Y190" s="8">
        <f>IFERROR(__xludf.DUMMYFUNCTION("""COMPUTED_VALUE"""),0.0)</f>
        <v>0</v>
      </c>
      <c r="Z190" s="8">
        <f>IFERROR(__xludf.DUMMYFUNCTION("""COMPUTED_VALUE"""),0.0)</f>
        <v>0</v>
      </c>
      <c r="AA190" s="8">
        <f>IFERROR(__xludf.DUMMYFUNCTION("""COMPUTED_VALUE"""),0.0)</f>
        <v>0</v>
      </c>
      <c r="AB190" s="8">
        <f>IFERROR(__xludf.DUMMYFUNCTION("""COMPUTED_VALUE"""),0.0)</f>
        <v>0</v>
      </c>
      <c r="AC190" s="8">
        <f>IFERROR(__xludf.DUMMYFUNCTION("""COMPUTED_VALUE"""),0.0)</f>
        <v>0</v>
      </c>
    </row>
    <row r="191" ht="15.75" customHeight="1">
      <c r="A191" s="6" t="str">
        <f>IFERROR(__xludf.DUMMYFUNCTION("""COMPUTED_VALUE"""),"aaa698f296d8b031a8ae9b94897fb07edda92f97")</f>
        <v>aaa698f296d8b031a8ae9b94897fb07edda92f97</v>
      </c>
      <c r="B191" s="6" t="str">
        <f>IFERROR(__xludf.DUMMYFUNCTION("""COMPUTED_VALUE"""),"A Heart Divided")</f>
        <v>A Heart Divided</v>
      </c>
      <c r="C191" s="6" t="str">
        <f>IFERROR(__xludf.DUMMYFUNCTION("""COMPUTED_VALUE"""),"Romance")</f>
        <v>Romance</v>
      </c>
      <c r="D191" s="11">
        <f>IFERROR(__xludf.DUMMYFUNCTION("""COMPUTED_VALUE"""),18.0)</f>
        <v>18</v>
      </c>
      <c r="E191" s="8">
        <f>IFERROR(__xludf.DUMMYFUNCTION("""COMPUTED_VALUE"""),0.944444444444444)</f>
        <v>0.9444444444</v>
      </c>
      <c r="F191" s="8">
        <f>IFERROR(__xludf.DUMMYFUNCTION("""COMPUTED_VALUE"""),0.666666666666666)</f>
        <v>0.6666666667</v>
      </c>
      <c r="G191" s="8">
        <f>IFERROR(__xludf.DUMMYFUNCTION("""COMPUTED_VALUE"""),0.611111111111111)</f>
        <v>0.6111111111</v>
      </c>
      <c r="H191" s="8">
        <f>IFERROR(__xludf.DUMMYFUNCTION("""COMPUTED_VALUE"""),0.611111111111111)</f>
        <v>0.6111111111</v>
      </c>
      <c r="I191" s="8">
        <f>IFERROR(__xludf.DUMMYFUNCTION("""COMPUTED_VALUE"""),0.611111111111111)</f>
        <v>0.6111111111</v>
      </c>
      <c r="J191" s="8">
        <f>IFERROR(__xludf.DUMMYFUNCTION("""COMPUTED_VALUE"""),0.611111111111111)</f>
        <v>0.6111111111</v>
      </c>
      <c r="K191" s="8">
        <f>IFERROR(__xludf.DUMMYFUNCTION("""COMPUTED_VALUE"""),0.555555555555555)</f>
        <v>0.5555555556</v>
      </c>
      <c r="L191" s="8">
        <f>IFERROR(__xludf.DUMMYFUNCTION("""COMPUTED_VALUE"""),0.555555555555555)</f>
        <v>0.5555555556</v>
      </c>
      <c r="M191" s="8">
        <f>IFERROR(__xludf.DUMMYFUNCTION("""COMPUTED_VALUE"""),0.555555555555555)</f>
        <v>0.5555555556</v>
      </c>
      <c r="N191" s="8">
        <f>IFERROR(__xludf.DUMMYFUNCTION("""COMPUTED_VALUE"""),0.555555555555555)</f>
        <v>0.5555555556</v>
      </c>
      <c r="O191" s="8">
        <f>IFERROR(__xludf.DUMMYFUNCTION("""COMPUTED_VALUE"""),0.333333333333333)</f>
        <v>0.3333333333</v>
      </c>
      <c r="P191" s="8">
        <f>IFERROR(__xludf.DUMMYFUNCTION("""COMPUTED_VALUE"""),0.222222222222222)</f>
        <v>0.2222222222</v>
      </c>
      <c r="Q191" s="8">
        <f>IFERROR(__xludf.DUMMYFUNCTION("""COMPUTED_VALUE"""),0.117647058823529)</f>
        <v>0.1176470588</v>
      </c>
      <c r="R191" s="8">
        <f>IFERROR(__xludf.DUMMYFUNCTION("""COMPUTED_VALUE"""),0.0588235294117647)</f>
        <v>0.05882352941</v>
      </c>
      <c r="S191" s="8">
        <f>IFERROR(__xludf.DUMMYFUNCTION("""COMPUTED_VALUE"""),0.0)</f>
        <v>0</v>
      </c>
      <c r="T191" s="8">
        <f>IFERROR(__xludf.DUMMYFUNCTION("""COMPUTED_VALUE"""),0.0)</f>
        <v>0</v>
      </c>
      <c r="U191" s="8">
        <f>IFERROR(__xludf.DUMMYFUNCTION("""COMPUTED_VALUE"""),0.0)</f>
        <v>0</v>
      </c>
      <c r="V191" s="8">
        <f>IFERROR(__xludf.DUMMYFUNCTION("""COMPUTED_VALUE"""),0.0)</f>
        <v>0</v>
      </c>
      <c r="W191" s="8">
        <f>IFERROR(__xludf.DUMMYFUNCTION("""COMPUTED_VALUE"""),0.0)</f>
        <v>0</v>
      </c>
      <c r="X191" s="8">
        <f>IFERROR(__xludf.DUMMYFUNCTION("""COMPUTED_VALUE"""),0.0)</f>
        <v>0</v>
      </c>
      <c r="Y191" s="8">
        <f>IFERROR(__xludf.DUMMYFUNCTION("""COMPUTED_VALUE"""),0.0)</f>
        <v>0</v>
      </c>
      <c r="Z191" s="8">
        <f>IFERROR(__xludf.DUMMYFUNCTION("""COMPUTED_VALUE"""),0.0)</f>
        <v>0</v>
      </c>
      <c r="AA191" s="8">
        <f>IFERROR(__xludf.DUMMYFUNCTION("""COMPUTED_VALUE"""),0.0)</f>
        <v>0</v>
      </c>
      <c r="AB191" s="8">
        <f>IFERROR(__xludf.DUMMYFUNCTION("""COMPUTED_VALUE"""),0.0)</f>
        <v>0</v>
      </c>
      <c r="AC191" s="8">
        <f>IFERROR(__xludf.DUMMYFUNCTION("""COMPUTED_VALUE"""),0.0)</f>
        <v>0</v>
      </c>
    </row>
    <row r="192" ht="15.75" customHeight="1">
      <c r="A192" s="6" t="str">
        <f>IFERROR(__xludf.DUMMYFUNCTION("""COMPUTED_VALUE"""),"aab4996493c32f1ec5e010a7e9b25c3e280e1445")</f>
        <v>aab4996493c32f1ec5e010a7e9b25c3e280e1445</v>
      </c>
      <c r="B192" s="6" t="str">
        <f>IFERROR(__xludf.DUMMYFUNCTION("""COMPUTED_VALUE"""),"Love Forever")</f>
        <v>Love Forever</v>
      </c>
      <c r="C192" s="6" t="str">
        <f>IFERROR(__xludf.DUMMYFUNCTION("""COMPUTED_VALUE"""),"Romance")</f>
        <v>Romance</v>
      </c>
      <c r="D192" s="11">
        <f>IFERROR(__xludf.DUMMYFUNCTION("""COMPUTED_VALUE"""),8.0)</f>
        <v>8</v>
      </c>
      <c r="E192" s="8">
        <f>IFERROR(__xludf.DUMMYFUNCTION("""COMPUTED_VALUE"""),1.0)</f>
        <v>1</v>
      </c>
      <c r="F192" s="8">
        <f>IFERROR(__xludf.DUMMYFUNCTION("""COMPUTED_VALUE"""),0.375)</f>
        <v>0.375</v>
      </c>
      <c r="G192" s="8">
        <f>IFERROR(__xludf.DUMMYFUNCTION("""COMPUTED_VALUE"""),0.125)</f>
        <v>0.125</v>
      </c>
      <c r="H192" s="8">
        <f>IFERROR(__xludf.DUMMYFUNCTION("""COMPUTED_VALUE"""),0.25)</f>
        <v>0.25</v>
      </c>
      <c r="I192" s="8">
        <f>IFERROR(__xludf.DUMMYFUNCTION("""COMPUTED_VALUE"""),0.25)</f>
        <v>0.25</v>
      </c>
      <c r="J192" s="8">
        <f>IFERROR(__xludf.DUMMYFUNCTION("""COMPUTED_VALUE"""),0.0)</f>
        <v>0</v>
      </c>
      <c r="K192" s="8">
        <f>IFERROR(__xludf.DUMMYFUNCTION("""COMPUTED_VALUE"""),0.125)</f>
        <v>0.125</v>
      </c>
      <c r="L192" s="8">
        <f>IFERROR(__xludf.DUMMYFUNCTION("""COMPUTED_VALUE"""),0.0)</f>
        <v>0</v>
      </c>
      <c r="M192" s="8">
        <f>IFERROR(__xludf.DUMMYFUNCTION("""COMPUTED_VALUE"""),0.0)</f>
        <v>0</v>
      </c>
      <c r="N192" s="8">
        <f>IFERROR(__xludf.DUMMYFUNCTION("""COMPUTED_VALUE"""),0.0)</f>
        <v>0</v>
      </c>
      <c r="O192" s="8">
        <f>IFERROR(__xludf.DUMMYFUNCTION("""COMPUTED_VALUE"""),0.0)</f>
        <v>0</v>
      </c>
      <c r="P192" s="8">
        <f>IFERROR(__xludf.DUMMYFUNCTION("""COMPUTED_VALUE"""),0.0)</f>
        <v>0</v>
      </c>
      <c r="Q192" s="8">
        <f>IFERROR(__xludf.DUMMYFUNCTION("""COMPUTED_VALUE"""),0.0)</f>
        <v>0</v>
      </c>
      <c r="R192" s="8">
        <f>IFERROR(__xludf.DUMMYFUNCTION("""COMPUTED_VALUE"""),0.0)</f>
        <v>0</v>
      </c>
      <c r="S192" s="8">
        <f>IFERROR(__xludf.DUMMYFUNCTION("""COMPUTED_VALUE"""),0.0)</f>
        <v>0</v>
      </c>
      <c r="T192" s="8">
        <f>IFERROR(__xludf.DUMMYFUNCTION("""COMPUTED_VALUE"""),0.0)</f>
        <v>0</v>
      </c>
      <c r="U192" s="8">
        <f>IFERROR(__xludf.DUMMYFUNCTION("""COMPUTED_VALUE"""),0.0)</f>
        <v>0</v>
      </c>
      <c r="V192" s="8">
        <f>IFERROR(__xludf.DUMMYFUNCTION("""COMPUTED_VALUE"""),0.0)</f>
        <v>0</v>
      </c>
      <c r="W192" s="8">
        <f>IFERROR(__xludf.DUMMYFUNCTION("""COMPUTED_VALUE"""),0.0)</f>
        <v>0</v>
      </c>
      <c r="X192" s="8">
        <f>IFERROR(__xludf.DUMMYFUNCTION("""COMPUTED_VALUE"""),0.0)</f>
        <v>0</v>
      </c>
      <c r="Y192" s="8">
        <f>IFERROR(__xludf.DUMMYFUNCTION("""COMPUTED_VALUE"""),0.0)</f>
        <v>0</v>
      </c>
      <c r="Z192" s="8">
        <f>IFERROR(__xludf.DUMMYFUNCTION("""COMPUTED_VALUE"""),0.0)</f>
        <v>0</v>
      </c>
      <c r="AA192" s="8">
        <f>IFERROR(__xludf.DUMMYFUNCTION("""COMPUTED_VALUE"""),0.0)</f>
        <v>0</v>
      </c>
      <c r="AB192" s="8">
        <f>IFERROR(__xludf.DUMMYFUNCTION("""COMPUTED_VALUE"""),0.0)</f>
        <v>0</v>
      </c>
      <c r="AC192" s="8">
        <f>IFERROR(__xludf.DUMMYFUNCTION("""COMPUTED_VALUE"""),0.0)</f>
        <v>0</v>
      </c>
    </row>
    <row r="193" ht="15.75" customHeight="1">
      <c r="A193" s="6" t="str">
        <f>IFERROR(__xludf.DUMMYFUNCTION("""COMPUTED_VALUE"""),"ab0abb1b032efe35c0bd9be9cb6f80f8738dc1c9")</f>
        <v>ab0abb1b032efe35c0bd9be9cb6f80f8738dc1c9</v>
      </c>
      <c r="B193" s="6" t="str">
        <f>IFERROR(__xludf.DUMMYFUNCTION("""COMPUTED_VALUE"""),"Kaizen Aritoku Rise")</f>
        <v>Kaizen Aritoku Rise</v>
      </c>
      <c r="C193" s="6" t="str">
        <f>IFERROR(__xludf.DUMMYFUNCTION("""COMPUTED_VALUE"""),"System and Superpower")</f>
        <v>System and Superpower</v>
      </c>
      <c r="D193" s="11">
        <f>IFERROR(__xludf.DUMMYFUNCTION("""COMPUTED_VALUE"""),20.0)</f>
        <v>20</v>
      </c>
      <c r="E193" s="8">
        <f>IFERROR(__xludf.DUMMYFUNCTION("""COMPUTED_VALUE"""),1.0)</f>
        <v>1</v>
      </c>
      <c r="F193" s="8">
        <f>IFERROR(__xludf.DUMMYFUNCTION("""COMPUTED_VALUE"""),0.6)</f>
        <v>0.6</v>
      </c>
      <c r="G193" s="8">
        <f>IFERROR(__xludf.DUMMYFUNCTION("""COMPUTED_VALUE"""),0.55)</f>
        <v>0.55</v>
      </c>
      <c r="H193" s="8">
        <f>IFERROR(__xludf.DUMMYFUNCTION("""COMPUTED_VALUE"""),0.4)</f>
        <v>0.4</v>
      </c>
      <c r="I193" s="8">
        <f>IFERROR(__xludf.DUMMYFUNCTION("""COMPUTED_VALUE"""),0.35)</f>
        <v>0.35</v>
      </c>
      <c r="J193" s="8">
        <f>IFERROR(__xludf.DUMMYFUNCTION("""COMPUTED_VALUE"""),0.35)</f>
        <v>0.35</v>
      </c>
      <c r="K193" s="8">
        <f>IFERROR(__xludf.DUMMYFUNCTION("""COMPUTED_VALUE"""),0.35)</f>
        <v>0.35</v>
      </c>
      <c r="L193" s="8">
        <f>IFERROR(__xludf.DUMMYFUNCTION("""COMPUTED_VALUE"""),0.263157894736842)</f>
        <v>0.2631578947</v>
      </c>
      <c r="M193" s="8">
        <f>IFERROR(__xludf.DUMMYFUNCTION("""COMPUTED_VALUE"""),0.263157894736842)</f>
        <v>0.2631578947</v>
      </c>
      <c r="N193" s="8">
        <f>IFERROR(__xludf.DUMMYFUNCTION("""COMPUTED_VALUE"""),0.31578947368421)</f>
        <v>0.3157894737</v>
      </c>
      <c r="O193" s="8">
        <f>IFERROR(__xludf.DUMMYFUNCTION("""COMPUTED_VALUE"""),0.157894736842105)</f>
        <v>0.1578947368</v>
      </c>
      <c r="P193" s="8">
        <f>IFERROR(__xludf.DUMMYFUNCTION("""COMPUTED_VALUE"""),0.105263157894736)</f>
        <v>0.1052631579</v>
      </c>
      <c r="Q193" s="8">
        <f>IFERROR(__xludf.DUMMYFUNCTION("""COMPUTED_VALUE"""),0.0555555555555555)</f>
        <v>0.05555555556</v>
      </c>
      <c r="R193" s="8">
        <f>IFERROR(__xludf.DUMMYFUNCTION("""COMPUTED_VALUE"""),0.0)</f>
        <v>0</v>
      </c>
      <c r="S193" s="8">
        <f>IFERROR(__xludf.DUMMYFUNCTION("""COMPUTED_VALUE"""),0.0)</f>
        <v>0</v>
      </c>
      <c r="T193" s="8">
        <f>IFERROR(__xludf.DUMMYFUNCTION("""COMPUTED_VALUE"""),0.0)</f>
        <v>0</v>
      </c>
      <c r="U193" s="8">
        <f>IFERROR(__xludf.DUMMYFUNCTION("""COMPUTED_VALUE"""),0.0)</f>
        <v>0</v>
      </c>
      <c r="V193" s="8">
        <f>IFERROR(__xludf.DUMMYFUNCTION("""COMPUTED_VALUE"""),0.0)</f>
        <v>0</v>
      </c>
      <c r="W193" s="8">
        <f>IFERROR(__xludf.DUMMYFUNCTION("""COMPUTED_VALUE"""),0.0)</f>
        <v>0</v>
      </c>
      <c r="X193" s="8">
        <f>IFERROR(__xludf.DUMMYFUNCTION("""COMPUTED_VALUE"""),0.0)</f>
        <v>0</v>
      </c>
      <c r="Y193" s="8">
        <f>IFERROR(__xludf.DUMMYFUNCTION("""COMPUTED_VALUE"""),0.0)</f>
        <v>0</v>
      </c>
      <c r="Z193" s="8">
        <f>IFERROR(__xludf.DUMMYFUNCTION("""COMPUTED_VALUE"""),0.0)</f>
        <v>0</v>
      </c>
      <c r="AA193" s="8">
        <f>IFERROR(__xludf.DUMMYFUNCTION("""COMPUTED_VALUE"""),0.0)</f>
        <v>0</v>
      </c>
      <c r="AB193" s="8">
        <f>IFERROR(__xludf.DUMMYFUNCTION("""COMPUTED_VALUE"""),0.0)</f>
        <v>0</v>
      </c>
      <c r="AC193" s="8">
        <f>IFERROR(__xludf.DUMMYFUNCTION("""COMPUTED_VALUE"""),0.0)</f>
        <v>0</v>
      </c>
    </row>
    <row r="194" ht="15.75" customHeight="1">
      <c r="A194" s="6" t="str">
        <f>IFERROR(__xludf.DUMMYFUNCTION("""COMPUTED_VALUE"""),"abe99e0d615e9d7ebbf5d941810842cf64a74c6c")</f>
        <v>abe99e0d615e9d7ebbf5d941810842cf64a74c6c</v>
      </c>
      <c r="B194" s="6" t="str">
        <f>IFERROR(__xludf.DUMMYFUNCTION("""COMPUTED_VALUE"""),"Forgetting You, Lily")</f>
        <v>Forgetting You, Lily</v>
      </c>
      <c r="C194" s="6" t="str">
        <f>IFERROR(__xludf.DUMMYFUNCTION("""COMPUTED_VALUE"""),"Romance")</f>
        <v>Romance</v>
      </c>
      <c r="D194" s="11">
        <f>IFERROR(__xludf.DUMMYFUNCTION("""COMPUTED_VALUE"""),14.0)</f>
        <v>14</v>
      </c>
      <c r="E194" s="8">
        <f>IFERROR(__xludf.DUMMYFUNCTION("""COMPUTED_VALUE"""),1.0)</f>
        <v>1</v>
      </c>
      <c r="F194" s="8">
        <f>IFERROR(__xludf.DUMMYFUNCTION("""COMPUTED_VALUE"""),0.5)</f>
        <v>0.5</v>
      </c>
      <c r="G194" s="8">
        <f>IFERROR(__xludf.DUMMYFUNCTION("""COMPUTED_VALUE"""),0.285714285714285)</f>
        <v>0.2857142857</v>
      </c>
      <c r="H194" s="8">
        <f>IFERROR(__xludf.DUMMYFUNCTION("""COMPUTED_VALUE"""),0.25)</f>
        <v>0.25</v>
      </c>
      <c r="I194" s="8">
        <f>IFERROR(__xludf.DUMMYFUNCTION("""COMPUTED_VALUE"""),0.25)</f>
        <v>0.25</v>
      </c>
      <c r="J194" s="8">
        <f>IFERROR(__xludf.DUMMYFUNCTION("""COMPUTED_VALUE"""),0.25)</f>
        <v>0.25</v>
      </c>
      <c r="K194" s="8">
        <f>IFERROR(__xludf.DUMMYFUNCTION("""COMPUTED_VALUE"""),0.181818181818181)</f>
        <v>0.1818181818</v>
      </c>
      <c r="L194" s="8">
        <f>IFERROR(__xludf.DUMMYFUNCTION("""COMPUTED_VALUE"""),0.2)</f>
        <v>0.2</v>
      </c>
      <c r="M194" s="8">
        <f>IFERROR(__xludf.DUMMYFUNCTION("""COMPUTED_VALUE"""),0.222222222222222)</f>
        <v>0.2222222222</v>
      </c>
      <c r="N194" s="8">
        <f>IFERROR(__xludf.DUMMYFUNCTION("""COMPUTED_VALUE"""),0.25)</f>
        <v>0.25</v>
      </c>
      <c r="O194" s="8">
        <f>IFERROR(__xludf.DUMMYFUNCTION("""COMPUTED_VALUE"""),0.166666666666666)</f>
        <v>0.1666666667</v>
      </c>
      <c r="P194" s="8">
        <f>IFERROR(__xludf.DUMMYFUNCTION("""COMPUTED_VALUE"""),0.0)</f>
        <v>0</v>
      </c>
      <c r="Q194" s="8">
        <f>IFERROR(__xludf.DUMMYFUNCTION("""COMPUTED_VALUE"""),0.0)</f>
        <v>0</v>
      </c>
      <c r="R194" s="8">
        <f>IFERROR(__xludf.DUMMYFUNCTION("""COMPUTED_VALUE"""),0.0)</f>
        <v>0</v>
      </c>
      <c r="S194" s="8">
        <f>IFERROR(__xludf.DUMMYFUNCTION("""COMPUTED_VALUE"""),0.0)</f>
        <v>0</v>
      </c>
      <c r="T194" s="8">
        <f>IFERROR(__xludf.DUMMYFUNCTION("""COMPUTED_VALUE"""),0.0)</f>
        <v>0</v>
      </c>
      <c r="U194" s="8">
        <f>IFERROR(__xludf.DUMMYFUNCTION("""COMPUTED_VALUE"""),0.0)</f>
        <v>0</v>
      </c>
      <c r="V194" s="8">
        <f>IFERROR(__xludf.DUMMYFUNCTION("""COMPUTED_VALUE"""),0.0)</f>
        <v>0</v>
      </c>
      <c r="W194" s="8">
        <f>IFERROR(__xludf.DUMMYFUNCTION("""COMPUTED_VALUE"""),0.0)</f>
        <v>0</v>
      </c>
      <c r="X194" s="8">
        <f>IFERROR(__xludf.DUMMYFUNCTION("""COMPUTED_VALUE"""),0.0)</f>
        <v>0</v>
      </c>
      <c r="Y194" s="8">
        <f>IFERROR(__xludf.DUMMYFUNCTION("""COMPUTED_VALUE"""),0.0)</f>
        <v>0</v>
      </c>
      <c r="Z194" s="8">
        <f>IFERROR(__xludf.DUMMYFUNCTION("""COMPUTED_VALUE"""),0.0)</f>
        <v>0</v>
      </c>
      <c r="AA194" s="8">
        <f>IFERROR(__xludf.DUMMYFUNCTION("""COMPUTED_VALUE"""),0.0)</f>
        <v>0</v>
      </c>
      <c r="AB194" s="8">
        <f>IFERROR(__xludf.DUMMYFUNCTION("""COMPUTED_VALUE"""),0.0)</f>
        <v>0</v>
      </c>
      <c r="AC194" s="8">
        <f>IFERROR(__xludf.DUMMYFUNCTION("""COMPUTED_VALUE"""),0.0)</f>
        <v>0</v>
      </c>
    </row>
    <row r="195" ht="15.75" customHeight="1">
      <c r="A195" s="6" t="str">
        <f>IFERROR(__xludf.DUMMYFUNCTION("""COMPUTED_VALUE"""),"ac20da1af1ee60dd2020e8ff294c8c9dcf5be7ba")</f>
        <v>ac20da1af1ee60dd2020e8ff294c8c9dcf5be7ba</v>
      </c>
      <c r="B195" s="6" t="str">
        <f>IFERROR(__xludf.DUMMYFUNCTION("""COMPUTED_VALUE"""),"General Drake")</f>
        <v>General Drake</v>
      </c>
      <c r="C195" s="6" t="str">
        <f>IFERROR(__xludf.DUMMYFUNCTION("""COMPUTED_VALUE"""),"Suspense or Thriller")</f>
        <v>Suspense or Thriller</v>
      </c>
      <c r="D195" s="11">
        <f>IFERROR(__xludf.DUMMYFUNCTION("""COMPUTED_VALUE"""),95.0)</f>
        <v>95</v>
      </c>
      <c r="E195" s="8">
        <f>IFERROR(__xludf.DUMMYFUNCTION("""COMPUTED_VALUE"""),0.978947368421052)</f>
        <v>0.9789473684</v>
      </c>
      <c r="F195" s="8">
        <f>IFERROR(__xludf.DUMMYFUNCTION("""COMPUTED_VALUE"""),0.757894736842105)</f>
        <v>0.7578947368</v>
      </c>
      <c r="G195" s="8">
        <f>IFERROR(__xludf.DUMMYFUNCTION("""COMPUTED_VALUE"""),0.71578947368421)</f>
        <v>0.7157894737</v>
      </c>
      <c r="H195" s="8">
        <f>IFERROR(__xludf.DUMMYFUNCTION("""COMPUTED_VALUE"""),0.673684210526315)</f>
        <v>0.6736842105</v>
      </c>
      <c r="I195" s="8">
        <f>IFERROR(__xludf.DUMMYFUNCTION("""COMPUTED_VALUE"""),0.631578947368421)</f>
        <v>0.6315789474</v>
      </c>
      <c r="J195" s="8">
        <f>IFERROR(__xludf.DUMMYFUNCTION("""COMPUTED_VALUE"""),0.568421052631578)</f>
        <v>0.5684210526</v>
      </c>
      <c r="K195" s="8">
        <f>IFERROR(__xludf.DUMMYFUNCTION("""COMPUTED_VALUE"""),0.505263157894736)</f>
        <v>0.5052631579</v>
      </c>
      <c r="L195" s="8">
        <f>IFERROR(__xludf.DUMMYFUNCTION("""COMPUTED_VALUE"""),0.430232558139534)</f>
        <v>0.4302325581</v>
      </c>
      <c r="M195" s="8">
        <f>IFERROR(__xludf.DUMMYFUNCTION("""COMPUTED_VALUE"""),0.41860465116279)</f>
        <v>0.4186046512</v>
      </c>
      <c r="N195" s="8">
        <f>IFERROR(__xludf.DUMMYFUNCTION("""COMPUTED_VALUE"""),0.395348837209302)</f>
        <v>0.3953488372</v>
      </c>
      <c r="O195" s="8">
        <f>IFERROR(__xludf.DUMMYFUNCTION("""COMPUTED_VALUE"""),0.289156626506024)</f>
        <v>0.2891566265</v>
      </c>
      <c r="P195" s="8">
        <f>IFERROR(__xludf.DUMMYFUNCTION("""COMPUTED_VALUE"""),0.175675675675675)</f>
        <v>0.1756756757</v>
      </c>
      <c r="Q195" s="8">
        <f>IFERROR(__xludf.DUMMYFUNCTION("""COMPUTED_VALUE"""),0.138888888888888)</f>
        <v>0.1388888889</v>
      </c>
      <c r="R195" s="8">
        <f>IFERROR(__xludf.DUMMYFUNCTION("""COMPUTED_VALUE"""),0.0)</f>
        <v>0</v>
      </c>
      <c r="S195" s="8">
        <f>IFERROR(__xludf.DUMMYFUNCTION("""COMPUTED_VALUE"""),0.0)</f>
        <v>0</v>
      </c>
      <c r="T195" s="8">
        <f>IFERROR(__xludf.DUMMYFUNCTION("""COMPUTED_VALUE"""),0.0)</f>
        <v>0</v>
      </c>
      <c r="U195" s="8">
        <f>IFERROR(__xludf.DUMMYFUNCTION("""COMPUTED_VALUE"""),0.0)</f>
        <v>0</v>
      </c>
      <c r="V195" s="8">
        <f>IFERROR(__xludf.DUMMYFUNCTION("""COMPUTED_VALUE"""),0.0)</f>
        <v>0</v>
      </c>
      <c r="W195" s="8">
        <f>IFERROR(__xludf.DUMMYFUNCTION("""COMPUTED_VALUE"""),0.0)</f>
        <v>0</v>
      </c>
      <c r="X195" s="8">
        <f>IFERROR(__xludf.DUMMYFUNCTION("""COMPUTED_VALUE"""),0.0)</f>
        <v>0</v>
      </c>
      <c r="Y195" s="8">
        <f>IFERROR(__xludf.DUMMYFUNCTION("""COMPUTED_VALUE"""),0.0)</f>
        <v>0</v>
      </c>
      <c r="Z195" s="8">
        <f>IFERROR(__xludf.DUMMYFUNCTION("""COMPUTED_VALUE"""),0.0)</f>
        <v>0</v>
      </c>
      <c r="AA195" s="8">
        <f>IFERROR(__xludf.DUMMYFUNCTION("""COMPUTED_VALUE"""),0.0)</f>
        <v>0</v>
      </c>
      <c r="AB195" s="8">
        <f>IFERROR(__xludf.DUMMYFUNCTION("""COMPUTED_VALUE"""),0.0)</f>
        <v>0</v>
      </c>
      <c r="AC195" s="8">
        <f>IFERROR(__xludf.DUMMYFUNCTION("""COMPUTED_VALUE"""),0.0)</f>
        <v>0</v>
      </c>
    </row>
    <row r="196" ht="15.75" customHeight="1">
      <c r="A196" s="6" t="str">
        <f>IFERROR(__xludf.DUMMYFUNCTION("""COMPUTED_VALUE"""),"ad2e8d85f798bb8f66e9add56b1e29d7018e06fb")</f>
        <v>ad2e8d85f798bb8f66e9add56b1e29d7018e06fb</v>
      </c>
      <c r="B196" s="6" t="str">
        <f>IFERROR(__xludf.DUMMYFUNCTION("""COMPUTED_VALUE"""),"Embezzling Simp Funds")</f>
        <v>Embezzling Simp Funds</v>
      </c>
      <c r="C196" s="6" t="str">
        <f>IFERROR(__xludf.DUMMYFUNCTION("""COMPUTED_VALUE"""),"System and Superpower")</f>
        <v>System and Superpower</v>
      </c>
      <c r="D196" s="11">
        <f>IFERROR(__xludf.DUMMYFUNCTION("""COMPUTED_VALUE"""),516.0)</f>
        <v>516</v>
      </c>
      <c r="E196" s="8">
        <f>IFERROR(__xludf.DUMMYFUNCTION("""COMPUTED_VALUE"""),0.994186046511627)</f>
        <v>0.9941860465</v>
      </c>
      <c r="F196" s="8">
        <f>IFERROR(__xludf.DUMMYFUNCTION("""COMPUTED_VALUE"""),0.52906976744186)</f>
        <v>0.5290697674</v>
      </c>
      <c r="G196" s="8">
        <f>IFERROR(__xludf.DUMMYFUNCTION("""COMPUTED_VALUE"""),0.467054263565891)</f>
        <v>0.4670542636</v>
      </c>
      <c r="H196" s="8">
        <f>IFERROR(__xludf.DUMMYFUNCTION("""COMPUTED_VALUE"""),0.424418604651162)</f>
        <v>0.4244186047</v>
      </c>
      <c r="I196" s="8">
        <f>IFERROR(__xludf.DUMMYFUNCTION("""COMPUTED_VALUE"""),0.388349514563106)</f>
        <v>0.3883495146</v>
      </c>
      <c r="J196" s="8">
        <f>IFERROR(__xludf.DUMMYFUNCTION("""COMPUTED_VALUE"""),0.368932038834951)</f>
        <v>0.3689320388</v>
      </c>
      <c r="K196" s="8">
        <f>IFERROR(__xludf.DUMMYFUNCTION("""COMPUTED_VALUE"""),0.349514563106796)</f>
        <v>0.3495145631</v>
      </c>
      <c r="L196" s="8">
        <f>IFERROR(__xludf.DUMMYFUNCTION("""COMPUTED_VALUE"""),0.322330097087378)</f>
        <v>0.3223300971</v>
      </c>
      <c r="M196" s="8">
        <f>IFERROR(__xludf.DUMMYFUNCTION("""COMPUTED_VALUE"""),0.310679611650485)</f>
        <v>0.3106796117</v>
      </c>
      <c r="N196" s="8">
        <f>IFERROR(__xludf.DUMMYFUNCTION("""COMPUTED_VALUE"""),0.300970873786407)</f>
        <v>0.3009708738</v>
      </c>
      <c r="O196" s="8">
        <f>IFERROR(__xludf.DUMMYFUNCTION("""COMPUTED_VALUE"""),0.236897274633123)</f>
        <v>0.2368972746</v>
      </c>
      <c r="P196" s="8">
        <f>IFERROR(__xludf.DUMMYFUNCTION("""COMPUTED_VALUE"""),0.190839694656488)</f>
        <v>0.1908396947</v>
      </c>
      <c r="Q196" s="8">
        <f>IFERROR(__xludf.DUMMYFUNCTION("""COMPUTED_VALUE"""),0.206896551724137)</f>
        <v>0.2068965517</v>
      </c>
      <c r="R196" s="8">
        <f>IFERROR(__xludf.DUMMYFUNCTION("""COMPUTED_VALUE"""),0.17391304347826)</f>
        <v>0.1739130435</v>
      </c>
      <c r="S196" s="8">
        <f>IFERROR(__xludf.DUMMYFUNCTION("""COMPUTED_VALUE"""),0.0909090909090909)</f>
        <v>0.09090909091</v>
      </c>
      <c r="T196" s="8">
        <f>IFERROR(__xludf.DUMMYFUNCTION("""COMPUTED_VALUE"""),0.105263157894736)</f>
        <v>0.1052631579</v>
      </c>
      <c r="U196" s="8">
        <f>IFERROR(__xludf.DUMMYFUNCTION("""COMPUTED_VALUE"""),0.117647058823529)</f>
        <v>0.1176470588</v>
      </c>
      <c r="V196" s="8">
        <f>IFERROR(__xludf.DUMMYFUNCTION("""COMPUTED_VALUE"""),0.0666666666666666)</f>
        <v>0.06666666667</v>
      </c>
      <c r="W196" s="8">
        <f>IFERROR(__xludf.DUMMYFUNCTION("""COMPUTED_VALUE"""),0.0714285714285714)</f>
        <v>0.07142857143</v>
      </c>
      <c r="X196" s="8">
        <f>IFERROR(__xludf.DUMMYFUNCTION("""COMPUTED_VALUE"""),0.0)</f>
        <v>0</v>
      </c>
      <c r="Y196" s="8">
        <f>IFERROR(__xludf.DUMMYFUNCTION("""COMPUTED_VALUE"""),0.0)</f>
        <v>0</v>
      </c>
      <c r="Z196" s="8">
        <f>IFERROR(__xludf.DUMMYFUNCTION("""COMPUTED_VALUE"""),0.0)</f>
        <v>0</v>
      </c>
      <c r="AA196" s="8">
        <f>IFERROR(__xludf.DUMMYFUNCTION("""COMPUTED_VALUE"""),0.0)</f>
        <v>0</v>
      </c>
      <c r="AB196" s="8">
        <f>IFERROR(__xludf.DUMMYFUNCTION("""COMPUTED_VALUE"""),0.0)</f>
        <v>0</v>
      </c>
      <c r="AC196" s="8">
        <f>IFERROR(__xludf.DUMMYFUNCTION("""COMPUTED_VALUE"""),0.0)</f>
        <v>0</v>
      </c>
    </row>
    <row r="197" ht="15.75" customHeight="1">
      <c r="A197" s="6" t="str">
        <f>IFERROR(__xludf.DUMMYFUNCTION("""COMPUTED_VALUE"""),"ad877b024bb7b2c30b52737ab2d9d8d49cc89f77")</f>
        <v>ad877b024bb7b2c30b52737ab2d9d8d49cc89f77</v>
      </c>
      <c r="B197" s="6" t="str">
        <f>IFERROR(__xludf.DUMMYFUNCTION("""COMPUTED_VALUE"""),"The Master at Heart Work ")</f>
        <v>The Master at Heart Work </v>
      </c>
      <c r="C197" s="6" t="str">
        <f>IFERROR(__xludf.DUMMYFUNCTION("""COMPUTED_VALUE"""),"System and Superpower")</f>
        <v>System and Superpower</v>
      </c>
      <c r="D197" s="11">
        <f>IFERROR(__xludf.DUMMYFUNCTION("""COMPUTED_VALUE"""),117.0)</f>
        <v>117</v>
      </c>
      <c r="E197" s="8">
        <f>IFERROR(__xludf.DUMMYFUNCTION("""COMPUTED_VALUE"""),0.957264957264957)</f>
        <v>0.9572649573</v>
      </c>
      <c r="F197" s="8">
        <f>IFERROR(__xludf.DUMMYFUNCTION("""COMPUTED_VALUE"""),0.777777777777777)</f>
        <v>0.7777777778</v>
      </c>
      <c r="G197" s="8">
        <f>IFERROR(__xludf.DUMMYFUNCTION("""COMPUTED_VALUE"""),0.743589743589743)</f>
        <v>0.7435897436</v>
      </c>
      <c r="H197" s="8">
        <f>IFERROR(__xludf.DUMMYFUNCTION("""COMPUTED_VALUE"""),0.666666666666666)</f>
        <v>0.6666666667</v>
      </c>
      <c r="I197" s="8">
        <f>IFERROR(__xludf.DUMMYFUNCTION("""COMPUTED_VALUE"""),0.649572649572649)</f>
        <v>0.6495726496</v>
      </c>
      <c r="J197" s="8">
        <f>IFERROR(__xludf.DUMMYFUNCTION("""COMPUTED_VALUE"""),0.577586206896551)</f>
        <v>0.5775862069</v>
      </c>
      <c r="K197" s="8">
        <f>IFERROR(__xludf.DUMMYFUNCTION("""COMPUTED_VALUE"""),0.539130434782608)</f>
        <v>0.5391304348</v>
      </c>
      <c r="L197" s="8">
        <f>IFERROR(__xludf.DUMMYFUNCTION("""COMPUTED_VALUE"""),0.513274336283185)</f>
        <v>0.5132743363</v>
      </c>
      <c r="M197" s="8">
        <f>IFERROR(__xludf.DUMMYFUNCTION("""COMPUTED_VALUE"""),0.504424778761062)</f>
        <v>0.5044247788</v>
      </c>
      <c r="N197" s="8">
        <f>IFERROR(__xludf.DUMMYFUNCTION("""COMPUTED_VALUE"""),0.464285714285714)</f>
        <v>0.4642857143</v>
      </c>
      <c r="O197" s="8">
        <f>IFERROR(__xludf.DUMMYFUNCTION("""COMPUTED_VALUE"""),0.394495412844036)</f>
        <v>0.3944954128</v>
      </c>
      <c r="P197" s="8">
        <f>IFERROR(__xludf.DUMMYFUNCTION("""COMPUTED_VALUE"""),0.245283018867924)</f>
        <v>0.2452830189</v>
      </c>
      <c r="Q197" s="8">
        <f>IFERROR(__xludf.DUMMYFUNCTION("""COMPUTED_VALUE"""),0.15)</f>
        <v>0.15</v>
      </c>
      <c r="R197" s="8">
        <f>IFERROR(__xludf.DUMMYFUNCTION("""COMPUTED_VALUE"""),0.15625)</f>
        <v>0.15625</v>
      </c>
      <c r="S197" s="8">
        <f>IFERROR(__xludf.DUMMYFUNCTION("""COMPUTED_VALUE"""),0.157303370786516)</f>
        <v>0.1573033708</v>
      </c>
      <c r="T197" s="8">
        <f>IFERROR(__xludf.DUMMYFUNCTION("""COMPUTED_VALUE"""),0.109756097560975)</f>
        <v>0.1097560976</v>
      </c>
      <c r="U197" s="8">
        <f>IFERROR(__xludf.DUMMYFUNCTION("""COMPUTED_VALUE"""),0.078125)</f>
        <v>0.078125</v>
      </c>
      <c r="V197" s="8">
        <f>IFERROR(__xludf.DUMMYFUNCTION("""COMPUTED_VALUE"""),0.0689655172413793)</f>
        <v>0.06896551724</v>
      </c>
      <c r="W197" s="8">
        <f>IFERROR(__xludf.DUMMYFUNCTION("""COMPUTED_VALUE"""),0.0588235294117647)</f>
        <v>0.05882352941</v>
      </c>
      <c r="X197" s="8">
        <f>IFERROR(__xludf.DUMMYFUNCTION("""COMPUTED_VALUE"""),0.0277777777777777)</f>
        <v>0.02777777778</v>
      </c>
      <c r="Y197" s="8">
        <f>IFERROR(__xludf.DUMMYFUNCTION("""COMPUTED_VALUE"""),0.0)</f>
        <v>0</v>
      </c>
      <c r="Z197" s="8">
        <f>IFERROR(__xludf.DUMMYFUNCTION("""COMPUTED_VALUE"""),0.0)</f>
        <v>0</v>
      </c>
      <c r="AA197" s="8">
        <f>IFERROR(__xludf.DUMMYFUNCTION("""COMPUTED_VALUE"""),0.0)</f>
        <v>0</v>
      </c>
      <c r="AB197" s="8">
        <f>IFERROR(__xludf.DUMMYFUNCTION("""COMPUTED_VALUE"""),0.0)</f>
        <v>0</v>
      </c>
      <c r="AC197" s="8">
        <f>IFERROR(__xludf.DUMMYFUNCTION("""COMPUTED_VALUE"""),0.0)</f>
        <v>0</v>
      </c>
    </row>
    <row r="198" ht="15.75" customHeight="1">
      <c r="A198" s="6" t="str">
        <f>IFERROR(__xludf.DUMMYFUNCTION("""COMPUTED_VALUE"""),"afc4914ba536580c6c21a79231a73b9e6dc67e1a")</f>
        <v>afc4914ba536580c6c21a79231a73b9e6dc67e1a</v>
      </c>
      <c r="B198" s="6" t="str">
        <f>IFERROR(__xludf.DUMMYFUNCTION("""COMPUTED_VALUE"""),"Her Cupid Curse")</f>
        <v>Her Cupid Curse</v>
      </c>
      <c r="C198" s="6" t="str">
        <f>IFERROR(__xludf.DUMMYFUNCTION("""COMPUTED_VALUE"""),"Romance")</f>
        <v>Romance</v>
      </c>
      <c r="D198" s="11">
        <f>IFERROR(__xludf.DUMMYFUNCTION("""COMPUTED_VALUE"""),46.0)</f>
        <v>46</v>
      </c>
      <c r="E198" s="8">
        <f>IFERROR(__xludf.DUMMYFUNCTION("""COMPUTED_VALUE"""),0.956521739130434)</f>
        <v>0.9565217391</v>
      </c>
      <c r="F198" s="8">
        <f>IFERROR(__xludf.DUMMYFUNCTION("""COMPUTED_VALUE"""),0.565217391304347)</f>
        <v>0.5652173913</v>
      </c>
      <c r="G198" s="8">
        <f>IFERROR(__xludf.DUMMYFUNCTION("""COMPUTED_VALUE"""),0.543478260869565)</f>
        <v>0.5434782609</v>
      </c>
      <c r="H198" s="8">
        <f>IFERROR(__xludf.DUMMYFUNCTION("""COMPUTED_VALUE"""),0.463414634146341)</f>
        <v>0.4634146341</v>
      </c>
      <c r="I198" s="8">
        <f>IFERROR(__xludf.DUMMYFUNCTION("""COMPUTED_VALUE"""),0.38235294117647)</f>
        <v>0.3823529412</v>
      </c>
      <c r="J198" s="8">
        <f>IFERROR(__xludf.DUMMYFUNCTION("""COMPUTED_VALUE"""),0.34375)</f>
        <v>0.34375</v>
      </c>
      <c r="K198" s="8">
        <f>IFERROR(__xludf.DUMMYFUNCTION("""COMPUTED_VALUE"""),0.321428571428571)</f>
        <v>0.3214285714</v>
      </c>
      <c r="L198" s="8">
        <f>IFERROR(__xludf.DUMMYFUNCTION("""COMPUTED_VALUE"""),0.2)</f>
        <v>0.2</v>
      </c>
      <c r="M198" s="8">
        <f>IFERROR(__xludf.DUMMYFUNCTION("""COMPUTED_VALUE"""),0.2)</f>
        <v>0.2</v>
      </c>
      <c r="N198" s="8">
        <f>IFERROR(__xludf.DUMMYFUNCTION("""COMPUTED_VALUE"""),0.333333333333333)</f>
        <v>0.3333333333</v>
      </c>
      <c r="O198" s="8">
        <f>IFERROR(__xludf.DUMMYFUNCTION("""COMPUTED_VALUE"""),1.0)</f>
        <v>1</v>
      </c>
      <c r="P198" s="8">
        <f>IFERROR(__xludf.DUMMYFUNCTION("""COMPUTED_VALUE"""),0.0)</f>
        <v>0</v>
      </c>
      <c r="Q198" s="8">
        <f>IFERROR(__xludf.DUMMYFUNCTION("""COMPUTED_VALUE"""),0.0)</f>
        <v>0</v>
      </c>
      <c r="R198" s="8">
        <f>IFERROR(__xludf.DUMMYFUNCTION("""COMPUTED_VALUE"""),0.0)</f>
        <v>0</v>
      </c>
      <c r="S198" s="8">
        <f>IFERROR(__xludf.DUMMYFUNCTION("""COMPUTED_VALUE"""),0.0)</f>
        <v>0</v>
      </c>
      <c r="T198" s="8">
        <f>IFERROR(__xludf.DUMMYFUNCTION("""COMPUTED_VALUE"""),0.0)</f>
        <v>0</v>
      </c>
      <c r="U198" s="8">
        <f>IFERROR(__xludf.DUMMYFUNCTION("""COMPUTED_VALUE"""),0.0)</f>
        <v>0</v>
      </c>
      <c r="V198" s="8">
        <f>IFERROR(__xludf.DUMMYFUNCTION("""COMPUTED_VALUE"""),0.0)</f>
        <v>0</v>
      </c>
      <c r="W198" s="8">
        <f>IFERROR(__xludf.DUMMYFUNCTION("""COMPUTED_VALUE"""),0.0)</f>
        <v>0</v>
      </c>
      <c r="X198" s="8">
        <f>IFERROR(__xludf.DUMMYFUNCTION("""COMPUTED_VALUE"""),0.0)</f>
        <v>0</v>
      </c>
      <c r="Y198" s="8">
        <f>IFERROR(__xludf.DUMMYFUNCTION("""COMPUTED_VALUE"""),0.0)</f>
        <v>0</v>
      </c>
      <c r="Z198" s="8">
        <f>IFERROR(__xludf.DUMMYFUNCTION("""COMPUTED_VALUE"""),0.0)</f>
        <v>0</v>
      </c>
      <c r="AA198" s="8">
        <f>IFERROR(__xludf.DUMMYFUNCTION("""COMPUTED_VALUE"""),0.0)</f>
        <v>0</v>
      </c>
      <c r="AB198" s="8">
        <f>IFERROR(__xludf.DUMMYFUNCTION("""COMPUTED_VALUE"""),0.0)</f>
        <v>0</v>
      </c>
      <c r="AC198" s="8">
        <f>IFERROR(__xludf.DUMMYFUNCTION("""COMPUTED_VALUE"""),0.0)</f>
        <v>0</v>
      </c>
    </row>
    <row r="199" ht="15.75" customHeight="1">
      <c r="A199" s="6" t="str">
        <f>IFERROR(__xludf.DUMMYFUNCTION("""COMPUTED_VALUE"""),"b035f182bb6d36439bba21081e89b0cb80ad7d57")</f>
        <v>b035f182bb6d36439bba21081e89b0cb80ad7d57</v>
      </c>
      <c r="B199" s="6" t="str">
        <f>IFERROR(__xludf.DUMMYFUNCTION("""COMPUTED_VALUE"""),"Glory After Loss")</f>
        <v>Glory After Loss</v>
      </c>
      <c r="C199" s="6" t="str">
        <f>IFERROR(__xludf.DUMMYFUNCTION("""COMPUTED_VALUE"""),"System and Superpower")</f>
        <v>System and Superpower</v>
      </c>
      <c r="D199" s="11">
        <f>IFERROR(__xludf.DUMMYFUNCTION("""COMPUTED_VALUE"""),102.0)</f>
        <v>102</v>
      </c>
      <c r="E199" s="8">
        <f>IFERROR(__xludf.DUMMYFUNCTION("""COMPUTED_VALUE"""),0.96078431372549)</f>
        <v>0.9607843137</v>
      </c>
      <c r="F199" s="8">
        <f>IFERROR(__xludf.DUMMYFUNCTION("""COMPUTED_VALUE"""),0.745098039215686)</f>
        <v>0.7450980392</v>
      </c>
      <c r="G199" s="8">
        <f>IFERROR(__xludf.DUMMYFUNCTION("""COMPUTED_VALUE"""),0.705882352941176)</f>
        <v>0.7058823529</v>
      </c>
      <c r="H199" s="8">
        <f>IFERROR(__xludf.DUMMYFUNCTION("""COMPUTED_VALUE"""),0.676470588235294)</f>
        <v>0.6764705882</v>
      </c>
      <c r="I199" s="8">
        <f>IFERROR(__xludf.DUMMYFUNCTION("""COMPUTED_VALUE"""),0.653465346534653)</f>
        <v>0.6534653465</v>
      </c>
      <c r="J199" s="8">
        <f>IFERROR(__xludf.DUMMYFUNCTION("""COMPUTED_VALUE"""),0.62)</f>
        <v>0.62</v>
      </c>
      <c r="K199" s="8">
        <f>IFERROR(__xludf.DUMMYFUNCTION("""COMPUTED_VALUE"""),0.6)</f>
        <v>0.6</v>
      </c>
      <c r="L199" s="8">
        <f>IFERROR(__xludf.DUMMYFUNCTION("""COMPUTED_VALUE"""),0.56)</f>
        <v>0.56</v>
      </c>
      <c r="M199" s="8">
        <f>IFERROR(__xludf.DUMMYFUNCTION("""COMPUTED_VALUE"""),0.55)</f>
        <v>0.55</v>
      </c>
      <c r="N199" s="8">
        <f>IFERROR(__xludf.DUMMYFUNCTION("""COMPUTED_VALUE"""),0.515151515151515)</f>
        <v>0.5151515152</v>
      </c>
      <c r="O199" s="8">
        <f>IFERROR(__xludf.DUMMYFUNCTION("""COMPUTED_VALUE"""),0.46875)</f>
        <v>0.46875</v>
      </c>
      <c r="P199" s="8">
        <f>IFERROR(__xludf.DUMMYFUNCTION("""COMPUTED_VALUE"""),0.380434782608695)</f>
        <v>0.3804347826</v>
      </c>
      <c r="Q199" s="8">
        <f>IFERROR(__xludf.DUMMYFUNCTION("""COMPUTED_VALUE"""),0.232876712328767)</f>
        <v>0.2328767123</v>
      </c>
      <c r="R199" s="8">
        <f>IFERROR(__xludf.DUMMYFUNCTION("""COMPUTED_VALUE"""),0.0)</f>
        <v>0</v>
      </c>
      <c r="S199" s="8">
        <f>IFERROR(__xludf.DUMMYFUNCTION("""COMPUTED_VALUE"""),0.0)</f>
        <v>0</v>
      </c>
      <c r="T199" s="8">
        <f>IFERROR(__xludf.DUMMYFUNCTION("""COMPUTED_VALUE"""),0.0)</f>
        <v>0</v>
      </c>
      <c r="U199" s="8">
        <f>IFERROR(__xludf.DUMMYFUNCTION("""COMPUTED_VALUE"""),0.0)</f>
        <v>0</v>
      </c>
      <c r="V199" s="8">
        <f>IFERROR(__xludf.DUMMYFUNCTION("""COMPUTED_VALUE"""),0.0)</f>
        <v>0</v>
      </c>
      <c r="W199" s="8">
        <f>IFERROR(__xludf.DUMMYFUNCTION("""COMPUTED_VALUE"""),0.0)</f>
        <v>0</v>
      </c>
      <c r="X199" s="8">
        <f>IFERROR(__xludf.DUMMYFUNCTION("""COMPUTED_VALUE"""),0.0)</f>
        <v>0</v>
      </c>
      <c r="Y199" s="8">
        <f>IFERROR(__xludf.DUMMYFUNCTION("""COMPUTED_VALUE"""),0.0)</f>
        <v>0</v>
      </c>
      <c r="Z199" s="8">
        <f>IFERROR(__xludf.DUMMYFUNCTION("""COMPUTED_VALUE"""),0.0)</f>
        <v>0</v>
      </c>
      <c r="AA199" s="8">
        <f>IFERROR(__xludf.DUMMYFUNCTION("""COMPUTED_VALUE"""),0.0)</f>
        <v>0</v>
      </c>
      <c r="AB199" s="8">
        <f>IFERROR(__xludf.DUMMYFUNCTION("""COMPUTED_VALUE"""),0.0)</f>
        <v>0</v>
      </c>
      <c r="AC199" s="8">
        <f>IFERROR(__xludf.DUMMYFUNCTION("""COMPUTED_VALUE"""),0.0)</f>
        <v>0</v>
      </c>
    </row>
    <row r="200" ht="15.75" customHeight="1">
      <c r="A200" s="6" t="str">
        <f>IFERROR(__xludf.DUMMYFUNCTION("""COMPUTED_VALUE"""),"b0cb1a15751b32389e6dc5643df14e64f65a78e6")</f>
        <v>b0cb1a15751b32389e6dc5643df14e64f65a78e6</v>
      </c>
      <c r="B200" s="6" t="str">
        <f>IFERROR(__xludf.DUMMYFUNCTION("""COMPUTED_VALUE"""),"Desire of the Billionaire")</f>
        <v>Desire of the Billionaire</v>
      </c>
      <c r="C200" s="6" t="str">
        <f>IFERROR(__xludf.DUMMYFUNCTION("""COMPUTED_VALUE"""),"Romance")</f>
        <v>Romance</v>
      </c>
      <c r="D200" s="11">
        <f>IFERROR(__xludf.DUMMYFUNCTION("""COMPUTED_VALUE"""),2.0)</f>
        <v>2</v>
      </c>
      <c r="E200" s="8">
        <f>IFERROR(__xludf.DUMMYFUNCTION("""COMPUTED_VALUE"""),1.0)</f>
        <v>1</v>
      </c>
      <c r="F200" s="8">
        <f>IFERROR(__xludf.DUMMYFUNCTION("""COMPUTED_VALUE"""),0.0)</f>
        <v>0</v>
      </c>
      <c r="G200" s="8">
        <f>IFERROR(__xludf.DUMMYFUNCTION("""COMPUTED_VALUE"""),0.0)</f>
        <v>0</v>
      </c>
      <c r="H200" s="8">
        <f>IFERROR(__xludf.DUMMYFUNCTION("""COMPUTED_VALUE"""),0.0)</f>
        <v>0</v>
      </c>
      <c r="I200" s="8">
        <f>IFERROR(__xludf.DUMMYFUNCTION("""COMPUTED_VALUE"""),0.0)</f>
        <v>0</v>
      </c>
      <c r="J200" s="8">
        <f>IFERROR(__xludf.DUMMYFUNCTION("""COMPUTED_VALUE"""),0.0)</f>
        <v>0</v>
      </c>
      <c r="K200" s="8">
        <f>IFERROR(__xludf.DUMMYFUNCTION("""COMPUTED_VALUE"""),0.0)</f>
        <v>0</v>
      </c>
      <c r="L200" s="8">
        <f>IFERROR(__xludf.DUMMYFUNCTION("""COMPUTED_VALUE"""),0.0)</f>
        <v>0</v>
      </c>
      <c r="M200" s="8">
        <f>IFERROR(__xludf.DUMMYFUNCTION("""COMPUTED_VALUE"""),0.0)</f>
        <v>0</v>
      </c>
      <c r="N200" s="8">
        <f>IFERROR(__xludf.DUMMYFUNCTION("""COMPUTED_VALUE"""),0.0)</f>
        <v>0</v>
      </c>
      <c r="O200" s="8">
        <f>IFERROR(__xludf.DUMMYFUNCTION("""COMPUTED_VALUE"""),0.0)</f>
        <v>0</v>
      </c>
      <c r="P200" s="8">
        <f>IFERROR(__xludf.DUMMYFUNCTION("""COMPUTED_VALUE"""),0.0)</f>
        <v>0</v>
      </c>
      <c r="Q200" s="8">
        <f>IFERROR(__xludf.DUMMYFUNCTION("""COMPUTED_VALUE"""),0.0)</f>
        <v>0</v>
      </c>
      <c r="R200" s="8">
        <f>IFERROR(__xludf.DUMMYFUNCTION("""COMPUTED_VALUE"""),0.0)</f>
        <v>0</v>
      </c>
      <c r="S200" s="8">
        <f>IFERROR(__xludf.DUMMYFUNCTION("""COMPUTED_VALUE"""),0.0)</f>
        <v>0</v>
      </c>
      <c r="T200" s="8">
        <f>IFERROR(__xludf.DUMMYFUNCTION("""COMPUTED_VALUE"""),0.0)</f>
        <v>0</v>
      </c>
      <c r="U200" s="8">
        <f>IFERROR(__xludf.DUMMYFUNCTION("""COMPUTED_VALUE"""),0.0)</f>
        <v>0</v>
      </c>
      <c r="V200" s="8">
        <f>IFERROR(__xludf.DUMMYFUNCTION("""COMPUTED_VALUE"""),0.0)</f>
        <v>0</v>
      </c>
      <c r="W200" s="8">
        <f>IFERROR(__xludf.DUMMYFUNCTION("""COMPUTED_VALUE"""),0.0)</f>
        <v>0</v>
      </c>
      <c r="X200" s="8">
        <f>IFERROR(__xludf.DUMMYFUNCTION("""COMPUTED_VALUE"""),0.0)</f>
        <v>0</v>
      </c>
      <c r="Y200" s="8">
        <f>IFERROR(__xludf.DUMMYFUNCTION("""COMPUTED_VALUE"""),0.0)</f>
        <v>0</v>
      </c>
      <c r="Z200" s="8">
        <f>IFERROR(__xludf.DUMMYFUNCTION("""COMPUTED_VALUE"""),0.0)</f>
        <v>0</v>
      </c>
      <c r="AA200" s="8">
        <f>IFERROR(__xludf.DUMMYFUNCTION("""COMPUTED_VALUE"""),0.0)</f>
        <v>0</v>
      </c>
      <c r="AB200" s="8">
        <f>IFERROR(__xludf.DUMMYFUNCTION("""COMPUTED_VALUE"""),0.0)</f>
        <v>0</v>
      </c>
      <c r="AC200" s="8">
        <f>IFERROR(__xludf.DUMMYFUNCTION("""COMPUTED_VALUE"""),0.0)</f>
        <v>0</v>
      </c>
    </row>
    <row r="201" ht="15.75" customHeight="1">
      <c r="A201" s="6" t="str">
        <f>IFERROR(__xludf.DUMMYFUNCTION("""COMPUTED_VALUE"""),"b164057dc6b8df1ba1289d383220147f237b7dfa")</f>
        <v>b164057dc6b8df1ba1289d383220147f237b7dfa</v>
      </c>
      <c r="B201" s="6" t="str">
        <f>IFERROR(__xludf.DUMMYFUNCTION("""COMPUTED_VALUE"""),"Rush Marriage")</f>
        <v>Rush Marriage</v>
      </c>
      <c r="C201" s="6" t="str">
        <f>IFERROR(__xludf.DUMMYFUNCTION("""COMPUTED_VALUE"""),"Romance")</f>
        <v>Romance</v>
      </c>
      <c r="D201" s="11">
        <f>IFERROR(__xludf.DUMMYFUNCTION("""COMPUTED_VALUE"""),74.0)</f>
        <v>74</v>
      </c>
      <c r="E201" s="8">
        <f>IFERROR(__xludf.DUMMYFUNCTION("""COMPUTED_VALUE"""),0.972972972972973)</f>
        <v>0.972972973</v>
      </c>
      <c r="F201" s="8">
        <f>IFERROR(__xludf.DUMMYFUNCTION("""COMPUTED_VALUE"""),0.527027027027027)</f>
        <v>0.527027027</v>
      </c>
      <c r="G201" s="8">
        <f>IFERROR(__xludf.DUMMYFUNCTION("""COMPUTED_VALUE"""),0.459459459459459)</f>
        <v>0.4594594595</v>
      </c>
      <c r="H201" s="8">
        <f>IFERROR(__xludf.DUMMYFUNCTION("""COMPUTED_VALUE"""),0.405405405405405)</f>
        <v>0.4054054054</v>
      </c>
      <c r="I201" s="8">
        <f>IFERROR(__xludf.DUMMYFUNCTION("""COMPUTED_VALUE"""),0.364864864864864)</f>
        <v>0.3648648649</v>
      </c>
      <c r="J201" s="8">
        <f>IFERROR(__xludf.DUMMYFUNCTION("""COMPUTED_VALUE"""),0.324324324324324)</f>
        <v>0.3243243243</v>
      </c>
      <c r="K201" s="8">
        <f>IFERROR(__xludf.DUMMYFUNCTION("""COMPUTED_VALUE"""),0.283783783783783)</f>
        <v>0.2837837838</v>
      </c>
      <c r="L201" s="8">
        <f>IFERROR(__xludf.DUMMYFUNCTION("""COMPUTED_VALUE"""),0.27027027027027)</f>
        <v>0.2702702703</v>
      </c>
      <c r="M201" s="8">
        <f>IFERROR(__xludf.DUMMYFUNCTION("""COMPUTED_VALUE"""),0.243243243243243)</f>
        <v>0.2432432432</v>
      </c>
      <c r="N201" s="8">
        <f>IFERROR(__xludf.DUMMYFUNCTION("""COMPUTED_VALUE"""),0.256756756756756)</f>
        <v>0.2567567568</v>
      </c>
      <c r="O201" s="8">
        <f>IFERROR(__xludf.DUMMYFUNCTION("""COMPUTED_VALUE"""),0.246575342465753)</f>
        <v>0.2465753425</v>
      </c>
      <c r="P201" s="8">
        <f>IFERROR(__xludf.DUMMYFUNCTION("""COMPUTED_VALUE"""),0.2)</f>
        <v>0.2</v>
      </c>
      <c r="Q201" s="8">
        <f>IFERROR(__xludf.DUMMYFUNCTION("""COMPUTED_VALUE"""),0.0625)</f>
        <v>0.0625</v>
      </c>
      <c r="R201" s="8">
        <f>IFERROR(__xludf.DUMMYFUNCTION("""COMPUTED_VALUE"""),0.0625)</f>
        <v>0.0625</v>
      </c>
      <c r="S201" s="8">
        <f>IFERROR(__xludf.DUMMYFUNCTION("""COMPUTED_VALUE"""),0.0625)</f>
        <v>0.0625</v>
      </c>
      <c r="T201" s="8">
        <f>IFERROR(__xludf.DUMMYFUNCTION("""COMPUTED_VALUE"""),0.0)</f>
        <v>0</v>
      </c>
      <c r="U201" s="8">
        <f>IFERROR(__xludf.DUMMYFUNCTION("""COMPUTED_VALUE"""),0.0)</f>
        <v>0</v>
      </c>
      <c r="V201" s="8">
        <f>IFERROR(__xludf.DUMMYFUNCTION("""COMPUTED_VALUE"""),0.0)</f>
        <v>0</v>
      </c>
      <c r="W201" s="8">
        <f>IFERROR(__xludf.DUMMYFUNCTION("""COMPUTED_VALUE"""),0.0)</f>
        <v>0</v>
      </c>
      <c r="X201" s="8">
        <f>IFERROR(__xludf.DUMMYFUNCTION("""COMPUTED_VALUE"""),0.0)</f>
        <v>0</v>
      </c>
      <c r="Y201" s="8">
        <f>IFERROR(__xludf.DUMMYFUNCTION("""COMPUTED_VALUE"""),0.0)</f>
        <v>0</v>
      </c>
      <c r="Z201" s="8">
        <f>IFERROR(__xludf.DUMMYFUNCTION("""COMPUTED_VALUE"""),0.0)</f>
        <v>0</v>
      </c>
      <c r="AA201" s="8">
        <f>IFERROR(__xludf.DUMMYFUNCTION("""COMPUTED_VALUE"""),0.0)</f>
        <v>0</v>
      </c>
      <c r="AB201" s="8">
        <f>IFERROR(__xludf.DUMMYFUNCTION("""COMPUTED_VALUE"""),0.0)</f>
        <v>0</v>
      </c>
      <c r="AC201" s="8">
        <f>IFERROR(__xludf.DUMMYFUNCTION("""COMPUTED_VALUE"""),0.0)</f>
        <v>0</v>
      </c>
    </row>
    <row r="202" ht="15.75" customHeight="1">
      <c r="A202" s="6" t="str">
        <f>IFERROR(__xludf.DUMMYFUNCTION("""COMPUTED_VALUE"""),"b26d8e5052a2beb1af4ffc462d31141bb635a5b5")</f>
        <v>b26d8e5052a2beb1af4ffc462d31141bb635a5b5</v>
      </c>
      <c r="B202" s="6" t="str">
        <f>IFERROR(__xludf.DUMMYFUNCTION("""COMPUTED_VALUE"""),"The Revenge Marriage")</f>
        <v>The Revenge Marriage</v>
      </c>
      <c r="C202" s="6" t="str">
        <f>IFERROR(__xludf.DUMMYFUNCTION("""COMPUTED_VALUE"""),"Romance")</f>
        <v>Romance</v>
      </c>
      <c r="D202" s="11">
        <f>IFERROR(__xludf.DUMMYFUNCTION("""COMPUTED_VALUE"""),66.0)</f>
        <v>66</v>
      </c>
      <c r="E202" s="8">
        <f>IFERROR(__xludf.DUMMYFUNCTION("""COMPUTED_VALUE"""),0.954545454545454)</f>
        <v>0.9545454545</v>
      </c>
      <c r="F202" s="8">
        <f>IFERROR(__xludf.DUMMYFUNCTION("""COMPUTED_VALUE"""),0.621212121212121)</f>
        <v>0.6212121212</v>
      </c>
      <c r="G202" s="8">
        <f>IFERROR(__xludf.DUMMYFUNCTION("""COMPUTED_VALUE"""),0.575757575757575)</f>
        <v>0.5757575758</v>
      </c>
      <c r="H202" s="8">
        <f>IFERROR(__xludf.DUMMYFUNCTION("""COMPUTED_VALUE"""),0.5)</f>
        <v>0.5</v>
      </c>
      <c r="I202" s="8">
        <f>IFERROR(__xludf.DUMMYFUNCTION("""COMPUTED_VALUE"""),0.484848484848484)</f>
        <v>0.4848484848</v>
      </c>
      <c r="J202" s="8">
        <f>IFERROR(__xludf.DUMMYFUNCTION("""COMPUTED_VALUE"""),0.484848484848484)</f>
        <v>0.4848484848</v>
      </c>
      <c r="K202" s="8">
        <f>IFERROR(__xludf.DUMMYFUNCTION("""COMPUTED_VALUE"""),0.484848484848484)</f>
        <v>0.4848484848</v>
      </c>
      <c r="L202" s="8">
        <f>IFERROR(__xludf.DUMMYFUNCTION("""COMPUTED_VALUE"""),0.439393939393939)</f>
        <v>0.4393939394</v>
      </c>
      <c r="M202" s="8">
        <f>IFERROR(__xludf.DUMMYFUNCTION("""COMPUTED_VALUE"""),0.439393939393939)</f>
        <v>0.4393939394</v>
      </c>
      <c r="N202" s="8">
        <f>IFERROR(__xludf.DUMMYFUNCTION("""COMPUTED_VALUE"""),0.424242424242424)</f>
        <v>0.4242424242</v>
      </c>
      <c r="O202" s="8">
        <f>IFERROR(__xludf.DUMMYFUNCTION("""COMPUTED_VALUE"""),0.369230769230769)</f>
        <v>0.3692307692</v>
      </c>
      <c r="P202" s="8">
        <f>IFERROR(__xludf.DUMMYFUNCTION("""COMPUTED_VALUE"""),0.285714285714285)</f>
        <v>0.2857142857</v>
      </c>
      <c r="Q202" s="8">
        <f>IFERROR(__xludf.DUMMYFUNCTION("""COMPUTED_VALUE"""),0.175438596491228)</f>
        <v>0.1754385965</v>
      </c>
      <c r="R202" s="8">
        <f>IFERROR(__xludf.DUMMYFUNCTION("""COMPUTED_VALUE"""),0.163265306122448)</f>
        <v>0.1632653061</v>
      </c>
      <c r="S202" s="8">
        <f>IFERROR(__xludf.DUMMYFUNCTION("""COMPUTED_VALUE"""),0.222222222222222)</f>
        <v>0.2222222222</v>
      </c>
      <c r="T202" s="8">
        <f>IFERROR(__xludf.DUMMYFUNCTION("""COMPUTED_VALUE"""),0.0)</f>
        <v>0</v>
      </c>
      <c r="U202" s="8">
        <f>IFERROR(__xludf.DUMMYFUNCTION("""COMPUTED_VALUE"""),0.0)</f>
        <v>0</v>
      </c>
      <c r="V202" s="8">
        <f>IFERROR(__xludf.DUMMYFUNCTION("""COMPUTED_VALUE"""),0.0)</f>
        <v>0</v>
      </c>
      <c r="W202" s="8">
        <f>IFERROR(__xludf.DUMMYFUNCTION("""COMPUTED_VALUE"""),0.0)</f>
        <v>0</v>
      </c>
      <c r="X202" s="8">
        <f>IFERROR(__xludf.DUMMYFUNCTION("""COMPUTED_VALUE"""),0.0)</f>
        <v>0</v>
      </c>
      <c r="Y202" s="8">
        <f>IFERROR(__xludf.DUMMYFUNCTION("""COMPUTED_VALUE"""),0.0)</f>
        <v>0</v>
      </c>
      <c r="Z202" s="8">
        <f>IFERROR(__xludf.DUMMYFUNCTION("""COMPUTED_VALUE"""),0.0)</f>
        <v>0</v>
      </c>
      <c r="AA202" s="8">
        <f>IFERROR(__xludf.DUMMYFUNCTION("""COMPUTED_VALUE"""),0.0)</f>
        <v>0</v>
      </c>
      <c r="AB202" s="8">
        <f>IFERROR(__xludf.DUMMYFUNCTION("""COMPUTED_VALUE"""),0.0)</f>
        <v>0</v>
      </c>
      <c r="AC202" s="8">
        <f>IFERROR(__xludf.DUMMYFUNCTION("""COMPUTED_VALUE"""),0.0)</f>
        <v>0</v>
      </c>
    </row>
    <row r="203" ht="15.75" customHeight="1">
      <c r="A203" s="6" t="str">
        <f>IFERROR(__xludf.DUMMYFUNCTION("""COMPUTED_VALUE"""),"b2e0e008665e30068057a1556346d5473a8ed579")</f>
        <v>b2e0e008665e30068057a1556346d5473a8ed579</v>
      </c>
      <c r="B203" s="6" t="str">
        <f>IFERROR(__xludf.DUMMYFUNCTION("""COMPUTED_VALUE"""),"Legend of Cursed Blood ")</f>
        <v>Legend of Cursed Blood </v>
      </c>
      <c r="C203" s="6" t="str">
        <f>IFERROR(__xludf.DUMMYFUNCTION("""COMPUTED_VALUE"""),"Fantasy")</f>
        <v>Fantasy</v>
      </c>
      <c r="D203" s="11">
        <f>IFERROR(__xludf.DUMMYFUNCTION("""COMPUTED_VALUE"""),272.0)</f>
        <v>272</v>
      </c>
      <c r="E203" s="8">
        <f>IFERROR(__xludf.DUMMYFUNCTION("""COMPUTED_VALUE"""),0.966911764705882)</f>
        <v>0.9669117647</v>
      </c>
      <c r="F203" s="8">
        <f>IFERROR(__xludf.DUMMYFUNCTION("""COMPUTED_VALUE"""),0.525735294117647)</f>
        <v>0.5257352941</v>
      </c>
      <c r="G203" s="8">
        <f>IFERROR(__xludf.DUMMYFUNCTION("""COMPUTED_VALUE"""),0.459558823529411)</f>
        <v>0.4595588235</v>
      </c>
      <c r="H203" s="8">
        <f>IFERROR(__xludf.DUMMYFUNCTION("""COMPUTED_VALUE"""),0.3984375)</f>
        <v>0.3984375</v>
      </c>
      <c r="I203" s="8">
        <f>IFERROR(__xludf.DUMMYFUNCTION("""COMPUTED_VALUE"""),0.316)</f>
        <v>0.316</v>
      </c>
      <c r="J203" s="8">
        <f>IFERROR(__xludf.DUMMYFUNCTION("""COMPUTED_VALUE"""),0.265306122448979)</f>
        <v>0.2653061224</v>
      </c>
      <c r="K203" s="8">
        <f>IFERROR(__xludf.DUMMYFUNCTION("""COMPUTED_VALUE"""),0.254166666666666)</f>
        <v>0.2541666667</v>
      </c>
      <c r="L203" s="8">
        <f>IFERROR(__xludf.DUMMYFUNCTION("""COMPUTED_VALUE"""),0.25)</f>
        <v>0.25</v>
      </c>
      <c r="M203" s="8">
        <f>IFERROR(__xludf.DUMMYFUNCTION("""COMPUTED_VALUE"""),0.22429906542056)</f>
        <v>0.2242990654</v>
      </c>
      <c r="N203" s="8">
        <f>IFERROR(__xludf.DUMMYFUNCTION("""COMPUTED_VALUE"""),0.227272727272727)</f>
        <v>0.2272727273</v>
      </c>
      <c r="O203" s="8">
        <f>IFERROR(__xludf.DUMMYFUNCTION("""COMPUTED_VALUE"""),0.136690647482014)</f>
        <v>0.1366906475</v>
      </c>
      <c r="P203" s="8">
        <f>IFERROR(__xludf.DUMMYFUNCTION("""COMPUTED_VALUE"""),0.0820895522388059)</f>
        <v>0.08208955224</v>
      </c>
      <c r="Q203" s="8">
        <f>IFERROR(__xludf.DUMMYFUNCTION("""COMPUTED_VALUE"""),0.032258064516129)</f>
        <v>0.03225806452</v>
      </c>
      <c r="R203" s="8">
        <f>IFERROR(__xludf.DUMMYFUNCTION("""COMPUTED_VALUE"""),0.0258620689655172)</f>
        <v>0.02586206897</v>
      </c>
      <c r="S203" s="8">
        <f>IFERROR(__xludf.DUMMYFUNCTION("""COMPUTED_VALUE"""),0.00970873786407766)</f>
        <v>0.009708737864</v>
      </c>
      <c r="T203" s="8">
        <f>IFERROR(__xludf.DUMMYFUNCTION("""COMPUTED_VALUE"""),0.0106382978723404)</f>
        <v>0.01063829787</v>
      </c>
      <c r="U203" s="8">
        <f>IFERROR(__xludf.DUMMYFUNCTION("""COMPUTED_VALUE"""),0.0129870129870129)</f>
        <v>0.01298701299</v>
      </c>
      <c r="V203" s="8">
        <f>IFERROR(__xludf.DUMMYFUNCTION("""COMPUTED_VALUE"""),0.0149253731343283)</f>
        <v>0.01492537313</v>
      </c>
      <c r="W203" s="8">
        <f>IFERROR(__xludf.DUMMYFUNCTION("""COMPUTED_VALUE"""),0.0)</f>
        <v>0</v>
      </c>
      <c r="X203" s="8">
        <f>IFERROR(__xludf.DUMMYFUNCTION("""COMPUTED_VALUE"""),0.0)</f>
        <v>0</v>
      </c>
      <c r="Y203" s="8">
        <f>IFERROR(__xludf.DUMMYFUNCTION("""COMPUTED_VALUE"""),0.0)</f>
        <v>0</v>
      </c>
      <c r="Z203" s="8">
        <f>IFERROR(__xludf.DUMMYFUNCTION("""COMPUTED_VALUE"""),0.0)</f>
        <v>0</v>
      </c>
      <c r="AA203" s="8">
        <f>IFERROR(__xludf.DUMMYFUNCTION("""COMPUTED_VALUE"""),0.0)</f>
        <v>0</v>
      </c>
      <c r="AB203" s="8">
        <f>IFERROR(__xludf.DUMMYFUNCTION("""COMPUTED_VALUE"""),0.0)</f>
        <v>0</v>
      </c>
      <c r="AC203" s="8">
        <f>IFERROR(__xludf.DUMMYFUNCTION("""COMPUTED_VALUE"""),0.0)</f>
        <v>0</v>
      </c>
    </row>
    <row r="204" ht="15.75" customHeight="1">
      <c r="A204" s="6" t="str">
        <f>IFERROR(__xludf.DUMMYFUNCTION("""COMPUTED_VALUE"""),"b4357a596922bd37b47ec2573cd92ac18997c713")</f>
        <v>b4357a596922bd37b47ec2573cd92ac18997c713</v>
      </c>
      <c r="B204" s="6" t="str">
        <f>IFERROR(__xludf.DUMMYFUNCTION("""COMPUTED_VALUE"""),"Immortal Ascension")</f>
        <v>Immortal Ascension</v>
      </c>
      <c r="C204" s="6" t="str">
        <f>IFERROR(__xludf.DUMMYFUNCTION("""COMPUTED_VALUE"""),"System and Superpower")</f>
        <v>System and Superpower</v>
      </c>
      <c r="D204" s="11">
        <f>IFERROR(__xludf.DUMMYFUNCTION("""COMPUTED_VALUE"""),663.0)</f>
        <v>663</v>
      </c>
      <c r="E204" s="8">
        <f>IFERROR(__xludf.DUMMYFUNCTION("""COMPUTED_VALUE"""),0.980392156862745)</f>
        <v>0.9803921569</v>
      </c>
      <c r="F204" s="8">
        <f>IFERROR(__xludf.DUMMYFUNCTION("""COMPUTED_VALUE"""),0.524886877828054)</f>
        <v>0.5248868778</v>
      </c>
      <c r="G204" s="8">
        <f>IFERROR(__xludf.DUMMYFUNCTION("""COMPUTED_VALUE"""),0.438914027149321)</f>
        <v>0.4389140271</v>
      </c>
      <c r="H204" s="8">
        <f>IFERROR(__xludf.DUMMYFUNCTION("""COMPUTED_VALUE"""),0.417797888386123)</f>
        <v>0.4177978884</v>
      </c>
      <c r="I204" s="8">
        <f>IFERROR(__xludf.DUMMYFUNCTION("""COMPUTED_VALUE"""),0.39274924471299)</f>
        <v>0.3927492447</v>
      </c>
      <c r="J204" s="8">
        <f>IFERROR(__xludf.DUMMYFUNCTION("""COMPUTED_VALUE"""),0.358006042296072)</f>
        <v>0.3580060423</v>
      </c>
      <c r="K204" s="8">
        <f>IFERROR(__xludf.DUMMYFUNCTION("""COMPUTED_VALUE"""),0.333836858006042)</f>
        <v>0.333836858</v>
      </c>
      <c r="L204" s="8">
        <f>IFERROR(__xludf.DUMMYFUNCTION("""COMPUTED_VALUE"""),0.293051359516616)</f>
        <v>0.2930513595</v>
      </c>
      <c r="M204" s="8">
        <f>IFERROR(__xludf.DUMMYFUNCTION("""COMPUTED_VALUE"""),0.26928895612708)</f>
        <v>0.2692889561</v>
      </c>
      <c r="N204" s="8">
        <f>IFERROR(__xludf.DUMMYFUNCTION("""COMPUTED_VALUE"""),0.258358662613981)</f>
        <v>0.2583586626</v>
      </c>
      <c r="O204" s="8">
        <f>IFERROR(__xludf.DUMMYFUNCTION("""COMPUTED_VALUE"""),0.193597560975609)</f>
        <v>0.193597561</v>
      </c>
      <c r="P204" s="8">
        <f>IFERROR(__xludf.DUMMYFUNCTION("""COMPUTED_VALUE"""),0.0973724884080371)</f>
        <v>0.09737248841</v>
      </c>
      <c r="Q204" s="8">
        <f>IFERROR(__xludf.DUMMYFUNCTION("""COMPUTED_VALUE"""),0.0714285714285714)</f>
        <v>0.07142857143</v>
      </c>
      <c r="R204" s="8">
        <f>IFERROR(__xludf.DUMMYFUNCTION("""COMPUTED_VALUE"""),0.0769230769230769)</f>
        <v>0.07692307692</v>
      </c>
      <c r="S204" s="8">
        <f>IFERROR(__xludf.DUMMYFUNCTION("""COMPUTED_VALUE"""),0.0)</f>
        <v>0</v>
      </c>
      <c r="T204" s="8">
        <f>IFERROR(__xludf.DUMMYFUNCTION("""COMPUTED_VALUE"""),0.0)</f>
        <v>0</v>
      </c>
      <c r="U204" s="8">
        <f>IFERROR(__xludf.DUMMYFUNCTION("""COMPUTED_VALUE"""),0.0)</f>
        <v>0</v>
      </c>
      <c r="V204" s="8">
        <f>IFERROR(__xludf.DUMMYFUNCTION("""COMPUTED_VALUE"""),0.0)</f>
        <v>0</v>
      </c>
      <c r="W204" s="8">
        <f>IFERROR(__xludf.DUMMYFUNCTION("""COMPUTED_VALUE"""),0.0)</f>
        <v>0</v>
      </c>
      <c r="X204" s="8">
        <f>IFERROR(__xludf.DUMMYFUNCTION("""COMPUTED_VALUE"""),0.0)</f>
        <v>0</v>
      </c>
      <c r="Y204" s="8">
        <f>IFERROR(__xludf.DUMMYFUNCTION("""COMPUTED_VALUE"""),0.0)</f>
        <v>0</v>
      </c>
      <c r="Z204" s="8">
        <f>IFERROR(__xludf.DUMMYFUNCTION("""COMPUTED_VALUE"""),0.0)</f>
        <v>0</v>
      </c>
      <c r="AA204" s="8">
        <f>IFERROR(__xludf.DUMMYFUNCTION("""COMPUTED_VALUE"""),0.0)</f>
        <v>0</v>
      </c>
      <c r="AB204" s="8">
        <f>IFERROR(__xludf.DUMMYFUNCTION("""COMPUTED_VALUE"""),0.0)</f>
        <v>0</v>
      </c>
      <c r="AC204" s="8">
        <f>IFERROR(__xludf.DUMMYFUNCTION("""COMPUTED_VALUE"""),0.0)</f>
        <v>0</v>
      </c>
    </row>
    <row r="205" ht="15.75" customHeight="1">
      <c r="A205" s="6" t="str">
        <f>IFERROR(__xludf.DUMMYFUNCTION("""COMPUTED_VALUE"""),"b4ba67822e15bf23c0044676b09f1aeb405d154f")</f>
        <v>b4ba67822e15bf23c0044676b09f1aeb405d154f</v>
      </c>
      <c r="B205" s="6" t="str">
        <f>IFERROR(__xludf.DUMMYFUNCTION("""COMPUTED_VALUE"""),"The Twin Affair")</f>
        <v>The Twin Affair</v>
      </c>
      <c r="C205" s="6" t="str">
        <f>IFERROR(__xludf.DUMMYFUNCTION("""COMPUTED_VALUE"""),"Romantasy")</f>
        <v>Romantasy</v>
      </c>
      <c r="D205" s="11">
        <f>IFERROR(__xludf.DUMMYFUNCTION("""COMPUTED_VALUE"""),242.0)</f>
        <v>242</v>
      </c>
      <c r="E205" s="8">
        <f>IFERROR(__xludf.DUMMYFUNCTION("""COMPUTED_VALUE"""),0.954545454545454)</f>
        <v>0.9545454545</v>
      </c>
      <c r="F205" s="8">
        <f>IFERROR(__xludf.DUMMYFUNCTION("""COMPUTED_VALUE"""),0.570247933884297)</f>
        <v>0.5702479339</v>
      </c>
      <c r="G205" s="8">
        <f>IFERROR(__xludf.DUMMYFUNCTION("""COMPUTED_VALUE"""),0.512396694214876)</f>
        <v>0.5123966942</v>
      </c>
      <c r="H205" s="8">
        <f>IFERROR(__xludf.DUMMYFUNCTION("""COMPUTED_VALUE"""),0.479338842975206)</f>
        <v>0.479338843</v>
      </c>
      <c r="I205" s="8">
        <f>IFERROR(__xludf.DUMMYFUNCTION("""COMPUTED_VALUE"""),0.446280991735537)</f>
        <v>0.4462809917</v>
      </c>
      <c r="J205" s="8">
        <f>IFERROR(__xludf.DUMMYFUNCTION("""COMPUTED_VALUE"""),0.425619834710743)</f>
        <v>0.4256198347</v>
      </c>
      <c r="K205" s="8">
        <f>IFERROR(__xludf.DUMMYFUNCTION("""COMPUTED_VALUE"""),0.409090909090909)</f>
        <v>0.4090909091</v>
      </c>
      <c r="L205" s="8">
        <f>IFERROR(__xludf.DUMMYFUNCTION("""COMPUTED_VALUE"""),0.384297520661157)</f>
        <v>0.3842975207</v>
      </c>
      <c r="M205" s="8">
        <f>IFERROR(__xludf.DUMMYFUNCTION("""COMPUTED_VALUE"""),0.371900826446281)</f>
        <v>0.3719008264</v>
      </c>
      <c r="N205" s="8">
        <f>IFERROR(__xludf.DUMMYFUNCTION("""COMPUTED_VALUE"""),0.363636363636363)</f>
        <v>0.3636363636</v>
      </c>
      <c r="O205" s="8">
        <f>IFERROR(__xludf.DUMMYFUNCTION("""COMPUTED_VALUE"""),0.34297520661157)</f>
        <v>0.3429752066</v>
      </c>
      <c r="P205" s="8">
        <f>IFERROR(__xludf.DUMMYFUNCTION("""COMPUTED_VALUE"""),0.331950207468879)</f>
        <v>0.3319502075</v>
      </c>
      <c r="Q205" s="8">
        <f>IFERROR(__xludf.DUMMYFUNCTION("""COMPUTED_VALUE"""),0.179166666666666)</f>
        <v>0.1791666667</v>
      </c>
      <c r="R205" s="8">
        <f>IFERROR(__xludf.DUMMYFUNCTION("""COMPUTED_VALUE"""),0.0)</f>
        <v>0</v>
      </c>
      <c r="S205" s="8">
        <f>IFERROR(__xludf.DUMMYFUNCTION("""COMPUTED_VALUE"""),0.0)</f>
        <v>0</v>
      </c>
      <c r="T205" s="8">
        <f>IFERROR(__xludf.DUMMYFUNCTION("""COMPUTED_VALUE"""),0.0)</f>
        <v>0</v>
      </c>
      <c r="U205" s="8">
        <f>IFERROR(__xludf.DUMMYFUNCTION("""COMPUTED_VALUE"""),0.0)</f>
        <v>0</v>
      </c>
      <c r="V205" s="8">
        <f>IFERROR(__xludf.DUMMYFUNCTION("""COMPUTED_VALUE"""),0.0)</f>
        <v>0</v>
      </c>
      <c r="W205" s="8">
        <f>IFERROR(__xludf.DUMMYFUNCTION("""COMPUTED_VALUE"""),0.0)</f>
        <v>0</v>
      </c>
      <c r="X205" s="8">
        <f>IFERROR(__xludf.DUMMYFUNCTION("""COMPUTED_VALUE"""),0.0)</f>
        <v>0</v>
      </c>
      <c r="Y205" s="8">
        <f>IFERROR(__xludf.DUMMYFUNCTION("""COMPUTED_VALUE"""),0.0)</f>
        <v>0</v>
      </c>
      <c r="Z205" s="8">
        <f>IFERROR(__xludf.DUMMYFUNCTION("""COMPUTED_VALUE"""),0.0)</f>
        <v>0</v>
      </c>
      <c r="AA205" s="8">
        <f>IFERROR(__xludf.DUMMYFUNCTION("""COMPUTED_VALUE"""),0.0)</f>
        <v>0</v>
      </c>
      <c r="AB205" s="8">
        <f>IFERROR(__xludf.DUMMYFUNCTION("""COMPUTED_VALUE"""),0.0)</f>
        <v>0</v>
      </c>
      <c r="AC205" s="8">
        <f>IFERROR(__xludf.DUMMYFUNCTION("""COMPUTED_VALUE"""),0.0)</f>
        <v>0</v>
      </c>
    </row>
    <row r="206" ht="15.75" customHeight="1">
      <c r="A206" s="6" t="str">
        <f>IFERROR(__xludf.DUMMYFUNCTION("""COMPUTED_VALUE"""),"b6ceacf9ec08a19cb30826c8277260c2339da0b3")</f>
        <v>b6ceacf9ec08a19cb30826c8277260c2339da0b3</v>
      </c>
      <c r="B206" s="6" t="str">
        <f>IFERROR(__xludf.DUMMYFUNCTION("""COMPUTED_VALUE"""),"Ruthless Betrayal ")</f>
        <v>Ruthless Betrayal </v>
      </c>
      <c r="C206" s="6" t="str">
        <f>IFERROR(__xludf.DUMMYFUNCTION("""COMPUTED_VALUE"""),"Romance")</f>
        <v>Romance</v>
      </c>
      <c r="D206" s="11">
        <f>IFERROR(__xludf.DUMMYFUNCTION("""COMPUTED_VALUE"""),35.0)</f>
        <v>35</v>
      </c>
      <c r="E206" s="8">
        <f>IFERROR(__xludf.DUMMYFUNCTION("""COMPUTED_VALUE"""),1.0)</f>
        <v>1</v>
      </c>
      <c r="F206" s="8">
        <f>IFERROR(__xludf.DUMMYFUNCTION("""COMPUTED_VALUE"""),0.514285714285714)</f>
        <v>0.5142857143</v>
      </c>
      <c r="G206" s="8">
        <f>IFERROR(__xludf.DUMMYFUNCTION("""COMPUTED_VALUE"""),0.371428571428571)</f>
        <v>0.3714285714</v>
      </c>
      <c r="H206" s="8">
        <f>IFERROR(__xludf.DUMMYFUNCTION("""COMPUTED_VALUE"""),0.314285714285714)</f>
        <v>0.3142857143</v>
      </c>
      <c r="I206" s="8">
        <f>IFERROR(__xludf.DUMMYFUNCTION("""COMPUTED_VALUE"""),0.314285714285714)</f>
        <v>0.3142857143</v>
      </c>
      <c r="J206" s="8">
        <f>IFERROR(__xludf.DUMMYFUNCTION("""COMPUTED_VALUE"""),0.323529411764705)</f>
        <v>0.3235294118</v>
      </c>
      <c r="K206" s="8">
        <f>IFERROR(__xludf.DUMMYFUNCTION("""COMPUTED_VALUE"""),0.264705882352941)</f>
        <v>0.2647058824</v>
      </c>
      <c r="L206" s="8">
        <f>IFERROR(__xludf.DUMMYFUNCTION("""COMPUTED_VALUE"""),0.3)</f>
        <v>0.3</v>
      </c>
      <c r="M206" s="8">
        <f>IFERROR(__xludf.DUMMYFUNCTION("""COMPUTED_VALUE"""),0.333333333333333)</f>
        <v>0.3333333333</v>
      </c>
      <c r="N206" s="8">
        <f>IFERROR(__xludf.DUMMYFUNCTION("""COMPUTED_VALUE"""),0.321428571428571)</f>
        <v>0.3214285714</v>
      </c>
      <c r="O206" s="8">
        <f>IFERROR(__xludf.DUMMYFUNCTION("""COMPUTED_VALUE"""),0.333333333333333)</f>
        <v>0.3333333333</v>
      </c>
      <c r="P206" s="8">
        <f>IFERROR(__xludf.DUMMYFUNCTION("""COMPUTED_VALUE"""),0.0833333333333333)</f>
        <v>0.08333333333</v>
      </c>
      <c r="Q206" s="8">
        <f>IFERROR(__xludf.DUMMYFUNCTION("""COMPUTED_VALUE"""),0.0454545454545454)</f>
        <v>0.04545454545</v>
      </c>
      <c r="R206" s="8">
        <f>IFERROR(__xludf.DUMMYFUNCTION("""COMPUTED_VALUE"""),0.0)</f>
        <v>0</v>
      </c>
      <c r="S206" s="8">
        <f>IFERROR(__xludf.DUMMYFUNCTION("""COMPUTED_VALUE"""),0.0)</f>
        <v>0</v>
      </c>
      <c r="T206" s="8">
        <f>IFERROR(__xludf.DUMMYFUNCTION("""COMPUTED_VALUE"""),0.0)</f>
        <v>0</v>
      </c>
      <c r="U206" s="8">
        <f>IFERROR(__xludf.DUMMYFUNCTION("""COMPUTED_VALUE"""),0.0)</f>
        <v>0</v>
      </c>
      <c r="V206" s="8">
        <f>IFERROR(__xludf.DUMMYFUNCTION("""COMPUTED_VALUE"""),0.0)</f>
        <v>0</v>
      </c>
      <c r="W206" s="8">
        <f>IFERROR(__xludf.DUMMYFUNCTION("""COMPUTED_VALUE"""),0.0)</f>
        <v>0</v>
      </c>
      <c r="X206" s="8">
        <f>IFERROR(__xludf.DUMMYFUNCTION("""COMPUTED_VALUE"""),0.0)</f>
        <v>0</v>
      </c>
      <c r="Y206" s="8">
        <f>IFERROR(__xludf.DUMMYFUNCTION("""COMPUTED_VALUE"""),0.0)</f>
        <v>0</v>
      </c>
      <c r="Z206" s="8">
        <f>IFERROR(__xludf.DUMMYFUNCTION("""COMPUTED_VALUE"""),0.0)</f>
        <v>0</v>
      </c>
      <c r="AA206" s="8">
        <f>IFERROR(__xludf.DUMMYFUNCTION("""COMPUTED_VALUE"""),0.0)</f>
        <v>0</v>
      </c>
      <c r="AB206" s="8">
        <f>IFERROR(__xludf.DUMMYFUNCTION("""COMPUTED_VALUE"""),0.0)</f>
        <v>0</v>
      </c>
      <c r="AC206" s="8">
        <f>IFERROR(__xludf.DUMMYFUNCTION("""COMPUTED_VALUE"""),0.0)</f>
        <v>0</v>
      </c>
    </row>
    <row r="207" ht="15.75" customHeight="1">
      <c r="A207" s="6" t="str">
        <f>IFERROR(__xludf.DUMMYFUNCTION("""COMPUTED_VALUE"""),"b6dcffd8fcb56899f1036740aa43dcb9b648ffe5")</f>
        <v>b6dcffd8fcb56899f1036740aa43dcb9b648ffe5</v>
      </c>
      <c r="B207" s="6" t="str">
        <f>IFERROR(__xludf.DUMMYFUNCTION("""COMPUTED_VALUE"""),"His Zealous Years Ahead")</f>
        <v>His Zealous Years Ahead</v>
      </c>
      <c r="C207" s="6" t="str">
        <f>IFERROR(__xludf.DUMMYFUNCTION("""COMPUTED_VALUE"""),"Fantasy")</f>
        <v>Fantasy</v>
      </c>
      <c r="D207" s="11">
        <f>IFERROR(__xludf.DUMMYFUNCTION("""COMPUTED_VALUE"""),114.0)</f>
        <v>114</v>
      </c>
      <c r="E207" s="8">
        <f>IFERROR(__xludf.DUMMYFUNCTION("""COMPUTED_VALUE"""),0.964912280701754)</f>
        <v>0.9649122807</v>
      </c>
      <c r="F207" s="8">
        <f>IFERROR(__xludf.DUMMYFUNCTION("""COMPUTED_VALUE"""),0.526315789473684)</f>
        <v>0.5263157895</v>
      </c>
      <c r="G207" s="8">
        <f>IFERROR(__xludf.DUMMYFUNCTION("""COMPUTED_VALUE"""),0.464912280701754)</f>
        <v>0.4649122807</v>
      </c>
      <c r="H207" s="8">
        <f>IFERROR(__xludf.DUMMYFUNCTION("""COMPUTED_VALUE"""),0.403846153846153)</f>
        <v>0.4038461538</v>
      </c>
      <c r="I207" s="8">
        <f>IFERROR(__xludf.DUMMYFUNCTION("""COMPUTED_VALUE"""),0.373737373737373)</f>
        <v>0.3737373737</v>
      </c>
      <c r="J207" s="8">
        <f>IFERROR(__xludf.DUMMYFUNCTION("""COMPUTED_VALUE"""),0.341176470588235)</f>
        <v>0.3411764706</v>
      </c>
      <c r="K207" s="8">
        <f>IFERROR(__xludf.DUMMYFUNCTION("""COMPUTED_VALUE"""),0.256410256410256)</f>
        <v>0.2564102564</v>
      </c>
      <c r="L207" s="8">
        <f>IFERROR(__xludf.DUMMYFUNCTION("""COMPUTED_VALUE"""),0.271428571428571)</f>
        <v>0.2714285714</v>
      </c>
      <c r="M207" s="8">
        <f>IFERROR(__xludf.DUMMYFUNCTION("""COMPUTED_VALUE"""),0.21875)</f>
        <v>0.21875</v>
      </c>
      <c r="N207" s="8">
        <f>IFERROR(__xludf.DUMMYFUNCTION("""COMPUTED_VALUE"""),0.25)</f>
        <v>0.25</v>
      </c>
      <c r="O207" s="8">
        <f>IFERROR(__xludf.DUMMYFUNCTION("""COMPUTED_VALUE"""),0.391304347826087)</f>
        <v>0.3913043478</v>
      </c>
      <c r="P207" s="8">
        <f>IFERROR(__xludf.DUMMYFUNCTION("""COMPUTED_VALUE"""),0.111111111111111)</f>
        <v>0.1111111111</v>
      </c>
      <c r="Q207" s="8">
        <f>IFERROR(__xludf.DUMMYFUNCTION("""COMPUTED_VALUE"""),0.0)</f>
        <v>0</v>
      </c>
      <c r="R207" s="8">
        <f>IFERROR(__xludf.DUMMYFUNCTION("""COMPUTED_VALUE"""),0.0)</f>
        <v>0</v>
      </c>
      <c r="S207" s="8">
        <f>IFERROR(__xludf.DUMMYFUNCTION("""COMPUTED_VALUE"""),0.0)</f>
        <v>0</v>
      </c>
      <c r="T207" s="8">
        <f>IFERROR(__xludf.DUMMYFUNCTION("""COMPUTED_VALUE"""),0.0)</f>
        <v>0</v>
      </c>
      <c r="U207" s="8">
        <f>IFERROR(__xludf.DUMMYFUNCTION("""COMPUTED_VALUE"""),0.0)</f>
        <v>0</v>
      </c>
      <c r="V207" s="8">
        <f>IFERROR(__xludf.DUMMYFUNCTION("""COMPUTED_VALUE"""),0.0)</f>
        <v>0</v>
      </c>
      <c r="W207" s="8">
        <f>IFERROR(__xludf.DUMMYFUNCTION("""COMPUTED_VALUE"""),0.0)</f>
        <v>0</v>
      </c>
      <c r="X207" s="8">
        <f>IFERROR(__xludf.DUMMYFUNCTION("""COMPUTED_VALUE"""),0.0)</f>
        <v>0</v>
      </c>
      <c r="Y207" s="8">
        <f>IFERROR(__xludf.DUMMYFUNCTION("""COMPUTED_VALUE"""),0.0)</f>
        <v>0</v>
      </c>
      <c r="Z207" s="8">
        <f>IFERROR(__xludf.DUMMYFUNCTION("""COMPUTED_VALUE"""),0.0)</f>
        <v>0</v>
      </c>
      <c r="AA207" s="8">
        <f>IFERROR(__xludf.DUMMYFUNCTION("""COMPUTED_VALUE"""),0.0)</f>
        <v>0</v>
      </c>
      <c r="AB207" s="8">
        <f>IFERROR(__xludf.DUMMYFUNCTION("""COMPUTED_VALUE"""),0.0)</f>
        <v>0</v>
      </c>
      <c r="AC207" s="8">
        <f>IFERROR(__xludf.DUMMYFUNCTION("""COMPUTED_VALUE"""),0.0)</f>
        <v>0</v>
      </c>
    </row>
    <row r="208" ht="15.75" customHeight="1">
      <c r="A208" s="6" t="str">
        <f>IFERROR(__xludf.DUMMYFUNCTION("""COMPUTED_VALUE"""),"b7410aeb19f92f7df4ccab821b5a28bfd7d73027")</f>
        <v>b7410aeb19f92f7df4ccab821b5a28bfd7d73027</v>
      </c>
      <c r="B208" s="6" t="str">
        <f>IFERROR(__xludf.DUMMYFUNCTION("""COMPUTED_VALUE"""),"Alpha Regulus")</f>
        <v>Alpha Regulus</v>
      </c>
      <c r="C208" s="6" t="str">
        <f>IFERROR(__xludf.DUMMYFUNCTION("""COMPUTED_VALUE"""),"Romantasy")</f>
        <v>Romantasy</v>
      </c>
      <c r="D208" s="11">
        <f>IFERROR(__xludf.DUMMYFUNCTION("""COMPUTED_VALUE"""),288.0)</f>
        <v>288</v>
      </c>
      <c r="E208" s="8">
        <f>IFERROR(__xludf.DUMMYFUNCTION("""COMPUTED_VALUE"""),0.989583333333333)</f>
        <v>0.9895833333</v>
      </c>
      <c r="F208" s="8">
        <f>IFERROR(__xludf.DUMMYFUNCTION("""COMPUTED_VALUE"""),0.579861111111111)</f>
        <v>0.5798611111</v>
      </c>
      <c r="G208" s="8">
        <f>IFERROR(__xludf.DUMMYFUNCTION("""COMPUTED_VALUE"""),0.517361111111111)</f>
        <v>0.5173611111</v>
      </c>
      <c r="H208" s="8">
        <f>IFERROR(__xludf.DUMMYFUNCTION("""COMPUTED_VALUE"""),0.454861111111111)</f>
        <v>0.4548611111</v>
      </c>
      <c r="I208" s="8">
        <f>IFERROR(__xludf.DUMMYFUNCTION("""COMPUTED_VALUE"""),0.40625)</f>
        <v>0.40625</v>
      </c>
      <c r="J208" s="8">
        <f>IFERROR(__xludf.DUMMYFUNCTION("""COMPUTED_VALUE"""),0.368055555555555)</f>
        <v>0.3680555556</v>
      </c>
      <c r="K208" s="8">
        <f>IFERROR(__xludf.DUMMYFUNCTION("""COMPUTED_VALUE"""),0.347222222222222)</f>
        <v>0.3472222222</v>
      </c>
      <c r="L208" s="8">
        <f>IFERROR(__xludf.DUMMYFUNCTION("""COMPUTED_VALUE"""),0.305555555555555)</f>
        <v>0.3055555556</v>
      </c>
      <c r="M208" s="8">
        <f>IFERROR(__xludf.DUMMYFUNCTION("""COMPUTED_VALUE"""),0.267361111111111)</f>
        <v>0.2673611111</v>
      </c>
      <c r="N208" s="8">
        <f>IFERROR(__xludf.DUMMYFUNCTION("""COMPUTED_VALUE"""),0.256944444444444)</f>
        <v>0.2569444444</v>
      </c>
      <c r="O208" s="8">
        <f>IFERROR(__xludf.DUMMYFUNCTION("""COMPUTED_VALUE"""),0.199300699300699)</f>
        <v>0.1993006993</v>
      </c>
      <c r="P208" s="8">
        <f>IFERROR(__xludf.DUMMYFUNCTION("""COMPUTED_VALUE"""),0.210045662100456)</f>
        <v>0.2100456621</v>
      </c>
      <c r="Q208" s="8">
        <f>IFERROR(__xludf.DUMMYFUNCTION("""COMPUTED_VALUE"""),0.180327868852459)</f>
        <v>0.1803278689</v>
      </c>
      <c r="R208" s="8">
        <f>IFERROR(__xludf.DUMMYFUNCTION("""COMPUTED_VALUE"""),0.115384615384615)</f>
        <v>0.1153846154</v>
      </c>
      <c r="S208" s="8">
        <f>IFERROR(__xludf.DUMMYFUNCTION("""COMPUTED_VALUE"""),0.105555555555555)</f>
        <v>0.1055555556</v>
      </c>
      <c r="T208" s="8">
        <f>IFERROR(__xludf.DUMMYFUNCTION("""COMPUTED_VALUE"""),0.0971428571428571)</f>
        <v>0.09714285714</v>
      </c>
      <c r="U208" s="8">
        <f>IFERROR(__xludf.DUMMYFUNCTION("""COMPUTED_VALUE"""),0.087719298245614)</f>
        <v>0.08771929825</v>
      </c>
      <c r="V208" s="8">
        <f>IFERROR(__xludf.DUMMYFUNCTION("""COMPUTED_VALUE"""),0.0701754385964912)</f>
        <v>0.0701754386</v>
      </c>
      <c r="W208" s="8">
        <f>IFERROR(__xludf.DUMMYFUNCTION("""COMPUTED_VALUE"""),0.0643274853801169)</f>
        <v>0.06432748538</v>
      </c>
      <c r="X208" s="8">
        <f>IFERROR(__xludf.DUMMYFUNCTION("""COMPUTED_VALUE"""),0.059171597633136)</f>
        <v>0.05917159763</v>
      </c>
      <c r="Y208" s="8">
        <f>IFERROR(__xludf.DUMMYFUNCTION("""COMPUTED_VALUE"""),0.0)</f>
        <v>0</v>
      </c>
      <c r="Z208" s="8">
        <f>IFERROR(__xludf.DUMMYFUNCTION("""COMPUTED_VALUE"""),0.0)</f>
        <v>0</v>
      </c>
      <c r="AA208" s="8">
        <f>IFERROR(__xludf.DUMMYFUNCTION("""COMPUTED_VALUE"""),0.0)</f>
        <v>0</v>
      </c>
      <c r="AB208" s="8">
        <f>IFERROR(__xludf.DUMMYFUNCTION("""COMPUTED_VALUE"""),0.0)</f>
        <v>0</v>
      </c>
      <c r="AC208" s="8">
        <f>IFERROR(__xludf.DUMMYFUNCTION("""COMPUTED_VALUE"""),0.0)</f>
        <v>0</v>
      </c>
    </row>
    <row r="209" ht="15.75" customHeight="1">
      <c r="A209" s="6" t="str">
        <f>IFERROR(__xludf.DUMMYFUNCTION("""COMPUTED_VALUE"""),"b7e62e1ec65efcef334c2161afd00edf7b5a2b09")</f>
        <v>b7e62e1ec65efcef334c2161afd00edf7b5a2b09</v>
      </c>
      <c r="B209" s="6" t="str">
        <f>IFERROR(__xludf.DUMMYFUNCTION("""COMPUTED_VALUE"""),"Thrones and Passion")</f>
        <v>Thrones and Passion</v>
      </c>
      <c r="C209" s="6" t="str">
        <f>IFERROR(__xludf.DUMMYFUNCTION("""COMPUTED_VALUE"""),"Romance")</f>
        <v>Romance</v>
      </c>
      <c r="D209" s="11">
        <f>IFERROR(__xludf.DUMMYFUNCTION("""COMPUTED_VALUE"""),31.0)</f>
        <v>31</v>
      </c>
      <c r="E209" s="8">
        <f>IFERROR(__xludf.DUMMYFUNCTION("""COMPUTED_VALUE"""),1.0)</f>
        <v>1</v>
      </c>
      <c r="F209" s="8">
        <f>IFERROR(__xludf.DUMMYFUNCTION("""COMPUTED_VALUE"""),0.548387096774193)</f>
        <v>0.5483870968</v>
      </c>
      <c r="G209" s="8">
        <f>IFERROR(__xludf.DUMMYFUNCTION("""COMPUTED_VALUE"""),0.419354838709677)</f>
        <v>0.4193548387</v>
      </c>
      <c r="H209" s="8">
        <f>IFERROR(__xludf.DUMMYFUNCTION("""COMPUTED_VALUE"""),0.433333333333333)</f>
        <v>0.4333333333</v>
      </c>
      <c r="I209" s="8">
        <f>IFERROR(__xludf.DUMMYFUNCTION("""COMPUTED_VALUE"""),0.333333333333333)</f>
        <v>0.3333333333</v>
      </c>
      <c r="J209" s="8">
        <f>IFERROR(__xludf.DUMMYFUNCTION("""COMPUTED_VALUE"""),0.333333333333333)</f>
        <v>0.3333333333</v>
      </c>
      <c r="K209" s="8">
        <f>IFERROR(__xludf.DUMMYFUNCTION("""COMPUTED_VALUE"""),0.379310344827586)</f>
        <v>0.3793103448</v>
      </c>
      <c r="L209" s="8">
        <f>IFERROR(__xludf.DUMMYFUNCTION("""COMPUTED_VALUE"""),0.37037037037037)</f>
        <v>0.3703703704</v>
      </c>
      <c r="M209" s="8">
        <f>IFERROR(__xludf.DUMMYFUNCTION("""COMPUTED_VALUE"""),0.409090909090909)</f>
        <v>0.4090909091</v>
      </c>
      <c r="N209" s="8">
        <f>IFERROR(__xludf.DUMMYFUNCTION("""COMPUTED_VALUE"""),0.333333333333333)</f>
        <v>0.3333333333</v>
      </c>
      <c r="O209" s="8">
        <f>IFERROR(__xludf.DUMMYFUNCTION("""COMPUTED_VALUE"""),0.25)</f>
        <v>0.25</v>
      </c>
      <c r="P209" s="8">
        <f>IFERROR(__xludf.DUMMYFUNCTION("""COMPUTED_VALUE"""),0.0)</f>
        <v>0</v>
      </c>
      <c r="Q209" s="8">
        <f>IFERROR(__xludf.DUMMYFUNCTION("""COMPUTED_VALUE"""),0.0)</f>
        <v>0</v>
      </c>
      <c r="R209" s="8">
        <f>IFERROR(__xludf.DUMMYFUNCTION("""COMPUTED_VALUE"""),0.0)</f>
        <v>0</v>
      </c>
      <c r="S209" s="8">
        <f>IFERROR(__xludf.DUMMYFUNCTION("""COMPUTED_VALUE"""),0.0)</f>
        <v>0</v>
      </c>
      <c r="T209" s="8">
        <f>IFERROR(__xludf.DUMMYFUNCTION("""COMPUTED_VALUE"""),0.0)</f>
        <v>0</v>
      </c>
      <c r="U209" s="8">
        <f>IFERROR(__xludf.DUMMYFUNCTION("""COMPUTED_VALUE"""),0.0)</f>
        <v>0</v>
      </c>
      <c r="V209" s="8">
        <f>IFERROR(__xludf.DUMMYFUNCTION("""COMPUTED_VALUE"""),0.0)</f>
        <v>0</v>
      </c>
      <c r="W209" s="8">
        <f>IFERROR(__xludf.DUMMYFUNCTION("""COMPUTED_VALUE"""),0.0)</f>
        <v>0</v>
      </c>
      <c r="X209" s="8">
        <f>IFERROR(__xludf.DUMMYFUNCTION("""COMPUTED_VALUE"""),0.0)</f>
        <v>0</v>
      </c>
      <c r="Y209" s="8">
        <f>IFERROR(__xludf.DUMMYFUNCTION("""COMPUTED_VALUE"""),0.0)</f>
        <v>0</v>
      </c>
      <c r="Z209" s="8">
        <f>IFERROR(__xludf.DUMMYFUNCTION("""COMPUTED_VALUE"""),0.0)</f>
        <v>0</v>
      </c>
      <c r="AA209" s="8">
        <f>IFERROR(__xludf.DUMMYFUNCTION("""COMPUTED_VALUE"""),0.0)</f>
        <v>0</v>
      </c>
      <c r="AB209" s="8">
        <f>IFERROR(__xludf.DUMMYFUNCTION("""COMPUTED_VALUE"""),0.0)</f>
        <v>0</v>
      </c>
      <c r="AC209" s="8">
        <f>IFERROR(__xludf.DUMMYFUNCTION("""COMPUTED_VALUE"""),0.0)</f>
        <v>0</v>
      </c>
    </row>
    <row r="210" ht="15.75" customHeight="1">
      <c r="A210" s="6" t="str">
        <f>IFERROR(__xludf.DUMMYFUNCTION("""COMPUTED_VALUE"""),"ba0633322d2e3b1f5dc385fdef11110ad663eca3")</f>
        <v>ba0633322d2e3b1f5dc385fdef11110ad663eca3</v>
      </c>
      <c r="B210" s="6" t="str">
        <f>IFERROR(__xludf.DUMMYFUNCTION("""COMPUTED_VALUE"""),"Fated Billionaire Love")</f>
        <v>Fated Billionaire Love</v>
      </c>
      <c r="C210" s="6" t="str">
        <f>IFERROR(__xludf.DUMMYFUNCTION("""COMPUTED_VALUE"""),"Romance")</f>
        <v>Romance</v>
      </c>
      <c r="D210" s="11">
        <f>IFERROR(__xludf.DUMMYFUNCTION("""COMPUTED_VALUE"""),57.0)</f>
        <v>57</v>
      </c>
      <c r="E210" s="8">
        <f>IFERROR(__xludf.DUMMYFUNCTION("""COMPUTED_VALUE"""),1.0)</f>
        <v>1</v>
      </c>
      <c r="F210" s="8">
        <f>IFERROR(__xludf.DUMMYFUNCTION("""COMPUTED_VALUE"""),0.684210526315789)</f>
        <v>0.6842105263</v>
      </c>
      <c r="G210" s="8">
        <f>IFERROR(__xludf.DUMMYFUNCTION("""COMPUTED_VALUE"""),0.578947368421052)</f>
        <v>0.5789473684</v>
      </c>
      <c r="H210" s="8">
        <f>IFERROR(__xludf.DUMMYFUNCTION("""COMPUTED_VALUE"""),0.491228070175438)</f>
        <v>0.4912280702</v>
      </c>
      <c r="I210" s="8">
        <f>IFERROR(__xludf.DUMMYFUNCTION("""COMPUTED_VALUE"""),0.456140350877192)</f>
        <v>0.4561403509</v>
      </c>
      <c r="J210" s="8">
        <f>IFERROR(__xludf.DUMMYFUNCTION("""COMPUTED_VALUE"""),0.350877192982456)</f>
        <v>0.350877193</v>
      </c>
      <c r="K210" s="8">
        <f>IFERROR(__xludf.DUMMYFUNCTION("""COMPUTED_VALUE"""),0.350877192982456)</f>
        <v>0.350877193</v>
      </c>
      <c r="L210" s="8">
        <f>IFERROR(__xludf.DUMMYFUNCTION("""COMPUTED_VALUE"""),0.31578947368421)</f>
        <v>0.3157894737</v>
      </c>
      <c r="M210" s="8">
        <f>IFERROR(__xludf.DUMMYFUNCTION("""COMPUTED_VALUE"""),0.280701754385964)</f>
        <v>0.2807017544</v>
      </c>
      <c r="N210" s="8">
        <f>IFERROR(__xludf.DUMMYFUNCTION("""COMPUTED_VALUE"""),0.245614035087719)</f>
        <v>0.2456140351</v>
      </c>
      <c r="O210" s="8">
        <f>IFERROR(__xludf.DUMMYFUNCTION("""COMPUTED_VALUE"""),0.175438596491228)</f>
        <v>0.1754385965</v>
      </c>
      <c r="P210" s="8">
        <f>IFERROR(__xludf.DUMMYFUNCTION("""COMPUTED_VALUE"""),0.142857142857142)</f>
        <v>0.1428571429</v>
      </c>
      <c r="Q210" s="8">
        <f>IFERROR(__xludf.DUMMYFUNCTION("""COMPUTED_VALUE"""),0.0909090909090909)</f>
        <v>0.09090909091</v>
      </c>
      <c r="R210" s="8">
        <f>IFERROR(__xludf.DUMMYFUNCTION("""COMPUTED_VALUE"""),0.0)</f>
        <v>0</v>
      </c>
      <c r="S210" s="8">
        <f>IFERROR(__xludf.DUMMYFUNCTION("""COMPUTED_VALUE"""),0.0)</f>
        <v>0</v>
      </c>
      <c r="T210" s="8">
        <f>IFERROR(__xludf.DUMMYFUNCTION("""COMPUTED_VALUE"""),0.0)</f>
        <v>0</v>
      </c>
      <c r="U210" s="8">
        <f>IFERROR(__xludf.DUMMYFUNCTION("""COMPUTED_VALUE"""),0.0)</f>
        <v>0</v>
      </c>
      <c r="V210" s="8">
        <f>IFERROR(__xludf.DUMMYFUNCTION("""COMPUTED_VALUE"""),0.0)</f>
        <v>0</v>
      </c>
      <c r="W210" s="8">
        <f>IFERROR(__xludf.DUMMYFUNCTION("""COMPUTED_VALUE"""),0.0)</f>
        <v>0</v>
      </c>
      <c r="X210" s="8">
        <f>IFERROR(__xludf.DUMMYFUNCTION("""COMPUTED_VALUE"""),0.0)</f>
        <v>0</v>
      </c>
      <c r="Y210" s="8">
        <f>IFERROR(__xludf.DUMMYFUNCTION("""COMPUTED_VALUE"""),0.0)</f>
        <v>0</v>
      </c>
      <c r="Z210" s="8">
        <f>IFERROR(__xludf.DUMMYFUNCTION("""COMPUTED_VALUE"""),0.0)</f>
        <v>0</v>
      </c>
      <c r="AA210" s="8">
        <f>IFERROR(__xludf.DUMMYFUNCTION("""COMPUTED_VALUE"""),0.0)</f>
        <v>0</v>
      </c>
      <c r="AB210" s="8">
        <f>IFERROR(__xludf.DUMMYFUNCTION("""COMPUTED_VALUE"""),0.0)</f>
        <v>0</v>
      </c>
      <c r="AC210" s="8">
        <f>IFERROR(__xludf.DUMMYFUNCTION("""COMPUTED_VALUE"""),0.0)</f>
        <v>0</v>
      </c>
    </row>
    <row r="211" ht="15.75" customHeight="1">
      <c r="A211" s="6" t="str">
        <f>IFERROR(__xludf.DUMMYFUNCTION("""COMPUTED_VALUE"""),"ba1065d04424754ef65327a97989402f6a123e5a")</f>
        <v>ba1065d04424754ef65327a97989402f6a123e5a</v>
      </c>
      <c r="B211" s="6" t="str">
        <f>IFERROR(__xludf.DUMMYFUNCTION("""COMPUTED_VALUE"""),"Yours by Accident")</f>
        <v>Yours by Accident</v>
      </c>
      <c r="C211" s="6" t="str">
        <f>IFERROR(__xludf.DUMMYFUNCTION("""COMPUTED_VALUE"""),"Romance")</f>
        <v>Romance</v>
      </c>
      <c r="D211" s="11">
        <f>IFERROR(__xludf.DUMMYFUNCTION("""COMPUTED_VALUE"""),30.0)</f>
        <v>30</v>
      </c>
      <c r="E211" s="8">
        <f>IFERROR(__xludf.DUMMYFUNCTION("""COMPUTED_VALUE"""),0.966666666666666)</f>
        <v>0.9666666667</v>
      </c>
      <c r="F211" s="8">
        <f>IFERROR(__xludf.DUMMYFUNCTION("""COMPUTED_VALUE"""),0.533333333333333)</f>
        <v>0.5333333333</v>
      </c>
      <c r="G211" s="8">
        <f>IFERROR(__xludf.DUMMYFUNCTION("""COMPUTED_VALUE"""),0.266666666666666)</f>
        <v>0.2666666667</v>
      </c>
      <c r="H211" s="8">
        <f>IFERROR(__xludf.DUMMYFUNCTION("""COMPUTED_VALUE"""),0.2)</f>
        <v>0.2</v>
      </c>
      <c r="I211" s="8">
        <f>IFERROR(__xludf.DUMMYFUNCTION("""COMPUTED_VALUE"""),0.166666666666666)</f>
        <v>0.1666666667</v>
      </c>
      <c r="J211" s="8">
        <f>IFERROR(__xludf.DUMMYFUNCTION("""COMPUTED_VALUE"""),0.103448275862068)</f>
        <v>0.1034482759</v>
      </c>
      <c r="K211" s="8">
        <f>IFERROR(__xludf.DUMMYFUNCTION("""COMPUTED_VALUE"""),0.0714285714285714)</f>
        <v>0.07142857143</v>
      </c>
      <c r="L211" s="8">
        <f>IFERROR(__xludf.DUMMYFUNCTION("""COMPUTED_VALUE"""),0.04)</f>
        <v>0.04</v>
      </c>
      <c r="M211" s="8">
        <f>IFERROR(__xludf.DUMMYFUNCTION("""COMPUTED_VALUE"""),0.0476190476190476)</f>
        <v>0.04761904762</v>
      </c>
      <c r="N211" s="8">
        <f>IFERROR(__xludf.DUMMYFUNCTION("""COMPUTED_VALUE"""),0.05)</f>
        <v>0.05</v>
      </c>
      <c r="O211" s="8">
        <f>IFERROR(__xludf.DUMMYFUNCTION("""COMPUTED_VALUE"""),0.0555555555555555)</f>
        <v>0.05555555556</v>
      </c>
      <c r="P211" s="8">
        <f>IFERROR(__xludf.DUMMYFUNCTION("""COMPUTED_VALUE"""),0.0)</f>
        <v>0</v>
      </c>
      <c r="Q211" s="8">
        <f>IFERROR(__xludf.DUMMYFUNCTION("""COMPUTED_VALUE"""),0.0)</f>
        <v>0</v>
      </c>
      <c r="R211" s="8">
        <f>IFERROR(__xludf.DUMMYFUNCTION("""COMPUTED_VALUE"""),0.0)</f>
        <v>0</v>
      </c>
      <c r="S211" s="8">
        <f>IFERROR(__xludf.DUMMYFUNCTION("""COMPUTED_VALUE"""),0.0)</f>
        <v>0</v>
      </c>
      <c r="T211" s="8">
        <f>IFERROR(__xludf.DUMMYFUNCTION("""COMPUTED_VALUE"""),0.0)</f>
        <v>0</v>
      </c>
      <c r="U211" s="8">
        <f>IFERROR(__xludf.DUMMYFUNCTION("""COMPUTED_VALUE"""),0.0)</f>
        <v>0</v>
      </c>
      <c r="V211" s="8">
        <f>IFERROR(__xludf.DUMMYFUNCTION("""COMPUTED_VALUE"""),0.0)</f>
        <v>0</v>
      </c>
      <c r="W211" s="8">
        <f>IFERROR(__xludf.DUMMYFUNCTION("""COMPUTED_VALUE"""),0.0)</f>
        <v>0</v>
      </c>
      <c r="X211" s="8">
        <f>IFERROR(__xludf.DUMMYFUNCTION("""COMPUTED_VALUE"""),0.0)</f>
        <v>0</v>
      </c>
      <c r="Y211" s="8">
        <f>IFERROR(__xludf.DUMMYFUNCTION("""COMPUTED_VALUE"""),0.0)</f>
        <v>0</v>
      </c>
      <c r="Z211" s="8">
        <f>IFERROR(__xludf.DUMMYFUNCTION("""COMPUTED_VALUE"""),0.0)</f>
        <v>0</v>
      </c>
      <c r="AA211" s="8">
        <f>IFERROR(__xludf.DUMMYFUNCTION("""COMPUTED_VALUE"""),0.0)</f>
        <v>0</v>
      </c>
      <c r="AB211" s="8">
        <f>IFERROR(__xludf.DUMMYFUNCTION("""COMPUTED_VALUE"""),0.0)</f>
        <v>0</v>
      </c>
      <c r="AC211" s="8">
        <f>IFERROR(__xludf.DUMMYFUNCTION("""COMPUTED_VALUE"""),0.0)</f>
        <v>0</v>
      </c>
    </row>
    <row r="212" ht="15.75" customHeight="1">
      <c r="A212" s="6" t="str">
        <f>IFERROR(__xludf.DUMMYFUNCTION("""COMPUTED_VALUE"""),"bb2f281964ff5fb7528074b3b2b73409bbf91d2a")</f>
        <v>bb2f281964ff5fb7528074b3b2b73409bbf91d2a</v>
      </c>
      <c r="B212" s="6" t="str">
        <f>IFERROR(__xludf.DUMMYFUNCTION("""COMPUTED_VALUE"""),"My Money Minting System")</f>
        <v>My Money Minting System</v>
      </c>
      <c r="C212" s="6" t="str">
        <f>IFERROR(__xludf.DUMMYFUNCTION("""COMPUTED_VALUE"""),"System and Superpower")</f>
        <v>System and Superpower</v>
      </c>
      <c r="D212" s="11">
        <f>IFERROR(__xludf.DUMMYFUNCTION("""COMPUTED_VALUE"""),613.0)</f>
        <v>613</v>
      </c>
      <c r="E212" s="8">
        <f>IFERROR(__xludf.DUMMYFUNCTION("""COMPUTED_VALUE"""),0.98042414355628)</f>
        <v>0.9804241436</v>
      </c>
      <c r="F212" s="8">
        <f>IFERROR(__xludf.DUMMYFUNCTION("""COMPUTED_VALUE"""),0.696574225122349)</f>
        <v>0.6965742251</v>
      </c>
      <c r="G212" s="8">
        <f>IFERROR(__xludf.DUMMYFUNCTION("""COMPUTED_VALUE"""),0.581699346405228)</f>
        <v>0.5816993464</v>
      </c>
      <c r="H212" s="8">
        <f>IFERROR(__xludf.DUMMYFUNCTION("""COMPUTED_VALUE"""),0.5703125)</f>
        <v>0.5703125</v>
      </c>
      <c r="I212" s="8">
        <f>IFERROR(__xludf.DUMMYFUNCTION("""COMPUTED_VALUE"""),0.511945392491467)</f>
        <v>0.5119453925</v>
      </c>
      <c r="J212" s="8">
        <f>IFERROR(__xludf.DUMMYFUNCTION("""COMPUTED_VALUE"""),0.476190476190476)</f>
        <v>0.4761904762</v>
      </c>
      <c r="K212" s="8">
        <f>IFERROR(__xludf.DUMMYFUNCTION("""COMPUTED_VALUE"""),0.429951690821256)</f>
        <v>0.4299516908</v>
      </c>
      <c r="L212" s="8">
        <f>IFERROR(__xludf.DUMMYFUNCTION("""COMPUTED_VALUE"""),0.398058252427184)</f>
        <v>0.3980582524</v>
      </c>
      <c r="M212" s="8">
        <f>IFERROR(__xludf.DUMMYFUNCTION("""COMPUTED_VALUE"""),0.368932038834951)</f>
        <v>0.3689320388</v>
      </c>
      <c r="N212" s="8">
        <f>IFERROR(__xludf.DUMMYFUNCTION("""COMPUTED_VALUE"""),0.357843137254901)</f>
        <v>0.3578431373</v>
      </c>
      <c r="O212" s="8">
        <f>IFERROR(__xludf.DUMMYFUNCTION("""COMPUTED_VALUE"""),0.253807106598984)</f>
        <v>0.2538071066</v>
      </c>
      <c r="P212" s="8">
        <f>IFERROR(__xludf.DUMMYFUNCTION("""COMPUTED_VALUE"""),0.141935483870967)</f>
        <v>0.1419354839</v>
      </c>
      <c r="Q212" s="8">
        <f>IFERROR(__xludf.DUMMYFUNCTION("""COMPUTED_VALUE"""),0.064516129032258)</f>
        <v>0.06451612903</v>
      </c>
      <c r="R212" s="8">
        <f>IFERROR(__xludf.DUMMYFUNCTION("""COMPUTED_VALUE"""),0.0)</f>
        <v>0</v>
      </c>
      <c r="S212" s="8">
        <f>IFERROR(__xludf.DUMMYFUNCTION("""COMPUTED_VALUE"""),0.0)</f>
        <v>0</v>
      </c>
      <c r="T212" s="8">
        <f>IFERROR(__xludf.DUMMYFUNCTION("""COMPUTED_VALUE"""),0.0)</f>
        <v>0</v>
      </c>
      <c r="U212" s="8">
        <f>IFERROR(__xludf.DUMMYFUNCTION("""COMPUTED_VALUE"""),0.0)</f>
        <v>0</v>
      </c>
      <c r="V212" s="8">
        <f>IFERROR(__xludf.DUMMYFUNCTION("""COMPUTED_VALUE"""),0.0)</f>
        <v>0</v>
      </c>
      <c r="W212" s="8">
        <f>IFERROR(__xludf.DUMMYFUNCTION("""COMPUTED_VALUE"""),0.0)</f>
        <v>0</v>
      </c>
      <c r="X212" s="8">
        <f>IFERROR(__xludf.DUMMYFUNCTION("""COMPUTED_VALUE"""),0.0)</f>
        <v>0</v>
      </c>
      <c r="Y212" s="8">
        <f>IFERROR(__xludf.DUMMYFUNCTION("""COMPUTED_VALUE"""),0.0)</f>
        <v>0</v>
      </c>
      <c r="Z212" s="8">
        <f>IFERROR(__xludf.DUMMYFUNCTION("""COMPUTED_VALUE"""),0.0)</f>
        <v>0</v>
      </c>
      <c r="AA212" s="8">
        <f>IFERROR(__xludf.DUMMYFUNCTION("""COMPUTED_VALUE"""),0.0)</f>
        <v>0</v>
      </c>
      <c r="AB212" s="8">
        <f>IFERROR(__xludf.DUMMYFUNCTION("""COMPUTED_VALUE"""),0.0)</f>
        <v>0</v>
      </c>
      <c r="AC212" s="8">
        <f>IFERROR(__xludf.DUMMYFUNCTION("""COMPUTED_VALUE"""),0.0)</f>
        <v>0</v>
      </c>
    </row>
    <row r="213" ht="15.75" customHeight="1">
      <c r="A213" s="6" t="str">
        <f>IFERROR(__xludf.DUMMYFUNCTION("""COMPUTED_VALUE"""),"bb8bdc13e3c19f2845f457b91284273ad6ddf8f2")</f>
        <v>bb8bdc13e3c19f2845f457b91284273ad6ddf8f2</v>
      </c>
      <c r="B213" s="6" t="str">
        <f>IFERROR(__xludf.DUMMYFUNCTION("""COMPUTED_VALUE"""),"His Four Little Rascals")</f>
        <v>His Four Little Rascals</v>
      </c>
      <c r="C213" s="6" t="str">
        <f>IFERROR(__xludf.DUMMYFUNCTION("""COMPUTED_VALUE"""),"Romance")</f>
        <v>Romance</v>
      </c>
      <c r="D213" s="11">
        <f>IFERROR(__xludf.DUMMYFUNCTION("""COMPUTED_VALUE"""),791.0)</f>
        <v>791</v>
      </c>
      <c r="E213" s="8">
        <f>IFERROR(__xludf.DUMMYFUNCTION("""COMPUTED_VALUE"""),0.943109987357775)</f>
        <v>0.9431099874</v>
      </c>
      <c r="F213" s="8">
        <f>IFERROR(__xludf.DUMMYFUNCTION("""COMPUTED_VALUE"""),0.686472819216182)</f>
        <v>0.6864728192</v>
      </c>
      <c r="G213" s="8">
        <f>IFERROR(__xludf.DUMMYFUNCTION("""COMPUTED_VALUE"""),0.582806573957016)</f>
        <v>0.582806574</v>
      </c>
      <c r="H213" s="8">
        <f>IFERROR(__xludf.DUMMYFUNCTION("""COMPUTED_VALUE"""),0.563843236409608)</f>
        <v>0.5638432364</v>
      </c>
      <c r="I213" s="8">
        <f>IFERROR(__xludf.DUMMYFUNCTION("""COMPUTED_VALUE"""),0.54614412136536)</f>
        <v>0.5461441214</v>
      </c>
      <c r="J213" s="8">
        <f>IFERROR(__xludf.DUMMYFUNCTION("""COMPUTED_VALUE"""),0.533501896333754)</f>
        <v>0.5335018963</v>
      </c>
      <c r="K213" s="8">
        <f>IFERROR(__xludf.DUMMYFUNCTION("""COMPUTED_VALUE"""),0.518331226295828)</f>
        <v>0.5183312263</v>
      </c>
      <c r="L213" s="8">
        <f>IFERROR(__xludf.DUMMYFUNCTION("""COMPUTED_VALUE"""),0.52465233881163)</f>
        <v>0.5246523388</v>
      </c>
      <c r="M213" s="8">
        <f>IFERROR(__xludf.DUMMYFUNCTION("""COMPUTED_VALUE"""),0.508217446270543)</f>
        <v>0.5082174463</v>
      </c>
      <c r="N213" s="8">
        <f>IFERROR(__xludf.DUMMYFUNCTION("""COMPUTED_VALUE"""),0.504424778761062)</f>
        <v>0.5044247788</v>
      </c>
      <c r="O213" s="8">
        <f>IFERROR(__xludf.DUMMYFUNCTION("""COMPUTED_VALUE"""),0.477820025348542)</f>
        <v>0.4778200253</v>
      </c>
      <c r="P213" s="8">
        <f>IFERROR(__xludf.DUMMYFUNCTION("""COMPUTED_VALUE"""),0.395408163265306)</f>
        <v>0.3954081633</v>
      </c>
      <c r="Q213" s="8">
        <f>IFERROR(__xludf.DUMMYFUNCTION("""COMPUTED_VALUE"""),0.319534282018111)</f>
        <v>0.319534282</v>
      </c>
      <c r="R213" s="8">
        <f>IFERROR(__xludf.DUMMYFUNCTION("""COMPUTED_VALUE"""),0.239512855209742)</f>
        <v>0.2395128552</v>
      </c>
      <c r="S213" s="8">
        <f>IFERROR(__xludf.DUMMYFUNCTION("""COMPUTED_VALUE"""),0.194827586206896)</f>
        <v>0.1948275862</v>
      </c>
      <c r="T213" s="8">
        <f>IFERROR(__xludf.DUMMYFUNCTION("""COMPUTED_VALUE"""),0.16804979253112)</f>
        <v>0.1680497925</v>
      </c>
      <c r="U213" s="8">
        <f>IFERROR(__xludf.DUMMYFUNCTION("""COMPUTED_VALUE"""),0.12135922330097)</f>
        <v>0.1213592233</v>
      </c>
      <c r="V213" s="8">
        <f>IFERROR(__xludf.DUMMYFUNCTION("""COMPUTED_VALUE"""),0.0785714285714285)</f>
        <v>0.07857142857</v>
      </c>
      <c r="W213" s="8">
        <f>IFERROR(__xludf.DUMMYFUNCTION("""COMPUTED_VALUE"""),0.0743801652892562)</f>
        <v>0.07438016529</v>
      </c>
      <c r="X213" s="8">
        <f>IFERROR(__xludf.DUMMYFUNCTION("""COMPUTED_VALUE"""),0.0689655172413793)</f>
        <v>0.06896551724</v>
      </c>
      <c r="Y213" s="8">
        <f>IFERROR(__xludf.DUMMYFUNCTION("""COMPUTED_VALUE"""),0.0294117647058823)</f>
        <v>0.02941176471</v>
      </c>
      <c r="Z213" s="8">
        <f>IFERROR(__xludf.DUMMYFUNCTION("""COMPUTED_VALUE"""),0.0)</f>
        <v>0</v>
      </c>
      <c r="AA213" s="8">
        <f>IFERROR(__xludf.DUMMYFUNCTION("""COMPUTED_VALUE"""),0.0)</f>
        <v>0</v>
      </c>
      <c r="AB213" s="8">
        <f>IFERROR(__xludf.DUMMYFUNCTION("""COMPUTED_VALUE"""),0.0)</f>
        <v>0</v>
      </c>
      <c r="AC213" s="8">
        <f>IFERROR(__xludf.DUMMYFUNCTION("""COMPUTED_VALUE"""),0.0)</f>
        <v>0</v>
      </c>
    </row>
    <row r="214" ht="15.75" customHeight="1">
      <c r="A214" s="6" t="str">
        <f>IFERROR(__xludf.DUMMYFUNCTION("""COMPUTED_VALUE"""),"bbaf98e4e43fc8963698d00c4a338957fb765b85")</f>
        <v>bbaf98e4e43fc8963698d00c4a338957fb765b85</v>
      </c>
      <c r="B214" s="6" t="str">
        <f>IFERROR(__xludf.DUMMYFUNCTION("""COMPUTED_VALUE"""),"Artifact Spirit System")</f>
        <v>Artifact Spirit System</v>
      </c>
      <c r="C214" s="6" t="str">
        <f>IFERROR(__xludf.DUMMYFUNCTION("""COMPUTED_VALUE"""),"System and Superpower")</f>
        <v>System and Superpower</v>
      </c>
      <c r="D214" s="11">
        <f>IFERROR(__xludf.DUMMYFUNCTION("""COMPUTED_VALUE"""),3360.0)</f>
        <v>3360</v>
      </c>
      <c r="E214" s="8">
        <f>IFERROR(__xludf.DUMMYFUNCTION("""COMPUTED_VALUE"""),0.976190476190476)</f>
        <v>0.9761904762</v>
      </c>
      <c r="F214" s="8">
        <f>IFERROR(__xludf.DUMMYFUNCTION("""COMPUTED_VALUE"""),0.646130952380952)</f>
        <v>0.6461309524</v>
      </c>
      <c r="G214" s="8">
        <f>IFERROR(__xludf.DUMMYFUNCTION("""COMPUTED_VALUE"""),0.568154761904761)</f>
        <v>0.5681547619</v>
      </c>
      <c r="H214" s="8">
        <f>IFERROR(__xludf.DUMMYFUNCTION("""COMPUTED_VALUE"""),0.521139430284857)</f>
        <v>0.5211394303</v>
      </c>
      <c r="I214" s="8">
        <f>IFERROR(__xludf.DUMMYFUNCTION("""COMPUTED_VALUE"""),0.488728584310189)</f>
        <v>0.4887285843</v>
      </c>
      <c r="J214" s="8">
        <f>IFERROR(__xludf.DUMMYFUNCTION("""COMPUTED_VALUE"""),0.467049576783555)</f>
        <v>0.4670495768</v>
      </c>
      <c r="K214" s="8">
        <f>IFERROR(__xludf.DUMMYFUNCTION("""COMPUTED_VALUE"""),0.446698970321017)</f>
        <v>0.4466989703</v>
      </c>
      <c r="L214" s="8">
        <f>IFERROR(__xludf.DUMMYFUNCTION("""COMPUTED_VALUE"""),0.4278303326213)</f>
        <v>0.4278303326</v>
      </c>
      <c r="M214" s="8">
        <f>IFERROR(__xludf.DUMMYFUNCTION("""COMPUTED_VALUE"""),0.413529231711049)</f>
        <v>0.4135292317</v>
      </c>
      <c r="N214" s="8">
        <f>IFERROR(__xludf.DUMMYFUNCTION("""COMPUTED_VALUE"""),0.402284655757949)</f>
        <v>0.4022846558</v>
      </c>
      <c r="O214" s="8">
        <f>IFERROR(__xludf.DUMMYFUNCTION("""COMPUTED_VALUE"""),0.357165354330708)</f>
        <v>0.3571653543</v>
      </c>
      <c r="P214" s="8">
        <f>IFERROR(__xludf.DUMMYFUNCTION("""COMPUTED_VALUE"""),0.318181818181818)</f>
        <v>0.3181818182</v>
      </c>
      <c r="Q214" s="8">
        <f>IFERROR(__xludf.DUMMYFUNCTION("""COMPUTED_VALUE"""),0.230014025245441)</f>
        <v>0.2300140252</v>
      </c>
      <c r="R214" s="8">
        <f>IFERROR(__xludf.DUMMYFUNCTION("""COMPUTED_VALUE"""),0.158953722334004)</f>
        <v>0.1589537223</v>
      </c>
      <c r="S214" s="8">
        <f>IFERROR(__xludf.DUMMYFUNCTION("""COMPUTED_VALUE"""),0.0)</f>
        <v>0</v>
      </c>
      <c r="T214" s="8">
        <f>IFERROR(__xludf.DUMMYFUNCTION("""COMPUTED_VALUE"""),0.0)</f>
        <v>0</v>
      </c>
      <c r="U214" s="8">
        <f>IFERROR(__xludf.DUMMYFUNCTION("""COMPUTED_VALUE"""),0.0)</f>
        <v>0</v>
      </c>
      <c r="V214" s="8">
        <f>IFERROR(__xludf.DUMMYFUNCTION("""COMPUTED_VALUE"""),0.0)</f>
        <v>0</v>
      </c>
      <c r="W214" s="8">
        <f>IFERROR(__xludf.DUMMYFUNCTION("""COMPUTED_VALUE"""),0.0)</f>
        <v>0</v>
      </c>
      <c r="X214" s="8">
        <f>IFERROR(__xludf.DUMMYFUNCTION("""COMPUTED_VALUE"""),0.0)</f>
        <v>0</v>
      </c>
      <c r="Y214" s="8">
        <f>IFERROR(__xludf.DUMMYFUNCTION("""COMPUTED_VALUE"""),0.0)</f>
        <v>0</v>
      </c>
      <c r="Z214" s="8">
        <f>IFERROR(__xludf.DUMMYFUNCTION("""COMPUTED_VALUE"""),0.0)</f>
        <v>0</v>
      </c>
      <c r="AA214" s="8">
        <f>IFERROR(__xludf.DUMMYFUNCTION("""COMPUTED_VALUE"""),0.0)</f>
        <v>0</v>
      </c>
      <c r="AB214" s="8">
        <f>IFERROR(__xludf.DUMMYFUNCTION("""COMPUTED_VALUE"""),0.0)</f>
        <v>0</v>
      </c>
      <c r="AC214" s="8">
        <f>IFERROR(__xludf.DUMMYFUNCTION("""COMPUTED_VALUE"""),0.0)</f>
        <v>0</v>
      </c>
    </row>
    <row r="215" ht="15.75" customHeight="1">
      <c r="A215" s="6" t="str">
        <f>IFERROR(__xludf.DUMMYFUNCTION("""COMPUTED_VALUE"""),"bbfdf49252139aecaf606478dbe29039803604ae")</f>
        <v>bbfdf49252139aecaf606478dbe29039803604ae</v>
      </c>
      <c r="B215" s="6" t="str">
        <f>IFERROR(__xludf.DUMMYFUNCTION("""COMPUTED_VALUE"""),"Alchemist of HARRY POTTER")</f>
        <v>Alchemist of HARRY POTTER</v>
      </c>
      <c r="C215" s="6" t="str">
        <f>IFERROR(__xludf.DUMMYFUNCTION("""COMPUTED_VALUE"""),"Fantasy")</f>
        <v>Fantasy</v>
      </c>
      <c r="D215" s="11">
        <f>IFERROR(__xludf.DUMMYFUNCTION("""COMPUTED_VALUE"""),41.0)</f>
        <v>41</v>
      </c>
      <c r="E215" s="8">
        <f>IFERROR(__xludf.DUMMYFUNCTION("""COMPUTED_VALUE"""),0.975609756097561)</f>
        <v>0.9756097561</v>
      </c>
      <c r="F215" s="8">
        <f>IFERROR(__xludf.DUMMYFUNCTION("""COMPUTED_VALUE"""),0.390243902439024)</f>
        <v>0.3902439024</v>
      </c>
      <c r="G215" s="8">
        <f>IFERROR(__xludf.DUMMYFUNCTION("""COMPUTED_VALUE"""),0.219512195121951)</f>
        <v>0.2195121951</v>
      </c>
      <c r="H215" s="8">
        <f>IFERROR(__xludf.DUMMYFUNCTION("""COMPUTED_VALUE"""),0.25)</f>
        <v>0.25</v>
      </c>
      <c r="I215" s="8">
        <f>IFERROR(__xludf.DUMMYFUNCTION("""COMPUTED_VALUE"""),0.133333333333333)</f>
        <v>0.1333333333</v>
      </c>
      <c r="J215" s="8">
        <f>IFERROR(__xludf.DUMMYFUNCTION("""COMPUTED_VALUE"""),0.285714285714285)</f>
        <v>0.2857142857</v>
      </c>
      <c r="K215" s="8">
        <f>IFERROR(__xludf.DUMMYFUNCTION("""COMPUTED_VALUE"""),0.333333333333333)</f>
        <v>0.3333333333</v>
      </c>
      <c r="L215" s="8">
        <f>IFERROR(__xludf.DUMMYFUNCTION("""COMPUTED_VALUE"""),0.2)</f>
        <v>0.2</v>
      </c>
      <c r="M215" s="8">
        <f>IFERROR(__xludf.DUMMYFUNCTION("""COMPUTED_VALUE"""),0.2)</f>
        <v>0.2</v>
      </c>
      <c r="N215" s="8">
        <f>IFERROR(__xludf.DUMMYFUNCTION("""COMPUTED_VALUE"""),0.4)</f>
        <v>0.4</v>
      </c>
      <c r="O215" s="8">
        <f>IFERROR(__xludf.DUMMYFUNCTION("""COMPUTED_VALUE"""),0.25)</f>
        <v>0.25</v>
      </c>
      <c r="P215" s="8">
        <f>IFERROR(__xludf.DUMMYFUNCTION("""COMPUTED_VALUE"""),0.25)</f>
        <v>0.25</v>
      </c>
      <c r="Q215" s="8">
        <f>IFERROR(__xludf.DUMMYFUNCTION("""COMPUTED_VALUE"""),0.5)</f>
        <v>0.5</v>
      </c>
      <c r="R215" s="8">
        <f>IFERROR(__xludf.DUMMYFUNCTION("""COMPUTED_VALUE"""),0.0)</f>
        <v>0</v>
      </c>
      <c r="S215" s="8">
        <f>IFERROR(__xludf.DUMMYFUNCTION("""COMPUTED_VALUE"""),0.0)</f>
        <v>0</v>
      </c>
      <c r="T215" s="8">
        <f>IFERROR(__xludf.DUMMYFUNCTION("""COMPUTED_VALUE"""),0.0)</f>
        <v>0</v>
      </c>
      <c r="U215" s="8">
        <f>IFERROR(__xludf.DUMMYFUNCTION("""COMPUTED_VALUE"""),0.0)</f>
        <v>0</v>
      </c>
      <c r="V215" s="8">
        <f>IFERROR(__xludf.DUMMYFUNCTION("""COMPUTED_VALUE"""),0.0)</f>
        <v>0</v>
      </c>
      <c r="W215" s="8">
        <f>IFERROR(__xludf.DUMMYFUNCTION("""COMPUTED_VALUE"""),0.0)</f>
        <v>0</v>
      </c>
      <c r="X215" s="8">
        <f>IFERROR(__xludf.DUMMYFUNCTION("""COMPUTED_VALUE"""),0.0)</f>
        <v>0</v>
      </c>
      <c r="Y215" s="8">
        <f>IFERROR(__xludf.DUMMYFUNCTION("""COMPUTED_VALUE"""),0.0)</f>
        <v>0</v>
      </c>
      <c r="Z215" s="8">
        <f>IFERROR(__xludf.DUMMYFUNCTION("""COMPUTED_VALUE"""),0.0)</f>
        <v>0</v>
      </c>
      <c r="AA215" s="8">
        <f>IFERROR(__xludf.DUMMYFUNCTION("""COMPUTED_VALUE"""),0.0)</f>
        <v>0</v>
      </c>
      <c r="AB215" s="8">
        <f>IFERROR(__xludf.DUMMYFUNCTION("""COMPUTED_VALUE"""),0.0)</f>
        <v>0</v>
      </c>
      <c r="AC215" s="8">
        <f>IFERROR(__xludf.DUMMYFUNCTION("""COMPUTED_VALUE"""),0.0)</f>
        <v>0</v>
      </c>
    </row>
    <row r="216" ht="15.75" customHeight="1">
      <c r="A216" s="6" t="str">
        <f>IFERROR(__xludf.DUMMYFUNCTION("""COMPUTED_VALUE"""),"be6caef02859b458c7e726aab639c65f41c8e1be")</f>
        <v>be6caef02859b458c7e726aab639c65f41c8e1be</v>
      </c>
      <c r="B216" s="6" t="str">
        <f>IFERROR(__xludf.DUMMYFUNCTION("""COMPUTED_VALUE"""),"Natural Godly Martial Art")</f>
        <v>Natural Godly Martial Art</v>
      </c>
      <c r="C216" s="6" t="str">
        <f>IFERROR(__xludf.DUMMYFUNCTION("""COMPUTED_VALUE"""),"Fantasy")</f>
        <v>Fantasy</v>
      </c>
      <c r="D216" s="11">
        <f>IFERROR(__xludf.DUMMYFUNCTION("""COMPUTED_VALUE"""),556.0)</f>
        <v>556</v>
      </c>
      <c r="E216" s="8">
        <f>IFERROR(__xludf.DUMMYFUNCTION("""COMPUTED_VALUE"""),0.987410071942446)</f>
        <v>0.9874100719</v>
      </c>
      <c r="F216" s="8">
        <f>IFERROR(__xludf.DUMMYFUNCTION("""COMPUTED_VALUE"""),0.58273381294964)</f>
        <v>0.5827338129</v>
      </c>
      <c r="G216" s="8">
        <f>IFERROR(__xludf.DUMMYFUNCTION("""COMPUTED_VALUE"""),0.514388489208633)</f>
        <v>0.5143884892</v>
      </c>
      <c r="H216" s="8">
        <f>IFERROR(__xludf.DUMMYFUNCTION("""COMPUTED_VALUE"""),0.40079365079365)</f>
        <v>0.4007936508</v>
      </c>
      <c r="I216" s="8">
        <f>IFERROR(__xludf.DUMMYFUNCTION("""COMPUTED_VALUE"""),0.363070539419087)</f>
        <v>0.3630705394</v>
      </c>
      <c r="J216" s="8">
        <f>IFERROR(__xludf.DUMMYFUNCTION("""COMPUTED_VALUE"""),0.344444444444444)</f>
        <v>0.3444444444</v>
      </c>
      <c r="K216" s="8">
        <f>IFERROR(__xludf.DUMMYFUNCTION("""COMPUTED_VALUE"""),0.328054298642533)</f>
        <v>0.3280542986</v>
      </c>
      <c r="L216" s="8">
        <f>IFERROR(__xludf.DUMMYFUNCTION("""COMPUTED_VALUE"""),0.318181818181818)</f>
        <v>0.3181818182</v>
      </c>
      <c r="M216" s="8">
        <f>IFERROR(__xludf.DUMMYFUNCTION("""COMPUTED_VALUE"""),0.279761904761904)</f>
        <v>0.2797619048</v>
      </c>
      <c r="N216" s="8">
        <f>IFERROR(__xludf.DUMMYFUNCTION("""COMPUTED_VALUE"""),0.270992366412213)</f>
        <v>0.2709923664</v>
      </c>
      <c r="O216" s="8">
        <f>IFERROR(__xludf.DUMMYFUNCTION("""COMPUTED_VALUE"""),0.442307692307692)</f>
        <v>0.4423076923</v>
      </c>
      <c r="P216" s="8">
        <f>IFERROR(__xludf.DUMMYFUNCTION("""COMPUTED_VALUE"""),0.36734693877551)</f>
        <v>0.3673469388</v>
      </c>
      <c r="Q216" s="8">
        <f>IFERROR(__xludf.DUMMYFUNCTION("""COMPUTED_VALUE"""),0.0)</f>
        <v>0</v>
      </c>
      <c r="R216" s="8">
        <f>IFERROR(__xludf.DUMMYFUNCTION("""COMPUTED_VALUE"""),0.0)</f>
        <v>0</v>
      </c>
      <c r="S216" s="8">
        <f>IFERROR(__xludf.DUMMYFUNCTION("""COMPUTED_VALUE"""),0.0)</f>
        <v>0</v>
      </c>
      <c r="T216" s="8">
        <f>IFERROR(__xludf.DUMMYFUNCTION("""COMPUTED_VALUE"""),0.0)</f>
        <v>0</v>
      </c>
      <c r="U216" s="8">
        <f>IFERROR(__xludf.DUMMYFUNCTION("""COMPUTED_VALUE"""),0.0)</f>
        <v>0</v>
      </c>
      <c r="V216" s="8">
        <f>IFERROR(__xludf.DUMMYFUNCTION("""COMPUTED_VALUE"""),0.0)</f>
        <v>0</v>
      </c>
      <c r="W216" s="8">
        <f>IFERROR(__xludf.DUMMYFUNCTION("""COMPUTED_VALUE"""),0.0)</f>
        <v>0</v>
      </c>
      <c r="X216" s="8">
        <f>IFERROR(__xludf.DUMMYFUNCTION("""COMPUTED_VALUE"""),0.0)</f>
        <v>0</v>
      </c>
      <c r="Y216" s="8">
        <f>IFERROR(__xludf.DUMMYFUNCTION("""COMPUTED_VALUE"""),0.0)</f>
        <v>0</v>
      </c>
      <c r="Z216" s="8">
        <f>IFERROR(__xludf.DUMMYFUNCTION("""COMPUTED_VALUE"""),0.0)</f>
        <v>0</v>
      </c>
      <c r="AA216" s="8">
        <f>IFERROR(__xludf.DUMMYFUNCTION("""COMPUTED_VALUE"""),0.0)</f>
        <v>0</v>
      </c>
      <c r="AB216" s="8">
        <f>IFERROR(__xludf.DUMMYFUNCTION("""COMPUTED_VALUE"""),0.0)</f>
        <v>0</v>
      </c>
      <c r="AC216" s="8">
        <f>IFERROR(__xludf.DUMMYFUNCTION("""COMPUTED_VALUE"""),0.0)</f>
        <v>0</v>
      </c>
    </row>
    <row r="217" ht="15.75" customHeight="1">
      <c r="A217" s="6" t="str">
        <f>IFERROR(__xludf.DUMMYFUNCTION("""COMPUTED_VALUE"""),"bf3632f1f9e1f3a7b864a989bb8f495a629a43cb")</f>
        <v>bf3632f1f9e1f3a7b864a989bb8f495a629a43cb</v>
      </c>
      <c r="B217" s="6" t="str">
        <f>IFERROR(__xludf.DUMMYFUNCTION("""COMPUTED_VALUE"""),"Her Secret Twins")</f>
        <v>Her Secret Twins</v>
      </c>
      <c r="C217" s="6" t="str">
        <f>IFERROR(__xludf.DUMMYFUNCTION("""COMPUTED_VALUE"""),"Romance")</f>
        <v>Romance</v>
      </c>
      <c r="D217" s="11">
        <f>IFERROR(__xludf.DUMMYFUNCTION("""COMPUTED_VALUE"""),358.0)</f>
        <v>358</v>
      </c>
      <c r="E217" s="8">
        <f>IFERROR(__xludf.DUMMYFUNCTION("""COMPUTED_VALUE"""),0.949720670391061)</f>
        <v>0.9497206704</v>
      </c>
      <c r="F217" s="8">
        <f>IFERROR(__xludf.DUMMYFUNCTION("""COMPUTED_VALUE"""),0.782122905027932)</f>
        <v>0.782122905</v>
      </c>
      <c r="G217" s="8">
        <f>IFERROR(__xludf.DUMMYFUNCTION("""COMPUTED_VALUE"""),0.715083798882681)</f>
        <v>0.7150837989</v>
      </c>
      <c r="H217" s="8">
        <f>IFERROR(__xludf.DUMMYFUNCTION("""COMPUTED_VALUE"""),0.681564245810055)</f>
        <v>0.6815642458</v>
      </c>
      <c r="I217" s="8">
        <f>IFERROR(__xludf.DUMMYFUNCTION("""COMPUTED_VALUE"""),0.684357541899441)</f>
        <v>0.6843575419</v>
      </c>
      <c r="J217" s="8">
        <f>IFERROR(__xludf.DUMMYFUNCTION("""COMPUTED_VALUE"""),0.673184357541899)</f>
        <v>0.6731843575</v>
      </c>
      <c r="K217" s="8">
        <f>IFERROR(__xludf.DUMMYFUNCTION("""COMPUTED_VALUE"""),0.62290502793296)</f>
        <v>0.6229050279</v>
      </c>
      <c r="L217" s="8">
        <f>IFERROR(__xludf.DUMMYFUNCTION("""COMPUTED_VALUE"""),0.620111731843575)</f>
        <v>0.6201117318</v>
      </c>
      <c r="M217" s="8">
        <f>IFERROR(__xludf.DUMMYFUNCTION("""COMPUTED_VALUE"""),0.614525139664804)</f>
        <v>0.6145251397</v>
      </c>
      <c r="N217" s="8">
        <f>IFERROR(__xludf.DUMMYFUNCTION("""COMPUTED_VALUE"""),0.606145251396648)</f>
        <v>0.6061452514</v>
      </c>
      <c r="O217" s="8">
        <f>IFERROR(__xludf.DUMMYFUNCTION("""COMPUTED_VALUE"""),0.546218487394957)</f>
        <v>0.5462184874</v>
      </c>
      <c r="P217" s="8">
        <f>IFERROR(__xludf.DUMMYFUNCTION("""COMPUTED_VALUE"""),0.509859154929577)</f>
        <v>0.5098591549</v>
      </c>
      <c r="Q217" s="8">
        <f>IFERROR(__xludf.DUMMYFUNCTION("""COMPUTED_VALUE"""),0.384615384615384)</f>
        <v>0.3846153846</v>
      </c>
      <c r="R217" s="8">
        <f>IFERROR(__xludf.DUMMYFUNCTION("""COMPUTED_VALUE"""),0.333333333333333)</f>
        <v>0.3333333333</v>
      </c>
      <c r="S217" s="8">
        <f>IFERROR(__xludf.DUMMYFUNCTION("""COMPUTED_VALUE"""),0.246666666666666)</f>
        <v>0.2466666667</v>
      </c>
      <c r="T217" s="8">
        <f>IFERROR(__xludf.DUMMYFUNCTION("""COMPUTED_VALUE"""),0.141025641025641)</f>
        <v>0.141025641</v>
      </c>
      <c r="U217" s="8">
        <f>IFERROR(__xludf.DUMMYFUNCTION("""COMPUTED_VALUE"""),0.0851063829787234)</f>
        <v>0.08510638298</v>
      </c>
      <c r="V217" s="8">
        <f>IFERROR(__xludf.DUMMYFUNCTION("""COMPUTED_VALUE"""),0.0714285714285714)</f>
        <v>0.07142857143</v>
      </c>
      <c r="W217" s="8">
        <f>IFERROR(__xludf.DUMMYFUNCTION("""COMPUTED_VALUE"""),0.054054054054054)</f>
        <v>0.05405405405</v>
      </c>
      <c r="X217" s="8">
        <f>IFERROR(__xludf.DUMMYFUNCTION("""COMPUTED_VALUE"""),0.0666666666666666)</f>
        <v>0.06666666667</v>
      </c>
      <c r="Y217" s="8">
        <f>IFERROR(__xludf.DUMMYFUNCTION("""COMPUTED_VALUE"""),0.0)</f>
        <v>0</v>
      </c>
      <c r="Z217" s="8">
        <f>IFERROR(__xludf.DUMMYFUNCTION("""COMPUTED_VALUE"""),0.0)</f>
        <v>0</v>
      </c>
      <c r="AA217" s="8">
        <f>IFERROR(__xludf.DUMMYFUNCTION("""COMPUTED_VALUE"""),0.0)</f>
        <v>0</v>
      </c>
      <c r="AB217" s="8">
        <f>IFERROR(__xludf.DUMMYFUNCTION("""COMPUTED_VALUE"""),0.0)</f>
        <v>0</v>
      </c>
      <c r="AC217" s="8">
        <f>IFERROR(__xludf.DUMMYFUNCTION("""COMPUTED_VALUE"""),0.0)</f>
        <v>0</v>
      </c>
    </row>
    <row r="218" ht="15.75" customHeight="1">
      <c r="A218" s="6" t="str">
        <f>IFERROR(__xludf.DUMMYFUNCTION("""COMPUTED_VALUE"""),"c04c6d5eb020135b9855b7b2290092294bd33d99")</f>
        <v>c04c6d5eb020135b9855b7b2290092294bd33d99</v>
      </c>
      <c r="B218" s="6" t="str">
        <f>IFERROR(__xludf.DUMMYFUNCTION("""COMPUTED_VALUE"""),"My Crimson Bite")</f>
        <v>My Crimson Bite</v>
      </c>
      <c r="C218" s="6" t="str">
        <f>IFERROR(__xludf.DUMMYFUNCTION("""COMPUTED_VALUE"""),"Romantasy")</f>
        <v>Romantasy</v>
      </c>
      <c r="D218" s="11">
        <f>IFERROR(__xludf.DUMMYFUNCTION("""COMPUTED_VALUE"""),40.0)</f>
        <v>40</v>
      </c>
      <c r="E218" s="8">
        <f>IFERROR(__xludf.DUMMYFUNCTION("""COMPUTED_VALUE"""),1.0)</f>
        <v>1</v>
      </c>
      <c r="F218" s="8">
        <f>IFERROR(__xludf.DUMMYFUNCTION("""COMPUTED_VALUE"""),0.525)</f>
        <v>0.525</v>
      </c>
      <c r="G218" s="8">
        <f>IFERROR(__xludf.DUMMYFUNCTION("""COMPUTED_VALUE"""),0.475)</f>
        <v>0.475</v>
      </c>
      <c r="H218" s="8">
        <f>IFERROR(__xludf.DUMMYFUNCTION("""COMPUTED_VALUE"""),0.454545454545454)</f>
        <v>0.4545454545</v>
      </c>
      <c r="I218" s="8">
        <f>IFERROR(__xludf.DUMMYFUNCTION("""COMPUTED_VALUE"""),0.44)</f>
        <v>0.44</v>
      </c>
      <c r="J218" s="8">
        <f>IFERROR(__xludf.DUMMYFUNCTION("""COMPUTED_VALUE"""),0.466666666666666)</f>
        <v>0.4666666667</v>
      </c>
      <c r="K218" s="8">
        <f>IFERROR(__xludf.DUMMYFUNCTION("""COMPUTED_VALUE"""),0.466666666666666)</f>
        <v>0.4666666667</v>
      </c>
      <c r="L218" s="8">
        <f>IFERROR(__xludf.DUMMYFUNCTION("""COMPUTED_VALUE"""),0.466666666666666)</f>
        <v>0.4666666667</v>
      </c>
      <c r="M218" s="8">
        <f>IFERROR(__xludf.DUMMYFUNCTION("""COMPUTED_VALUE"""),0.4)</f>
        <v>0.4</v>
      </c>
      <c r="N218" s="8">
        <f>IFERROR(__xludf.DUMMYFUNCTION("""COMPUTED_VALUE"""),0.4)</f>
        <v>0.4</v>
      </c>
      <c r="O218" s="8">
        <f>IFERROR(__xludf.DUMMYFUNCTION("""COMPUTED_VALUE"""),0.333333333333333)</f>
        <v>0.3333333333</v>
      </c>
      <c r="P218" s="8">
        <f>IFERROR(__xludf.DUMMYFUNCTION("""COMPUTED_VALUE"""),0.23076923076923)</f>
        <v>0.2307692308</v>
      </c>
      <c r="Q218" s="8">
        <f>IFERROR(__xludf.DUMMYFUNCTION("""COMPUTED_VALUE"""),0.0)</f>
        <v>0</v>
      </c>
      <c r="R218" s="8">
        <f>IFERROR(__xludf.DUMMYFUNCTION("""COMPUTED_VALUE"""),0.0)</f>
        <v>0</v>
      </c>
      <c r="S218" s="8">
        <f>IFERROR(__xludf.DUMMYFUNCTION("""COMPUTED_VALUE"""),0.0)</f>
        <v>0</v>
      </c>
      <c r="T218" s="8">
        <f>IFERROR(__xludf.DUMMYFUNCTION("""COMPUTED_VALUE"""),0.0)</f>
        <v>0</v>
      </c>
      <c r="U218" s="8">
        <f>IFERROR(__xludf.DUMMYFUNCTION("""COMPUTED_VALUE"""),0.0)</f>
        <v>0</v>
      </c>
      <c r="V218" s="8">
        <f>IFERROR(__xludf.DUMMYFUNCTION("""COMPUTED_VALUE"""),0.0)</f>
        <v>0</v>
      </c>
      <c r="W218" s="8">
        <f>IFERROR(__xludf.DUMMYFUNCTION("""COMPUTED_VALUE"""),0.0)</f>
        <v>0</v>
      </c>
      <c r="X218" s="8">
        <f>IFERROR(__xludf.DUMMYFUNCTION("""COMPUTED_VALUE"""),0.0)</f>
        <v>0</v>
      </c>
      <c r="Y218" s="8">
        <f>IFERROR(__xludf.DUMMYFUNCTION("""COMPUTED_VALUE"""),0.0)</f>
        <v>0</v>
      </c>
      <c r="Z218" s="8">
        <f>IFERROR(__xludf.DUMMYFUNCTION("""COMPUTED_VALUE"""),0.0)</f>
        <v>0</v>
      </c>
      <c r="AA218" s="8">
        <f>IFERROR(__xludf.DUMMYFUNCTION("""COMPUTED_VALUE"""),0.0)</f>
        <v>0</v>
      </c>
      <c r="AB218" s="8">
        <f>IFERROR(__xludf.DUMMYFUNCTION("""COMPUTED_VALUE"""),0.0)</f>
        <v>0</v>
      </c>
      <c r="AC218" s="8">
        <f>IFERROR(__xludf.DUMMYFUNCTION("""COMPUTED_VALUE"""),0.0)</f>
        <v>0</v>
      </c>
    </row>
    <row r="219" ht="15.75" customHeight="1">
      <c r="A219" s="6" t="str">
        <f>IFERROR(__xludf.DUMMYFUNCTION("""COMPUTED_VALUE"""),"c2045ffb46d0538ca44af5ee011be0b36e81c395")</f>
        <v>c2045ffb46d0538ca44af5ee011be0b36e81c395</v>
      </c>
      <c r="B219" s="6" t="str">
        <f>IFERROR(__xludf.DUMMYFUNCTION("""COMPUTED_VALUE"""),"A Marriage of Ashes")</f>
        <v>A Marriage of Ashes</v>
      </c>
      <c r="C219" s="6" t="str">
        <f>IFERROR(__xludf.DUMMYFUNCTION("""COMPUTED_VALUE"""),"Romance")</f>
        <v>Romance</v>
      </c>
      <c r="D219" s="11">
        <f>IFERROR(__xludf.DUMMYFUNCTION("""COMPUTED_VALUE"""),61.0)</f>
        <v>61</v>
      </c>
      <c r="E219" s="8">
        <f>IFERROR(__xludf.DUMMYFUNCTION("""COMPUTED_VALUE"""),1.0)</f>
        <v>1</v>
      </c>
      <c r="F219" s="8">
        <f>IFERROR(__xludf.DUMMYFUNCTION("""COMPUTED_VALUE"""),0.196721311475409)</f>
        <v>0.1967213115</v>
      </c>
      <c r="G219" s="8">
        <f>IFERROR(__xludf.DUMMYFUNCTION("""COMPUTED_VALUE"""),0.131147540983606)</f>
        <v>0.131147541</v>
      </c>
      <c r="H219" s="8">
        <f>IFERROR(__xludf.DUMMYFUNCTION("""COMPUTED_VALUE"""),0.081967213114754)</f>
        <v>0.08196721311</v>
      </c>
      <c r="I219" s="8">
        <f>IFERROR(__xludf.DUMMYFUNCTION("""COMPUTED_VALUE"""),0.0655737704918032)</f>
        <v>0.06557377049</v>
      </c>
      <c r="J219" s="8">
        <f>IFERROR(__xludf.DUMMYFUNCTION("""COMPUTED_VALUE"""),0.0327868852459016)</f>
        <v>0.03278688525</v>
      </c>
      <c r="K219" s="8">
        <f>IFERROR(__xludf.DUMMYFUNCTION("""COMPUTED_VALUE"""),0.0)</f>
        <v>0</v>
      </c>
      <c r="L219" s="8">
        <f>IFERROR(__xludf.DUMMYFUNCTION("""COMPUTED_VALUE"""),0.0)</f>
        <v>0</v>
      </c>
      <c r="M219" s="8">
        <f>IFERROR(__xludf.DUMMYFUNCTION("""COMPUTED_VALUE"""),0.0)</f>
        <v>0</v>
      </c>
      <c r="N219" s="8">
        <f>IFERROR(__xludf.DUMMYFUNCTION("""COMPUTED_VALUE"""),0.0)</f>
        <v>0</v>
      </c>
      <c r="O219" s="8">
        <f>IFERROR(__xludf.DUMMYFUNCTION("""COMPUTED_VALUE"""),0.0)</f>
        <v>0</v>
      </c>
      <c r="P219" s="8">
        <f>IFERROR(__xludf.DUMMYFUNCTION("""COMPUTED_VALUE"""),0.0)</f>
        <v>0</v>
      </c>
      <c r="Q219" s="8">
        <f>IFERROR(__xludf.DUMMYFUNCTION("""COMPUTED_VALUE"""),0.0)</f>
        <v>0</v>
      </c>
      <c r="R219" s="8">
        <f>IFERROR(__xludf.DUMMYFUNCTION("""COMPUTED_VALUE"""),0.0)</f>
        <v>0</v>
      </c>
      <c r="S219" s="8">
        <f>IFERROR(__xludf.DUMMYFUNCTION("""COMPUTED_VALUE"""),0.0)</f>
        <v>0</v>
      </c>
      <c r="T219" s="8">
        <f>IFERROR(__xludf.DUMMYFUNCTION("""COMPUTED_VALUE"""),0.0)</f>
        <v>0</v>
      </c>
      <c r="U219" s="8">
        <f>IFERROR(__xludf.DUMMYFUNCTION("""COMPUTED_VALUE"""),0.0)</f>
        <v>0</v>
      </c>
      <c r="V219" s="8">
        <f>IFERROR(__xludf.DUMMYFUNCTION("""COMPUTED_VALUE"""),0.0)</f>
        <v>0</v>
      </c>
      <c r="W219" s="8">
        <f>IFERROR(__xludf.DUMMYFUNCTION("""COMPUTED_VALUE"""),0.0)</f>
        <v>0</v>
      </c>
      <c r="X219" s="8">
        <f>IFERROR(__xludf.DUMMYFUNCTION("""COMPUTED_VALUE"""),0.0)</f>
        <v>0</v>
      </c>
      <c r="Y219" s="8">
        <f>IFERROR(__xludf.DUMMYFUNCTION("""COMPUTED_VALUE"""),0.0)</f>
        <v>0</v>
      </c>
      <c r="Z219" s="8">
        <f>IFERROR(__xludf.DUMMYFUNCTION("""COMPUTED_VALUE"""),0.0)</f>
        <v>0</v>
      </c>
      <c r="AA219" s="8">
        <f>IFERROR(__xludf.DUMMYFUNCTION("""COMPUTED_VALUE"""),0.0)</f>
        <v>0</v>
      </c>
      <c r="AB219" s="8">
        <f>IFERROR(__xludf.DUMMYFUNCTION("""COMPUTED_VALUE"""),0.0)</f>
        <v>0</v>
      </c>
      <c r="AC219" s="8">
        <f>IFERROR(__xludf.DUMMYFUNCTION("""COMPUTED_VALUE"""),0.0)</f>
        <v>0</v>
      </c>
    </row>
    <row r="220" ht="15.75" customHeight="1">
      <c r="A220" s="6" t="str">
        <f>IFERROR(__xludf.DUMMYFUNCTION("""COMPUTED_VALUE"""),"c4463ba00f6c126612324139644418680a50dd75")</f>
        <v>c4463ba00f6c126612324139644418680a50dd75</v>
      </c>
      <c r="B220" s="6" t="str">
        <f>IFERROR(__xludf.DUMMYFUNCTION("""COMPUTED_VALUE"""),"Bloodstar")</f>
        <v>Bloodstar</v>
      </c>
      <c r="C220" s="6" t="str">
        <f>IFERROR(__xludf.DUMMYFUNCTION("""COMPUTED_VALUE"""),"System and Superpower")</f>
        <v>System and Superpower</v>
      </c>
      <c r="D220" s="11">
        <f>IFERROR(__xludf.DUMMYFUNCTION("""COMPUTED_VALUE"""),666.0)</f>
        <v>666</v>
      </c>
      <c r="E220" s="8">
        <f>IFERROR(__xludf.DUMMYFUNCTION("""COMPUTED_VALUE"""),0.984984984984985)</f>
        <v>0.984984985</v>
      </c>
      <c r="F220" s="8">
        <f>IFERROR(__xludf.DUMMYFUNCTION("""COMPUTED_VALUE"""),0.717717717717717)</f>
        <v>0.7177177177</v>
      </c>
      <c r="G220" s="8">
        <f>IFERROR(__xludf.DUMMYFUNCTION("""COMPUTED_VALUE"""),0.635135135135135)</f>
        <v>0.6351351351</v>
      </c>
      <c r="H220" s="8">
        <f>IFERROR(__xludf.DUMMYFUNCTION("""COMPUTED_VALUE"""),0.551051051051051)</f>
        <v>0.5510510511</v>
      </c>
      <c r="I220" s="8">
        <f>IFERROR(__xludf.DUMMYFUNCTION("""COMPUTED_VALUE"""),0.48644578313253)</f>
        <v>0.4864457831</v>
      </c>
      <c r="J220" s="8">
        <f>IFERROR(__xludf.DUMMYFUNCTION("""COMPUTED_VALUE"""),0.441087613293051)</f>
        <v>0.4410876133</v>
      </c>
      <c r="K220" s="8">
        <f>IFERROR(__xludf.DUMMYFUNCTION("""COMPUTED_VALUE"""),0.385432473444613)</f>
        <v>0.3854324734</v>
      </c>
      <c r="L220" s="8">
        <f>IFERROR(__xludf.DUMMYFUNCTION("""COMPUTED_VALUE"""),0.340943683409436)</f>
        <v>0.3409436834</v>
      </c>
      <c r="M220" s="8">
        <f>IFERROR(__xludf.DUMMYFUNCTION("""COMPUTED_VALUE"""),0.303816793893129)</f>
        <v>0.3038167939</v>
      </c>
      <c r="N220" s="8">
        <f>IFERROR(__xludf.DUMMYFUNCTION("""COMPUTED_VALUE"""),0.289877300613496)</f>
        <v>0.2898773006</v>
      </c>
      <c r="O220" s="8">
        <f>IFERROR(__xludf.DUMMYFUNCTION("""COMPUTED_VALUE"""),0.237096774193548)</f>
        <v>0.2370967742</v>
      </c>
      <c r="P220" s="8">
        <f>IFERROR(__xludf.DUMMYFUNCTION("""COMPUTED_VALUE"""),0.333333333333333)</f>
        <v>0.3333333333</v>
      </c>
      <c r="Q220" s="8">
        <f>IFERROR(__xludf.DUMMYFUNCTION("""COMPUTED_VALUE"""),0.0)</f>
        <v>0</v>
      </c>
      <c r="R220" s="8">
        <f>IFERROR(__xludf.DUMMYFUNCTION("""COMPUTED_VALUE"""),0.0)</f>
        <v>0</v>
      </c>
      <c r="S220" s="8">
        <f>IFERROR(__xludf.DUMMYFUNCTION("""COMPUTED_VALUE"""),0.0)</f>
        <v>0</v>
      </c>
      <c r="T220" s="8">
        <f>IFERROR(__xludf.DUMMYFUNCTION("""COMPUTED_VALUE"""),0.0)</f>
        <v>0</v>
      </c>
      <c r="U220" s="8">
        <f>IFERROR(__xludf.DUMMYFUNCTION("""COMPUTED_VALUE"""),0.0)</f>
        <v>0</v>
      </c>
      <c r="V220" s="8">
        <f>IFERROR(__xludf.DUMMYFUNCTION("""COMPUTED_VALUE"""),0.0)</f>
        <v>0</v>
      </c>
      <c r="W220" s="8">
        <f>IFERROR(__xludf.DUMMYFUNCTION("""COMPUTED_VALUE"""),0.0)</f>
        <v>0</v>
      </c>
      <c r="X220" s="8">
        <f>IFERROR(__xludf.DUMMYFUNCTION("""COMPUTED_VALUE"""),0.0)</f>
        <v>0</v>
      </c>
      <c r="Y220" s="8">
        <f>IFERROR(__xludf.DUMMYFUNCTION("""COMPUTED_VALUE"""),0.0)</f>
        <v>0</v>
      </c>
      <c r="Z220" s="8">
        <f>IFERROR(__xludf.DUMMYFUNCTION("""COMPUTED_VALUE"""),0.0)</f>
        <v>0</v>
      </c>
      <c r="AA220" s="8">
        <f>IFERROR(__xludf.DUMMYFUNCTION("""COMPUTED_VALUE"""),0.0)</f>
        <v>0</v>
      </c>
      <c r="AB220" s="8">
        <f>IFERROR(__xludf.DUMMYFUNCTION("""COMPUTED_VALUE"""),0.0)</f>
        <v>0</v>
      </c>
      <c r="AC220" s="8">
        <f>IFERROR(__xludf.DUMMYFUNCTION("""COMPUTED_VALUE"""),0.0)</f>
        <v>0</v>
      </c>
    </row>
    <row r="221" ht="15.75" customHeight="1">
      <c r="A221" s="6" t="str">
        <f>IFERROR(__xludf.DUMMYFUNCTION("""COMPUTED_VALUE"""),"c6590012d529ed8d9e5750565fe5d91ddd1144d5")</f>
        <v>c6590012d529ed8d9e5750565fe5d91ddd1144d5</v>
      </c>
      <c r="B221" s="6" t="str">
        <f>IFERROR(__xludf.DUMMYFUNCTION("""COMPUTED_VALUE"""),"Rise of Charles Atticus")</f>
        <v>Rise of Charles Atticus</v>
      </c>
      <c r="C221" s="6" t="str">
        <f>IFERROR(__xludf.DUMMYFUNCTION("""COMPUTED_VALUE"""),"Fantasy")</f>
        <v>Fantasy</v>
      </c>
      <c r="D221" s="11">
        <f>IFERROR(__xludf.DUMMYFUNCTION("""COMPUTED_VALUE"""),354.0)</f>
        <v>354</v>
      </c>
      <c r="E221" s="8">
        <f>IFERROR(__xludf.DUMMYFUNCTION("""COMPUTED_VALUE"""),0.977401129943502)</f>
        <v>0.9774011299</v>
      </c>
      <c r="F221" s="8">
        <f>IFERROR(__xludf.DUMMYFUNCTION("""COMPUTED_VALUE"""),0.73728813559322)</f>
        <v>0.7372881356</v>
      </c>
      <c r="G221" s="8">
        <f>IFERROR(__xludf.DUMMYFUNCTION("""COMPUTED_VALUE"""),0.700564971751412)</f>
        <v>0.7005649718</v>
      </c>
      <c r="H221" s="8">
        <f>IFERROR(__xludf.DUMMYFUNCTION("""COMPUTED_VALUE"""),0.652173913043478)</f>
        <v>0.652173913</v>
      </c>
      <c r="I221" s="8">
        <f>IFERROR(__xludf.DUMMYFUNCTION("""COMPUTED_VALUE"""),0.618055555555555)</f>
        <v>0.6180555556</v>
      </c>
      <c r="J221" s="8">
        <f>IFERROR(__xludf.DUMMYFUNCTION("""COMPUTED_VALUE"""),0.620689655172413)</f>
        <v>0.6206896552</v>
      </c>
      <c r="K221" s="8">
        <f>IFERROR(__xludf.DUMMYFUNCTION("""COMPUTED_VALUE"""),0.444444444444444)</f>
        <v>0.4444444444</v>
      </c>
      <c r="L221" s="8">
        <f>IFERROR(__xludf.DUMMYFUNCTION("""COMPUTED_VALUE"""),0.555555555555555)</f>
        <v>0.5555555556</v>
      </c>
      <c r="M221" s="8">
        <f>IFERROR(__xludf.DUMMYFUNCTION("""COMPUTED_VALUE"""),0.444444444444444)</f>
        <v>0.4444444444</v>
      </c>
      <c r="N221" s="8">
        <f>IFERROR(__xludf.DUMMYFUNCTION("""COMPUTED_VALUE"""),0.444444444444444)</f>
        <v>0.4444444444</v>
      </c>
      <c r="O221" s="8">
        <f>IFERROR(__xludf.DUMMYFUNCTION("""COMPUTED_VALUE"""),0.571428571428571)</f>
        <v>0.5714285714</v>
      </c>
      <c r="P221" s="8">
        <f>IFERROR(__xludf.DUMMYFUNCTION("""COMPUTED_VALUE"""),0.5)</f>
        <v>0.5</v>
      </c>
      <c r="Q221" s="8">
        <f>IFERROR(__xludf.DUMMYFUNCTION("""COMPUTED_VALUE"""),0.0)</f>
        <v>0</v>
      </c>
      <c r="R221" s="8">
        <f>IFERROR(__xludf.DUMMYFUNCTION("""COMPUTED_VALUE"""),0.0)</f>
        <v>0</v>
      </c>
      <c r="S221" s="8">
        <f>IFERROR(__xludf.DUMMYFUNCTION("""COMPUTED_VALUE"""),0.0)</f>
        <v>0</v>
      </c>
      <c r="T221" s="8">
        <f>IFERROR(__xludf.DUMMYFUNCTION("""COMPUTED_VALUE"""),0.0)</f>
        <v>0</v>
      </c>
      <c r="U221" s="8">
        <f>IFERROR(__xludf.DUMMYFUNCTION("""COMPUTED_VALUE"""),0.0)</f>
        <v>0</v>
      </c>
      <c r="V221" s="8">
        <f>IFERROR(__xludf.DUMMYFUNCTION("""COMPUTED_VALUE"""),0.0)</f>
        <v>0</v>
      </c>
      <c r="W221" s="8">
        <f>IFERROR(__xludf.DUMMYFUNCTION("""COMPUTED_VALUE"""),0.0)</f>
        <v>0</v>
      </c>
      <c r="X221" s="8">
        <f>IFERROR(__xludf.DUMMYFUNCTION("""COMPUTED_VALUE"""),0.0)</f>
        <v>0</v>
      </c>
      <c r="Y221" s="8">
        <f>IFERROR(__xludf.DUMMYFUNCTION("""COMPUTED_VALUE"""),0.0)</f>
        <v>0</v>
      </c>
      <c r="Z221" s="8">
        <f>IFERROR(__xludf.DUMMYFUNCTION("""COMPUTED_VALUE"""),0.0)</f>
        <v>0</v>
      </c>
      <c r="AA221" s="8">
        <f>IFERROR(__xludf.DUMMYFUNCTION("""COMPUTED_VALUE"""),0.0)</f>
        <v>0</v>
      </c>
      <c r="AB221" s="8">
        <f>IFERROR(__xludf.DUMMYFUNCTION("""COMPUTED_VALUE"""),0.0)</f>
        <v>0</v>
      </c>
      <c r="AC221" s="8">
        <f>IFERROR(__xludf.DUMMYFUNCTION("""COMPUTED_VALUE"""),0.0)</f>
        <v>0</v>
      </c>
    </row>
    <row r="222" ht="15.75" customHeight="1">
      <c r="A222" s="6" t="str">
        <f>IFERROR(__xludf.DUMMYFUNCTION("""COMPUTED_VALUE"""),"c66d5521f195754d722c7e3daab2da20a027dd0c")</f>
        <v>c66d5521f195754d722c7e3daab2da20a027dd0c</v>
      </c>
      <c r="B222" s="6" t="str">
        <f>IFERROR(__xludf.DUMMYFUNCTION("""COMPUTED_VALUE"""),"Ceo's Heartbreaker")</f>
        <v>Ceo's Heartbreaker</v>
      </c>
      <c r="C222" s="6" t="str">
        <f>IFERROR(__xludf.DUMMYFUNCTION("""COMPUTED_VALUE"""),"Romance")</f>
        <v>Romance</v>
      </c>
      <c r="D222" s="11">
        <f>IFERROR(__xludf.DUMMYFUNCTION("""COMPUTED_VALUE"""),24.0)</f>
        <v>24</v>
      </c>
      <c r="E222" s="8">
        <f>IFERROR(__xludf.DUMMYFUNCTION("""COMPUTED_VALUE"""),0.958333333333333)</f>
        <v>0.9583333333</v>
      </c>
      <c r="F222" s="8">
        <f>IFERROR(__xludf.DUMMYFUNCTION("""COMPUTED_VALUE"""),0.291666666666666)</f>
        <v>0.2916666667</v>
      </c>
      <c r="G222" s="8">
        <f>IFERROR(__xludf.DUMMYFUNCTION("""COMPUTED_VALUE"""),0.25)</f>
        <v>0.25</v>
      </c>
      <c r="H222" s="8">
        <f>IFERROR(__xludf.DUMMYFUNCTION("""COMPUTED_VALUE"""),0.208333333333333)</f>
        <v>0.2083333333</v>
      </c>
      <c r="I222" s="8">
        <f>IFERROR(__xludf.DUMMYFUNCTION("""COMPUTED_VALUE"""),0.125)</f>
        <v>0.125</v>
      </c>
      <c r="J222" s="8">
        <f>IFERROR(__xludf.DUMMYFUNCTION("""COMPUTED_VALUE"""),0.0869565217391304)</f>
        <v>0.08695652174</v>
      </c>
      <c r="K222" s="8">
        <f>IFERROR(__xludf.DUMMYFUNCTION("""COMPUTED_VALUE"""),0.0869565217391304)</f>
        <v>0.08695652174</v>
      </c>
      <c r="L222" s="8">
        <f>IFERROR(__xludf.DUMMYFUNCTION("""COMPUTED_VALUE"""),0.0434782608695652)</f>
        <v>0.04347826087</v>
      </c>
      <c r="M222" s="8">
        <f>IFERROR(__xludf.DUMMYFUNCTION("""COMPUTED_VALUE"""),0.0)</f>
        <v>0</v>
      </c>
      <c r="N222" s="8">
        <f>IFERROR(__xludf.DUMMYFUNCTION("""COMPUTED_VALUE"""),0.0)</f>
        <v>0</v>
      </c>
      <c r="O222" s="8">
        <f>IFERROR(__xludf.DUMMYFUNCTION("""COMPUTED_VALUE"""),0.0)</f>
        <v>0</v>
      </c>
      <c r="P222" s="8">
        <f>IFERROR(__xludf.DUMMYFUNCTION("""COMPUTED_VALUE"""),0.0)</f>
        <v>0</v>
      </c>
      <c r="Q222" s="8">
        <f>IFERROR(__xludf.DUMMYFUNCTION("""COMPUTED_VALUE"""),0.0)</f>
        <v>0</v>
      </c>
      <c r="R222" s="8">
        <f>IFERROR(__xludf.DUMMYFUNCTION("""COMPUTED_VALUE"""),0.0)</f>
        <v>0</v>
      </c>
      <c r="S222" s="8">
        <f>IFERROR(__xludf.DUMMYFUNCTION("""COMPUTED_VALUE"""),0.0)</f>
        <v>0</v>
      </c>
      <c r="T222" s="8">
        <f>IFERROR(__xludf.DUMMYFUNCTION("""COMPUTED_VALUE"""),0.0)</f>
        <v>0</v>
      </c>
      <c r="U222" s="8">
        <f>IFERROR(__xludf.DUMMYFUNCTION("""COMPUTED_VALUE"""),0.0)</f>
        <v>0</v>
      </c>
      <c r="V222" s="8">
        <f>IFERROR(__xludf.DUMMYFUNCTION("""COMPUTED_VALUE"""),0.0)</f>
        <v>0</v>
      </c>
      <c r="W222" s="8">
        <f>IFERROR(__xludf.DUMMYFUNCTION("""COMPUTED_VALUE"""),0.0)</f>
        <v>0</v>
      </c>
      <c r="X222" s="8">
        <f>IFERROR(__xludf.DUMMYFUNCTION("""COMPUTED_VALUE"""),0.0)</f>
        <v>0</v>
      </c>
      <c r="Y222" s="8">
        <f>IFERROR(__xludf.DUMMYFUNCTION("""COMPUTED_VALUE"""),0.0)</f>
        <v>0</v>
      </c>
      <c r="Z222" s="8">
        <f>IFERROR(__xludf.DUMMYFUNCTION("""COMPUTED_VALUE"""),0.0)</f>
        <v>0</v>
      </c>
      <c r="AA222" s="8">
        <f>IFERROR(__xludf.DUMMYFUNCTION("""COMPUTED_VALUE"""),0.0)</f>
        <v>0</v>
      </c>
      <c r="AB222" s="8">
        <f>IFERROR(__xludf.DUMMYFUNCTION("""COMPUTED_VALUE"""),0.0)</f>
        <v>0</v>
      </c>
      <c r="AC222" s="8">
        <f>IFERROR(__xludf.DUMMYFUNCTION("""COMPUTED_VALUE"""),0.0)</f>
        <v>0</v>
      </c>
    </row>
    <row r="223" ht="15.75" customHeight="1">
      <c r="A223" s="6" t="str">
        <f>IFERROR(__xludf.DUMMYFUNCTION("""COMPUTED_VALUE"""),"c6786de3c05a64c2f4c13acbe0e61d8d4e111aad")</f>
        <v>c6786de3c05a64c2f4c13acbe0e61d8d4e111aad</v>
      </c>
      <c r="B223" s="6" t="str">
        <f>IFERROR(__xludf.DUMMYFUNCTION("""COMPUTED_VALUE"""),"Mr. Kane's Reluctant Wife")</f>
        <v>Mr. Kane's Reluctant Wife</v>
      </c>
      <c r="C223" s="6" t="str">
        <f>IFERROR(__xludf.DUMMYFUNCTION("""COMPUTED_VALUE"""),"Romance")</f>
        <v>Romance</v>
      </c>
      <c r="D223" s="11">
        <f>IFERROR(__xludf.DUMMYFUNCTION("""COMPUTED_VALUE"""),46.0)</f>
        <v>46</v>
      </c>
      <c r="E223" s="8">
        <f>IFERROR(__xludf.DUMMYFUNCTION("""COMPUTED_VALUE"""),1.0)</f>
        <v>1</v>
      </c>
      <c r="F223" s="8">
        <f>IFERROR(__xludf.DUMMYFUNCTION("""COMPUTED_VALUE"""),0.630434782608695)</f>
        <v>0.6304347826</v>
      </c>
      <c r="G223" s="8">
        <f>IFERROR(__xludf.DUMMYFUNCTION("""COMPUTED_VALUE"""),0.630434782608695)</f>
        <v>0.6304347826</v>
      </c>
      <c r="H223" s="8">
        <f>IFERROR(__xludf.DUMMYFUNCTION("""COMPUTED_VALUE"""),0.565217391304347)</f>
        <v>0.5652173913</v>
      </c>
      <c r="I223" s="8">
        <f>IFERROR(__xludf.DUMMYFUNCTION("""COMPUTED_VALUE"""),0.543478260869565)</f>
        <v>0.5434782609</v>
      </c>
      <c r="J223" s="8">
        <f>IFERROR(__xludf.DUMMYFUNCTION("""COMPUTED_VALUE"""),0.543478260869565)</f>
        <v>0.5434782609</v>
      </c>
      <c r="K223" s="8">
        <f>IFERROR(__xludf.DUMMYFUNCTION("""COMPUTED_VALUE"""),0.521739130434782)</f>
        <v>0.5217391304</v>
      </c>
      <c r="L223" s="8">
        <f>IFERROR(__xludf.DUMMYFUNCTION("""COMPUTED_VALUE"""),0.521739130434782)</f>
        <v>0.5217391304</v>
      </c>
      <c r="M223" s="8">
        <f>IFERROR(__xludf.DUMMYFUNCTION("""COMPUTED_VALUE"""),0.5)</f>
        <v>0.5</v>
      </c>
      <c r="N223" s="8">
        <f>IFERROR(__xludf.DUMMYFUNCTION("""COMPUTED_VALUE"""),0.5)</f>
        <v>0.5</v>
      </c>
      <c r="O223" s="8">
        <f>IFERROR(__xludf.DUMMYFUNCTION("""COMPUTED_VALUE"""),0.478260869565217)</f>
        <v>0.4782608696</v>
      </c>
      <c r="P223" s="8">
        <f>IFERROR(__xludf.DUMMYFUNCTION("""COMPUTED_VALUE"""),0.295454545454545)</f>
        <v>0.2954545455</v>
      </c>
      <c r="Q223" s="8">
        <f>IFERROR(__xludf.DUMMYFUNCTION("""COMPUTED_VALUE"""),0.242424242424242)</f>
        <v>0.2424242424</v>
      </c>
      <c r="R223" s="8">
        <f>IFERROR(__xludf.DUMMYFUNCTION("""COMPUTED_VALUE"""),0.0)</f>
        <v>0</v>
      </c>
      <c r="S223" s="8">
        <f>IFERROR(__xludf.DUMMYFUNCTION("""COMPUTED_VALUE"""),0.0)</f>
        <v>0</v>
      </c>
      <c r="T223" s="8">
        <f>IFERROR(__xludf.DUMMYFUNCTION("""COMPUTED_VALUE"""),0.0)</f>
        <v>0</v>
      </c>
      <c r="U223" s="8">
        <f>IFERROR(__xludf.DUMMYFUNCTION("""COMPUTED_VALUE"""),0.0)</f>
        <v>0</v>
      </c>
      <c r="V223" s="8">
        <f>IFERROR(__xludf.DUMMYFUNCTION("""COMPUTED_VALUE"""),0.0)</f>
        <v>0</v>
      </c>
      <c r="W223" s="8">
        <f>IFERROR(__xludf.DUMMYFUNCTION("""COMPUTED_VALUE"""),0.0)</f>
        <v>0</v>
      </c>
      <c r="X223" s="8">
        <f>IFERROR(__xludf.DUMMYFUNCTION("""COMPUTED_VALUE"""),0.0)</f>
        <v>0</v>
      </c>
      <c r="Y223" s="8">
        <f>IFERROR(__xludf.DUMMYFUNCTION("""COMPUTED_VALUE"""),0.0)</f>
        <v>0</v>
      </c>
      <c r="Z223" s="8">
        <f>IFERROR(__xludf.DUMMYFUNCTION("""COMPUTED_VALUE"""),0.0)</f>
        <v>0</v>
      </c>
      <c r="AA223" s="8">
        <f>IFERROR(__xludf.DUMMYFUNCTION("""COMPUTED_VALUE"""),0.0)</f>
        <v>0</v>
      </c>
      <c r="AB223" s="8">
        <f>IFERROR(__xludf.DUMMYFUNCTION("""COMPUTED_VALUE"""),0.0)</f>
        <v>0</v>
      </c>
      <c r="AC223" s="8">
        <f>IFERROR(__xludf.DUMMYFUNCTION("""COMPUTED_VALUE"""),0.0)</f>
        <v>0</v>
      </c>
    </row>
    <row r="224" ht="15.75" customHeight="1">
      <c r="A224" s="6" t="str">
        <f>IFERROR(__xludf.DUMMYFUNCTION("""COMPUTED_VALUE"""),"c8219b2f9d80ce631da27b15849041dbb194dc76")</f>
        <v>c8219b2f9d80ce631da27b15849041dbb194dc76</v>
      </c>
      <c r="B224" s="6" t="str">
        <f>IFERROR(__xludf.DUMMYFUNCTION("""COMPUTED_VALUE"""),"The Fire God's Heir")</f>
        <v>The Fire God's Heir</v>
      </c>
      <c r="C224" s="6" t="str">
        <f>IFERROR(__xludf.DUMMYFUNCTION("""COMPUTED_VALUE"""),"Romantasy")</f>
        <v>Romantasy</v>
      </c>
      <c r="D224" s="11">
        <f>IFERROR(__xludf.DUMMYFUNCTION("""COMPUTED_VALUE"""),319.0)</f>
        <v>319</v>
      </c>
      <c r="E224" s="8">
        <f>IFERROR(__xludf.DUMMYFUNCTION("""COMPUTED_VALUE"""),0.981191222570532)</f>
        <v>0.9811912226</v>
      </c>
      <c r="F224" s="8">
        <f>IFERROR(__xludf.DUMMYFUNCTION("""COMPUTED_VALUE"""),0.652037617554858)</f>
        <v>0.6520376176</v>
      </c>
      <c r="G224" s="8">
        <f>IFERROR(__xludf.DUMMYFUNCTION("""COMPUTED_VALUE"""),0.592476489028213)</f>
        <v>0.592476489</v>
      </c>
      <c r="H224" s="8">
        <f>IFERROR(__xludf.DUMMYFUNCTION("""COMPUTED_VALUE"""),0.419463087248322)</f>
        <v>0.4194630872</v>
      </c>
      <c r="I224" s="8">
        <f>IFERROR(__xludf.DUMMYFUNCTION("""COMPUTED_VALUE"""),0.349480968858131)</f>
        <v>0.3494809689</v>
      </c>
      <c r="J224" s="8">
        <f>IFERROR(__xludf.DUMMYFUNCTION("""COMPUTED_VALUE"""),0.312949640287769)</f>
        <v>0.3129496403</v>
      </c>
      <c r="K224" s="8">
        <f>IFERROR(__xludf.DUMMYFUNCTION("""COMPUTED_VALUE"""),0.327137546468401)</f>
        <v>0.3271375465</v>
      </c>
      <c r="L224" s="8">
        <f>IFERROR(__xludf.DUMMYFUNCTION("""COMPUTED_VALUE"""),0.291666666666666)</f>
        <v>0.2916666667</v>
      </c>
      <c r="M224" s="8">
        <f>IFERROR(__xludf.DUMMYFUNCTION("""COMPUTED_VALUE"""),0.249042145593869)</f>
        <v>0.2490421456</v>
      </c>
      <c r="N224" s="8">
        <f>IFERROR(__xludf.DUMMYFUNCTION("""COMPUTED_VALUE"""),0.233201581027668)</f>
        <v>0.233201581</v>
      </c>
      <c r="O224" s="8">
        <f>IFERROR(__xludf.DUMMYFUNCTION("""COMPUTED_VALUE"""),0.136563876651982)</f>
        <v>0.1365638767</v>
      </c>
      <c r="P224" s="8">
        <f>IFERROR(__xludf.DUMMYFUNCTION("""COMPUTED_VALUE"""),0.0672645739910313)</f>
        <v>0.06726457399</v>
      </c>
      <c r="Q224" s="8">
        <f>IFERROR(__xludf.DUMMYFUNCTION("""COMPUTED_VALUE"""),0.04)</f>
        <v>0.04</v>
      </c>
      <c r="R224" s="8">
        <f>IFERROR(__xludf.DUMMYFUNCTION("""COMPUTED_VALUE"""),0.0)</f>
        <v>0</v>
      </c>
      <c r="S224" s="8">
        <f>IFERROR(__xludf.DUMMYFUNCTION("""COMPUTED_VALUE"""),0.0)</f>
        <v>0</v>
      </c>
      <c r="T224" s="8">
        <f>IFERROR(__xludf.DUMMYFUNCTION("""COMPUTED_VALUE"""),0.0)</f>
        <v>0</v>
      </c>
      <c r="U224" s="8">
        <f>IFERROR(__xludf.DUMMYFUNCTION("""COMPUTED_VALUE"""),0.0)</f>
        <v>0</v>
      </c>
      <c r="V224" s="8">
        <f>IFERROR(__xludf.DUMMYFUNCTION("""COMPUTED_VALUE"""),0.0)</f>
        <v>0</v>
      </c>
      <c r="W224" s="8">
        <f>IFERROR(__xludf.DUMMYFUNCTION("""COMPUTED_VALUE"""),0.0)</f>
        <v>0</v>
      </c>
      <c r="X224" s="8">
        <f>IFERROR(__xludf.DUMMYFUNCTION("""COMPUTED_VALUE"""),0.0)</f>
        <v>0</v>
      </c>
      <c r="Y224" s="8">
        <f>IFERROR(__xludf.DUMMYFUNCTION("""COMPUTED_VALUE"""),0.0)</f>
        <v>0</v>
      </c>
      <c r="Z224" s="8">
        <f>IFERROR(__xludf.DUMMYFUNCTION("""COMPUTED_VALUE"""),0.0)</f>
        <v>0</v>
      </c>
      <c r="AA224" s="8">
        <f>IFERROR(__xludf.DUMMYFUNCTION("""COMPUTED_VALUE"""),0.0)</f>
        <v>0</v>
      </c>
      <c r="AB224" s="8">
        <f>IFERROR(__xludf.DUMMYFUNCTION("""COMPUTED_VALUE"""),0.0)</f>
        <v>0</v>
      </c>
      <c r="AC224" s="8">
        <f>IFERROR(__xludf.DUMMYFUNCTION("""COMPUTED_VALUE"""),0.0)</f>
        <v>0</v>
      </c>
    </row>
    <row r="225" ht="15.75" customHeight="1">
      <c r="A225" s="6" t="str">
        <f>IFERROR(__xludf.DUMMYFUNCTION("""COMPUTED_VALUE"""),"c9fd6d447c06b151ec4563d30a1e1685e71bd29d")</f>
        <v>c9fd6d447c06b151ec4563d30a1e1685e71bd29d</v>
      </c>
      <c r="B225" s="6" t="str">
        <f>IFERROR(__xludf.DUMMYFUNCTION("""COMPUTED_VALUE"""),"Void Evolution System")</f>
        <v>Void Evolution System</v>
      </c>
      <c r="C225" s="6" t="str">
        <f>IFERROR(__xludf.DUMMYFUNCTION("""COMPUTED_VALUE"""),"Fantasy")</f>
        <v>Fantasy</v>
      </c>
      <c r="D225" s="11">
        <f>IFERROR(__xludf.DUMMYFUNCTION("""COMPUTED_VALUE"""),683.0)</f>
        <v>683</v>
      </c>
      <c r="E225" s="8">
        <f>IFERROR(__xludf.DUMMYFUNCTION("""COMPUTED_VALUE"""),0.986822840409956)</f>
        <v>0.9868228404</v>
      </c>
      <c r="F225" s="8">
        <f>IFERROR(__xludf.DUMMYFUNCTION("""COMPUTED_VALUE"""),0.742313323572474)</f>
        <v>0.7423133236</v>
      </c>
      <c r="G225" s="8">
        <f>IFERROR(__xludf.DUMMYFUNCTION("""COMPUTED_VALUE"""),0.696925329428989)</f>
        <v>0.6969253294</v>
      </c>
      <c r="H225" s="8">
        <f>IFERROR(__xludf.DUMMYFUNCTION("""COMPUTED_VALUE"""),0.656891495601173)</f>
        <v>0.6568914956</v>
      </c>
      <c r="I225" s="8">
        <f>IFERROR(__xludf.DUMMYFUNCTION("""COMPUTED_VALUE"""),0.639344262295082)</f>
        <v>0.6393442623</v>
      </c>
      <c r="J225" s="8">
        <f>IFERROR(__xludf.DUMMYFUNCTION("""COMPUTED_VALUE"""),0.618045112781954)</f>
        <v>0.6180451128</v>
      </c>
      <c r="K225" s="8">
        <f>IFERROR(__xludf.DUMMYFUNCTION("""COMPUTED_VALUE"""),0.596066565809379)</f>
        <v>0.5960665658</v>
      </c>
      <c r="L225" s="8">
        <f>IFERROR(__xludf.DUMMYFUNCTION("""COMPUTED_VALUE"""),0.564814814814814)</f>
        <v>0.5648148148</v>
      </c>
      <c r="M225" s="8">
        <f>IFERROR(__xludf.DUMMYFUNCTION("""COMPUTED_VALUE"""),0.546310832025117)</f>
        <v>0.546310832</v>
      </c>
      <c r="N225" s="8">
        <f>IFERROR(__xludf.DUMMYFUNCTION("""COMPUTED_VALUE"""),0.525535420098846)</f>
        <v>0.5255354201</v>
      </c>
      <c r="O225" s="8">
        <f>IFERROR(__xludf.DUMMYFUNCTION("""COMPUTED_VALUE"""),0.285714285714285)</f>
        <v>0.2857142857</v>
      </c>
      <c r="P225" s="8">
        <f>IFERROR(__xludf.DUMMYFUNCTION("""COMPUTED_VALUE"""),0.5)</f>
        <v>0.5</v>
      </c>
      <c r="Q225" s="8">
        <f>IFERROR(__xludf.DUMMYFUNCTION("""COMPUTED_VALUE"""),0.0)</f>
        <v>0</v>
      </c>
      <c r="R225" s="8">
        <f>IFERROR(__xludf.DUMMYFUNCTION("""COMPUTED_VALUE"""),0.0)</f>
        <v>0</v>
      </c>
      <c r="S225" s="8">
        <f>IFERROR(__xludf.DUMMYFUNCTION("""COMPUTED_VALUE"""),0.0)</f>
        <v>0</v>
      </c>
      <c r="T225" s="8">
        <f>IFERROR(__xludf.DUMMYFUNCTION("""COMPUTED_VALUE"""),0.0)</f>
        <v>0</v>
      </c>
      <c r="U225" s="8">
        <f>IFERROR(__xludf.DUMMYFUNCTION("""COMPUTED_VALUE"""),0.0)</f>
        <v>0</v>
      </c>
      <c r="V225" s="8">
        <f>IFERROR(__xludf.DUMMYFUNCTION("""COMPUTED_VALUE"""),0.0)</f>
        <v>0</v>
      </c>
      <c r="W225" s="8">
        <f>IFERROR(__xludf.DUMMYFUNCTION("""COMPUTED_VALUE"""),0.0)</f>
        <v>0</v>
      </c>
      <c r="X225" s="8">
        <f>IFERROR(__xludf.DUMMYFUNCTION("""COMPUTED_VALUE"""),0.0)</f>
        <v>0</v>
      </c>
      <c r="Y225" s="8">
        <f>IFERROR(__xludf.DUMMYFUNCTION("""COMPUTED_VALUE"""),0.0)</f>
        <v>0</v>
      </c>
      <c r="Z225" s="8">
        <f>IFERROR(__xludf.DUMMYFUNCTION("""COMPUTED_VALUE"""),0.0)</f>
        <v>0</v>
      </c>
      <c r="AA225" s="8">
        <f>IFERROR(__xludf.DUMMYFUNCTION("""COMPUTED_VALUE"""),0.0)</f>
        <v>0</v>
      </c>
      <c r="AB225" s="8">
        <f>IFERROR(__xludf.DUMMYFUNCTION("""COMPUTED_VALUE"""),0.0)</f>
        <v>0</v>
      </c>
      <c r="AC225" s="8">
        <f>IFERROR(__xludf.DUMMYFUNCTION("""COMPUTED_VALUE"""),0.0)</f>
        <v>0</v>
      </c>
    </row>
    <row r="226" ht="15.75" customHeight="1">
      <c r="A226" s="6" t="str">
        <f>IFERROR(__xludf.DUMMYFUNCTION("""COMPUTED_VALUE"""),"cae77d999ed2205a1ab04a54470de972ddd8bc69")</f>
        <v>cae77d999ed2205a1ab04a54470de972ddd8bc69</v>
      </c>
      <c r="B226" s="6" t="str">
        <f>IFERROR(__xludf.DUMMYFUNCTION("""COMPUTED_VALUE"""),"Atlas of My Heart")</f>
        <v>Atlas of My Heart</v>
      </c>
      <c r="C226" s="6" t="str">
        <f>IFERROR(__xludf.DUMMYFUNCTION("""COMPUTED_VALUE"""),"Romance")</f>
        <v>Romance</v>
      </c>
      <c r="D226" s="11">
        <f>IFERROR(__xludf.DUMMYFUNCTION("""COMPUTED_VALUE"""),83.0)</f>
        <v>83</v>
      </c>
      <c r="E226" s="8">
        <f>IFERROR(__xludf.DUMMYFUNCTION("""COMPUTED_VALUE"""),0.987951807228915)</f>
        <v>0.9879518072</v>
      </c>
      <c r="F226" s="8">
        <f>IFERROR(__xludf.DUMMYFUNCTION("""COMPUTED_VALUE"""),0.698795180722891)</f>
        <v>0.6987951807</v>
      </c>
      <c r="G226" s="8">
        <f>IFERROR(__xludf.DUMMYFUNCTION("""COMPUTED_VALUE"""),0.650602409638554)</f>
        <v>0.6506024096</v>
      </c>
      <c r="H226" s="8">
        <f>IFERROR(__xludf.DUMMYFUNCTION("""COMPUTED_VALUE"""),0.578313253012048)</f>
        <v>0.578313253</v>
      </c>
      <c r="I226" s="8">
        <f>IFERROR(__xludf.DUMMYFUNCTION("""COMPUTED_VALUE"""),0.493975903614457)</f>
        <v>0.4939759036</v>
      </c>
      <c r="J226" s="8">
        <f>IFERROR(__xludf.DUMMYFUNCTION("""COMPUTED_VALUE"""),0.409638554216867)</f>
        <v>0.4096385542</v>
      </c>
      <c r="K226" s="8">
        <f>IFERROR(__xludf.DUMMYFUNCTION("""COMPUTED_VALUE"""),0.385542168674698)</f>
        <v>0.3855421687</v>
      </c>
      <c r="L226" s="8">
        <f>IFERROR(__xludf.DUMMYFUNCTION("""COMPUTED_VALUE"""),0.397590361445783)</f>
        <v>0.3975903614</v>
      </c>
      <c r="M226" s="8">
        <f>IFERROR(__xludf.DUMMYFUNCTION("""COMPUTED_VALUE"""),0.385542168674698)</f>
        <v>0.3855421687</v>
      </c>
      <c r="N226" s="8">
        <f>IFERROR(__xludf.DUMMYFUNCTION("""COMPUTED_VALUE"""),0.353658536585365)</f>
        <v>0.3536585366</v>
      </c>
      <c r="O226" s="8">
        <f>IFERROR(__xludf.DUMMYFUNCTION("""COMPUTED_VALUE"""),0.311688311688311)</f>
        <v>0.3116883117</v>
      </c>
      <c r="P226" s="8">
        <f>IFERROR(__xludf.DUMMYFUNCTION("""COMPUTED_VALUE"""),0.285714285714285)</f>
        <v>0.2857142857</v>
      </c>
      <c r="Q226" s="8">
        <f>IFERROR(__xludf.DUMMYFUNCTION("""COMPUTED_VALUE"""),0.0)</f>
        <v>0</v>
      </c>
      <c r="R226" s="8">
        <f>IFERROR(__xludf.DUMMYFUNCTION("""COMPUTED_VALUE"""),0.0)</f>
        <v>0</v>
      </c>
      <c r="S226" s="8">
        <f>IFERROR(__xludf.DUMMYFUNCTION("""COMPUTED_VALUE"""),0.0)</f>
        <v>0</v>
      </c>
      <c r="T226" s="8">
        <f>IFERROR(__xludf.DUMMYFUNCTION("""COMPUTED_VALUE"""),0.0)</f>
        <v>0</v>
      </c>
      <c r="U226" s="8">
        <f>IFERROR(__xludf.DUMMYFUNCTION("""COMPUTED_VALUE"""),0.0)</f>
        <v>0</v>
      </c>
      <c r="V226" s="8">
        <f>IFERROR(__xludf.DUMMYFUNCTION("""COMPUTED_VALUE"""),0.0)</f>
        <v>0</v>
      </c>
      <c r="W226" s="8">
        <f>IFERROR(__xludf.DUMMYFUNCTION("""COMPUTED_VALUE"""),0.0)</f>
        <v>0</v>
      </c>
      <c r="X226" s="8">
        <f>IFERROR(__xludf.DUMMYFUNCTION("""COMPUTED_VALUE"""),0.0)</f>
        <v>0</v>
      </c>
      <c r="Y226" s="8">
        <f>IFERROR(__xludf.DUMMYFUNCTION("""COMPUTED_VALUE"""),0.0)</f>
        <v>0</v>
      </c>
      <c r="Z226" s="8">
        <f>IFERROR(__xludf.DUMMYFUNCTION("""COMPUTED_VALUE"""),0.0)</f>
        <v>0</v>
      </c>
      <c r="AA226" s="8">
        <f>IFERROR(__xludf.DUMMYFUNCTION("""COMPUTED_VALUE"""),0.0)</f>
        <v>0</v>
      </c>
      <c r="AB226" s="8">
        <f>IFERROR(__xludf.DUMMYFUNCTION("""COMPUTED_VALUE"""),0.0)</f>
        <v>0</v>
      </c>
      <c r="AC226" s="8">
        <f>IFERROR(__xludf.DUMMYFUNCTION("""COMPUTED_VALUE"""),0.0)</f>
        <v>0</v>
      </c>
    </row>
    <row r="227" ht="15.75" customHeight="1">
      <c r="A227" s="6" t="str">
        <f>IFERROR(__xludf.DUMMYFUNCTION("""COMPUTED_VALUE"""),"cc5ecb3fc21c174557bddcfbc36d821c915d89ed")</f>
        <v>cc5ecb3fc21c174557bddcfbc36d821c915d89ed</v>
      </c>
      <c r="B227" s="6" t="str">
        <f>IFERROR(__xludf.DUMMYFUNCTION("""COMPUTED_VALUE"""),"My Lovely Intruder")</f>
        <v>My Lovely Intruder</v>
      </c>
      <c r="C227" s="6" t="str">
        <f>IFERROR(__xludf.DUMMYFUNCTION("""COMPUTED_VALUE"""),"Romantasy")</f>
        <v>Romantasy</v>
      </c>
      <c r="D227" s="11">
        <f>IFERROR(__xludf.DUMMYFUNCTION("""COMPUTED_VALUE"""),14.0)</f>
        <v>14</v>
      </c>
      <c r="E227" s="8">
        <f>IFERROR(__xludf.DUMMYFUNCTION("""COMPUTED_VALUE"""),1.0)</f>
        <v>1</v>
      </c>
      <c r="F227" s="8">
        <f>IFERROR(__xludf.DUMMYFUNCTION("""COMPUTED_VALUE"""),0.5)</f>
        <v>0.5</v>
      </c>
      <c r="G227" s="8">
        <f>IFERROR(__xludf.DUMMYFUNCTION("""COMPUTED_VALUE"""),0.357142857142857)</f>
        <v>0.3571428571</v>
      </c>
      <c r="H227" s="8">
        <f>IFERROR(__xludf.DUMMYFUNCTION("""COMPUTED_VALUE"""),0.214285714285714)</f>
        <v>0.2142857143</v>
      </c>
      <c r="I227" s="8">
        <f>IFERROR(__xludf.DUMMYFUNCTION("""COMPUTED_VALUE"""),0.153846153846153)</f>
        <v>0.1538461538</v>
      </c>
      <c r="J227" s="8">
        <f>IFERROR(__xludf.DUMMYFUNCTION("""COMPUTED_VALUE"""),0.166666666666666)</f>
        <v>0.1666666667</v>
      </c>
      <c r="K227" s="8">
        <f>IFERROR(__xludf.DUMMYFUNCTION("""COMPUTED_VALUE"""),0.0909090909090909)</f>
        <v>0.09090909091</v>
      </c>
      <c r="L227" s="8">
        <f>IFERROR(__xludf.DUMMYFUNCTION("""COMPUTED_VALUE"""),0.0909090909090909)</f>
        <v>0.09090909091</v>
      </c>
      <c r="M227" s="8">
        <f>IFERROR(__xludf.DUMMYFUNCTION("""COMPUTED_VALUE"""),0.1)</f>
        <v>0.1</v>
      </c>
      <c r="N227" s="8">
        <f>IFERROR(__xludf.DUMMYFUNCTION("""COMPUTED_VALUE"""),0.1)</f>
        <v>0.1</v>
      </c>
      <c r="O227" s="8">
        <f>IFERROR(__xludf.DUMMYFUNCTION("""COMPUTED_VALUE"""),0.125)</f>
        <v>0.125</v>
      </c>
      <c r="P227" s="8">
        <f>IFERROR(__xludf.DUMMYFUNCTION("""COMPUTED_VALUE"""),0.125)</f>
        <v>0.125</v>
      </c>
      <c r="Q227" s="8">
        <f>IFERROR(__xludf.DUMMYFUNCTION("""COMPUTED_VALUE"""),0.2)</f>
        <v>0.2</v>
      </c>
      <c r="R227" s="8">
        <f>IFERROR(__xludf.DUMMYFUNCTION("""COMPUTED_VALUE"""),0.0)</f>
        <v>0</v>
      </c>
      <c r="S227" s="8">
        <f>IFERROR(__xludf.DUMMYFUNCTION("""COMPUTED_VALUE"""),0.0)</f>
        <v>0</v>
      </c>
      <c r="T227" s="8">
        <f>IFERROR(__xludf.DUMMYFUNCTION("""COMPUTED_VALUE"""),0.0)</f>
        <v>0</v>
      </c>
      <c r="U227" s="8">
        <f>IFERROR(__xludf.DUMMYFUNCTION("""COMPUTED_VALUE"""),0.0)</f>
        <v>0</v>
      </c>
      <c r="V227" s="8">
        <f>IFERROR(__xludf.DUMMYFUNCTION("""COMPUTED_VALUE"""),0.0)</f>
        <v>0</v>
      </c>
      <c r="W227" s="8">
        <f>IFERROR(__xludf.DUMMYFUNCTION("""COMPUTED_VALUE"""),0.0)</f>
        <v>0</v>
      </c>
      <c r="X227" s="8">
        <f>IFERROR(__xludf.DUMMYFUNCTION("""COMPUTED_VALUE"""),0.0)</f>
        <v>0</v>
      </c>
      <c r="Y227" s="8">
        <f>IFERROR(__xludf.DUMMYFUNCTION("""COMPUTED_VALUE"""),0.0)</f>
        <v>0</v>
      </c>
      <c r="Z227" s="8">
        <f>IFERROR(__xludf.DUMMYFUNCTION("""COMPUTED_VALUE"""),0.0)</f>
        <v>0</v>
      </c>
      <c r="AA227" s="8">
        <f>IFERROR(__xludf.DUMMYFUNCTION("""COMPUTED_VALUE"""),0.0)</f>
        <v>0</v>
      </c>
      <c r="AB227" s="8">
        <f>IFERROR(__xludf.DUMMYFUNCTION("""COMPUTED_VALUE"""),0.0)</f>
        <v>0</v>
      </c>
      <c r="AC227" s="8">
        <f>IFERROR(__xludf.DUMMYFUNCTION("""COMPUTED_VALUE"""),0.0)</f>
        <v>0</v>
      </c>
    </row>
    <row r="228" ht="15.75" customHeight="1">
      <c r="A228" s="6" t="str">
        <f>IFERROR(__xludf.DUMMYFUNCTION("""COMPUTED_VALUE"""),"cce017649e6098a735e72b5dbfed27f3c95bad78")</f>
        <v>cce017649e6098a735e72b5dbfed27f3c95bad78</v>
      </c>
      <c r="B228" s="6" t="str">
        <f>IFERROR(__xludf.DUMMYFUNCTION("""COMPUTED_VALUE"""),"Between Love and Betrayal")</f>
        <v>Between Love and Betrayal</v>
      </c>
      <c r="C228" s="6" t="str">
        <f>IFERROR(__xludf.DUMMYFUNCTION("""COMPUTED_VALUE"""),"Romance")</f>
        <v>Romance</v>
      </c>
      <c r="D228" s="11">
        <f>IFERROR(__xludf.DUMMYFUNCTION("""COMPUTED_VALUE"""),63.0)</f>
        <v>63</v>
      </c>
      <c r="E228" s="8">
        <f>IFERROR(__xludf.DUMMYFUNCTION("""COMPUTED_VALUE"""),0.968253968253968)</f>
        <v>0.9682539683</v>
      </c>
      <c r="F228" s="8">
        <f>IFERROR(__xludf.DUMMYFUNCTION("""COMPUTED_VALUE"""),0.492063492063492)</f>
        <v>0.4920634921</v>
      </c>
      <c r="G228" s="8">
        <f>IFERROR(__xludf.DUMMYFUNCTION("""COMPUTED_VALUE"""),0.492063492063492)</f>
        <v>0.4920634921</v>
      </c>
      <c r="H228" s="8">
        <f>IFERROR(__xludf.DUMMYFUNCTION("""COMPUTED_VALUE"""),0.396825396825396)</f>
        <v>0.3968253968</v>
      </c>
      <c r="I228" s="8">
        <f>IFERROR(__xludf.DUMMYFUNCTION("""COMPUTED_VALUE"""),0.285714285714285)</f>
        <v>0.2857142857</v>
      </c>
      <c r="J228" s="8">
        <f>IFERROR(__xludf.DUMMYFUNCTION("""COMPUTED_VALUE"""),0.253968253968253)</f>
        <v>0.253968254</v>
      </c>
      <c r="K228" s="8">
        <f>IFERROR(__xludf.DUMMYFUNCTION("""COMPUTED_VALUE"""),0.253968253968253)</f>
        <v>0.253968254</v>
      </c>
      <c r="L228" s="8">
        <f>IFERROR(__xludf.DUMMYFUNCTION("""COMPUTED_VALUE"""),0.222222222222222)</f>
        <v>0.2222222222</v>
      </c>
      <c r="M228" s="8">
        <f>IFERROR(__xludf.DUMMYFUNCTION("""COMPUTED_VALUE"""),0.222222222222222)</f>
        <v>0.2222222222</v>
      </c>
      <c r="N228" s="8">
        <f>IFERROR(__xludf.DUMMYFUNCTION("""COMPUTED_VALUE"""),0.206349206349206)</f>
        <v>0.2063492063</v>
      </c>
      <c r="O228" s="8">
        <f>IFERROR(__xludf.DUMMYFUNCTION("""COMPUTED_VALUE"""),0.193548387096774)</f>
        <v>0.1935483871</v>
      </c>
      <c r="P228" s="8">
        <f>IFERROR(__xludf.DUMMYFUNCTION("""COMPUTED_VALUE"""),0.352941176470588)</f>
        <v>0.3529411765</v>
      </c>
      <c r="Q228" s="8">
        <f>IFERROR(__xludf.DUMMYFUNCTION("""COMPUTED_VALUE"""),0.333333333333333)</f>
        <v>0.3333333333</v>
      </c>
      <c r="R228" s="8">
        <f>IFERROR(__xludf.DUMMYFUNCTION("""COMPUTED_VALUE"""),0.2)</f>
        <v>0.2</v>
      </c>
      <c r="S228" s="8">
        <f>IFERROR(__xludf.DUMMYFUNCTION("""COMPUTED_VALUE"""),0.0)</f>
        <v>0</v>
      </c>
      <c r="T228" s="8">
        <f>IFERROR(__xludf.DUMMYFUNCTION("""COMPUTED_VALUE"""),0.0)</f>
        <v>0</v>
      </c>
      <c r="U228" s="8">
        <f>IFERROR(__xludf.DUMMYFUNCTION("""COMPUTED_VALUE"""),0.0)</f>
        <v>0</v>
      </c>
      <c r="V228" s="8">
        <f>IFERROR(__xludf.DUMMYFUNCTION("""COMPUTED_VALUE"""),0.0)</f>
        <v>0</v>
      </c>
      <c r="W228" s="8">
        <f>IFERROR(__xludf.DUMMYFUNCTION("""COMPUTED_VALUE"""),0.0)</f>
        <v>0</v>
      </c>
      <c r="X228" s="8">
        <f>IFERROR(__xludf.DUMMYFUNCTION("""COMPUTED_VALUE"""),0.0)</f>
        <v>0</v>
      </c>
      <c r="Y228" s="8">
        <f>IFERROR(__xludf.DUMMYFUNCTION("""COMPUTED_VALUE"""),0.0)</f>
        <v>0</v>
      </c>
      <c r="Z228" s="8">
        <f>IFERROR(__xludf.DUMMYFUNCTION("""COMPUTED_VALUE"""),0.0)</f>
        <v>0</v>
      </c>
      <c r="AA228" s="8">
        <f>IFERROR(__xludf.DUMMYFUNCTION("""COMPUTED_VALUE"""),0.0)</f>
        <v>0</v>
      </c>
      <c r="AB228" s="8">
        <f>IFERROR(__xludf.DUMMYFUNCTION("""COMPUTED_VALUE"""),0.0)</f>
        <v>0</v>
      </c>
      <c r="AC228" s="8">
        <f>IFERROR(__xludf.DUMMYFUNCTION("""COMPUTED_VALUE"""),0.0)</f>
        <v>0</v>
      </c>
    </row>
    <row r="229" ht="15.75" customHeight="1">
      <c r="A229" s="6" t="str">
        <f>IFERROR(__xludf.DUMMYFUNCTION("""COMPUTED_VALUE"""),"cdb3a84d505dbefdca86cae60d3db90f949368f1")</f>
        <v>cdb3a84d505dbefdca86cae60d3db90f949368f1</v>
      </c>
      <c r="B229" s="6" t="str">
        <f>IFERROR(__xludf.DUMMYFUNCTION("""COMPUTED_VALUE"""),"Amulet of the Gods")</f>
        <v>Amulet of the Gods</v>
      </c>
      <c r="C229" s="6" t="str">
        <f>IFERROR(__xludf.DUMMYFUNCTION("""COMPUTED_VALUE"""),"System and Superpower")</f>
        <v>System and Superpower</v>
      </c>
      <c r="D229" s="11">
        <f>IFERROR(__xludf.DUMMYFUNCTION("""COMPUTED_VALUE"""),9320.0)</f>
        <v>9320</v>
      </c>
      <c r="E229" s="8">
        <f>IFERROR(__xludf.DUMMYFUNCTION("""COMPUTED_VALUE"""),0.949141630901287)</f>
        <v>0.9491416309</v>
      </c>
      <c r="F229" s="8">
        <f>IFERROR(__xludf.DUMMYFUNCTION("""COMPUTED_VALUE"""),0.648712446351931)</f>
        <v>0.6487124464</v>
      </c>
      <c r="G229" s="8">
        <f>IFERROR(__xludf.DUMMYFUNCTION("""COMPUTED_VALUE"""),0.591523605150214)</f>
        <v>0.5915236052</v>
      </c>
      <c r="H229" s="8">
        <f>IFERROR(__xludf.DUMMYFUNCTION("""COMPUTED_VALUE"""),0.556378865979381)</f>
        <v>0.556378866</v>
      </c>
      <c r="I229" s="8">
        <f>IFERROR(__xludf.DUMMYFUNCTION("""COMPUTED_VALUE"""),0.532939279957012)</f>
        <v>0.53293928</v>
      </c>
      <c r="J229" s="8">
        <f>IFERROR(__xludf.DUMMYFUNCTION("""COMPUTED_VALUE"""),0.512221384731344)</f>
        <v>0.5122213847</v>
      </c>
      <c r="K229" s="8">
        <f>IFERROR(__xludf.DUMMYFUNCTION("""COMPUTED_VALUE"""),0.494933160845191)</f>
        <v>0.4949331608</v>
      </c>
      <c r="L229" s="8">
        <f>IFERROR(__xludf.DUMMYFUNCTION("""COMPUTED_VALUE"""),0.480565752537249)</f>
        <v>0.4805657525</v>
      </c>
      <c r="M229" s="8">
        <f>IFERROR(__xludf.DUMMYFUNCTION("""COMPUTED_VALUE"""),0.470276696930393)</f>
        <v>0.4702766969</v>
      </c>
      <c r="N229" s="8">
        <f>IFERROR(__xludf.DUMMYFUNCTION("""COMPUTED_VALUE"""),0.462886821034408)</f>
        <v>0.462886821</v>
      </c>
      <c r="O229" s="8">
        <f>IFERROR(__xludf.DUMMYFUNCTION("""COMPUTED_VALUE"""),0.44270493585562)</f>
        <v>0.4427049359</v>
      </c>
      <c r="P229" s="8">
        <f>IFERROR(__xludf.DUMMYFUNCTION("""COMPUTED_VALUE"""),0.396896514042181)</f>
        <v>0.396896514</v>
      </c>
      <c r="Q229" s="8">
        <f>IFERROR(__xludf.DUMMYFUNCTION("""COMPUTED_VALUE"""),0.293442260984764)</f>
        <v>0.293442261</v>
      </c>
      <c r="R229" s="8">
        <f>IFERROR(__xludf.DUMMYFUNCTION("""COMPUTED_VALUE"""),0.22737528202557)</f>
        <v>0.227375282</v>
      </c>
      <c r="S229" s="8">
        <f>IFERROR(__xludf.DUMMYFUNCTION("""COMPUTED_VALUE"""),0.167589261001937)</f>
        <v>0.167589261</v>
      </c>
      <c r="T229" s="8">
        <f>IFERROR(__xludf.DUMMYFUNCTION("""COMPUTED_VALUE"""),0.140614216701173)</f>
        <v>0.1406142167</v>
      </c>
      <c r="U229" s="8">
        <f>IFERROR(__xludf.DUMMYFUNCTION("""COMPUTED_VALUE"""),0.108549222797927)</f>
        <v>0.1085492228</v>
      </c>
      <c r="V229" s="8">
        <f>IFERROR(__xludf.DUMMYFUNCTION("""COMPUTED_VALUE"""),0.0613451589061345)</f>
        <v>0.06134515891</v>
      </c>
      <c r="W229" s="8">
        <f>IFERROR(__xludf.DUMMYFUNCTION("""COMPUTED_VALUE"""),0.0571428571428571)</f>
        <v>0.05714285714</v>
      </c>
      <c r="X229" s="8">
        <f>IFERROR(__xludf.DUMMYFUNCTION("""COMPUTED_VALUE"""),0.0368188512518409)</f>
        <v>0.03681885125</v>
      </c>
      <c r="Y229" s="8">
        <f>IFERROR(__xludf.DUMMYFUNCTION("""COMPUTED_VALUE"""),0.0)</f>
        <v>0</v>
      </c>
      <c r="Z229" s="8">
        <f>IFERROR(__xludf.DUMMYFUNCTION("""COMPUTED_VALUE"""),0.0)</f>
        <v>0</v>
      </c>
      <c r="AA229" s="8">
        <f>IFERROR(__xludf.DUMMYFUNCTION("""COMPUTED_VALUE"""),0.0)</f>
        <v>0</v>
      </c>
      <c r="AB229" s="8">
        <f>IFERROR(__xludf.DUMMYFUNCTION("""COMPUTED_VALUE"""),0.0)</f>
        <v>0</v>
      </c>
      <c r="AC229" s="8">
        <f>IFERROR(__xludf.DUMMYFUNCTION("""COMPUTED_VALUE"""),0.0)</f>
        <v>0</v>
      </c>
    </row>
    <row r="230" ht="15.75" customHeight="1">
      <c r="A230" s="6" t="str">
        <f>IFERROR(__xludf.DUMMYFUNCTION("""COMPUTED_VALUE"""),"cec33b3e9f3607e7d8ae32858f0e715a91e937c4")</f>
        <v>cec33b3e9f3607e7d8ae32858f0e715a91e937c4</v>
      </c>
      <c r="B230" s="6" t="str">
        <f>IFERROR(__xludf.DUMMYFUNCTION("""COMPUTED_VALUE"""),"From Squalor to Moneybag")</f>
        <v>From Squalor to Moneybag</v>
      </c>
      <c r="C230" s="6" t="str">
        <f>IFERROR(__xludf.DUMMYFUNCTION("""COMPUTED_VALUE"""),"Drama")</f>
        <v>Drama</v>
      </c>
      <c r="D230" s="11">
        <f>IFERROR(__xludf.DUMMYFUNCTION("""COMPUTED_VALUE"""),466.0)</f>
        <v>466</v>
      </c>
      <c r="E230" s="8">
        <f>IFERROR(__xludf.DUMMYFUNCTION("""COMPUTED_VALUE"""),0.957081545064377)</f>
        <v>0.9570815451</v>
      </c>
      <c r="F230" s="8">
        <f>IFERROR(__xludf.DUMMYFUNCTION("""COMPUTED_VALUE"""),0.680257510729613)</f>
        <v>0.6802575107</v>
      </c>
      <c r="G230" s="8">
        <f>IFERROR(__xludf.DUMMYFUNCTION("""COMPUTED_VALUE"""),0.699570815450643)</f>
        <v>0.6995708155</v>
      </c>
      <c r="H230" s="8">
        <f>IFERROR(__xludf.DUMMYFUNCTION("""COMPUTED_VALUE"""),0.676744186046511)</f>
        <v>0.676744186</v>
      </c>
      <c r="I230" s="8">
        <f>IFERROR(__xludf.DUMMYFUNCTION("""COMPUTED_VALUE"""),0.592417061611374)</f>
        <v>0.5924170616</v>
      </c>
      <c r="J230" s="8">
        <f>IFERROR(__xludf.DUMMYFUNCTION("""COMPUTED_VALUE"""),0.483870967741935)</f>
        <v>0.4838709677</v>
      </c>
      <c r="K230" s="8">
        <f>IFERROR(__xludf.DUMMYFUNCTION("""COMPUTED_VALUE"""),0.419191919191919)</f>
        <v>0.4191919192</v>
      </c>
      <c r="L230" s="8">
        <f>IFERROR(__xludf.DUMMYFUNCTION("""COMPUTED_VALUE"""),0.37465564738292)</f>
        <v>0.3746556474</v>
      </c>
      <c r="M230" s="8">
        <f>IFERROR(__xludf.DUMMYFUNCTION("""COMPUTED_VALUE"""),0.355345911949685)</f>
        <v>0.3553459119</v>
      </c>
      <c r="N230" s="8">
        <f>IFERROR(__xludf.DUMMYFUNCTION("""COMPUTED_VALUE"""),0.349264705882352)</f>
        <v>0.3492647059</v>
      </c>
      <c r="O230" s="8">
        <f>IFERROR(__xludf.DUMMYFUNCTION("""COMPUTED_VALUE"""),0.226190476190476)</f>
        <v>0.2261904762</v>
      </c>
      <c r="P230" s="8">
        <f>IFERROR(__xludf.DUMMYFUNCTION("""COMPUTED_VALUE"""),0.132)</f>
        <v>0.132</v>
      </c>
      <c r="Q230" s="8">
        <f>IFERROR(__xludf.DUMMYFUNCTION("""COMPUTED_VALUE"""),0.0489795918367346)</f>
        <v>0.04897959184</v>
      </c>
      <c r="R230" s="8">
        <f>IFERROR(__xludf.DUMMYFUNCTION("""COMPUTED_VALUE"""),0.0330578512396694)</f>
        <v>0.03305785124</v>
      </c>
      <c r="S230" s="8">
        <f>IFERROR(__xludf.DUMMYFUNCTION("""COMPUTED_VALUE"""),0.0)</f>
        <v>0</v>
      </c>
      <c r="T230" s="8">
        <f>IFERROR(__xludf.DUMMYFUNCTION("""COMPUTED_VALUE"""),0.0)</f>
        <v>0</v>
      </c>
      <c r="U230" s="8">
        <f>IFERROR(__xludf.DUMMYFUNCTION("""COMPUTED_VALUE"""),0.0)</f>
        <v>0</v>
      </c>
      <c r="V230" s="8">
        <f>IFERROR(__xludf.DUMMYFUNCTION("""COMPUTED_VALUE"""),0.0)</f>
        <v>0</v>
      </c>
      <c r="W230" s="8">
        <f>IFERROR(__xludf.DUMMYFUNCTION("""COMPUTED_VALUE"""),0.0)</f>
        <v>0</v>
      </c>
      <c r="X230" s="8">
        <f>IFERROR(__xludf.DUMMYFUNCTION("""COMPUTED_VALUE"""),0.0)</f>
        <v>0</v>
      </c>
      <c r="Y230" s="8">
        <f>IFERROR(__xludf.DUMMYFUNCTION("""COMPUTED_VALUE"""),0.0)</f>
        <v>0</v>
      </c>
      <c r="Z230" s="8">
        <f>IFERROR(__xludf.DUMMYFUNCTION("""COMPUTED_VALUE"""),0.0)</f>
        <v>0</v>
      </c>
      <c r="AA230" s="8">
        <f>IFERROR(__xludf.DUMMYFUNCTION("""COMPUTED_VALUE"""),0.0)</f>
        <v>0</v>
      </c>
      <c r="AB230" s="8">
        <f>IFERROR(__xludf.DUMMYFUNCTION("""COMPUTED_VALUE"""),0.0)</f>
        <v>0</v>
      </c>
      <c r="AC230" s="8">
        <f>IFERROR(__xludf.DUMMYFUNCTION("""COMPUTED_VALUE"""),0.0)</f>
        <v>0</v>
      </c>
    </row>
    <row r="231" ht="15.75" customHeight="1">
      <c r="A231" s="6" t="str">
        <f>IFERROR(__xludf.DUMMYFUNCTION("""COMPUTED_VALUE"""),"d2aaef61d998c9f90c2df15eafe1acd784549269")</f>
        <v>d2aaef61d998c9f90c2df15eafe1acd784549269</v>
      </c>
      <c r="B231" s="6" t="str">
        <f>IFERROR(__xludf.DUMMYFUNCTION("""COMPUTED_VALUE"""),"Alpha Braxton")</f>
        <v>Alpha Braxton</v>
      </c>
      <c r="C231" s="6" t="str">
        <f>IFERROR(__xludf.DUMMYFUNCTION("""COMPUTED_VALUE"""),"Romantasy")</f>
        <v>Romantasy</v>
      </c>
      <c r="D231" s="11">
        <f>IFERROR(__xludf.DUMMYFUNCTION("""COMPUTED_VALUE"""),358.0)</f>
        <v>358</v>
      </c>
      <c r="E231" s="8">
        <f>IFERROR(__xludf.DUMMYFUNCTION("""COMPUTED_VALUE"""),0.960893854748603)</f>
        <v>0.9608938547</v>
      </c>
      <c r="F231" s="8">
        <f>IFERROR(__xludf.DUMMYFUNCTION("""COMPUTED_VALUE"""),0.59217877094972)</f>
        <v>0.5921787709</v>
      </c>
      <c r="G231" s="8">
        <f>IFERROR(__xludf.DUMMYFUNCTION("""COMPUTED_VALUE"""),0.541899441340782)</f>
        <v>0.5418994413</v>
      </c>
      <c r="H231" s="8">
        <f>IFERROR(__xludf.DUMMYFUNCTION("""COMPUTED_VALUE"""),0.491620111731843)</f>
        <v>0.4916201117</v>
      </c>
      <c r="I231" s="8">
        <f>IFERROR(__xludf.DUMMYFUNCTION("""COMPUTED_VALUE"""),0.460893854748603)</f>
        <v>0.4608938547</v>
      </c>
      <c r="J231" s="8">
        <f>IFERROR(__xludf.DUMMYFUNCTION("""COMPUTED_VALUE"""),0.432960893854748)</f>
        <v>0.4329608939</v>
      </c>
      <c r="K231" s="8">
        <f>IFERROR(__xludf.DUMMYFUNCTION("""COMPUTED_VALUE"""),0.427374301675977)</f>
        <v>0.4273743017</v>
      </c>
      <c r="L231" s="8">
        <f>IFERROR(__xludf.DUMMYFUNCTION("""COMPUTED_VALUE"""),0.410614525139664)</f>
        <v>0.4106145251</v>
      </c>
      <c r="M231" s="8">
        <f>IFERROR(__xludf.DUMMYFUNCTION("""COMPUTED_VALUE"""),0.402234636871508)</f>
        <v>0.4022346369</v>
      </c>
      <c r="N231" s="8">
        <f>IFERROR(__xludf.DUMMYFUNCTION("""COMPUTED_VALUE"""),0.402234636871508)</f>
        <v>0.4022346369</v>
      </c>
      <c r="O231" s="8">
        <f>IFERROR(__xludf.DUMMYFUNCTION("""COMPUTED_VALUE"""),0.347338935574229)</f>
        <v>0.3473389356</v>
      </c>
      <c r="P231" s="8">
        <f>IFERROR(__xludf.DUMMYFUNCTION("""COMPUTED_VALUE"""),0.341176470588235)</f>
        <v>0.3411764706</v>
      </c>
      <c r="Q231" s="8">
        <f>IFERROR(__xludf.DUMMYFUNCTION("""COMPUTED_VALUE"""),0.222222222222222)</f>
        <v>0.2222222222</v>
      </c>
      <c r="R231" s="8">
        <f>IFERROR(__xludf.DUMMYFUNCTION("""COMPUTED_VALUE"""),0.142857142857142)</f>
        <v>0.1428571429</v>
      </c>
      <c r="S231" s="8">
        <f>IFERROR(__xludf.DUMMYFUNCTION("""COMPUTED_VALUE"""),0.0)</f>
        <v>0</v>
      </c>
      <c r="T231" s="8">
        <f>IFERROR(__xludf.DUMMYFUNCTION("""COMPUTED_VALUE"""),0.0)</f>
        <v>0</v>
      </c>
      <c r="U231" s="8">
        <f>IFERROR(__xludf.DUMMYFUNCTION("""COMPUTED_VALUE"""),0.0)</f>
        <v>0</v>
      </c>
      <c r="V231" s="8">
        <f>IFERROR(__xludf.DUMMYFUNCTION("""COMPUTED_VALUE"""),0.0)</f>
        <v>0</v>
      </c>
      <c r="W231" s="8">
        <f>IFERROR(__xludf.DUMMYFUNCTION("""COMPUTED_VALUE"""),0.0)</f>
        <v>0</v>
      </c>
      <c r="X231" s="8">
        <f>IFERROR(__xludf.DUMMYFUNCTION("""COMPUTED_VALUE"""),0.0)</f>
        <v>0</v>
      </c>
      <c r="Y231" s="8">
        <f>IFERROR(__xludf.DUMMYFUNCTION("""COMPUTED_VALUE"""),0.0)</f>
        <v>0</v>
      </c>
      <c r="Z231" s="8">
        <f>IFERROR(__xludf.DUMMYFUNCTION("""COMPUTED_VALUE"""),0.0)</f>
        <v>0</v>
      </c>
      <c r="AA231" s="8">
        <f>IFERROR(__xludf.DUMMYFUNCTION("""COMPUTED_VALUE"""),0.0)</f>
        <v>0</v>
      </c>
      <c r="AB231" s="8">
        <f>IFERROR(__xludf.DUMMYFUNCTION("""COMPUTED_VALUE"""),0.0)</f>
        <v>0</v>
      </c>
      <c r="AC231" s="8">
        <f>IFERROR(__xludf.DUMMYFUNCTION("""COMPUTED_VALUE"""),0.0)</f>
        <v>0</v>
      </c>
    </row>
    <row r="232" ht="15.75" customHeight="1">
      <c r="A232" s="6" t="str">
        <f>IFERROR(__xludf.DUMMYFUNCTION("""COMPUTED_VALUE"""),"d3866fc3c89b4f6e7425ea92decf796ef97098db")</f>
        <v>d3866fc3c89b4f6e7425ea92decf796ef97098db</v>
      </c>
      <c r="B232" s="6" t="str">
        <f>IFERROR(__xludf.DUMMYFUNCTION("""COMPUTED_VALUE"""),"The Billionaire's Twins")</f>
        <v>The Billionaire's Twins</v>
      </c>
      <c r="C232" s="6" t="str">
        <f>IFERROR(__xludf.DUMMYFUNCTION("""COMPUTED_VALUE"""),"Romance")</f>
        <v>Romance</v>
      </c>
      <c r="D232" s="11">
        <f>IFERROR(__xludf.DUMMYFUNCTION("""COMPUTED_VALUE"""),65.0)</f>
        <v>65</v>
      </c>
      <c r="E232" s="8">
        <f>IFERROR(__xludf.DUMMYFUNCTION("""COMPUTED_VALUE"""),0.969230769230769)</f>
        <v>0.9692307692</v>
      </c>
      <c r="F232" s="8">
        <f>IFERROR(__xludf.DUMMYFUNCTION("""COMPUTED_VALUE"""),0.753846153846153)</f>
        <v>0.7538461538</v>
      </c>
      <c r="G232" s="8">
        <f>IFERROR(__xludf.DUMMYFUNCTION("""COMPUTED_VALUE"""),0.723076923076923)</f>
        <v>0.7230769231</v>
      </c>
      <c r="H232" s="8">
        <f>IFERROR(__xludf.DUMMYFUNCTION("""COMPUTED_VALUE"""),0.725806451612903)</f>
        <v>0.7258064516</v>
      </c>
      <c r="I232" s="8">
        <f>IFERROR(__xludf.DUMMYFUNCTION("""COMPUTED_VALUE"""),0.688524590163934)</f>
        <v>0.6885245902</v>
      </c>
      <c r="J232" s="8">
        <f>IFERROR(__xludf.DUMMYFUNCTION("""COMPUTED_VALUE"""),0.706896551724137)</f>
        <v>0.7068965517</v>
      </c>
      <c r="K232" s="8">
        <f>IFERROR(__xludf.DUMMYFUNCTION("""COMPUTED_VALUE"""),0.637931034482758)</f>
        <v>0.6379310345</v>
      </c>
      <c r="L232" s="8">
        <f>IFERROR(__xludf.DUMMYFUNCTION("""COMPUTED_VALUE"""),0.629629629629629)</f>
        <v>0.6296296296</v>
      </c>
      <c r="M232" s="8">
        <f>IFERROR(__xludf.DUMMYFUNCTION("""COMPUTED_VALUE"""),0.583333333333333)</f>
        <v>0.5833333333</v>
      </c>
      <c r="N232" s="8">
        <f>IFERROR(__xludf.DUMMYFUNCTION("""COMPUTED_VALUE"""),0.46875)</f>
        <v>0.46875</v>
      </c>
      <c r="O232" s="8">
        <f>IFERROR(__xludf.DUMMYFUNCTION("""COMPUTED_VALUE"""),0.4375)</f>
        <v>0.4375</v>
      </c>
      <c r="P232" s="8">
        <f>IFERROR(__xludf.DUMMYFUNCTION("""COMPUTED_VALUE"""),0.357142857142857)</f>
        <v>0.3571428571</v>
      </c>
      <c r="Q232" s="8">
        <f>IFERROR(__xludf.DUMMYFUNCTION("""COMPUTED_VALUE"""),0.222222222222222)</f>
        <v>0.2222222222</v>
      </c>
      <c r="R232" s="8">
        <f>IFERROR(__xludf.DUMMYFUNCTION("""COMPUTED_VALUE"""),0.2)</f>
        <v>0.2</v>
      </c>
      <c r="S232" s="8">
        <f>IFERROR(__xludf.DUMMYFUNCTION("""COMPUTED_VALUE"""),0.0)</f>
        <v>0</v>
      </c>
      <c r="T232" s="8">
        <f>IFERROR(__xludf.DUMMYFUNCTION("""COMPUTED_VALUE"""),0.0)</f>
        <v>0</v>
      </c>
      <c r="U232" s="8">
        <f>IFERROR(__xludf.DUMMYFUNCTION("""COMPUTED_VALUE"""),0.0)</f>
        <v>0</v>
      </c>
      <c r="V232" s="8">
        <f>IFERROR(__xludf.DUMMYFUNCTION("""COMPUTED_VALUE"""),0.0)</f>
        <v>0</v>
      </c>
      <c r="W232" s="8">
        <f>IFERROR(__xludf.DUMMYFUNCTION("""COMPUTED_VALUE"""),0.0)</f>
        <v>0</v>
      </c>
      <c r="X232" s="8">
        <f>IFERROR(__xludf.DUMMYFUNCTION("""COMPUTED_VALUE"""),0.0)</f>
        <v>0</v>
      </c>
      <c r="Y232" s="8">
        <f>IFERROR(__xludf.DUMMYFUNCTION("""COMPUTED_VALUE"""),0.0)</f>
        <v>0</v>
      </c>
      <c r="Z232" s="8">
        <f>IFERROR(__xludf.DUMMYFUNCTION("""COMPUTED_VALUE"""),0.0)</f>
        <v>0</v>
      </c>
      <c r="AA232" s="8">
        <f>IFERROR(__xludf.DUMMYFUNCTION("""COMPUTED_VALUE"""),0.0)</f>
        <v>0</v>
      </c>
      <c r="AB232" s="8">
        <f>IFERROR(__xludf.DUMMYFUNCTION("""COMPUTED_VALUE"""),0.0)</f>
        <v>0</v>
      </c>
      <c r="AC232" s="8">
        <f>IFERROR(__xludf.DUMMYFUNCTION("""COMPUTED_VALUE"""),0.0)</f>
        <v>0</v>
      </c>
    </row>
    <row r="233" ht="15.75" customHeight="1">
      <c r="A233" s="6" t="str">
        <f>IFERROR(__xludf.DUMMYFUNCTION("""COMPUTED_VALUE"""),"d419897471d8bc8312abf495d27412e669ccf6d0")</f>
        <v>d419897471d8bc8312abf495d27412e669ccf6d0</v>
      </c>
      <c r="B233" s="6" t="str">
        <f>IFERROR(__xludf.DUMMYFUNCTION("""COMPUTED_VALUE"""),"His Borrowed Wife")</f>
        <v>His Borrowed Wife</v>
      </c>
      <c r="C233" s="6" t="str">
        <f>IFERROR(__xludf.DUMMYFUNCTION("""COMPUTED_VALUE"""),"Romance")</f>
        <v>Romance</v>
      </c>
      <c r="D233" s="11">
        <f>IFERROR(__xludf.DUMMYFUNCTION("""COMPUTED_VALUE"""),270.0)</f>
        <v>270</v>
      </c>
      <c r="E233" s="8">
        <f>IFERROR(__xludf.DUMMYFUNCTION("""COMPUTED_VALUE"""),0.981481481481481)</f>
        <v>0.9814814815</v>
      </c>
      <c r="F233" s="8">
        <f>IFERROR(__xludf.DUMMYFUNCTION("""COMPUTED_VALUE"""),0.503703703703703)</f>
        <v>0.5037037037</v>
      </c>
      <c r="G233" s="8">
        <f>IFERROR(__xludf.DUMMYFUNCTION("""COMPUTED_VALUE"""),0.448148148148148)</f>
        <v>0.4481481481</v>
      </c>
      <c r="H233" s="8">
        <f>IFERROR(__xludf.DUMMYFUNCTION("""COMPUTED_VALUE"""),0.413533834586466)</f>
        <v>0.4135338346</v>
      </c>
      <c r="I233" s="8">
        <f>IFERROR(__xludf.DUMMYFUNCTION("""COMPUTED_VALUE"""),0.382575757575757)</f>
        <v>0.3825757576</v>
      </c>
      <c r="J233" s="8">
        <f>IFERROR(__xludf.DUMMYFUNCTION("""COMPUTED_VALUE"""),0.378787878787878)</f>
        <v>0.3787878788</v>
      </c>
      <c r="K233" s="8">
        <f>IFERROR(__xludf.DUMMYFUNCTION("""COMPUTED_VALUE"""),0.358778625954198)</f>
        <v>0.358778626</v>
      </c>
      <c r="L233" s="8">
        <f>IFERROR(__xludf.DUMMYFUNCTION("""COMPUTED_VALUE"""),0.343629343629343)</f>
        <v>0.3436293436</v>
      </c>
      <c r="M233" s="8">
        <f>IFERROR(__xludf.DUMMYFUNCTION("""COMPUTED_VALUE"""),0.333333333333333)</f>
        <v>0.3333333333</v>
      </c>
      <c r="N233" s="8">
        <f>IFERROR(__xludf.DUMMYFUNCTION("""COMPUTED_VALUE"""),0.329411764705882)</f>
        <v>0.3294117647</v>
      </c>
      <c r="O233" s="8">
        <f>IFERROR(__xludf.DUMMYFUNCTION("""COMPUTED_VALUE"""),0.337448559670781)</f>
        <v>0.3374485597</v>
      </c>
      <c r="P233" s="8">
        <f>IFERROR(__xludf.DUMMYFUNCTION("""COMPUTED_VALUE"""),0.318435754189944)</f>
        <v>0.3184357542</v>
      </c>
      <c r="Q233" s="8">
        <f>IFERROR(__xludf.DUMMYFUNCTION("""COMPUTED_VALUE"""),0.333333333333333)</f>
        <v>0.3333333333</v>
      </c>
      <c r="R233" s="8">
        <f>IFERROR(__xludf.DUMMYFUNCTION("""COMPUTED_VALUE"""),0.0)</f>
        <v>0</v>
      </c>
      <c r="S233" s="8">
        <f>IFERROR(__xludf.DUMMYFUNCTION("""COMPUTED_VALUE"""),0.0)</f>
        <v>0</v>
      </c>
      <c r="T233" s="8">
        <f>IFERROR(__xludf.DUMMYFUNCTION("""COMPUTED_VALUE"""),0.0)</f>
        <v>0</v>
      </c>
      <c r="U233" s="8">
        <f>IFERROR(__xludf.DUMMYFUNCTION("""COMPUTED_VALUE"""),0.0)</f>
        <v>0</v>
      </c>
      <c r="V233" s="8">
        <f>IFERROR(__xludf.DUMMYFUNCTION("""COMPUTED_VALUE"""),0.0)</f>
        <v>0</v>
      </c>
      <c r="W233" s="8">
        <f>IFERROR(__xludf.DUMMYFUNCTION("""COMPUTED_VALUE"""),0.0)</f>
        <v>0</v>
      </c>
      <c r="X233" s="8">
        <f>IFERROR(__xludf.DUMMYFUNCTION("""COMPUTED_VALUE"""),0.0)</f>
        <v>0</v>
      </c>
      <c r="Y233" s="8">
        <f>IFERROR(__xludf.DUMMYFUNCTION("""COMPUTED_VALUE"""),0.0)</f>
        <v>0</v>
      </c>
      <c r="Z233" s="8">
        <f>IFERROR(__xludf.DUMMYFUNCTION("""COMPUTED_VALUE"""),0.0)</f>
        <v>0</v>
      </c>
      <c r="AA233" s="8">
        <f>IFERROR(__xludf.DUMMYFUNCTION("""COMPUTED_VALUE"""),0.0)</f>
        <v>0</v>
      </c>
      <c r="AB233" s="8">
        <f>IFERROR(__xludf.DUMMYFUNCTION("""COMPUTED_VALUE"""),0.0)</f>
        <v>0</v>
      </c>
      <c r="AC233" s="8">
        <f>IFERROR(__xludf.DUMMYFUNCTION("""COMPUTED_VALUE"""),0.0)</f>
        <v>0</v>
      </c>
    </row>
    <row r="234" ht="15.75" customHeight="1">
      <c r="A234" s="6" t="str">
        <f>IFERROR(__xludf.DUMMYFUNCTION("""COMPUTED_VALUE"""),"d4bf13e8bbfcd2fa5b75aa042e47479d3a06188b")</f>
        <v>d4bf13e8bbfcd2fa5b75aa042e47479d3a06188b</v>
      </c>
      <c r="B234" s="6" t="str">
        <f>IFERROR(__xludf.DUMMYFUNCTION("""COMPUTED_VALUE"""),"Undead Tamer's Necro Pets")</f>
        <v>Undead Tamer's Necro Pets</v>
      </c>
      <c r="C234" s="6" t="str">
        <f>IFERROR(__xludf.DUMMYFUNCTION("""COMPUTED_VALUE"""),"Fantasy")</f>
        <v>Fantasy</v>
      </c>
      <c r="D234" s="11">
        <f>IFERROR(__xludf.DUMMYFUNCTION("""COMPUTED_VALUE"""),1029.0)</f>
        <v>1029</v>
      </c>
      <c r="E234" s="8">
        <f>IFERROR(__xludf.DUMMYFUNCTION("""COMPUTED_VALUE"""),0.988338192419825)</f>
        <v>0.9883381924</v>
      </c>
      <c r="F234" s="8">
        <f>IFERROR(__xludf.DUMMYFUNCTION("""COMPUTED_VALUE"""),0.546161321671525)</f>
        <v>0.5461613217</v>
      </c>
      <c r="G234" s="8">
        <f>IFERROR(__xludf.DUMMYFUNCTION("""COMPUTED_VALUE"""),0.449951409135082)</f>
        <v>0.4499514091</v>
      </c>
      <c r="H234" s="8">
        <f>IFERROR(__xludf.DUMMYFUNCTION("""COMPUTED_VALUE"""),0.397473275024295)</f>
        <v>0.397473275</v>
      </c>
      <c r="I234" s="8">
        <f>IFERROR(__xludf.DUMMYFUNCTION("""COMPUTED_VALUE"""),0.386186770428015)</f>
        <v>0.3861867704</v>
      </c>
      <c r="J234" s="8">
        <f>IFERROR(__xludf.DUMMYFUNCTION("""COMPUTED_VALUE"""),0.36222005842259)</f>
        <v>0.3622200584</v>
      </c>
      <c r="K234" s="8">
        <f>IFERROR(__xludf.DUMMYFUNCTION("""COMPUTED_VALUE"""),0.344054580896686)</f>
        <v>0.3440545809</v>
      </c>
      <c r="L234" s="8">
        <f>IFERROR(__xludf.DUMMYFUNCTION("""COMPUTED_VALUE"""),0.327093596059113)</f>
        <v>0.3270935961</v>
      </c>
      <c r="M234" s="8">
        <f>IFERROR(__xludf.DUMMYFUNCTION("""COMPUTED_VALUE"""),0.311507936507936)</f>
        <v>0.3115079365</v>
      </c>
      <c r="N234" s="8">
        <f>IFERROR(__xludf.DUMMYFUNCTION("""COMPUTED_VALUE"""),0.300403225806451)</f>
        <v>0.3004032258</v>
      </c>
      <c r="O234" s="8">
        <f>IFERROR(__xludf.DUMMYFUNCTION("""COMPUTED_VALUE"""),0.279680365296803)</f>
        <v>0.2796803653</v>
      </c>
      <c r="P234" s="8">
        <f>IFERROR(__xludf.DUMMYFUNCTION("""COMPUTED_VALUE"""),0.25)</f>
        <v>0.25</v>
      </c>
      <c r="Q234" s="8">
        <f>IFERROR(__xludf.DUMMYFUNCTION("""COMPUTED_VALUE"""),0.0)</f>
        <v>0</v>
      </c>
      <c r="R234" s="8">
        <f>IFERROR(__xludf.DUMMYFUNCTION("""COMPUTED_VALUE"""),0.0)</f>
        <v>0</v>
      </c>
      <c r="S234" s="8">
        <f>IFERROR(__xludf.DUMMYFUNCTION("""COMPUTED_VALUE"""),0.0)</f>
        <v>0</v>
      </c>
      <c r="T234" s="8">
        <f>IFERROR(__xludf.DUMMYFUNCTION("""COMPUTED_VALUE"""),0.0)</f>
        <v>0</v>
      </c>
      <c r="U234" s="8">
        <f>IFERROR(__xludf.DUMMYFUNCTION("""COMPUTED_VALUE"""),0.0)</f>
        <v>0</v>
      </c>
      <c r="V234" s="8">
        <f>IFERROR(__xludf.DUMMYFUNCTION("""COMPUTED_VALUE"""),0.0)</f>
        <v>0</v>
      </c>
      <c r="W234" s="8">
        <f>IFERROR(__xludf.DUMMYFUNCTION("""COMPUTED_VALUE"""),0.0)</f>
        <v>0</v>
      </c>
      <c r="X234" s="8">
        <f>IFERROR(__xludf.DUMMYFUNCTION("""COMPUTED_VALUE"""),0.0)</f>
        <v>0</v>
      </c>
      <c r="Y234" s="8">
        <f>IFERROR(__xludf.DUMMYFUNCTION("""COMPUTED_VALUE"""),0.0)</f>
        <v>0</v>
      </c>
      <c r="Z234" s="8">
        <f>IFERROR(__xludf.DUMMYFUNCTION("""COMPUTED_VALUE"""),0.0)</f>
        <v>0</v>
      </c>
      <c r="AA234" s="8">
        <f>IFERROR(__xludf.DUMMYFUNCTION("""COMPUTED_VALUE"""),0.0)</f>
        <v>0</v>
      </c>
      <c r="AB234" s="8">
        <f>IFERROR(__xludf.DUMMYFUNCTION("""COMPUTED_VALUE"""),0.0)</f>
        <v>0</v>
      </c>
      <c r="AC234" s="8">
        <f>IFERROR(__xludf.DUMMYFUNCTION("""COMPUTED_VALUE"""),0.0)</f>
        <v>0</v>
      </c>
    </row>
    <row r="235" ht="15.75" customHeight="1">
      <c r="A235" s="6" t="str">
        <f>IFERROR(__xludf.DUMMYFUNCTION("""COMPUTED_VALUE"""),"d687598bacfd959af85400d722a39d5e62aad513")</f>
        <v>d687598bacfd959af85400d722a39d5e62aad513</v>
      </c>
      <c r="B235" s="6" t="str">
        <f>IFERROR(__xludf.DUMMYFUNCTION("""COMPUTED_VALUE"""),"Unexpectedly Mine")</f>
        <v>Unexpectedly Mine</v>
      </c>
      <c r="C235" s="6" t="str">
        <f>IFERROR(__xludf.DUMMYFUNCTION("""COMPUTED_VALUE"""),"Romance")</f>
        <v>Romance</v>
      </c>
      <c r="D235" s="11">
        <f>IFERROR(__xludf.DUMMYFUNCTION("""COMPUTED_VALUE"""),1251.0)</f>
        <v>1251</v>
      </c>
      <c r="E235" s="8">
        <f>IFERROR(__xludf.DUMMYFUNCTION("""COMPUTED_VALUE"""),0.947242206235012)</f>
        <v>0.9472422062</v>
      </c>
      <c r="F235" s="8">
        <f>IFERROR(__xludf.DUMMYFUNCTION("""COMPUTED_VALUE"""),0.597921662669864)</f>
        <v>0.5979216627</v>
      </c>
      <c r="G235" s="8">
        <f>IFERROR(__xludf.DUMMYFUNCTION("""COMPUTED_VALUE"""),0.534772182254196)</f>
        <v>0.5347721823</v>
      </c>
      <c r="H235" s="8">
        <f>IFERROR(__xludf.DUMMYFUNCTION("""COMPUTED_VALUE"""),0.5184)</f>
        <v>0.5184</v>
      </c>
      <c r="I235" s="8">
        <f>IFERROR(__xludf.DUMMYFUNCTION("""COMPUTED_VALUE"""),0.502802241793434)</f>
        <v>0.5028022418</v>
      </c>
      <c r="J235" s="8">
        <f>IFERROR(__xludf.DUMMYFUNCTION("""COMPUTED_VALUE"""),0.488782051282051)</f>
        <v>0.4887820513</v>
      </c>
      <c r="K235" s="8">
        <f>IFERROR(__xludf.DUMMYFUNCTION("""COMPUTED_VALUE"""),0.470304975922953)</f>
        <v>0.4703049759</v>
      </c>
      <c r="L235" s="8">
        <f>IFERROR(__xludf.DUMMYFUNCTION("""COMPUTED_VALUE"""),0.435794542536115)</f>
        <v>0.4357945425</v>
      </c>
      <c r="M235" s="8">
        <f>IFERROR(__xludf.DUMMYFUNCTION("""COMPUTED_VALUE"""),0.439357429718875)</f>
        <v>0.4393574297</v>
      </c>
      <c r="N235" s="8">
        <f>IFERROR(__xludf.DUMMYFUNCTION("""COMPUTED_VALUE"""),0.42524115755627)</f>
        <v>0.4252411576</v>
      </c>
      <c r="O235" s="8">
        <f>IFERROR(__xludf.DUMMYFUNCTION("""COMPUTED_VALUE"""),0.367149758454106)</f>
        <v>0.3671497585</v>
      </c>
      <c r="P235" s="8">
        <f>IFERROR(__xludf.DUMMYFUNCTION("""COMPUTED_VALUE"""),0.324476650563607)</f>
        <v>0.3244766506</v>
      </c>
      <c r="Q235" s="8">
        <f>IFERROR(__xludf.DUMMYFUNCTION("""COMPUTED_VALUE"""),0.234677419354838)</f>
        <v>0.2346774194</v>
      </c>
      <c r="R235" s="8">
        <f>IFERROR(__xludf.DUMMYFUNCTION("""COMPUTED_VALUE"""),0.211336032388663)</f>
        <v>0.2113360324</v>
      </c>
      <c r="S235" s="8">
        <f>IFERROR(__xludf.DUMMYFUNCTION("""COMPUTED_VALUE"""),0.165829145728643)</f>
        <v>0.1658291457</v>
      </c>
      <c r="T235" s="8">
        <f>IFERROR(__xludf.DUMMYFUNCTION("""COMPUTED_VALUE"""),0.141981613891726)</f>
        <v>0.1419816139</v>
      </c>
      <c r="U235" s="8">
        <f>IFERROR(__xludf.DUMMYFUNCTION("""COMPUTED_VALUE"""),0.141791044776119)</f>
        <v>0.1417910448</v>
      </c>
      <c r="V235" s="8">
        <f>IFERROR(__xludf.DUMMYFUNCTION("""COMPUTED_VALUE"""),0.125)</f>
        <v>0.125</v>
      </c>
      <c r="W235" s="8">
        <f>IFERROR(__xludf.DUMMYFUNCTION("""COMPUTED_VALUE"""),0.0943025540275049)</f>
        <v>0.09430255403</v>
      </c>
      <c r="X235" s="8">
        <f>IFERROR(__xludf.DUMMYFUNCTION("""COMPUTED_VALUE"""),0.081419624217119)</f>
        <v>0.08141962422</v>
      </c>
      <c r="Y235" s="8">
        <f>IFERROR(__xludf.DUMMYFUNCTION("""COMPUTED_VALUE"""),0.0636942675159235)</f>
        <v>0.06369426752</v>
      </c>
      <c r="Z235" s="8">
        <f>IFERROR(__xludf.DUMMYFUNCTION("""COMPUTED_VALUE"""),0.0)</f>
        <v>0</v>
      </c>
      <c r="AA235" s="8">
        <f>IFERROR(__xludf.DUMMYFUNCTION("""COMPUTED_VALUE"""),0.0)</f>
        <v>0</v>
      </c>
      <c r="AB235" s="8">
        <f>IFERROR(__xludf.DUMMYFUNCTION("""COMPUTED_VALUE"""),0.0)</f>
        <v>0</v>
      </c>
      <c r="AC235" s="8">
        <f>IFERROR(__xludf.DUMMYFUNCTION("""COMPUTED_VALUE"""),0.0)</f>
        <v>0</v>
      </c>
    </row>
    <row r="236" ht="15.75" customHeight="1">
      <c r="A236" s="6" t="str">
        <f>IFERROR(__xludf.DUMMYFUNCTION("""COMPUTED_VALUE"""),"d6ecb3540b1fdba82ccfa1fa9d0dbaa8fe59424c")</f>
        <v>d6ecb3540b1fdba82ccfa1fa9d0dbaa8fe59424c</v>
      </c>
      <c r="B236" s="6" t="str">
        <f>IFERROR(__xludf.DUMMYFUNCTION("""COMPUTED_VALUE"""),"Among the Undead")</f>
        <v>Among the Undead</v>
      </c>
      <c r="C236" s="6" t="str">
        <f>IFERROR(__xludf.DUMMYFUNCTION("""COMPUTED_VALUE"""),"Suspense or Thriller")</f>
        <v>Suspense or Thriller</v>
      </c>
      <c r="D236" s="11">
        <f>IFERROR(__xludf.DUMMYFUNCTION("""COMPUTED_VALUE"""),196.0)</f>
        <v>196</v>
      </c>
      <c r="E236" s="8">
        <f>IFERROR(__xludf.DUMMYFUNCTION("""COMPUTED_VALUE"""),0.994897959183673)</f>
        <v>0.9948979592</v>
      </c>
      <c r="F236" s="8">
        <f>IFERROR(__xludf.DUMMYFUNCTION("""COMPUTED_VALUE"""),0.459183673469387)</f>
        <v>0.4591836735</v>
      </c>
      <c r="G236" s="8">
        <f>IFERROR(__xludf.DUMMYFUNCTION("""COMPUTED_VALUE"""),0.336734693877551)</f>
        <v>0.3367346939</v>
      </c>
      <c r="H236" s="8">
        <f>IFERROR(__xludf.DUMMYFUNCTION("""COMPUTED_VALUE"""),0.270833333333333)</f>
        <v>0.2708333333</v>
      </c>
      <c r="I236" s="8">
        <f>IFERROR(__xludf.DUMMYFUNCTION("""COMPUTED_VALUE"""),0.206349206349206)</f>
        <v>0.2063492063</v>
      </c>
      <c r="J236" s="8">
        <f>IFERROR(__xludf.DUMMYFUNCTION("""COMPUTED_VALUE"""),0.19047619047619)</f>
        <v>0.1904761905</v>
      </c>
      <c r="K236" s="8">
        <f>IFERROR(__xludf.DUMMYFUNCTION("""COMPUTED_VALUE"""),0.172043010752688)</f>
        <v>0.1720430108</v>
      </c>
      <c r="L236" s="8">
        <f>IFERROR(__xludf.DUMMYFUNCTION("""COMPUTED_VALUE"""),0.138121546961325)</f>
        <v>0.138121547</v>
      </c>
      <c r="M236" s="8">
        <f>IFERROR(__xludf.DUMMYFUNCTION("""COMPUTED_VALUE"""),0.121546961325966)</f>
        <v>0.1215469613</v>
      </c>
      <c r="N236" s="8">
        <f>IFERROR(__xludf.DUMMYFUNCTION("""COMPUTED_VALUE"""),0.107954545454545)</f>
        <v>0.1079545455</v>
      </c>
      <c r="O236" s="8">
        <f>IFERROR(__xludf.DUMMYFUNCTION("""COMPUTED_VALUE"""),0.0673076923076923)</f>
        <v>0.06730769231</v>
      </c>
      <c r="P236" s="8">
        <f>IFERROR(__xludf.DUMMYFUNCTION("""COMPUTED_VALUE"""),0.0652173913043478)</f>
        <v>0.0652173913</v>
      </c>
      <c r="Q236" s="8">
        <f>IFERROR(__xludf.DUMMYFUNCTION("""COMPUTED_VALUE"""),0.064516129032258)</f>
        <v>0.06451612903</v>
      </c>
      <c r="R236" s="8">
        <f>IFERROR(__xludf.DUMMYFUNCTION("""COMPUTED_VALUE"""),0.0333333333333333)</f>
        <v>0.03333333333</v>
      </c>
      <c r="S236" s="8">
        <f>IFERROR(__xludf.DUMMYFUNCTION("""COMPUTED_VALUE"""),0.0357142857142857)</f>
        <v>0.03571428571</v>
      </c>
      <c r="T236" s="8">
        <f>IFERROR(__xludf.DUMMYFUNCTION("""COMPUTED_VALUE"""),0.04)</f>
        <v>0.04</v>
      </c>
      <c r="U236" s="8">
        <f>IFERROR(__xludf.DUMMYFUNCTION("""COMPUTED_VALUE"""),0.0)</f>
        <v>0</v>
      </c>
      <c r="V236" s="8">
        <f>IFERROR(__xludf.DUMMYFUNCTION("""COMPUTED_VALUE"""),0.0)</f>
        <v>0</v>
      </c>
      <c r="W236" s="8">
        <f>IFERROR(__xludf.DUMMYFUNCTION("""COMPUTED_VALUE"""),0.0)</f>
        <v>0</v>
      </c>
      <c r="X236" s="8">
        <f>IFERROR(__xludf.DUMMYFUNCTION("""COMPUTED_VALUE"""),0.0)</f>
        <v>0</v>
      </c>
      <c r="Y236" s="8">
        <f>IFERROR(__xludf.DUMMYFUNCTION("""COMPUTED_VALUE"""),0.0)</f>
        <v>0</v>
      </c>
      <c r="Z236" s="8">
        <f>IFERROR(__xludf.DUMMYFUNCTION("""COMPUTED_VALUE"""),0.0)</f>
        <v>0</v>
      </c>
      <c r="AA236" s="8">
        <f>IFERROR(__xludf.DUMMYFUNCTION("""COMPUTED_VALUE"""),0.0)</f>
        <v>0</v>
      </c>
      <c r="AB236" s="8">
        <f>IFERROR(__xludf.DUMMYFUNCTION("""COMPUTED_VALUE"""),0.0)</f>
        <v>0</v>
      </c>
      <c r="AC236" s="8">
        <f>IFERROR(__xludf.DUMMYFUNCTION("""COMPUTED_VALUE"""),0.0)</f>
        <v>0</v>
      </c>
    </row>
    <row r="237" ht="15.75" customHeight="1">
      <c r="A237" s="6" t="str">
        <f>IFERROR(__xludf.DUMMYFUNCTION("""COMPUTED_VALUE"""),"d71fc923d0820825aefcf4bf75b7743891f7feac")</f>
        <v>d71fc923d0820825aefcf4bf75b7743891f7feac</v>
      </c>
      <c r="B237" s="6" t="str">
        <f>IFERROR(__xludf.DUMMYFUNCTION("""COMPUTED_VALUE"""),"Only One Race")</f>
        <v>Only One Race</v>
      </c>
      <c r="C237" s="6" t="str">
        <f>IFERROR(__xludf.DUMMYFUNCTION("""COMPUTED_VALUE"""),"Fantasy")</f>
        <v>Fantasy</v>
      </c>
      <c r="D237" s="11">
        <f>IFERROR(__xludf.DUMMYFUNCTION("""COMPUTED_VALUE"""),512.0)</f>
        <v>512</v>
      </c>
      <c r="E237" s="8">
        <f>IFERROR(__xludf.DUMMYFUNCTION("""COMPUTED_VALUE"""),0.970703125)</f>
        <v>0.970703125</v>
      </c>
      <c r="F237" s="8">
        <f>IFERROR(__xludf.DUMMYFUNCTION("""COMPUTED_VALUE"""),0.55078125)</f>
        <v>0.55078125</v>
      </c>
      <c r="G237" s="8">
        <f>IFERROR(__xludf.DUMMYFUNCTION("""COMPUTED_VALUE"""),0.501953125)</f>
        <v>0.501953125</v>
      </c>
      <c r="H237" s="8">
        <f>IFERROR(__xludf.DUMMYFUNCTION("""COMPUTED_VALUE"""),0.472727272727272)</f>
        <v>0.4727272727</v>
      </c>
      <c r="I237" s="8">
        <f>IFERROR(__xludf.DUMMYFUNCTION("""COMPUTED_VALUE"""),0.440993788819875)</f>
        <v>0.4409937888</v>
      </c>
      <c r="J237" s="8">
        <f>IFERROR(__xludf.DUMMYFUNCTION("""COMPUTED_VALUE"""),0.399563318777292)</f>
        <v>0.3995633188</v>
      </c>
      <c r="K237" s="8">
        <f>IFERROR(__xludf.DUMMYFUNCTION("""COMPUTED_VALUE"""),0.390134529147982)</f>
        <v>0.3901345291</v>
      </c>
      <c r="L237" s="8">
        <f>IFERROR(__xludf.DUMMYFUNCTION("""COMPUTED_VALUE"""),0.363636363636363)</f>
        <v>0.3636363636</v>
      </c>
      <c r="M237" s="8">
        <f>IFERROR(__xludf.DUMMYFUNCTION("""COMPUTED_VALUE"""),0.341954022988505)</f>
        <v>0.341954023</v>
      </c>
      <c r="N237" s="8">
        <f>IFERROR(__xludf.DUMMYFUNCTION("""COMPUTED_VALUE"""),0.351111111111111)</f>
        <v>0.3511111111</v>
      </c>
      <c r="O237" s="8">
        <f>IFERROR(__xludf.DUMMYFUNCTION("""COMPUTED_VALUE"""),0.333333333333333)</f>
        <v>0.3333333333</v>
      </c>
      <c r="P237" s="8">
        <f>IFERROR(__xludf.DUMMYFUNCTION("""COMPUTED_VALUE"""),0.358490566037735)</f>
        <v>0.358490566</v>
      </c>
      <c r="Q237" s="8">
        <f>IFERROR(__xludf.DUMMYFUNCTION("""COMPUTED_VALUE"""),0.186046511627906)</f>
        <v>0.1860465116</v>
      </c>
      <c r="R237" s="8">
        <f>IFERROR(__xludf.DUMMYFUNCTION("""COMPUTED_VALUE"""),0.0833333333333333)</f>
        <v>0.08333333333</v>
      </c>
      <c r="S237" s="8">
        <f>IFERROR(__xludf.DUMMYFUNCTION("""COMPUTED_VALUE"""),0.0)</f>
        <v>0</v>
      </c>
      <c r="T237" s="8">
        <f>IFERROR(__xludf.DUMMYFUNCTION("""COMPUTED_VALUE"""),0.0)</f>
        <v>0</v>
      </c>
      <c r="U237" s="8">
        <f>IFERROR(__xludf.DUMMYFUNCTION("""COMPUTED_VALUE"""),0.0)</f>
        <v>0</v>
      </c>
      <c r="V237" s="8">
        <f>IFERROR(__xludf.DUMMYFUNCTION("""COMPUTED_VALUE"""),0.0)</f>
        <v>0</v>
      </c>
      <c r="W237" s="8">
        <f>IFERROR(__xludf.DUMMYFUNCTION("""COMPUTED_VALUE"""),0.0)</f>
        <v>0</v>
      </c>
      <c r="X237" s="8">
        <f>IFERROR(__xludf.DUMMYFUNCTION("""COMPUTED_VALUE"""),0.0)</f>
        <v>0</v>
      </c>
      <c r="Y237" s="8">
        <f>IFERROR(__xludf.DUMMYFUNCTION("""COMPUTED_VALUE"""),0.0)</f>
        <v>0</v>
      </c>
      <c r="Z237" s="8">
        <f>IFERROR(__xludf.DUMMYFUNCTION("""COMPUTED_VALUE"""),0.0)</f>
        <v>0</v>
      </c>
      <c r="AA237" s="8">
        <f>IFERROR(__xludf.DUMMYFUNCTION("""COMPUTED_VALUE"""),0.0)</f>
        <v>0</v>
      </c>
      <c r="AB237" s="8">
        <f>IFERROR(__xludf.DUMMYFUNCTION("""COMPUTED_VALUE"""),0.0)</f>
        <v>0</v>
      </c>
      <c r="AC237" s="8">
        <f>IFERROR(__xludf.DUMMYFUNCTION("""COMPUTED_VALUE"""),0.0)</f>
        <v>0</v>
      </c>
    </row>
    <row r="238" ht="15.75" customHeight="1">
      <c r="A238" s="6" t="str">
        <f>IFERROR(__xludf.DUMMYFUNCTION("""COMPUTED_VALUE"""),"da2b63280d328cd78ef9102ea4f7f131a3ff6369")</f>
        <v>da2b63280d328cd78ef9102ea4f7f131a3ff6369</v>
      </c>
      <c r="B238" s="6" t="str">
        <f>IFERROR(__xludf.DUMMYFUNCTION("""COMPUTED_VALUE"""),"I Returned for Revenge")</f>
        <v>I Returned for Revenge</v>
      </c>
      <c r="C238" s="6" t="str">
        <f>IFERROR(__xludf.DUMMYFUNCTION("""COMPUTED_VALUE"""),"Romance")</f>
        <v>Romance</v>
      </c>
      <c r="D238" s="11">
        <f>IFERROR(__xludf.DUMMYFUNCTION("""COMPUTED_VALUE"""),35.0)</f>
        <v>35</v>
      </c>
      <c r="E238" s="8">
        <f>IFERROR(__xludf.DUMMYFUNCTION("""COMPUTED_VALUE"""),0.971428571428571)</f>
        <v>0.9714285714</v>
      </c>
      <c r="F238" s="8">
        <f>IFERROR(__xludf.DUMMYFUNCTION("""COMPUTED_VALUE"""),0.714285714285714)</f>
        <v>0.7142857143</v>
      </c>
      <c r="G238" s="8">
        <f>IFERROR(__xludf.DUMMYFUNCTION("""COMPUTED_VALUE"""),0.6)</f>
        <v>0.6</v>
      </c>
      <c r="H238" s="8">
        <f>IFERROR(__xludf.DUMMYFUNCTION("""COMPUTED_VALUE"""),0.628571428571428)</f>
        <v>0.6285714286</v>
      </c>
      <c r="I238" s="8">
        <f>IFERROR(__xludf.DUMMYFUNCTION("""COMPUTED_VALUE"""),0.575757575757575)</f>
        <v>0.5757575758</v>
      </c>
      <c r="J238" s="8">
        <f>IFERROR(__xludf.DUMMYFUNCTION("""COMPUTED_VALUE"""),0.533333333333333)</f>
        <v>0.5333333333</v>
      </c>
      <c r="K238" s="8">
        <f>IFERROR(__xludf.DUMMYFUNCTION("""COMPUTED_VALUE"""),0.482758620689655)</f>
        <v>0.4827586207</v>
      </c>
      <c r="L238" s="8">
        <f>IFERROR(__xludf.DUMMYFUNCTION("""COMPUTED_VALUE"""),0.461538461538461)</f>
        <v>0.4615384615</v>
      </c>
      <c r="M238" s="8">
        <f>IFERROR(__xludf.DUMMYFUNCTION("""COMPUTED_VALUE"""),0.5)</f>
        <v>0.5</v>
      </c>
      <c r="N238" s="8">
        <f>IFERROR(__xludf.DUMMYFUNCTION("""COMPUTED_VALUE"""),0.5)</f>
        <v>0.5</v>
      </c>
      <c r="O238" s="8">
        <f>IFERROR(__xludf.DUMMYFUNCTION("""COMPUTED_VALUE"""),0.375)</f>
        <v>0.375</v>
      </c>
      <c r="P238" s="8">
        <f>IFERROR(__xludf.DUMMYFUNCTION("""COMPUTED_VALUE"""),0.25)</f>
        <v>0.25</v>
      </c>
      <c r="Q238" s="8">
        <f>IFERROR(__xludf.DUMMYFUNCTION("""COMPUTED_VALUE"""),0.0)</f>
        <v>0</v>
      </c>
      <c r="R238" s="8">
        <f>IFERROR(__xludf.DUMMYFUNCTION("""COMPUTED_VALUE"""),0.0)</f>
        <v>0</v>
      </c>
      <c r="S238" s="8">
        <f>IFERROR(__xludf.DUMMYFUNCTION("""COMPUTED_VALUE"""),0.0)</f>
        <v>0</v>
      </c>
      <c r="T238" s="8">
        <f>IFERROR(__xludf.DUMMYFUNCTION("""COMPUTED_VALUE"""),0.0)</f>
        <v>0</v>
      </c>
      <c r="U238" s="8">
        <f>IFERROR(__xludf.DUMMYFUNCTION("""COMPUTED_VALUE"""),0.0)</f>
        <v>0</v>
      </c>
      <c r="V238" s="8">
        <f>IFERROR(__xludf.DUMMYFUNCTION("""COMPUTED_VALUE"""),0.0)</f>
        <v>0</v>
      </c>
      <c r="W238" s="8">
        <f>IFERROR(__xludf.DUMMYFUNCTION("""COMPUTED_VALUE"""),0.0)</f>
        <v>0</v>
      </c>
      <c r="X238" s="8">
        <f>IFERROR(__xludf.DUMMYFUNCTION("""COMPUTED_VALUE"""),0.0)</f>
        <v>0</v>
      </c>
      <c r="Y238" s="8">
        <f>IFERROR(__xludf.DUMMYFUNCTION("""COMPUTED_VALUE"""),0.0)</f>
        <v>0</v>
      </c>
      <c r="Z238" s="8">
        <f>IFERROR(__xludf.DUMMYFUNCTION("""COMPUTED_VALUE"""),0.0)</f>
        <v>0</v>
      </c>
      <c r="AA238" s="8">
        <f>IFERROR(__xludf.DUMMYFUNCTION("""COMPUTED_VALUE"""),0.0)</f>
        <v>0</v>
      </c>
      <c r="AB238" s="8">
        <f>IFERROR(__xludf.DUMMYFUNCTION("""COMPUTED_VALUE"""),0.0)</f>
        <v>0</v>
      </c>
      <c r="AC238" s="8">
        <f>IFERROR(__xludf.DUMMYFUNCTION("""COMPUTED_VALUE"""),0.0)</f>
        <v>0</v>
      </c>
    </row>
    <row r="239" ht="15.75" customHeight="1">
      <c r="A239" s="6" t="str">
        <f>IFERROR(__xludf.DUMMYFUNCTION("""COMPUTED_VALUE"""),"da5271db73c1f23560f26da633ebffb91df9abd6")</f>
        <v>da5271db73c1f23560f26da633ebffb91df9abd6</v>
      </c>
      <c r="B239" s="6" t="str">
        <f>IFERROR(__xludf.DUMMYFUNCTION("""COMPUTED_VALUE"""),"Sold to the Alpha King")</f>
        <v>Sold to the Alpha King</v>
      </c>
      <c r="C239" s="6" t="str">
        <f>IFERROR(__xludf.DUMMYFUNCTION("""COMPUTED_VALUE"""),"Romance")</f>
        <v>Romance</v>
      </c>
      <c r="D239" s="11">
        <f>IFERROR(__xludf.DUMMYFUNCTION("""COMPUTED_VALUE"""),25.0)</f>
        <v>25</v>
      </c>
      <c r="E239" s="8">
        <f>IFERROR(__xludf.DUMMYFUNCTION("""COMPUTED_VALUE"""),0.92)</f>
        <v>0.92</v>
      </c>
      <c r="F239" s="8">
        <f>IFERROR(__xludf.DUMMYFUNCTION("""COMPUTED_VALUE"""),0.56)</f>
        <v>0.56</v>
      </c>
      <c r="G239" s="8">
        <f>IFERROR(__xludf.DUMMYFUNCTION("""COMPUTED_VALUE"""),0.44)</f>
        <v>0.44</v>
      </c>
      <c r="H239" s="8">
        <f>IFERROR(__xludf.DUMMYFUNCTION("""COMPUTED_VALUE"""),0.44)</f>
        <v>0.44</v>
      </c>
      <c r="I239" s="8">
        <f>IFERROR(__xludf.DUMMYFUNCTION("""COMPUTED_VALUE"""),0.333333333333333)</f>
        <v>0.3333333333</v>
      </c>
      <c r="J239" s="8">
        <f>IFERROR(__xludf.DUMMYFUNCTION("""COMPUTED_VALUE"""),0.272727272727272)</f>
        <v>0.2727272727</v>
      </c>
      <c r="K239" s="8">
        <f>IFERROR(__xludf.DUMMYFUNCTION("""COMPUTED_VALUE"""),0.3)</f>
        <v>0.3</v>
      </c>
      <c r="L239" s="8">
        <f>IFERROR(__xludf.DUMMYFUNCTION("""COMPUTED_VALUE"""),0.214285714285714)</f>
        <v>0.2142857143</v>
      </c>
      <c r="M239" s="8">
        <f>IFERROR(__xludf.DUMMYFUNCTION("""COMPUTED_VALUE"""),0.25)</f>
        <v>0.25</v>
      </c>
      <c r="N239" s="8">
        <f>IFERROR(__xludf.DUMMYFUNCTION("""COMPUTED_VALUE"""),0.222222222222222)</f>
        <v>0.2222222222</v>
      </c>
      <c r="O239" s="8">
        <f>IFERROR(__xludf.DUMMYFUNCTION("""COMPUTED_VALUE"""),0.25)</f>
        <v>0.25</v>
      </c>
      <c r="P239" s="8">
        <f>IFERROR(__xludf.DUMMYFUNCTION("""COMPUTED_VALUE"""),0.2)</f>
        <v>0.2</v>
      </c>
      <c r="Q239" s="8">
        <f>IFERROR(__xludf.DUMMYFUNCTION("""COMPUTED_VALUE"""),0.0)</f>
        <v>0</v>
      </c>
      <c r="R239" s="8">
        <f>IFERROR(__xludf.DUMMYFUNCTION("""COMPUTED_VALUE"""),0.0)</f>
        <v>0</v>
      </c>
      <c r="S239" s="8">
        <f>IFERROR(__xludf.DUMMYFUNCTION("""COMPUTED_VALUE"""),0.0)</f>
        <v>0</v>
      </c>
      <c r="T239" s="8">
        <f>IFERROR(__xludf.DUMMYFUNCTION("""COMPUTED_VALUE"""),0.0)</f>
        <v>0</v>
      </c>
      <c r="U239" s="8">
        <f>IFERROR(__xludf.DUMMYFUNCTION("""COMPUTED_VALUE"""),0.0)</f>
        <v>0</v>
      </c>
      <c r="V239" s="8">
        <f>IFERROR(__xludf.DUMMYFUNCTION("""COMPUTED_VALUE"""),0.0)</f>
        <v>0</v>
      </c>
      <c r="W239" s="8">
        <f>IFERROR(__xludf.DUMMYFUNCTION("""COMPUTED_VALUE"""),0.0)</f>
        <v>0</v>
      </c>
      <c r="X239" s="8">
        <f>IFERROR(__xludf.DUMMYFUNCTION("""COMPUTED_VALUE"""),0.0)</f>
        <v>0</v>
      </c>
      <c r="Y239" s="8">
        <f>IFERROR(__xludf.DUMMYFUNCTION("""COMPUTED_VALUE"""),0.0)</f>
        <v>0</v>
      </c>
      <c r="Z239" s="8">
        <f>IFERROR(__xludf.DUMMYFUNCTION("""COMPUTED_VALUE"""),0.0)</f>
        <v>0</v>
      </c>
      <c r="AA239" s="8">
        <f>IFERROR(__xludf.DUMMYFUNCTION("""COMPUTED_VALUE"""),0.0)</f>
        <v>0</v>
      </c>
      <c r="AB239" s="8">
        <f>IFERROR(__xludf.DUMMYFUNCTION("""COMPUTED_VALUE"""),0.0)</f>
        <v>0</v>
      </c>
      <c r="AC239" s="8">
        <f>IFERROR(__xludf.DUMMYFUNCTION("""COMPUTED_VALUE"""),0.0)</f>
        <v>0</v>
      </c>
    </row>
    <row r="240" ht="15.75" customHeight="1">
      <c r="A240" s="6" t="str">
        <f>IFERROR(__xludf.DUMMYFUNCTION("""COMPUTED_VALUE"""),"da8d32c5473daa3dc16575cdcd79a118bb445ffb")</f>
        <v>da8d32c5473daa3dc16575cdcd79a118bb445ffb</v>
      </c>
      <c r="B240" s="6" t="str">
        <f>IFERROR(__xludf.DUMMYFUNCTION("""COMPUTED_VALUE"""),"Bold Step Against Hoffman")</f>
        <v>Bold Step Against Hoffman</v>
      </c>
      <c r="C240" s="6" t="str">
        <f>IFERROR(__xludf.DUMMYFUNCTION("""COMPUTED_VALUE"""),"Romance")</f>
        <v>Romance</v>
      </c>
      <c r="D240" s="11">
        <f>IFERROR(__xludf.DUMMYFUNCTION("""COMPUTED_VALUE"""),58.0)</f>
        <v>58</v>
      </c>
      <c r="E240" s="8">
        <f>IFERROR(__xludf.DUMMYFUNCTION("""COMPUTED_VALUE"""),0.948275862068965)</f>
        <v>0.9482758621</v>
      </c>
      <c r="F240" s="8">
        <f>IFERROR(__xludf.DUMMYFUNCTION("""COMPUTED_VALUE"""),0.5)</f>
        <v>0.5</v>
      </c>
      <c r="G240" s="8">
        <f>IFERROR(__xludf.DUMMYFUNCTION("""COMPUTED_VALUE"""),0.43103448275862)</f>
        <v>0.4310344828</v>
      </c>
      <c r="H240" s="8">
        <f>IFERROR(__xludf.DUMMYFUNCTION("""COMPUTED_VALUE"""),0.345454545454545)</f>
        <v>0.3454545455</v>
      </c>
      <c r="I240" s="8">
        <f>IFERROR(__xludf.DUMMYFUNCTION("""COMPUTED_VALUE"""),0.327272727272727)</f>
        <v>0.3272727273</v>
      </c>
      <c r="J240" s="8">
        <f>IFERROR(__xludf.DUMMYFUNCTION("""COMPUTED_VALUE"""),0.327272727272727)</f>
        <v>0.3272727273</v>
      </c>
      <c r="K240" s="8">
        <f>IFERROR(__xludf.DUMMYFUNCTION("""COMPUTED_VALUE"""),0.327272727272727)</f>
        <v>0.3272727273</v>
      </c>
      <c r="L240" s="8">
        <f>IFERROR(__xludf.DUMMYFUNCTION("""COMPUTED_VALUE"""),0.272727272727272)</f>
        <v>0.2727272727</v>
      </c>
      <c r="M240" s="8">
        <f>IFERROR(__xludf.DUMMYFUNCTION("""COMPUTED_VALUE"""),0.272727272727272)</f>
        <v>0.2727272727</v>
      </c>
      <c r="N240" s="8">
        <f>IFERROR(__xludf.DUMMYFUNCTION("""COMPUTED_VALUE"""),0.254545454545454)</f>
        <v>0.2545454545</v>
      </c>
      <c r="O240" s="8">
        <f>IFERROR(__xludf.DUMMYFUNCTION("""COMPUTED_VALUE"""),0.181818181818181)</f>
        <v>0.1818181818</v>
      </c>
      <c r="P240" s="8">
        <f>IFERROR(__xludf.DUMMYFUNCTION("""COMPUTED_VALUE"""),0.0588235294117647)</f>
        <v>0.05882352941</v>
      </c>
      <c r="Q240" s="8">
        <f>IFERROR(__xludf.DUMMYFUNCTION("""COMPUTED_VALUE"""),0.0)</f>
        <v>0</v>
      </c>
      <c r="R240" s="8">
        <f>IFERROR(__xludf.DUMMYFUNCTION("""COMPUTED_VALUE"""),0.0)</f>
        <v>0</v>
      </c>
      <c r="S240" s="8">
        <f>IFERROR(__xludf.DUMMYFUNCTION("""COMPUTED_VALUE"""),0.0833333333333333)</f>
        <v>0.08333333333</v>
      </c>
      <c r="T240" s="8">
        <f>IFERROR(__xludf.DUMMYFUNCTION("""COMPUTED_VALUE"""),0.0)</f>
        <v>0</v>
      </c>
      <c r="U240" s="8">
        <f>IFERROR(__xludf.DUMMYFUNCTION("""COMPUTED_VALUE"""),0.0)</f>
        <v>0</v>
      </c>
      <c r="V240" s="8">
        <f>IFERROR(__xludf.DUMMYFUNCTION("""COMPUTED_VALUE"""),0.0)</f>
        <v>0</v>
      </c>
      <c r="W240" s="8">
        <f>IFERROR(__xludf.DUMMYFUNCTION("""COMPUTED_VALUE"""),0.0)</f>
        <v>0</v>
      </c>
      <c r="X240" s="8">
        <f>IFERROR(__xludf.DUMMYFUNCTION("""COMPUTED_VALUE"""),0.0)</f>
        <v>0</v>
      </c>
      <c r="Y240" s="8">
        <f>IFERROR(__xludf.DUMMYFUNCTION("""COMPUTED_VALUE"""),0.0)</f>
        <v>0</v>
      </c>
      <c r="Z240" s="8">
        <f>IFERROR(__xludf.DUMMYFUNCTION("""COMPUTED_VALUE"""),0.0)</f>
        <v>0</v>
      </c>
      <c r="AA240" s="8">
        <f>IFERROR(__xludf.DUMMYFUNCTION("""COMPUTED_VALUE"""),0.0)</f>
        <v>0</v>
      </c>
      <c r="AB240" s="8">
        <f>IFERROR(__xludf.DUMMYFUNCTION("""COMPUTED_VALUE"""),0.0)</f>
        <v>0</v>
      </c>
      <c r="AC240" s="8">
        <f>IFERROR(__xludf.DUMMYFUNCTION("""COMPUTED_VALUE"""),0.0)</f>
        <v>0</v>
      </c>
    </row>
    <row r="241" ht="15.75" customHeight="1">
      <c r="A241" s="6" t="str">
        <f>IFERROR(__xludf.DUMMYFUNCTION("""COMPUTED_VALUE"""),"daa40d9ff542ace7e27440803ddf4307bbd54bdd")</f>
        <v>daa40d9ff542ace7e27440803ddf4307bbd54bdd</v>
      </c>
      <c r="B241" s="6" t="str">
        <f>IFERROR(__xludf.DUMMYFUNCTION("""COMPUTED_VALUE"""),"Villain's Harem")</f>
        <v>Villain's Harem</v>
      </c>
      <c r="C241" s="6" t="str">
        <f>IFERROR(__xludf.DUMMYFUNCTION("""COMPUTED_VALUE"""),"Romantasy")</f>
        <v>Romantasy</v>
      </c>
      <c r="D241" s="11">
        <f>IFERROR(__xludf.DUMMYFUNCTION("""COMPUTED_VALUE"""),612.0)</f>
        <v>612</v>
      </c>
      <c r="E241" s="8">
        <f>IFERROR(__xludf.DUMMYFUNCTION("""COMPUTED_VALUE"""),0.973856209150326)</f>
        <v>0.9738562092</v>
      </c>
      <c r="F241" s="8">
        <f>IFERROR(__xludf.DUMMYFUNCTION("""COMPUTED_VALUE"""),0.686274509803921)</f>
        <v>0.6862745098</v>
      </c>
      <c r="G241" s="8">
        <f>IFERROR(__xludf.DUMMYFUNCTION("""COMPUTED_VALUE"""),0.61437908496732)</f>
        <v>0.614379085</v>
      </c>
      <c r="H241" s="8">
        <f>IFERROR(__xludf.DUMMYFUNCTION("""COMPUTED_VALUE"""),0.546204620462046)</f>
        <v>0.5462046205</v>
      </c>
      <c r="I241" s="8">
        <f>IFERROR(__xludf.DUMMYFUNCTION("""COMPUTED_VALUE"""),0.474295190713101)</f>
        <v>0.4742951907</v>
      </c>
      <c r="J241" s="8">
        <f>IFERROR(__xludf.DUMMYFUNCTION("""COMPUTED_VALUE"""),0.451342281879194)</f>
        <v>0.4513422819</v>
      </c>
      <c r="K241" s="8">
        <f>IFERROR(__xludf.DUMMYFUNCTION("""COMPUTED_VALUE"""),0.4331641285956)</f>
        <v>0.4331641286</v>
      </c>
      <c r="L241" s="8">
        <f>IFERROR(__xludf.DUMMYFUNCTION("""COMPUTED_VALUE"""),0.409246575342465)</f>
        <v>0.4092465753</v>
      </c>
      <c r="M241" s="8">
        <f>IFERROR(__xludf.DUMMYFUNCTION("""COMPUTED_VALUE"""),0.408695652173913)</f>
        <v>0.4086956522</v>
      </c>
      <c r="N241" s="8">
        <f>IFERROR(__xludf.DUMMYFUNCTION("""COMPUTED_VALUE"""),0.420289855072463)</f>
        <v>0.4202898551</v>
      </c>
      <c r="O241" s="8">
        <f>IFERROR(__xludf.DUMMYFUNCTION("""COMPUTED_VALUE"""),0.457516339869281)</f>
        <v>0.4575163399</v>
      </c>
      <c r="P241" s="8">
        <f>IFERROR(__xludf.DUMMYFUNCTION("""COMPUTED_VALUE"""),0.5)</f>
        <v>0.5</v>
      </c>
      <c r="Q241" s="8">
        <f>IFERROR(__xludf.DUMMYFUNCTION("""COMPUTED_VALUE"""),0.0)</f>
        <v>0</v>
      </c>
      <c r="R241" s="8">
        <f>IFERROR(__xludf.DUMMYFUNCTION("""COMPUTED_VALUE"""),0.0)</f>
        <v>0</v>
      </c>
      <c r="S241" s="8">
        <f>IFERROR(__xludf.DUMMYFUNCTION("""COMPUTED_VALUE"""),0.0)</f>
        <v>0</v>
      </c>
      <c r="T241" s="8">
        <f>IFERROR(__xludf.DUMMYFUNCTION("""COMPUTED_VALUE"""),0.0)</f>
        <v>0</v>
      </c>
      <c r="U241" s="8">
        <f>IFERROR(__xludf.DUMMYFUNCTION("""COMPUTED_VALUE"""),0.0)</f>
        <v>0</v>
      </c>
      <c r="V241" s="8">
        <f>IFERROR(__xludf.DUMMYFUNCTION("""COMPUTED_VALUE"""),0.0)</f>
        <v>0</v>
      </c>
      <c r="W241" s="8">
        <f>IFERROR(__xludf.DUMMYFUNCTION("""COMPUTED_VALUE"""),0.0)</f>
        <v>0</v>
      </c>
      <c r="X241" s="8">
        <f>IFERROR(__xludf.DUMMYFUNCTION("""COMPUTED_VALUE"""),0.0)</f>
        <v>0</v>
      </c>
      <c r="Y241" s="8">
        <f>IFERROR(__xludf.DUMMYFUNCTION("""COMPUTED_VALUE"""),0.0)</f>
        <v>0</v>
      </c>
      <c r="Z241" s="8">
        <f>IFERROR(__xludf.DUMMYFUNCTION("""COMPUTED_VALUE"""),0.0)</f>
        <v>0</v>
      </c>
      <c r="AA241" s="8">
        <f>IFERROR(__xludf.DUMMYFUNCTION("""COMPUTED_VALUE"""),0.0)</f>
        <v>0</v>
      </c>
      <c r="AB241" s="8">
        <f>IFERROR(__xludf.DUMMYFUNCTION("""COMPUTED_VALUE"""),0.0)</f>
        <v>0</v>
      </c>
      <c r="AC241" s="8">
        <f>IFERROR(__xludf.DUMMYFUNCTION("""COMPUTED_VALUE"""),0.0)</f>
        <v>0</v>
      </c>
    </row>
    <row r="242" ht="15.75" customHeight="1">
      <c r="A242" s="6" t="str">
        <f>IFERROR(__xludf.DUMMYFUNCTION("""COMPUTED_VALUE"""),"db982055d0205f85b154941a9a5fdcae32a88a7c")</f>
        <v>db982055d0205f85b154941a9a5fdcae32a88a7c</v>
      </c>
      <c r="B242" s="6" t="str">
        <f>IFERROR(__xludf.DUMMYFUNCTION("""COMPUTED_VALUE"""),"Re:system - Rebooted")</f>
        <v>Re:system - Rebooted</v>
      </c>
      <c r="C242" s="6" t="str">
        <f>IFERROR(__xludf.DUMMYFUNCTION("""COMPUTED_VALUE"""),"Fantasy")</f>
        <v>Fantasy</v>
      </c>
      <c r="D242" s="11">
        <f>IFERROR(__xludf.DUMMYFUNCTION("""COMPUTED_VALUE"""),532.0)</f>
        <v>532</v>
      </c>
      <c r="E242" s="8">
        <f>IFERROR(__xludf.DUMMYFUNCTION("""COMPUTED_VALUE"""),0.994360902255639)</f>
        <v>0.9943609023</v>
      </c>
      <c r="F242" s="8">
        <f>IFERROR(__xludf.DUMMYFUNCTION("""COMPUTED_VALUE"""),0.622180451127819)</f>
        <v>0.6221804511</v>
      </c>
      <c r="G242" s="8">
        <f>IFERROR(__xludf.DUMMYFUNCTION("""COMPUTED_VALUE"""),0.560150375939849)</f>
        <v>0.5601503759</v>
      </c>
      <c r="H242" s="8">
        <f>IFERROR(__xludf.DUMMYFUNCTION("""COMPUTED_VALUE"""),0.511320754716981)</f>
        <v>0.5113207547</v>
      </c>
      <c r="I242" s="8">
        <f>IFERROR(__xludf.DUMMYFUNCTION("""COMPUTED_VALUE"""),0.469581749049429)</f>
        <v>0.469581749</v>
      </c>
      <c r="J242" s="8">
        <f>IFERROR(__xludf.DUMMYFUNCTION("""COMPUTED_VALUE"""),0.449330783938814)</f>
        <v>0.4493307839</v>
      </c>
      <c r="K242" s="8">
        <f>IFERROR(__xludf.DUMMYFUNCTION("""COMPUTED_VALUE"""),0.412331406551059)</f>
        <v>0.4123314066</v>
      </c>
      <c r="L242" s="8">
        <f>IFERROR(__xludf.DUMMYFUNCTION("""COMPUTED_VALUE"""),0.380670611439842)</f>
        <v>0.3806706114</v>
      </c>
      <c r="M242" s="8">
        <f>IFERROR(__xludf.DUMMYFUNCTION("""COMPUTED_VALUE"""),0.370614035087719)</f>
        <v>0.3706140351</v>
      </c>
      <c r="N242" s="8">
        <f>IFERROR(__xludf.DUMMYFUNCTION("""COMPUTED_VALUE"""),0.346153846153846)</f>
        <v>0.3461538462</v>
      </c>
      <c r="O242" s="8">
        <f>IFERROR(__xludf.DUMMYFUNCTION("""COMPUTED_VALUE"""),0.0)</f>
        <v>0</v>
      </c>
      <c r="P242" s="8">
        <f>IFERROR(__xludf.DUMMYFUNCTION("""COMPUTED_VALUE"""),0.0)</f>
        <v>0</v>
      </c>
      <c r="Q242" s="8">
        <f>IFERROR(__xludf.DUMMYFUNCTION("""COMPUTED_VALUE"""),0.0)</f>
        <v>0</v>
      </c>
      <c r="R242" s="8">
        <f>IFERROR(__xludf.DUMMYFUNCTION("""COMPUTED_VALUE"""),0.0)</f>
        <v>0</v>
      </c>
      <c r="S242" s="8">
        <f>IFERROR(__xludf.DUMMYFUNCTION("""COMPUTED_VALUE"""),0.0)</f>
        <v>0</v>
      </c>
      <c r="T242" s="8">
        <f>IFERROR(__xludf.DUMMYFUNCTION("""COMPUTED_VALUE"""),0.0)</f>
        <v>0</v>
      </c>
      <c r="U242" s="8">
        <f>IFERROR(__xludf.DUMMYFUNCTION("""COMPUTED_VALUE"""),0.0)</f>
        <v>0</v>
      </c>
      <c r="V242" s="8">
        <f>IFERROR(__xludf.DUMMYFUNCTION("""COMPUTED_VALUE"""),0.0)</f>
        <v>0</v>
      </c>
      <c r="W242" s="8">
        <f>IFERROR(__xludf.DUMMYFUNCTION("""COMPUTED_VALUE"""),0.0)</f>
        <v>0</v>
      </c>
      <c r="X242" s="8">
        <f>IFERROR(__xludf.DUMMYFUNCTION("""COMPUTED_VALUE"""),0.0)</f>
        <v>0</v>
      </c>
      <c r="Y242" s="8">
        <f>IFERROR(__xludf.DUMMYFUNCTION("""COMPUTED_VALUE"""),0.0)</f>
        <v>0</v>
      </c>
      <c r="Z242" s="8">
        <f>IFERROR(__xludf.DUMMYFUNCTION("""COMPUTED_VALUE"""),0.0)</f>
        <v>0</v>
      </c>
      <c r="AA242" s="8">
        <f>IFERROR(__xludf.DUMMYFUNCTION("""COMPUTED_VALUE"""),0.0)</f>
        <v>0</v>
      </c>
      <c r="AB242" s="8">
        <f>IFERROR(__xludf.DUMMYFUNCTION("""COMPUTED_VALUE"""),0.0)</f>
        <v>0</v>
      </c>
      <c r="AC242" s="8">
        <f>IFERROR(__xludf.DUMMYFUNCTION("""COMPUTED_VALUE"""),0.0)</f>
        <v>0</v>
      </c>
    </row>
    <row r="243" ht="15.75" customHeight="1">
      <c r="A243" s="6" t="str">
        <f>IFERROR(__xludf.DUMMYFUNCTION("""COMPUTED_VALUE"""),"ddcfd794c1c386caa644e2b1d2379bfcd4efb154")</f>
        <v>ddcfd794c1c386caa644e2b1d2379bfcd4efb154</v>
      </c>
      <c r="B243" s="6" t="str">
        <f>IFERROR(__xludf.DUMMYFUNCTION("""COMPUTED_VALUE"""),"Tycoons Love Swindled")</f>
        <v>Tycoons Love Swindled</v>
      </c>
      <c r="C243" s="6" t="str">
        <f>IFERROR(__xludf.DUMMYFUNCTION("""COMPUTED_VALUE"""),"Drama")</f>
        <v>Drama</v>
      </c>
      <c r="D243" s="11">
        <f>IFERROR(__xludf.DUMMYFUNCTION("""COMPUTED_VALUE"""),21.0)</f>
        <v>21</v>
      </c>
      <c r="E243" s="8">
        <f>IFERROR(__xludf.DUMMYFUNCTION("""COMPUTED_VALUE"""),1.0)</f>
        <v>1</v>
      </c>
      <c r="F243" s="8">
        <f>IFERROR(__xludf.DUMMYFUNCTION("""COMPUTED_VALUE"""),0.476190476190476)</f>
        <v>0.4761904762</v>
      </c>
      <c r="G243" s="8">
        <f>IFERROR(__xludf.DUMMYFUNCTION("""COMPUTED_VALUE"""),0.38095238095238)</f>
        <v>0.380952381</v>
      </c>
      <c r="H243" s="8">
        <f>IFERROR(__xludf.DUMMYFUNCTION("""COMPUTED_VALUE"""),0.5)</f>
        <v>0.5</v>
      </c>
      <c r="I243" s="8">
        <f>IFERROR(__xludf.DUMMYFUNCTION("""COMPUTED_VALUE"""),0.4)</f>
        <v>0.4</v>
      </c>
      <c r="J243" s="8">
        <f>IFERROR(__xludf.DUMMYFUNCTION("""COMPUTED_VALUE"""),0.421052631578947)</f>
        <v>0.4210526316</v>
      </c>
      <c r="K243" s="8">
        <f>IFERROR(__xludf.DUMMYFUNCTION("""COMPUTED_VALUE"""),0.31578947368421)</f>
        <v>0.3157894737</v>
      </c>
      <c r="L243" s="8">
        <f>IFERROR(__xludf.DUMMYFUNCTION("""COMPUTED_VALUE"""),0.388888888888888)</f>
        <v>0.3888888889</v>
      </c>
      <c r="M243" s="8">
        <f>IFERROR(__xludf.DUMMYFUNCTION("""COMPUTED_VALUE"""),0.235294117647058)</f>
        <v>0.2352941176</v>
      </c>
      <c r="N243" s="8">
        <f>IFERROR(__xludf.DUMMYFUNCTION("""COMPUTED_VALUE"""),0.3125)</f>
        <v>0.3125</v>
      </c>
      <c r="O243" s="8">
        <f>IFERROR(__xludf.DUMMYFUNCTION("""COMPUTED_VALUE"""),0.25)</f>
        <v>0.25</v>
      </c>
      <c r="P243" s="8">
        <f>IFERROR(__xludf.DUMMYFUNCTION("""COMPUTED_VALUE"""),0.0833333333333333)</f>
        <v>0.08333333333</v>
      </c>
      <c r="Q243" s="8">
        <f>IFERROR(__xludf.DUMMYFUNCTION("""COMPUTED_VALUE"""),0.0)</f>
        <v>0</v>
      </c>
      <c r="R243" s="8">
        <f>IFERROR(__xludf.DUMMYFUNCTION("""COMPUTED_VALUE"""),0.0)</f>
        <v>0</v>
      </c>
      <c r="S243" s="8">
        <f>IFERROR(__xludf.DUMMYFUNCTION("""COMPUTED_VALUE"""),0.0)</f>
        <v>0</v>
      </c>
      <c r="T243" s="8">
        <f>IFERROR(__xludf.DUMMYFUNCTION("""COMPUTED_VALUE"""),0.0)</f>
        <v>0</v>
      </c>
      <c r="U243" s="8">
        <f>IFERROR(__xludf.DUMMYFUNCTION("""COMPUTED_VALUE"""),0.0)</f>
        <v>0</v>
      </c>
      <c r="V243" s="8">
        <f>IFERROR(__xludf.DUMMYFUNCTION("""COMPUTED_VALUE"""),0.0)</f>
        <v>0</v>
      </c>
      <c r="W243" s="8">
        <f>IFERROR(__xludf.DUMMYFUNCTION("""COMPUTED_VALUE"""),0.0)</f>
        <v>0</v>
      </c>
      <c r="X243" s="8">
        <f>IFERROR(__xludf.DUMMYFUNCTION("""COMPUTED_VALUE"""),0.0)</f>
        <v>0</v>
      </c>
      <c r="Y243" s="8">
        <f>IFERROR(__xludf.DUMMYFUNCTION("""COMPUTED_VALUE"""),0.0)</f>
        <v>0</v>
      </c>
      <c r="Z243" s="8">
        <f>IFERROR(__xludf.DUMMYFUNCTION("""COMPUTED_VALUE"""),0.0)</f>
        <v>0</v>
      </c>
      <c r="AA243" s="8">
        <f>IFERROR(__xludf.DUMMYFUNCTION("""COMPUTED_VALUE"""),0.0)</f>
        <v>0</v>
      </c>
      <c r="AB243" s="8">
        <f>IFERROR(__xludf.DUMMYFUNCTION("""COMPUTED_VALUE"""),0.0)</f>
        <v>0</v>
      </c>
      <c r="AC243" s="8">
        <f>IFERROR(__xludf.DUMMYFUNCTION("""COMPUTED_VALUE"""),0.0)</f>
        <v>0</v>
      </c>
    </row>
    <row r="244" ht="15.75" customHeight="1">
      <c r="A244" s="6" t="str">
        <f>IFERROR(__xludf.DUMMYFUNCTION("""COMPUTED_VALUE"""),"de862851ca66c0ec5a982ecfe58d14472093a185")</f>
        <v>de862851ca66c0ec5a982ecfe58d14472093a185</v>
      </c>
      <c r="B244" s="6" t="str">
        <f>IFERROR(__xludf.DUMMYFUNCTION("""COMPUTED_VALUE"""),"From Trash to a Legend")</f>
        <v>From Trash to a Legend</v>
      </c>
      <c r="C244" s="6" t="str">
        <f>IFERROR(__xludf.DUMMYFUNCTION("""COMPUTED_VALUE"""),"System and Superpower")</f>
        <v>System and Superpower</v>
      </c>
      <c r="D244" s="11">
        <f>IFERROR(__xludf.DUMMYFUNCTION("""COMPUTED_VALUE"""),527.0)</f>
        <v>527</v>
      </c>
      <c r="E244" s="8">
        <f>IFERROR(__xludf.DUMMYFUNCTION("""COMPUTED_VALUE"""),0.971537001897533)</f>
        <v>0.9715370019</v>
      </c>
      <c r="F244" s="8">
        <f>IFERROR(__xludf.DUMMYFUNCTION("""COMPUTED_VALUE"""),0.776091081593927)</f>
        <v>0.7760910816</v>
      </c>
      <c r="G244" s="8">
        <f>IFERROR(__xludf.DUMMYFUNCTION("""COMPUTED_VALUE"""),0.749525616698292)</f>
        <v>0.7495256167</v>
      </c>
      <c r="H244" s="8">
        <f>IFERROR(__xludf.DUMMYFUNCTION("""COMPUTED_VALUE"""),0.717017208413001)</f>
        <v>0.7170172084</v>
      </c>
      <c r="I244" s="8">
        <f>IFERROR(__xludf.DUMMYFUNCTION("""COMPUTED_VALUE"""),0.68007662835249)</f>
        <v>0.6800766284</v>
      </c>
      <c r="J244" s="8">
        <f>IFERROR(__xludf.DUMMYFUNCTION("""COMPUTED_VALUE"""),0.652427184466019)</f>
        <v>0.6524271845</v>
      </c>
      <c r="K244" s="8">
        <f>IFERROR(__xludf.DUMMYFUNCTION("""COMPUTED_VALUE"""),0.636186770428015)</f>
        <v>0.6361867704</v>
      </c>
      <c r="L244" s="8">
        <f>IFERROR(__xludf.DUMMYFUNCTION("""COMPUTED_VALUE"""),0.5836820083682)</f>
        <v>0.5836820084</v>
      </c>
      <c r="M244" s="8">
        <f>IFERROR(__xludf.DUMMYFUNCTION("""COMPUTED_VALUE"""),0.563348416289592)</f>
        <v>0.5633484163</v>
      </c>
      <c r="N244" s="8">
        <f>IFERROR(__xludf.DUMMYFUNCTION("""COMPUTED_VALUE"""),0.55470737913486)</f>
        <v>0.5547073791</v>
      </c>
      <c r="O244" s="8">
        <f>IFERROR(__xludf.DUMMYFUNCTION("""COMPUTED_VALUE"""),0.181818181818181)</f>
        <v>0.1818181818</v>
      </c>
      <c r="P244" s="8">
        <f>IFERROR(__xludf.DUMMYFUNCTION("""COMPUTED_VALUE"""),0.2)</f>
        <v>0.2</v>
      </c>
      <c r="Q244" s="8">
        <f>IFERROR(__xludf.DUMMYFUNCTION("""COMPUTED_VALUE"""),0.0)</f>
        <v>0</v>
      </c>
      <c r="R244" s="8">
        <f>IFERROR(__xludf.DUMMYFUNCTION("""COMPUTED_VALUE"""),0.0)</f>
        <v>0</v>
      </c>
      <c r="S244" s="8">
        <f>IFERROR(__xludf.DUMMYFUNCTION("""COMPUTED_VALUE"""),0.0)</f>
        <v>0</v>
      </c>
      <c r="T244" s="8">
        <f>IFERROR(__xludf.DUMMYFUNCTION("""COMPUTED_VALUE"""),0.0)</f>
        <v>0</v>
      </c>
      <c r="U244" s="8">
        <f>IFERROR(__xludf.DUMMYFUNCTION("""COMPUTED_VALUE"""),0.0)</f>
        <v>0</v>
      </c>
      <c r="V244" s="8">
        <f>IFERROR(__xludf.DUMMYFUNCTION("""COMPUTED_VALUE"""),0.0)</f>
        <v>0</v>
      </c>
      <c r="W244" s="8">
        <f>IFERROR(__xludf.DUMMYFUNCTION("""COMPUTED_VALUE"""),0.0)</f>
        <v>0</v>
      </c>
      <c r="X244" s="8">
        <f>IFERROR(__xludf.DUMMYFUNCTION("""COMPUTED_VALUE"""),0.0)</f>
        <v>0</v>
      </c>
      <c r="Y244" s="8">
        <f>IFERROR(__xludf.DUMMYFUNCTION("""COMPUTED_VALUE"""),0.0)</f>
        <v>0</v>
      </c>
      <c r="Z244" s="8">
        <f>IFERROR(__xludf.DUMMYFUNCTION("""COMPUTED_VALUE"""),0.0)</f>
        <v>0</v>
      </c>
      <c r="AA244" s="8">
        <f>IFERROR(__xludf.DUMMYFUNCTION("""COMPUTED_VALUE"""),0.0)</f>
        <v>0</v>
      </c>
      <c r="AB244" s="8">
        <f>IFERROR(__xludf.DUMMYFUNCTION("""COMPUTED_VALUE"""),0.0)</f>
        <v>0</v>
      </c>
      <c r="AC244" s="8">
        <f>IFERROR(__xludf.DUMMYFUNCTION("""COMPUTED_VALUE"""),0.0)</f>
        <v>0</v>
      </c>
    </row>
    <row r="245" ht="15.75" customHeight="1">
      <c r="A245" s="6" t="str">
        <f>IFERROR(__xludf.DUMMYFUNCTION("""COMPUTED_VALUE"""),"df497806d02c2dcc2e8f8e790fcc3fb9e72f8166")</f>
        <v>df497806d02c2dcc2e8f8e790fcc3fb9e72f8166</v>
      </c>
      <c r="B245" s="6" t="str">
        <f>IFERROR(__xludf.DUMMYFUNCTION("""COMPUTED_VALUE"""),"Never Letting You Go")</f>
        <v>Never Letting You Go</v>
      </c>
      <c r="C245" s="6" t="str">
        <f>IFERROR(__xludf.DUMMYFUNCTION("""COMPUTED_VALUE"""),"Romance")</f>
        <v>Romance</v>
      </c>
      <c r="D245" s="11">
        <f>IFERROR(__xludf.DUMMYFUNCTION("""COMPUTED_VALUE"""),32.0)</f>
        <v>32</v>
      </c>
      <c r="E245" s="8">
        <f>IFERROR(__xludf.DUMMYFUNCTION("""COMPUTED_VALUE"""),0.96875)</f>
        <v>0.96875</v>
      </c>
      <c r="F245" s="8">
        <f>IFERROR(__xludf.DUMMYFUNCTION("""COMPUTED_VALUE"""),0.625)</f>
        <v>0.625</v>
      </c>
      <c r="G245" s="8">
        <f>IFERROR(__xludf.DUMMYFUNCTION("""COMPUTED_VALUE"""),0.53125)</f>
        <v>0.53125</v>
      </c>
      <c r="H245" s="8">
        <f>IFERROR(__xludf.DUMMYFUNCTION("""COMPUTED_VALUE"""),0.46875)</f>
        <v>0.46875</v>
      </c>
      <c r="I245" s="8">
        <f>IFERROR(__xludf.DUMMYFUNCTION("""COMPUTED_VALUE"""),0.419354838709677)</f>
        <v>0.4193548387</v>
      </c>
      <c r="J245" s="8">
        <f>IFERROR(__xludf.DUMMYFUNCTION("""COMPUTED_VALUE"""),0.419354838709677)</f>
        <v>0.4193548387</v>
      </c>
      <c r="K245" s="8">
        <f>IFERROR(__xludf.DUMMYFUNCTION("""COMPUTED_VALUE"""),0.366666666666666)</f>
        <v>0.3666666667</v>
      </c>
      <c r="L245" s="8">
        <f>IFERROR(__xludf.DUMMYFUNCTION("""COMPUTED_VALUE"""),0.3)</f>
        <v>0.3</v>
      </c>
      <c r="M245" s="8">
        <f>IFERROR(__xludf.DUMMYFUNCTION("""COMPUTED_VALUE"""),0.25)</f>
        <v>0.25</v>
      </c>
      <c r="N245" s="8">
        <f>IFERROR(__xludf.DUMMYFUNCTION("""COMPUTED_VALUE"""),0.285714285714285)</f>
        <v>0.2857142857</v>
      </c>
      <c r="O245" s="8">
        <f>IFERROR(__xludf.DUMMYFUNCTION("""COMPUTED_VALUE"""),0.5)</f>
        <v>0.5</v>
      </c>
      <c r="P245" s="8">
        <f>IFERROR(__xludf.DUMMYFUNCTION("""COMPUTED_VALUE"""),1.0)</f>
        <v>1</v>
      </c>
      <c r="Q245" s="8">
        <f>IFERROR(__xludf.DUMMYFUNCTION("""COMPUTED_VALUE"""),0.0)</f>
        <v>0</v>
      </c>
      <c r="R245" s="8">
        <f>IFERROR(__xludf.DUMMYFUNCTION("""COMPUTED_VALUE"""),0.0)</f>
        <v>0</v>
      </c>
      <c r="S245" s="8">
        <f>IFERROR(__xludf.DUMMYFUNCTION("""COMPUTED_VALUE"""),0.0)</f>
        <v>0</v>
      </c>
      <c r="T245" s="8">
        <f>IFERROR(__xludf.DUMMYFUNCTION("""COMPUTED_VALUE"""),0.0)</f>
        <v>0</v>
      </c>
      <c r="U245" s="8">
        <f>IFERROR(__xludf.DUMMYFUNCTION("""COMPUTED_VALUE"""),0.0)</f>
        <v>0</v>
      </c>
      <c r="V245" s="8">
        <f>IFERROR(__xludf.DUMMYFUNCTION("""COMPUTED_VALUE"""),0.0)</f>
        <v>0</v>
      </c>
      <c r="W245" s="8">
        <f>IFERROR(__xludf.DUMMYFUNCTION("""COMPUTED_VALUE"""),0.0)</f>
        <v>0</v>
      </c>
      <c r="X245" s="8">
        <f>IFERROR(__xludf.DUMMYFUNCTION("""COMPUTED_VALUE"""),0.0)</f>
        <v>0</v>
      </c>
      <c r="Y245" s="8">
        <f>IFERROR(__xludf.DUMMYFUNCTION("""COMPUTED_VALUE"""),0.0)</f>
        <v>0</v>
      </c>
      <c r="Z245" s="8">
        <f>IFERROR(__xludf.DUMMYFUNCTION("""COMPUTED_VALUE"""),0.0)</f>
        <v>0</v>
      </c>
      <c r="AA245" s="8">
        <f>IFERROR(__xludf.DUMMYFUNCTION("""COMPUTED_VALUE"""),0.0)</f>
        <v>0</v>
      </c>
      <c r="AB245" s="8">
        <f>IFERROR(__xludf.DUMMYFUNCTION("""COMPUTED_VALUE"""),0.0)</f>
        <v>0</v>
      </c>
      <c r="AC245" s="8">
        <f>IFERROR(__xludf.DUMMYFUNCTION("""COMPUTED_VALUE"""),0.0)</f>
        <v>0</v>
      </c>
    </row>
    <row r="246" ht="15.75" customHeight="1">
      <c r="A246" s="6" t="str">
        <f>IFERROR(__xludf.DUMMYFUNCTION("""COMPUTED_VALUE"""),"e0cc4d535444616635b899b0d8d7d34e8dde5fa7")</f>
        <v>e0cc4d535444616635b899b0d8d7d34e8dde5fa7</v>
      </c>
      <c r="B246" s="6" t="str">
        <f>IFERROR(__xludf.DUMMYFUNCTION("""COMPUTED_VALUE"""),"Fated Bond")</f>
        <v>Fated Bond</v>
      </c>
      <c r="C246" s="6" t="str">
        <f>IFERROR(__xludf.DUMMYFUNCTION("""COMPUTED_VALUE"""),"Romantasy")</f>
        <v>Romantasy</v>
      </c>
      <c r="D246" s="11">
        <f>IFERROR(__xludf.DUMMYFUNCTION("""COMPUTED_VALUE"""),362.0)</f>
        <v>362</v>
      </c>
      <c r="E246" s="8">
        <f>IFERROR(__xludf.DUMMYFUNCTION("""COMPUTED_VALUE"""),0.947513812154696)</f>
        <v>0.9475138122</v>
      </c>
      <c r="F246" s="8">
        <f>IFERROR(__xludf.DUMMYFUNCTION("""COMPUTED_VALUE"""),0.541436464088397)</f>
        <v>0.5414364641</v>
      </c>
      <c r="G246" s="8">
        <f>IFERROR(__xludf.DUMMYFUNCTION("""COMPUTED_VALUE"""),0.5)</f>
        <v>0.5</v>
      </c>
      <c r="H246" s="8">
        <f>IFERROR(__xludf.DUMMYFUNCTION("""COMPUTED_VALUE"""),0.434903047091412)</f>
        <v>0.4349030471</v>
      </c>
      <c r="I246" s="8">
        <f>IFERROR(__xludf.DUMMYFUNCTION("""COMPUTED_VALUE"""),0.433333333333333)</f>
        <v>0.4333333333</v>
      </c>
      <c r="J246" s="8">
        <f>IFERROR(__xludf.DUMMYFUNCTION("""COMPUTED_VALUE"""),0.402777777777777)</f>
        <v>0.4027777778</v>
      </c>
      <c r="K246" s="8">
        <f>IFERROR(__xludf.DUMMYFUNCTION("""COMPUTED_VALUE"""),0.377777777777777)</f>
        <v>0.3777777778</v>
      </c>
      <c r="L246" s="8">
        <f>IFERROR(__xludf.DUMMYFUNCTION("""COMPUTED_VALUE"""),0.373259052924791)</f>
        <v>0.3732590529</v>
      </c>
      <c r="M246" s="8">
        <f>IFERROR(__xludf.DUMMYFUNCTION("""COMPUTED_VALUE"""),0.365921787709497)</f>
        <v>0.3659217877</v>
      </c>
      <c r="N246" s="8">
        <f>IFERROR(__xludf.DUMMYFUNCTION("""COMPUTED_VALUE"""),0.355742296918767)</f>
        <v>0.3557422969</v>
      </c>
      <c r="O246" s="8">
        <f>IFERROR(__xludf.DUMMYFUNCTION("""COMPUTED_VALUE"""),0.328571428571428)</f>
        <v>0.3285714286</v>
      </c>
      <c r="P246" s="8">
        <f>IFERROR(__xludf.DUMMYFUNCTION("""COMPUTED_VALUE"""),0.245614035087719)</f>
        <v>0.2456140351</v>
      </c>
      <c r="Q246" s="8">
        <f>IFERROR(__xludf.DUMMYFUNCTION("""COMPUTED_VALUE"""),0.214285714285714)</f>
        <v>0.2142857143</v>
      </c>
      <c r="R246" s="8">
        <f>IFERROR(__xludf.DUMMYFUNCTION("""COMPUTED_VALUE"""),0.173160173160173)</f>
        <v>0.1731601732</v>
      </c>
      <c r="S246" s="8">
        <f>IFERROR(__xludf.DUMMYFUNCTION("""COMPUTED_VALUE"""),0.166666666666666)</f>
        <v>0.1666666667</v>
      </c>
      <c r="T246" s="8">
        <f>IFERROR(__xludf.DUMMYFUNCTION("""COMPUTED_VALUE"""),0.102564102564102)</f>
        <v>0.1025641026</v>
      </c>
      <c r="U246" s="8">
        <f>IFERROR(__xludf.DUMMYFUNCTION("""COMPUTED_VALUE"""),0.101449275362318)</f>
        <v>0.1014492754</v>
      </c>
      <c r="V246" s="8">
        <f>IFERROR(__xludf.DUMMYFUNCTION("""COMPUTED_VALUE"""),0.0344827586206896)</f>
        <v>0.03448275862</v>
      </c>
      <c r="W246" s="8">
        <f>IFERROR(__xludf.DUMMYFUNCTION("""COMPUTED_VALUE"""),0.0217391304347826)</f>
        <v>0.02173913043</v>
      </c>
      <c r="X246" s="8">
        <f>IFERROR(__xludf.DUMMYFUNCTION("""COMPUTED_VALUE"""),0.0)</f>
        <v>0</v>
      </c>
      <c r="Y246" s="8">
        <f>IFERROR(__xludf.DUMMYFUNCTION("""COMPUTED_VALUE"""),0.2)</f>
        <v>0.2</v>
      </c>
      <c r="Z246" s="8">
        <f>IFERROR(__xludf.DUMMYFUNCTION("""COMPUTED_VALUE"""),0.0)</f>
        <v>0</v>
      </c>
      <c r="AA246" s="8">
        <f>IFERROR(__xludf.DUMMYFUNCTION("""COMPUTED_VALUE"""),0.0)</f>
        <v>0</v>
      </c>
      <c r="AB246" s="8">
        <f>IFERROR(__xludf.DUMMYFUNCTION("""COMPUTED_VALUE"""),0.0)</f>
        <v>0</v>
      </c>
      <c r="AC246" s="8">
        <f>IFERROR(__xludf.DUMMYFUNCTION("""COMPUTED_VALUE"""),0.0)</f>
        <v>0</v>
      </c>
    </row>
    <row r="247" ht="15.75" customHeight="1">
      <c r="A247" s="6" t="str">
        <f>IFERROR(__xludf.DUMMYFUNCTION("""COMPUTED_VALUE"""),"e0df7c51c42acc2ebb07fef0853244b617b34a0a")</f>
        <v>e0df7c51c42acc2ebb07fef0853244b617b34a0a</v>
      </c>
      <c r="B247" s="6" t="str">
        <f>IFERROR(__xludf.DUMMYFUNCTION("""COMPUTED_VALUE"""),"Hunted by the Alpha")</f>
        <v>Hunted by the Alpha</v>
      </c>
      <c r="C247" s="6" t="str">
        <f>IFERROR(__xludf.DUMMYFUNCTION("""COMPUTED_VALUE"""),"Romantasy")</f>
        <v>Romantasy</v>
      </c>
      <c r="D247" s="11">
        <f>IFERROR(__xludf.DUMMYFUNCTION("""COMPUTED_VALUE"""),173.0)</f>
        <v>173</v>
      </c>
      <c r="E247" s="8">
        <f>IFERROR(__xludf.DUMMYFUNCTION("""COMPUTED_VALUE"""),0.982658959537572)</f>
        <v>0.9826589595</v>
      </c>
      <c r="F247" s="8">
        <f>IFERROR(__xludf.DUMMYFUNCTION("""COMPUTED_VALUE"""),0.45664739884393)</f>
        <v>0.4566473988</v>
      </c>
      <c r="G247" s="8">
        <f>IFERROR(__xludf.DUMMYFUNCTION("""COMPUTED_VALUE"""),0.387283236994219)</f>
        <v>0.387283237</v>
      </c>
      <c r="H247" s="8">
        <f>IFERROR(__xludf.DUMMYFUNCTION("""COMPUTED_VALUE"""),0.375722543352601)</f>
        <v>0.3757225434</v>
      </c>
      <c r="I247" s="8">
        <f>IFERROR(__xludf.DUMMYFUNCTION("""COMPUTED_VALUE"""),0.335260115606936)</f>
        <v>0.3352601156</v>
      </c>
      <c r="J247" s="8">
        <f>IFERROR(__xludf.DUMMYFUNCTION("""COMPUTED_VALUE"""),0.329479768786127)</f>
        <v>0.3294797688</v>
      </c>
      <c r="K247" s="8">
        <f>IFERROR(__xludf.DUMMYFUNCTION("""COMPUTED_VALUE"""),0.30057803468208)</f>
        <v>0.3005780347</v>
      </c>
      <c r="L247" s="8">
        <f>IFERROR(__xludf.DUMMYFUNCTION("""COMPUTED_VALUE"""),0.260115606936416)</f>
        <v>0.2601156069</v>
      </c>
      <c r="M247" s="8">
        <f>IFERROR(__xludf.DUMMYFUNCTION("""COMPUTED_VALUE"""),0.25)</f>
        <v>0.25</v>
      </c>
      <c r="N247" s="8">
        <f>IFERROR(__xludf.DUMMYFUNCTION("""COMPUTED_VALUE"""),0.248447204968944)</f>
        <v>0.248447205</v>
      </c>
      <c r="O247" s="8">
        <f>IFERROR(__xludf.DUMMYFUNCTION("""COMPUTED_VALUE"""),0.182608695652173)</f>
        <v>0.1826086957</v>
      </c>
      <c r="P247" s="8">
        <f>IFERROR(__xludf.DUMMYFUNCTION("""COMPUTED_VALUE"""),0.166666666666666)</f>
        <v>0.1666666667</v>
      </c>
      <c r="Q247" s="8">
        <f>IFERROR(__xludf.DUMMYFUNCTION("""COMPUTED_VALUE"""),0.5)</f>
        <v>0.5</v>
      </c>
      <c r="R247" s="8">
        <f>IFERROR(__xludf.DUMMYFUNCTION("""COMPUTED_VALUE"""),0.0)</f>
        <v>0</v>
      </c>
      <c r="S247" s="8">
        <f>IFERROR(__xludf.DUMMYFUNCTION("""COMPUTED_VALUE"""),0.0)</f>
        <v>0</v>
      </c>
      <c r="T247" s="8">
        <f>IFERROR(__xludf.DUMMYFUNCTION("""COMPUTED_VALUE"""),0.0)</f>
        <v>0</v>
      </c>
      <c r="U247" s="8">
        <f>IFERROR(__xludf.DUMMYFUNCTION("""COMPUTED_VALUE"""),0.0)</f>
        <v>0</v>
      </c>
      <c r="V247" s="8">
        <f>IFERROR(__xludf.DUMMYFUNCTION("""COMPUTED_VALUE"""),0.0)</f>
        <v>0</v>
      </c>
      <c r="W247" s="8">
        <f>IFERROR(__xludf.DUMMYFUNCTION("""COMPUTED_VALUE"""),0.0)</f>
        <v>0</v>
      </c>
      <c r="X247" s="8">
        <f>IFERROR(__xludf.DUMMYFUNCTION("""COMPUTED_VALUE"""),0.0)</f>
        <v>0</v>
      </c>
      <c r="Y247" s="8">
        <f>IFERROR(__xludf.DUMMYFUNCTION("""COMPUTED_VALUE"""),0.0)</f>
        <v>0</v>
      </c>
      <c r="Z247" s="8">
        <f>IFERROR(__xludf.DUMMYFUNCTION("""COMPUTED_VALUE"""),0.0)</f>
        <v>0</v>
      </c>
      <c r="AA247" s="8">
        <f>IFERROR(__xludf.DUMMYFUNCTION("""COMPUTED_VALUE"""),0.0)</f>
        <v>0</v>
      </c>
      <c r="AB247" s="8">
        <f>IFERROR(__xludf.DUMMYFUNCTION("""COMPUTED_VALUE"""),0.0)</f>
        <v>0</v>
      </c>
      <c r="AC247" s="8">
        <f>IFERROR(__xludf.DUMMYFUNCTION("""COMPUTED_VALUE"""),0.0)</f>
        <v>0</v>
      </c>
    </row>
    <row r="248" ht="15.75" customHeight="1">
      <c r="A248" s="6" t="str">
        <f>IFERROR(__xludf.DUMMYFUNCTION("""COMPUTED_VALUE"""),"e168f716089521f9d1fe95769f273458c64e2ba9")</f>
        <v>e168f716089521f9d1fe95769f273458c64e2ba9</v>
      </c>
      <c r="B248" s="6" t="str">
        <f>IFERROR(__xludf.DUMMYFUNCTION("""COMPUTED_VALUE"""),"My Young Bodyguard")</f>
        <v>My Young Bodyguard</v>
      </c>
      <c r="C248" s="6" t="str">
        <f>IFERROR(__xludf.DUMMYFUNCTION("""COMPUTED_VALUE"""),"Drama")</f>
        <v>Drama</v>
      </c>
      <c r="D248" s="11">
        <f>IFERROR(__xludf.DUMMYFUNCTION("""COMPUTED_VALUE"""),444.0)</f>
        <v>444</v>
      </c>
      <c r="E248" s="8">
        <f>IFERROR(__xludf.DUMMYFUNCTION("""COMPUTED_VALUE"""),0.979729729729729)</f>
        <v>0.9797297297</v>
      </c>
      <c r="F248" s="8">
        <f>IFERROR(__xludf.DUMMYFUNCTION("""COMPUTED_VALUE"""),0.578828828828828)</f>
        <v>0.5788288288</v>
      </c>
      <c r="G248" s="8">
        <f>IFERROR(__xludf.DUMMYFUNCTION("""COMPUTED_VALUE"""),0.518018018018018)</f>
        <v>0.518018018</v>
      </c>
      <c r="H248" s="8">
        <f>IFERROR(__xludf.DUMMYFUNCTION("""COMPUTED_VALUE"""),0.480487804878048)</f>
        <v>0.4804878049</v>
      </c>
      <c r="I248" s="8">
        <f>IFERROR(__xludf.DUMMYFUNCTION("""COMPUTED_VALUE"""),0.421717171717171)</f>
        <v>0.4217171717</v>
      </c>
      <c r="J248" s="8">
        <f>IFERROR(__xludf.DUMMYFUNCTION("""COMPUTED_VALUE"""),0.425133689839572)</f>
        <v>0.4251336898</v>
      </c>
      <c r="K248" s="8">
        <f>IFERROR(__xludf.DUMMYFUNCTION("""COMPUTED_VALUE"""),0.403954802259887)</f>
        <v>0.4039548023</v>
      </c>
      <c r="L248" s="8">
        <f>IFERROR(__xludf.DUMMYFUNCTION("""COMPUTED_VALUE"""),0.387820512820512)</f>
        <v>0.3878205128</v>
      </c>
      <c r="M248" s="8">
        <f>IFERROR(__xludf.DUMMYFUNCTION("""COMPUTED_VALUE"""),0.374570446735395)</f>
        <v>0.3745704467</v>
      </c>
      <c r="N248" s="8">
        <f>IFERROR(__xludf.DUMMYFUNCTION("""COMPUTED_VALUE"""),0.324909747292418)</f>
        <v>0.3249097473</v>
      </c>
      <c r="O248" s="8">
        <f>IFERROR(__xludf.DUMMYFUNCTION("""COMPUTED_VALUE"""),0.271028037383177)</f>
        <v>0.2710280374</v>
      </c>
      <c r="P248" s="8">
        <f>IFERROR(__xludf.DUMMYFUNCTION("""COMPUTED_VALUE"""),0.259615384615384)</f>
        <v>0.2596153846</v>
      </c>
      <c r="Q248" s="8">
        <f>IFERROR(__xludf.DUMMYFUNCTION("""COMPUTED_VALUE"""),0.154761904761904)</f>
        <v>0.1547619048</v>
      </c>
      <c r="R248" s="8">
        <f>IFERROR(__xludf.DUMMYFUNCTION("""COMPUTED_VALUE"""),0.0714285714285714)</f>
        <v>0.07142857143</v>
      </c>
      <c r="S248" s="8">
        <f>IFERROR(__xludf.DUMMYFUNCTION("""COMPUTED_VALUE"""),0.0)</f>
        <v>0</v>
      </c>
      <c r="T248" s="8">
        <f>IFERROR(__xludf.DUMMYFUNCTION("""COMPUTED_VALUE"""),0.0)</f>
        <v>0</v>
      </c>
      <c r="U248" s="8">
        <f>IFERROR(__xludf.DUMMYFUNCTION("""COMPUTED_VALUE"""),0.0)</f>
        <v>0</v>
      </c>
      <c r="V248" s="8">
        <f>IFERROR(__xludf.DUMMYFUNCTION("""COMPUTED_VALUE"""),0.0)</f>
        <v>0</v>
      </c>
      <c r="W248" s="8">
        <f>IFERROR(__xludf.DUMMYFUNCTION("""COMPUTED_VALUE"""),0.0)</f>
        <v>0</v>
      </c>
      <c r="X248" s="8">
        <f>IFERROR(__xludf.DUMMYFUNCTION("""COMPUTED_VALUE"""),0.0)</f>
        <v>0</v>
      </c>
      <c r="Y248" s="8">
        <f>IFERROR(__xludf.DUMMYFUNCTION("""COMPUTED_VALUE"""),0.0)</f>
        <v>0</v>
      </c>
      <c r="Z248" s="8">
        <f>IFERROR(__xludf.DUMMYFUNCTION("""COMPUTED_VALUE"""),0.0)</f>
        <v>0</v>
      </c>
      <c r="AA248" s="8">
        <f>IFERROR(__xludf.DUMMYFUNCTION("""COMPUTED_VALUE"""),0.0)</f>
        <v>0</v>
      </c>
      <c r="AB248" s="8">
        <f>IFERROR(__xludf.DUMMYFUNCTION("""COMPUTED_VALUE"""),0.0)</f>
        <v>0</v>
      </c>
      <c r="AC248" s="8">
        <f>IFERROR(__xludf.DUMMYFUNCTION("""COMPUTED_VALUE"""),0.0)</f>
        <v>0</v>
      </c>
    </row>
    <row r="249" ht="15.75" customHeight="1">
      <c r="A249" s="6" t="str">
        <f>IFERROR(__xludf.DUMMYFUNCTION("""COMPUTED_VALUE"""),"e1e025613df0bb24a28711b19cbefdbc254e0c21")</f>
        <v>e1e025613df0bb24a28711b19cbefdbc254e0c21</v>
      </c>
      <c r="B249" s="6" t="str">
        <f>IFERROR(__xludf.DUMMYFUNCTION("""COMPUTED_VALUE"""),"The Ceo Hidden Bride")</f>
        <v>The Ceo Hidden Bride</v>
      </c>
      <c r="C249" s="6" t="str">
        <f>IFERROR(__xludf.DUMMYFUNCTION("""COMPUTED_VALUE"""),"Romance")</f>
        <v>Romance</v>
      </c>
      <c r="D249" s="11">
        <f>IFERROR(__xludf.DUMMYFUNCTION("""COMPUTED_VALUE"""),63.0)</f>
        <v>63</v>
      </c>
      <c r="E249" s="8">
        <f>IFERROR(__xludf.DUMMYFUNCTION("""COMPUTED_VALUE"""),0.984126984126984)</f>
        <v>0.9841269841</v>
      </c>
      <c r="F249" s="8">
        <f>IFERROR(__xludf.DUMMYFUNCTION("""COMPUTED_VALUE"""),0.587301587301587)</f>
        <v>0.5873015873</v>
      </c>
      <c r="G249" s="8">
        <f>IFERROR(__xludf.DUMMYFUNCTION("""COMPUTED_VALUE"""),0.523809523809523)</f>
        <v>0.5238095238</v>
      </c>
      <c r="H249" s="8">
        <f>IFERROR(__xludf.DUMMYFUNCTION("""COMPUTED_VALUE"""),0.370967741935483)</f>
        <v>0.3709677419</v>
      </c>
      <c r="I249" s="8">
        <f>IFERROR(__xludf.DUMMYFUNCTION("""COMPUTED_VALUE"""),0.3)</f>
        <v>0.3</v>
      </c>
      <c r="J249" s="8">
        <f>IFERROR(__xludf.DUMMYFUNCTION("""COMPUTED_VALUE"""),0.245614035087719)</f>
        <v>0.2456140351</v>
      </c>
      <c r="K249" s="8">
        <f>IFERROR(__xludf.DUMMYFUNCTION("""COMPUTED_VALUE"""),0.232142857142857)</f>
        <v>0.2321428571</v>
      </c>
      <c r="L249" s="8">
        <f>IFERROR(__xludf.DUMMYFUNCTION("""COMPUTED_VALUE"""),0.1875)</f>
        <v>0.1875</v>
      </c>
      <c r="M249" s="8">
        <f>IFERROR(__xludf.DUMMYFUNCTION("""COMPUTED_VALUE"""),0.195652173913043)</f>
        <v>0.1956521739</v>
      </c>
      <c r="N249" s="8">
        <f>IFERROR(__xludf.DUMMYFUNCTION("""COMPUTED_VALUE"""),0.0975609756097561)</f>
        <v>0.09756097561</v>
      </c>
      <c r="O249" s="8">
        <f>IFERROR(__xludf.DUMMYFUNCTION("""COMPUTED_VALUE"""),0.0)</f>
        <v>0</v>
      </c>
      <c r="P249" s="8">
        <f>IFERROR(__xludf.DUMMYFUNCTION("""COMPUTED_VALUE"""),0.0)</f>
        <v>0</v>
      </c>
      <c r="Q249" s="8">
        <f>IFERROR(__xludf.DUMMYFUNCTION("""COMPUTED_VALUE"""),0.0)</f>
        <v>0</v>
      </c>
      <c r="R249" s="8">
        <f>IFERROR(__xludf.DUMMYFUNCTION("""COMPUTED_VALUE"""),0.0)</f>
        <v>0</v>
      </c>
      <c r="S249" s="8">
        <f>IFERROR(__xludf.DUMMYFUNCTION("""COMPUTED_VALUE"""),0.0)</f>
        <v>0</v>
      </c>
      <c r="T249" s="8">
        <f>IFERROR(__xludf.DUMMYFUNCTION("""COMPUTED_VALUE"""),0.0)</f>
        <v>0</v>
      </c>
      <c r="U249" s="8">
        <f>IFERROR(__xludf.DUMMYFUNCTION("""COMPUTED_VALUE"""),0.0)</f>
        <v>0</v>
      </c>
      <c r="V249" s="8">
        <f>IFERROR(__xludf.DUMMYFUNCTION("""COMPUTED_VALUE"""),0.0)</f>
        <v>0</v>
      </c>
      <c r="W249" s="8">
        <f>IFERROR(__xludf.DUMMYFUNCTION("""COMPUTED_VALUE"""),0.0)</f>
        <v>0</v>
      </c>
      <c r="X249" s="8">
        <f>IFERROR(__xludf.DUMMYFUNCTION("""COMPUTED_VALUE"""),0.0)</f>
        <v>0</v>
      </c>
      <c r="Y249" s="8">
        <f>IFERROR(__xludf.DUMMYFUNCTION("""COMPUTED_VALUE"""),0.0)</f>
        <v>0</v>
      </c>
      <c r="Z249" s="8">
        <f>IFERROR(__xludf.DUMMYFUNCTION("""COMPUTED_VALUE"""),0.0)</f>
        <v>0</v>
      </c>
      <c r="AA249" s="8">
        <f>IFERROR(__xludf.DUMMYFUNCTION("""COMPUTED_VALUE"""),0.0)</f>
        <v>0</v>
      </c>
      <c r="AB249" s="8">
        <f>IFERROR(__xludf.DUMMYFUNCTION("""COMPUTED_VALUE"""),0.0)</f>
        <v>0</v>
      </c>
      <c r="AC249" s="8">
        <f>IFERROR(__xludf.DUMMYFUNCTION("""COMPUTED_VALUE"""),0.0)</f>
        <v>0</v>
      </c>
    </row>
    <row r="250" ht="15.75" customHeight="1">
      <c r="A250" s="6" t="str">
        <f>IFERROR(__xludf.DUMMYFUNCTION("""COMPUTED_VALUE"""),"e2f077e58449b7e3e415bd16eb5bb755606936b6")</f>
        <v>e2f077e58449b7e3e415bd16eb5bb755606936b6</v>
      </c>
      <c r="B250" s="6" t="str">
        <f>IFERROR(__xludf.DUMMYFUNCTION("""COMPUTED_VALUE"""),"Powerless Heir to Throne")</f>
        <v>Powerless Heir to Throne</v>
      </c>
      <c r="C250" s="6" t="str">
        <f>IFERROR(__xludf.DUMMYFUNCTION("""COMPUTED_VALUE"""),"System and Superpower")</f>
        <v>System and Superpower</v>
      </c>
      <c r="D250" s="11">
        <f>IFERROR(__xludf.DUMMYFUNCTION("""COMPUTED_VALUE"""),585.0)</f>
        <v>585</v>
      </c>
      <c r="E250" s="8">
        <f>IFERROR(__xludf.DUMMYFUNCTION("""COMPUTED_VALUE"""),0.957264957264957)</f>
        <v>0.9572649573</v>
      </c>
      <c r="F250" s="8">
        <f>IFERROR(__xludf.DUMMYFUNCTION("""COMPUTED_VALUE"""),0.702564102564102)</f>
        <v>0.7025641026</v>
      </c>
      <c r="G250" s="8">
        <f>IFERROR(__xludf.DUMMYFUNCTION("""COMPUTED_VALUE"""),0.651282051282051)</f>
        <v>0.6512820513</v>
      </c>
      <c r="H250" s="8">
        <f>IFERROR(__xludf.DUMMYFUNCTION("""COMPUTED_VALUE"""),0.60958904109589)</f>
        <v>0.6095890411</v>
      </c>
      <c r="I250" s="8">
        <f>IFERROR(__xludf.DUMMYFUNCTION("""COMPUTED_VALUE"""),0.543739279588336)</f>
        <v>0.5437392796</v>
      </c>
      <c r="J250" s="8">
        <f>IFERROR(__xludf.DUMMYFUNCTION("""COMPUTED_VALUE"""),0.519861830742659)</f>
        <v>0.5198618307</v>
      </c>
      <c r="K250" s="8">
        <f>IFERROR(__xludf.DUMMYFUNCTION("""COMPUTED_VALUE"""),0.478411053540587)</f>
        <v>0.4784110535</v>
      </c>
      <c r="L250" s="8">
        <f>IFERROR(__xludf.DUMMYFUNCTION("""COMPUTED_VALUE"""),0.449050086355785)</f>
        <v>0.4490500864</v>
      </c>
      <c r="M250" s="8">
        <f>IFERROR(__xludf.DUMMYFUNCTION("""COMPUTED_VALUE"""),0.420415224913494)</f>
        <v>0.4204152249</v>
      </c>
      <c r="N250" s="8">
        <f>IFERROR(__xludf.DUMMYFUNCTION("""COMPUTED_VALUE"""),0.406574394463667)</f>
        <v>0.4065743945</v>
      </c>
      <c r="O250" s="8">
        <f>IFERROR(__xludf.DUMMYFUNCTION("""COMPUTED_VALUE"""),0.343257443082311)</f>
        <v>0.3432574431</v>
      </c>
      <c r="P250" s="8">
        <f>IFERROR(__xludf.DUMMYFUNCTION("""COMPUTED_VALUE"""),0.228163992869875)</f>
        <v>0.2281639929</v>
      </c>
      <c r="Q250" s="8">
        <f>IFERROR(__xludf.DUMMYFUNCTION("""COMPUTED_VALUE"""),0.128491620111731)</f>
        <v>0.1284916201</v>
      </c>
      <c r="R250" s="8">
        <f>IFERROR(__xludf.DUMMYFUNCTION("""COMPUTED_VALUE"""),0.0834990059642147)</f>
        <v>0.08349900596</v>
      </c>
      <c r="S250" s="8">
        <f>IFERROR(__xludf.DUMMYFUNCTION("""COMPUTED_VALUE"""),0.113636363636363)</f>
        <v>0.1136363636</v>
      </c>
      <c r="T250" s="8">
        <f>IFERROR(__xludf.DUMMYFUNCTION("""COMPUTED_VALUE"""),0.0)</f>
        <v>0</v>
      </c>
      <c r="U250" s="8">
        <f>IFERROR(__xludf.DUMMYFUNCTION("""COMPUTED_VALUE"""),0.0)</f>
        <v>0</v>
      </c>
      <c r="V250" s="8">
        <f>IFERROR(__xludf.DUMMYFUNCTION("""COMPUTED_VALUE"""),0.0)</f>
        <v>0</v>
      </c>
      <c r="W250" s="8">
        <f>IFERROR(__xludf.DUMMYFUNCTION("""COMPUTED_VALUE"""),0.0)</f>
        <v>0</v>
      </c>
      <c r="X250" s="8">
        <f>IFERROR(__xludf.DUMMYFUNCTION("""COMPUTED_VALUE"""),0.0)</f>
        <v>0</v>
      </c>
      <c r="Y250" s="8">
        <f>IFERROR(__xludf.DUMMYFUNCTION("""COMPUTED_VALUE"""),0.0)</f>
        <v>0</v>
      </c>
      <c r="Z250" s="8">
        <f>IFERROR(__xludf.DUMMYFUNCTION("""COMPUTED_VALUE"""),0.0)</f>
        <v>0</v>
      </c>
      <c r="AA250" s="8">
        <f>IFERROR(__xludf.DUMMYFUNCTION("""COMPUTED_VALUE"""),0.0)</f>
        <v>0</v>
      </c>
      <c r="AB250" s="8">
        <f>IFERROR(__xludf.DUMMYFUNCTION("""COMPUTED_VALUE"""),0.0)</f>
        <v>0</v>
      </c>
      <c r="AC250" s="8">
        <f>IFERROR(__xludf.DUMMYFUNCTION("""COMPUTED_VALUE"""),0.0)</f>
        <v>0</v>
      </c>
    </row>
    <row r="251" ht="15.75" customHeight="1">
      <c r="A251" s="6" t="str">
        <f>IFERROR(__xludf.DUMMYFUNCTION("""COMPUTED_VALUE"""),"e3ea22ad9a736918a7619bfed3abf1f862c9bdb2")</f>
        <v>e3ea22ad9a736918a7619bfed3abf1f862c9bdb2</v>
      </c>
      <c r="B251" s="6" t="str">
        <f>IFERROR(__xludf.DUMMYFUNCTION("""COMPUTED_VALUE"""),"The Empress's Cold Return")</f>
        <v>The Empress's Cold Return</v>
      </c>
      <c r="C251" s="6" t="str">
        <f>IFERROR(__xludf.DUMMYFUNCTION("""COMPUTED_VALUE"""),"Drama")</f>
        <v>Drama</v>
      </c>
      <c r="D251" s="11">
        <f>IFERROR(__xludf.DUMMYFUNCTION("""COMPUTED_VALUE"""),44.0)</f>
        <v>44</v>
      </c>
      <c r="E251" s="8">
        <f>IFERROR(__xludf.DUMMYFUNCTION("""COMPUTED_VALUE"""),0.977272727272727)</f>
        <v>0.9772727273</v>
      </c>
      <c r="F251" s="8">
        <f>IFERROR(__xludf.DUMMYFUNCTION("""COMPUTED_VALUE"""),0.5)</f>
        <v>0.5</v>
      </c>
      <c r="G251" s="8">
        <f>IFERROR(__xludf.DUMMYFUNCTION("""COMPUTED_VALUE"""),0.454545454545454)</f>
        <v>0.4545454545</v>
      </c>
      <c r="H251" s="8">
        <f>IFERROR(__xludf.DUMMYFUNCTION("""COMPUTED_VALUE"""),0.431818181818181)</f>
        <v>0.4318181818</v>
      </c>
      <c r="I251" s="8">
        <f>IFERROR(__xludf.DUMMYFUNCTION("""COMPUTED_VALUE"""),0.409090909090909)</f>
        <v>0.4090909091</v>
      </c>
      <c r="J251" s="8">
        <f>IFERROR(__xludf.DUMMYFUNCTION("""COMPUTED_VALUE"""),0.363636363636363)</f>
        <v>0.3636363636</v>
      </c>
      <c r="K251" s="8">
        <f>IFERROR(__xludf.DUMMYFUNCTION("""COMPUTED_VALUE"""),0.295454545454545)</f>
        <v>0.2954545455</v>
      </c>
      <c r="L251" s="8">
        <f>IFERROR(__xludf.DUMMYFUNCTION("""COMPUTED_VALUE"""),0.318181818181818)</f>
        <v>0.3181818182</v>
      </c>
      <c r="M251" s="8">
        <f>IFERROR(__xludf.DUMMYFUNCTION("""COMPUTED_VALUE"""),0.272727272727272)</f>
        <v>0.2727272727</v>
      </c>
      <c r="N251" s="8">
        <f>IFERROR(__xludf.DUMMYFUNCTION("""COMPUTED_VALUE"""),0.295454545454545)</f>
        <v>0.2954545455</v>
      </c>
      <c r="O251" s="8">
        <f>IFERROR(__xludf.DUMMYFUNCTION("""COMPUTED_VALUE"""),0.181818181818181)</f>
        <v>0.1818181818</v>
      </c>
      <c r="P251" s="8">
        <f>IFERROR(__xludf.DUMMYFUNCTION("""COMPUTED_VALUE"""),0.0909090909090909)</f>
        <v>0.09090909091</v>
      </c>
      <c r="Q251" s="8">
        <f>IFERROR(__xludf.DUMMYFUNCTION("""COMPUTED_VALUE"""),0.0769230769230769)</f>
        <v>0.07692307692</v>
      </c>
      <c r="R251" s="8">
        <f>IFERROR(__xludf.DUMMYFUNCTION("""COMPUTED_VALUE"""),0.04)</f>
        <v>0.04</v>
      </c>
      <c r="S251" s="8">
        <f>IFERROR(__xludf.DUMMYFUNCTION("""COMPUTED_VALUE"""),0.0)</f>
        <v>0</v>
      </c>
      <c r="T251" s="8">
        <f>IFERROR(__xludf.DUMMYFUNCTION("""COMPUTED_VALUE"""),0.0)</f>
        <v>0</v>
      </c>
      <c r="U251" s="8">
        <f>IFERROR(__xludf.DUMMYFUNCTION("""COMPUTED_VALUE"""),0.0)</f>
        <v>0</v>
      </c>
      <c r="V251" s="8">
        <f>IFERROR(__xludf.DUMMYFUNCTION("""COMPUTED_VALUE"""),0.0)</f>
        <v>0</v>
      </c>
      <c r="W251" s="8">
        <f>IFERROR(__xludf.DUMMYFUNCTION("""COMPUTED_VALUE"""),0.0)</f>
        <v>0</v>
      </c>
      <c r="X251" s="8">
        <f>IFERROR(__xludf.DUMMYFUNCTION("""COMPUTED_VALUE"""),0.0)</f>
        <v>0</v>
      </c>
      <c r="Y251" s="8">
        <f>IFERROR(__xludf.DUMMYFUNCTION("""COMPUTED_VALUE"""),0.0)</f>
        <v>0</v>
      </c>
      <c r="Z251" s="8">
        <f>IFERROR(__xludf.DUMMYFUNCTION("""COMPUTED_VALUE"""),0.0)</f>
        <v>0</v>
      </c>
      <c r="AA251" s="8">
        <f>IFERROR(__xludf.DUMMYFUNCTION("""COMPUTED_VALUE"""),0.0)</f>
        <v>0</v>
      </c>
      <c r="AB251" s="8">
        <f>IFERROR(__xludf.DUMMYFUNCTION("""COMPUTED_VALUE"""),0.0)</f>
        <v>0</v>
      </c>
      <c r="AC251" s="8">
        <f>IFERROR(__xludf.DUMMYFUNCTION("""COMPUTED_VALUE"""),0.0)</f>
        <v>0</v>
      </c>
    </row>
    <row r="252" ht="15.75" customHeight="1">
      <c r="A252" s="6" t="str">
        <f>IFERROR(__xludf.DUMMYFUNCTION("""COMPUTED_VALUE"""),"e40505b31ca87f2f6b736e3f18b3e9f46e21cd04")</f>
        <v>e40505b31ca87f2f6b736e3f18b3e9f46e21cd04</v>
      </c>
      <c r="B252" s="6" t="str">
        <f>IFERROR(__xludf.DUMMYFUNCTION("""COMPUTED_VALUE"""),"My Dragonic System")</f>
        <v>My Dragonic System</v>
      </c>
      <c r="C252" s="6" t="str">
        <f>IFERROR(__xludf.DUMMYFUNCTION("""COMPUTED_VALUE"""),"System and Superpower")</f>
        <v>System and Superpower</v>
      </c>
      <c r="D252" s="11">
        <f>IFERROR(__xludf.DUMMYFUNCTION("""COMPUTED_VALUE"""),24298.0)</f>
        <v>24298</v>
      </c>
      <c r="E252" s="8">
        <f>IFERROR(__xludf.DUMMYFUNCTION("""COMPUTED_VALUE"""),0.962013334430817)</f>
        <v>0.9620133344</v>
      </c>
      <c r="F252" s="8">
        <f>IFERROR(__xludf.DUMMYFUNCTION("""COMPUTED_VALUE"""),0.628940653551732)</f>
        <v>0.6289406536</v>
      </c>
      <c r="G252" s="8">
        <f>IFERROR(__xludf.DUMMYFUNCTION("""COMPUTED_VALUE"""),0.57819573627459)</f>
        <v>0.5781957363</v>
      </c>
      <c r="H252" s="8">
        <f>IFERROR(__xludf.DUMMYFUNCTION("""COMPUTED_VALUE"""),0.542390362638722)</f>
        <v>0.5423903626</v>
      </c>
      <c r="I252" s="8">
        <f>IFERROR(__xludf.DUMMYFUNCTION("""COMPUTED_VALUE"""),0.523048327137546)</f>
        <v>0.5230483271</v>
      </c>
      <c r="J252" s="8">
        <f>IFERROR(__xludf.DUMMYFUNCTION("""COMPUTED_VALUE"""),0.506395132248851)</f>
        <v>0.5063951322</v>
      </c>
      <c r="K252" s="8">
        <f>IFERROR(__xludf.DUMMYFUNCTION("""COMPUTED_VALUE"""),0.488911917098445)</f>
        <v>0.4889119171</v>
      </c>
      <c r="L252" s="8">
        <f>IFERROR(__xludf.DUMMYFUNCTION("""COMPUTED_VALUE"""),0.476889184470862)</f>
        <v>0.4768891845</v>
      </c>
      <c r="M252" s="8">
        <f>IFERROR(__xludf.DUMMYFUNCTION("""COMPUTED_VALUE"""),0.463392261507671)</f>
        <v>0.4633922615</v>
      </c>
      <c r="N252" s="8">
        <f>IFERROR(__xludf.DUMMYFUNCTION("""COMPUTED_VALUE"""),0.452543152087599)</f>
        <v>0.4525431521</v>
      </c>
      <c r="O252" s="8">
        <f>IFERROR(__xludf.DUMMYFUNCTION("""COMPUTED_VALUE"""),0.426335990552111)</f>
        <v>0.4263359906</v>
      </c>
      <c r="P252" s="8">
        <f>IFERROR(__xludf.DUMMYFUNCTION("""COMPUTED_VALUE"""),0.366174920969441)</f>
        <v>0.366174921</v>
      </c>
      <c r="Q252" s="8">
        <f>IFERROR(__xludf.DUMMYFUNCTION("""COMPUTED_VALUE"""),0.293892416884572)</f>
        <v>0.2938924169</v>
      </c>
      <c r="R252" s="8">
        <f>IFERROR(__xludf.DUMMYFUNCTION("""COMPUTED_VALUE"""),0.247702845686918)</f>
        <v>0.2477028457</v>
      </c>
      <c r="S252" s="8">
        <f>IFERROR(__xludf.DUMMYFUNCTION("""COMPUTED_VALUE"""),0.204881402543829)</f>
        <v>0.2048814025</v>
      </c>
      <c r="T252" s="8">
        <f>IFERROR(__xludf.DUMMYFUNCTION("""COMPUTED_VALUE"""),0.147956033098678)</f>
        <v>0.1479560331</v>
      </c>
      <c r="U252" s="8">
        <f>IFERROR(__xludf.DUMMYFUNCTION("""COMPUTED_VALUE"""),0.112053571428571)</f>
        <v>0.1120535714</v>
      </c>
      <c r="V252" s="8">
        <f>IFERROR(__xludf.DUMMYFUNCTION("""COMPUTED_VALUE"""),0.0)</f>
        <v>0</v>
      </c>
      <c r="W252" s="8">
        <f>IFERROR(__xludf.DUMMYFUNCTION("""COMPUTED_VALUE"""),0.0)</f>
        <v>0</v>
      </c>
      <c r="X252" s="8">
        <f>IFERROR(__xludf.DUMMYFUNCTION("""COMPUTED_VALUE"""),0.0)</f>
        <v>0</v>
      </c>
      <c r="Y252" s="8">
        <f>IFERROR(__xludf.DUMMYFUNCTION("""COMPUTED_VALUE"""),0.0)</f>
        <v>0</v>
      </c>
      <c r="Z252" s="8">
        <f>IFERROR(__xludf.DUMMYFUNCTION("""COMPUTED_VALUE"""),0.0)</f>
        <v>0</v>
      </c>
      <c r="AA252" s="8">
        <f>IFERROR(__xludf.DUMMYFUNCTION("""COMPUTED_VALUE"""),0.0)</f>
        <v>0</v>
      </c>
      <c r="AB252" s="8">
        <f>IFERROR(__xludf.DUMMYFUNCTION("""COMPUTED_VALUE"""),0.0)</f>
        <v>0</v>
      </c>
      <c r="AC252" s="8">
        <f>IFERROR(__xludf.DUMMYFUNCTION("""COMPUTED_VALUE"""),0.0)</f>
        <v>0</v>
      </c>
    </row>
    <row r="253" ht="15.75" customHeight="1">
      <c r="A253" s="6" t="str">
        <f>IFERROR(__xludf.DUMMYFUNCTION("""COMPUTED_VALUE"""),"e5b71f4b40481cb15ce33532df56be566352534e")</f>
        <v>e5b71f4b40481cb15ce33532df56be566352534e</v>
      </c>
      <c r="B253" s="6" t="str">
        <f>IFERROR(__xludf.DUMMYFUNCTION("""COMPUTED_VALUE"""),"Rewind and Rise")</f>
        <v>Rewind and Rise</v>
      </c>
      <c r="C253" s="6" t="str">
        <f>IFERROR(__xludf.DUMMYFUNCTION("""COMPUTED_VALUE"""),"Romantasy")</f>
        <v>Romantasy</v>
      </c>
      <c r="D253" s="11">
        <f>IFERROR(__xludf.DUMMYFUNCTION("""COMPUTED_VALUE"""),83.0)</f>
        <v>83</v>
      </c>
      <c r="E253" s="8">
        <f>IFERROR(__xludf.DUMMYFUNCTION("""COMPUTED_VALUE"""),0.951807228915662)</f>
        <v>0.9518072289</v>
      </c>
      <c r="F253" s="8">
        <f>IFERROR(__xludf.DUMMYFUNCTION("""COMPUTED_VALUE"""),0.783132530120481)</f>
        <v>0.7831325301</v>
      </c>
      <c r="G253" s="8">
        <f>IFERROR(__xludf.DUMMYFUNCTION("""COMPUTED_VALUE"""),0.698795180722891)</f>
        <v>0.6987951807</v>
      </c>
      <c r="H253" s="8">
        <f>IFERROR(__xludf.DUMMYFUNCTION("""COMPUTED_VALUE"""),0.63076923076923)</f>
        <v>0.6307692308</v>
      </c>
      <c r="I253" s="8">
        <f>IFERROR(__xludf.DUMMYFUNCTION("""COMPUTED_VALUE"""),0.603174603174603)</f>
        <v>0.6031746032</v>
      </c>
      <c r="J253" s="8">
        <f>IFERROR(__xludf.DUMMYFUNCTION("""COMPUTED_VALUE"""),0.611111111111111)</f>
        <v>0.6111111111</v>
      </c>
      <c r="K253" s="8">
        <f>IFERROR(__xludf.DUMMYFUNCTION("""COMPUTED_VALUE"""),0.591836734693877)</f>
        <v>0.5918367347</v>
      </c>
      <c r="L253" s="8">
        <f>IFERROR(__xludf.DUMMYFUNCTION("""COMPUTED_VALUE"""),0.575)</f>
        <v>0.575</v>
      </c>
      <c r="M253" s="8">
        <f>IFERROR(__xludf.DUMMYFUNCTION("""COMPUTED_VALUE"""),0.46875)</f>
        <v>0.46875</v>
      </c>
      <c r="N253" s="8">
        <f>IFERROR(__xludf.DUMMYFUNCTION("""COMPUTED_VALUE"""),0.454545454545454)</f>
        <v>0.4545454545</v>
      </c>
      <c r="O253" s="8">
        <f>IFERROR(__xludf.DUMMYFUNCTION("""COMPUTED_VALUE"""),0.666666666666666)</f>
        <v>0.6666666667</v>
      </c>
      <c r="P253" s="8">
        <f>IFERROR(__xludf.DUMMYFUNCTION("""COMPUTED_VALUE"""),0.5)</f>
        <v>0.5</v>
      </c>
      <c r="Q253" s="8">
        <f>IFERROR(__xludf.DUMMYFUNCTION("""COMPUTED_VALUE"""),0.0)</f>
        <v>0</v>
      </c>
      <c r="R253" s="8">
        <f>IFERROR(__xludf.DUMMYFUNCTION("""COMPUTED_VALUE"""),0.0)</f>
        <v>0</v>
      </c>
      <c r="S253" s="8">
        <f>IFERROR(__xludf.DUMMYFUNCTION("""COMPUTED_VALUE"""),0.0)</f>
        <v>0</v>
      </c>
      <c r="T253" s="8">
        <f>IFERROR(__xludf.DUMMYFUNCTION("""COMPUTED_VALUE"""),0.0)</f>
        <v>0</v>
      </c>
      <c r="U253" s="8">
        <f>IFERROR(__xludf.DUMMYFUNCTION("""COMPUTED_VALUE"""),0.0)</f>
        <v>0</v>
      </c>
      <c r="V253" s="8">
        <f>IFERROR(__xludf.DUMMYFUNCTION("""COMPUTED_VALUE"""),0.0)</f>
        <v>0</v>
      </c>
      <c r="W253" s="8">
        <f>IFERROR(__xludf.DUMMYFUNCTION("""COMPUTED_VALUE"""),0.0)</f>
        <v>0</v>
      </c>
      <c r="X253" s="8">
        <f>IFERROR(__xludf.DUMMYFUNCTION("""COMPUTED_VALUE"""),0.0)</f>
        <v>0</v>
      </c>
      <c r="Y253" s="8">
        <f>IFERROR(__xludf.DUMMYFUNCTION("""COMPUTED_VALUE"""),0.0)</f>
        <v>0</v>
      </c>
      <c r="Z253" s="8">
        <f>IFERROR(__xludf.DUMMYFUNCTION("""COMPUTED_VALUE"""),0.0)</f>
        <v>0</v>
      </c>
      <c r="AA253" s="8">
        <f>IFERROR(__xludf.DUMMYFUNCTION("""COMPUTED_VALUE"""),0.0)</f>
        <v>0</v>
      </c>
      <c r="AB253" s="8">
        <f>IFERROR(__xludf.DUMMYFUNCTION("""COMPUTED_VALUE"""),0.0)</f>
        <v>0</v>
      </c>
      <c r="AC253" s="8">
        <f>IFERROR(__xludf.DUMMYFUNCTION("""COMPUTED_VALUE"""),0.0)</f>
        <v>0</v>
      </c>
    </row>
    <row r="254" ht="15.75" customHeight="1">
      <c r="A254" s="6" t="str">
        <f>IFERROR(__xludf.DUMMYFUNCTION("""COMPUTED_VALUE"""),"e79ceb682265a42fb44c988f861c20672776f19d")</f>
        <v>e79ceb682265a42fb44c988f861c20672776f19d</v>
      </c>
      <c r="B254" s="6" t="str">
        <f>IFERROR(__xludf.DUMMYFUNCTION("""COMPUTED_VALUE"""),"Faction of Unity: Wyrmara")</f>
        <v>Faction of Unity: Wyrmara</v>
      </c>
      <c r="C254" s="6" t="str">
        <f>IFERROR(__xludf.DUMMYFUNCTION("""COMPUTED_VALUE"""),"Fantasy")</f>
        <v>Fantasy</v>
      </c>
      <c r="D254" s="11">
        <f>IFERROR(__xludf.DUMMYFUNCTION("""COMPUTED_VALUE"""),38.0)</f>
        <v>38</v>
      </c>
      <c r="E254" s="8">
        <f>IFERROR(__xludf.DUMMYFUNCTION("""COMPUTED_VALUE"""),0.973684210526315)</f>
        <v>0.9736842105</v>
      </c>
      <c r="F254" s="8">
        <f>IFERROR(__xludf.DUMMYFUNCTION("""COMPUTED_VALUE"""),0.5)</f>
        <v>0.5</v>
      </c>
      <c r="G254" s="8">
        <f>IFERROR(__xludf.DUMMYFUNCTION("""COMPUTED_VALUE"""),0.447368421052631)</f>
        <v>0.4473684211</v>
      </c>
      <c r="H254" s="8">
        <f>IFERROR(__xludf.DUMMYFUNCTION("""COMPUTED_VALUE"""),0.421052631578947)</f>
        <v>0.4210526316</v>
      </c>
      <c r="I254" s="8">
        <f>IFERROR(__xludf.DUMMYFUNCTION("""COMPUTED_VALUE"""),0.394736842105263)</f>
        <v>0.3947368421</v>
      </c>
      <c r="J254" s="8">
        <f>IFERROR(__xludf.DUMMYFUNCTION("""COMPUTED_VALUE"""),0.368421052631578)</f>
        <v>0.3684210526</v>
      </c>
      <c r="K254" s="8">
        <f>IFERROR(__xludf.DUMMYFUNCTION("""COMPUTED_VALUE"""),0.31578947368421)</f>
        <v>0.3157894737</v>
      </c>
      <c r="L254" s="8">
        <f>IFERROR(__xludf.DUMMYFUNCTION("""COMPUTED_VALUE"""),0.27027027027027)</f>
        <v>0.2702702703</v>
      </c>
      <c r="M254" s="8">
        <f>IFERROR(__xludf.DUMMYFUNCTION("""COMPUTED_VALUE"""),0.297297297297297)</f>
        <v>0.2972972973</v>
      </c>
      <c r="N254" s="8">
        <f>IFERROR(__xludf.DUMMYFUNCTION("""COMPUTED_VALUE"""),0.297297297297297)</f>
        <v>0.2972972973</v>
      </c>
      <c r="O254" s="8">
        <f>IFERROR(__xludf.DUMMYFUNCTION("""COMPUTED_VALUE"""),0.142857142857142)</f>
        <v>0.1428571429</v>
      </c>
      <c r="P254" s="8">
        <f>IFERROR(__xludf.DUMMYFUNCTION("""COMPUTED_VALUE"""),0.0)</f>
        <v>0</v>
      </c>
      <c r="Q254" s="8">
        <f>IFERROR(__xludf.DUMMYFUNCTION("""COMPUTED_VALUE"""),0.0)</f>
        <v>0</v>
      </c>
      <c r="R254" s="8">
        <f>IFERROR(__xludf.DUMMYFUNCTION("""COMPUTED_VALUE"""),0.0)</f>
        <v>0</v>
      </c>
      <c r="S254" s="8">
        <f>IFERROR(__xludf.DUMMYFUNCTION("""COMPUTED_VALUE"""),0.0)</f>
        <v>0</v>
      </c>
      <c r="T254" s="8">
        <f>IFERROR(__xludf.DUMMYFUNCTION("""COMPUTED_VALUE"""),0.0)</f>
        <v>0</v>
      </c>
      <c r="U254" s="8">
        <f>IFERROR(__xludf.DUMMYFUNCTION("""COMPUTED_VALUE"""),0.0)</f>
        <v>0</v>
      </c>
      <c r="V254" s="8">
        <f>IFERROR(__xludf.DUMMYFUNCTION("""COMPUTED_VALUE"""),0.0)</f>
        <v>0</v>
      </c>
      <c r="W254" s="8">
        <f>IFERROR(__xludf.DUMMYFUNCTION("""COMPUTED_VALUE"""),0.0)</f>
        <v>0</v>
      </c>
      <c r="X254" s="8">
        <f>IFERROR(__xludf.DUMMYFUNCTION("""COMPUTED_VALUE"""),0.0)</f>
        <v>0</v>
      </c>
      <c r="Y254" s="8">
        <f>IFERROR(__xludf.DUMMYFUNCTION("""COMPUTED_VALUE"""),0.0)</f>
        <v>0</v>
      </c>
      <c r="Z254" s="8">
        <f>IFERROR(__xludf.DUMMYFUNCTION("""COMPUTED_VALUE"""),0.0)</f>
        <v>0</v>
      </c>
      <c r="AA254" s="8">
        <f>IFERROR(__xludf.DUMMYFUNCTION("""COMPUTED_VALUE"""),0.0)</f>
        <v>0</v>
      </c>
      <c r="AB254" s="8">
        <f>IFERROR(__xludf.DUMMYFUNCTION("""COMPUTED_VALUE"""),0.0)</f>
        <v>0</v>
      </c>
      <c r="AC254" s="8">
        <f>IFERROR(__xludf.DUMMYFUNCTION("""COMPUTED_VALUE"""),0.0)</f>
        <v>0</v>
      </c>
    </row>
    <row r="255" ht="15.75" customHeight="1">
      <c r="A255" s="6" t="str">
        <f>IFERROR(__xludf.DUMMYFUNCTION("""COMPUTED_VALUE"""),"e7a3ee79841762542e0eb645666b039c707001f5")</f>
        <v>e7a3ee79841762542e0eb645666b039c707001f5</v>
      </c>
      <c r="B255" s="6" t="str">
        <f>IFERROR(__xludf.DUMMYFUNCTION("""COMPUTED_VALUE"""),"Masked Prince's Princess")</f>
        <v>Masked Prince's Princess</v>
      </c>
      <c r="C255" s="6" t="str">
        <f>IFERROR(__xludf.DUMMYFUNCTION("""COMPUTED_VALUE"""),"Romance")</f>
        <v>Romance</v>
      </c>
      <c r="D255" s="11">
        <f>IFERROR(__xludf.DUMMYFUNCTION("""COMPUTED_VALUE"""),73.0)</f>
        <v>73</v>
      </c>
      <c r="E255" s="8">
        <f>IFERROR(__xludf.DUMMYFUNCTION("""COMPUTED_VALUE"""),0.958904109589041)</f>
        <v>0.9589041096</v>
      </c>
      <c r="F255" s="8">
        <f>IFERROR(__xludf.DUMMYFUNCTION("""COMPUTED_VALUE"""),0.602739726027397)</f>
        <v>0.602739726</v>
      </c>
      <c r="G255" s="8">
        <f>IFERROR(__xludf.DUMMYFUNCTION("""COMPUTED_VALUE"""),0.561643835616438)</f>
        <v>0.5616438356</v>
      </c>
      <c r="H255" s="8">
        <f>IFERROR(__xludf.DUMMYFUNCTION("""COMPUTED_VALUE"""),0.506849315068493)</f>
        <v>0.5068493151</v>
      </c>
      <c r="I255" s="8">
        <f>IFERROR(__xludf.DUMMYFUNCTION("""COMPUTED_VALUE"""),0.465753424657534)</f>
        <v>0.4657534247</v>
      </c>
      <c r="J255" s="8">
        <f>IFERROR(__xludf.DUMMYFUNCTION("""COMPUTED_VALUE"""),0.397260273972602)</f>
        <v>0.397260274</v>
      </c>
      <c r="K255" s="8">
        <f>IFERROR(__xludf.DUMMYFUNCTION("""COMPUTED_VALUE"""),0.397260273972602)</f>
        <v>0.397260274</v>
      </c>
      <c r="L255" s="8">
        <f>IFERROR(__xludf.DUMMYFUNCTION("""COMPUTED_VALUE"""),0.366197183098591)</f>
        <v>0.3661971831</v>
      </c>
      <c r="M255" s="8">
        <f>IFERROR(__xludf.DUMMYFUNCTION("""COMPUTED_VALUE"""),0.366197183098591)</f>
        <v>0.3661971831</v>
      </c>
      <c r="N255" s="8">
        <f>IFERROR(__xludf.DUMMYFUNCTION("""COMPUTED_VALUE"""),0.338028169014084)</f>
        <v>0.338028169</v>
      </c>
      <c r="O255" s="8">
        <f>IFERROR(__xludf.DUMMYFUNCTION("""COMPUTED_VALUE"""),0.338235294117647)</f>
        <v>0.3382352941</v>
      </c>
      <c r="P255" s="8">
        <f>IFERROR(__xludf.DUMMYFUNCTION("""COMPUTED_VALUE"""),0.238805970149253)</f>
        <v>0.2388059701</v>
      </c>
      <c r="Q255" s="8">
        <f>IFERROR(__xludf.DUMMYFUNCTION("""COMPUTED_VALUE"""),0.169230769230769)</f>
        <v>0.1692307692</v>
      </c>
      <c r="R255" s="8">
        <f>IFERROR(__xludf.DUMMYFUNCTION("""COMPUTED_VALUE"""),0.153846153846153)</f>
        <v>0.1538461538</v>
      </c>
      <c r="S255" s="8">
        <f>IFERROR(__xludf.DUMMYFUNCTION("""COMPUTED_VALUE"""),0.0)</f>
        <v>0</v>
      </c>
      <c r="T255" s="8">
        <f>IFERROR(__xludf.DUMMYFUNCTION("""COMPUTED_VALUE"""),0.0)</f>
        <v>0</v>
      </c>
      <c r="U255" s="8">
        <f>IFERROR(__xludf.DUMMYFUNCTION("""COMPUTED_VALUE"""),0.0)</f>
        <v>0</v>
      </c>
      <c r="V255" s="8">
        <f>IFERROR(__xludf.DUMMYFUNCTION("""COMPUTED_VALUE"""),0.0)</f>
        <v>0</v>
      </c>
      <c r="W255" s="8">
        <f>IFERROR(__xludf.DUMMYFUNCTION("""COMPUTED_VALUE"""),0.0)</f>
        <v>0</v>
      </c>
      <c r="X255" s="8">
        <f>IFERROR(__xludf.DUMMYFUNCTION("""COMPUTED_VALUE"""),0.0)</f>
        <v>0</v>
      </c>
      <c r="Y255" s="8">
        <f>IFERROR(__xludf.DUMMYFUNCTION("""COMPUTED_VALUE"""),0.0)</f>
        <v>0</v>
      </c>
      <c r="Z255" s="8">
        <f>IFERROR(__xludf.DUMMYFUNCTION("""COMPUTED_VALUE"""),0.0)</f>
        <v>0</v>
      </c>
      <c r="AA255" s="8">
        <f>IFERROR(__xludf.DUMMYFUNCTION("""COMPUTED_VALUE"""),0.0)</f>
        <v>0</v>
      </c>
      <c r="AB255" s="8">
        <f>IFERROR(__xludf.DUMMYFUNCTION("""COMPUTED_VALUE"""),0.0)</f>
        <v>0</v>
      </c>
      <c r="AC255" s="8">
        <f>IFERROR(__xludf.DUMMYFUNCTION("""COMPUTED_VALUE"""),0.0)</f>
        <v>0</v>
      </c>
    </row>
    <row r="256" ht="15.75" customHeight="1">
      <c r="A256" s="6" t="str">
        <f>IFERROR(__xludf.DUMMYFUNCTION("""COMPUTED_VALUE"""),"e835267a1c9909e759d530cea3d17b5999d86761")</f>
        <v>e835267a1c9909e759d530cea3d17b5999d86761</v>
      </c>
      <c r="B256" s="6" t="str">
        <f>IFERROR(__xludf.DUMMYFUNCTION("""COMPUTED_VALUE"""),"Her Lightness System")</f>
        <v>Her Lightness System</v>
      </c>
      <c r="C256" s="6" t="str">
        <f>IFERROR(__xludf.DUMMYFUNCTION("""COMPUTED_VALUE"""),"System and Superpower")</f>
        <v>System and Superpower</v>
      </c>
      <c r="D256" s="11">
        <f>IFERROR(__xludf.DUMMYFUNCTION("""COMPUTED_VALUE"""),139.0)</f>
        <v>139</v>
      </c>
      <c r="E256" s="8">
        <f>IFERROR(__xludf.DUMMYFUNCTION("""COMPUTED_VALUE"""),0.97841726618705)</f>
        <v>0.9784172662</v>
      </c>
      <c r="F256" s="8">
        <f>IFERROR(__xludf.DUMMYFUNCTION("""COMPUTED_VALUE"""),0.669064748201438)</f>
        <v>0.6690647482</v>
      </c>
      <c r="G256" s="8">
        <f>IFERROR(__xludf.DUMMYFUNCTION("""COMPUTED_VALUE"""),0.546762589928057)</f>
        <v>0.5467625899</v>
      </c>
      <c r="H256" s="8">
        <f>IFERROR(__xludf.DUMMYFUNCTION("""COMPUTED_VALUE"""),0.591304347826087)</f>
        <v>0.5913043478</v>
      </c>
      <c r="I256" s="8">
        <f>IFERROR(__xludf.DUMMYFUNCTION("""COMPUTED_VALUE"""),0.504504504504504)</f>
        <v>0.5045045045</v>
      </c>
      <c r="J256" s="8">
        <f>IFERROR(__xludf.DUMMYFUNCTION("""COMPUTED_VALUE"""),0.432989690721649)</f>
        <v>0.4329896907</v>
      </c>
      <c r="K256" s="8">
        <f>IFERROR(__xludf.DUMMYFUNCTION("""COMPUTED_VALUE"""),0.397849462365591)</f>
        <v>0.3978494624</v>
      </c>
      <c r="L256" s="8">
        <f>IFERROR(__xludf.DUMMYFUNCTION("""COMPUTED_VALUE"""),0.372093023255813)</f>
        <v>0.3720930233</v>
      </c>
      <c r="M256" s="8">
        <f>IFERROR(__xludf.DUMMYFUNCTION("""COMPUTED_VALUE"""),0.353658536585365)</f>
        <v>0.3536585366</v>
      </c>
      <c r="N256" s="8">
        <f>IFERROR(__xludf.DUMMYFUNCTION("""COMPUTED_VALUE"""),0.358974358974359)</f>
        <v>0.358974359</v>
      </c>
      <c r="O256" s="8">
        <f>IFERROR(__xludf.DUMMYFUNCTION("""COMPUTED_VALUE"""),0.275362318840579)</f>
        <v>0.2753623188</v>
      </c>
      <c r="P256" s="8">
        <f>IFERROR(__xludf.DUMMYFUNCTION("""COMPUTED_VALUE"""),0.144927536231884)</f>
        <v>0.1449275362</v>
      </c>
      <c r="Q256" s="8">
        <f>IFERROR(__xludf.DUMMYFUNCTION("""COMPUTED_VALUE"""),0.078125)</f>
        <v>0.078125</v>
      </c>
      <c r="R256" s="8">
        <f>IFERROR(__xludf.DUMMYFUNCTION("""COMPUTED_VALUE"""),0.048780487804878)</f>
        <v>0.0487804878</v>
      </c>
      <c r="S256" s="8">
        <f>IFERROR(__xludf.DUMMYFUNCTION("""COMPUTED_VALUE"""),0.0)</f>
        <v>0</v>
      </c>
      <c r="T256" s="8">
        <f>IFERROR(__xludf.DUMMYFUNCTION("""COMPUTED_VALUE"""),0.0)</f>
        <v>0</v>
      </c>
      <c r="U256" s="8">
        <f>IFERROR(__xludf.DUMMYFUNCTION("""COMPUTED_VALUE"""),0.0)</f>
        <v>0</v>
      </c>
      <c r="V256" s="8">
        <f>IFERROR(__xludf.DUMMYFUNCTION("""COMPUTED_VALUE"""),0.0)</f>
        <v>0</v>
      </c>
      <c r="W256" s="8">
        <f>IFERROR(__xludf.DUMMYFUNCTION("""COMPUTED_VALUE"""),0.0)</f>
        <v>0</v>
      </c>
      <c r="X256" s="8">
        <f>IFERROR(__xludf.DUMMYFUNCTION("""COMPUTED_VALUE"""),0.0)</f>
        <v>0</v>
      </c>
      <c r="Y256" s="8">
        <f>IFERROR(__xludf.DUMMYFUNCTION("""COMPUTED_VALUE"""),0.0)</f>
        <v>0</v>
      </c>
      <c r="Z256" s="8">
        <f>IFERROR(__xludf.DUMMYFUNCTION("""COMPUTED_VALUE"""),0.0)</f>
        <v>0</v>
      </c>
      <c r="AA256" s="8">
        <f>IFERROR(__xludf.DUMMYFUNCTION("""COMPUTED_VALUE"""),0.0)</f>
        <v>0</v>
      </c>
      <c r="AB256" s="8">
        <f>IFERROR(__xludf.DUMMYFUNCTION("""COMPUTED_VALUE"""),0.0)</f>
        <v>0</v>
      </c>
      <c r="AC256" s="8">
        <f>IFERROR(__xludf.DUMMYFUNCTION("""COMPUTED_VALUE"""),0.0)</f>
        <v>0</v>
      </c>
    </row>
    <row r="257" ht="15.75" customHeight="1">
      <c r="A257" s="6" t="str">
        <f>IFERROR(__xludf.DUMMYFUNCTION("""COMPUTED_VALUE"""),"e83bb9290a73242b13db9a4453b23f1b0ca9fed0")</f>
        <v>e83bb9290a73242b13db9a4453b23f1b0ca9fed0</v>
      </c>
      <c r="B257" s="6" t="str">
        <f>IFERROR(__xludf.DUMMYFUNCTION("""COMPUTED_VALUE"""),"The Baby He Denied")</f>
        <v>The Baby He Denied</v>
      </c>
      <c r="C257" s="6" t="str">
        <f>IFERROR(__xludf.DUMMYFUNCTION("""COMPUTED_VALUE"""),"Romance")</f>
        <v>Romance</v>
      </c>
      <c r="D257" s="11">
        <f>IFERROR(__xludf.DUMMYFUNCTION("""COMPUTED_VALUE"""),174.0)</f>
        <v>174</v>
      </c>
      <c r="E257" s="8">
        <f>IFERROR(__xludf.DUMMYFUNCTION("""COMPUTED_VALUE"""),0.971264367816091)</f>
        <v>0.9712643678</v>
      </c>
      <c r="F257" s="8">
        <f>IFERROR(__xludf.DUMMYFUNCTION("""COMPUTED_VALUE"""),0.701149425287356)</f>
        <v>0.7011494253</v>
      </c>
      <c r="G257" s="8">
        <f>IFERROR(__xludf.DUMMYFUNCTION("""COMPUTED_VALUE"""),0.597701149425287)</f>
        <v>0.5977011494</v>
      </c>
      <c r="H257" s="8">
        <f>IFERROR(__xludf.DUMMYFUNCTION("""COMPUTED_VALUE"""),0.563218390804597)</f>
        <v>0.5632183908</v>
      </c>
      <c r="I257" s="8">
        <f>IFERROR(__xludf.DUMMYFUNCTION("""COMPUTED_VALUE"""),0.560693641618497)</f>
        <v>0.5606936416</v>
      </c>
      <c r="J257" s="8">
        <f>IFERROR(__xludf.DUMMYFUNCTION("""COMPUTED_VALUE"""),0.543352601156069)</f>
        <v>0.5433526012</v>
      </c>
      <c r="K257" s="8">
        <f>IFERROR(__xludf.DUMMYFUNCTION("""COMPUTED_VALUE"""),0.473988439306358)</f>
        <v>0.4739884393</v>
      </c>
      <c r="L257" s="8">
        <f>IFERROR(__xludf.DUMMYFUNCTION("""COMPUTED_VALUE"""),0.453488372093023)</f>
        <v>0.4534883721</v>
      </c>
      <c r="M257" s="8">
        <f>IFERROR(__xludf.DUMMYFUNCTION("""COMPUTED_VALUE"""),0.432748538011695)</f>
        <v>0.432748538</v>
      </c>
      <c r="N257" s="8">
        <f>IFERROR(__xludf.DUMMYFUNCTION("""COMPUTED_VALUE"""),0.388235294117647)</f>
        <v>0.3882352941</v>
      </c>
      <c r="O257" s="8">
        <f>IFERROR(__xludf.DUMMYFUNCTION("""COMPUTED_VALUE"""),0.341176470588235)</f>
        <v>0.3411764706</v>
      </c>
      <c r="P257" s="8">
        <f>IFERROR(__xludf.DUMMYFUNCTION("""COMPUTED_VALUE"""),0.281045751633986)</f>
        <v>0.2810457516</v>
      </c>
      <c r="Q257" s="8">
        <f>IFERROR(__xludf.DUMMYFUNCTION("""COMPUTED_VALUE"""),0.130434782608695)</f>
        <v>0.1304347826</v>
      </c>
      <c r="R257" s="8">
        <f>IFERROR(__xludf.DUMMYFUNCTION("""COMPUTED_VALUE"""),0.0)</f>
        <v>0</v>
      </c>
      <c r="S257" s="8">
        <f>IFERROR(__xludf.DUMMYFUNCTION("""COMPUTED_VALUE"""),0.0)</f>
        <v>0</v>
      </c>
      <c r="T257" s="8">
        <f>IFERROR(__xludf.DUMMYFUNCTION("""COMPUTED_VALUE"""),0.0)</f>
        <v>0</v>
      </c>
      <c r="U257" s="8">
        <f>IFERROR(__xludf.DUMMYFUNCTION("""COMPUTED_VALUE"""),0.0)</f>
        <v>0</v>
      </c>
      <c r="V257" s="8">
        <f>IFERROR(__xludf.DUMMYFUNCTION("""COMPUTED_VALUE"""),0.0)</f>
        <v>0</v>
      </c>
      <c r="W257" s="8">
        <f>IFERROR(__xludf.DUMMYFUNCTION("""COMPUTED_VALUE"""),0.0)</f>
        <v>0</v>
      </c>
      <c r="X257" s="8">
        <f>IFERROR(__xludf.DUMMYFUNCTION("""COMPUTED_VALUE"""),0.0)</f>
        <v>0</v>
      </c>
      <c r="Y257" s="8">
        <f>IFERROR(__xludf.DUMMYFUNCTION("""COMPUTED_VALUE"""),0.0)</f>
        <v>0</v>
      </c>
      <c r="Z257" s="8">
        <f>IFERROR(__xludf.DUMMYFUNCTION("""COMPUTED_VALUE"""),0.0)</f>
        <v>0</v>
      </c>
      <c r="AA257" s="8">
        <f>IFERROR(__xludf.DUMMYFUNCTION("""COMPUTED_VALUE"""),0.0)</f>
        <v>0</v>
      </c>
      <c r="AB257" s="8">
        <f>IFERROR(__xludf.DUMMYFUNCTION("""COMPUTED_VALUE"""),0.0)</f>
        <v>0</v>
      </c>
      <c r="AC257" s="8">
        <f>IFERROR(__xludf.DUMMYFUNCTION("""COMPUTED_VALUE"""),0.0)</f>
        <v>0</v>
      </c>
    </row>
    <row r="258" ht="15.75" customHeight="1">
      <c r="A258" s="6" t="str">
        <f>IFERROR(__xludf.DUMMYFUNCTION("""COMPUTED_VALUE"""),"e8df3cfef87feac45c4c024f9cbd7254cfc15952")</f>
        <v>e8df3cfef87feac45c4c024f9cbd7254cfc15952</v>
      </c>
      <c r="B258" s="6" t="str">
        <f>IFERROR(__xludf.DUMMYFUNCTION("""COMPUTED_VALUE"""),"Between Wolves and Lies")</f>
        <v>Between Wolves and Lies</v>
      </c>
      <c r="C258" s="6" t="str">
        <f>IFERROR(__xludf.DUMMYFUNCTION("""COMPUTED_VALUE"""),"Romantasy")</f>
        <v>Romantasy</v>
      </c>
      <c r="D258" s="11">
        <f>IFERROR(__xludf.DUMMYFUNCTION("""COMPUTED_VALUE"""),52.0)</f>
        <v>52</v>
      </c>
      <c r="E258" s="8">
        <f>IFERROR(__xludf.DUMMYFUNCTION("""COMPUTED_VALUE"""),1.0)</f>
        <v>1</v>
      </c>
      <c r="F258" s="8">
        <f>IFERROR(__xludf.DUMMYFUNCTION("""COMPUTED_VALUE"""),0.461538461538461)</f>
        <v>0.4615384615</v>
      </c>
      <c r="G258" s="8">
        <f>IFERROR(__xludf.DUMMYFUNCTION("""COMPUTED_VALUE"""),0.423076923076923)</f>
        <v>0.4230769231</v>
      </c>
      <c r="H258" s="8">
        <f>IFERROR(__xludf.DUMMYFUNCTION("""COMPUTED_VALUE"""),0.365384615384615)</f>
        <v>0.3653846154</v>
      </c>
      <c r="I258" s="8">
        <f>IFERROR(__xludf.DUMMYFUNCTION("""COMPUTED_VALUE"""),0.346153846153846)</f>
        <v>0.3461538462</v>
      </c>
      <c r="J258" s="8">
        <f>IFERROR(__xludf.DUMMYFUNCTION("""COMPUTED_VALUE"""),0.346153846153846)</f>
        <v>0.3461538462</v>
      </c>
      <c r="K258" s="8">
        <f>IFERROR(__xludf.DUMMYFUNCTION("""COMPUTED_VALUE"""),0.326923076923076)</f>
        <v>0.3269230769</v>
      </c>
      <c r="L258" s="8">
        <f>IFERROR(__xludf.DUMMYFUNCTION("""COMPUTED_VALUE"""),0.288461538461538)</f>
        <v>0.2884615385</v>
      </c>
      <c r="M258" s="8">
        <f>IFERROR(__xludf.DUMMYFUNCTION("""COMPUTED_VALUE"""),0.288461538461538)</f>
        <v>0.2884615385</v>
      </c>
      <c r="N258" s="8">
        <f>IFERROR(__xludf.DUMMYFUNCTION("""COMPUTED_VALUE"""),0.288461538461538)</f>
        <v>0.2884615385</v>
      </c>
      <c r="O258" s="8">
        <f>IFERROR(__xludf.DUMMYFUNCTION("""COMPUTED_VALUE"""),0.23076923076923)</f>
        <v>0.2307692308</v>
      </c>
      <c r="P258" s="8">
        <f>IFERROR(__xludf.DUMMYFUNCTION("""COMPUTED_VALUE"""),0.0961538461538461)</f>
        <v>0.09615384615</v>
      </c>
      <c r="Q258" s="8">
        <f>IFERROR(__xludf.DUMMYFUNCTION("""COMPUTED_VALUE"""),0.0)</f>
        <v>0</v>
      </c>
      <c r="R258" s="8">
        <f>IFERROR(__xludf.DUMMYFUNCTION("""COMPUTED_VALUE"""),0.0)</f>
        <v>0</v>
      </c>
      <c r="S258" s="8">
        <f>IFERROR(__xludf.DUMMYFUNCTION("""COMPUTED_VALUE"""),0.0)</f>
        <v>0</v>
      </c>
      <c r="T258" s="8">
        <f>IFERROR(__xludf.DUMMYFUNCTION("""COMPUTED_VALUE"""),0.0)</f>
        <v>0</v>
      </c>
      <c r="U258" s="8">
        <f>IFERROR(__xludf.DUMMYFUNCTION("""COMPUTED_VALUE"""),0.0)</f>
        <v>0</v>
      </c>
      <c r="V258" s="8">
        <f>IFERROR(__xludf.DUMMYFUNCTION("""COMPUTED_VALUE"""),0.0)</f>
        <v>0</v>
      </c>
      <c r="W258" s="8">
        <f>IFERROR(__xludf.DUMMYFUNCTION("""COMPUTED_VALUE"""),0.0)</f>
        <v>0</v>
      </c>
      <c r="X258" s="8">
        <f>IFERROR(__xludf.DUMMYFUNCTION("""COMPUTED_VALUE"""),0.0)</f>
        <v>0</v>
      </c>
      <c r="Y258" s="8">
        <f>IFERROR(__xludf.DUMMYFUNCTION("""COMPUTED_VALUE"""),0.0)</f>
        <v>0</v>
      </c>
      <c r="Z258" s="8">
        <f>IFERROR(__xludf.DUMMYFUNCTION("""COMPUTED_VALUE"""),0.0)</f>
        <v>0</v>
      </c>
      <c r="AA258" s="8">
        <f>IFERROR(__xludf.DUMMYFUNCTION("""COMPUTED_VALUE"""),0.0)</f>
        <v>0</v>
      </c>
      <c r="AB258" s="8">
        <f>IFERROR(__xludf.DUMMYFUNCTION("""COMPUTED_VALUE"""),0.0)</f>
        <v>0</v>
      </c>
      <c r="AC258" s="8">
        <f>IFERROR(__xludf.DUMMYFUNCTION("""COMPUTED_VALUE"""),0.0)</f>
        <v>0</v>
      </c>
    </row>
    <row r="259" ht="15.75" customHeight="1">
      <c r="A259" s="6" t="str">
        <f>IFERROR(__xludf.DUMMYFUNCTION("""COMPUTED_VALUE"""),"ed37d82285cfdcacdd3008ef7825d877fd575b57")</f>
        <v>ed37d82285cfdcacdd3008ef7825d877fd575b57</v>
      </c>
      <c r="B259" s="6" t="str">
        <f>IFERROR(__xludf.DUMMYFUNCTION("""COMPUTED_VALUE"""),"Charade")</f>
        <v>Charade</v>
      </c>
      <c r="C259" s="6" t="str">
        <f>IFERROR(__xludf.DUMMYFUNCTION("""COMPUTED_VALUE"""),"Fantasy")</f>
        <v>Fantasy</v>
      </c>
      <c r="D259" s="11">
        <f>IFERROR(__xludf.DUMMYFUNCTION("""COMPUTED_VALUE"""),2.0)</f>
        <v>2</v>
      </c>
      <c r="E259" s="8">
        <f>IFERROR(__xludf.DUMMYFUNCTION("""COMPUTED_VALUE"""),1.0)</f>
        <v>1</v>
      </c>
      <c r="F259" s="8">
        <f>IFERROR(__xludf.DUMMYFUNCTION("""COMPUTED_VALUE"""),1.0)</f>
        <v>1</v>
      </c>
      <c r="G259" s="8">
        <f>IFERROR(__xludf.DUMMYFUNCTION("""COMPUTED_VALUE"""),0.5)</f>
        <v>0.5</v>
      </c>
      <c r="H259" s="8">
        <f>IFERROR(__xludf.DUMMYFUNCTION("""COMPUTED_VALUE"""),0.5)</f>
        <v>0.5</v>
      </c>
      <c r="I259" s="8">
        <f>IFERROR(__xludf.DUMMYFUNCTION("""COMPUTED_VALUE"""),0.5)</f>
        <v>0.5</v>
      </c>
      <c r="J259" s="8">
        <f>IFERROR(__xludf.DUMMYFUNCTION("""COMPUTED_VALUE"""),0.5)</f>
        <v>0.5</v>
      </c>
      <c r="K259" s="8">
        <f>IFERROR(__xludf.DUMMYFUNCTION("""COMPUTED_VALUE"""),0.5)</f>
        <v>0.5</v>
      </c>
      <c r="L259" s="8">
        <f>IFERROR(__xludf.DUMMYFUNCTION("""COMPUTED_VALUE"""),0.5)</f>
        <v>0.5</v>
      </c>
      <c r="M259" s="8">
        <f>IFERROR(__xludf.DUMMYFUNCTION("""COMPUTED_VALUE"""),0.5)</f>
        <v>0.5</v>
      </c>
      <c r="N259" s="8">
        <f>IFERROR(__xludf.DUMMYFUNCTION("""COMPUTED_VALUE"""),0.5)</f>
        <v>0.5</v>
      </c>
      <c r="O259" s="8">
        <f>IFERROR(__xludf.DUMMYFUNCTION("""COMPUTED_VALUE"""),0.5)</f>
        <v>0.5</v>
      </c>
      <c r="P259" s="8">
        <f>IFERROR(__xludf.DUMMYFUNCTION("""COMPUTED_VALUE"""),0.5)</f>
        <v>0.5</v>
      </c>
      <c r="Q259" s="8">
        <f>IFERROR(__xludf.DUMMYFUNCTION("""COMPUTED_VALUE"""),0.0)</f>
        <v>0</v>
      </c>
      <c r="R259" s="8">
        <f>IFERROR(__xludf.DUMMYFUNCTION("""COMPUTED_VALUE"""),0.0)</f>
        <v>0</v>
      </c>
      <c r="S259" s="8">
        <f>IFERROR(__xludf.DUMMYFUNCTION("""COMPUTED_VALUE"""),0.0)</f>
        <v>0</v>
      </c>
      <c r="T259" s="8">
        <f>IFERROR(__xludf.DUMMYFUNCTION("""COMPUTED_VALUE"""),0.0)</f>
        <v>0</v>
      </c>
      <c r="U259" s="8">
        <f>IFERROR(__xludf.DUMMYFUNCTION("""COMPUTED_VALUE"""),0.0)</f>
        <v>0</v>
      </c>
      <c r="V259" s="8">
        <f>IFERROR(__xludf.DUMMYFUNCTION("""COMPUTED_VALUE"""),0.0)</f>
        <v>0</v>
      </c>
      <c r="W259" s="8">
        <f>IFERROR(__xludf.DUMMYFUNCTION("""COMPUTED_VALUE"""),0.0)</f>
        <v>0</v>
      </c>
      <c r="X259" s="8">
        <f>IFERROR(__xludf.DUMMYFUNCTION("""COMPUTED_VALUE"""),0.0)</f>
        <v>0</v>
      </c>
      <c r="Y259" s="8">
        <f>IFERROR(__xludf.DUMMYFUNCTION("""COMPUTED_VALUE"""),0.0)</f>
        <v>0</v>
      </c>
      <c r="Z259" s="8">
        <f>IFERROR(__xludf.DUMMYFUNCTION("""COMPUTED_VALUE"""),0.0)</f>
        <v>0</v>
      </c>
      <c r="AA259" s="8">
        <f>IFERROR(__xludf.DUMMYFUNCTION("""COMPUTED_VALUE"""),0.0)</f>
        <v>0</v>
      </c>
      <c r="AB259" s="8">
        <f>IFERROR(__xludf.DUMMYFUNCTION("""COMPUTED_VALUE"""),0.0)</f>
        <v>0</v>
      </c>
      <c r="AC259" s="8">
        <f>IFERROR(__xludf.DUMMYFUNCTION("""COMPUTED_VALUE"""),0.0)</f>
        <v>0</v>
      </c>
    </row>
    <row r="260" ht="15.75" customHeight="1">
      <c r="A260" s="6" t="str">
        <f>IFERROR(__xludf.DUMMYFUNCTION("""COMPUTED_VALUE"""),"ee2e216e3dceba69118e501b055c3b7b9a0335a3")</f>
        <v>ee2e216e3dceba69118e501b055c3b7b9a0335a3</v>
      </c>
      <c r="B260" s="6" t="str">
        <f>IFERROR(__xludf.DUMMYFUNCTION("""COMPUTED_VALUE"""),"Kyan's System Awakening")</f>
        <v>Kyan's System Awakening</v>
      </c>
      <c r="C260" s="6" t="str">
        <f>IFERROR(__xludf.DUMMYFUNCTION("""COMPUTED_VALUE"""),"Fantasy")</f>
        <v>Fantasy</v>
      </c>
      <c r="D260" s="11">
        <f>IFERROR(__xludf.DUMMYFUNCTION("""COMPUTED_VALUE"""),3019.0)</f>
        <v>3019</v>
      </c>
      <c r="E260" s="8">
        <f>IFERROR(__xludf.DUMMYFUNCTION("""COMPUTED_VALUE"""),0.975488572374958)</f>
        <v>0.9754885724</v>
      </c>
      <c r="F260" s="8">
        <f>IFERROR(__xludf.DUMMYFUNCTION("""COMPUTED_VALUE"""),0.660814839350778)</f>
        <v>0.6608148394</v>
      </c>
      <c r="G260" s="8">
        <f>IFERROR(__xludf.DUMMYFUNCTION("""COMPUTED_VALUE"""),0.599205034779728)</f>
        <v>0.5992050348</v>
      </c>
      <c r="H260" s="8">
        <f>IFERROR(__xludf.DUMMYFUNCTION("""COMPUTED_VALUE"""),0.582432432432432)</f>
        <v>0.5824324324</v>
      </c>
      <c r="I260" s="8">
        <f>IFERROR(__xludf.DUMMYFUNCTION("""COMPUTED_VALUE"""),0.559125085440874)</f>
        <v>0.5591250854</v>
      </c>
      <c r="J260" s="8">
        <f>IFERROR(__xludf.DUMMYFUNCTION("""COMPUTED_VALUE"""),0.542243767313019)</f>
        <v>0.5422437673</v>
      </c>
      <c r="K260" s="8">
        <f>IFERROR(__xludf.DUMMYFUNCTION("""COMPUTED_VALUE"""),0.523178807947019)</f>
        <v>0.5231788079</v>
      </c>
      <c r="L260" s="8">
        <f>IFERROR(__xludf.DUMMYFUNCTION("""COMPUTED_VALUE"""),0.5)</f>
        <v>0.5</v>
      </c>
      <c r="M260" s="8">
        <f>IFERROR(__xludf.DUMMYFUNCTION("""COMPUTED_VALUE"""),0.48205312275664)</f>
        <v>0.4820531228</v>
      </c>
      <c r="N260" s="8">
        <f>IFERROR(__xludf.DUMMYFUNCTION("""COMPUTED_VALUE"""),0.471988282680336)</f>
        <v>0.4719882827</v>
      </c>
      <c r="O260" s="8">
        <f>IFERROR(__xludf.DUMMYFUNCTION("""COMPUTED_VALUE"""),0.435464888191447)</f>
        <v>0.4354648882</v>
      </c>
      <c r="P260" s="8">
        <f>IFERROR(__xludf.DUMMYFUNCTION("""COMPUTED_VALUE"""),0.334084761045987)</f>
        <v>0.334084761</v>
      </c>
      <c r="Q260" s="8">
        <f>IFERROR(__xludf.DUMMYFUNCTION("""COMPUTED_VALUE"""),0.230252100840336)</f>
        <v>0.2302521008</v>
      </c>
      <c r="R260" s="8">
        <f>IFERROR(__xludf.DUMMYFUNCTION("""COMPUTED_VALUE"""),0.140208574739281)</f>
        <v>0.1402085747</v>
      </c>
      <c r="S260" s="8">
        <f>IFERROR(__xludf.DUMMYFUNCTION("""COMPUTED_VALUE"""),0.0894160583941605)</f>
        <v>0.08941605839</v>
      </c>
      <c r="T260" s="8">
        <f>IFERROR(__xludf.DUMMYFUNCTION("""COMPUTED_VALUE"""),0.0588235294117647)</f>
        <v>0.05882352941</v>
      </c>
      <c r="U260" s="8">
        <f>IFERROR(__xludf.DUMMYFUNCTION("""COMPUTED_VALUE"""),0.0)</f>
        <v>0</v>
      </c>
      <c r="V260" s="8">
        <f>IFERROR(__xludf.DUMMYFUNCTION("""COMPUTED_VALUE"""),0.0)</f>
        <v>0</v>
      </c>
      <c r="W260" s="8">
        <f>IFERROR(__xludf.DUMMYFUNCTION("""COMPUTED_VALUE"""),0.0)</f>
        <v>0</v>
      </c>
      <c r="X260" s="8">
        <f>IFERROR(__xludf.DUMMYFUNCTION("""COMPUTED_VALUE"""),0.0)</f>
        <v>0</v>
      </c>
      <c r="Y260" s="8">
        <f>IFERROR(__xludf.DUMMYFUNCTION("""COMPUTED_VALUE"""),0.0)</f>
        <v>0</v>
      </c>
      <c r="Z260" s="8">
        <f>IFERROR(__xludf.DUMMYFUNCTION("""COMPUTED_VALUE"""),0.0)</f>
        <v>0</v>
      </c>
      <c r="AA260" s="8">
        <f>IFERROR(__xludf.DUMMYFUNCTION("""COMPUTED_VALUE"""),0.0)</f>
        <v>0</v>
      </c>
      <c r="AB260" s="8">
        <f>IFERROR(__xludf.DUMMYFUNCTION("""COMPUTED_VALUE"""),0.0)</f>
        <v>0</v>
      </c>
      <c r="AC260" s="8">
        <f>IFERROR(__xludf.DUMMYFUNCTION("""COMPUTED_VALUE"""),0.0)</f>
        <v>0</v>
      </c>
    </row>
    <row r="261" ht="15.75" customHeight="1">
      <c r="A261" s="6" t="str">
        <f>IFERROR(__xludf.DUMMYFUNCTION("""COMPUTED_VALUE"""),"ef47552b570f8fc4cc243b88fae469ea12c31df0")</f>
        <v>ef47552b570f8fc4cc243b88fae469ea12c31df0</v>
      </c>
      <c r="B261" s="6" t="str">
        <f>IFERROR(__xludf.DUMMYFUNCTION("""COMPUTED_VALUE"""),"Mated to Enemy’s Luna")</f>
        <v>Mated to Enemy’s Luna</v>
      </c>
      <c r="C261" s="6" t="str">
        <f>IFERROR(__xludf.DUMMYFUNCTION("""COMPUTED_VALUE"""),"Romantasy")</f>
        <v>Romantasy</v>
      </c>
      <c r="D261" s="11">
        <f>IFERROR(__xludf.DUMMYFUNCTION("""COMPUTED_VALUE"""),11.0)</f>
        <v>11</v>
      </c>
      <c r="E261" s="8">
        <f>IFERROR(__xludf.DUMMYFUNCTION("""COMPUTED_VALUE"""),1.0)</f>
        <v>1</v>
      </c>
      <c r="F261" s="8">
        <f>IFERROR(__xludf.DUMMYFUNCTION("""COMPUTED_VALUE"""),0.636363636363636)</f>
        <v>0.6363636364</v>
      </c>
      <c r="G261" s="8">
        <f>IFERROR(__xludf.DUMMYFUNCTION("""COMPUTED_VALUE"""),0.636363636363636)</f>
        <v>0.6363636364</v>
      </c>
      <c r="H261" s="8">
        <f>IFERROR(__xludf.DUMMYFUNCTION("""COMPUTED_VALUE"""),0.636363636363636)</f>
        <v>0.6363636364</v>
      </c>
      <c r="I261" s="8">
        <f>IFERROR(__xludf.DUMMYFUNCTION("""COMPUTED_VALUE"""),0.545454545454545)</f>
        <v>0.5454545455</v>
      </c>
      <c r="J261" s="8">
        <f>IFERROR(__xludf.DUMMYFUNCTION("""COMPUTED_VALUE"""),0.454545454545454)</f>
        <v>0.4545454545</v>
      </c>
      <c r="K261" s="8">
        <f>IFERROR(__xludf.DUMMYFUNCTION("""COMPUTED_VALUE"""),0.363636363636363)</f>
        <v>0.3636363636</v>
      </c>
      <c r="L261" s="8">
        <f>IFERROR(__xludf.DUMMYFUNCTION("""COMPUTED_VALUE"""),0.4)</f>
        <v>0.4</v>
      </c>
      <c r="M261" s="8">
        <f>IFERROR(__xludf.DUMMYFUNCTION("""COMPUTED_VALUE"""),0.4)</f>
        <v>0.4</v>
      </c>
      <c r="N261" s="8">
        <f>IFERROR(__xludf.DUMMYFUNCTION("""COMPUTED_VALUE"""),0.4)</f>
        <v>0.4</v>
      </c>
      <c r="O261" s="8">
        <f>IFERROR(__xludf.DUMMYFUNCTION("""COMPUTED_VALUE"""),0.3)</f>
        <v>0.3</v>
      </c>
      <c r="P261" s="8">
        <f>IFERROR(__xludf.DUMMYFUNCTION("""COMPUTED_VALUE"""),0.222222222222222)</f>
        <v>0.2222222222</v>
      </c>
      <c r="Q261" s="8">
        <f>IFERROR(__xludf.DUMMYFUNCTION("""COMPUTED_VALUE"""),0.0)</f>
        <v>0</v>
      </c>
      <c r="R261" s="8">
        <f>IFERROR(__xludf.DUMMYFUNCTION("""COMPUTED_VALUE"""),0.0)</f>
        <v>0</v>
      </c>
      <c r="S261" s="8">
        <f>IFERROR(__xludf.DUMMYFUNCTION("""COMPUTED_VALUE"""),0.0)</f>
        <v>0</v>
      </c>
      <c r="T261" s="8">
        <f>IFERROR(__xludf.DUMMYFUNCTION("""COMPUTED_VALUE"""),0.0)</f>
        <v>0</v>
      </c>
      <c r="U261" s="8">
        <f>IFERROR(__xludf.DUMMYFUNCTION("""COMPUTED_VALUE"""),0.0)</f>
        <v>0</v>
      </c>
      <c r="V261" s="8">
        <f>IFERROR(__xludf.DUMMYFUNCTION("""COMPUTED_VALUE"""),0.0)</f>
        <v>0</v>
      </c>
      <c r="W261" s="8">
        <f>IFERROR(__xludf.DUMMYFUNCTION("""COMPUTED_VALUE"""),0.0)</f>
        <v>0</v>
      </c>
      <c r="X261" s="8">
        <f>IFERROR(__xludf.DUMMYFUNCTION("""COMPUTED_VALUE"""),0.0)</f>
        <v>0</v>
      </c>
      <c r="Y261" s="8">
        <f>IFERROR(__xludf.DUMMYFUNCTION("""COMPUTED_VALUE"""),0.0)</f>
        <v>0</v>
      </c>
      <c r="Z261" s="8">
        <f>IFERROR(__xludf.DUMMYFUNCTION("""COMPUTED_VALUE"""),0.0)</f>
        <v>0</v>
      </c>
      <c r="AA261" s="8">
        <f>IFERROR(__xludf.DUMMYFUNCTION("""COMPUTED_VALUE"""),0.0)</f>
        <v>0</v>
      </c>
      <c r="AB261" s="8">
        <f>IFERROR(__xludf.DUMMYFUNCTION("""COMPUTED_VALUE"""),0.0)</f>
        <v>0</v>
      </c>
      <c r="AC261" s="8">
        <f>IFERROR(__xludf.DUMMYFUNCTION("""COMPUTED_VALUE"""),0.0)</f>
        <v>0</v>
      </c>
    </row>
    <row r="262" ht="15.75" customHeight="1">
      <c r="A262" s="6" t="str">
        <f>IFERROR(__xludf.DUMMYFUNCTION("""COMPUTED_VALUE"""),"efc5ab9117a97ffce6537344dcb0416ed5ff0dc1")</f>
        <v>efc5ab9117a97ffce6537344dcb0416ed5ff0dc1</v>
      </c>
      <c r="B262" s="6" t="str">
        <f>IFERROR(__xludf.DUMMYFUNCTION("""COMPUTED_VALUE"""),"Imperial Clan Descends")</f>
        <v>Imperial Clan Descends</v>
      </c>
      <c r="C262" s="6" t="str">
        <f>IFERROR(__xludf.DUMMYFUNCTION("""COMPUTED_VALUE"""),"Drama")</f>
        <v>Drama</v>
      </c>
      <c r="D262" s="11">
        <f>IFERROR(__xludf.DUMMYFUNCTION("""COMPUTED_VALUE"""),115.0)</f>
        <v>115</v>
      </c>
      <c r="E262" s="8">
        <f>IFERROR(__xludf.DUMMYFUNCTION("""COMPUTED_VALUE"""),0.991304347826087)</f>
        <v>0.9913043478</v>
      </c>
      <c r="F262" s="8">
        <f>IFERROR(__xludf.DUMMYFUNCTION("""COMPUTED_VALUE"""),0.426086956521739)</f>
        <v>0.4260869565</v>
      </c>
      <c r="G262" s="8">
        <f>IFERROR(__xludf.DUMMYFUNCTION("""COMPUTED_VALUE"""),0.321739130434782)</f>
        <v>0.3217391304</v>
      </c>
      <c r="H262" s="8">
        <f>IFERROR(__xludf.DUMMYFUNCTION("""COMPUTED_VALUE"""),0.252747252747252)</f>
        <v>0.2527472527</v>
      </c>
      <c r="I262" s="8">
        <f>IFERROR(__xludf.DUMMYFUNCTION("""COMPUTED_VALUE"""),0.206896551724137)</f>
        <v>0.2068965517</v>
      </c>
      <c r="J262" s="8">
        <f>IFERROR(__xludf.DUMMYFUNCTION("""COMPUTED_VALUE"""),0.16)</f>
        <v>0.16</v>
      </c>
      <c r="K262" s="8">
        <f>IFERROR(__xludf.DUMMYFUNCTION("""COMPUTED_VALUE"""),0.154929577464788)</f>
        <v>0.1549295775</v>
      </c>
      <c r="L262" s="8">
        <f>IFERROR(__xludf.DUMMYFUNCTION("""COMPUTED_VALUE"""),0.135593220338983)</f>
        <v>0.1355932203</v>
      </c>
      <c r="M262" s="8">
        <f>IFERROR(__xludf.DUMMYFUNCTION("""COMPUTED_VALUE"""),0.166666666666666)</f>
        <v>0.1666666667</v>
      </c>
      <c r="N262" s="8">
        <f>IFERROR(__xludf.DUMMYFUNCTION("""COMPUTED_VALUE"""),0.125)</f>
        <v>0.125</v>
      </c>
      <c r="O262" s="8">
        <f>IFERROR(__xludf.DUMMYFUNCTION("""COMPUTED_VALUE"""),0.12)</f>
        <v>0.12</v>
      </c>
      <c r="P262" s="8">
        <f>IFERROR(__xludf.DUMMYFUNCTION("""COMPUTED_VALUE"""),0.166666666666666)</f>
        <v>0.1666666667</v>
      </c>
      <c r="Q262" s="8">
        <f>IFERROR(__xludf.DUMMYFUNCTION("""COMPUTED_VALUE"""),0.125)</f>
        <v>0.125</v>
      </c>
      <c r="R262" s="8">
        <f>IFERROR(__xludf.DUMMYFUNCTION("""COMPUTED_VALUE"""),0.136363636363636)</f>
        <v>0.1363636364</v>
      </c>
      <c r="S262" s="8">
        <f>IFERROR(__xludf.DUMMYFUNCTION("""COMPUTED_VALUE"""),0.0)</f>
        <v>0</v>
      </c>
      <c r="T262" s="8">
        <f>IFERROR(__xludf.DUMMYFUNCTION("""COMPUTED_VALUE"""),0.0)</f>
        <v>0</v>
      </c>
      <c r="U262" s="8">
        <f>IFERROR(__xludf.DUMMYFUNCTION("""COMPUTED_VALUE"""),0.0)</f>
        <v>0</v>
      </c>
      <c r="V262" s="8">
        <f>IFERROR(__xludf.DUMMYFUNCTION("""COMPUTED_VALUE"""),0.0)</f>
        <v>0</v>
      </c>
      <c r="W262" s="8">
        <f>IFERROR(__xludf.DUMMYFUNCTION("""COMPUTED_VALUE"""),0.0)</f>
        <v>0</v>
      </c>
      <c r="X262" s="8">
        <f>IFERROR(__xludf.DUMMYFUNCTION("""COMPUTED_VALUE"""),0.0)</f>
        <v>0</v>
      </c>
      <c r="Y262" s="8">
        <f>IFERROR(__xludf.DUMMYFUNCTION("""COMPUTED_VALUE"""),0.0)</f>
        <v>0</v>
      </c>
      <c r="Z262" s="8">
        <f>IFERROR(__xludf.DUMMYFUNCTION("""COMPUTED_VALUE"""),0.0)</f>
        <v>0</v>
      </c>
      <c r="AA262" s="8">
        <f>IFERROR(__xludf.DUMMYFUNCTION("""COMPUTED_VALUE"""),0.0)</f>
        <v>0</v>
      </c>
      <c r="AB262" s="8">
        <f>IFERROR(__xludf.DUMMYFUNCTION("""COMPUTED_VALUE"""),0.0)</f>
        <v>0</v>
      </c>
      <c r="AC262" s="8">
        <f>IFERROR(__xludf.DUMMYFUNCTION("""COMPUTED_VALUE"""),0.0)</f>
        <v>0</v>
      </c>
    </row>
    <row r="263" ht="15.75" customHeight="1">
      <c r="A263" s="6" t="str">
        <f>IFERROR(__xludf.DUMMYFUNCTION("""COMPUTED_VALUE"""),"f06451dc56081680609a77b52825c3da76e8ae66")</f>
        <v>f06451dc56081680609a77b52825c3da76e8ae66</v>
      </c>
      <c r="B263" s="6" t="str">
        <f>IFERROR(__xludf.DUMMYFUNCTION("""COMPUTED_VALUE"""),"Her Exit, His Regret")</f>
        <v>Her Exit, His Regret</v>
      </c>
      <c r="C263" s="6" t="str">
        <f>IFERROR(__xludf.DUMMYFUNCTION("""COMPUTED_VALUE"""),"Romance")</f>
        <v>Romance</v>
      </c>
      <c r="D263" s="11">
        <f>IFERROR(__xludf.DUMMYFUNCTION("""COMPUTED_VALUE"""),67.0)</f>
        <v>67</v>
      </c>
      <c r="E263" s="8">
        <f>IFERROR(__xludf.DUMMYFUNCTION("""COMPUTED_VALUE"""),1.0)</f>
        <v>1</v>
      </c>
      <c r="F263" s="8">
        <f>IFERROR(__xludf.DUMMYFUNCTION("""COMPUTED_VALUE"""),0.626865671641791)</f>
        <v>0.6268656716</v>
      </c>
      <c r="G263" s="8">
        <f>IFERROR(__xludf.DUMMYFUNCTION("""COMPUTED_VALUE"""),0.582089552238806)</f>
        <v>0.5820895522</v>
      </c>
      <c r="H263" s="8">
        <f>IFERROR(__xludf.DUMMYFUNCTION("""COMPUTED_VALUE"""),0.53731343283582)</f>
        <v>0.5373134328</v>
      </c>
      <c r="I263" s="8">
        <f>IFERROR(__xludf.DUMMYFUNCTION("""COMPUTED_VALUE"""),0.417910447761194)</f>
        <v>0.4179104478</v>
      </c>
      <c r="J263" s="8">
        <f>IFERROR(__xludf.DUMMYFUNCTION("""COMPUTED_VALUE"""),0.373134328358209)</f>
        <v>0.3731343284</v>
      </c>
      <c r="K263" s="8">
        <f>IFERROR(__xludf.DUMMYFUNCTION("""COMPUTED_VALUE"""),0.343283582089552)</f>
        <v>0.3432835821</v>
      </c>
      <c r="L263" s="8">
        <f>IFERROR(__xludf.DUMMYFUNCTION("""COMPUTED_VALUE"""),0.287878787878787)</f>
        <v>0.2878787879</v>
      </c>
      <c r="M263" s="8">
        <f>IFERROR(__xludf.DUMMYFUNCTION("""COMPUTED_VALUE"""),0.287878787878787)</f>
        <v>0.2878787879</v>
      </c>
      <c r="N263" s="8">
        <f>IFERROR(__xludf.DUMMYFUNCTION("""COMPUTED_VALUE"""),0.227272727272727)</f>
        <v>0.2272727273</v>
      </c>
      <c r="O263" s="8">
        <f>IFERROR(__xludf.DUMMYFUNCTION("""COMPUTED_VALUE"""),0.196969696969696)</f>
        <v>0.196969697</v>
      </c>
      <c r="P263" s="8">
        <f>IFERROR(__xludf.DUMMYFUNCTION("""COMPUTED_VALUE"""),0.0923076923076923)</f>
        <v>0.09230769231</v>
      </c>
      <c r="Q263" s="8">
        <f>IFERROR(__xludf.DUMMYFUNCTION("""COMPUTED_VALUE"""),0.0666666666666666)</f>
        <v>0.06666666667</v>
      </c>
      <c r="R263" s="8">
        <f>IFERROR(__xludf.DUMMYFUNCTION("""COMPUTED_VALUE"""),0.0)</f>
        <v>0</v>
      </c>
      <c r="S263" s="8">
        <f>IFERROR(__xludf.DUMMYFUNCTION("""COMPUTED_VALUE"""),0.0)</f>
        <v>0</v>
      </c>
      <c r="T263" s="8">
        <f>IFERROR(__xludf.DUMMYFUNCTION("""COMPUTED_VALUE"""),0.0)</f>
        <v>0</v>
      </c>
      <c r="U263" s="8">
        <f>IFERROR(__xludf.DUMMYFUNCTION("""COMPUTED_VALUE"""),0.0)</f>
        <v>0</v>
      </c>
      <c r="V263" s="8">
        <f>IFERROR(__xludf.DUMMYFUNCTION("""COMPUTED_VALUE"""),0.0)</f>
        <v>0</v>
      </c>
      <c r="W263" s="8">
        <f>IFERROR(__xludf.DUMMYFUNCTION("""COMPUTED_VALUE"""),0.0)</f>
        <v>0</v>
      </c>
      <c r="X263" s="8">
        <f>IFERROR(__xludf.DUMMYFUNCTION("""COMPUTED_VALUE"""),0.0)</f>
        <v>0</v>
      </c>
      <c r="Y263" s="8">
        <f>IFERROR(__xludf.DUMMYFUNCTION("""COMPUTED_VALUE"""),0.0)</f>
        <v>0</v>
      </c>
      <c r="Z263" s="8">
        <f>IFERROR(__xludf.DUMMYFUNCTION("""COMPUTED_VALUE"""),0.0)</f>
        <v>0</v>
      </c>
      <c r="AA263" s="8">
        <f>IFERROR(__xludf.DUMMYFUNCTION("""COMPUTED_VALUE"""),0.0)</f>
        <v>0</v>
      </c>
      <c r="AB263" s="8">
        <f>IFERROR(__xludf.DUMMYFUNCTION("""COMPUTED_VALUE"""),0.0)</f>
        <v>0</v>
      </c>
      <c r="AC263" s="8">
        <f>IFERROR(__xludf.DUMMYFUNCTION("""COMPUTED_VALUE"""),0.0)</f>
        <v>0</v>
      </c>
    </row>
    <row r="264" ht="15.75" customHeight="1">
      <c r="A264" s="6" t="str">
        <f>IFERROR(__xludf.DUMMYFUNCTION("""COMPUTED_VALUE"""),"f11e794eecc64915145ae97085e04201646abfe3")</f>
        <v>f11e794eecc64915145ae97085e04201646abfe3</v>
      </c>
      <c r="B264" s="6" t="str">
        <f>IFERROR(__xludf.DUMMYFUNCTION("""COMPUTED_VALUE"""),"Almost His Bride ")</f>
        <v>Almost His Bride </v>
      </c>
      <c r="C264" s="6" t="str">
        <f>IFERROR(__xludf.DUMMYFUNCTION("""COMPUTED_VALUE"""),"Romance")</f>
        <v>Romance</v>
      </c>
      <c r="D264" s="11">
        <f>IFERROR(__xludf.DUMMYFUNCTION("""COMPUTED_VALUE"""),2.0)</f>
        <v>2</v>
      </c>
      <c r="E264" s="8">
        <f>IFERROR(__xludf.DUMMYFUNCTION("""COMPUTED_VALUE"""),1.0)</f>
        <v>1</v>
      </c>
      <c r="F264" s="8">
        <f>IFERROR(__xludf.DUMMYFUNCTION("""COMPUTED_VALUE"""),0.5)</f>
        <v>0.5</v>
      </c>
      <c r="G264" s="8">
        <f>IFERROR(__xludf.DUMMYFUNCTION("""COMPUTED_VALUE"""),0.5)</f>
        <v>0.5</v>
      </c>
      <c r="H264" s="8">
        <f>IFERROR(__xludf.DUMMYFUNCTION("""COMPUTED_VALUE"""),0.0)</f>
        <v>0</v>
      </c>
      <c r="I264" s="8">
        <f>IFERROR(__xludf.DUMMYFUNCTION("""COMPUTED_VALUE"""),0.0)</f>
        <v>0</v>
      </c>
      <c r="J264" s="8">
        <f>IFERROR(__xludf.DUMMYFUNCTION("""COMPUTED_VALUE"""),0.0)</f>
        <v>0</v>
      </c>
      <c r="K264" s="8">
        <f>IFERROR(__xludf.DUMMYFUNCTION("""COMPUTED_VALUE"""),0.0)</f>
        <v>0</v>
      </c>
      <c r="L264" s="8">
        <f>IFERROR(__xludf.DUMMYFUNCTION("""COMPUTED_VALUE"""),0.0)</f>
        <v>0</v>
      </c>
      <c r="M264" s="8">
        <f>IFERROR(__xludf.DUMMYFUNCTION("""COMPUTED_VALUE"""),0.0)</f>
        <v>0</v>
      </c>
      <c r="N264" s="8">
        <f>IFERROR(__xludf.DUMMYFUNCTION("""COMPUTED_VALUE"""),0.0)</f>
        <v>0</v>
      </c>
      <c r="O264" s="8">
        <f>IFERROR(__xludf.DUMMYFUNCTION("""COMPUTED_VALUE"""),0.0)</f>
        <v>0</v>
      </c>
      <c r="P264" s="8">
        <f>IFERROR(__xludf.DUMMYFUNCTION("""COMPUTED_VALUE"""),0.0)</f>
        <v>0</v>
      </c>
      <c r="Q264" s="8">
        <f>IFERROR(__xludf.DUMMYFUNCTION("""COMPUTED_VALUE"""),0.0)</f>
        <v>0</v>
      </c>
      <c r="R264" s="8">
        <f>IFERROR(__xludf.DUMMYFUNCTION("""COMPUTED_VALUE"""),0.0)</f>
        <v>0</v>
      </c>
      <c r="S264" s="8">
        <f>IFERROR(__xludf.DUMMYFUNCTION("""COMPUTED_VALUE"""),0.0)</f>
        <v>0</v>
      </c>
      <c r="T264" s="8">
        <f>IFERROR(__xludf.DUMMYFUNCTION("""COMPUTED_VALUE"""),0.0)</f>
        <v>0</v>
      </c>
      <c r="U264" s="8">
        <f>IFERROR(__xludf.DUMMYFUNCTION("""COMPUTED_VALUE"""),0.0)</f>
        <v>0</v>
      </c>
      <c r="V264" s="8">
        <f>IFERROR(__xludf.DUMMYFUNCTION("""COMPUTED_VALUE"""),0.0)</f>
        <v>0</v>
      </c>
      <c r="W264" s="8">
        <f>IFERROR(__xludf.DUMMYFUNCTION("""COMPUTED_VALUE"""),0.0)</f>
        <v>0</v>
      </c>
      <c r="X264" s="8">
        <f>IFERROR(__xludf.DUMMYFUNCTION("""COMPUTED_VALUE"""),0.0)</f>
        <v>0</v>
      </c>
      <c r="Y264" s="8">
        <f>IFERROR(__xludf.DUMMYFUNCTION("""COMPUTED_VALUE"""),0.0)</f>
        <v>0</v>
      </c>
      <c r="Z264" s="8">
        <f>IFERROR(__xludf.DUMMYFUNCTION("""COMPUTED_VALUE"""),0.0)</f>
        <v>0</v>
      </c>
      <c r="AA264" s="8">
        <f>IFERROR(__xludf.DUMMYFUNCTION("""COMPUTED_VALUE"""),0.0)</f>
        <v>0</v>
      </c>
      <c r="AB264" s="8">
        <f>IFERROR(__xludf.DUMMYFUNCTION("""COMPUTED_VALUE"""),0.0)</f>
        <v>0</v>
      </c>
      <c r="AC264" s="8">
        <f>IFERROR(__xludf.DUMMYFUNCTION("""COMPUTED_VALUE"""),0.0)</f>
        <v>0</v>
      </c>
    </row>
    <row r="265" ht="15.75" customHeight="1">
      <c r="A265" s="6" t="str">
        <f>IFERROR(__xludf.DUMMYFUNCTION("""COMPUTED_VALUE"""),"f16d45e2702863e71bf480a3e2490ded19c4cbd9")</f>
        <v>f16d45e2702863e71bf480a3e2490ded19c4cbd9</v>
      </c>
      <c r="B265" s="6" t="str">
        <f>IFERROR(__xludf.DUMMYFUNCTION("""COMPUTED_VALUE"""),"Supreme Sword Cultivator")</f>
        <v>Supreme Sword Cultivator</v>
      </c>
      <c r="C265" s="6" t="str">
        <f>IFERROR(__xludf.DUMMYFUNCTION("""COMPUTED_VALUE"""),"Fantasy")</f>
        <v>Fantasy</v>
      </c>
      <c r="D265" s="11">
        <f>IFERROR(__xludf.DUMMYFUNCTION("""COMPUTED_VALUE"""),169.0)</f>
        <v>169</v>
      </c>
      <c r="E265" s="8">
        <f>IFERROR(__xludf.DUMMYFUNCTION("""COMPUTED_VALUE"""),0.964497041420118)</f>
        <v>0.9644970414</v>
      </c>
      <c r="F265" s="8">
        <f>IFERROR(__xludf.DUMMYFUNCTION("""COMPUTED_VALUE"""),0.727810650887574)</f>
        <v>0.7278106509</v>
      </c>
      <c r="G265" s="8">
        <f>IFERROR(__xludf.DUMMYFUNCTION("""COMPUTED_VALUE"""),0.692307692307692)</f>
        <v>0.6923076923</v>
      </c>
      <c r="H265" s="8">
        <f>IFERROR(__xludf.DUMMYFUNCTION("""COMPUTED_VALUE"""),0.686390532544378)</f>
        <v>0.6863905325</v>
      </c>
      <c r="I265" s="8">
        <f>IFERROR(__xludf.DUMMYFUNCTION("""COMPUTED_VALUE"""),0.660714285714285)</f>
        <v>0.6607142857</v>
      </c>
      <c r="J265" s="8">
        <f>IFERROR(__xludf.DUMMYFUNCTION("""COMPUTED_VALUE"""),0.634730538922155)</f>
        <v>0.6347305389</v>
      </c>
      <c r="K265" s="8">
        <f>IFERROR(__xludf.DUMMYFUNCTION("""COMPUTED_VALUE"""),0.620481927710843)</f>
        <v>0.6204819277</v>
      </c>
      <c r="L265" s="8">
        <f>IFERROR(__xludf.DUMMYFUNCTION("""COMPUTED_VALUE"""),0.626506024096385)</f>
        <v>0.6265060241</v>
      </c>
      <c r="M265" s="8">
        <f>IFERROR(__xludf.DUMMYFUNCTION("""COMPUTED_VALUE"""),0.602409638554216)</f>
        <v>0.6024096386</v>
      </c>
      <c r="N265" s="8">
        <f>IFERROR(__xludf.DUMMYFUNCTION("""COMPUTED_VALUE"""),0.572289156626506)</f>
        <v>0.5722891566</v>
      </c>
      <c r="O265" s="8">
        <f>IFERROR(__xludf.DUMMYFUNCTION("""COMPUTED_VALUE"""),0.515723270440251)</f>
        <v>0.5157232704</v>
      </c>
      <c r="P265" s="8">
        <f>IFERROR(__xludf.DUMMYFUNCTION("""COMPUTED_VALUE"""),0.451612903225806)</f>
        <v>0.4516129032</v>
      </c>
      <c r="Q265" s="8">
        <f>IFERROR(__xludf.DUMMYFUNCTION("""COMPUTED_VALUE"""),0.394957983193277)</f>
        <v>0.3949579832</v>
      </c>
      <c r="R265" s="8">
        <f>IFERROR(__xludf.DUMMYFUNCTION("""COMPUTED_VALUE"""),0.376068376068376)</f>
        <v>0.3760683761</v>
      </c>
      <c r="S265" s="8">
        <f>IFERROR(__xludf.DUMMYFUNCTION("""COMPUTED_VALUE"""),0.321428571428571)</f>
        <v>0.3214285714</v>
      </c>
      <c r="T265" s="8">
        <f>IFERROR(__xludf.DUMMYFUNCTION("""COMPUTED_VALUE"""),0.198113207547169)</f>
        <v>0.1981132075</v>
      </c>
      <c r="U265" s="8">
        <f>IFERROR(__xludf.DUMMYFUNCTION("""COMPUTED_VALUE"""),0.0638297872340425)</f>
        <v>0.06382978723</v>
      </c>
      <c r="V265" s="8">
        <f>IFERROR(__xludf.DUMMYFUNCTION("""COMPUTED_VALUE"""),0.0)</f>
        <v>0</v>
      </c>
      <c r="W265" s="8">
        <f>IFERROR(__xludf.DUMMYFUNCTION("""COMPUTED_VALUE"""),0.0)</f>
        <v>0</v>
      </c>
      <c r="X265" s="8">
        <f>IFERROR(__xludf.DUMMYFUNCTION("""COMPUTED_VALUE"""),0.0)</f>
        <v>0</v>
      </c>
      <c r="Y265" s="8">
        <f>IFERROR(__xludf.DUMMYFUNCTION("""COMPUTED_VALUE"""),0.0)</f>
        <v>0</v>
      </c>
      <c r="Z265" s="8">
        <f>IFERROR(__xludf.DUMMYFUNCTION("""COMPUTED_VALUE"""),0.0)</f>
        <v>0</v>
      </c>
      <c r="AA265" s="8">
        <f>IFERROR(__xludf.DUMMYFUNCTION("""COMPUTED_VALUE"""),0.0)</f>
        <v>0</v>
      </c>
      <c r="AB265" s="8">
        <f>IFERROR(__xludf.DUMMYFUNCTION("""COMPUTED_VALUE"""),0.0)</f>
        <v>0</v>
      </c>
      <c r="AC265" s="8">
        <f>IFERROR(__xludf.DUMMYFUNCTION("""COMPUTED_VALUE"""),0.0)</f>
        <v>0</v>
      </c>
    </row>
    <row r="266" ht="15.75" customHeight="1">
      <c r="A266" s="6" t="str">
        <f>IFERROR(__xludf.DUMMYFUNCTION("""COMPUTED_VALUE"""),"f23c3d5745910e4c7cf490450f5314358a0cec03")</f>
        <v>f23c3d5745910e4c7cf490450f5314358a0cec03</v>
      </c>
      <c r="B266" s="6" t="str">
        <f>IFERROR(__xludf.DUMMYFUNCTION("""COMPUTED_VALUE"""),"When My Ex Returned")</f>
        <v>When My Ex Returned</v>
      </c>
      <c r="C266" s="6" t="str">
        <f>IFERROR(__xludf.DUMMYFUNCTION("""COMPUTED_VALUE"""),"Romance")</f>
        <v>Romance</v>
      </c>
      <c r="D266" s="11">
        <f>IFERROR(__xludf.DUMMYFUNCTION("""COMPUTED_VALUE"""),38.0)</f>
        <v>38</v>
      </c>
      <c r="E266" s="8">
        <f>IFERROR(__xludf.DUMMYFUNCTION("""COMPUTED_VALUE"""),0.973684210526315)</f>
        <v>0.9736842105</v>
      </c>
      <c r="F266" s="8">
        <f>IFERROR(__xludf.DUMMYFUNCTION("""COMPUTED_VALUE"""),0.552631578947368)</f>
        <v>0.5526315789</v>
      </c>
      <c r="G266" s="8">
        <f>IFERROR(__xludf.DUMMYFUNCTION("""COMPUTED_VALUE"""),0.5)</f>
        <v>0.5</v>
      </c>
      <c r="H266" s="8">
        <f>IFERROR(__xludf.DUMMYFUNCTION("""COMPUTED_VALUE"""),0.473684210526315)</f>
        <v>0.4736842105</v>
      </c>
      <c r="I266" s="8">
        <f>IFERROR(__xludf.DUMMYFUNCTION("""COMPUTED_VALUE"""),0.473684210526315)</f>
        <v>0.4736842105</v>
      </c>
      <c r="J266" s="8">
        <f>IFERROR(__xludf.DUMMYFUNCTION("""COMPUTED_VALUE"""),0.447368421052631)</f>
        <v>0.4473684211</v>
      </c>
      <c r="K266" s="8">
        <f>IFERROR(__xludf.DUMMYFUNCTION("""COMPUTED_VALUE"""),0.473684210526315)</f>
        <v>0.4736842105</v>
      </c>
      <c r="L266" s="8">
        <f>IFERROR(__xludf.DUMMYFUNCTION("""COMPUTED_VALUE"""),0.394736842105263)</f>
        <v>0.3947368421</v>
      </c>
      <c r="M266" s="8">
        <f>IFERROR(__xludf.DUMMYFUNCTION("""COMPUTED_VALUE"""),0.368421052631578)</f>
        <v>0.3684210526</v>
      </c>
      <c r="N266" s="8">
        <f>IFERROR(__xludf.DUMMYFUNCTION("""COMPUTED_VALUE"""),0.342105263157894)</f>
        <v>0.3421052632</v>
      </c>
      <c r="O266" s="8">
        <f>IFERROR(__xludf.DUMMYFUNCTION("""COMPUTED_VALUE"""),0.289473684210526)</f>
        <v>0.2894736842</v>
      </c>
      <c r="P266" s="8">
        <f>IFERROR(__xludf.DUMMYFUNCTION("""COMPUTED_VALUE"""),0.162162162162162)</f>
        <v>0.1621621622</v>
      </c>
      <c r="Q266" s="8">
        <f>IFERROR(__xludf.DUMMYFUNCTION("""COMPUTED_VALUE"""),0.166666666666666)</f>
        <v>0.1666666667</v>
      </c>
      <c r="R266" s="8">
        <f>IFERROR(__xludf.DUMMYFUNCTION("""COMPUTED_VALUE"""),0.0)</f>
        <v>0</v>
      </c>
      <c r="S266" s="8">
        <f>IFERROR(__xludf.DUMMYFUNCTION("""COMPUTED_VALUE"""),0.0)</f>
        <v>0</v>
      </c>
      <c r="T266" s="8">
        <f>IFERROR(__xludf.DUMMYFUNCTION("""COMPUTED_VALUE"""),0.0)</f>
        <v>0</v>
      </c>
      <c r="U266" s="8">
        <f>IFERROR(__xludf.DUMMYFUNCTION("""COMPUTED_VALUE"""),0.0)</f>
        <v>0</v>
      </c>
      <c r="V266" s="8">
        <f>IFERROR(__xludf.DUMMYFUNCTION("""COMPUTED_VALUE"""),0.0)</f>
        <v>0</v>
      </c>
      <c r="W266" s="8">
        <f>IFERROR(__xludf.DUMMYFUNCTION("""COMPUTED_VALUE"""),0.0)</f>
        <v>0</v>
      </c>
      <c r="X266" s="8">
        <f>IFERROR(__xludf.DUMMYFUNCTION("""COMPUTED_VALUE"""),0.0)</f>
        <v>0</v>
      </c>
      <c r="Y266" s="8">
        <f>IFERROR(__xludf.DUMMYFUNCTION("""COMPUTED_VALUE"""),0.0)</f>
        <v>0</v>
      </c>
      <c r="Z266" s="8">
        <f>IFERROR(__xludf.DUMMYFUNCTION("""COMPUTED_VALUE"""),0.0)</f>
        <v>0</v>
      </c>
      <c r="AA266" s="8">
        <f>IFERROR(__xludf.DUMMYFUNCTION("""COMPUTED_VALUE"""),0.0)</f>
        <v>0</v>
      </c>
      <c r="AB266" s="8">
        <f>IFERROR(__xludf.DUMMYFUNCTION("""COMPUTED_VALUE"""),0.0)</f>
        <v>0</v>
      </c>
      <c r="AC266" s="8">
        <f>IFERROR(__xludf.DUMMYFUNCTION("""COMPUTED_VALUE"""),0.0)</f>
        <v>0</v>
      </c>
    </row>
    <row r="267" ht="15.75" customHeight="1">
      <c r="A267" s="6" t="str">
        <f>IFERROR(__xludf.DUMMYFUNCTION("""COMPUTED_VALUE"""),"f2ec53ac7f98813aea65ea59e50f32077fe08707")</f>
        <v>f2ec53ac7f98813aea65ea59e50f32077fe08707</v>
      </c>
      <c r="B267" s="6" t="str">
        <f>IFERROR(__xludf.DUMMYFUNCTION("""COMPUTED_VALUE"""),"The Forbidden Kiss")</f>
        <v>The Forbidden Kiss</v>
      </c>
      <c r="C267" s="6" t="str">
        <f>IFERROR(__xludf.DUMMYFUNCTION("""COMPUTED_VALUE"""),"Romance")</f>
        <v>Romance</v>
      </c>
      <c r="D267" s="11">
        <f>IFERROR(__xludf.DUMMYFUNCTION("""COMPUTED_VALUE"""),40.0)</f>
        <v>40</v>
      </c>
      <c r="E267" s="8">
        <f>IFERROR(__xludf.DUMMYFUNCTION("""COMPUTED_VALUE"""),0.975)</f>
        <v>0.975</v>
      </c>
      <c r="F267" s="8">
        <f>IFERROR(__xludf.DUMMYFUNCTION("""COMPUTED_VALUE"""),0.625)</f>
        <v>0.625</v>
      </c>
      <c r="G267" s="8">
        <f>IFERROR(__xludf.DUMMYFUNCTION("""COMPUTED_VALUE"""),0.5)</f>
        <v>0.5</v>
      </c>
      <c r="H267" s="8">
        <f>IFERROR(__xludf.DUMMYFUNCTION("""COMPUTED_VALUE"""),0.378378378378378)</f>
        <v>0.3783783784</v>
      </c>
      <c r="I267" s="8">
        <f>IFERROR(__xludf.DUMMYFUNCTION("""COMPUTED_VALUE"""),0.323529411764705)</f>
        <v>0.3235294118</v>
      </c>
      <c r="J267" s="8">
        <f>IFERROR(__xludf.DUMMYFUNCTION("""COMPUTED_VALUE"""),0.266666666666666)</f>
        <v>0.2666666667</v>
      </c>
      <c r="K267" s="8">
        <f>IFERROR(__xludf.DUMMYFUNCTION("""COMPUTED_VALUE"""),0.241379310344827)</f>
        <v>0.2413793103</v>
      </c>
      <c r="L267" s="8">
        <f>IFERROR(__xludf.DUMMYFUNCTION("""COMPUTED_VALUE"""),0.2)</f>
        <v>0.2</v>
      </c>
      <c r="M267" s="8">
        <f>IFERROR(__xludf.DUMMYFUNCTION("""COMPUTED_VALUE"""),0.227272727272727)</f>
        <v>0.2272727273</v>
      </c>
      <c r="N267" s="8">
        <f>IFERROR(__xludf.DUMMYFUNCTION("""COMPUTED_VALUE"""),0.31578947368421)</f>
        <v>0.3157894737</v>
      </c>
      <c r="O267" s="8">
        <f>IFERROR(__xludf.DUMMYFUNCTION("""COMPUTED_VALUE"""),0.0)</f>
        <v>0</v>
      </c>
      <c r="P267" s="8">
        <f>IFERROR(__xludf.DUMMYFUNCTION("""COMPUTED_VALUE"""),0.0)</f>
        <v>0</v>
      </c>
      <c r="Q267" s="8">
        <f>IFERROR(__xludf.DUMMYFUNCTION("""COMPUTED_VALUE"""),0.0)</f>
        <v>0</v>
      </c>
      <c r="R267" s="8">
        <f>IFERROR(__xludf.DUMMYFUNCTION("""COMPUTED_VALUE"""),0.0)</f>
        <v>0</v>
      </c>
      <c r="S267" s="8">
        <f>IFERROR(__xludf.DUMMYFUNCTION("""COMPUTED_VALUE"""),0.0)</f>
        <v>0</v>
      </c>
      <c r="T267" s="8">
        <f>IFERROR(__xludf.DUMMYFUNCTION("""COMPUTED_VALUE"""),0.0)</f>
        <v>0</v>
      </c>
      <c r="U267" s="8">
        <f>IFERROR(__xludf.DUMMYFUNCTION("""COMPUTED_VALUE"""),0.0)</f>
        <v>0</v>
      </c>
      <c r="V267" s="8">
        <f>IFERROR(__xludf.DUMMYFUNCTION("""COMPUTED_VALUE"""),0.0)</f>
        <v>0</v>
      </c>
      <c r="W267" s="8">
        <f>IFERROR(__xludf.DUMMYFUNCTION("""COMPUTED_VALUE"""),0.0)</f>
        <v>0</v>
      </c>
      <c r="X267" s="8">
        <f>IFERROR(__xludf.DUMMYFUNCTION("""COMPUTED_VALUE"""),0.0)</f>
        <v>0</v>
      </c>
      <c r="Y267" s="8">
        <f>IFERROR(__xludf.DUMMYFUNCTION("""COMPUTED_VALUE"""),0.0)</f>
        <v>0</v>
      </c>
      <c r="Z267" s="8">
        <f>IFERROR(__xludf.DUMMYFUNCTION("""COMPUTED_VALUE"""),0.0)</f>
        <v>0</v>
      </c>
      <c r="AA267" s="8">
        <f>IFERROR(__xludf.DUMMYFUNCTION("""COMPUTED_VALUE"""),0.0)</f>
        <v>0</v>
      </c>
      <c r="AB267" s="8">
        <f>IFERROR(__xludf.DUMMYFUNCTION("""COMPUTED_VALUE"""),0.0)</f>
        <v>0</v>
      </c>
      <c r="AC267" s="8">
        <f>IFERROR(__xludf.DUMMYFUNCTION("""COMPUTED_VALUE"""),0.0)</f>
        <v>0</v>
      </c>
    </row>
    <row r="268" ht="15.75" customHeight="1">
      <c r="A268" s="6" t="str">
        <f>IFERROR(__xludf.DUMMYFUNCTION("""COMPUTED_VALUE"""),"f32ed59a93a11812f5a5a57e2c663028b1c65f89")</f>
        <v>f32ed59a93a11812f5a5a57e2c663028b1c65f89</v>
      </c>
      <c r="B268" s="6" t="str">
        <f>IFERROR(__xludf.DUMMYFUNCTION("""COMPUTED_VALUE"""),"Trillionaire Sterling")</f>
        <v>Trillionaire Sterling</v>
      </c>
      <c r="C268" s="6" t="str">
        <f>IFERROR(__xludf.DUMMYFUNCTION("""COMPUTED_VALUE"""),"Fantasy")</f>
        <v>Fantasy</v>
      </c>
      <c r="D268" s="11">
        <f>IFERROR(__xludf.DUMMYFUNCTION("""COMPUTED_VALUE"""),6835.0)</f>
        <v>6835</v>
      </c>
      <c r="E268" s="8">
        <f>IFERROR(__xludf.DUMMYFUNCTION("""COMPUTED_VALUE"""),0.93723482077542)</f>
        <v>0.9372348208</v>
      </c>
      <c r="F268" s="8">
        <f>IFERROR(__xludf.DUMMYFUNCTION("""COMPUTED_VALUE"""),0.674908558888076)</f>
        <v>0.6749085589</v>
      </c>
      <c r="G268" s="8">
        <f>IFERROR(__xludf.DUMMYFUNCTION("""COMPUTED_VALUE"""),0.627212874908558)</f>
        <v>0.6272128749</v>
      </c>
      <c r="H268" s="8">
        <f>IFERROR(__xludf.DUMMYFUNCTION("""COMPUTED_VALUE"""),0.600234294918728)</f>
        <v>0.6002342949</v>
      </c>
      <c r="I268" s="8">
        <f>IFERROR(__xludf.DUMMYFUNCTION("""COMPUTED_VALUE"""),0.580914687774846)</f>
        <v>0.5809146878</v>
      </c>
      <c r="J268" s="8">
        <f>IFERROR(__xludf.DUMMYFUNCTION("""COMPUTED_VALUE"""),0.56572183874284)</f>
        <v>0.5657218387</v>
      </c>
      <c r="K268" s="8">
        <f>IFERROR(__xludf.DUMMYFUNCTION("""COMPUTED_VALUE"""),0.554966887417218)</f>
        <v>0.5549668874</v>
      </c>
      <c r="L268" s="8">
        <f>IFERROR(__xludf.DUMMYFUNCTION("""COMPUTED_VALUE"""),0.547506639126586)</f>
        <v>0.5475066391</v>
      </c>
      <c r="M268" s="8">
        <f>IFERROR(__xludf.DUMMYFUNCTION("""COMPUTED_VALUE"""),0.540712280183242)</f>
        <v>0.5407122802</v>
      </c>
      <c r="N268" s="8">
        <f>IFERROR(__xludf.DUMMYFUNCTION("""COMPUTED_VALUE"""),0.536296296296296)</f>
        <v>0.5362962963</v>
      </c>
      <c r="O268" s="8">
        <f>IFERROR(__xludf.DUMMYFUNCTION("""COMPUTED_VALUE"""),0.496487819458974)</f>
        <v>0.4964878195</v>
      </c>
      <c r="P268" s="8">
        <f>IFERROR(__xludf.DUMMYFUNCTION("""COMPUTED_VALUE"""),0.424802910855063)</f>
        <v>0.4248029109</v>
      </c>
      <c r="Q268" s="8">
        <f>IFERROR(__xludf.DUMMYFUNCTION("""COMPUTED_VALUE"""),0.357442185317398)</f>
        <v>0.3574421853</v>
      </c>
      <c r="R268" s="8">
        <f>IFERROR(__xludf.DUMMYFUNCTION("""COMPUTED_VALUE"""),0.280381584404811)</f>
        <v>0.2803815844</v>
      </c>
      <c r="S268" s="8">
        <f>IFERROR(__xludf.DUMMYFUNCTION("""COMPUTED_VALUE"""),0.241272646928855)</f>
        <v>0.2412726469</v>
      </c>
      <c r="T268" s="8">
        <f>IFERROR(__xludf.DUMMYFUNCTION("""COMPUTED_VALUE"""),0.15934405940594)</f>
        <v>0.1593440594</v>
      </c>
      <c r="U268" s="8">
        <f>IFERROR(__xludf.DUMMYFUNCTION("""COMPUTED_VALUE"""),0.0893528183716075)</f>
        <v>0.08935281837</v>
      </c>
      <c r="V268" s="8">
        <f>IFERROR(__xludf.DUMMYFUNCTION("""COMPUTED_VALUE"""),0.0850460666194188)</f>
        <v>0.08504606662</v>
      </c>
      <c r="W268" s="8">
        <f>IFERROR(__xludf.DUMMYFUNCTION("""COMPUTED_VALUE"""),0.0434782608695652)</f>
        <v>0.04347826087</v>
      </c>
      <c r="X268" s="8">
        <f>IFERROR(__xludf.DUMMYFUNCTION("""COMPUTED_VALUE"""),0.0)</f>
        <v>0</v>
      </c>
      <c r="Y268" s="8">
        <f>IFERROR(__xludf.DUMMYFUNCTION("""COMPUTED_VALUE"""),0.0)</f>
        <v>0</v>
      </c>
      <c r="Z268" s="8">
        <f>IFERROR(__xludf.DUMMYFUNCTION("""COMPUTED_VALUE"""),0.0)</f>
        <v>0</v>
      </c>
      <c r="AA268" s="8">
        <f>IFERROR(__xludf.DUMMYFUNCTION("""COMPUTED_VALUE"""),0.0)</f>
        <v>0</v>
      </c>
      <c r="AB268" s="8">
        <f>IFERROR(__xludf.DUMMYFUNCTION("""COMPUTED_VALUE"""),0.0)</f>
        <v>0</v>
      </c>
      <c r="AC268" s="8">
        <f>IFERROR(__xludf.DUMMYFUNCTION("""COMPUTED_VALUE"""),0.0)</f>
        <v>0</v>
      </c>
    </row>
    <row r="269" ht="15.75" customHeight="1">
      <c r="A269" s="6" t="str">
        <f>IFERROR(__xludf.DUMMYFUNCTION("""COMPUTED_VALUE"""),"f3b45a9b931b38c0315d82ad645b9e45b513664b")</f>
        <v>f3b45a9b931b38c0315d82ad645b9e45b513664b</v>
      </c>
      <c r="B269" s="6" t="str">
        <f>IFERROR(__xludf.DUMMYFUNCTION("""COMPUTED_VALUE"""),"Reborn as a Golblin?!")</f>
        <v>Reborn as a Golblin?!</v>
      </c>
      <c r="C269" s="6" t="str">
        <f>IFERROR(__xludf.DUMMYFUNCTION("""COMPUTED_VALUE"""),"System and Superpower")</f>
        <v>System and Superpower</v>
      </c>
      <c r="D269" s="11">
        <f>IFERROR(__xludf.DUMMYFUNCTION("""COMPUTED_VALUE"""),552.0)</f>
        <v>552</v>
      </c>
      <c r="E269" s="8">
        <f>IFERROR(__xludf.DUMMYFUNCTION("""COMPUTED_VALUE"""),0.998188405797101)</f>
        <v>0.9981884058</v>
      </c>
      <c r="F269" s="8">
        <f>IFERROR(__xludf.DUMMYFUNCTION("""COMPUTED_VALUE"""),0.682971014492753)</f>
        <v>0.6829710145</v>
      </c>
      <c r="G269" s="8">
        <f>IFERROR(__xludf.DUMMYFUNCTION("""COMPUTED_VALUE"""),0.59963768115942)</f>
        <v>0.5996376812</v>
      </c>
      <c r="H269" s="8">
        <f>IFERROR(__xludf.DUMMYFUNCTION("""COMPUTED_VALUE"""),0.510054844606946)</f>
        <v>0.5100548446</v>
      </c>
      <c r="I269" s="8">
        <f>IFERROR(__xludf.DUMMYFUNCTION("""COMPUTED_VALUE"""),0.466789667896679)</f>
        <v>0.4667896679</v>
      </c>
      <c r="J269" s="8">
        <f>IFERROR(__xludf.DUMMYFUNCTION("""COMPUTED_VALUE"""),0.399624765478424)</f>
        <v>0.3996247655</v>
      </c>
      <c r="K269" s="8">
        <f>IFERROR(__xludf.DUMMYFUNCTION("""COMPUTED_VALUE"""),0.375711574952561)</f>
        <v>0.375711575</v>
      </c>
      <c r="L269" s="8">
        <f>IFERROR(__xludf.DUMMYFUNCTION("""COMPUTED_VALUE"""),0.33402489626556)</f>
        <v>0.3340248963</v>
      </c>
      <c r="M269" s="8">
        <f>IFERROR(__xludf.DUMMYFUNCTION("""COMPUTED_VALUE"""),0.296116504854368)</f>
        <v>0.2961165049</v>
      </c>
      <c r="N269" s="8">
        <f>IFERROR(__xludf.DUMMYFUNCTION("""COMPUTED_VALUE"""),0.28169014084507)</f>
        <v>0.2816901408</v>
      </c>
      <c r="O269" s="8">
        <f>IFERROR(__xludf.DUMMYFUNCTION("""COMPUTED_VALUE"""),0.333333333333333)</f>
        <v>0.3333333333</v>
      </c>
      <c r="P269" s="8">
        <f>IFERROR(__xludf.DUMMYFUNCTION("""COMPUTED_VALUE"""),0.0)</f>
        <v>0</v>
      </c>
      <c r="Q269" s="8">
        <f>IFERROR(__xludf.DUMMYFUNCTION("""COMPUTED_VALUE"""),0.0)</f>
        <v>0</v>
      </c>
      <c r="R269" s="8">
        <f>IFERROR(__xludf.DUMMYFUNCTION("""COMPUTED_VALUE"""),0.0)</f>
        <v>0</v>
      </c>
      <c r="S269" s="8">
        <f>IFERROR(__xludf.DUMMYFUNCTION("""COMPUTED_VALUE"""),0.0)</f>
        <v>0</v>
      </c>
      <c r="T269" s="8">
        <f>IFERROR(__xludf.DUMMYFUNCTION("""COMPUTED_VALUE"""),0.0)</f>
        <v>0</v>
      </c>
      <c r="U269" s="8">
        <f>IFERROR(__xludf.DUMMYFUNCTION("""COMPUTED_VALUE"""),0.0)</f>
        <v>0</v>
      </c>
      <c r="V269" s="8">
        <f>IFERROR(__xludf.DUMMYFUNCTION("""COMPUTED_VALUE"""),0.0)</f>
        <v>0</v>
      </c>
      <c r="W269" s="8">
        <f>IFERROR(__xludf.DUMMYFUNCTION("""COMPUTED_VALUE"""),0.0)</f>
        <v>0</v>
      </c>
      <c r="X269" s="8">
        <f>IFERROR(__xludf.DUMMYFUNCTION("""COMPUTED_VALUE"""),0.0)</f>
        <v>0</v>
      </c>
      <c r="Y269" s="8">
        <f>IFERROR(__xludf.DUMMYFUNCTION("""COMPUTED_VALUE"""),0.0)</f>
        <v>0</v>
      </c>
      <c r="Z269" s="8">
        <f>IFERROR(__xludf.DUMMYFUNCTION("""COMPUTED_VALUE"""),0.0)</f>
        <v>0</v>
      </c>
      <c r="AA269" s="8">
        <f>IFERROR(__xludf.DUMMYFUNCTION("""COMPUTED_VALUE"""),0.0)</f>
        <v>0</v>
      </c>
      <c r="AB269" s="8">
        <f>IFERROR(__xludf.DUMMYFUNCTION("""COMPUTED_VALUE"""),0.0)</f>
        <v>0</v>
      </c>
      <c r="AC269" s="8">
        <f>IFERROR(__xludf.DUMMYFUNCTION("""COMPUTED_VALUE"""),0.0)</f>
        <v>0</v>
      </c>
    </row>
    <row r="270" ht="15.75" customHeight="1">
      <c r="A270" s="6" t="str">
        <f>IFERROR(__xludf.DUMMYFUNCTION("""COMPUTED_VALUE"""),"f47e2c3c03d765bd054b92de405403a6c90b8d7f")</f>
        <v>f47e2c3c03d765bd054b92de405403a6c90b8d7f</v>
      </c>
      <c r="B270" s="6" t="str">
        <f>IFERROR(__xludf.DUMMYFUNCTION("""COMPUTED_VALUE"""),"It Was You Mister Cross")</f>
        <v>It Was You Mister Cross</v>
      </c>
      <c r="C270" s="6" t="str">
        <f>IFERROR(__xludf.DUMMYFUNCTION("""COMPUTED_VALUE"""),"Romance")</f>
        <v>Romance</v>
      </c>
      <c r="D270" s="11">
        <f>IFERROR(__xludf.DUMMYFUNCTION("""COMPUTED_VALUE"""),10.0)</f>
        <v>10</v>
      </c>
      <c r="E270" s="8">
        <f>IFERROR(__xludf.DUMMYFUNCTION("""COMPUTED_VALUE"""),1.0)</f>
        <v>1</v>
      </c>
      <c r="F270" s="8">
        <f>IFERROR(__xludf.DUMMYFUNCTION("""COMPUTED_VALUE"""),0.6)</f>
        <v>0.6</v>
      </c>
      <c r="G270" s="8">
        <f>IFERROR(__xludf.DUMMYFUNCTION("""COMPUTED_VALUE"""),0.3)</f>
        <v>0.3</v>
      </c>
      <c r="H270" s="8">
        <f>IFERROR(__xludf.DUMMYFUNCTION("""COMPUTED_VALUE"""),0.2)</f>
        <v>0.2</v>
      </c>
      <c r="I270" s="8">
        <f>IFERROR(__xludf.DUMMYFUNCTION("""COMPUTED_VALUE"""),0.2)</f>
        <v>0.2</v>
      </c>
      <c r="J270" s="8">
        <f>IFERROR(__xludf.DUMMYFUNCTION("""COMPUTED_VALUE"""),0.2)</f>
        <v>0.2</v>
      </c>
      <c r="K270" s="8">
        <f>IFERROR(__xludf.DUMMYFUNCTION("""COMPUTED_VALUE"""),0.2)</f>
        <v>0.2</v>
      </c>
      <c r="L270" s="8">
        <f>IFERROR(__xludf.DUMMYFUNCTION("""COMPUTED_VALUE"""),0.2)</f>
        <v>0.2</v>
      </c>
      <c r="M270" s="8">
        <f>IFERROR(__xludf.DUMMYFUNCTION("""COMPUTED_VALUE"""),0.2)</f>
        <v>0.2</v>
      </c>
      <c r="N270" s="8">
        <f>IFERROR(__xludf.DUMMYFUNCTION("""COMPUTED_VALUE"""),0.2)</f>
        <v>0.2</v>
      </c>
      <c r="O270" s="8">
        <f>IFERROR(__xludf.DUMMYFUNCTION("""COMPUTED_VALUE"""),0.0)</f>
        <v>0</v>
      </c>
      <c r="P270" s="8">
        <f>IFERROR(__xludf.DUMMYFUNCTION("""COMPUTED_VALUE"""),0.1)</f>
        <v>0.1</v>
      </c>
      <c r="Q270" s="8">
        <f>IFERROR(__xludf.DUMMYFUNCTION("""COMPUTED_VALUE"""),0.125)</f>
        <v>0.125</v>
      </c>
      <c r="R270" s="8">
        <f>IFERROR(__xludf.DUMMYFUNCTION("""COMPUTED_VALUE"""),0.0)</f>
        <v>0</v>
      </c>
      <c r="S270" s="8">
        <f>IFERROR(__xludf.DUMMYFUNCTION("""COMPUTED_VALUE"""),0.0)</f>
        <v>0</v>
      </c>
      <c r="T270" s="8">
        <f>IFERROR(__xludf.DUMMYFUNCTION("""COMPUTED_VALUE"""),0.0)</f>
        <v>0</v>
      </c>
      <c r="U270" s="8">
        <f>IFERROR(__xludf.DUMMYFUNCTION("""COMPUTED_VALUE"""),0.0)</f>
        <v>0</v>
      </c>
      <c r="V270" s="8">
        <f>IFERROR(__xludf.DUMMYFUNCTION("""COMPUTED_VALUE"""),0.0)</f>
        <v>0</v>
      </c>
      <c r="W270" s="8">
        <f>IFERROR(__xludf.DUMMYFUNCTION("""COMPUTED_VALUE"""),0.0)</f>
        <v>0</v>
      </c>
      <c r="X270" s="8">
        <f>IFERROR(__xludf.DUMMYFUNCTION("""COMPUTED_VALUE"""),0.0)</f>
        <v>0</v>
      </c>
      <c r="Y270" s="8">
        <f>IFERROR(__xludf.DUMMYFUNCTION("""COMPUTED_VALUE"""),0.0)</f>
        <v>0</v>
      </c>
      <c r="Z270" s="8">
        <f>IFERROR(__xludf.DUMMYFUNCTION("""COMPUTED_VALUE"""),0.0)</f>
        <v>0</v>
      </c>
      <c r="AA270" s="8">
        <f>IFERROR(__xludf.DUMMYFUNCTION("""COMPUTED_VALUE"""),0.0)</f>
        <v>0</v>
      </c>
      <c r="AB270" s="8">
        <f>IFERROR(__xludf.DUMMYFUNCTION("""COMPUTED_VALUE"""),0.0)</f>
        <v>0</v>
      </c>
      <c r="AC270" s="8">
        <f>IFERROR(__xludf.DUMMYFUNCTION("""COMPUTED_VALUE"""),0.0)</f>
        <v>0</v>
      </c>
    </row>
    <row r="271" ht="15.75" customHeight="1">
      <c r="A271" s="6" t="str">
        <f>IFERROR(__xludf.DUMMYFUNCTION("""COMPUTED_VALUE"""),"f55e0806430f9f979b0bfc889bab608a05d8bb5b")</f>
        <v>f55e0806430f9f979b0bfc889bab608a05d8bb5b</v>
      </c>
      <c r="B271" s="6" t="str">
        <f>IFERROR(__xludf.DUMMYFUNCTION("""COMPUTED_VALUE"""),"Light of a New World")</f>
        <v>Light of a New World</v>
      </c>
      <c r="C271" s="6" t="str">
        <f>IFERROR(__xludf.DUMMYFUNCTION("""COMPUTED_VALUE"""),"Sci-Fi")</f>
        <v>Sci-Fi</v>
      </c>
      <c r="D271" s="11">
        <f>IFERROR(__xludf.DUMMYFUNCTION("""COMPUTED_VALUE"""),331.0)</f>
        <v>331</v>
      </c>
      <c r="E271" s="8">
        <f>IFERROR(__xludf.DUMMYFUNCTION("""COMPUTED_VALUE"""),0.990936555891238)</f>
        <v>0.9909365559</v>
      </c>
      <c r="F271" s="8">
        <f>IFERROR(__xludf.DUMMYFUNCTION("""COMPUTED_VALUE"""),0.404833836858006)</f>
        <v>0.4048338369</v>
      </c>
      <c r="G271" s="8">
        <f>IFERROR(__xludf.DUMMYFUNCTION("""COMPUTED_VALUE"""),0.323262839879154)</f>
        <v>0.3232628399</v>
      </c>
      <c r="H271" s="8">
        <f>IFERROR(__xludf.DUMMYFUNCTION("""COMPUTED_VALUE"""),0.256097560975609)</f>
        <v>0.256097561</v>
      </c>
      <c r="I271" s="8">
        <f>IFERROR(__xludf.DUMMYFUNCTION("""COMPUTED_VALUE"""),0.192073170731707)</f>
        <v>0.1920731707</v>
      </c>
      <c r="J271" s="8">
        <f>IFERROR(__xludf.DUMMYFUNCTION("""COMPUTED_VALUE"""),0.171779141104294)</f>
        <v>0.1717791411</v>
      </c>
      <c r="K271" s="8">
        <f>IFERROR(__xludf.DUMMYFUNCTION("""COMPUTED_VALUE"""),0.147239263803681)</f>
        <v>0.1472392638</v>
      </c>
      <c r="L271" s="8">
        <f>IFERROR(__xludf.DUMMYFUNCTION("""COMPUTED_VALUE"""),0.113496932515337)</f>
        <v>0.1134969325</v>
      </c>
      <c r="M271" s="8">
        <f>IFERROR(__xludf.DUMMYFUNCTION("""COMPUTED_VALUE"""),0.0858895705521472)</f>
        <v>0.08588957055</v>
      </c>
      <c r="N271" s="8">
        <f>IFERROR(__xludf.DUMMYFUNCTION("""COMPUTED_VALUE"""),0.0766871165644171)</f>
        <v>0.07668711656</v>
      </c>
      <c r="O271" s="8">
        <f>IFERROR(__xludf.DUMMYFUNCTION("""COMPUTED_VALUE"""),0.058282208588957)</f>
        <v>0.05828220859</v>
      </c>
      <c r="P271" s="8">
        <f>IFERROR(__xludf.DUMMYFUNCTION("""COMPUTED_VALUE"""),0.0404984423676012)</f>
        <v>0.04049844237</v>
      </c>
      <c r="Q271" s="8">
        <f>IFERROR(__xludf.DUMMYFUNCTION("""COMPUTED_VALUE"""),0.0156739811912225)</f>
        <v>0.01567398119</v>
      </c>
      <c r="R271" s="8">
        <f>IFERROR(__xludf.DUMMYFUNCTION("""COMPUTED_VALUE"""),0.00949367088607595)</f>
        <v>0.009493670886</v>
      </c>
      <c r="S271" s="8">
        <f>IFERROR(__xludf.DUMMYFUNCTION("""COMPUTED_VALUE"""),0.00662251655629139)</f>
        <v>0.006622516556</v>
      </c>
      <c r="T271" s="8">
        <f>IFERROR(__xludf.DUMMYFUNCTION("""COMPUTED_VALUE"""),0.0068259385665529)</f>
        <v>0.006825938567</v>
      </c>
      <c r="U271" s="8">
        <f>IFERROR(__xludf.DUMMYFUNCTION("""COMPUTED_VALUE"""),0.00719424460431654)</f>
        <v>0.007194244604</v>
      </c>
      <c r="V271" s="8">
        <f>IFERROR(__xludf.DUMMYFUNCTION("""COMPUTED_VALUE"""),0.00512820512820512)</f>
        <v>0.005128205128</v>
      </c>
      <c r="W271" s="8">
        <f>IFERROR(__xludf.DUMMYFUNCTION("""COMPUTED_VALUE"""),0.0)</f>
        <v>0</v>
      </c>
      <c r="X271" s="8">
        <f>IFERROR(__xludf.DUMMYFUNCTION("""COMPUTED_VALUE"""),0.0)</f>
        <v>0</v>
      </c>
      <c r="Y271" s="8">
        <f>IFERROR(__xludf.DUMMYFUNCTION("""COMPUTED_VALUE"""),0.0)</f>
        <v>0</v>
      </c>
      <c r="Z271" s="8">
        <f>IFERROR(__xludf.DUMMYFUNCTION("""COMPUTED_VALUE"""),0.0)</f>
        <v>0</v>
      </c>
      <c r="AA271" s="8">
        <f>IFERROR(__xludf.DUMMYFUNCTION("""COMPUTED_VALUE"""),0.0)</f>
        <v>0</v>
      </c>
      <c r="AB271" s="8">
        <f>IFERROR(__xludf.DUMMYFUNCTION("""COMPUTED_VALUE"""),0.0)</f>
        <v>0</v>
      </c>
      <c r="AC271" s="8">
        <f>IFERROR(__xludf.DUMMYFUNCTION("""COMPUTED_VALUE"""),0.0)</f>
        <v>0</v>
      </c>
    </row>
    <row r="272" ht="15.75" customHeight="1">
      <c r="A272" s="6" t="str">
        <f>IFERROR(__xludf.DUMMYFUNCTION("""COMPUTED_VALUE"""),"f692474d2ac3ef329a93f72cfedf44bceaced5f1")</f>
        <v>f692474d2ac3ef329a93f72cfedf44bceaced5f1</v>
      </c>
      <c r="B272" s="6" t="str">
        <f>IFERROR(__xludf.DUMMYFUNCTION("""COMPUTED_VALUE"""),"Kingsley Reigns")</f>
        <v>Kingsley Reigns</v>
      </c>
      <c r="C272" s="6" t="str">
        <f>IFERROR(__xludf.DUMMYFUNCTION("""COMPUTED_VALUE"""),"Drama")</f>
        <v>Drama</v>
      </c>
      <c r="D272" s="11">
        <f>IFERROR(__xludf.DUMMYFUNCTION("""COMPUTED_VALUE"""),3960.0)</f>
        <v>3960</v>
      </c>
      <c r="E272" s="8">
        <f>IFERROR(__xludf.DUMMYFUNCTION("""COMPUTED_VALUE"""),0.934595959595959)</f>
        <v>0.9345959596</v>
      </c>
      <c r="F272" s="8">
        <f>IFERROR(__xludf.DUMMYFUNCTION("""COMPUTED_VALUE"""),0.653282828282828)</f>
        <v>0.6532828283</v>
      </c>
      <c r="G272" s="8">
        <f>IFERROR(__xludf.DUMMYFUNCTION("""COMPUTED_VALUE"""),0.61489898989899)</f>
        <v>0.6148989899</v>
      </c>
      <c r="H272" s="8">
        <f>IFERROR(__xludf.DUMMYFUNCTION("""COMPUTED_VALUE"""),0.589082638362395)</f>
        <v>0.5890826384</v>
      </c>
      <c r="I272" s="8">
        <f>IFERROR(__xludf.DUMMYFUNCTION("""COMPUTED_VALUE"""),0.57543593631539)</f>
        <v>0.5754359363</v>
      </c>
      <c r="J272" s="8">
        <f>IFERROR(__xludf.DUMMYFUNCTION("""COMPUTED_VALUE"""),0.556370070778564)</f>
        <v>0.5563700708</v>
      </c>
      <c r="K272" s="8">
        <f>IFERROR(__xludf.DUMMYFUNCTION("""COMPUTED_VALUE"""),0.537917087967644)</f>
        <v>0.537917088</v>
      </c>
      <c r="L272" s="8">
        <f>IFERROR(__xludf.DUMMYFUNCTION("""COMPUTED_VALUE"""),0.524785027819929)</f>
        <v>0.5247850278</v>
      </c>
      <c r="M272" s="8">
        <f>IFERROR(__xludf.DUMMYFUNCTION("""COMPUTED_VALUE"""),0.514921598381386)</f>
        <v>0.5149215984</v>
      </c>
      <c r="N272" s="8">
        <f>IFERROR(__xludf.DUMMYFUNCTION("""COMPUTED_VALUE"""),0.510116337885685)</f>
        <v>0.5101163379</v>
      </c>
      <c r="O272" s="8">
        <f>IFERROR(__xludf.DUMMYFUNCTION("""COMPUTED_VALUE"""),0.476915271435819)</f>
        <v>0.4769152714</v>
      </c>
      <c r="P272" s="8">
        <f>IFERROR(__xludf.DUMMYFUNCTION("""COMPUTED_VALUE"""),0.406598984771573)</f>
        <v>0.4065989848</v>
      </c>
      <c r="Q272" s="8">
        <f>IFERROR(__xludf.DUMMYFUNCTION("""COMPUTED_VALUE"""),0.324771108850457)</f>
        <v>0.3247711089</v>
      </c>
      <c r="R272" s="8">
        <f>IFERROR(__xludf.DUMMYFUNCTION("""COMPUTED_VALUE"""),0.280142747897017)</f>
        <v>0.2801427479</v>
      </c>
      <c r="S272" s="8">
        <f>IFERROR(__xludf.DUMMYFUNCTION("""COMPUTED_VALUE"""),0.259504132231404)</f>
        <v>0.2595041322</v>
      </c>
      <c r="T272" s="8">
        <f>IFERROR(__xludf.DUMMYFUNCTION("""COMPUTED_VALUE"""),0.226495726495726)</f>
        <v>0.2264957265</v>
      </c>
      <c r="U272" s="8">
        <f>IFERROR(__xludf.DUMMYFUNCTION("""COMPUTED_VALUE"""),0.209154694286668)</f>
        <v>0.2091546943</v>
      </c>
      <c r="V272" s="8">
        <f>IFERROR(__xludf.DUMMYFUNCTION("""COMPUTED_VALUE"""),0.189839572192513)</f>
        <v>0.1898395722</v>
      </c>
      <c r="W272" s="8">
        <f>IFERROR(__xludf.DUMMYFUNCTION("""COMPUTED_VALUE"""),0.15505132360886)</f>
        <v>0.1550513236</v>
      </c>
      <c r="X272" s="8">
        <f>IFERROR(__xludf.DUMMYFUNCTION("""COMPUTED_VALUE"""),0.120222376650451)</f>
        <v>0.1202223767</v>
      </c>
      <c r="Y272" s="8">
        <f>IFERROR(__xludf.DUMMYFUNCTION("""COMPUTED_VALUE"""),0.0969202898550724)</f>
        <v>0.09692028986</v>
      </c>
      <c r="Z272" s="8">
        <f>IFERROR(__xludf.DUMMYFUNCTION("""COMPUTED_VALUE"""),0.0700636942675159)</f>
        <v>0.07006369427</v>
      </c>
      <c r="AA272" s="8">
        <f>IFERROR(__xludf.DUMMYFUNCTION("""COMPUTED_VALUE"""),0.0346020761245674)</f>
        <v>0.03460207612</v>
      </c>
      <c r="AB272" s="8">
        <f>IFERROR(__xludf.DUMMYFUNCTION("""COMPUTED_VALUE"""),0.0251256281407035)</f>
        <v>0.02512562814</v>
      </c>
      <c r="AC272" s="8">
        <f>IFERROR(__xludf.DUMMYFUNCTION("""COMPUTED_VALUE"""),0.0185185185185185)</f>
        <v>0.01851851852</v>
      </c>
    </row>
    <row r="273" ht="15.75" customHeight="1">
      <c r="A273" s="6" t="str">
        <f>IFERROR(__xludf.DUMMYFUNCTION("""COMPUTED_VALUE"""),"f6ea1ee253b53b8124a4f7f92ae0a9ef960a044a")</f>
        <v>f6ea1ee253b53b8124a4f7f92ae0a9ef960a044a</v>
      </c>
      <c r="B273" s="6" t="str">
        <f>IFERROR(__xludf.DUMMYFUNCTION("""COMPUTED_VALUE"""),"Regret of the Ceo")</f>
        <v>Regret of the Ceo</v>
      </c>
      <c r="C273" s="6" t="str">
        <f>IFERROR(__xludf.DUMMYFUNCTION("""COMPUTED_VALUE"""),"Romance")</f>
        <v>Romance</v>
      </c>
      <c r="D273" s="11">
        <f>IFERROR(__xludf.DUMMYFUNCTION("""COMPUTED_VALUE"""),37.0)</f>
        <v>37</v>
      </c>
      <c r="E273" s="8">
        <f>IFERROR(__xludf.DUMMYFUNCTION("""COMPUTED_VALUE"""),0.891891891891891)</f>
        <v>0.8918918919</v>
      </c>
      <c r="F273" s="8">
        <f>IFERROR(__xludf.DUMMYFUNCTION("""COMPUTED_VALUE"""),0.729729729729729)</f>
        <v>0.7297297297</v>
      </c>
      <c r="G273" s="8">
        <f>IFERROR(__xludf.DUMMYFUNCTION("""COMPUTED_VALUE"""),0.675675675675675)</f>
        <v>0.6756756757</v>
      </c>
      <c r="H273" s="8">
        <f>IFERROR(__xludf.DUMMYFUNCTION("""COMPUTED_VALUE"""),0.648648648648648)</f>
        <v>0.6486486486</v>
      </c>
      <c r="I273" s="8">
        <f>IFERROR(__xludf.DUMMYFUNCTION("""COMPUTED_VALUE"""),0.567567567567567)</f>
        <v>0.5675675676</v>
      </c>
      <c r="J273" s="8">
        <f>IFERROR(__xludf.DUMMYFUNCTION("""COMPUTED_VALUE"""),0.486486486486486)</f>
        <v>0.4864864865</v>
      </c>
      <c r="K273" s="8">
        <f>IFERROR(__xludf.DUMMYFUNCTION("""COMPUTED_VALUE"""),0.351351351351351)</f>
        <v>0.3513513514</v>
      </c>
      <c r="L273" s="8">
        <f>IFERROR(__xludf.DUMMYFUNCTION("""COMPUTED_VALUE"""),0.243243243243243)</f>
        <v>0.2432432432</v>
      </c>
      <c r="M273" s="8">
        <f>IFERROR(__xludf.DUMMYFUNCTION("""COMPUTED_VALUE"""),0.194444444444444)</f>
        <v>0.1944444444</v>
      </c>
      <c r="N273" s="8">
        <f>IFERROR(__xludf.DUMMYFUNCTION("""COMPUTED_VALUE"""),0.222222222222222)</f>
        <v>0.2222222222</v>
      </c>
      <c r="O273" s="8">
        <f>IFERROR(__xludf.DUMMYFUNCTION("""COMPUTED_VALUE"""),0.142857142857142)</f>
        <v>0.1428571429</v>
      </c>
      <c r="P273" s="8">
        <f>IFERROR(__xludf.DUMMYFUNCTION("""COMPUTED_VALUE"""),0.147058823529411)</f>
        <v>0.1470588235</v>
      </c>
      <c r="Q273" s="8">
        <f>IFERROR(__xludf.DUMMYFUNCTION("""COMPUTED_VALUE"""),0.1)</f>
        <v>0.1</v>
      </c>
      <c r="R273" s="8">
        <f>IFERROR(__xludf.DUMMYFUNCTION("""COMPUTED_VALUE"""),0.0476190476190476)</f>
        <v>0.04761904762</v>
      </c>
      <c r="S273" s="8">
        <f>IFERROR(__xludf.DUMMYFUNCTION("""COMPUTED_VALUE"""),0.0555555555555555)</f>
        <v>0.05555555556</v>
      </c>
      <c r="T273" s="8">
        <f>IFERROR(__xludf.DUMMYFUNCTION("""COMPUTED_VALUE"""),0.0)</f>
        <v>0</v>
      </c>
      <c r="U273" s="8">
        <f>IFERROR(__xludf.DUMMYFUNCTION("""COMPUTED_VALUE"""),0.0)</f>
        <v>0</v>
      </c>
      <c r="V273" s="8">
        <f>IFERROR(__xludf.DUMMYFUNCTION("""COMPUTED_VALUE"""),0.0)</f>
        <v>0</v>
      </c>
      <c r="W273" s="8">
        <f>IFERROR(__xludf.DUMMYFUNCTION("""COMPUTED_VALUE"""),0.0)</f>
        <v>0</v>
      </c>
      <c r="X273" s="8">
        <f>IFERROR(__xludf.DUMMYFUNCTION("""COMPUTED_VALUE"""),0.0)</f>
        <v>0</v>
      </c>
      <c r="Y273" s="8">
        <f>IFERROR(__xludf.DUMMYFUNCTION("""COMPUTED_VALUE"""),0.0)</f>
        <v>0</v>
      </c>
      <c r="Z273" s="8">
        <f>IFERROR(__xludf.DUMMYFUNCTION("""COMPUTED_VALUE"""),0.0)</f>
        <v>0</v>
      </c>
      <c r="AA273" s="8">
        <f>IFERROR(__xludf.DUMMYFUNCTION("""COMPUTED_VALUE"""),0.0)</f>
        <v>0</v>
      </c>
      <c r="AB273" s="8">
        <f>IFERROR(__xludf.DUMMYFUNCTION("""COMPUTED_VALUE"""),0.0)</f>
        <v>0</v>
      </c>
      <c r="AC273" s="8">
        <f>IFERROR(__xludf.DUMMYFUNCTION("""COMPUTED_VALUE"""),0.0)</f>
        <v>0</v>
      </c>
    </row>
    <row r="274" ht="15.75" customHeight="1">
      <c r="A274" s="6" t="str">
        <f>IFERROR(__xludf.DUMMYFUNCTION("""COMPUTED_VALUE"""),"fb311a6dd8cd59a51bf680323116bcc5d2798a8e")</f>
        <v>fb311a6dd8cd59a51bf680323116bcc5d2798a8e</v>
      </c>
      <c r="B274" s="6" t="str">
        <f>IFERROR(__xludf.DUMMYFUNCTION("""COMPUTED_VALUE"""),"The Beast Tamer's Legacy")</f>
        <v>The Beast Tamer's Legacy</v>
      </c>
      <c r="C274" s="6" t="str">
        <f>IFERROR(__xludf.DUMMYFUNCTION("""COMPUTED_VALUE"""),"System and Superpower")</f>
        <v>System and Superpower</v>
      </c>
      <c r="D274" s="11">
        <f>IFERROR(__xludf.DUMMYFUNCTION("""COMPUTED_VALUE"""),437.0)</f>
        <v>437</v>
      </c>
      <c r="E274" s="8">
        <f>IFERROR(__xludf.DUMMYFUNCTION("""COMPUTED_VALUE"""),0.981693363844393)</f>
        <v>0.9816933638</v>
      </c>
      <c r="F274" s="8">
        <f>IFERROR(__xludf.DUMMYFUNCTION("""COMPUTED_VALUE"""),0.615560640732265)</f>
        <v>0.6155606407</v>
      </c>
      <c r="G274" s="8">
        <f>IFERROR(__xludf.DUMMYFUNCTION("""COMPUTED_VALUE"""),0.548165137614678)</f>
        <v>0.5481651376</v>
      </c>
      <c r="H274" s="8">
        <f>IFERROR(__xludf.DUMMYFUNCTION("""COMPUTED_VALUE"""),0.466666666666666)</f>
        <v>0.4666666667</v>
      </c>
      <c r="I274" s="8">
        <f>IFERROR(__xludf.DUMMYFUNCTION("""COMPUTED_VALUE"""),0.423963133640553)</f>
        <v>0.4239631336</v>
      </c>
      <c r="J274" s="8">
        <f>IFERROR(__xludf.DUMMYFUNCTION("""COMPUTED_VALUE"""),0.38568129330254)</f>
        <v>0.3856812933</v>
      </c>
      <c r="K274" s="8">
        <f>IFERROR(__xludf.DUMMYFUNCTION("""COMPUTED_VALUE"""),0.348729792147806)</f>
        <v>0.3487297921</v>
      </c>
      <c r="L274" s="8">
        <f>IFERROR(__xludf.DUMMYFUNCTION("""COMPUTED_VALUE"""),0.3125)</f>
        <v>0.3125</v>
      </c>
      <c r="M274" s="8">
        <f>IFERROR(__xludf.DUMMYFUNCTION("""COMPUTED_VALUE"""),0.30324074074074)</f>
        <v>0.3032407407</v>
      </c>
      <c r="N274" s="8">
        <f>IFERROR(__xludf.DUMMYFUNCTION("""COMPUTED_VALUE"""),0.281395348837209)</f>
        <v>0.2813953488</v>
      </c>
      <c r="O274" s="8">
        <f>IFERROR(__xludf.DUMMYFUNCTION("""COMPUTED_VALUE"""),0.210023866348448)</f>
        <v>0.2100238663</v>
      </c>
      <c r="P274" s="8">
        <f>IFERROR(__xludf.DUMMYFUNCTION("""COMPUTED_VALUE"""),0.164921465968586)</f>
        <v>0.164921466</v>
      </c>
      <c r="Q274" s="8">
        <f>IFERROR(__xludf.DUMMYFUNCTION("""COMPUTED_VALUE"""),0.153846153846153)</f>
        <v>0.1538461538</v>
      </c>
      <c r="R274" s="8">
        <f>IFERROR(__xludf.DUMMYFUNCTION("""COMPUTED_VALUE"""),0.0)</f>
        <v>0</v>
      </c>
      <c r="S274" s="8">
        <f>IFERROR(__xludf.DUMMYFUNCTION("""COMPUTED_VALUE"""),0.0)</f>
        <v>0</v>
      </c>
      <c r="T274" s="8">
        <f>IFERROR(__xludf.DUMMYFUNCTION("""COMPUTED_VALUE"""),0.0)</f>
        <v>0</v>
      </c>
      <c r="U274" s="8">
        <f>IFERROR(__xludf.DUMMYFUNCTION("""COMPUTED_VALUE"""),0.0)</f>
        <v>0</v>
      </c>
      <c r="V274" s="8">
        <f>IFERROR(__xludf.DUMMYFUNCTION("""COMPUTED_VALUE"""),0.0)</f>
        <v>0</v>
      </c>
      <c r="W274" s="8">
        <f>IFERROR(__xludf.DUMMYFUNCTION("""COMPUTED_VALUE"""),0.0)</f>
        <v>0</v>
      </c>
      <c r="X274" s="8">
        <f>IFERROR(__xludf.DUMMYFUNCTION("""COMPUTED_VALUE"""),0.0)</f>
        <v>0</v>
      </c>
      <c r="Y274" s="8">
        <f>IFERROR(__xludf.DUMMYFUNCTION("""COMPUTED_VALUE"""),0.0)</f>
        <v>0</v>
      </c>
      <c r="Z274" s="8">
        <f>IFERROR(__xludf.DUMMYFUNCTION("""COMPUTED_VALUE"""),0.0)</f>
        <v>0</v>
      </c>
      <c r="AA274" s="8">
        <f>IFERROR(__xludf.DUMMYFUNCTION("""COMPUTED_VALUE"""),0.0)</f>
        <v>0</v>
      </c>
      <c r="AB274" s="8">
        <f>IFERROR(__xludf.DUMMYFUNCTION("""COMPUTED_VALUE"""),0.0)</f>
        <v>0</v>
      </c>
      <c r="AC274" s="8">
        <f>IFERROR(__xludf.DUMMYFUNCTION("""COMPUTED_VALUE"""),0.0)</f>
        <v>0</v>
      </c>
    </row>
    <row r="275" ht="15.75" customHeight="1">
      <c r="A275" s="6" t="str">
        <f>IFERROR(__xludf.DUMMYFUNCTION("""COMPUTED_VALUE"""),"fc599fbc708fd150dfe8d867a18a17fa8b439c84")</f>
        <v>fc599fbc708fd150dfe8d867a18a17fa8b439c84</v>
      </c>
      <c r="B275" s="6" t="str">
        <f>IFERROR(__xludf.DUMMYFUNCTION("""COMPUTED_VALUE"""),"Anything for Sunny")</f>
        <v>Anything for Sunny</v>
      </c>
      <c r="C275" s="6" t="str">
        <f>IFERROR(__xludf.DUMMYFUNCTION("""COMPUTED_VALUE"""),"Drama")</f>
        <v>Drama</v>
      </c>
      <c r="D275" s="11">
        <f>IFERROR(__xludf.DUMMYFUNCTION("""COMPUTED_VALUE"""),32.0)</f>
        <v>32</v>
      </c>
      <c r="E275" s="8">
        <f>IFERROR(__xludf.DUMMYFUNCTION("""COMPUTED_VALUE"""),1.0)</f>
        <v>1</v>
      </c>
      <c r="F275" s="8">
        <f>IFERROR(__xludf.DUMMYFUNCTION("""COMPUTED_VALUE"""),0.375)</f>
        <v>0.375</v>
      </c>
      <c r="G275" s="8">
        <f>IFERROR(__xludf.DUMMYFUNCTION("""COMPUTED_VALUE"""),0.3125)</f>
        <v>0.3125</v>
      </c>
      <c r="H275" s="8">
        <f>IFERROR(__xludf.DUMMYFUNCTION("""COMPUTED_VALUE"""),0.21875)</f>
        <v>0.21875</v>
      </c>
      <c r="I275" s="8">
        <f>IFERROR(__xludf.DUMMYFUNCTION("""COMPUTED_VALUE"""),0.21875)</f>
        <v>0.21875</v>
      </c>
      <c r="J275" s="8">
        <f>IFERROR(__xludf.DUMMYFUNCTION("""COMPUTED_VALUE"""),0.225806451612903)</f>
        <v>0.2258064516</v>
      </c>
      <c r="K275" s="8">
        <f>IFERROR(__xludf.DUMMYFUNCTION("""COMPUTED_VALUE"""),0.161290322580645)</f>
        <v>0.1612903226</v>
      </c>
      <c r="L275" s="8">
        <f>IFERROR(__xludf.DUMMYFUNCTION("""COMPUTED_VALUE"""),0.1)</f>
        <v>0.1</v>
      </c>
      <c r="M275" s="8">
        <f>IFERROR(__xludf.DUMMYFUNCTION("""COMPUTED_VALUE"""),0.1)</f>
        <v>0.1</v>
      </c>
      <c r="N275" s="8">
        <f>IFERROR(__xludf.DUMMYFUNCTION("""COMPUTED_VALUE"""),0.1)</f>
        <v>0.1</v>
      </c>
      <c r="O275" s="8">
        <f>IFERROR(__xludf.DUMMYFUNCTION("""COMPUTED_VALUE"""),0.04)</f>
        <v>0.04</v>
      </c>
      <c r="P275" s="8">
        <f>IFERROR(__xludf.DUMMYFUNCTION("""COMPUTED_VALUE"""),0.0)</f>
        <v>0</v>
      </c>
      <c r="Q275" s="8">
        <f>IFERROR(__xludf.DUMMYFUNCTION("""COMPUTED_VALUE"""),0.0)</f>
        <v>0</v>
      </c>
      <c r="R275" s="8">
        <f>IFERROR(__xludf.DUMMYFUNCTION("""COMPUTED_VALUE"""),0.0)</f>
        <v>0</v>
      </c>
      <c r="S275" s="8">
        <f>IFERROR(__xludf.DUMMYFUNCTION("""COMPUTED_VALUE"""),0.0)</f>
        <v>0</v>
      </c>
      <c r="T275" s="8">
        <f>IFERROR(__xludf.DUMMYFUNCTION("""COMPUTED_VALUE"""),0.0)</f>
        <v>0</v>
      </c>
      <c r="U275" s="8">
        <f>IFERROR(__xludf.DUMMYFUNCTION("""COMPUTED_VALUE"""),0.0)</f>
        <v>0</v>
      </c>
      <c r="V275" s="8">
        <f>IFERROR(__xludf.DUMMYFUNCTION("""COMPUTED_VALUE"""),0.0)</f>
        <v>0</v>
      </c>
      <c r="W275" s="8">
        <f>IFERROR(__xludf.DUMMYFUNCTION("""COMPUTED_VALUE"""),0.0)</f>
        <v>0</v>
      </c>
      <c r="X275" s="8">
        <f>IFERROR(__xludf.DUMMYFUNCTION("""COMPUTED_VALUE"""),0.0)</f>
        <v>0</v>
      </c>
      <c r="Y275" s="8">
        <f>IFERROR(__xludf.DUMMYFUNCTION("""COMPUTED_VALUE"""),0.0)</f>
        <v>0</v>
      </c>
      <c r="Z275" s="8">
        <f>IFERROR(__xludf.DUMMYFUNCTION("""COMPUTED_VALUE"""),0.0)</f>
        <v>0</v>
      </c>
      <c r="AA275" s="8">
        <f>IFERROR(__xludf.DUMMYFUNCTION("""COMPUTED_VALUE"""),0.0)</f>
        <v>0</v>
      </c>
      <c r="AB275" s="8">
        <f>IFERROR(__xludf.DUMMYFUNCTION("""COMPUTED_VALUE"""),0.0)</f>
        <v>0</v>
      </c>
      <c r="AC275" s="8">
        <f>IFERROR(__xludf.DUMMYFUNCTION("""COMPUTED_VALUE"""),0.0)</f>
        <v>0</v>
      </c>
    </row>
    <row r="276" ht="15.75" customHeight="1">
      <c r="A276" s="6" t="str">
        <f>IFERROR(__xludf.DUMMYFUNCTION("""COMPUTED_VALUE"""),"fcddd3d14a0e1b1dab1bcb5c11d4aec683fdb598")</f>
        <v>fcddd3d14a0e1b1dab1bcb5c11d4aec683fdb598</v>
      </c>
      <c r="B276" s="6" t="str">
        <f>IFERROR(__xludf.DUMMYFUNCTION("""COMPUTED_VALUE"""),"Rise of Drake Callahan")</f>
        <v>Rise of Drake Callahan</v>
      </c>
      <c r="C276" s="6" t="str">
        <f>IFERROR(__xludf.DUMMYFUNCTION("""COMPUTED_VALUE"""),"Drama")</f>
        <v>Drama</v>
      </c>
      <c r="D276" s="11">
        <f>IFERROR(__xludf.DUMMYFUNCTION("""COMPUTED_VALUE"""),495.0)</f>
        <v>495</v>
      </c>
      <c r="E276" s="8">
        <f>IFERROR(__xludf.DUMMYFUNCTION("""COMPUTED_VALUE"""),0.983838383838383)</f>
        <v>0.9838383838</v>
      </c>
      <c r="F276" s="8">
        <f>IFERROR(__xludf.DUMMYFUNCTION("""COMPUTED_VALUE"""),0.652525252525252)</f>
        <v>0.6525252525</v>
      </c>
      <c r="G276" s="8">
        <f>IFERROR(__xludf.DUMMYFUNCTION("""COMPUTED_VALUE"""),0.571717171717171)</f>
        <v>0.5717171717</v>
      </c>
      <c r="H276" s="8">
        <f>IFERROR(__xludf.DUMMYFUNCTION("""COMPUTED_VALUE"""),0.543307086614173)</f>
        <v>0.5433070866</v>
      </c>
      <c r="I276" s="8">
        <f>IFERROR(__xludf.DUMMYFUNCTION("""COMPUTED_VALUE"""),0.494623655913978)</f>
        <v>0.4946236559</v>
      </c>
      <c r="J276" s="8">
        <f>IFERROR(__xludf.DUMMYFUNCTION("""COMPUTED_VALUE"""),0.484177215189873)</f>
        <v>0.4841772152</v>
      </c>
      <c r="K276" s="8">
        <f>IFERROR(__xludf.DUMMYFUNCTION("""COMPUTED_VALUE"""),0.487364620938628)</f>
        <v>0.4873646209</v>
      </c>
      <c r="L276" s="8">
        <f>IFERROR(__xludf.DUMMYFUNCTION("""COMPUTED_VALUE"""),0.488372093023255)</f>
        <v>0.488372093</v>
      </c>
      <c r="M276" s="8">
        <f>IFERROR(__xludf.DUMMYFUNCTION("""COMPUTED_VALUE"""),0.45505617977528)</f>
        <v>0.4550561798</v>
      </c>
      <c r="N276" s="8">
        <f>IFERROR(__xludf.DUMMYFUNCTION("""COMPUTED_VALUE"""),0.408)</f>
        <v>0.408</v>
      </c>
      <c r="O276" s="8">
        <f>IFERROR(__xludf.DUMMYFUNCTION("""COMPUTED_VALUE"""),0.214285714285714)</f>
        <v>0.2142857143</v>
      </c>
      <c r="P276" s="8">
        <f>IFERROR(__xludf.DUMMYFUNCTION("""COMPUTED_VALUE"""),0.277777777777777)</f>
        <v>0.2777777778</v>
      </c>
      <c r="Q276" s="8">
        <f>IFERROR(__xludf.DUMMYFUNCTION("""COMPUTED_VALUE"""),0.0)</f>
        <v>0</v>
      </c>
      <c r="R276" s="8">
        <f>IFERROR(__xludf.DUMMYFUNCTION("""COMPUTED_VALUE"""),0.0)</f>
        <v>0</v>
      </c>
      <c r="S276" s="8">
        <f>IFERROR(__xludf.DUMMYFUNCTION("""COMPUTED_VALUE"""),0.0)</f>
        <v>0</v>
      </c>
      <c r="T276" s="8">
        <f>IFERROR(__xludf.DUMMYFUNCTION("""COMPUTED_VALUE"""),0.0)</f>
        <v>0</v>
      </c>
      <c r="U276" s="8">
        <f>IFERROR(__xludf.DUMMYFUNCTION("""COMPUTED_VALUE"""),0.0)</f>
        <v>0</v>
      </c>
      <c r="V276" s="8">
        <f>IFERROR(__xludf.DUMMYFUNCTION("""COMPUTED_VALUE"""),0.0)</f>
        <v>0</v>
      </c>
      <c r="W276" s="8">
        <f>IFERROR(__xludf.DUMMYFUNCTION("""COMPUTED_VALUE"""),0.0)</f>
        <v>0</v>
      </c>
      <c r="X276" s="8">
        <f>IFERROR(__xludf.DUMMYFUNCTION("""COMPUTED_VALUE"""),0.0)</f>
        <v>0</v>
      </c>
      <c r="Y276" s="8">
        <f>IFERROR(__xludf.DUMMYFUNCTION("""COMPUTED_VALUE"""),0.0)</f>
        <v>0</v>
      </c>
      <c r="Z276" s="8">
        <f>IFERROR(__xludf.DUMMYFUNCTION("""COMPUTED_VALUE"""),0.0)</f>
        <v>0</v>
      </c>
      <c r="AA276" s="8">
        <f>IFERROR(__xludf.DUMMYFUNCTION("""COMPUTED_VALUE"""),0.0)</f>
        <v>0</v>
      </c>
      <c r="AB276" s="8">
        <f>IFERROR(__xludf.DUMMYFUNCTION("""COMPUTED_VALUE"""),0.0)</f>
        <v>0</v>
      </c>
      <c r="AC276" s="8">
        <f>IFERROR(__xludf.DUMMYFUNCTION("""COMPUTED_VALUE"""),0.0)</f>
        <v>0</v>
      </c>
    </row>
    <row r="277" ht="15.75" customHeight="1">
      <c r="A277" s="6" t="str">
        <f>IFERROR(__xludf.DUMMYFUNCTION("""COMPUTED_VALUE"""),"fce8fe866ed4c3d213e087a4343996d06bb09af7")</f>
        <v>fce8fe866ed4c3d213e087a4343996d06bb09af7</v>
      </c>
      <c r="B277" s="6" t="str">
        <f>IFERROR(__xludf.DUMMYFUNCTION("""COMPUTED_VALUE"""),"The Anderson Rebirth")</f>
        <v>The Anderson Rebirth</v>
      </c>
      <c r="C277" s="6" t="str">
        <f>IFERROR(__xludf.DUMMYFUNCTION("""COMPUTED_VALUE"""),"System and Superpower")</f>
        <v>System and Superpower</v>
      </c>
      <c r="D277" s="11">
        <f>IFERROR(__xludf.DUMMYFUNCTION("""COMPUTED_VALUE"""),645.0)</f>
        <v>645</v>
      </c>
      <c r="E277" s="8">
        <f>IFERROR(__xludf.DUMMYFUNCTION("""COMPUTED_VALUE"""),0.962790697674418)</f>
        <v>0.9627906977</v>
      </c>
      <c r="F277" s="8">
        <f>IFERROR(__xludf.DUMMYFUNCTION("""COMPUTED_VALUE"""),0.717829457364341)</f>
        <v>0.7178294574</v>
      </c>
      <c r="G277" s="8">
        <f>IFERROR(__xludf.DUMMYFUNCTION("""COMPUTED_VALUE"""),0.671317829457364)</f>
        <v>0.6713178295</v>
      </c>
      <c r="H277" s="8">
        <f>IFERROR(__xludf.DUMMYFUNCTION("""COMPUTED_VALUE"""),0.642301710730948)</f>
        <v>0.6423017107</v>
      </c>
      <c r="I277" s="8">
        <f>IFERROR(__xludf.DUMMYFUNCTION("""COMPUTED_VALUE"""),0.583203732503888)</f>
        <v>0.5832037325</v>
      </c>
      <c r="J277" s="8">
        <f>IFERROR(__xludf.DUMMYFUNCTION("""COMPUTED_VALUE"""),0.558320373250388)</f>
        <v>0.5583203733</v>
      </c>
      <c r="K277" s="8">
        <f>IFERROR(__xludf.DUMMYFUNCTION("""COMPUTED_VALUE"""),0.545171339563862)</f>
        <v>0.5451713396</v>
      </c>
      <c r="L277" s="8">
        <f>IFERROR(__xludf.DUMMYFUNCTION("""COMPUTED_VALUE"""),0.532710280373831)</f>
        <v>0.5327102804</v>
      </c>
      <c r="M277" s="8">
        <f>IFERROR(__xludf.DUMMYFUNCTION("""COMPUTED_VALUE"""),0.523364485981308)</f>
        <v>0.523364486</v>
      </c>
      <c r="N277" s="8">
        <f>IFERROR(__xludf.DUMMYFUNCTION("""COMPUTED_VALUE"""),0.5078125)</f>
        <v>0.5078125</v>
      </c>
      <c r="O277" s="8">
        <f>IFERROR(__xludf.DUMMYFUNCTION("""COMPUTED_VALUE"""),0.46771653543307)</f>
        <v>0.4677165354</v>
      </c>
      <c r="P277" s="8">
        <f>IFERROR(__xludf.DUMMYFUNCTION("""COMPUTED_VALUE"""),0.320063694267515)</f>
        <v>0.3200636943</v>
      </c>
      <c r="Q277" s="8">
        <f>IFERROR(__xludf.DUMMYFUNCTION("""COMPUTED_VALUE"""),0.172932330827067)</f>
        <v>0.1729323308</v>
      </c>
      <c r="R277" s="8">
        <f>IFERROR(__xludf.DUMMYFUNCTION("""COMPUTED_VALUE"""),0.0933333333333333)</f>
        <v>0.09333333333</v>
      </c>
      <c r="S277" s="8">
        <f>IFERROR(__xludf.DUMMYFUNCTION("""COMPUTED_VALUE"""),0.0)</f>
        <v>0</v>
      </c>
      <c r="T277" s="8">
        <f>IFERROR(__xludf.DUMMYFUNCTION("""COMPUTED_VALUE"""),0.0)</f>
        <v>0</v>
      </c>
      <c r="U277" s="8">
        <f>IFERROR(__xludf.DUMMYFUNCTION("""COMPUTED_VALUE"""),0.0)</f>
        <v>0</v>
      </c>
      <c r="V277" s="8">
        <f>IFERROR(__xludf.DUMMYFUNCTION("""COMPUTED_VALUE"""),0.0)</f>
        <v>0</v>
      </c>
      <c r="W277" s="8">
        <f>IFERROR(__xludf.DUMMYFUNCTION("""COMPUTED_VALUE"""),0.0)</f>
        <v>0</v>
      </c>
      <c r="X277" s="8">
        <f>IFERROR(__xludf.DUMMYFUNCTION("""COMPUTED_VALUE"""),0.0)</f>
        <v>0</v>
      </c>
      <c r="Y277" s="8">
        <f>IFERROR(__xludf.DUMMYFUNCTION("""COMPUTED_VALUE"""),0.0)</f>
        <v>0</v>
      </c>
      <c r="Z277" s="8">
        <f>IFERROR(__xludf.DUMMYFUNCTION("""COMPUTED_VALUE"""),0.0)</f>
        <v>0</v>
      </c>
      <c r="AA277" s="8">
        <f>IFERROR(__xludf.DUMMYFUNCTION("""COMPUTED_VALUE"""),0.0)</f>
        <v>0</v>
      </c>
      <c r="AB277" s="8">
        <f>IFERROR(__xludf.DUMMYFUNCTION("""COMPUTED_VALUE"""),0.0)</f>
        <v>0</v>
      </c>
      <c r="AC277" s="8">
        <f>IFERROR(__xludf.DUMMYFUNCTION("""COMPUTED_VALUE"""),0.0)</f>
        <v>0</v>
      </c>
    </row>
    <row r="278" ht="15.75" customHeight="1">
      <c r="A278" s="6" t="str">
        <f>IFERROR(__xludf.DUMMYFUNCTION("""COMPUTED_VALUE"""),"fce99720ddedf66c6e45f23c6876581e0b796f34")</f>
        <v>fce99720ddedf66c6e45f23c6876581e0b796f34</v>
      </c>
      <c r="B278" s="6" t="str">
        <f>IFERROR(__xludf.DUMMYFUNCTION("""COMPUTED_VALUE"""),"Reborn as Serena Whitmore")</f>
        <v>Reborn as Serena Whitmore</v>
      </c>
      <c r="C278" s="6" t="str">
        <f>IFERROR(__xludf.DUMMYFUNCTION("""COMPUTED_VALUE"""),"Romance")</f>
        <v>Romance</v>
      </c>
      <c r="D278" s="11">
        <f>IFERROR(__xludf.DUMMYFUNCTION("""COMPUTED_VALUE"""),79.0)</f>
        <v>79</v>
      </c>
      <c r="E278" s="8">
        <f>IFERROR(__xludf.DUMMYFUNCTION("""COMPUTED_VALUE"""),0.936708860759493)</f>
        <v>0.9367088608</v>
      </c>
      <c r="F278" s="8">
        <f>IFERROR(__xludf.DUMMYFUNCTION("""COMPUTED_VALUE"""),0.70886075949367)</f>
        <v>0.7088607595</v>
      </c>
      <c r="G278" s="8">
        <f>IFERROR(__xludf.DUMMYFUNCTION("""COMPUTED_VALUE"""),0.658227848101265)</f>
        <v>0.6582278481</v>
      </c>
      <c r="H278" s="8">
        <f>IFERROR(__xludf.DUMMYFUNCTION("""COMPUTED_VALUE"""),0.632911392405063)</f>
        <v>0.6329113924</v>
      </c>
      <c r="I278" s="8">
        <f>IFERROR(__xludf.DUMMYFUNCTION("""COMPUTED_VALUE"""),0.544303797468354)</f>
        <v>0.5443037975</v>
      </c>
      <c r="J278" s="8">
        <f>IFERROR(__xludf.DUMMYFUNCTION("""COMPUTED_VALUE"""),0.575757575757575)</f>
        <v>0.5757575758</v>
      </c>
      <c r="K278" s="8">
        <f>IFERROR(__xludf.DUMMYFUNCTION("""COMPUTED_VALUE"""),0.516666666666666)</f>
        <v>0.5166666667</v>
      </c>
      <c r="L278" s="8">
        <f>IFERROR(__xludf.DUMMYFUNCTION("""COMPUTED_VALUE"""),0.5)</f>
        <v>0.5</v>
      </c>
      <c r="M278" s="8">
        <f>IFERROR(__xludf.DUMMYFUNCTION("""COMPUTED_VALUE"""),0.369565217391304)</f>
        <v>0.3695652174</v>
      </c>
      <c r="N278" s="8">
        <f>IFERROR(__xludf.DUMMYFUNCTION("""COMPUTED_VALUE"""),0.351351351351351)</f>
        <v>0.3513513514</v>
      </c>
      <c r="O278" s="8">
        <f>IFERROR(__xludf.DUMMYFUNCTION("""COMPUTED_VALUE"""),0.285714285714285)</f>
        <v>0.2857142857</v>
      </c>
      <c r="P278" s="8">
        <f>IFERROR(__xludf.DUMMYFUNCTION("""COMPUTED_VALUE"""),0.4)</f>
        <v>0.4</v>
      </c>
      <c r="Q278" s="8">
        <f>IFERROR(__xludf.DUMMYFUNCTION("""COMPUTED_VALUE"""),0.0)</f>
        <v>0</v>
      </c>
      <c r="R278" s="8">
        <f>IFERROR(__xludf.DUMMYFUNCTION("""COMPUTED_VALUE"""),0.0)</f>
        <v>0</v>
      </c>
      <c r="S278" s="8">
        <f>IFERROR(__xludf.DUMMYFUNCTION("""COMPUTED_VALUE"""),0.0)</f>
        <v>0</v>
      </c>
      <c r="T278" s="8">
        <f>IFERROR(__xludf.DUMMYFUNCTION("""COMPUTED_VALUE"""),0.0)</f>
        <v>0</v>
      </c>
      <c r="U278" s="8">
        <f>IFERROR(__xludf.DUMMYFUNCTION("""COMPUTED_VALUE"""),0.0)</f>
        <v>0</v>
      </c>
      <c r="V278" s="8">
        <f>IFERROR(__xludf.DUMMYFUNCTION("""COMPUTED_VALUE"""),0.0)</f>
        <v>0</v>
      </c>
      <c r="W278" s="8">
        <f>IFERROR(__xludf.DUMMYFUNCTION("""COMPUTED_VALUE"""),0.0)</f>
        <v>0</v>
      </c>
      <c r="X278" s="8">
        <f>IFERROR(__xludf.DUMMYFUNCTION("""COMPUTED_VALUE"""),0.0)</f>
        <v>0</v>
      </c>
      <c r="Y278" s="8">
        <f>IFERROR(__xludf.DUMMYFUNCTION("""COMPUTED_VALUE"""),0.0)</f>
        <v>0</v>
      </c>
      <c r="Z278" s="8">
        <f>IFERROR(__xludf.DUMMYFUNCTION("""COMPUTED_VALUE"""),0.0)</f>
        <v>0</v>
      </c>
      <c r="AA278" s="8">
        <f>IFERROR(__xludf.DUMMYFUNCTION("""COMPUTED_VALUE"""),0.0)</f>
        <v>0</v>
      </c>
      <c r="AB278" s="8">
        <f>IFERROR(__xludf.DUMMYFUNCTION("""COMPUTED_VALUE"""),0.0)</f>
        <v>0</v>
      </c>
      <c r="AC278" s="8">
        <f>IFERROR(__xludf.DUMMYFUNCTION("""COMPUTED_VALUE"""),0.0)</f>
        <v>0</v>
      </c>
    </row>
    <row r="279" ht="15.75" customHeight="1">
      <c r="A279" s="6" t="str">
        <f>IFERROR(__xludf.DUMMYFUNCTION("""COMPUTED_VALUE"""),"fe01aa725eab93a44f707bbab393a9640b0e69db")</f>
        <v>fe01aa725eab93a44f707bbab393a9640b0e69db</v>
      </c>
      <c r="B279" s="6" t="str">
        <f>IFERROR(__xludf.DUMMYFUNCTION("""COMPUTED_VALUE"""),"3 Years Later He Found Me")</f>
        <v>3 Years Later He Found Me</v>
      </c>
      <c r="C279" s="6" t="str">
        <f>IFERROR(__xludf.DUMMYFUNCTION("""COMPUTED_VALUE"""),"Romance")</f>
        <v>Romance</v>
      </c>
      <c r="D279" s="11">
        <f>IFERROR(__xludf.DUMMYFUNCTION("""COMPUTED_VALUE"""),42.0)</f>
        <v>42</v>
      </c>
      <c r="E279" s="8">
        <f>IFERROR(__xludf.DUMMYFUNCTION("""COMPUTED_VALUE"""),0.952380952380952)</f>
        <v>0.9523809524</v>
      </c>
      <c r="F279" s="8">
        <f>IFERROR(__xludf.DUMMYFUNCTION("""COMPUTED_VALUE"""),0.619047619047619)</f>
        <v>0.619047619</v>
      </c>
      <c r="G279" s="8">
        <f>IFERROR(__xludf.DUMMYFUNCTION("""COMPUTED_VALUE"""),0.547619047619047)</f>
        <v>0.5476190476</v>
      </c>
      <c r="H279" s="8">
        <f>IFERROR(__xludf.DUMMYFUNCTION("""COMPUTED_VALUE"""),0.5)</f>
        <v>0.5</v>
      </c>
      <c r="I279" s="8">
        <f>IFERROR(__xludf.DUMMYFUNCTION("""COMPUTED_VALUE"""),0.5)</f>
        <v>0.5</v>
      </c>
      <c r="J279" s="8">
        <f>IFERROR(__xludf.DUMMYFUNCTION("""COMPUTED_VALUE"""),0.476190476190476)</f>
        <v>0.4761904762</v>
      </c>
      <c r="K279" s="8">
        <f>IFERROR(__xludf.DUMMYFUNCTION("""COMPUTED_VALUE"""),0.452380952380952)</f>
        <v>0.4523809524</v>
      </c>
      <c r="L279" s="8">
        <f>IFERROR(__xludf.DUMMYFUNCTION("""COMPUTED_VALUE"""),0.463414634146341)</f>
        <v>0.4634146341</v>
      </c>
      <c r="M279" s="8">
        <f>IFERROR(__xludf.DUMMYFUNCTION("""COMPUTED_VALUE"""),0.463414634146341)</f>
        <v>0.4634146341</v>
      </c>
      <c r="N279" s="8">
        <f>IFERROR(__xludf.DUMMYFUNCTION("""COMPUTED_VALUE"""),0.439024390243902)</f>
        <v>0.4390243902</v>
      </c>
      <c r="O279" s="8">
        <f>IFERROR(__xludf.DUMMYFUNCTION("""COMPUTED_VALUE"""),0.341463414634146)</f>
        <v>0.3414634146</v>
      </c>
      <c r="P279" s="8">
        <f>IFERROR(__xludf.DUMMYFUNCTION("""COMPUTED_VALUE"""),0.131578947368421)</f>
        <v>0.1315789474</v>
      </c>
      <c r="Q279" s="8">
        <f>IFERROR(__xludf.DUMMYFUNCTION("""COMPUTED_VALUE"""),0.25)</f>
        <v>0.25</v>
      </c>
      <c r="R279" s="8">
        <f>IFERROR(__xludf.DUMMYFUNCTION("""COMPUTED_VALUE"""),1.0)</f>
        <v>1</v>
      </c>
      <c r="S279" s="8">
        <f>IFERROR(__xludf.DUMMYFUNCTION("""COMPUTED_VALUE"""),0.0)</f>
        <v>0</v>
      </c>
      <c r="T279" s="8">
        <f>IFERROR(__xludf.DUMMYFUNCTION("""COMPUTED_VALUE"""),0.0)</f>
        <v>0</v>
      </c>
      <c r="U279" s="8">
        <f>IFERROR(__xludf.DUMMYFUNCTION("""COMPUTED_VALUE"""),0.0)</f>
        <v>0</v>
      </c>
      <c r="V279" s="8">
        <f>IFERROR(__xludf.DUMMYFUNCTION("""COMPUTED_VALUE"""),0.0)</f>
        <v>0</v>
      </c>
      <c r="W279" s="8">
        <f>IFERROR(__xludf.DUMMYFUNCTION("""COMPUTED_VALUE"""),0.0)</f>
        <v>0</v>
      </c>
      <c r="X279" s="8">
        <f>IFERROR(__xludf.DUMMYFUNCTION("""COMPUTED_VALUE"""),0.0)</f>
        <v>0</v>
      </c>
      <c r="Y279" s="8">
        <f>IFERROR(__xludf.DUMMYFUNCTION("""COMPUTED_VALUE"""),0.0)</f>
        <v>0</v>
      </c>
      <c r="Z279" s="8">
        <f>IFERROR(__xludf.DUMMYFUNCTION("""COMPUTED_VALUE"""),0.0)</f>
        <v>0</v>
      </c>
      <c r="AA279" s="8">
        <f>IFERROR(__xludf.DUMMYFUNCTION("""COMPUTED_VALUE"""),0.0)</f>
        <v>0</v>
      </c>
      <c r="AB279" s="8">
        <f>IFERROR(__xludf.DUMMYFUNCTION("""COMPUTED_VALUE"""),0.0)</f>
        <v>0</v>
      </c>
      <c r="AC279" s="8">
        <f>IFERROR(__xludf.DUMMYFUNCTION("""COMPUTED_VALUE"""),0.0)</f>
        <v>0</v>
      </c>
    </row>
    <row r="280" ht="15.75" customHeight="1">
      <c r="A280" s="6" t="str">
        <f>IFERROR(__xludf.DUMMYFUNCTION("""COMPUTED_VALUE"""),"fe218223c3cbc0377d2bb07ad68251723f1b3792")</f>
        <v>fe218223c3cbc0377d2bb07ad68251723f1b3792</v>
      </c>
      <c r="B280" s="6" t="str">
        <f>IFERROR(__xludf.DUMMYFUNCTION("""COMPUTED_VALUE"""),"Return of the Gamer God")</f>
        <v>Return of the Gamer God</v>
      </c>
      <c r="C280" s="6" t="str">
        <f>IFERROR(__xludf.DUMMYFUNCTION("""COMPUTED_VALUE"""),"System and Superpower")</f>
        <v>System and Superpower</v>
      </c>
      <c r="D280" s="11">
        <f>IFERROR(__xludf.DUMMYFUNCTION("""COMPUTED_VALUE"""),3536.0)</f>
        <v>3536</v>
      </c>
      <c r="E280" s="8">
        <f>IFERROR(__xludf.DUMMYFUNCTION("""COMPUTED_VALUE"""),0.98076923076923)</f>
        <v>0.9807692308</v>
      </c>
      <c r="F280" s="8">
        <f>IFERROR(__xludf.DUMMYFUNCTION("""COMPUTED_VALUE"""),0.554298642533936)</f>
        <v>0.5542986425</v>
      </c>
      <c r="G280" s="8">
        <f>IFERROR(__xludf.DUMMYFUNCTION("""COMPUTED_VALUE"""),0.517816742081448)</f>
        <v>0.5178167421</v>
      </c>
      <c r="H280" s="8">
        <f>IFERROR(__xludf.DUMMYFUNCTION("""COMPUTED_VALUE"""),0.486386840612592)</f>
        <v>0.4863868406</v>
      </c>
      <c r="I280" s="8">
        <f>IFERROR(__xludf.DUMMYFUNCTION("""COMPUTED_VALUE"""),0.459943181818181)</f>
        <v>0.4599431818</v>
      </c>
      <c r="J280" s="8">
        <f>IFERROR(__xludf.DUMMYFUNCTION("""COMPUTED_VALUE"""),0.440421892816419)</f>
        <v>0.4404218928</v>
      </c>
      <c r="K280" s="8">
        <f>IFERROR(__xludf.DUMMYFUNCTION("""COMPUTED_VALUE"""),0.42722602739726)</f>
        <v>0.4272260274</v>
      </c>
      <c r="L280" s="8">
        <f>IFERROR(__xludf.DUMMYFUNCTION("""COMPUTED_VALUE"""),0.415380217267009)</f>
        <v>0.4153802173</v>
      </c>
      <c r="M280" s="8">
        <f>IFERROR(__xludf.DUMMYFUNCTION("""COMPUTED_VALUE"""),0.396502293577981)</f>
        <v>0.3965022936</v>
      </c>
      <c r="N280" s="8">
        <f>IFERROR(__xludf.DUMMYFUNCTION("""COMPUTED_VALUE"""),0.387625899280575)</f>
        <v>0.3876258993</v>
      </c>
      <c r="O280" s="8">
        <f>IFERROR(__xludf.DUMMYFUNCTION("""COMPUTED_VALUE"""),0.330809743252139)</f>
        <v>0.3308097433</v>
      </c>
      <c r="P280" s="8">
        <f>IFERROR(__xludf.DUMMYFUNCTION("""COMPUTED_VALUE"""),0.268578115857226)</f>
        <v>0.2685781159</v>
      </c>
      <c r="Q280" s="8">
        <f>IFERROR(__xludf.DUMMYFUNCTION("""COMPUTED_VALUE"""),0.136363636363636)</f>
        <v>0.1363636364</v>
      </c>
      <c r="R280" s="8">
        <f>IFERROR(__xludf.DUMMYFUNCTION("""COMPUTED_VALUE"""),0.0)</f>
        <v>0</v>
      </c>
      <c r="S280" s="8">
        <f>IFERROR(__xludf.DUMMYFUNCTION("""COMPUTED_VALUE"""),0.0)</f>
        <v>0</v>
      </c>
      <c r="T280" s="8">
        <f>IFERROR(__xludf.DUMMYFUNCTION("""COMPUTED_VALUE"""),0.0)</f>
        <v>0</v>
      </c>
      <c r="U280" s="8">
        <f>IFERROR(__xludf.DUMMYFUNCTION("""COMPUTED_VALUE"""),0.0)</f>
        <v>0</v>
      </c>
      <c r="V280" s="8">
        <f>IFERROR(__xludf.DUMMYFUNCTION("""COMPUTED_VALUE"""),0.0)</f>
        <v>0</v>
      </c>
      <c r="W280" s="8">
        <f>IFERROR(__xludf.DUMMYFUNCTION("""COMPUTED_VALUE"""),0.0)</f>
        <v>0</v>
      </c>
      <c r="X280" s="8">
        <f>IFERROR(__xludf.DUMMYFUNCTION("""COMPUTED_VALUE"""),0.0)</f>
        <v>0</v>
      </c>
      <c r="Y280" s="8">
        <f>IFERROR(__xludf.DUMMYFUNCTION("""COMPUTED_VALUE"""),0.0)</f>
        <v>0</v>
      </c>
      <c r="Z280" s="8">
        <f>IFERROR(__xludf.DUMMYFUNCTION("""COMPUTED_VALUE"""),0.0)</f>
        <v>0</v>
      </c>
      <c r="AA280" s="8">
        <f>IFERROR(__xludf.DUMMYFUNCTION("""COMPUTED_VALUE"""),0.0)</f>
        <v>0</v>
      </c>
      <c r="AB280" s="8">
        <f>IFERROR(__xludf.DUMMYFUNCTION("""COMPUTED_VALUE"""),0.0)</f>
        <v>0</v>
      </c>
      <c r="AC280" s="8">
        <f>IFERROR(__xludf.DUMMYFUNCTION("""COMPUTED_VALUE"""),0.0)</f>
        <v>0</v>
      </c>
    </row>
    <row r="281" ht="15.75" customHeight="1">
      <c r="A281" s="1"/>
      <c r="B281" s="1"/>
      <c r="C281" s="1"/>
      <c r="D281" s="2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5.75" customHeight="1">
      <c r="A282" s="1"/>
      <c r="B282" s="1"/>
      <c r="C282" s="1"/>
      <c r="D282" s="2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5.75" customHeight="1">
      <c r="A283" s="12"/>
      <c r="B283" s="12"/>
      <c r="C283" s="12"/>
      <c r="D283" s="3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5.75" customHeight="1">
      <c r="A284" s="12"/>
      <c r="B284" s="12"/>
      <c r="C284" s="12"/>
      <c r="D284" s="3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5.75" customHeight="1">
      <c r="A285" s="12"/>
      <c r="B285" s="12"/>
      <c r="C285" s="12"/>
      <c r="D285" s="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5.75" customHeight="1">
      <c r="A286" s="12"/>
      <c r="B286" s="12"/>
      <c r="C286" s="12"/>
      <c r="D286" s="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5.75" customHeight="1">
      <c r="A287" s="12"/>
      <c r="B287" s="12"/>
      <c r="C287" s="12"/>
      <c r="D287" s="3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5.75" customHeight="1">
      <c r="A288" s="12"/>
      <c r="B288" s="12"/>
      <c r="C288" s="12"/>
      <c r="D288" s="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5.75" customHeight="1">
      <c r="A289" s="12"/>
      <c r="B289" s="12"/>
      <c r="C289" s="12"/>
      <c r="D289" s="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5.75" customHeight="1">
      <c r="A290" s="12"/>
      <c r="B290" s="12"/>
      <c r="C290" s="12"/>
      <c r="D290" s="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5.75" customHeight="1">
      <c r="A291" s="12"/>
      <c r="B291" s="12"/>
      <c r="C291" s="12"/>
      <c r="D291" s="3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15.75" customHeight="1">
      <c r="A292" s="12"/>
      <c r="B292" s="12"/>
      <c r="C292" s="12"/>
      <c r="D292" s="3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15.75" customHeight="1">
      <c r="A293" s="12"/>
      <c r="B293" s="12"/>
      <c r="C293" s="12"/>
      <c r="D293" s="3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5.75" customHeight="1">
      <c r="A294" s="12"/>
      <c r="B294" s="12"/>
      <c r="C294" s="12"/>
      <c r="D294" s="3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15.75" customHeight="1">
      <c r="A295" s="12"/>
      <c r="B295" s="12"/>
      <c r="C295" s="12"/>
      <c r="D295" s="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15.75" customHeight="1">
      <c r="A296" s="12"/>
      <c r="B296" s="12"/>
      <c r="C296" s="12"/>
      <c r="D296" s="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15.75" customHeight="1">
      <c r="A297" s="12"/>
      <c r="B297" s="12"/>
      <c r="C297" s="12"/>
      <c r="D297" s="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5.75" customHeight="1">
      <c r="A298" s="12"/>
      <c r="B298" s="12"/>
      <c r="C298" s="12"/>
      <c r="D298" s="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15.75" customHeight="1">
      <c r="A299" s="12"/>
      <c r="B299" s="12"/>
      <c r="C299" s="12"/>
      <c r="D299" s="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15.75" customHeight="1">
      <c r="A300" s="12"/>
      <c r="B300" s="12"/>
      <c r="C300" s="12"/>
      <c r="D300" s="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15.75" customHeight="1">
      <c r="A301" s="12"/>
      <c r="B301" s="12"/>
      <c r="C301" s="12"/>
      <c r="D301" s="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5.75" customHeight="1">
      <c r="A302" s="12"/>
      <c r="B302" s="12"/>
      <c r="C302" s="12"/>
      <c r="D302" s="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15.75" customHeight="1">
      <c r="A303" s="12"/>
      <c r="B303" s="12"/>
      <c r="C303" s="12"/>
      <c r="D303" s="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15.75" customHeight="1">
      <c r="A304" s="12"/>
      <c r="B304" s="12"/>
      <c r="C304" s="12"/>
      <c r="D304" s="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5.75" customHeight="1">
      <c r="A305" s="12"/>
      <c r="B305" s="12"/>
      <c r="C305" s="12"/>
      <c r="D305" s="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15.75" customHeight="1">
      <c r="A306" s="12"/>
      <c r="B306" s="12"/>
      <c r="C306" s="12"/>
      <c r="D306" s="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5.75" customHeight="1">
      <c r="A307" s="12"/>
      <c r="B307" s="12"/>
      <c r="C307" s="12"/>
      <c r="D307" s="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15.75" customHeight="1">
      <c r="A308" s="12"/>
      <c r="B308" s="12"/>
      <c r="C308" s="12"/>
      <c r="D308" s="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5.75" customHeight="1">
      <c r="A309" s="12"/>
      <c r="B309" s="12"/>
      <c r="C309" s="12"/>
      <c r="D309" s="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15.75" customHeight="1">
      <c r="A310" s="12"/>
      <c r="B310" s="12"/>
      <c r="C310" s="12"/>
      <c r="D310" s="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15.75" customHeight="1">
      <c r="A311" s="12"/>
      <c r="B311" s="12"/>
      <c r="C311" s="12"/>
      <c r="D311" s="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15.75" customHeight="1">
      <c r="A312" s="12"/>
      <c r="B312" s="12"/>
      <c r="C312" s="12"/>
      <c r="D312" s="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5.75" customHeight="1">
      <c r="A313" s="12"/>
      <c r="B313" s="12"/>
      <c r="C313" s="12"/>
      <c r="D313" s="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15.75" customHeight="1">
      <c r="A314" s="12"/>
      <c r="B314" s="12"/>
      <c r="C314" s="12"/>
      <c r="D314" s="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15.75" customHeight="1">
      <c r="A315" s="12"/>
      <c r="B315" s="12"/>
      <c r="C315" s="12"/>
      <c r="D315" s="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15.75" customHeight="1">
      <c r="A316" s="12"/>
      <c r="B316" s="12"/>
      <c r="C316" s="12"/>
      <c r="D316" s="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5.75" customHeight="1">
      <c r="A317" s="12"/>
      <c r="B317" s="12"/>
      <c r="C317" s="12"/>
      <c r="D317" s="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15.75" customHeight="1">
      <c r="A318" s="12"/>
      <c r="B318" s="12"/>
      <c r="C318" s="12"/>
      <c r="D318" s="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15.75" customHeight="1">
      <c r="A319" s="12"/>
      <c r="B319" s="12"/>
      <c r="C319" s="12"/>
      <c r="D319" s="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15.75" customHeight="1">
      <c r="A320" s="12"/>
      <c r="B320" s="12"/>
      <c r="C320" s="12"/>
      <c r="D320" s="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5.75" customHeight="1">
      <c r="A321" s="12"/>
      <c r="B321" s="12"/>
      <c r="C321" s="12"/>
      <c r="D321" s="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15.75" customHeight="1">
      <c r="A322" s="12"/>
      <c r="B322" s="12"/>
      <c r="C322" s="12"/>
      <c r="D322" s="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15.75" customHeight="1">
      <c r="A323" s="12"/>
      <c r="B323" s="12"/>
      <c r="C323" s="12"/>
      <c r="D323" s="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5.75" customHeight="1">
      <c r="A324" s="12"/>
      <c r="B324" s="12"/>
      <c r="C324" s="12"/>
      <c r="D324" s="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15.75" customHeight="1">
      <c r="A325" s="12"/>
      <c r="B325" s="12"/>
      <c r="C325" s="12"/>
      <c r="D325" s="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15.75" customHeight="1">
      <c r="A326" s="12"/>
      <c r="B326" s="12"/>
      <c r="C326" s="12"/>
      <c r="D326" s="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15.75" customHeight="1">
      <c r="A327" s="12"/>
      <c r="B327" s="12"/>
      <c r="C327" s="12"/>
      <c r="D327" s="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5.75" customHeight="1">
      <c r="A328" s="12"/>
      <c r="B328" s="12"/>
      <c r="C328" s="12"/>
      <c r="D328" s="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15.75" customHeight="1">
      <c r="A329" s="12"/>
      <c r="B329" s="12"/>
      <c r="C329" s="12"/>
      <c r="D329" s="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15.75" customHeight="1">
      <c r="A330" s="12"/>
      <c r="B330" s="12"/>
      <c r="C330" s="12"/>
      <c r="D330" s="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5.75" customHeight="1">
      <c r="A331" s="12"/>
      <c r="B331" s="12"/>
      <c r="C331" s="12"/>
      <c r="D331" s="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15.75" customHeight="1">
      <c r="A332" s="12"/>
      <c r="B332" s="12"/>
      <c r="C332" s="12"/>
      <c r="D332" s="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15.75" customHeight="1">
      <c r="A333" s="12"/>
      <c r="B333" s="12"/>
      <c r="C333" s="12"/>
      <c r="D333" s="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5.75" customHeight="1">
      <c r="A334" s="12"/>
      <c r="B334" s="12"/>
      <c r="C334" s="12"/>
      <c r="D334" s="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15.75" customHeight="1">
      <c r="A335" s="12"/>
      <c r="B335" s="12"/>
      <c r="C335" s="12"/>
      <c r="D335" s="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15.75" customHeight="1">
      <c r="A336" s="12"/>
      <c r="B336" s="12"/>
      <c r="C336" s="12"/>
      <c r="D336" s="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15.75" customHeight="1">
      <c r="A337" s="12"/>
      <c r="B337" s="12"/>
      <c r="C337" s="12"/>
      <c r="D337" s="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5.75" customHeight="1">
      <c r="A338" s="12"/>
      <c r="B338" s="12"/>
      <c r="C338" s="12"/>
      <c r="D338" s="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15.75" customHeight="1">
      <c r="A339" s="12"/>
      <c r="B339" s="12"/>
      <c r="C339" s="12"/>
      <c r="D339" s="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15.75" customHeight="1">
      <c r="A340" s="12"/>
      <c r="B340" s="12"/>
      <c r="C340" s="12"/>
      <c r="D340" s="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5.75" customHeight="1">
      <c r="A341" s="12"/>
      <c r="B341" s="12"/>
      <c r="C341" s="12"/>
      <c r="D341" s="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15.75" customHeight="1">
      <c r="A342" s="12"/>
      <c r="B342" s="12"/>
      <c r="C342" s="12"/>
      <c r="D342" s="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15.75" customHeight="1">
      <c r="A343" s="12"/>
      <c r="B343" s="12"/>
      <c r="C343" s="12"/>
      <c r="D343" s="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5.75" customHeight="1">
      <c r="A344" s="12"/>
      <c r="B344" s="12"/>
      <c r="C344" s="12"/>
      <c r="D344" s="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15.75" customHeight="1">
      <c r="A345" s="12"/>
      <c r="B345" s="12"/>
      <c r="C345" s="12"/>
      <c r="D345" s="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15.75" customHeight="1">
      <c r="A346" s="12"/>
      <c r="B346" s="12"/>
      <c r="C346" s="12"/>
      <c r="D346" s="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15.75" customHeight="1">
      <c r="A347" s="12"/>
      <c r="B347" s="12"/>
      <c r="C347" s="12"/>
      <c r="D347" s="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15.75" customHeight="1">
      <c r="A348" s="12"/>
      <c r="B348" s="12"/>
      <c r="C348" s="12"/>
      <c r="D348" s="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15.75" customHeight="1">
      <c r="A349" s="12"/>
      <c r="B349" s="12"/>
      <c r="C349" s="12"/>
      <c r="D349" s="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15.75" customHeight="1">
      <c r="A350" s="12"/>
      <c r="B350" s="12"/>
      <c r="C350" s="12"/>
      <c r="D350" s="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15.75" customHeight="1">
      <c r="A351" s="12"/>
      <c r="B351" s="12"/>
      <c r="C351" s="12"/>
      <c r="D351" s="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15.75" customHeight="1">
      <c r="A352" s="12"/>
      <c r="B352" s="12"/>
      <c r="C352" s="12"/>
      <c r="D352" s="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15.75" customHeight="1">
      <c r="A353" s="12"/>
      <c r="B353" s="12"/>
      <c r="C353" s="12"/>
      <c r="D353" s="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15.75" customHeight="1">
      <c r="A354" s="12"/>
      <c r="B354" s="12"/>
      <c r="C354" s="12"/>
      <c r="D354" s="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15.75" customHeight="1">
      <c r="A355" s="12"/>
      <c r="B355" s="12"/>
      <c r="C355" s="12"/>
      <c r="D355" s="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15.75" customHeight="1">
      <c r="A356" s="12"/>
      <c r="B356" s="12"/>
      <c r="C356" s="12"/>
      <c r="D356" s="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15.75" customHeight="1">
      <c r="A357" s="12"/>
      <c r="B357" s="12"/>
      <c r="C357" s="12"/>
      <c r="D357" s="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15.75" customHeight="1">
      <c r="A358" s="12"/>
      <c r="B358" s="12"/>
      <c r="C358" s="12"/>
      <c r="D358" s="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15.75" customHeight="1">
      <c r="A359" s="12"/>
      <c r="B359" s="12"/>
      <c r="C359" s="12"/>
      <c r="D359" s="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15.75" customHeight="1">
      <c r="A360" s="12"/>
      <c r="B360" s="12"/>
      <c r="C360" s="12"/>
      <c r="D360" s="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15.75" customHeight="1">
      <c r="A361" s="12"/>
      <c r="B361" s="12"/>
      <c r="C361" s="12"/>
      <c r="D361" s="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15.75" customHeight="1">
      <c r="A362" s="12"/>
      <c r="B362" s="12"/>
      <c r="C362" s="12"/>
      <c r="D362" s="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15.75" customHeight="1">
      <c r="A363" s="12"/>
      <c r="B363" s="12"/>
      <c r="C363" s="12"/>
      <c r="D363" s="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15.75" customHeight="1">
      <c r="A364" s="12"/>
      <c r="B364" s="12"/>
      <c r="C364" s="12"/>
      <c r="D364" s="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15.75" customHeight="1">
      <c r="A365" s="12"/>
      <c r="B365" s="12"/>
      <c r="C365" s="12"/>
      <c r="D365" s="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15.75" customHeight="1">
      <c r="A366" s="12"/>
      <c r="B366" s="12"/>
      <c r="C366" s="12"/>
      <c r="D366" s="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15.75" customHeight="1">
      <c r="A367" s="12"/>
      <c r="B367" s="12"/>
      <c r="C367" s="12"/>
      <c r="D367" s="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15.75" customHeight="1">
      <c r="A368" s="12"/>
      <c r="B368" s="12"/>
      <c r="C368" s="12"/>
      <c r="D368" s="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15.75" customHeight="1">
      <c r="A369" s="12"/>
      <c r="B369" s="12"/>
      <c r="C369" s="12"/>
      <c r="D369" s="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15.75" customHeight="1">
      <c r="A370" s="12"/>
      <c r="B370" s="12"/>
      <c r="C370" s="12"/>
      <c r="D370" s="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15.75" customHeight="1">
      <c r="A371" s="12"/>
      <c r="B371" s="12"/>
      <c r="C371" s="12"/>
      <c r="D371" s="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15.75" customHeight="1">
      <c r="A372" s="12"/>
      <c r="B372" s="12"/>
      <c r="C372" s="12"/>
      <c r="D372" s="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15.75" customHeight="1">
      <c r="A373" s="12"/>
      <c r="B373" s="12"/>
      <c r="C373" s="12"/>
      <c r="D373" s="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15.75" customHeight="1">
      <c r="A374" s="12"/>
      <c r="B374" s="12"/>
      <c r="C374" s="12"/>
      <c r="D374" s="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15.75" customHeight="1">
      <c r="A375" s="12"/>
      <c r="B375" s="12"/>
      <c r="C375" s="12"/>
      <c r="D375" s="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15.75" customHeight="1">
      <c r="A376" s="12"/>
      <c r="B376" s="12"/>
      <c r="C376" s="12"/>
      <c r="D376" s="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15.75" customHeight="1">
      <c r="A377" s="12"/>
      <c r="B377" s="12"/>
      <c r="C377" s="12"/>
      <c r="D377" s="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15.75" customHeight="1">
      <c r="A378" s="12"/>
      <c r="B378" s="12"/>
      <c r="C378" s="12"/>
      <c r="D378" s="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15.75" customHeight="1">
      <c r="A379" s="12"/>
      <c r="B379" s="12"/>
      <c r="C379" s="12"/>
      <c r="D379" s="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15.75" customHeight="1">
      <c r="A380" s="12"/>
      <c r="B380" s="12"/>
      <c r="C380" s="12"/>
      <c r="D380" s="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15.75" customHeight="1">
      <c r="A381" s="12"/>
      <c r="B381" s="12"/>
      <c r="C381" s="12"/>
      <c r="D381" s="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15.75" customHeight="1">
      <c r="A382" s="12"/>
      <c r="B382" s="12"/>
      <c r="C382" s="12"/>
      <c r="D382" s="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15.75" customHeight="1">
      <c r="A383" s="12"/>
      <c r="B383" s="12"/>
      <c r="C383" s="12"/>
      <c r="D383" s="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15.75" customHeight="1">
      <c r="A384" s="12"/>
      <c r="B384" s="12"/>
      <c r="C384" s="12"/>
      <c r="D384" s="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15.75" customHeight="1">
      <c r="A385" s="12"/>
      <c r="B385" s="12"/>
      <c r="C385" s="12"/>
      <c r="D385" s="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15.75" customHeight="1">
      <c r="A386" s="12"/>
      <c r="B386" s="12"/>
      <c r="C386" s="12"/>
      <c r="D386" s="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15.75" customHeight="1">
      <c r="A387" s="12"/>
      <c r="B387" s="12"/>
      <c r="C387" s="12"/>
      <c r="D387" s="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15.75" customHeight="1">
      <c r="A388" s="12"/>
      <c r="B388" s="12"/>
      <c r="C388" s="12"/>
      <c r="D388" s="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15.75" customHeight="1">
      <c r="A389" s="12"/>
      <c r="B389" s="12"/>
      <c r="C389" s="12"/>
      <c r="D389" s="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15.75" customHeight="1">
      <c r="A390" s="12"/>
      <c r="B390" s="12"/>
      <c r="C390" s="12"/>
      <c r="D390" s="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15.75" customHeight="1">
      <c r="A391" s="12"/>
      <c r="B391" s="12"/>
      <c r="C391" s="12"/>
      <c r="D391" s="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15.75" customHeight="1">
      <c r="A392" s="12"/>
      <c r="B392" s="12"/>
      <c r="C392" s="12"/>
      <c r="D392" s="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15.75" customHeight="1">
      <c r="A393" s="12"/>
      <c r="B393" s="12"/>
      <c r="C393" s="12"/>
      <c r="D393" s="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15.75" customHeight="1">
      <c r="A394" s="12"/>
      <c r="B394" s="12"/>
      <c r="C394" s="12"/>
      <c r="D394" s="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15.75" customHeight="1">
      <c r="A395" s="12"/>
      <c r="B395" s="12"/>
      <c r="C395" s="12"/>
      <c r="D395" s="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15.75" customHeight="1">
      <c r="A396" s="12"/>
      <c r="B396" s="12"/>
      <c r="C396" s="12"/>
      <c r="D396" s="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15.75" customHeight="1">
      <c r="A397" s="12"/>
      <c r="B397" s="12"/>
      <c r="C397" s="12"/>
      <c r="D397" s="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15.75" customHeight="1">
      <c r="A398" s="12"/>
      <c r="B398" s="12"/>
      <c r="C398" s="12"/>
      <c r="D398" s="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15.75" customHeight="1">
      <c r="A399" s="12"/>
      <c r="B399" s="12"/>
      <c r="C399" s="12"/>
      <c r="D399" s="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15.75" customHeight="1">
      <c r="A400" s="12"/>
      <c r="B400" s="12"/>
      <c r="C400" s="12"/>
      <c r="D400" s="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15.75" customHeight="1">
      <c r="A401" s="12"/>
      <c r="B401" s="12"/>
      <c r="C401" s="12"/>
      <c r="D401" s="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15.75" customHeight="1">
      <c r="A402" s="12"/>
      <c r="B402" s="12"/>
      <c r="C402" s="12"/>
      <c r="D402" s="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15.75" customHeight="1">
      <c r="A403" s="12"/>
      <c r="B403" s="12"/>
      <c r="C403" s="12"/>
      <c r="D403" s="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15.75" customHeight="1">
      <c r="A404" s="12"/>
      <c r="B404" s="12"/>
      <c r="C404" s="12"/>
      <c r="D404" s="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15.75" customHeight="1">
      <c r="A405" s="12"/>
      <c r="B405" s="12"/>
      <c r="C405" s="12"/>
      <c r="D405" s="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15.75" customHeight="1">
      <c r="A406" s="12"/>
      <c r="B406" s="12"/>
      <c r="C406" s="12"/>
      <c r="D406" s="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15.75" customHeight="1">
      <c r="A407" s="12"/>
      <c r="B407" s="12"/>
      <c r="C407" s="12"/>
      <c r="D407" s="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15.75" customHeight="1">
      <c r="A408" s="12"/>
      <c r="B408" s="12"/>
      <c r="C408" s="12"/>
      <c r="D408" s="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15.75" customHeight="1">
      <c r="A409" s="12"/>
      <c r="B409" s="12"/>
      <c r="C409" s="12"/>
      <c r="D409" s="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15.75" customHeight="1">
      <c r="A410" s="12"/>
      <c r="B410" s="12"/>
      <c r="C410" s="12"/>
      <c r="D410" s="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15.75" customHeight="1">
      <c r="A411" s="12"/>
      <c r="B411" s="12"/>
      <c r="C411" s="12"/>
      <c r="D411" s="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15.75" customHeight="1">
      <c r="A412" s="12"/>
      <c r="B412" s="12"/>
      <c r="C412" s="12"/>
      <c r="D412" s="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15.75" customHeight="1">
      <c r="A413" s="12"/>
      <c r="B413" s="12"/>
      <c r="C413" s="12"/>
      <c r="D413" s="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15.75" customHeight="1">
      <c r="A414" s="12"/>
      <c r="B414" s="12"/>
      <c r="C414" s="12"/>
      <c r="D414" s="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15.75" customHeight="1">
      <c r="A415" s="12"/>
      <c r="B415" s="12"/>
      <c r="C415" s="12"/>
      <c r="D415" s="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15.75" customHeight="1">
      <c r="A416" s="12"/>
      <c r="B416" s="12"/>
      <c r="C416" s="12"/>
      <c r="D416" s="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15.75" customHeight="1">
      <c r="A417" s="12"/>
      <c r="B417" s="12"/>
      <c r="C417" s="12"/>
      <c r="D417" s="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15.75" customHeight="1">
      <c r="A418" s="12"/>
      <c r="B418" s="12"/>
      <c r="C418" s="12"/>
      <c r="D418" s="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15.75" customHeight="1">
      <c r="A419" s="12"/>
      <c r="B419" s="12"/>
      <c r="C419" s="12"/>
      <c r="D419" s="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15.75" customHeight="1">
      <c r="A420" s="12"/>
      <c r="B420" s="12"/>
      <c r="C420" s="12"/>
      <c r="D420" s="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15.75" customHeight="1">
      <c r="A421" s="12"/>
      <c r="B421" s="12"/>
      <c r="C421" s="12"/>
      <c r="D421" s="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15.75" customHeight="1">
      <c r="A422" s="12"/>
      <c r="B422" s="12"/>
      <c r="C422" s="12"/>
      <c r="D422" s="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15.75" customHeight="1">
      <c r="A423" s="12"/>
      <c r="B423" s="12"/>
      <c r="C423" s="12"/>
      <c r="D423" s="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15.75" customHeight="1">
      <c r="A424" s="12"/>
      <c r="B424" s="12"/>
      <c r="C424" s="12"/>
      <c r="D424" s="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15.75" customHeight="1">
      <c r="A425" s="12"/>
      <c r="B425" s="12"/>
      <c r="C425" s="12"/>
      <c r="D425" s="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15.75" customHeight="1">
      <c r="A426" s="12"/>
      <c r="B426" s="12"/>
      <c r="C426" s="12"/>
      <c r="D426" s="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15.75" customHeight="1">
      <c r="A427" s="12"/>
      <c r="B427" s="12"/>
      <c r="C427" s="12"/>
      <c r="D427" s="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15.75" customHeight="1">
      <c r="A428" s="12"/>
      <c r="B428" s="12"/>
      <c r="C428" s="12"/>
      <c r="D428" s="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15.75" customHeight="1">
      <c r="A429" s="12"/>
      <c r="B429" s="12"/>
      <c r="C429" s="12"/>
      <c r="D429" s="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15.75" customHeight="1">
      <c r="A430" s="12"/>
      <c r="B430" s="12"/>
      <c r="C430" s="12"/>
      <c r="D430" s="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15.75" customHeight="1">
      <c r="A431" s="12"/>
      <c r="B431" s="12"/>
      <c r="C431" s="12"/>
      <c r="D431" s="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15.75" customHeight="1">
      <c r="A432" s="12"/>
      <c r="B432" s="12"/>
      <c r="C432" s="12"/>
      <c r="D432" s="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15.75" customHeight="1">
      <c r="A433" s="12"/>
      <c r="B433" s="12"/>
      <c r="C433" s="12"/>
      <c r="D433" s="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15.75" customHeight="1">
      <c r="A434" s="12"/>
      <c r="B434" s="12"/>
      <c r="C434" s="12"/>
      <c r="D434" s="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15.75" customHeight="1">
      <c r="A435" s="12"/>
      <c r="B435" s="12"/>
      <c r="C435" s="12"/>
      <c r="D435" s="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15.75" customHeight="1">
      <c r="A436" s="12"/>
      <c r="B436" s="12"/>
      <c r="C436" s="12"/>
      <c r="D436" s="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15.75" customHeight="1">
      <c r="A437" s="12"/>
      <c r="B437" s="12"/>
      <c r="C437" s="12"/>
      <c r="D437" s="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15.75" customHeight="1">
      <c r="A438" s="12"/>
      <c r="B438" s="12"/>
      <c r="C438" s="12"/>
      <c r="D438" s="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15.75" customHeight="1">
      <c r="A439" s="12"/>
      <c r="B439" s="12"/>
      <c r="C439" s="12"/>
      <c r="D439" s="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15.75" customHeight="1">
      <c r="A440" s="12"/>
      <c r="B440" s="12"/>
      <c r="C440" s="12"/>
      <c r="D440" s="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15.75" customHeight="1">
      <c r="A441" s="12"/>
      <c r="B441" s="12"/>
      <c r="C441" s="12"/>
      <c r="D441" s="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15.75" customHeight="1">
      <c r="A442" s="12"/>
      <c r="B442" s="12"/>
      <c r="C442" s="12"/>
      <c r="D442" s="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15.75" customHeight="1">
      <c r="A443" s="12"/>
      <c r="B443" s="12"/>
      <c r="C443" s="12"/>
      <c r="D443" s="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15.75" customHeight="1">
      <c r="A444" s="12"/>
      <c r="B444" s="12"/>
      <c r="C444" s="12"/>
      <c r="D444" s="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15.75" customHeight="1">
      <c r="A445" s="12"/>
      <c r="B445" s="12"/>
      <c r="C445" s="12"/>
      <c r="D445" s="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15.75" customHeight="1">
      <c r="A446" s="12"/>
      <c r="B446" s="12"/>
      <c r="C446" s="12"/>
      <c r="D446" s="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15.75" customHeight="1">
      <c r="A447" s="12"/>
      <c r="B447" s="12"/>
      <c r="C447" s="12"/>
      <c r="D447" s="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15.75" customHeight="1">
      <c r="A448" s="12"/>
      <c r="B448" s="12"/>
      <c r="C448" s="12"/>
      <c r="D448" s="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15.75" customHeight="1">
      <c r="A449" s="12"/>
      <c r="B449" s="12"/>
      <c r="C449" s="12"/>
      <c r="D449" s="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15.75" customHeight="1">
      <c r="A450" s="12"/>
      <c r="B450" s="12"/>
      <c r="C450" s="12"/>
      <c r="D450" s="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15.75" customHeight="1">
      <c r="A451" s="12"/>
      <c r="B451" s="12"/>
      <c r="C451" s="12"/>
      <c r="D451" s="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15.75" customHeight="1">
      <c r="A452" s="12"/>
      <c r="B452" s="12"/>
      <c r="C452" s="12"/>
      <c r="D452" s="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15.75" customHeight="1">
      <c r="A453" s="12"/>
      <c r="B453" s="12"/>
      <c r="C453" s="12"/>
      <c r="D453" s="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15.75" customHeight="1">
      <c r="A454" s="12"/>
      <c r="B454" s="12"/>
      <c r="C454" s="12"/>
      <c r="D454" s="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15.75" customHeight="1">
      <c r="A455" s="12"/>
      <c r="B455" s="12"/>
      <c r="C455" s="12"/>
      <c r="D455" s="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15.75" customHeight="1">
      <c r="A456" s="12"/>
      <c r="B456" s="12"/>
      <c r="C456" s="12"/>
      <c r="D456" s="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15.75" customHeight="1">
      <c r="A457" s="12"/>
      <c r="B457" s="12"/>
      <c r="C457" s="12"/>
      <c r="D457" s="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15.75" customHeight="1">
      <c r="A458" s="12"/>
      <c r="B458" s="12"/>
      <c r="C458" s="12"/>
      <c r="D458" s="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15.75" customHeight="1">
      <c r="A459" s="12"/>
      <c r="B459" s="12"/>
      <c r="C459" s="12"/>
      <c r="D459" s="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15.75" customHeight="1">
      <c r="A460" s="12"/>
      <c r="B460" s="12"/>
      <c r="C460" s="12"/>
      <c r="D460" s="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15.75" customHeight="1">
      <c r="A461" s="12"/>
      <c r="B461" s="12"/>
      <c r="C461" s="12"/>
      <c r="D461" s="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15.75" customHeight="1">
      <c r="A462" s="12"/>
      <c r="B462" s="12"/>
      <c r="C462" s="12"/>
      <c r="D462" s="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15.75" customHeight="1">
      <c r="A463" s="12"/>
      <c r="B463" s="12"/>
      <c r="C463" s="12"/>
      <c r="D463" s="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15.75" customHeight="1">
      <c r="A464" s="12"/>
      <c r="B464" s="12"/>
      <c r="C464" s="12"/>
      <c r="D464" s="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15.75" customHeight="1">
      <c r="A465" s="12"/>
      <c r="B465" s="12"/>
      <c r="C465" s="12"/>
      <c r="D465" s="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15.75" customHeight="1">
      <c r="A466" s="12"/>
      <c r="B466" s="12"/>
      <c r="C466" s="12"/>
      <c r="D466" s="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15.75" customHeight="1">
      <c r="A467" s="12"/>
      <c r="B467" s="12"/>
      <c r="C467" s="12"/>
      <c r="D467" s="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15.75" customHeight="1">
      <c r="A468" s="12"/>
      <c r="B468" s="12"/>
      <c r="C468" s="12"/>
      <c r="D468" s="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15.75" customHeight="1">
      <c r="A469" s="12"/>
      <c r="B469" s="12"/>
      <c r="C469" s="12"/>
      <c r="D469" s="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15.75" customHeight="1">
      <c r="A470" s="12"/>
      <c r="B470" s="12"/>
      <c r="C470" s="12"/>
      <c r="D470" s="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15.75" customHeight="1">
      <c r="A471" s="12"/>
      <c r="B471" s="12"/>
      <c r="C471" s="12"/>
      <c r="D471" s="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15.75" customHeight="1">
      <c r="A472" s="12"/>
      <c r="B472" s="12"/>
      <c r="C472" s="12"/>
      <c r="D472" s="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15.75" customHeight="1">
      <c r="A473" s="12"/>
      <c r="B473" s="12"/>
      <c r="C473" s="12"/>
      <c r="D473" s="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ht="15.75" customHeight="1">
      <c r="A474" s="12"/>
      <c r="B474" s="12"/>
      <c r="C474" s="12"/>
      <c r="D474" s="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ht="15.75" customHeight="1">
      <c r="A475" s="12"/>
      <c r="B475" s="12"/>
      <c r="C475" s="12"/>
      <c r="D475" s="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ht="15.75" customHeight="1">
      <c r="A476" s="12"/>
      <c r="B476" s="12"/>
      <c r="C476" s="12"/>
      <c r="D476" s="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15.75" customHeight="1">
      <c r="A477" s="12"/>
      <c r="B477" s="12"/>
      <c r="C477" s="12"/>
      <c r="D477" s="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ht="15.75" customHeight="1">
      <c r="A478" s="12"/>
      <c r="B478" s="12"/>
      <c r="C478" s="12"/>
      <c r="D478" s="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ht="15.75" customHeight="1">
      <c r="A479" s="12"/>
      <c r="B479" s="12"/>
      <c r="C479" s="12"/>
      <c r="D479" s="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ht="15.75" customHeight="1">
      <c r="A480" s="12"/>
      <c r="B480" s="12"/>
      <c r="C480" s="12"/>
      <c r="D480" s="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15.75" customHeight="1">
      <c r="A481" s="12"/>
      <c r="B481" s="12"/>
      <c r="C481" s="12"/>
      <c r="D481" s="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ht="15.75" customHeight="1">
      <c r="A482" s="12"/>
      <c r="B482" s="12"/>
      <c r="C482" s="12"/>
      <c r="D482" s="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</sheetData>
  <conditionalFormatting sqref="E5:E482">
    <cfRule type="expression" dxfId="0" priority="1" stopIfTrue="1">
      <formula>AND(ISNUMBER(E5),IF($C5="Romantasy",E$2,IF(OR($C5="Romance",$C5="Drama"),E$3,E$1))&gt;0,E5&gt;=(IF($C5="Romantasy",E$2,IF(OR($C5="Romance",$C5="Drama"),E$3,E$1))))</formula>
    </cfRule>
  </conditionalFormatting>
  <conditionalFormatting sqref="E5:E482">
    <cfRule type="expression" dxfId="1" priority="2" stopIfTrue="1">
      <formula>AND(ISNUMBER(E5),IF($C5="Romantasy",E$2,IF(OR($C5="Romance",$C5="Drama"),E$3,E$1))&gt;0,E5&gt;=0.7*(IF($C5="Romantasy",E$2,IF(OR($C5="Romance",$C5="Drama"),E$3,E$1))),E5&lt;(IF($C5="Romantasy",E$2,IF(OR($C5="Romance",$C5="Drama"),E$3,E$1))))</formula>
    </cfRule>
  </conditionalFormatting>
  <conditionalFormatting sqref="E5:E482">
    <cfRule type="expression" dxfId="2" priority="3" stopIfTrue="1">
      <formula>AND(ISNUMBER(E5),IF($C5="Romantasy",E$2,IF(OR($C5="Romance",$C5="Drama"),E$3,E$1))&gt;0,E5&lt;0.7*(IF($C5="Romantasy",E$2,IF(OR($C5="Romance",$C5="Drama"),E$3,E$1))))</formula>
    </cfRule>
  </conditionalFormatting>
  <conditionalFormatting sqref="F5:F482">
    <cfRule type="expression" dxfId="0" priority="4" stopIfTrue="1">
      <formula>AND(ISNUMBER(F5),IF($C5="Romantasy",F$2,IF(OR($C5="Romance",$C5="Drama"),F$3,F$1))&gt;0,F5&gt;=(IF($C5="Romantasy",F$2,IF(OR($C5="Romance",$C5="Drama"),F$3,F$1))))</formula>
    </cfRule>
  </conditionalFormatting>
  <conditionalFormatting sqref="F5:F482">
    <cfRule type="expression" dxfId="1" priority="5" stopIfTrue="1">
      <formula>AND(ISNUMBER(F5),IF($C5="Romantasy",F$2,IF(OR($C5="Romance",$C5="Drama"),F$3,F$1))&gt;0,F5&gt;=0.7*(IF($C5="Romantasy",F$2,IF(OR($C5="Romance",$C5="Drama"),F$3,F$1))),F5&lt;(IF($C5="Romantasy",F$2,IF(OR($C5="Romance",$C5="Drama"),F$3,F$1))))</formula>
    </cfRule>
  </conditionalFormatting>
  <conditionalFormatting sqref="F5:F482">
    <cfRule type="expression" dxfId="2" priority="6" stopIfTrue="1">
      <formula>AND(ISNUMBER(F5),IF($C5="Romantasy",F$2,IF(OR($C5="Romance",$C5="Drama"),F$3,F$1))&gt;0,F5&lt;0.7*(IF($C5="Romantasy",F$2,IF(OR($C5="Romance",$C5="Drama"),F$3,F$1))))</formula>
    </cfRule>
  </conditionalFormatting>
  <conditionalFormatting sqref="G5:G482">
    <cfRule type="expression" dxfId="0" priority="7" stopIfTrue="1">
      <formula>AND(ISNUMBER(G5),IF($C5="Romantasy",G$2,IF(OR($C5="Romance",$C5="Drama"),G$3,G$1))&gt;0,G5&gt;=(IF($C5="Romantasy",G$2,IF(OR($C5="Romance",$C5="Drama"),G$3,G$1))))</formula>
    </cfRule>
  </conditionalFormatting>
  <conditionalFormatting sqref="G5:G482">
    <cfRule type="expression" dxfId="1" priority="8" stopIfTrue="1">
      <formula>AND(ISNUMBER(G5),IF($C5="Romantasy",G$2,IF(OR($C5="Romance",$C5="Drama"),G$3,G$1))&gt;0,G5&gt;=0.7*(IF($C5="Romantasy",G$2,IF(OR($C5="Romance",$C5="Drama"),G$3,G$1))),G5&lt;(IF($C5="Romantasy",G$2,IF(OR($C5="Romance",$C5="Drama"),G$3,G$1))))</formula>
    </cfRule>
  </conditionalFormatting>
  <conditionalFormatting sqref="G5:G482">
    <cfRule type="expression" dxfId="2" priority="9" stopIfTrue="1">
      <formula>AND(ISNUMBER(G5),IF($C5="Romantasy",G$2,IF(OR($C5="Romance",$C5="Drama"),G$3,G$1))&gt;0,G5&lt;0.7*(IF($C5="Romantasy",G$2,IF(OR($C5="Romance",$C5="Drama"),G$3,G$1))))</formula>
    </cfRule>
  </conditionalFormatting>
  <conditionalFormatting sqref="H5:H482">
    <cfRule type="expression" dxfId="0" priority="10" stopIfTrue="1">
      <formula>AND(ISNUMBER(H5),IF($C5="Romantasy",H$2,IF(OR($C5="Romance",$C5="Drama"),H$3,H$1))&gt;0,H5&gt;=(IF($C5="Romantasy",H$2,IF(OR($C5="Romance",$C5="Drama"),H$3,H$1))))</formula>
    </cfRule>
  </conditionalFormatting>
  <conditionalFormatting sqref="H5:H482">
    <cfRule type="expression" dxfId="1" priority="11" stopIfTrue="1">
      <formula>AND(ISNUMBER(H5),IF($C5="Romantasy",H$2,IF(OR($C5="Romance",$C5="Drama"),H$3,H$1))&gt;0,H5&gt;=0.7*(IF($C5="Romantasy",H$2,IF(OR($C5="Romance",$C5="Drama"),H$3,H$1))),H5&lt;(IF($C5="Romantasy",H$2,IF(OR($C5="Romance",$C5="Drama"),H$3,H$1))))</formula>
    </cfRule>
  </conditionalFormatting>
  <conditionalFormatting sqref="H5:H482">
    <cfRule type="expression" dxfId="2" priority="12" stopIfTrue="1">
      <formula>AND(ISNUMBER(H5),IF($C5="Romantasy",H$2,IF(OR($C5="Romance",$C5="Drama"),H$3,H$1))&gt;0,H5&lt;0.7*(IF($C5="Romantasy",H$2,IF(OR($C5="Romance",$C5="Drama"),H$3,H$1))))</formula>
    </cfRule>
  </conditionalFormatting>
  <conditionalFormatting sqref="I5:I482">
    <cfRule type="expression" dxfId="0" priority="13" stopIfTrue="1">
      <formula>AND(ISNUMBER(I5),IF($C5="Romantasy",I$2,IF(OR($C5="Romance",$C5="Drama"),I$3,I$1))&gt;0,I5&gt;=(IF($C5="Romantasy",I$2,IF(OR($C5="Romance",$C5="Drama"),I$3,I$1))))</formula>
    </cfRule>
  </conditionalFormatting>
  <conditionalFormatting sqref="I5:I482">
    <cfRule type="expression" dxfId="1" priority="14" stopIfTrue="1">
      <formula>AND(ISNUMBER(I5),IF($C5="Romantasy",I$2,IF(OR($C5="Romance",$C5="Drama"),I$3,I$1))&gt;0,I5&gt;=0.7*(IF($C5="Romantasy",I$2,IF(OR($C5="Romance",$C5="Drama"),I$3,I$1))),I5&lt;(IF($C5="Romantasy",I$2,IF(OR($C5="Romance",$C5="Drama"),I$3,I$1))))</formula>
    </cfRule>
  </conditionalFormatting>
  <conditionalFormatting sqref="I5:I482">
    <cfRule type="expression" dxfId="2" priority="15" stopIfTrue="1">
      <formula>AND(ISNUMBER(I5),IF($C5="Romantasy",I$2,IF(OR($C5="Romance",$C5="Drama"),I$3,I$1))&gt;0,I5&lt;0.7*(IF($C5="Romantasy",I$2,IF(OR($C5="Romance",$C5="Drama"),I$3,I$1))))</formula>
    </cfRule>
  </conditionalFormatting>
  <conditionalFormatting sqref="J5:J482">
    <cfRule type="expression" dxfId="0" priority="16" stopIfTrue="1">
      <formula>AND(ISNUMBER(J5),IF($C5="Romantasy",J$2,IF(OR($C5="Romance",$C5="Drama"),J$3,J$1))&gt;0,J5&gt;=(IF($C5="Romantasy",J$2,IF(OR($C5="Romance",$C5="Drama"),J$3,J$1))))</formula>
    </cfRule>
  </conditionalFormatting>
  <conditionalFormatting sqref="J5:J482">
    <cfRule type="expression" dxfId="1" priority="17" stopIfTrue="1">
      <formula>AND(ISNUMBER(J5),IF($C5="Romantasy",J$2,IF(OR($C5="Romance",$C5="Drama"),J$3,J$1))&gt;0,J5&gt;=0.7*(IF($C5="Romantasy",J$2,IF(OR($C5="Romance",$C5="Drama"),J$3,J$1))),J5&lt;(IF($C5="Romantasy",J$2,IF(OR($C5="Romance",$C5="Drama"),J$3,J$1))))</formula>
    </cfRule>
  </conditionalFormatting>
  <conditionalFormatting sqref="J5:J482">
    <cfRule type="expression" dxfId="2" priority="18" stopIfTrue="1">
      <formula>AND(ISNUMBER(J5),IF($C5="Romantasy",J$2,IF(OR($C5="Romance",$C5="Drama"),J$3,J$1))&gt;0,J5&lt;0.7*(IF($C5="Romantasy",J$2,IF(OR($C5="Romance",$C5="Drama"),J$3,J$1))))</formula>
    </cfRule>
  </conditionalFormatting>
  <conditionalFormatting sqref="K5:K482">
    <cfRule type="expression" dxfId="0" priority="19" stopIfTrue="1">
      <formula>AND(ISNUMBER(K5),IF($C5="Romantasy",K$2,IF(OR($C5="Romance",$C5="Drama"),K$3,K$1))&gt;0,K5&gt;=(IF($C5="Romantasy",K$2,IF(OR($C5="Romance",$C5="Drama"),K$3,K$1))))</formula>
    </cfRule>
  </conditionalFormatting>
  <conditionalFormatting sqref="K5:K482">
    <cfRule type="expression" dxfId="1" priority="20" stopIfTrue="1">
      <formula>AND(ISNUMBER(K5),IF($C5="Romantasy",K$2,IF(OR($C5="Romance",$C5="Drama"),K$3,K$1))&gt;0,K5&gt;=0.7*(IF($C5="Romantasy",K$2,IF(OR($C5="Romance",$C5="Drama"),K$3,K$1))),K5&lt;(IF($C5="Romantasy",K$2,IF(OR($C5="Romance",$C5="Drama"),K$3,K$1))))</formula>
    </cfRule>
  </conditionalFormatting>
  <conditionalFormatting sqref="K5:K482">
    <cfRule type="expression" dxfId="2" priority="21" stopIfTrue="1">
      <formula>AND(ISNUMBER(K5),IF($C5="Romantasy",K$2,IF(OR($C5="Romance",$C5="Drama"),K$3,K$1))&gt;0,K5&lt;0.7*(IF($C5="Romantasy",K$2,IF(OR($C5="Romance",$C5="Drama"),K$3,K$1))))</formula>
    </cfRule>
  </conditionalFormatting>
  <conditionalFormatting sqref="L5:L482">
    <cfRule type="expression" dxfId="0" priority="22" stopIfTrue="1">
      <formula>AND(ISNUMBER(L5),IF($C5="Romantasy",L$2,IF(OR($C5="Romance",$C5="Drama"),L$3,L$1))&gt;0,L5&gt;=(IF($C5="Romantasy",L$2,IF(OR($C5="Romance",$C5="Drama"),L$3,L$1))))</formula>
    </cfRule>
  </conditionalFormatting>
  <conditionalFormatting sqref="L5:L482">
    <cfRule type="expression" dxfId="1" priority="23" stopIfTrue="1">
      <formula>AND(ISNUMBER(L5),IF($C5="Romantasy",L$2,IF(OR($C5="Romance",$C5="Drama"),L$3,L$1))&gt;0,L5&gt;=0.7*(IF($C5="Romantasy",L$2,IF(OR($C5="Romance",$C5="Drama"),L$3,L$1))),L5&lt;(IF($C5="Romantasy",L$2,IF(OR($C5="Romance",$C5="Drama"),L$3,L$1))))</formula>
    </cfRule>
  </conditionalFormatting>
  <conditionalFormatting sqref="L5:L482">
    <cfRule type="expression" dxfId="2" priority="24" stopIfTrue="1">
      <formula>AND(ISNUMBER(L5),IF($C5="Romantasy",L$2,IF(OR($C5="Romance",$C5="Drama"),L$3,L$1))&gt;0,L5&lt;0.7*(IF($C5="Romantasy",L$2,IF(OR($C5="Romance",$C5="Drama"),L$3,L$1))))</formula>
    </cfRule>
  </conditionalFormatting>
  <conditionalFormatting sqref="M5:M482">
    <cfRule type="expression" dxfId="0" priority="25" stopIfTrue="1">
      <formula>AND(ISNUMBER(M5),IF($C5="Romantasy",M$2,IF(OR($C5="Romance",$C5="Drama"),M$3,M$1))&gt;0,M5&gt;=(IF($C5="Romantasy",M$2,IF(OR($C5="Romance",$C5="Drama"),M$3,M$1))))</formula>
    </cfRule>
  </conditionalFormatting>
  <conditionalFormatting sqref="M5:M482">
    <cfRule type="expression" dxfId="1" priority="26" stopIfTrue="1">
      <formula>AND(ISNUMBER(M5),IF($C5="Romantasy",M$2,IF(OR($C5="Romance",$C5="Drama"),M$3,M$1))&gt;0,M5&gt;=0.7*(IF($C5="Romantasy",M$2,IF(OR($C5="Romance",$C5="Drama"),M$3,M$1))),M5&lt;(IF($C5="Romantasy",M$2,IF(OR($C5="Romance",$C5="Drama"),M$3,M$1))))</formula>
    </cfRule>
  </conditionalFormatting>
  <conditionalFormatting sqref="M5:M482">
    <cfRule type="expression" dxfId="2" priority="27" stopIfTrue="1">
      <formula>AND(ISNUMBER(M5),IF($C5="Romantasy",M$2,IF(OR($C5="Romance",$C5="Drama"),M$3,M$1))&gt;0,M5&lt;0.7*(IF($C5="Romantasy",M$2,IF(OR($C5="Romance",$C5="Drama"),M$3,M$1))))</formula>
    </cfRule>
  </conditionalFormatting>
  <conditionalFormatting sqref="N5:N482">
    <cfRule type="expression" dxfId="0" priority="28" stopIfTrue="1">
      <formula>AND(ISNUMBER(N5),IF($C5="Romantasy",N$2,IF(OR($C5="Romance",$C5="Drama"),N$3,N$1))&gt;0,N5&gt;=(IF($C5="Romantasy",N$2,IF(OR($C5="Romance",$C5="Drama"),N$3,N$1))))</formula>
    </cfRule>
  </conditionalFormatting>
  <conditionalFormatting sqref="N5:N482">
    <cfRule type="expression" dxfId="1" priority="29" stopIfTrue="1">
      <formula>AND(ISNUMBER(N5),IF($C5="Romantasy",N$2,IF(OR($C5="Romance",$C5="Drama"),N$3,N$1))&gt;0,N5&gt;=0.7*(IF($C5="Romantasy",N$2,IF(OR($C5="Romance",$C5="Drama"),N$3,N$1))),N5&lt;(IF($C5="Romantasy",N$2,IF(OR($C5="Romance",$C5="Drama"),N$3,N$1))))</formula>
    </cfRule>
  </conditionalFormatting>
  <conditionalFormatting sqref="N5:N482">
    <cfRule type="expression" dxfId="2" priority="30" stopIfTrue="1">
      <formula>AND(ISNUMBER(N5),IF($C5="Romantasy",N$2,IF(OR($C5="Romance",$C5="Drama"),N$3,N$1))&gt;0,N5&lt;0.7*(IF($C5="Romantasy",N$2,IF(OR($C5="Romance",$C5="Drama"),N$3,N$1))))</formula>
    </cfRule>
  </conditionalFormatting>
  <conditionalFormatting sqref="O5:O482">
    <cfRule type="expression" dxfId="0" priority="31" stopIfTrue="1">
      <formula>AND(ISNUMBER(O5),IF($C5="Romantasy",O$2,IF(OR($C5="Romance",$C5="Drama"),O$3,O$1))&gt;0,O5&gt;=(IF($C5="Romantasy",O$2,IF(OR($C5="Romance",$C5="Drama"),O$3,O$1))))</formula>
    </cfRule>
  </conditionalFormatting>
  <conditionalFormatting sqref="O5:O482">
    <cfRule type="expression" dxfId="1" priority="32" stopIfTrue="1">
      <formula>AND(ISNUMBER(O5),IF($C5="Romantasy",O$2,IF(OR($C5="Romance",$C5="Drama"),O$3,O$1))&gt;0,O5&gt;=0.7*(IF($C5="Romantasy",O$2,IF(OR($C5="Romance",$C5="Drama"),O$3,O$1))),O5&lt;(IF($C5="Romantasy",O$2,IF(OR($C5="Romance",$C5="Drama"),O$3,O$1))))</formula>
    </cfRule>
  </conditionalFormatting>
  <conditionalFormatting sqref="O5:O482">
    <cfRule type="expression" dxfId="2" priority="33" stopIfTrue="1">
      <formula>AND(ISNUMBER(O5),IF($C5="Romantasy",O$2,IF(OR($C5="Romance",$C5="Drama"),O$3,O$1))&gt;0,O5&lt;0.7*(IF($C5="Romantasy",O$2,IF(OR($C5="Romance",$C5="Drama"),O$3,O$1))))</formula>
    </cfRule>
  </conditionalFormatting>
  <conditionalFormatting sqref="P5:P482">
    <cfRule type="expression" dxfId="0" priority="34" stopIfTrue="1">
      <formula>AND(ISNUMBER(P5),IF($C5="Romantasy",P$2,IF(OR($C5="Romance",$C5="Drama"),P$3,P$1))&gt;0,P5&gt;=(IF($C5="Romantasy",P$2,IF(OR($C5="Romance",$C5="Drama"),P$3,P$1))))</formula>
    </cfRule>
  </conditionalFormatting>
  <conditionalFormatting sqref="P5:P482">
    <cfRule type="expression" dxfId="1" priority="35" stopIfTrue="1">
      <formula>AND(ISNUMBER(P5),IF($C5="Romantasy",P$2,IF(OR($C5="Romance",$C5="Drama"),P$3,P$1))&gt;0,P5&gt;=0.7*(IF($C5="Romantasy",P$2,IF(OR($C5="Romance",$C5="Drama"),P$3,P$1))),P5&lt;(IF($C5="Romantasy",P$2,IF(OR($C5="Romance",$C5="Drama"),P$3,P$1))))</formula>
    </cfRule>
  </conditionalFormatting>
  <conditionalFormatting sqref="P5:P482">
    <cfRule type="expression" dxfId="2" priority="36" stopIfTrue="1">
      <formula>AND(ISNUMBER(P5),IF($C5="Romantasy",P$2,IF(OR($C5="Romance",$C5="Drama"),P$3,P$1))&gt;0,P5&lt;0.7*(IF($C5="Romantasy",P$2,IF(OR($C5="Romance",$C5="Drama"),P$3,P$1))))</formula>
    </cfRule>
  </conditionalFormatting>
  <conditionalFormatting sqref="Q5:Q482">
    <cfRule type="expression" dxfId="0" priority="37" stopIfTrue="1">
      <formula>AND(ISNUMBER(Q5),IF($C5="Romantasy",Q$2,IF(OR($C5="Romance",$C5="Drama"),Q$3,Q$1))&gt;0,Q5&gt;=(IF($C5="Romantasy",Q$2,IF(OR($C5="Romance",$C5="Drama"),Q$3,Q$1))))</formula>
    </cfRule>
  </conditionalFormatting>
  <conditionalFormatting sqref="Q5:Q482">
    <cfRule type="expression" dxfId="1" priority="38" stopIfTrue="1">
      <formula>AND(ISNUMBER(Q5),IF($C5="Romantasy",Q$2,IF(OR($C5="Romance",$C5="Drama"),Q$3,Q$1))&gt;0,Q5&gt;=0.7*(IF($C5="Romantasy",Q$2,IF(OR($C5="Romance",$C5="Drama"),Q$3,Q$1))),Q5&lt;(IF($C5="Romantasy",Q$2,IF(OR($C5="Romance",$C5="Drama"),Q$3,Q$1))))</formula>
    </cfRule>
  </conditionalFormatting>
  <conditionalFormatting sqref="Q5:Q482">
    <cfRule type="expression" dxfId="2" priority="39" stopIfTrue="1">
      <formula>AND(ISNUMBER(Q5),IF($C5="Romantasy",Q$2,IF(OR($C5="Romance",$C5="Drama"),Q$3,Q$1))&gt;0,Q5&lt;0.7*(IF($C5="Romantasy",Q$2,IF(OR($C5="Romance",$C5="Drama"),Q$3,Q$1))))</formula>
    </cfRule>
  </conditionalFormatting>
  <conditionalFormatting sqref="R5:R482">
    <cfRule type="expression" dxfId="0" priority="40" stopIfTrue="1">
      <formula>AND(ISNUMBER(R5),IF($C5="Romantasy",R$2,IF(OR($C5="Romance",$C5="Drama"),R$3,R$1))&gt;0,R5&gt;=(IF($C5="Romantasy",R$2,IF(OR($C5="Romance",$C5="Drama"),R$3,R$1))))</formula>
    </cfRule>
  </conditionalFormatting>
  <conditionalFormatting sqref="R5:R482">
    <cfRule type="expression" dxfId="1" priority="41" stopIfTrue="1">
      <formula>AND(ISNUMBER(R5),IF($C5="Romantasy",R$2,IF(OR($C5="Romance",$C5="Drama"),R$3,R$1))&gt;0,R5&gt;=0.7*(IF($C5="Romantasy",R$2,IF(OR($C5="Romance",$C5="Drama"),R$3,R$1))),R5&lt;(IF($C5="Romantasy",R$2,IF(OR($C5="Romance",$C5="Drama"),R$3,R$1))))</formula>
    </cfRule>
  </conditionalFormatting>
  <conditionalFormatting sqref="R5:R482">
    <cfRule type="expression" dxfId="2" priority="42" stopIfTrue="1">
      <formula>AND(ISNUMBER(R5),IF($C5="Romantasy",R$2,IF(OR($C5="Romance",$C5="Drama"),R$3,R$1))&gt;0,R5&lt;0.7*(IF($C5="Romantasy",R$2,IF(OR($C5="Romance",$C5="Drama"),R$3,R$1))))</formula>
    </cfRule>
  </conditionalFormatting>
  <conditionalFormatting sqref="S5:S482">
    <cfRule type="expression" dxfId="0" priority="43" stopIfTrue="1">
      <formula>AND(ISNUMBER(S5),IF($C5="Romantasy",S$2,IF(OR($C5="Romance",$C5="Drama"),S$3,S$1))&gt;0,S5&gt;=(IF($C5="Romantasy",S$2,IF(OR($C5="Romance",$C5="Drama"),S$3,S$1))))</formula>
    </cfRule>
  </conditionalFormatting>
  <conditionalFormatting sqref="S5:S482">
    <cfRule type="expression" dxfId="1" priority="44" stopIfTrue="1">
      <formula>AND(ISNUMBER(S5),IF($C5="Romantasy",S$2,IF(OR($C5="Romance",$C5="Drama"),S$3,S$1))&gt;0,S5&gt;=0.7*(IF($C5="Romantasy",S$2,IF(OR($C5="Romance",$C5="Drama"),S$3,S$1))),S5&lt;(IF($C5="Romantasy",S$2,IF(OR($C5="Romance",$C5="Drama"),S$3,S$1))))</formula>
    </cfRule>
  </conditionalFormatting>
  <conditionalFormatting sqref="S5:S482">
    <cfRule type="expression" dxfId="2" priority="45" stopIfTrue="1">
      <formula>AND(ISNUMBER(S5),IF($C5="Romantasy",S$2,IF(OR($C5="Romance",$C5="Drama"),S$3,S$1))&gt;0,S5&lt;0.7*(IF($C5="Romantasy",S$2,IF(OR($C5="Romance",$C5="Drama"),S$3,S$1))))</formula>
    </cfRule>
  </conditionalFormatting>
  <conditionalFormatting sqref="T5:T482">
    <cfRule type="expression" dxfId="0" priority="46" stopIfTrue="1">
      <formula>AND(ISNUMBER(T5),IF($C5="Romantasy",T$2,IF(OR($C5="Romance",$C5="Drama"),T$3,T$1))&gt;0,T5&gt;=(IF($C5="Romantasy",T$2,IF(OR($C5="Romance",$C5="Drama"),T$3,T$1))))</formula>
    </cfRule>
  </conditionalFormatting>
  <conditionalFormatting sqref="T5:T482">
    <cfRule type="expression" dxfId="1" priority="47" stopIfTrue="1">
      <formula>AND(ISNUMBER(T5),IF($C5="Romantasy",T$2,IF(OR($C5="Romance",$C5="Drama"),T$3,T$1))&gt;0,T5&gt;=0.7*(IF($C5="Romantasy",T$2,IF(OR($C5="Romance",$C5="Drama"),T$3,T$1))),T5&lt;(IF($C5="Romantasy",T$2,IF(OR($C5="Romance",$C5="Drama"),T$3,T$1))))</formula>
    </cfRule>
  </conditionalFormatting>
  <conditionalFormatting sqref="T5:T482">
    <cfRule type="expression" dxfId="2" priority="48" stopIfTrue="1">
      <formula>AND(ISNUMBER(T5),IF($C5="Romantasy",T$2,IF(OR($C5="Romance",$C5="Drama"),T$3,T$1))&gt;0,T5&lt;0.7*(IF($C5="Romantasy",T$2,IF(OR($C5="Romance",$C5="Drama"),T$3,T$1))))</formula>
    </cfRule>
  </conditionalFormatting>
  <conditionalFormatting sqref="U5:U482">
    <cfRule type="expression" dxfId="0" priority="49" stopIfTrue="1">
      <formula>AND(ISNUMBER(U5),IF($C5="Romantasy",U$2,IF(OR($C5="Romance",$C5="Drama"),U$3,U$1))&gt;0,U5&gt;=(IF($C5="Romantasy",U$2,IF(OR($C5="Romance",$C5="Drama"),U$3,U$1))))</formula>
    </cfRule>
  </conditionalFormatting>
  <conditionalFormatting sqref="U5:U482">
    <cfRule type="expression" dxfId="1" priority="50" stopIfTrue="1">
      <formula>AND(ISNUMBER(U5),IF($C5="Romantasy",U$2,IF(OR($C5="Romance",$C5="Drama"),U$3,U$1))&gt;0,U5&gt;=0.7*(IF($C5="Romantasy",U$2,IF(OR($C5="Romance",$C5="Drama"),U$3,U$1))),U5&lt;(IF($C5="Romantasy",U$2,IF(OR($C5="Romance",$C5="Drama"),U$3,U$1))))</formula>
    </cfRule>
  </conditionalFormatting>
  <conditionalFormatting sqref="U5:U482">
    <cfRule type="expression" dxfId="2" priority="51" stopIfTrue="1">
      <formula>AND(ISNUMBER(U5),IF($C5="Romantasy",U$2,IF(OR($C5="Romance",$C5="Drama"),U$3,U$1))&gt;0,U5&lt;0.7*(IF($C5="Romantasy",U$2,IF(OR($C5="Romance",$C5="Drama"),U$3,U$1))))</formula>
    </cfRule>
  </conditionalFormatting>
  <conditionalFormatting sqref="V5:V482">
    <cfRule type="expression" dxfId="0" priority="52" stopIfTrue="1">
      <formula>AND(ISNUMBER(V5),IF($C5="Romantasy",V$2,IF(OR($C5="Romance",$C5="Drama"),V$3,V$1))&gt;0,V5&gt;=(IF($C5="Romantasy",V$2,IF(OR($C5="Romance",$C5="Drama"),V$3,V$1))))</formula>
    </cfRule>
  </conditionalFormatting>
  <conditionalFormatting sqref="V5:V482">
    <cfRule type="expression" dxfId="1" priority="53" stopIfTrue="1">
      <formula>AND(ISNUMBER(V5),IF($C5="Romantasy",V$2,IF(OR($C5="Romance",$C5="Drama"),V$3,V$1))&gt;0,V5&gt;=0.7*(IF($C5="Romantasy",V$2,IF(OR($C5="Romance",$C5="Drama"),V$3,V$1))),V5&lt;(IF($C5="Romantasy",V$2,IF(OR($C5="Romance",$C5="Drama"),V$3,V$1))))</formula>
    </cfRule>
  </conditionalFormatting>
  <conditionalFormatting sqref="V5:V482">
    <cfRule type="expression" dxfId="2" priority="54" stopIfTrue="1">
      <formula>AND(ISNUMBER(V5),IF($C5="Romantasy",V$2,IF(OR($C5="Romance",$C5="Drama"),V$3,V$1))&gt;0,V5&lt;0.7*(IF($C5="Romantasy",V$2,IF(OR($C5="Romance",$C5="Drama"),V$3,V$1))))</formula>
    </cfRule>
  </conditionalFormatting>
  <conditionalFormatting sqref="W5:W482">
    <cfRule type="expression" dxfId="0" priority="55" stopIfTrue="1">
      <formula>AND(ISNUMBER(W5),IF($C5="Romantasy",W$2,IF(OR($C5="Romance",$C5="Drama"),W$3,W$1))&gt;0,W5&gt;=(IF($C5="Romantasy",W$2,IF(OR($C5="Romance",$C5="Drama"),W$3,W$1))))</formula>
    </cfRule>
  </conditionalFormatting>
  <conditionalFormatting sqref="W5:W482">
    <cfRule type="expression" dxfId="1" priority="56" stopIfTrue="1">
      <formula>AND(ISNUMBER(W5),IF($C5="Romantasy",W$2,IF(OR($C5="Romance",$C5="Drama"),W$3,W$1))&gt;0,W5&gt;=0.7*(IF($C5="Romantasy",W$2,IF(OR($C5="Romance",$C5="Drama"),W$3,W$1))),W5&lt;(IF($C5="Romantasy",W$2,IF(OR($C5="Romance",$C5="Drama"),W$3,W$1))))</formula>
    </cfRule>
  </conditionalFormatting>
  <conditionalFormatting sqref="W5:W482">
    <cfRule type="expression" dxfId="2" priority="57" stopIfTrue="1">
      <formula>AND(ISNUMBER(W5),IF($C5="Romantasy",W$2,IF(OR($C5="Romance",$C5="Drama"),W$3,W$1))&gt;0,W5&lt;0.7*(IF($C5="Romantasy",W$2,IF(OR($C5="Romance",$C5="Drama"),W$3,W$1))))</formula>
    </cfRule>
  </conditionalFormatting>
  <conditionalFormatting sqref="X5:X482">
    <cfRule type="expression" dxfId="0" priority="58" stopIfTrue="1">
      <formula>AND(ISNUMBER(X5),IF($C5="Romantasy",X$2,IF(OR($C5="Romance",$C5="Drama"),X$3,X$1))&gt;0,X5&gt;=(IF($C5="Romantasy",X$2,IF(OR($C5="Romance",$C5="Drama"),X$3,X$1))))</formula>
    </cfRule>
  </conditionalFormatting>
  <conditionalFormatting sqref="X5:X482">
    <cfRule type="expression" dxfId="1" priority="59" stopIfTrue="1">
      <formula>AND(ISNUMBER(X5),IF($C5="Romantasy",X$2,IF(OR($C5="Romance",$C5="Drama"),X$3,X$1))&gt;0,X5&gt;=0.7*(IF($C5="Romantasy",X$2,IF(OR($C5="Romance",$C5="Drama"),X$3,X$1))),X5&lt;(IF($C5="Romantasy",X$2,IF(OR($C5="Romance",$C5="Drama"),X$3,X$1))))</formula>
    </cfRule>
  </conditionalFormatting>
  <conditionalFormatting sqref="X5:X482">
    <cfRule type="expression" dxfId="2" priority="60" stopIfTrue="1">
      <formula>AND(ISNUMBER(X5),IF($C5="Romantasy",X$2,IF(OR($C5="Romance",$C5="Drama"),X$3,X$1))&gt;0,X5&lt;0.7*(IF($C5="Romantasy",X$2,IF(OR($C5="Romance",$C5="Drama"),X$3,X$1))))</formula>
    </cfRule>
  </conditionalFormatting>
  <conditionalFormatting sqref="Y5:Y482">
    <cfRule type="expression" dxfId="0" priority="61" stopIfTrue="1">
      <formula>AND(ISNUMBER(Y5),IF($C5="Romantasy",Y$2,IF(OR($C5="Romance",$C5="Drama"),Y$3,Y$1))&gt;0,Y5&gt;=(IF($C5="Romantasy",Y$2,IF(OR($C5="Romance",$C5="Drama"),Y$3,Y$1))))</formula>
    </cfRule>
  </conditionalFormatting>
  <conditionalFormatting sqref="Y5:Y482">
    <cfRule type="expression" dxfId="1" priority="62" stopIfTrue="1">
      <formula>AND(ISNUMBER(Y5),IF($C5="Romantasy",Y$2,IF(OR($C5="Romance",$C5="Drama"),Y$3,Y$1))&gt;0,Y5&gt;=0.7*(IF($C5="Romantasy",Y$2,IF(OR($C5="Romance",$C5="Drama"),Y$3,Y$1))),Y5&lt;(IF($C5="Romantasy",Y$2,IF(OR($C5="Romance",$C5="Drama"),Y$3,Y$1))))</formula>
    </cfRule>
  </conditionalFormatting>
  <conditionalFormatting sqref="Y5:Y482">
    <cfRule type="expression" dxfId="2" priority="63" stopIfTrue="1">
      <formula>AND(ISNUMBER(Y5),IF($C5="Romantasy",Y$2,IF(OR($C5="Romance",$C5="Drama"),Y$3,Y$1))&gt;0,Y5&lt;0.7*(IF($C5="Romantasy",Y$2,IF(OR($C5="Romance",$C5="Drama"),Y$3,Y$1))))</formula>
    </cfRule>
  </conditionalFormatting>
  <conditionalFormatting sqref="Z5:Z482">
    <cfRule type="expression" dxfId="0" priority="64" stopIfTrue="1">
      <formula>AND(ISNUMBER(Z5),IF($C5="Romantasy",Z$2,IF(OR($C5="Romance",$C5="Drama"),Z$3,Z$1))&gt;0,Z5&gt;=(IF($C5="Romantasy",Z$2,IF(OR($C5="Romance",$C5="Drama"),Z$3,Z$1))))</formula>
    </cfRule>
  </conditionalFormatting>
  <conditionalFormatting sqref="Z5:Z482">
    <cfRule type="expression" dxfId="1" priority="65" stopIfTrue="1">
      <formula>AND(ISNUMBER(Z5),IF($C5="Romantasy",Z$2,IF(OR($C5="Romance",$C5="Drama"),Z$3,Z$1))&gt;0,Z5&gt;=0.7*(IF($C5="Romantasy",Z$2,IF(OR($C5="Romance",$C5="Drama"),Z$3,Z$1))),Z5&lt;(IF($C5="Romantasy",Z$2,IF(OR($C5="Romance",$C5="Drama"),Z$3,Z$1))))</formula>
    </cfRule>
  </conditionalFormatting>
  <conditionalFormatting sqref="Z5:Z482">
    <cfRule type="expression" dxfId="2" priority="66" stopIfTrue="1">
      <formula>AND(ISNUMBER(Z5),IF($C5="Romantasy",Z$2,IF(OR($C5="Romance",$C5="Drama"),Z$3,Z$1))&gt;0,Z5&lt;0.7*(IF($C5="Romantasy",Z$2,IF(OR($C5="Romance",$C5="Drama"),Z$3,Z$1))))</formula>
    </cfRule>
  </conditionalFormatting>
  <conditionalFormatting sqref="AA5:AA482">
    <cfRule type="expression" dxfId="0" priority="67" stopIfTrue="1">
      <formula>AND(ISNUMBER(AA5),IF($C5="Romantasy",AA$2,IF(OR($C5="Romance",$C5="Drama"),AA$3,AA$1))&gt;0,AA5&gt;=(IF($C5="Romantasy",AA$2,IF(OR($C5="Romance",$C5="Drama"),AA$3,AA$1))))</formula>
    </cfRule>
  </conditionalFormatting>
  <conditionalFormatting sqref="AA5:AA482">
    <cfRule type="expression" dxfId="1" priority="68" stopIfTrue="1">
      <formula>AND(ISNUMBER(AA5),IF($C5="Romantasy",AA$2,IF(OR($C5="Romance",$C5="Drama"),AA$3,AA$1))&gt;0,AA5&gt;=0.7*(IF($C5="Romantasy",AA$2,IF(OR($C5="Romance",$C5="Drama"),AA$3,AA$1))),AA5&lt;(IF($C5="Romantasy",AA$2,IF(OR($C5="Romance",$C5="Drama"),AA$3,AA$1))))</formula>
    </cfRule>
  </conditionalFormatting>
  <conditionalFormatting sqref="AA5:AA482">
    <cfRule type="expression" dxfId="2" priority="69" stopIfTrue="1">
      <formula>AND(ISNUMBER(AA5),IF($C5="Romantasy",AA$2,IF(OR($C5="Romance",$C5="Drama"),AA$3,AA$1))&gt;0,AA5&lt;0.7*(IF($C5="Romantasy",AA$2,IF(OR($C5="Romance",$C5="Drama"),AA$3,AA$1))))</formula>
    </cfRule>
  </conditionalFormatting>
  <conditionalFormatting sqref="AB5:AB482">
    <cfRule type="expression" dxfId="0" priority="70" stopIfTrue="1">
      <formula>AND(ISNUMBER(AB5),IF($C5="Romantasy",AB$2,IF(OR($C5="Romance",$C5="Drama"),AB$3,AB$1))&gt;0,AB5&gt;=(IF($C5="Romantasy",AB$2,IF(OR($C5="Romance",$C5="Drama"),AB$3,AB$1))))</formula>
    </cfRule>
  </conditionalFormatting>
  <conditionalFormatting sqref="AB5:AB482">
    <cfRule type="expression" dxfId="1" priority="71" stopIfTrue="1">
      <formula>AND(ISNUMBER(AB5),IF($C5="Romantasy",AB$2,IF(OR($C5="Romance",$C5="Drama"),AB$3,AB$1))&gt;0,AB5&gt;=0.7*(IF($C5="Romantasy",AB$2,IF(OR($C5="Romance",$C5="Drama"),AB$3,AB$1))),AB5&lt;(IF($C5="Romantasy",AB$2,IF(OR($C5="Romance",$C5="Drama"),AB$3,AB$1))))</formula>
    </cfRule>
  </conditionalFormatting>
  <conditionalFormatting sqref="AB5:AB482">
    <cfRule type="expression" dxfId="2" priority="72" stopIfTrue="1">
      <formula>AND(ISNUMBER(AB5),IF($C5="Romantasy",AB$2,IF(OR($C5="Romance",$C5="Drama"),AB$3,AB$1))&gt;0,AB5&lt;0.7*(IF($C5="Romantasy",AB$2,IF(OR($C5="Romance",$C5="Drama"),AB$3,AB$1))))</formula>
    </cfRule>
  </conditionalFormatting>
  <conditionalFormatting sqref="AC5:AC482">
    <cfRule type="expression" dxfId="0" priority="73" stopIfTrue="1">
      <formula>AND(ISNUMBER(AC5),IF($C5="Romantasy",AC$2,IF(OR($C5="Romance",$C5="Drama"),AC$3,AC$1))&gt;0,AC5&gt;=(IF($C5="Romantasy",AC$2,IF(OR($C5="Romance",$C5="Drama"),AC$3,AC$1))))</formula>
    </cfRule>
  </conditionalFormatting>
  <conditionalFormatting sqref="AC5:AC482">
    <cfRule type="expression" dxfId="1" priority="74" stopIfTrue="1">
      <formula>AND(ISNUMBER(AC5),IF($C5="Romantasy",AC$2,IF(OR($C5="Romance",$C5="Drama"),AC$3,AC$1))&gt;0,AC5&gt;=0.7*(IF($C5="Romantasy",AC$2,IF(OR($C5="Romance",$C5="Drama"),AC$3,AC$1))),AC5&lt;(IF($C5="Romantasy",AC$2,IF(OR($C5="Romance",$C5="Drama"),AC$3,AC$1))))</formula>
    </cfRule>
  </conditionalFormatting>
  <conditionalFormatting sqref="AC5:AC482">
    <cfRule type="expression" dxfId="2" priority="75" stopIfTrue="1">
      <formula>AND(ISNUMBER(AC5),IF($C5="Romantasy",AC$2,IF(OR($C5="Romance",$C5="Drama"),AC$3,AC$1))&gt;0,AC5&lt;0.7*(IF($C5="Romantasy",AC$2,IF(OR($C5="Romance",$C5="Drama"),AC$3,AC$1))))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4" width="12.63"/>
  </cols>
  <sheetData>
    <row r="1" ht="15.75" customHeight="1">
      <c r="A1" s="1"/>
      <c r="B1" s="1" t="s">
        <v>0</v>
      </c>
      <c r="C1" s="1" t="s">
        <v>1</v>
      </c>
      <c r="D1" s="2">
        <v>10859.0</v>
      </c>
      <c r="E1" s="4">
        <v>0.939108773872128</v>
      </c>
      <c r="F1" s="4">
        <v>0.392378133382665</v>
      </c>
      <c r="G1" s="4">
        <v>0.324381887211778</v>
      </c>
      <c r="H1" s="4">
        <v>0.285143547338102</v>
      </c>
      <c r="I1" s="4">
        <v>0.26349590469099</v>
      </c>
      <c r="J1" s="4">
        <v>0.249883319331653</v>
      </c>
      <c r="K1" s="4">
        <v>0.233881517473369</v>
      </c>
      <c r="L1" s="4">
        <v>0.219983128690598</v>
      </c>
      <c r="M1" s="4">
        <v>0.215069907103312</v>
      </c>
      <c r="N1" s="4">
        <v>0.209615203688023</v>
      </c>
      <c r="O1" s="4">
        <v>0.186223277909738</v>
      </c>
      <c r="P1" s="4">
        <v>0.159171540895579</v>
      </c>
      <c r="Q1" s="4">
        <v>0.126160837779095</v>
      </c>
      <c r="R1" s="4">
        <v>0.113557358053302</v>
      </c>
      <c r="S1" s="4">
        <v>0.107330148001398</v>
      </c>
      <c r="T1" s="4">
        <v>0.101624570141112</v>
      </c>
      <c r="U1" s="4">
        <v>0.0937349397590361</v>
      </c>
      <c r="V1" s="4">
        <v>0.0901518863302302</v>
      </c>
      <c r="W1" s="4">
        <v>0.0854177088544272</v>
      </c>
      <c r="X1" s="4">
        <v>0.0780853224987303</v>
      </c>
      <c r="Y1" s="4">
        <v>0.070354387341441</v>
      </c>
      <c r="Z1" s="4">
        <v>0.0656683610386042</v>
      </c>
      <c r="AA1" s="4">
        <v>0.0574888641425389</v>
      </c>
      <c r="AB1" s="4">
        <v>0.0515033407572383</v>
      </c>
      <c r="AC1" s="4">
        <v>0.0456570155902004</v>
      </c>
    </row>
    <row r="2" ht="15.75" customHeight="1">
      <c r="A2" s="1"/>
      <c r="B2" s="1" t="s">
        <v>0</v>
      </c>
      <c r="C2" s="1" t="s">
        <v>2</v>
      </c>
      <c r="D2" s="2">
        <v>45008.0</v>
      </c>
      <c r="E2" s="4">
        <v>0.876403994573074</v>
      </c>
      <c r="F2" s="4">
        <v>0.796751223854027</v>
      </c>
      <c r="G2" s="4">
        <v>0.748780759380915</v>
      </c>
      <c r="H2" s="4">
        <v>0.71144156596959</v>
      </c>
      <c r="I2" s="4">
        <v>0.659826467111279</v>
      </c>
      <c r="J2" s="4">
        <v>0.615564932020628</v>
      </c>
      <c r="K2" s="4">
        <v>0.582063541713213</v>
      </c>
      <c r="L2" s="4">
        <v>0.558327744243237</v>
      </c>
      <c r="M2" s="4">
        <v>0.538924702301011</v>
      </c>
      <c r="N2" s="4">
        <v>0.523648497335065</v>
      </c>
      <c r="O2" s="4">
        <v>0.460344943896022</v>
      </c>
      <c r="P2" s="4">
        <v>0.421556453615695</v>
      </c>
      <c r="Q2" s="4">
        <v>0.373768627004891</v>
      </c>
      <c r="R2" s="4">
        <v>0.348025606314388</v>
      </c>
      <c r="S2" s="4">
        <v>0.306368892204401</v>
      </c>
      <c r="T2" s="4">
        <v>0.276802390735898</v>
      </c>
      <c r="U2" s="4">
        <v>0.231037063551462</v>
      </c>
      <c r="V2" s="4">
        <v>0.184247000908091</v>
      </c>
      <c r="W2" s="4">
        <v>0.152896957662577</v>
      </c>
      <c r="X2" s="4">
        <v>0.124235435676326</v>
      </c>
      <c r="Y2" s="4">
        <v>0.0870259481037924</v>
      </c>
      <c r="Z2" s="4">
        <v>0.0606508875739644</v>
      </c>
      <c r="AA2" s="4">
        <v>0.0</v>
      </c>
      <c r="AB2" s="4">
        <v>0.0</v>
      </c>
      <c r="AC2" s="4">
        <v>0.0</v>
      </c>
    </row>
    <row r="3" ht="15.75" customHeight="1">
      <c r="A3" s="1"/>
      <c r="B3" s="1" t="s">
        <v>0</v>
      </c>
      <c r="C3" s="1" t="s">
        <v>3</v>
      </c>
      <c r="D3" s="2">
        <v>26384.0</v>
      </c>
      <c r="E3" s="4">
        <v>0.906420765027322</v>
      </c>
      <c r="F3" s="4">
        <v>0.625617072985494</v>
      </c>
      <c r="G3" s="4">
        <v>0.575192973116848</v>
      </c>
      <c r="H3" s="4">
        <v>0.53292478684531</v>
      </c>
      <c r="I3" s="4">
        <v>0.503712447169021</v>
      </c>
      <c r="J3" s="4">
        <v>0.46872975342048</v>
      </c>
      <c r="K3" s="4">
        <v>0.448077216542041</v>
      </c>
      <c r="L3" s="4">
        <v>0.432699648801343</v>
      </c>
      <c r="M3" s="4">
        <v>0.421277896667685</v>
      </c>
      <c r="N3" s="4">
        <v>0.411730967766604</v>
      </c>
      <c r="O3" s="4">
        <v>0.37585001344654</v>
      </c>
      <c r="P3" s="4">
        <v>0.343799421407907</v>
      </c>
      <c r="Q3" s="4">
        <v>0.311537264664695</v>
      </c>
      <c r="R3" s="4">
        <v>0.283929830057169</v>
      </c>
      <c r="S3" s="4">
        <v>0.265380070894052</v>
      </c>
      <c r="T3" s="4">
        <v>0.234276948821642</v>
      </c>
      <c r="U3" s="4">
        <v>0.194576142613313</v>
      </c>
      <c r="V3" s="4">
        <v>0.170263788968824</v>
      </c>
      <c r="W3" s="4">
        <v>0.144822315628582</v>
      </c>
      <c r="X3" s="4">
        <v>0.119267654751525</v>
      </c>
      <c r="Y3" s="4">
        <v>0.0887432995830851</v>
      </c>
      <c r="Z3" s="4">
        <v>0.0599185573007562</v>
      </c>
      <c r="AA3" s="4">
        <v>0.0237388724035608</v>
      </c>
      <c r="AB3" s="4">
        <v>0.0</v>
      </c>
      <c r="AC3" s="4">
        <v>0.0</v>
      </c>
    </row>
    <row r="4" ht="15.75" customHeight="1">
      <c r="A4" s="6" t="s">
        <v>4</v>
      </c>
      <c r="B4" s="6" t="s">
        <v>5</v>
      </c>
      <c r="C4" s="6" t="s">
        <v>6</v>
      </c>
      <c r="D4" s="7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8" t="s">
        <v>13</v>
      </c>
      <c r="K4" s="8" t="s">
        <v>14</v>
      </c>
      <c r="L4" s="8" t="s">
        <v>15</v>
      </c>
      <c r="M4" s="8" t="s">
        <v>16</v>
      </c>
      <c r="N4" s="8" t="s">
        <v>17</v>
      </c>
      <c r="O4" s="8" t="s">
        <v>18</v>
      </c>
      <c r="P4" s="8" t="s">
        <v>19</v>
      </c>
      <c r="Q4" s="8" t="s">
        <v>20</v>
      </c>
      <c r="R4" s="8" t="s">
        <v>21</v>
      </c>
      <c r="S4" s="8" t="s">
        <v>22</v>
      </c>
      <c r="T4" s="8" t="s">
        <v>23</v>
      </c>
      <c r="U4" s="8" t="s">
        <v>24</v>
      </c>
      <c r="V4" s="8" t="s">
        <v>25</v>
      </c>
      <c r="W4" s="8" t="s">
        <v>26</v>
      </c>
      <c r="X4" s="8" t="s">
        <v>27</v>
      </c>
      <c r="Y4" s="8" t="s">
        <v>28</v>
      </c>
      <c r="Z4" s="8" t="s">
        <v>29</v>
      </c>
      <c r="AA4" s="8" t="s">
        <v>30</v>
      </c>
      <c r="AB4" s="8" t="s">
        <v>31</v>
      </c>
      <c r="AC4" s="8" t="s">
        <v>32</v>
      </c>
    </row>
    <row r="5" ht="15.75" customHeight="1">
      <c r="A5" s="10" t="str">
        <f>IFERROR(__xludf.DUMMYFUNCTION("{
IMPORTRANGE(""https://docs.google.com/spreadsheets/d/1OLoRCn0B2mP-LizDOaFp_LsrXGtZR4ZKvHn3aia4TMo/edit"",""Whale+ Female!B5:B""),
IMPORTRANGE(""https://docs.google.com/spreadsheets/d/1OLoRCn0B2mP-LizDOaFp_LsrXGtZR4ZKvHn3aia4TMo/edit"",""Whale+ Female!C5"&amp;":C""),
IMPORTRANGE(""https://docs.google.com/spreadsheets/d/1OLoRCn0B2mP-LizDOaFp_LsrXGtZR4ZKvHn3aia4TMo/edit"",""Whale+ Female!E5:E""),
IMPORTRANGE(""https://docs.google.com/spreadsheets/d/1OLoRCn0B2mP-LizDOaFp_LsrXGtZR4ZKvHn3aia4TMo/edit"",""Whale+ Fema"&amp;"le!AC5:AC""),
IMPORTRANGE(""https://docs.google.com/spreadsheets/d/1OLoRCn0B2mP-LizDOaFp_LsrXGtZR4ZKvHn3aia4TMo/edit"",""Whale+ Female!AJ5:BH"")
}"),"003c0c0b3759df17ce3f0b5feeeed123024f274d")</f>
        <v>003c0c0b3759df17ce3f0b5feeeed123024f274d</v>
      </c>
      <c r="B5" s="6" t="str">
        <f>IFERROR(__xludf.DUMMYFUNCTION("""COMPUTED_VALUE"""),"The Invictus Mage Returns")</f>
        <v>The Invictus Mage Returns</v>
      </c>
      <c r="C5" s="6" t="str">
        <f>IFERROR(__xludf.DUMMYFUNCTION("""COMPUTED_VALUE"""),"Fantasy")</f>
        <v>Fantasy</v>
      </c>
      <c r="D5" s="11">
        <f>IFERROR(__xludf.DUMMYFUNCTION("""COMPUTED_VALUE"""),145.0)</f>
        <v>145</v>
      </c>
      <c r="E5" s="8">
        <f>IFERROR(__xludf.DUMMYFUNCTION("""COMPUTED_VALUE"""),1.0)</f>
        <v>1</v>
      </c>
      <c r="F5" s="8">
        <f>IFERROR(__xludf.DUMMYFUNCTION("""COMPUTED_VALUE"""),0.793103448275862)</f>
        <v>0.7931034483</v>
      </c>
      <c r="G5" s="8">
        <f>IFERROR(__xludf.DUMMYFUNCTION("""COMPUTED_VALUE"""),0.73103448275862)</f>
        <v>0.7310344828</v>
      </c>
      <c r="H5" s="8">
        <f>IFERROR(__xludf.DUMMYFUNCTION("""COMPUTED_VALUE"""),0.675862068965517)</f>
        <v>0.675862069</v>
      </c>
      <c r="I5" s="8">
        <f>IFERROR(__xludf.DUMMYFUNCTION("""COMPUTED_VALUE"""),0.606896551724137)</f>
        <v>0.6068965517</v>
      </c>
      <c r="J5" s="8">
        <f>IFERROR(__xludf.DUMMYFUNCTION("""COMPUTED_VALUE"""),0.551724137931034)</f>
        <v>0.5517241379</v>
      </c>
      <c r="K5" s="8">
        <f>IFERROR(__xludf.DUMMYFUNCTION("""COMPUTED_VALUE"""),0.53103448275862)</f>
        <v>0.5310344828</v>
      </c>
      <c r="L5" s="8">
        <f>IFERROR(__xludf.DUMMYFUNCTION("""COMPUTED_VALUE"""),0.517241379310344)</f>
        <v>0.5172413793</v>
      </c>
      <c r="M5" s="8">
        <f>IFERROR(__xludf.DUMMYFUNCTION("""COMPUTED_VALUE"""),0.489655172413793)</f>
        <v>0.4896551724</v>
      </c>
      <c r="N5" s="8">
        <f>IFERROR(__xludf.DUMMYFUNCTION("""COMPUTED_VALUE"""),0.448275862068965)</f>
        <v>0.4482758621</v>
      </c>
      <c r="O5" s="8">
        <f>IFERROR(__xludf.DUMMYFUNCTION("""COMPUTED_VALUE"""),0.37062937062937)</f>
        <v>0.3706293706</v>
      </c>
      <c r="P5" s="8">
        <f>IFERROR(__xludf.DUMMYFUNCTION("""COMPUTED_VALUE"""),0.204225352112676)</f>
        <v>0.2042253521</v>
      </c>
      <c r="Q5" s="8">
        <f>IFERROR(__xludf.DUMMYFUNCTION("""COMPUTED_VALUE"""),0.0808823529411764)</f>
        <v>0.08088235294</v>
      </c>
      <c r="R5" s="8">
        <f>IFERROR(__xludf.DUMMYFUNCTION("""COMPUTED_VALUE"""),0.0)</f>
        <v>0</v>
      </c>
      <c r="S5" s="8">
        <f>IFERROR(__xludf.DUMMYFUNCTION("""COMPUTED_VALUE"""),0.0)</f>
        <v>0</v>
      </c>
      <c r="T5" s="8">
        <f>IFERROR(__xludf.DUMMYFUNCTION("""COMPUTED_VALUE"""),0.0)</f>
        <v>0</v>
      </c>
      <c r="U5" s="8">
        <f>IFERROR(__xludf.DUMMYFUNCTION("""COMPUTED_VALUE"""),0.0)</f>
        <v>0</v>
      </c>
      <c r="V5" s="8">
        <f>IFERROR(__xludf.DUMMYFUNCTION("""COMPUTED_VALUE"""),0.0)</f>
        <v>0</v>
      </c>
      <c r="W5" s="8">
        <f>IFERROR(__xludf.DUMMYFUNCTION("""COMPUTED_VALUE"""),0.0)</f>
        <v>0</v>
      </c>
      <c r="X5" s="8">
        <f>IFERROR(__xludf.DUMMYFUNCTION("""COMPUTED_VALUE"""),0.0)</f>
        <v>0</v>
      </c>
      <c r="Y5" s="8">
        <f>IFERROR(__xludf.DUMMYFUNCTION("""COMPUTED_VALUE"""),0.0)</f>
        <v>0</v>
      </c>
      <c r="Z5" s="8">
        <f>IFERROR(__xludf.DUMMYFUNCTION("""COMPUTED_VALUE"""),0.0)</f>
        <v>0</v>
      </c>
      <c r="AA5" s="8">
        <f>IFERROR(__xludf.DUMMYFUNCTION("""COMPUTED_VALUE"""),0.0)</f>
        <v>0</v>
      </c>
      <c r="AB5" s="8">
        <f>IFERROR(__xludf.DUMMYFUNCTION("""COMPUTED_VALUE"""),0.0)</f>
        <v>0</v>
      </c>
      <c r="AC5" s="8">
        <f>IFERROR(__xludf.DUMMYFUNCTION("""COMPUTED_VALUE"""),0.0)</f>
        <v>0</v>
      </c>
    </row>
    <row r="6" ht="15.75" customHeight="1">
      <c r="A6" s="6" t="str">
        <f>IFERROR(__xludf.DUMMYFUNCTION("""COMPUTED_VALUE"""),"01f367b494a414fb7c994e946bddd99820cc7e28")</f>
        <v>01f367b494a414fb7c994e946bddd99820cc7e28</v>
      </c>
      <c r="B6" s="6" t="str">
        <f>IFERROR(__xludf.DUMMYFUNCTION("""COMPUTED_VALUE"""),"The Dragon Prince’s Favor")</f>
        <v>The Dragon Prince’s Favor</v>
      </c>
      <c r="C6" s="6" t="str">
        <f>IFERROR(__xludf.DUMMYFUNCTION("""COMPUTED_VALUE"""),"Romantasy")</f>
        <v>Romantasy</v>
      </c>
      <c r="D6" s="11">
        <f>IFERROR(__xludf.DUMMYFUNCTION("""COMPUTED_VALUE"""),547.0)</f>
        <v>547</v>
      </c>
      <c r="E6" s="8">
        <f>IFERROR(__xludf.DUMMYFUNCTION("""COMPUTED_VALUE"""),0.979890310786106)</f>
        <v>0.9798903108</v>
      </c>
      <c r="F6" s="8">
        <f>IFERROR(__xludf.DUMMYFUNCTION("""COMPUTED_VALUE"""),0.577696526508226)</f>
        <v>0.5776965265</v>
      </c>
      <c r="G6" s="8">
        <f>IFERROR(__xludf.DUMMYFUNCTION("""COMPUTED_VALUE"""),0.486288848263254)</f>
        <v>0.4862888483</v>
      </c>
      <c r="H6" s="8">
        <f>IFERROR(__xludf.DUMMYFUNCTION("""COMPUTED_VALUE"""),0.440366972477064)</f>
        <v>0.4403669725</v>
      </c>
      <c r="I6" s="8">
        <f>IFERROR(__xludf.DUMMYFUNCTION("""COMPUTED_VALUE"""),0.392988929889298)</f>
        <v>0.3929889299</v>
      </c>
      <c r="J6" s="8">
        <f>IFERROR(__xludf.DUMMYFUNCTION("""COMPUTED_VALUE"""),0.372848948374761)</f>
        <v>0.3728489484</v>
      </c>
      <c r="K6" s="8">
        <f>IFERROR(__xludf.DUMMYFUNCTION("""COMPUTED_VALUE"""),0.34090909090909)</f>
        <v>0.3409090909</v>
      </c>
      <c r="L6" s="8">
        <f>IFERROR(__xludf.DUMMYFUNCTION("""COMPUTED_VALUE"""),0.323383084577114)</f>
        <v>0.3233830846</v>
      </c>
      <c r="M6" s="8">
        <f>IFERROR(__xludf.DUMMYFUNCTION("""COMPUTED_VALUE"""),0.308080808080808)</f>
        <v>0.3080808081</v>
      </c>
      <c r="N6" s="8">
        <f>IFERROR(__xludf.DUMMYFUNCTION("""COMPUTED_VALUE"""),0.373333333333333)</f>
        <v>0.3733333333</v>
      </c>
      <c r="O6" s="8">
        <f>IFERROR(__xludf.DUMMYFUNCTION("""COMPUTED_VALUE"""),0.416666666666666)</f>
        <v>0.4166666667</v>
      </c>
      <c r="P6" s="8">
        <f>IFERROR(__xludf.DUMMYFUNCTION("""COMPUTED_VALUE"""),0.285714285714285)</f>
        <v>0.2857142857</v>
      </c>
      <c r="Q6" s="8">
        <f>IFERROR(__xludf.DUMMYFUNCTION("""COMPUTED_VALUE"""),0.0)</f>
        <v>0</v>
      </c>
      <c r="R6" s="8">
        <f>IFERROR(__xludf.DUMMYFUNCTION("""COMPUTED_VALUE"""),0.0)</f>
        <v>0</v>
      </c>
      <c r="S6" s="8">
        <f>IFERROR(__xludf.DUMMYFUNCTION("""COMPUTED_VALUE"""),0.0)</f>
        <v>0</v>
      </c>
      <c r="T6" s="8">
        <f>IFERROR(__xludf.DUMMYFUNCTION("""COMPUTED_VALUE"""),0.0)</f>
        <v>0</v>
      </c>
      <c r="U6" s="8">
        <f>IFERROR(__xludf.DUMMYFUNCTION("""COMPUTED_VALUE"""),0.0)</f>
        <v>0</v>
      </c>
      <c r="V6" s="8">
        <f>IFERROR(__xludf.DUMMYFUNCTION("""COMPUTED_VALUE"""),0.0)</f>
        <v>0</v>
      </c>
      <c r="W6" s="8">
        <f>IFERROR(__xludf.DUMMYFUNCTION("""COMPUTED_VALUE"""),0.0)</f>
        <v>0</v>
      </c>
      <c r="X6" s="8">
        <f>IFERROR(__xludf.DUMMYFUNCTION("""COMPUTED_VALUE"""),0.0)</f>
        <v>0</v>
      </c>
      <c r="Y6" s="8">
        <f>IFERROR(__xludf.DUMMYFUNCTION("""COMPUTED_VALUE"""),0.0)</f>
        <v>0</v>
      </c>
      <c r="Z6" s="8">
        <f>IFERROR(__xludf.DUMMYFUNCTION("""COMPUTED_VALUE"""),0.0)</f>
        <v>0</v>
      </c>
      <c r="AA6" s="8">
        <f>IFERROR(__xludf.DUMMYFUNCTION("""COMPUTED_VALUE"""),0.0)</f>
        <v>0</v>
      </c>
      <c r="AB6" s="8">
        <f>IFERROR(__xludf.DUMMYFUNCTION("""COMPUTED_VALUE"""),0.0)</f>
        <v>0</v>
      </c>
      <c r="AC6" s="8">
        <f>IFERROR(__xludf.DUMMYFUNCTION("""COMPUTED_VALUE"""),0.0)</f>
        <v>0</v>
      </c>
    </row>
    <row r="7" ht="15.75" customHeight="1">
      <c r="A7" s="6" t="str">
        <f>IFERROR(__xludf.DUMMYFUNCTION("""COMPUTED_VALUE"""),"026a120c807e0094812e891c9140a3fd3d0f1d48")</f>
        <v>026a120c807e0094812e891c9140a3fd3d0f1d48</v>
      </c>
      <c r="B7" s="6" t="str">
        <f>IFERROR(__xludf.DUMMYFUNCTION("""COMPUTED_VALUE"""),"Vintage Heart")</f>
        <v>Vintage Heart</v>
      </c>
      <c r="C7" s="6" t="str">
        <f>IFERROR(__xludf.DUMMYFUNCTION("""COMPUTED_VALUE"""),"Romance")</f>
        <v>Romance</v>
      </c>
      <c r="D7" s="11">
        <f>IFERROR(__xludf.DUMMYFUNCTION("""COMPUTED_VALUE"""),607.0)</f>
        <v>607</v>
      </c>
      <c r="E7" s="8">
        <f>IFERROR(__xludf.DUMMYFUNCTION("""COMPUTED_VALUE"""),0.960461285008237)</f>
        <v>0.960461285</v>
      </c>
      <c r="F7" s="8">
        <f>IFERROR(__xludf.DUMMYFUNCTION("""COMPUTED_VALUE"""),0.545304777594728)</f>
        <v>0.5453047776</v>
      </c>
      <c r="G7" s="8">
        <f>IFERROR(__xludf.DUMMYFUNCTION("""COMPUTED_VALUE"""),0.474464579901153)</f>
        <v>0.4744645799</v>
      </c>
      <c r="H7" s="8">
        <f>IFERROR(__xludf.DUMMYFUNCTION("""COMPUTED_VALUE"""),0.449752883031301)</f>
        <v>0.449752883</v>
      </c>
      <c r="I7" s="8">
        <f>IFERROR(__xludf.DUMMYFUNCTION("""COMPUTED_VALUE"""),0.421746293245469)</f>
        <v>0.4217462932</v>
      </c>
      <c r="J7" s="8">
        <f>IFERROR(__xludf.DUMMYFUNCTION("""COMPUTED_VALUE"""),0.410214168039538)</f>
        <v>0.410214168</v>
      </c>
      <c r="K7" s="8">
        <f>IFERROR(__xludf.DUMMYFUNCTION("""COMPUTED_VALUE"""),0.388797364085667)</f>
        <v>0.3887973641</v>
      </c>
      <c r="L7" s="8">
        <f>IFERROR(__xludf.DUMMYFUNCTION("""COMPUTED_VALUE"""),0.354200988467874)</f>
        <v>0.3542009885</v>
      </c>
      <c r="M7" s="8">
        <f>IFERROR(__xludf.DUMMYFUNCTION("""COMPUTED_VALUE"""),0.332784184514003)</f>
        <v>0.3327841845</v>
      </c>
      <c r="N7" s="8">
        <f>IFERROR(__xludf.DUMMYFUNCTION("""COMPUTED_VALUE"""),0.318481848184818)</f>
        <v>0.3184818482</v>
      </c>
      <c r="O7" s="8">
        <f>IFERROR(__xludf.DUMMYFUNCTION("""COMPUTED_VALUE"""),0.274834437086092)</f>
        <v>0.2748344371</v>
      </c>
      <c r="P7" s="8">
        <f>IFERROR(__xludf.DUMMYFUNCTION("""COMPUTED_VALUE"""),0.179530201342281)</f>
        <v>0.1795302013</v>
      </c>
      <c r="Q7" s="8">
        <f>IFERROR(__xludf.DUMMYFUNCTION("""COMPUTED_VALUE"""),0.118556701030927)</f>
        <v>0.118556701</v>
      </c>
      <c r="R7" s="8">
        <f>IFERROR(__xludf.DUMMYFUNCTION("""COMPUTED_VALUE"""),0.0786106032906764)</f>
        <v>0.07861060329</v>
      </c>
      <c r="S7" s="8">
        <f>IFERROR(__xludf.DUMMYFUNCTION("""COMPUTED_VALUE"""),0.0611854684512428)</f>
        <v>0.06118546845</v>
      </c>
      <c r="T7" s="8">
        <f>IFERROR(__xludf.DUMMYFUNCTION("""COMPUTED_VALUE"""),0.0393120393120393)</f>
        <v>0.03931203931</v>
      </c>
      <c r="U7" s="8">
        <f>IFERROR(__xludf.DUMMYFUNCTION("""COMPUTED_VALUE"""),0.0)</f>
        <v>0</v>
      </c>
      <c r="V7" s="8">
        <f>IFERROR(__xludf.DUMMYFUNCTION("""COMPUTED_VALUE"""),0.0)</f>
        <v>0</v>
      </c>
      <c r="W7" s="8">
        <f>IFERROR(__xludf.DUMMYFUNCTION("""COMPUTED_VALUE"""),0.0)</f>
        <v>0</v>
      </c>
      <c r="X7" s="8">
        <f>IFERROR(__xludf.DUMMYFUNCTION("""COMPUTED_VALUE"""),0.0)</f>
        <v>0</v>
      </c>
      <c r="Y7" s="8">
        <f>IFERROR(__xludf.DUMMYFUNCTION("""COMPUTED_VALUE"""),0.0)</f>
        <v>0</v>
      </c>
      <c r="Z7" s="8">
        <f>IFERROR(__xludf.DUMMYFUNCTION("""COMPUTED_VALUE"""),0.0)</f>
        <v>0</v>
      </c>
      <c r="AA7" s="8">
        <f>IFERROR(__xludf.DUMMYFUNCTION("""COMPUTED_VALUE"""),0.0)</f>
        <v>0</v>
      </c>
      <c r="AB7" s="8">
        <f>IFERROR(__xludf.DUMMYFUNCTION("""COMPUTED_VALUE"""),0.0)</f>
        <v>0</v>
      </c>
      <c r="AC7" s="8">
        <f>IFERROR(__xludf.DUMMYFUNCTION("""COMPUTED_VALUE"""),0.0)</f>
        <v>0</v>
      </c>
    </row>
    <row r="8" ht="15.75" customHeight="1">
      <c r="A8" s="6" t="str">
        <f>IFERROR(__xludf.DUMMYFUNCTION("""COMPUTED_VALUE"""),"03488a9bdecaf176a7a11138160e470f361ce803")</f>
        <v>03488a9bdecaf176a7a11138160e470f361ce803</v>
      </c>
      <c r="B8" s="6" t="str">
        <f>IFERROR(__xludf.DUMMYFUNCTION("""COMPUTED_VALUE"""),"Reborn to Be His Wife")</f>
        <v>Reborn to Be His Wife</v>
      </c>
      <c r="C8" s="6" t="str">
        <f>IFERROR(__xludf.DUMMYFUNCTION("""COMPUTED_VALUE"""),"Romantasy")</f>
        <v>Romantasy</v>
      </c>
      <c r="D8" s="11">
        <f>IFERROR(__xludf.DUMMYFUNCTION("""COMPUTED_VALUE"""),666.0)</f>
        <v>666</v>
      </c>
      <c r="E8" s="8">
        <f>IFERROR(__xludf.DUMMYFUNCTION("""COMPUTED_VALUE"""),0.966966966966966)</f>
        <v>0.966966967</v>
      </c>
      <c r="F8" s="8">
        <f>IFERROR(__xludf.DUMMYFUNCTION("""COMPUTED_VALUE"""),0.546546546546546)</f>
        <v>0.5465465465</v>
      </c>
      <c r="G8" s="8">
        <f>IFERROR(__xludf.DUMMYFUNCTION("""COMPUTED_VALUE"""),0.483483483483483)</f>
        <v>0.4834834835</v>
      </c>
      <c r="H8" s="8">
        <f>IFERROR(__xludf.DUMMYFUNCTION("""COMPUTED_VALUE"""),0.414414414414414)</f>
        <v>0.4144144144</v>
      </c>
      <c r="I8" s="8">
        <f>IFERROR(__xludf.DUMMYFUNCTION("""COMPUTED_VALUE"""),0.361861861861861)</f>
        <v>0.3618618619</v>
      </c>
      <c r="J8" s="8">
        <f>IFERROR(__xludf.DUMMYFUNCTION("""COMPUTED_VALUE"""),0.321321321321321)</f>
        <v>0.3213213213</v>
      </c>
      <c r="K8" s="8">
        <f>IFERROR(__xludf.DUMMYFUNCTION("""COMPUTED_VALUE"""),0.285285285285285)</f>
        <v>0.2852852853</v>
      </c>
      <c r="L8" s="8">
        <f>IFERROR(__xludf.DUMMYFUNCTION("""COMPUTED_VALUE"""),0.259759759759759)</f>
        <v>0.2597597598</v>
      </c>
      <c r="M8" s="8">
        <f>IFERROR(__xludf.DUMMYFUNCTION("""COMPUTED_VALUE"""),0.24024024024024)</f>
        <v>0.2402402402</v>
      </c>
      <c r="N8" s="8">
        <f>IFERROR(__xludf.DUMMYFUNCTION("""COMPUTED_VALUE"""),0.224060150375939)</f>
        <v>0.2240601504</v>
      </c>
      <c r="O8" s="8">
        <f>IFERROR(__xludf.DUMMYFUNCTION("""COMPUTED_VALUE"""),0.198473282442748)</f>
        <v>0.1984732824</v>
      </c>
      <c r="P8" s="8">
        <f>IFERROR(__xludf.DUMMYFUNCTION("""COMPUTED_VALUE"""),0.164596273291925)</f>
        <v>0.1645962733</v>
      </c>
      <c r="Q8" s="8">
        <f>IFERROR(__xludf.DUMMYFUNCTION("""COMPUTED_VALUE"""),0.127659574468085)</f>
        <v>0.1276595745</v>
      </c>
      <c r="R8" s="8">
        <f>IFERROR(__xludf.DUMMYFUNCTION("""COMPUTED_VALUE"""),0.0995670995670995)</f>
        <v>0.09956709957</v>
      </c>
      <c r="S8" s="8">
        <f>IFERROR(__xludf.DUMMYFUNCTION("""COMPUTED_VALUE"""),0.0762331838565022)</f>
        <v>0.07623318386</v>
      </c>
      <c r="T8" s="8">
        <f>IFERROR(__xludf.DUMMYFUNCTION("""COMPUTED_VALUE"""),0.0654205607476635)</f>
        <v>0.06542056075</v>
      </c>
      <c r="U8" s="8">
        <f>IFERROR(__xludf.DUMMYFUNCTION("""COMPUTED_VALUE"""),0.0)</f>
        <v>0</v>
      </c>
      <c r="V8" s="8">
        <f>IFERROR(__xludf.DUMMYFUNCTION("""COMPUTED_VALUE"""),0.0)</f>
        <v>0</v>
      </c>
      <c r="W8" s="8">
        <f>IFERROR(__xludf.DUMMYFUNCTION("""COMPUTED_VALUE"""),0.0)</f>
        <v>0</v>
      </c>
      <c r="X8" s="8">
        <f>IFERROR(__xludf.DUMMYFUNCTION("""COMPUTED_VALUE"""),0.0)</f>
        <v>0</v>
      </c>
      <c r="Y8" s="8">
        <f>IFERROR(__xludf.DUMMYFUNCTION("""COMPUTED_VALUE"""),0.0)</f>
        <v>0</v>
      </c>
      <c r="Z8" s="8">
        <f>IFERROR(__xludf.DUMMYFUNCTION("""COMPUTED_VALUE"""),0.0)</f>
        <v>0</v>
      </c>
      <c r="AA8" s="8">
        <f>IFERROR(__xludf.DUMMYFUNCTION("""COMPUTED_VALUE"""),0.0)</f>
        <v>0</v>
      </c>
      <c r="AB8" s="8">
        <f>IFERROR(__xludf.DUMMYFUNCTION("""COMPUTED_VALUE"""),0.0)</f>
        <v>0</v>
      </c>
      <c r="AC8" s="8">
        <f>IFERROR(__xludf.DUMMYFUNCTION("""COMPUTED_VALUE"""),0.0)</f>
        <v>0</v>
      </c>
    </row>
    <row r="9" ht="15.75" customHeight="1">
      <c r="A9" s="6" t="str">
        <f>IFERROR(__xludf.DUMMYFUNCTION("""COMPUTED_VALUE"""),"0433315d89000a02178e5d4fb75f31de3d906cff")</f>
        <v>0433315d89000a02178e5d4fb75f31de3d906cff</v>
      </c>
      <c r="B9" s="6" t="str">
        <f>IFERROR(__xludf.DUMMYFUNCTION("""COMPUTED_VALUE"""),"Billionaire Secret Babies")</f>
        <v>Billionaire Secret Babies</v>
      </c>
      <c r="C9" s="6" t="str">
        <f>IFERROR(__xludf.DUMMYFUNCTION("""COMPUTED_VALUE"""),"Romance")</f>
        <v>Romance</v>
      </c>
      <c r="D9" s="11">
        <f>IFERROR(__xludf.DUMMYFUNCTION("""COMPUTED_VALUE"""),135.0)</f>
        <v>135</v>
      </c>
      <c r="E9" s="8">
        <f>IFERROR(__xludf.DUMMYFUNCTION("""COMPUTED_VALUE"""),0.851851851851851)</f>
        <v>0.8518518519</v>
      </c>
      <c r="F9" s="8">
        <f>IFERROR(__xludf.DUMMYFUNCTION("""COMPUTED_VALUE"""),0.688888888888888)</f>
        <v>0.6888888889</v>
      </c>
      <c r="G9" s="8">
        <f>IFERROR(__xludf.DUMMYFUNCTION("""COMPUTED_VALUE"""),0.607407407407407)</f>
        <v>0.6074074074</v>
      </c>
      <c r="H9" s="8">
        <f>IFERROR(__xludf.DUMMYFUNCTION("""COMPUTED_VALUE"""),0.585185185185185)</f>
        <v>0.5851851852</v>
      </c>
      <c r="I9" s="8">
        <f>IFERROR(__xludf.DUMMYFUNCTION("""COMPUTED_VALUE"""),0.577777777777777)</f>
        <v>0.5777777778</v>
      </c>
      <c r="J9" s="8">
        <f>IFERROR(__xludf.DUMMYFUNCTION("""COMPUTED_VALUE"""),0.533333333333333)</f>
        <v>0.5333333333</v>
      </c>
      <c r="K9" s="8">
        <f>IFERROR(__xludf.DUMMYFUNCTION("""COMPUTED_VALUE"""),0.511111111111111)</f>
        <v>0.5111111111</v>
      </c>
      <c r="L9" s="8">
        <f>IFERROR(__xludf.DUMMYFUNCTION("""COMPUTED_VALUE"""),0.503703703703703)</f>
        <v>0.5037037037</v>
      </c>
      <c r="M9" s="8">
        <f>IFERROR(__xludf.DUMMYFUNCTION("""COMPUTED_VALUE"""),0.481481481481481)</f>
        <v>0.4814814815</v>
      </c>
      <c r="N9" s="8">
        <f>IFERROR(__xludf.DUMMYFUNCTION("""COMPUTED_VALUE"""),0.481481481481481)</f>
        <v>0.4814814815</v>
      </c>
      <c r="O9" s="8">
        <f>IFERROR(__xludf.DUMMYFUNCTION("""COMPUTED_VALUE"""),0.459259259259259)</f>
        <v>0.4592592593</v>
      </c>
      <c r="P9" s="8">
        <f>IFERROR(__xludf.DUMMYFUNCTION("""COMPUTED_VALUE"""),0.377777777777777)</f>
        <v>0.3777777778</v>
      </c>
      <c r="Q9" s="8">
        <f>IFERROR(__xludf.DUMMYFUNCTION("""COMPUTED_VALUE"""),0.34074074074074)</f>
        <v>0.3407407407</v>
      </c>
      <c r="R9" s="8">
        <f>IFERROR(__xludf.DUMMYFUNCTION("""COMPUTED_VALUE"""),0.0)</f>
        <v>0</v>
      </c>
      <c r="S9" s="8">
        <f>IFERROR(__xludf.DUMMYFUNCTION("""COMPUTED_VALUE"""),0.0)</f>
        <v>0</v>
      </c>
      <c r="T9" s="8">
        <f>IFERROR(__xludf.DUMMYFUNCTION("""COMPUTED_VALUE"""),0.0)</f>
        <v>0</v>
      </c>
      <c r="U9" s="8">
        <f>IFERROR(__xludf.DUMMYFUNCTION("""COMPUTED_VALUE"""),0.0)</f>
        <v>0</v>
      </c>
      <c r="V9" s="8">
        <f>IFERROR(__xludf.DUMMYFUNCTION("""COMPUTED_VALUE"""),0.0)</f>
        <v>0</v>
      </c>
      <c r="W9" s="8">
        <f>IFERROR(__xludf.DUMMYFUNCTION("""COMPUTED_VALUE"""),0.0)</f>
        <v>0</v>
      </c>
      <c r="X9" s="8">
        <f>IFERROR(__xludf.DUMMYFUNCTION("""COMPUTED_VALUE"""),0.0)</f>
        <v>0</v>
      </c>
      <c r="Y9" s="8">
        <f>IFERROR(__xludf.DUMMYFUNCTION("""COMPUTED_VALUE"""),0.0)</f>
        <v>0</v>
      </c>
      <c r="Z9" s="8">
        <f>IFERROR(__xludf.DUMMYFUNCTION("""COMPUTED_VALUE"""),0.0)</f>
        <v>0</v>
      </c>
      <c r="AA9" s="8">
        <f>IFERROR(__xludf.DUMMYFUNCTION("""COMPUTED_VALUE"""),0.0)</f>
        <v>0</v>
      </c>
      <c r="AB9" s="8">
        <f>IFERROR(__xludf.DUMMYFUNCTION("""COMPUTED_VALUE"""),0.0)</f>
        <v>0</v>
      </c>
      <c r="AC9" s="8">
        <f>IFERROR(__xludf.DUMMYFUNCTION("""COMPUTED_VALUE"""),0.0)</f>
        <v>0</v>
      </c>
    </row>
    <row r="10" ht="15.75" customHeight="1">
      <c r="A10" s="6" t="str">
        <f>IFERROR(__xludf.DUMMYFUNCTION("""COMPUTED_VALUE"""),"048b7efb083246fe7c75b60c3bccf0e015f15e03")</f>
        <v>048b7efb083246fe7c75b60c3bccf0e015f15e03</v>
      </c>
      <c r="B10" s="6" t="str">
        <f>IFERROR(__xludf.DUMMYFUNCTION("""COMPUTED_VALUE"""),"Veterinarian Beast Master")</f>
        <v>Veterinarian Beast Master</v>
      </c>
      <c r="C10" s="6" t="str">
        <f>IFERROR(__xludf.DUMMYFUNCTION("""COMPUTED_VALUE"""),"Fantasy")</f>
        <v>Fantasy</v>
      </c>
      <c r="D10" s="11">
        <f>IFERROR(__xludf.DUMMYFUNCTION("""COMPUTED_VALUE"""),30.0)</f>
        <v>30</v>
      </c>
      <c r="E10" s="8">
        <f>IFERROR(__xludf.DUMMYFUNCTION("""COMPUTED_VALUE"""),1.0)</f>
        <v>1</v>
      </c>
      <c r="F10" s="8">
        <f>IFERROR(__xludf.DUMMYFUNCTION("""COMPUTED_VALUE"""),0.7)</f>
        <v>0.7</v>
      </c>
      <c r="G10" s="8">
        <f>IFERROR(__xludf.DUMMYFUNCTION("""COMPUTED_VALUE"""),0.533333333333333)</f>
        <v>0.5333333333</v>
      </c>
      <c r="H10" s="8">
        <f>IFERROR(__xludf.DUMMYFUNCTION("""COMPUTED_VALUE"""),0.5)</f>
        <v>0.5</v>
      </c>
      <c r="I10" s="8">
        <f>IFERROR(__xludf.DUMMYFUNCTION("""COMPUTED_VALUE"""),0.464285714285714)</f>
        <v>0.4642857143</v>
      </c>
      <c r="J10" s="8">
        <f>IFERROR(__xludf.DUMMYFUNCTION("""COMPUTED_VALUE"""),0.444444444444444)</f>
        <v>0.4444444444</v>
      </c>
      <c r="K10" s="8">
        <f>IFERROR(__xludf.DUMMYFUNCTION("""COMPUTED_VALUE"""),0.407407407407407)</f>
        <v>0.4074074074</v>
      </c>
      <c r="L10" s="8">
        <f>IFERROR(__xludf.DUMMYFUNCTION("""COMPUTED_VALUE"""),0.37037037037037)</f>
        <v>0.3703703704</v>
      </c>
      <c r="M10" s="8">
        <f>IFERROR(__xludf.DUMMYFUNCTION("""COMPUTED_VALUE"""),0.37037037037037)</f>
        <v>0.3703703704</v>
      </c>
      <c r="N10" s="8">
        <f>IFERROR(__xludf.DUMMYFUNCTION("""COMPUTED_VALUE"""),0.333333333333333)</f>
        <v>0.3333333333</v>
      </c>
      <c r="O10" s="8">
        <f>IFERROR(__xludf.DUMMYFUNCTION("""COMPUTED_VALUE"""),0.333333333333333)</f>
        <v>0.3333333333</v>
      </c>
      <c r="P10" s="8">
        <f>IFERROR(__xludf.DUMMYFUNCTION("""COMPUTED_VALUE"""),0.333333333333333)</f>
        <v>0.3333333333</v>
      </c>
      <c r="Q10" s="8">
        <f>IFERROR(__xludf.DUMMYFUNCTION("""COMPUTED_VALUE"""),0.333333333333333)</f>
        <v>0.3333333333</v>
      </c>
      <c r="R10" s="8">
        <f>IFERROR(__xludf.DUMMYFUNCTION("""COMPUTED_VALUE"""),0.5)</f>
        <v>0.5</v>
      </c>
      <c r="S10" s="8">
        <f>IFERROR(__xludf.DUMMYFUNCTION("""COMPUTED_VALUE"""),0.0)</f>
        <v>0</v>
      </c>
      <c r="T10" s="8">
        <f>IFERROR(__xludf.DUMMYFUNCTION("""COMPUTED_VALUE"""),0.0)</f>
        <v>0</v>
      </c>
      <c r="U10" s="8">
        <f>IFERROR(__xludf.DUMMYFUNCTION("""COMPUTED_VALUE"""),0.0)</f>
        <v>0</v>
      </c>
      <c r="V10" s="8">
        <f>IFERROR(__xludf.DUMMYFUNCTION("""COMPUTED_VALUE"""),0.0)</f>
        <v>0</v>
      </c>
      <c r="W10" s="8">
        <f>IFERROR(__xludf.DUMMYFUNCTION("""COMPUTED_VALUE"""),0.0)</f>
        <v>0</v>
      </c>
      <c r="X10" s="8">
        <f>IFERROR(__xludf.DUMMYFUNCTION("""COMPUTED_VALUE"""),0.0)</f>
        <v>0</v>
      </c>
      <c r="Y10" s="8">
        <f>IFERROR(__xludf.DUMMYFUNCTION("""COMPUTED_VALUE"""),0.0)</f>
        <v>0</v>
      </c>
      <c r="Z10" s="8">
        <f>IFERROR(__xludf.DUMMYFUNCTION("""COMPUTED_VALUE"""),0.0)</f>
        <v>0</v>
      </c>
      <c r="AA10" s="8">
        <f>IFERROR(__xludf.DUMMYFUNCTION("""COMPUTED_VALUE"""),0.0)</f>
        <v>0</v>
      </c>
      <c r="AB10" s="8">
        <f>IFERROR(__xludf.DUMMYFUNCTION("""COMPUTED_VALUE"""),0.0)</f>
        <v>0</v>
      </c>
      <c r="AC10" s="8">
        <f>IFERROR(__xludf.DUMMYFUNCTION("""COMPUTED_VALUE"""),0.0)</f>
        <v>0</v>
      </c>
    </row>
    <row r="11" ht="15.75" customHeight="1">
      <c r="A11" s="6" t="str">
        <f>IFERROR(__xludf.DUMMYFUNCTION("""COMPUTED_VALUE"""),"05081ee1026b5a4754958dd34670379788a6d672")</f>
        <v>05081ee1026b5a4754958dd34670379788a6d672</v>
      </c>
      <c r="B11" s="6" t="str">
        <f>IFERROR(__xludf.DUMMYFUNCTION("""COMPUTED_VALUE"""),"Billionaire Prison Bride")</f>
        <v>Billionaire Prison Bride</v>
      </c>
      <c r="C11" s="6" t="str">
        <f>IFERROR(__xludf.DUMMYFUNCTION("""COMPUTED_VALUE"""),"Romance")</f>
        <v>Romance</v>
      </c>
      <c r="D11" s="11">
        <f>IFERROR(__xludf.DUMMYFUNCTION("""COMPUTED_VALUE"""),422.0)</f>
        <v>422</v>
      </c>
      <c r="E11" s="8">
        <f>IFERROR(__xludf.DUMMYFUNCTION("""COMPUTED_VALUE"""),0.954976303317535)</f>
        <v>0.9549763033</v>
      </c>
      <c r="F11" s="8">
        <f>IFERROR(__xludf.DUMMYFUNCTION("""COMPUTED_VALUE"""),0.696682464454976)</f>
        <v>0.6966824645</v>
      </c>
      <c r="G11" s="8">
        <f>IFERROR(__xludf.DUMMYFUNCTION("""COMPUTED_VALUE"""),0.661137440758293)</f>
        <v>0.6611374408</v>
      </c>
      <c r="H11" s="8">
        <f>IFERROR(__xludf.DUMMYFUNCTION("""COMPUTED_VALUE"""),0.64578313253012)</f>
        <v>0.6457831325</v>
      </c>
      <c r="I11" s="8">
        <f>IFERROR(__xludf.DUMMYFUNCTION("""COMPUTED_VALUE"""),0.629901960784313)</f>
        <v>0.6299019608</v>
      </c>
      <c r="J11" s="8">
        <f>IFERROR(__xludf.DUMMYFUNCTION("""COMPUTED_VALUE"""),0.620947630922693)</f>
        <v>0.6209476309</v>
      </c>
      <c r="K11" s="8">
        <f>IFERROR(__xludf.DUMMYFUNCTION("""COMPUTED_VALUE"""),0.588832487309644)</f>
        <v>0.5888324873</v>
      </c>
      <c r="L11" s="8">
        <f>IFERROR(__xludf.DUMMYFUNCTION("""COMPUTED_VALUE"""),0.56675749318801)</f>
        <v>0.5667574932</v>
      </c>
      <c r="M11" s="8">
        <f>IFERROR(__xludf.DUMMYFUNCTION("""COMPUTED_VALUE"""),0.552777777777777)</f>
        <v>0.5527777778</v>
      </c>
      <c r="N11" s="8">
        <f>IFERROR(__xludf.DUMMYFUNCTION("""COMPUTED_VALUE"""),0.547717842323651)</f>
        <v>0.5477178423</v>
      </c>
      <c r="O11" s="8">
        <f>IFERROR(__xludf.DUMMYFUNCTION("""COMPUTED_VALUE"""),0.444444444444444)</f>
        <v>0.4444444444</v>
      </c>
      <c r="P11" s="8">
        <f>IFERROR(__xludf.DUMMYFUNCTION("""COMPUTED_VALUE"""),0.333333333333333)</f>
        <v>0.3333333333</v>
      </c>
      <c r="Q11" s="8">
        <f>IFERROR(__xludf.DUMMYFUNCTION("""COMPUTED_VALUE"""),0.0)</f>
        <v>0</v>
      </c>
      <c r="R11" s="8">
        <f>IFERROR(__xludf.DUMMYFUNCTION("""COMPUTED_VALUE"""),0.0)</f>
        <v>0</v>
      </c>
      <c r="S11" s="8">
        <f>IFERROR(__xludf.DUMMYFUNCTION("""COMPUTED_VALUE"""),0.0)</f>
        <v>0</v>
      </c>
      <c r="T11" s="8">
        <f>IFERROR(__xludf.DUMMYFUNCTION("""COMPUTED_VALUE"""),0.0)</f>
        <v>0</v>
      </c>
      <c r="U11" s="8">
        <f>IFERROR(__xludf.DUMMYFUNCTION("""COMPUTED_VALUE"""),0.0)</f>
        <v>0</v>
      </c>
      <c r="V11" s="8">
        <f>IFERROR(__xludf.DUMMYFUNCTION("""COMPUTED_VALUE"""),0.0)</f>
        <v>0</v>
      </c>
      <c r="W11" s="8">
        <f>IFERROR(__xludf.DUMMYFUNCTION("""COMPUTED_VALUE"""),0.0)</f>
        <v>0</v>
      </c>
      <c r="X11" s="8">
        <f>IFERROR(__xludf.DUMMYFUNCTION("""COMPUTED_VALUE"""),0.0)</f>
        <v>0</v>
      </c>
      <c r="Y11" s="8">
        <f>IFERROR(__xludf.DUMMYFUNCTION("""COMPUTED_VALUE"""),0.0)</f>
        <v>0</v>
      </c>
      <c r="Z11" s="8">
        <f>IFERROR(__xludf.DUMMYFUNCTION("""COMPUTED_VALUE"""),0.0)</f>
        <v>0</v>
      </c>
      <c r="AA11" s="8">
        <f>IFERROR(__xludf.DUMMYFUNCTION("""COMPUTED_VALUE"""),0.0)</f>
        <v>0</v>
      </c>
      <c r="AB11" s="8">
        <f>IFERROR(__xludf.DUMMYFUNCTION("""COMPUTED_VALUE"""),0.0)</f>
        <v>0</v>
      </c>
      <c r="AC11" s="8">
        <f>IFERROR(__xludf.DUMMYFUNCTION("""COMPUTED_VALUE"""),0.0)</f>
        <v>0</v>
      </c>
    </row>
    <row r="12" ht="15.75" customHeight="1">
      <c r="A12" s="6" t="str">
        <f>IFERROR(__xludf.DUMMYFUNCTION("""COMPUTED_VALUE"""),"05808ad9143ee75794133fd50497137fea47e57b")</f>
        <v>05808ad9143ee75794133fd50497137fea47e57b</v>
      </c>
      <c r="B12" s="6" t="str">
        <f>IFERROR(__xludf.DUMMYFUNCTION("""COMPUTED_VALUE"""),"Infinity Stars")</f>
        <v>Infinity Stars</v>
      </c>
      <c r="C12" s="6" t="str">
        <f>IFERROR(__xludf.DUMMYFUNCTION("""COMPUTED_VALUE"""),"Fantasy")</f>
        <v>Fantasy</v>
      </c>
      <c r="D12" s="11">
        <f>IFERROR(__xludf.DUMMYFUNCTION("""COMPUTED_VALUE"""),142.0)</f>
        <v>142</v>
      </c>
      <c r="E12" s="8">
        <f>IFERROR(__xludf.DUMMYFUNCTION("""COMPUTED_VALUE"""),0.936619718309859)</f>
        <v>0.9366197183</v>
      </c>
      <c r="F12" s="8">
        <f>IFERROR(__xludf.DUMMYFUNCTION("""COMPUTED_VALUE"""),0.669014084507042)</f>
        <v>0.6690140845</v>
      </c>
      <c r="G12" s="8">
        <f>IFERROR(__xludf.DUMMYFUNCTION("""COMPUTED_VALUE"""),0.619718309859154)</f>
        <v>0.6197183099</v>
      </c>
      <c r="H12" s="8">
        <f>IFERROR(__xludf.DUMMYFUNCTION("""COMPUTED_VALUE"""),0.564885496183206)</f>
        <v>0.5648854962</v>
      </c>
      <c r="I12" s="8">
        <f>IFERROR(__xludf.DUMMYFUNCTION("""COMPUTED_VALUE"""),0.548387096774193)</f>
        <v>0.5483870968</v>
      </c>
      <c r="J12" s="8">
        <f>IFERROR(__xludf.DUMMYFUNCTION("""COMPUTED_VALUE"""),0.535087719298245)</f>
        <v>0.5350877193</v>
      </c>
      <c r="K12" s="8">
        <f>IFERROR(__xludf.DUMMYFUNCTION("""COMPUTED_VALUE"""),0.504587155963302)</f>
        <v>0.504587156</v>
      </c>
      <c r="L12" s="8">
        <f>IFERROR(__xludf.DUMMYFUNCTION("""COMPUTED_VALUE"""),0.519607843137254)</f>
        <v>0.5196078431</v>
      </c>
      <c r="M12" s="8">
        <f>IFERROR(__xludf.DUMMYFUNCTION("""COMPUTED_VALUE"""),0.504950495049505)</f>
        <v>0.504950495</v>
      </c>
      <c r="N12" s="8">
        <f>IFERROR(__xludf.DUMMYFUNCTION("""COMPUTED_VALUE"""),0.489130434782608)</f>
        <v>0.4891304348</v>
      </c>
      <c r="O12" s="8">
        <f>IFERROR(__xludf.DUMMYFUNCTION("""COMPUTED_VALUE"""),0.47560975609756)</f>
        <v>0.4756097561</v>
      </c>
      <c r="P12" s="8">
        <f>IFERROR(__xludf.DUMMYFUNCTION("""COMPUTED_VALUE"""),0.4625)</f>
        <v>0.4625</v>
      </c>
      <c r="Q12" s="8">
        <f>IFERROR(__xludf.DUMMYFUNCTION("""COMPUTED_VALUE"""),0.333333333333333)</f>
        <v>0.3333333333</v>
      </c>
      <c r="R12" s="8">
        <f>IFERROR(__xludf.DUMMYFUNCTION("""COMPUTED_VALUE"""),0.253968253968253)</f>
        <v>0.253968254</v>
      </c>
      <c r="S12" s="8">
        <f>IFERROR(__xludf.DUMMYFUNCTION("""COMPUTED_VALUE"""),0.166666666666666)</f>
        <v>0.1666666667</v>
      </c>
      <c r="T12" s="8">
        <f>IFERROR(__xludf.DUMMYFUNCTION("""COMPUTED_VALUE"""),0.0)</f>
        <v>0</v>
      </c>
      <c r="U12" s="8">
        <f>IFERROR(__xludf.DUMMYFUNCTION("""COMPUTED_VALUE"""),0.0)</f>
        <v>0</v>
      </c>
      <c r="V12" s="8">
        <f>IFERROR(__xludf.DUMMYFUNCTION("""COMPUTED_VALUE"""),0.0)</f>
        <v>0</v>
      </c>
      <c r="W12" s="8">
        <f>IFERROR(__xludf.DUMMYFUNCTION("""COMPUTED_VALUE"""),0.0)</f>
        <v>0</v>
      </c>
      <c r="X12" s="8">
        <f>IFERROR(__xludf.DUMMYFUNCTION("""COMPUTED_VALUE"""),0.0)</f>
        <v>0</v>
      </c>
      <c r="Y12" s="8">
        <f>IFERROR(__xludf.DUMMYFUNCTION("""COMPUTED_VALUE"""),0.0)</f>
        <v>0</v>
      </c>
      <c r="Z12" s="8">
        <f>IFERROR(__xludf.DUMMYFUNCTION("""COMPUTED_VALUE"""),0.0)</f>
        <v>0</v>
      </c>
      <c r="AA12" s="8">
        <f>IFERROR(__xludf.DUMMYFUNCTION("""COMPUTED_VALUE"""),0.0)</f>
        <v>0</v>
      </c>
      <c r="AB12" s="8">
        <f>IFERROR(__xludf.DUMMYFUNCTION("""COMPUTED_VALUE"""),0.0)</f>
        <v>0</v>
      </c>
      <c r="AC12" s="8">
        <f>IFERROR(__xludf.DUMMYFUNCTION("""COMPUTED_VALUE"""),0.0)</f>
        <v>0</v>
      </c>
    </row>
    <row r="13" ht="15.75" customHeight="1">
      <c r="A13" s="6" t="str">
        <f>IFERROR(__xludf.DUMMYFUNCTION("""COMPUTED_VALUE"""),"06f83c7bf7296efe61da1c2da6e5c12e8e7d4aa8")</f>
        <v>06f83c7bf7296efe61da1c2da6e5c12e8e7d4aa8</v>
      </c>
      <c r="B13" s="6" t="str">
        <f>IFERROR(__xludf.DUMMYFUNCTION("""COMPUTED_VALUE"""),"Sigil of the Seven")</f>
        <v>Sigil of the Seven</v>
      </c>
      <c r="C13" s="6" t="str">
        <f>IFERROR(__xludf.DUMMYFUNCTION("""COMPUTED_VALUE"""),"Fantasy")</f>
        <v>Fantasy</v>
      </c>
      <c r="D13" s="11">
        <f>IFERROR(__xludf.DUMMYFUNCTION("""COMPUTED_VALUE"""),645.0)</f>
        <v>645</v>
      </c>
      <c r="E13" s="8">
        <f>IFERROR(__xludf.DUMMYFUNCTION("""COMPUTED_VALUE"""),0.948837209302325)</f>
        <v>0.9488372093</v>
      </c>
      <c r="F13" s="8">
        <f>IFERROR(__xludf.DUMMYFUNCTION("""COMPUTED_VALUE"""),0.644961240310077)</f>
        <v>0.6449612403</v>
      </c>
      <c r="G13" s="8">
        <f>IFERROR(__xludf.DUMMYFUNCTION("""COMPUTED_VALUE"""),0.548837209302325)</f>
        <v>0.5488372093</v>
      </c>
      <c r="H13" s="8">
        <f>IFERROR(__xludf.DUMMYFUNCTION("""COMPUTED_VALUE"""),0.517080745341614)</f>
        <v>0.5170807453</v>
      </c>
      <c r="I13" s="8">
        <f>IFERROR(__xludf.DUMMYFUNCTION("""COMPUTED_VALUE"""),0.488299531981279)</f>
        <v>0.488299532</v>
      </c>
      <c r="J13" s="8">
        <f>IFERROR(__xludf.DUMMYFUNCTION("""COMPUTED_VALUE"""),0.461658841940532)</f>
        <v>0.4616588419</v>
      </c>
      <c r="K13" s="8">
        <f>IFERROR(__xludf.DUMMYFUNCTION("""COMPUTED_VALUE"""),0.438871473354232)</f>
        <v>0.4388714734</v>
      </c>
      <c r="L13" s="8">
        <f>IFERROR(__xludf.DUMMYFUNCTION("""COMPUTED_VALUE"""),0.426771653543307)</f>
        <v>0.4267716535</v>
      </c>
      <c r="M13" s="8">
        <f>IFERROR(__xludf.DUMMYFUNCTION("""COMPUTED_VALUE"""),0.415748031496063)</f>
        <v>0.4157480315</v>
      </c>
      <c r="N13" s="8">
        <f>IFERROR(__xludf.DUMMYFUNCTION("""COMPUTED_VALUE"""),0.40729001584786)</f>
        <v>0.4072900158</v>
      </c>
      <c r="O13" s="8">
        <f>IFERROR(__xludf.DUMMYFUNCTION("""COMPUTED_VALUE"""),0.381410256410256)</f>
        <v>0.3814102564</v>
      </c>
      <c r="P13" s="8">
        <f>IFERROR(__xludf.DUMMYFUNCTION("""COMPUTED_VALUE"""),0.339314845024469)</f>
        <v>0.339314845</v>
      </c>
      <c r="Q13" s="8">
        <f>IFERROR(__xludf.DUMMYFUNCTION("""COMPUTED_VALUE"""),0.256323777403035)</f>
        <v>0.2563237774</v>
      </c>
      <c r="R13" s="8">
        <f>IFERROR(__xludf.DUMMYFUNCTION("""COMPUTED_VALUE"""),0.198618307426597)</f>
        <v>0.1986183074</v>
      </c>
      <c r="S13" s="8">
        <f>IFERROR(__xludf.DUMMYFUNCTION("""COMPUTED_VALUE"""),0.1508078994614)</f>
        <v>0.1508078995</v>
      </c>
      <c r="T13" s="8">
        <f>IFERROR(__xludf.DUMMYFUNCTION("""COMPUTED_VALUE"""),0.0957178841309823)</f>
        <v>0.09571788413</v>
      </c>
      <c r="U13" s="8">
        <f>IFERROR(__xludf.DUMMYFUNCTION("""COMPUTED_VALUE"""),0.0702341137123745)</f>
        <v>0.07023411371</v>
      </c>
      <c r="V13" s="8">
        <f>IFERROR(__xludf.DUMMYFUNCTION("""COMPUTED_VALUE"""),0.0673758865248227)</f>
        <v>0.06737588652</v>
      </c>
      <c r="W13" s="8">
        <f>IFERROR(__xludf.DUMMYFUNCTION("""COMPUTED_VALUE"""),0.0620437956204379)</f>
        <v>0.06204379562</v>
      </c>
      <c r="X13" s="8">
        <f>IFERROR(__xludf.DUMMYFUNCTION("""COMPUTED_VALUE"""),0.0747126436781609)</f>
        <v>0.07471264368</v>
      </c>
      <c r="Y13" s="8">
        <f>IFERROR(__xludf.DUMMYFUNCTION("""COMPUTED_VALUE"""),0.0)</f>
        <v>0</v>
      </c>
      <c r="Z13" s="8">
        <f>IFERROR(__xludf.DUMMYFUNCTION("""COMPUTED_VALUE"""),0.0)</f>
        <v>0</v>
      </c>
      <c r="AA13" s="8">
        <f>IFERROR(__xludf.DUMMYFUNCTION("""COMPUTED_VALUE"""),0.0)</f>
        <v>0</v>
      </c>
      <c r="AB13" s="8">
        <f>IFERROR(__xludf.DUMMYFUNCTION("""COMPUTED_VALUE"""),0.0)</f>
        <v>0</v>
      </c>
      <c r="AC13" s="8">
        <f>IFERROR(__xludf.DUMMYFUNCTION("""COMPUTED_VALUE"""),0.0)</f>
        <v>0</v>
      </c>
    </row>
    <row r="14" ht="15.75" customHeight="1">
      <c r="A14" s="6" t="str">
        <f>IFERROR(__xludf.DUMMYFUNCTION("""COMPUTED_VALUE"""),"0b07b41ff930aa13e98588f626eef70da51bb47e")</f>
        <v>0b07b41ff930aa13e98588f626eef70da51bb47e</v>
      </c>
      <c r="B14" s="6" t="str">
        <f>IFERROR(__xludf.DUMMYFUNCTION("""COMPUTED_VALUE"""),"Debtbound Between Worlds")</f>
        <v>Debtbound Between Worlds</v>
      </c>
      <c r="C14" s="6" t="str">
        <f>IFERROR(__xludf.DUMMYFUNCTION("""COMPUTED_VALUE"""),"Fantasy")</f>
        <v>Fantasy</v>
      </c>
      <c r="D14" s="11">
        <f>IFERROR(__xludf.DUMMYFUNCTION("""COMPUTED_VALUE"""),6.0)</f>
        <v>6</v>
      </c>
      <c r="E14" s="8">
        <f>IFERROR(__xludf.DUMMYFUNCTION("""COMPUTED_VALUE"""),1.0)</f>
        <v>1</v>
      </c>
      <c r="F14" s="8">
        <f>IFERROR(__xludf.DUMMYFUNCTION("""COMPUTED_VALUE"""),0.5)</f>
        <v>0.5</v>
      </c>
      <c r="G14" s="8">
        <f>IFERROR(__xludf.DUMMYFUNCTION("""COMPUTED_VALUE"""),0.5)</f>
        <v>0.5</v>
      </c>
      <c r="H14" s="8">
        <f>IFERROR(__xludf.DUMMYFUNCTION("""COMPUTED_VALUE"""),0.5)</f>
        <v>0.5</v>
      </c>
      <c r="I14" s="8">
        <f>IFERROR(__xludf.DUMMYFUNCTION("""COMPUTED_VALUE"""),0.5)</f>
        <v>0.5</v>
      </c>
      <c r="J14" s="8">
        <f>IFERROR(__xludf.DUMMYFUNCTION("""COMPUTED_VALUE"""),0.5)</f>
        <v>0.5</v>
      </c>
      <c r="K14" s="8">
        <f>IFERROR(__xludf.DUMMYFUNCTION("""COMPUTED_VALUE"""),0.5)</f>
        <v>0.5</v>
      </c>
      <c r="L14" s="8">
        <f>IFERROR(__xludf.DUMMYFUNCTION("""COMPUTED_VALUE"""),0.5)</f>
        <v>0.5</v>
      </c>
      <c r="M14" s="8">
        <f>IFERROR(__xludf.DUMMYFUNCTION("""COMPUTED_VALUE"""),0.5)</f>
        <v>0.5</v>
      </c>
      <c r="N14" s="8">
        <f>IFERROR(__xludf.DUMMYFUNCTION("""COMPUTED_VALUE"""),0.5)</f>
        <v>0.5</v>
      </c>
      <c r="O14" s="8">
        <f>IFERROR(__xludf.DUMMYFUNCTION("""COMPUTED_VALUE"""),0.166666666666666)</f>
        <v>0.1666666667</v>
      </c>
      <c r="P14" s="8">
        <f>IFERROR(__xludf.DUMMYFUNCTION("""COMPUTED_VALUE"""),0.5)</f>
        <v>0.5</v>
      </c>
      <c r="Q14" s="8">
        <f>IFERROR(__xludf.DUMMYFUNCTION("""COMPUTED_VALUE"""),0.0)</f>
        <v>0</v>
      </c>
      <c r="R14" s="8">
        <f>IFERROR(__xludf.DUMMYFUNCTION("""COMPUTED_VALUE"""),0.0)</f>
        <v>0</v>
      </c>
      <c r="S14" s="8">
        <f>IFERROR(__xludf.DUMMYFUNCTION("""COMPUTED_VALUE"""),0.0)</f>
        <v>0</v>
      </c>
      <c r="T14" s="8">
        <f>IFERROR(__xludf.DUMMYFUNCTION("""COMPUTED_VALUE"""),0.0)</f>
        <v>0</v>
      </c>
      <c r="U14" s="8">
        <f>IFERROR(__xludf.DUMMYFUNCTION("""COMPUTED_VALUE"""),0.0)</f>
        <v>0</v>
      </c>
      <c r="V14" s="8">
        <f>IFERROR(__xludf.DUMMYFUNCTION("""COMPUTED_VALUE"""),0.0)</f>
        <v>0</v>
      </c>
      <c r="W14" s="8">
        <f>IFERROR(__xludf.DUMMYFUNCTION("""COMPUTED_VALUE"""),0.0)</f>
        <v>0</v>
      </c>
      <c r="X14" s="8">
        <f>IFERROR(__xludf.DUMMYFUNCTION("""COMPUTED_VALUE"""),0.0)</f>
        <v>0</v>
      </c>
      <c r="Y14" s="8">
        <f>IFERROR(__xludf.DUMMYFUNCTION("""COMPUTED_VALUE"""),0.0)</f>
        <v>0</v>
      </c>
      <c r="Z14" s="8">
        <f>IFERROR(__xludf.DUMMYFUNCTION("""COMPUTED_VALUE"""),0.0)</f>
        <v>0</v>
      </c>
      <c r="AA14" s="8">
        <f>IFERROR(__xludf.DUMMYFUNCTION("""COMPUTED_VALUE"""),0.0)</f>
        <v>0</v>
      </c>
      <c r="AB14" s="8">
        <f>IFERROR(__xludf.DUMMYFUNCTION("""COMPUTED_VALUE"""),0.0)</f>
        <v>0</v>
      </c>
      <c r="AC14" s="8">
        <f>IFERROR(__xludf.DUMMYFUNCTION("""COMPUTED_VALUE"""),0.0)</f>
        <v>0</v>
      </c>
    </row>
    <row r="15" ht="15.75" customHeight="1">
      <c r="A15" s="6" t="str">
        <f>IFERROR(__xludf.DUMMYFUNCTION("""COMPUTED_VALUE"""),"0b24baea319eafeca1995fb9b34e29d6ebfb9a50")</f>
        <v>0b24baea319eafeca1995fb9b34e29d6ebfb9a50</v>
      </c>
      <c r="B15" s="6" t="str">
        <f>IFERROR(__xludf.DUMMYFUNCTION("""COMPUTED_VALUE"""),"Rejected Bride Returns")</f>
        <v>Rejected Bride Returns</v>
      </c>
      <c r="C15" s="6" t="str">
        <f>IFERROR(__xludf.DUMMYFUNCTION("""COMPUTED_VALUE"""),"Romance")</f>
        <v>Romance</v>
      </c>
      <c r="D15" s="11">
        <f>IFERROR(__xludf.DUMMYFUNCTION("""COMPUTED_VALUE"""),526.0)</f>
        <v>526</v>
      </c>
      <c r="E15" s="8">
        <f>IFERROR(__xludf.DUMMYFUNCTION("""COMPUTED_VALUE"""),0.969581749049429)</f>
        <v>0.969581749</v>
      </c>
      <c r="F15" s="8">
        <f>IFERROR(__xludf.DUMMYFUNCTION("""COMPUTED_VALUE"""),0.621673003802281)</f>
        <v>0.6216730038</v>
      </c>
      <c r="G15" s="8">
        <f>IFERROR(__xludf.DUMMYFUNCTION("""COMPUTED_VALUE"""),0.528517110266159)</f>
        <v>0.5285171103</v>
      </c>
      <c r="H15" s="8">
        <f>IFERROR(__xludf.DUMMYFUNCTION("""COMPUTED_VALUE"""),0.428849902534113)</f>
        <v>0.4288499025</v>
      </c>
      <c r="I15" s="8">
        <f>IFERROR(__xludf.DUMMYFUNCTION("""COMPUTED_VALUE"""),0.350912778904665)</f>
        <v>0.3509127789</v>
      </c>
      <c r="J15" s="8">
        <f>IFERROR(__xludf.DUMMYFUNCTION("""COMPUTED_VALUE"""),0.287553648068669)</f>
        <v>0.2875536481</v>
      </c>
      <c r="K15" s="8">
        <f>IFERROR(__xludf.DUMMYFUNCTION("""COMPUTED_VALUE"""),0.239373601789709)</f>
        <v>0.2393736018</v>
      </c>
      <c r="L15" s="8">
        <f>IFERROR(__xludf.DUMMYFUNCTION("""COMPUTED_VALUE"""),0.204705882352941)</f>
        <v>0.2047058824</v>
      </c>
      <c r="M15" s="8">
        <f>IFERROR(__xludf.DUMMYFUNCTION("""COMPUTED_VALUE"""),0.162561576354679)</f>
        <v>0.1625615764</v>
      </c>
      <c r="N15" s="8">
        <f>IFERROR(__xludf.DUMMYFUNCTION("""COMPUTED_VALUE"""),0.12290502793296)</f>
        <v>0.1229050279</v>
      </c>
      <c r="O15" s="8">
        <f>IFERROR(__xludf.DUMMYFUNCTION("""COMPUTED_VALUE"""),0.0)</f>
        <v>0</v>
      </c>
      <c r="P15" s="8">
        <f>IFERROR(__xludf.DUMMYFUNCTION("""COMPUTED_VALUE"""),0.0)</f>
        <v>0</v>
      </c>
      <c r="Q15" s="8">
        <f>IFERROR(__xludf.DUMMYFUNCTION("""COMPUTED_VALUE"""),0.0)</f>
        <v>0</v>
      </c>
      <c r="R15" s="8">
        <f>IFERROR(__xludf.DUMMYFUNCTION("""COMPUTED_VALUE"""),0.0)</f>
        <v>0</v>
      </c>
      <c r="S15" s="8">
        <f>IFERROR(__xludf.DUMMYFUNCTION("""COMPUTED_VALUE"""),0.0)</f>
        <v>0</v>
      </c>
      <c r="T15" s="8">
        <f>IFERROR(__xludf.DUMMYFUNCTION("""COMPUTED_VALUE"""),0.0)</f>
        <v>0</v>
      </c>
      <c r="U15" s="8">
        <f>IFERROR(__xludf.DUMMYFUNCTION("""COMPUTED_VALUE"""),0.0)</f>
        <v>0</v>
      </c>
      <c r="V15" s="8">
        <f>IFERROR(__xludf.DUMMYFUNCTION("""COMPUTED_VALUE"""),0.0)</f>
        <v>0</v>
      </c>
      <c r="W15" s="8">
        <f>IFERROR(__xludf.DUMMYFUNCTION("""COMPUTED_VALUE"""),0.0)</f>
        <v>0</v>
      </c>
      <c r="X15" s="8">
        <f>IFERROR(__xludf.DUMMYFUNCTION("""COMPUTED_VALUE"""),0.0)</f>
        <v>0</v>
      </c>
      <c r="Y15" s="8">
        <f>IFERROR(__xludf.DUMMYFUNCTION("""COMPUTED_VALUE"""),0.0)</f>
        <v>0</v>
      </c>
      <c r="Z15" s="8">
        <f>IFERROR(__xludf.DUMMYFUNCTION("""COMPUTED_VALUE"""),0.0)</f>
        <v>0</v>
      </c>
      <c r="AA15" s="8">
        <f>IFERROR(__xludf.DUMMYFUNCTION("""COMPUTED_VALUE"""),0.0)</f>
        <v>0</v>
      </c>
      <c r="AB15" s="8">
        <f>IFERROR(__xludf.DUMMYFUNCTION("""COMPUTED_VALUE"""),0.0)</f>
        <v>0</v>
      </c>
      <c r="AC15" s="8">
        <f>IFERROR(__xludf.DUMMYFUNCTION("""COMPUTED_VALUE"""),0.0)</f>
        <v>0</v>
      </c>
    </row>
    <row r="16" ht="15.75" customHeight="1">
      <c r="A16" s="6" t="str">
        <f>IFERROR(__xludf.DUMMYFUNCTION("""COMPUTED_VALUE"""),"0c7fa1a2b4bca0746ad0384d77796b98dd7d801c")</f>
        <v>0c7fa1a2b4bca0746ad0384d77796b98dd7d801c</v>
      </c>
      <c r="B16" s="6" t="str">
        <f>IFERROR(__xludf.DUMMYFUNCTION("""COMPUTED_VALUE"""),"Flash Marriage to My Ex’s Boss")</f>
        <v>Flash Marriage to My Ex’s Boss</v>
      </c>
      <c r="C16" s="6" t="str">
        <f>IFERROR(__xludf.DUMMYFUNCTION("""COMPUTED_VALUE"""),"Romance")</f>
        <v>Romance</v>
      </c>
      <c r="D16" s="11">
        <f>IFERROR(__xludf.DUMMYFUNCTION("""COMPUTED_VALUE"""),235.0)</f>
        <v>235</v>
      </c>
      <c r="E16" s="8">
        <f>IFERROR(__xludf.DUMMYFUNCTION("""COMPUTED_VALUE"""),0.927659574468085)</f>
        <v>0.9276595745</v>
      </c>
      <c r="F16" s="8">
        <f>IFERROR(__xludf.DUMMYFUNCTION("""COMPUTED_VALUE"""),0.604255319148936)</f>
        <v>0.6042553191</v>
      </c>
      <c r="G16" s="8">
        <f>IFERROR(__xludf.DUMMYFUNCTION("""COMPUTED_VALUE"""),0.544680851063829)</f>
        <v>0.5446808511</v>
      </c>
      <c r="H16" s="8">
        <f>IFERROR(__xludf.DUMMYFUNCTION("""COMPUTED_VALUE"""),0.523404255319148)</f>
        <v>0.5234042553</v>
      </c>
      <c r="I16" s="8">
        <f>IFERROR(__xludf.DUMMYFUNCTION("""COMPUTED_VALUE"""),0.489361702127659)</f>
        <v>0.4893617021</v>
      </c>
      <c r="J16" s="8">
        <f>IFERROR(__xludf.DUMMYFUNCTION("""COMPUTED_VALUE"""),0.45531914893617)</f>
        <v>0.4553191489</v>
      </c>
      <c r="K16" s="8">
        <f>IFERROR(__xludf.DUMMYFUNCTION("""COMPUTED_VALUE"""),0.425531914893617)</f>
        <v>0.4255319149</v>
      </c>
      <c r="L16" s="8">
        <f>IFERROR(__xludf.DUMMYFUNCTION("""COMPUTED_VALUE"""),0.408510638297872)</f>
        <v>0.4085106383</v>
      </c>
      <c r="M16" s="8">
        <f>IFERROR(__xludf.DUMMYFUNCTION("""COMPUTED_VALUE"""),0.395744680851063)</f>
        <v>0.3957446809</v>
      </c>
      <c r="N16" s="8">
        <f>IFERROR(__xludf.DUMMYFUNCTION("""COMPUTED_VALUE"""),0.370212765957446)</f>
        <v>0.370212766</v>
      </c>
      <c r="O16" s="8">
        <f>IFERROR(__xludf.DUMMYFUNCTION("""COMPUTED_VALUE"""),0.314893617021276)</f>
        <v>0.314893617</v>
      </c>
      <c r="P16" s="8">
        <f>IFERROR(__xludf.DUMMYFUNCTION("""COMPUTED_VALUE"""),0.187234042553191)</f>
        <v>0.1872340426</v>
      </c>
      <c r="Q16" s="8">
        <f>IFERROR(__xludf.DUMMYFUNCTION("""COMPUTED_VALUE"""),0.128755364806866)</f>
        <v>0.1287553648</v>
      </c>
      <c r="R16" s="8">
        <f>IFERROR(__xludf.DUMMYFUNCTION("""COMPUTED_VALUE"""),0.121212121212121)</f>
        <v>0.1212121212</v>
      </c>
      <c r="S16" s="8">
        <f>IFERROR(__xludf.DUMMYFUNCTION("""COMPUTED_VALUE"""),0.0)</f>
        <v>0</v>
      </c>
      <c r="T16" s="8">
        <f>IFERROR(__xludf.DUMMYFUNCTION("""COMPUTED_VALUE"""),0.0)</f>
        <v>0</v>
      </c>
      <c r="U16" s="8">
        <f>IFERROR(__xludf.DUMMYFUNCTION("""COMPUTED_VALUE"""),0.0)</f>
        <v>0</v>
      </c>
      <c r="V16" s="8">
        <f>IFERROR(__xludf.DUMMYFUNCTION("""COMPUTED_VALUE"""),0.0)</f>
        <v>0</v>
      </c>
      <c r="W16" s="8">
        <f>IFERROR(__xludf.DUMMYFUNCTION("""COMPUTED_VALUE"""),0.0)</f>
        <v>0</v>
      </c>
      <c r="X16" s="8">
        <f>IFERROR(__xludf.DUMMYFUNCTION("""COMPUTED_VALUE"""),0.0)</f>
        <v>0</v>
      </c>
      <c r="Y16" s="8">
        <f>IFERROR(__xludf.DUMMYFUNCTION("""COMPUTED_VALUE"""),0.0)</f>
        <v>0</v>
      </c>
      <c r="Z16" s="8">
        <f>IFERROR(__xludf.DUMMYFUNCTION("""COMPUTED_VALUE"""),0.0)</f>
        <v>0</v>
      </c>
      <c r="AA16" s="8">
        <f>IFERROR(__xludf.DUMMYFUNCTION("""COMPUTED_VALUE"""),0.0)</f>
        <v>0</v>
      </c>
      <c r="AB16" s="8">
        <f>IFERROR(__xludf.DUMMYFUNCTION("""COMPUTED_VALUE"""),0.0)</f>
        <v>0</v>
      </c>
      <c r="AC16" s="8">
        <f>IFERROR(__xludf.DUMMYFUNCTION("""COMPUTED_VALUE"""),0.0)</f>
        <v>0</v>
      </c>
    </row>
    <row r="17" ht="15.75" customHeight="1">
      <c r="A17" s="6" t="str">
        <f>IFERROR(__xludf.DUMMYFUNCTION("""COMPUTED_VALUE"""),"0db57923d2182ad47e7480030a03e05da109b1bf")</f>
        <v>0db57923d2182ad47e7480030a03e05da109b1bf</v>
      </c>
      <c r="B17" s="6" t="str">
        <f>IFERROR(__xludf.DUMMYFUNCTION("""COMPUTED_VALUE"""),"The Ceo's Borrowed Beauty")</f>
        <v>The Ceo's Borrowed Beauty</v>
      </c>
      <c r="C17" s="6" t="str">
        <f>IFERROR(__xludf.DUMMYFUNCTION("""COMPUTED_VALUE"""),"Romance")</f>
        <v>Romance</v>
      </c>
      <c r="D17" s="11">
        <f>IFERROR(__xludf.DUMMYFUNCTION("""COMPUTED_VALUE"""),1343.0)</f>
        <v>1343</v>
      </c>
      <c r="E17" s="8">
        <f>IFERROR(__xludf.DUMMYFUNCTION("""COMPUTED_VALUE"""),0.975428145941921)</f>
        <v>0.9754281459</v>
      </c>
      <c r="F17" s="8">
        <f>IFERROR(__xludf.DUMMYFUNCTION("""COMPUTED_VALUE"""),0.507073715562174)</f>
        <v>0.5070737156</v>
      </c>
      <c r="G17" s="8">
        <f>IFERROR(__xludf.DUMMYFUNCTION("""COMPUTED_VALUE"""),0.449739389426656)</f>
        <v>0.4497393894</v>
      </c>
      <c r="H17" s="8">
        <f>IFERROR(__xludf.DUMMYFUNCTION("""COMPUTED_VALUE"""),0.399103139013452)</f>
        <v>0.399103139</v>
      </c>
      <c r="I17" s="8">
        <f>IFERROR(__xludf.DUMMYFUNCTION("""COMPUTED_VALUE"""),0.372475691847419)</f>
        <v>0.3724756918</v>
      </c>
      <c r="J17" s="8">
        <f>IFERROR(__xludf.DUMMYFUNCTION("""COMPUTED_VALUE"""),0.347076461769115)</f>
        <v>0.3470764618</v>
      </c>
      <c r="K17" s="8">
        <f>IFERROR(__xludf.DUMMYFUNCTION("""COMPUTED_VALUE"""),0.313578394598649)</f>
        <v>0.3135783946</v>
      </c>
      <c r="L17" s="8">
        <f>IFERROR(__xludf.DUMMYFUNCTION("""COMPUTED_VALUE"""),0.293221629855293)</f>
        <v>0.2932216299</v>
      </c>
      <c r="M17" s="8">
        <f>IFERROR(__xludf.DUMMYFUNCTION("""COMPUTED_VALUE"""),0.280701754385964)</f>
        <v>0.2807017544</v>
      </c>
      <c r="N17" s="8">
        <f>IFERROR(__xludf.DUMMYFUNCTION("""COMPUTED_VALUE"""),0.273635664873174)</f>
        <v>0.2736356649</v>
      </c>
      <c r="O17" s="8">
        <f>IFERROR(__xludf.DUMMYFUNCTION("""COMPUTED_VALUE"""),0.257680872150644)</f>
        <v>0.2576808722</v>
      </c>
      <c r="P17" s="8">
        <f>IFERROR(__xludf.DUMMYFUNCTION("""COMPUTED_VALUE"""),0.174193548387096)</f>
        <v>0.1741935484</v>
      </c>
      <c r="Q17" s="8">
        <f>IFERROR(__xludf.DUMMYFUNCTION("""COMPUTED_VALUE"""),0.266666666666666)</f>
        <v>0.2666666667</v>
      </c>
      <c r="R17" s="8">
        <f>IFERROR(__xludf.DUMMYFUNCTION("""COMPUTED_VALUE"""),0.25)</f>
        <v>0.25</v>
      </c>
      <c r="S17" s="8">
        <f>IFERROR(__xludf.DUMMYFUNCTION("""COMPUTED_VALUE"""),0.0)</f>
        <v>0</v>
      </c>
      <c r="T17" s="8">
        <f>IFERROR(__xludf.DUMMYFUNCTION("""COMPUTED_VALUE"""),0.0)</f>
        <v>0</v>
      </c>
      <c r="U17" s="8">
        <f>IFERROR(__xludf.DUMMYFUNCTION("""COMPUTED_VALUE"""),0.0)</f>
        <v>0</v>
      </c>
      <c r="V17" s="8">
        <f>IFERROR(__xludf.DUMMYFUNCTION("""COMPUTED_VALUE"""),0.0)</f>
        <v>0</v>
      </c>
      <c r="W17" s="8">
        <f>IFERROR(__xludf.DUMMYFUNCTION("""COMPUTED_VALUE"""),0.0)</f>
        <v>0</v>
      </c>
      <c r="X17" s="8">
        <f>IFERROR(__xludf.DUMMYFUNCTION("""COMPUTED_VALUE"""),0.0)</f>
        <v>0</v>
      </c>
      <c r="Y17" s="8">
        <f>IFERROR(__xludf.DUMMYFUNCTION("""COMPUTED_VALUE"""),0.0)</f>
        <v>0</v>
      </c>
      <c r="Z17" s="8">
        <f>IFERROR(__xludf.DUMMYFUNCTION("""COMPUTED_VALUE"""),0.0)</f>
        <v>0</v>
      </c>
      <c r="AA17" s="8">
        <f>IFERROR(__xludf.DUMMYFUNCTION("""COMPUTED_VALUE"""),0.0)</f>
        <v>0</v>
      </c>
      <c r="AB17" s="8">
        <f>IFERROR(__xludf.DUMMYFUNCTION("""COMPUTED_VALUE"""),0.0)</f>
        <v>0</v>
      </c>
      <c r="AC17" s="8">
        <f>IFERROR(__xludf.DUMMYFUNCTION("""COMPUTED_VALUE"""),0.0)</f>
        <v>0</v>
      </c>
    </row>
    <row r="18" ht="15.75" customHeight="1">
      <c r="A18" s="6" t="str">
        <f>IFERROR(__xludf.DUMMYFUNCTION("""COMPUTED_VALUE"""),"0f3d56fd651e66eb62e990fd31d006aa80eaab5f")</f>
        <v>0f3d56fd651e66eb62e990fd31d006aa80eaab5f</v>
      </c>
      <c r="B18" s="6" t="str">
        <f>IFERROR(__xludf.DUMMYFUNCTION("""COMPUTED_VALUE"""),"The Forsaken Tamer")</f>
        <v>The Forsaken Tamer</v>
      </c>
      <c r="C18" s="6" t="str">
        <f>IFERROR(__xludf.DUMMYFUNCTION("""COMPUTED_VALUE"""),"System and Superpower")</f>
        <v>System and Superpower</v>
      </c>
      <c r="D18" s="11">
        <f>IFERROR(__xludf.DUMMYFUNCTION("""COMPUTED_VALUE"""),71.0)</f>
        <v>71</v>
      </c>
      <c r="E18" s="8">
        <f>IFERROR(__xludf.DUMMYFUNCTION("""COMPUTED_VALUE"""),1.0)</f>
        <v>1</v>
      </c>
      <c r="F18" s="8">
        <f>IFERROR(__xludf.DUMMYFUNCTION("""COMPUTED_VALUE"""),0.605633802816901)</f>
        <v>0.6056338028</v>
      </c>
      <c r="G18" s="8">
        <f>IFERROR(__xludf.DUMMYFUNCTION("""COMPUTED_VALUE"""),0.549295774647887)</f>
        <v>0.5492957746</v>
      </c>
      <c r="H18" s="8">
        <f>IFERROR(__xludf.DUMMYFUNCTION("""COMPUTED_VALUE"""),0.476190476190476)</f>
        <v>0.4761904762</v>
      </c>
      <c r="I18" s="8">
        <f>IFERROR(__xludf.DUMMYFUNCTION("""COMPUTED_VALUE"""),0.403225806451612)</f>
        <v>0.4032258065</v>
      </c>
      <c r="J18" s="8">
        <f>IFERROR(__xludf.DUMMYFUNCTION("""COMPUTED_VALUE"""),0.358490566037735)</f>
        <v>0.358490566</v>
      </c>
      <c r="K18" s="8">
        <f>IFERROR(__xludf.DUMMYFUNCTION("""COMPUTED_VALUE"""),0.339622641509433)</f>
        <v>0.3396226415</v>
      </c>
      <c r="L18" s="8">
        <f>IFERROR(__xludf.DUMMYFUNCTION("""COMPUTED_VALUE"""),0.30188679245283)</f>
        <v>0.3018867925</v>
      </c>
      <c r="M18" s="8">
        <f>IFERROR(__xludf.DUMMYFUNCTION("""COMPUTED_VALUE"""),0.269230769230769)</f>
        <v>0.2692307692</v>
      </c>
      <c r="N18" s="8">
        <f>IFERROR(__xludf.DUMMYFUNCTION("""COMPUTED_VALUE"""),0.25)</f>
        <v>0.25</v>
      </c>
      <c r="O18" s="8">
        <f>IFERROR(__xludf.DUMMYFUNCTION("""COMPUTED_VALUE"""),0.153846153846153)</f>
        <v>0.1538461538</v>
      </c>
      <c r="P18" s="8">
        <f>IFERROR(__xludf.DUMMYFUNCTION("""COMPUTED_VALUE"""),0.0576923076923076)</f>
        <v>0.05769230769</v>
      </c>
      <c r="Q18" s="8">
        <f>IFERROR(__xludf.DUMMYFUNCTION("""COMPUTED_VALUE"""),0.0392156862745098)</f>
        <v>0.03921568627</v>
      </c>
      <c r="R18" s="8">
        <f>IFERROR(__xludf.DUMMYFUNCTION("""COMPUTED_VALUE"""),0.0227272727272727)</f>
        <v>0.02272727273</v>
      </c>
      <c r="S18" s="8">
        <f>IFERROR(__xludf.DUMMYFUNCTION("""COMPUTED_VALUE"""),0.0)</f>
        <v>0</v>
      </c>
      <c r="T18" s="8">
        <f>IFERROR(__xludf.DUMMYFUNCTION("""COMPUTED_VALUE"""),0.0)</f>
        <v>0</v>
      </c>
      <c r="U18" s="8">
        <f>IFERROR(__xludf.DUMMYFUNCTION("""COMPUTED_VALUE"""),0.0)</f>
        <v>0</v>
      </c>
      <c r="V18" s="8">
        <f>IFERROR(__xludf.DUMMYFUNCTION("""COMPUTED_VALUE"""),0.0)</f>
        <v>0</v>
      </c>
      <c r="W18" s="8">
        <f>IFERROR(__xludf.DUMMYFUNCTION("""COMPUTED_VALUE"""),0.0)</f>
        <v>0</v>
      </c>
      <c r="X18" s="8">
        <f>IFERROR(__xludf.DUMMYFUNCTION("""COMPUTED_VALUE"""),0.0)</f>
        <v>0</v>
      </c>
      <c r="Y18" s="8">
        <f>IFERROR(__xludf.DUMMYFUNCTION("""COMPUTED_VALUE"""),0.0)</f>
        <v>0</v>
      </c>
      <c r="Z18" s="8">
        <f>IFERROR(__xludf.DUMMYFUNCTION("""COMPUTED_VALUE"""),0.0)</f>
        <v>0</v>
      </c>
      <c r="AA18" s="8">
        <f>IFERROR(__xludf.DUMMYFUNCTION("""COMPUTED_VALUE"""),0.0)</f>
        <v>0</v>
      </c>
      <c r="AB18" s="8">
        <f>IFERROR(__xludf.DUMMYFUNCTION("""COMPUTED_VALUE"""),0.0)</f>
        <v>0</v>
      </c>
      <c r="AC18" s="8">
        <f>IFERROR(__xludf.DUMMYFUNCTION("""COMPUTED_VALUE"""),0.0)</f>
        <v>0</v>
      </c>
    </row>
    <row r="19" ht="15.75" customHeight="1">
      <c r="A19" s="6" t="str">
        <f>IFERROR(__xludf.DUMMYFUNCTION("""COMPUTED_VALUE"""),"0fadc6da7c4d814463023dc7ffd8be44c68fa457")</f>
        <v>0fadc6da7c4d814463023dc7ffd8be44c68fa457</v>
      </c>
      <c r="B19" s="6" t="str">
        <f>IFERROR(__xludf.DUMMYFUNCTION("""COMPUTED_VALUE"""),"From Ceo to Young Lord")</f>
        <v>From Ceo to Young Lord</v>
      </c>
      <c r="C19" s="6" t="str">
        <f>IFERROR(__xludf.DUMMYFUNCTION("""COMPUTED_VALUE"""),"Fantasy")</f>
        <v>Fantasy</v>
      </c>
      <c r="D19" s="11">
        <f>IFERROR(__xludf.DUMMYFUNCTION("""COMPUTED_VALUE"""),221.0)</f>
        <v>221</v>
      </c>
      <c r="E19" s="8">
        <f>IFERROR(__xludf.DUMMYFUNCTION("""COMPUTED_VALUE"""),0.963800904977375)</f>
        <v>0.963800905</v>
      </c>
      <c r="F19" s="8">
        <f>IFERROR(__xludf.DUMMYFUNCTION("""COMPUTED_VALUE"""),0.710407239819004)</f>
        <v>0.7104072398</v>
      </c>
      <c r="G19" s="8">
        <f>IFERROR(__xludf.DUMMYFUNCTION("""COMPUTED_VALUE"""),0.67420814479638)</f>
        <v>0.6742081448</v>
      </c>
      <c r="H19" s="8">
        <f>IFERROR(__xludf.DUMMYFUNCTION("""COMPUTED_VALUE"""),0.67420814479638)</f>
        <v>0.6742081448</v>
      </c>
      <c r="I19" s="8">
        <f>IFERROR(__xludf.DUMMYFUNCTION("""COMPUTED_VALUE"""),0.619909502262443)</f>
        <v>0.6199095023</v>
      </c>
      <c r="J19" s="8">
        <f>IFERROR(__xludf.DUMMYFUNCTION("""COMPUTED_VALUE"""),0.597285067873303)</f>
        <v>0.5972850679</v>
      </c>
      <c r="K19" s="8">
        <f>IFERROR(__xludf.DUMMYFUNCTION("""COMPUTED_VALUE"""),0.588235294117647)</f>
        <v>0.5882352941</v>
      </c>
      <c r="L19" s="8">
        <f>IFERROR(__xludf.DUMMYFUNCTION("""COMPUTED_VALUE"""),0.547511312217194)</f>
        <v>0.5475113122</v>
      </c>
      <c r="M19" s="8">
        <f>IFERROR(__xludf.DUMMYFUNCTION("""COMPUTED_VALUE"""),0.506787330316742)</f>
        <v>0.5067873303</v>
      </c>
      <c r="N19" s="8">
        <f>IFERROR(__xludf.DUMMYFUNCTION("""COMPUTED_VALUE"""),0.497737556561086)</f>
        <v>0.4977375566</v>
      </c>
      <c r="O19" s="8">
        <f>IFERROR(__xludf.DUMMYFUNCTION("""COMPUTED_VALUE"""),0.429864253393665)</f>
        <v>0.4298642534</v>
      </c>
      <c r="P19" s="8">
        <f>IFERROR(__xludf.DUMMYFUNCTION("""COMPUTED_VALUE"""),0.301369863013698)</f>
        <v>0.301369863</v>
      </c>
      <c r="Q19" s="8">
        <f>IFERROR(__xludf.DUMMYFUNCTION("""COMPUTED_VALUE"""),0.190082644628099)</f>
        <v>0.1900826446</v>
      </c>
      <c r="R19" s="8">
        <f>IFERROR(__xludf.DUMMYFUNCTION("""COMPUTED_VALUE"""),0.115384615384615)</f>
        <v>0.1153846154</v>
      </c>
      <c r="S19" s="8">
        <f>IFERROR(__xludf.DUMMYFUNCTION("""COMPUTED_VALUE"""),0.0)</f>
        <v>0</v>
      </c>
      <c r="T19" s="8">
        <f>IFERROR(__xludf.DUMMYFUNCTION("""COMPUTED_VALUE"""),0.0)</f>
        <v>0</v>
      </c>
      <c r="U19" s="8">
        <f>IFERROR(__xludf.DUMMYFUNCTION("""COMPUTED_VALUE"""),0.0)</f>
        <v>0</v>
      </c>
      <c r="V19" s="8">
        <f>IFERROR(__xludf.DUMMYFUNCTION("""COMPUTED_VALUE"""),0.0)</f>
        <v>0</v>
      </c>
      <c r="W19" s="8">
        <f>IFERROR(__xludf.DUMMYFUNCTION("""COMPUTED_VALUE"""),0.0)</f>
        <v>0</v>
      </c>
      <c r="X19" s="8">
        <f>IFERROR(__xludf.DUMMYFUNCTION("""COMPUTED_VALUE"""),0.0)</f>
        <v>0</v>
      </c>
      <c r="Y19" s="8">
        <f>IFERROR(__xludf.DUMMYFUNCTION("""COMPUTED_VALUE"""),0.0)</f>
        <v>0</v>
      </c>
      <c r="Z19" s="8">
        <f>IFERROR(__xludf.DUMMYFUNCTION("""COMPUTED_VALUE"""),0.0)</f>
        <v>0</v>
      </c>
      <c r="AA19" s="8">
        <f>IFERROR(__xludf.DUMMYFUNCTION("""COMPUTED_VALUE"""),0.0)</f>
        <v>0</v>
      </c>
      <c r="AB19" s="8">
        <f>IFERROR(__xludf.DUMMYFUNCTION("""COMPUTED_VALUE"""),0.0)</f>
        <v>0</v>
      </c>
      <c r="AC19" s="8">
        <f>IFERROR(__xludf.DUMMYFUNCTION("""COMPUTED_VALUE"""),0.0)</f>
        <v>0</v>
      </c>
    </row>
    <row r="20" ht="15.75" customHeight="1">
      <c r="A20" s="6" t="str">
        <f>IFERROR(__xludf.DUMMYFUNCTION("""COMPUTED_VALUE"""),"114fed9f0540f90ccc58d03a383c7c69260baeae")</f>
        <v>114fed9f0540f90ccc58d03a383c7c69260baeae</v>
      </c>
      <c r="B20" s="6" t="str">
        <f>IFERROR(__xludf.DUMMYFUNCTION("""COMPUTED_VALUE"""),"Mother's Murder &amp; Secrets")</f>
        <v>Mother's Murder &amp; Secrets</v>
      </c>
      <c r="C20" s="6" t="str">
        <f>IFERROR(__xludf.DUMMYFUNCTION("""COMPUTED_VALUE"""),"Suspense or Thriller")</f>
        <v>Suspense or Thriller</v>
      </c>
      <c r="D20" s="11">
        <f>IFERROR(__xludf.DUMMYFUNCTION("""COMPUTED_VALUE"""),440.0)</f>
        <v>440</v>
      </c>
      <c r="E20" s="8">
        <f>IFERROR(__xludf.DUMMYFUNCTION("""COMPUTED_VALUE"""),0.979545454545454)</f>
        <v>0.9795454545</v>
      </c>
      <c r="F20" s="8">
        <f>IFERROR(__xludf.DUMMYFUNCTION("""COMPUTED_VALUE"""),0.443181818181818)</f>
        <v>0.4431818182</v>
      </c>
      <c r="G20" s="8">
        <f>IFERROR(__xludf.DUMMYFUNCTION("""COMPUTED_VALUE"""),0.381818181818181)</f>
        <v>0.3818181818</v>
      </c>
      <c r="H20" s="8">
        <f>IFERROR(__xludf.DUMMYFUNCTION("""COMPUTED_VALUE"""),0.302272727272727)</f>
        <v>0.3022727273</v>
      </c>
      <c r="I20" s="8">
        <f>IFERROR(__xludf.DUMMYFUNCTION("""COMPUTED_VALUE"""),0.272727272727272)</f>
        <v>0.2727272727</v>
      </c>
      <c r="J20" s="8">
        <f>IFERROR(__xludf.DUMMYFUNCTION("""COMPUTED_VALUE"""),0.25)</f>
        <v>0.25</v>
      </c>
      <c r="K20" s="8">
        <f>IFERROR(__xludf.DUMMYFUNCTION("""COMPUTED_VALUE"""),0.220454545454545)</f>
        <v>0.2204545455</v>
      </c>
      <c r="L20" s="8">
        <f>IFERROR(__xludf.DUMMYFUNCTION("""COMPUTED_VALUE"""),0.204545454545454)</f>
        <v>0.2045454545</v>
      </c>
      <c r="M20" s="8">
        <f>IFERROR(__xludf.DUMMYFUNCTION("""COMPUTED_VALUE"""),0.186363636363636)</f>
        <v>0.1863636364</v>
      </c>
      <c r="N20" s="8">
        <f>IFERROR(__xludf.DUMMYFUNCTION("""COMPUTED_VALUE"""),0.175398633257403)</f>
        <v>0.1753986333</v>
      </c>
      <c r="O20" s="8">
        <f>IFERROR(__xludf.DUMMYFUNCTION("""COMPUTED_VALUE"""),0.128146453089244)</f>
        <v>0.1281464531</v>
      </c>
      <c r="P20" s="8">
        <f>IFERROR(__xludf.DUMMYFUNCTION("""COMPUTED_VALUE"""),0.091743119266055)</f>
        <v>0.09174311927</v>
      </c>
      <c r="Q20" s="8">
        <f>IFERROR(__xludf.DUMMYFUNCTION("""COMPUTED_VALUE"""),0.0560747663551401)</f>
        <v>0.05607476636</v>
      </c>
      <c r="R20" s="8">
        <f>IFERROR(__xludf.DUMMYFUNCTION("""COMPUTED_VALUE"""),0.0404761904761904)</f>
        <v>0.04047619048</v>
      </c>
      <c r="S20" s="8">
        <f>IFERROR(__xludf.DUMMYFUNCTION("""COMPUTED_VALUE"""),0.0217917675544794)</f>
        <v>0.02179176755</v>
      </c>
      <c r="T20" s="8">
        <f>IFERROR(__xludf.DUMMYFUNCTION("""COMPUTED_VALUE"""),0.0149253731343283)</f>
        <v>0.01492537313</v>
      </c>
      <c r="U20" s="8">
        <f>IFERROR(__xludf.DUMMYFUNCTION("""COMPUTED_VALUE"""),0.00840336134453781)</f>
        <v>0.008403361345</v>
      </c>
      <c r="V20" s="8">
        <f>IFERROR(__xludf.DUMMYFUNCTION("""COMPUTED_VALUE"""),0.03125)</f>
        <v>0.03125</v>
      </c>
      <c r="W20" s="8">
        <f>IFERROR(__xludf.DUMMYFUNCTION("""COMPUTED_VALUE"""),0.0)</f>
        <v>0</v>
      </c>
      <c r="X20" s="8">
        <f>IFERROR(__xludf.DUMMYFUNCTION("""COMPUTED_VALUE"""),0.0)</f>
        <v>0</v>
      </c>
      <c r="Y20" s="8">
        <f>IFERROR(__xludf.DUMMYFUNCTION("""COMPUTED_VALUE"""),0.0)</f>
        <v>0</v>
      </c>
      <c r="Z20" s="8">
        <f>IFERROR(__xludf.DUMMYFUNCTION("""COMPUTED_VALUE"""),0.0)</f>
        <v>0</v>
      </c>
      <c r="AA20" s="8">
        <f>IFERROR(__xludf.DUMMYFUNCTION("""COMPUTED_VALUE"""),0.0)</f>
        <v>0</v>
      </c>
      <c r="AB20" s="8">
        <f>IFERROR(__xludf.DUMMYFUNCTION("""COMPUTED_VALUE"""),0.0)</f>
        <v>0</v>
      </c>
      <c r="AC20" s="8">
        <f>IFERROR(__xludf.DUMMYFUNCTION("""COMPUTED_VALUE"""),0.0)</f>
        <v>0</v>
      </c>
    </row>
    <row r="21" ht="15.75" customHeight="1">
      <c r="A21" s="6" t="str">
        <f>IFERROR(__xludf.DUMMYFUNCTION("""COMPUTED_VALUE"""),"123964565c4c79c7f1a3737171a0125020300913")</f>
        <v>123964565c4c79c7f1a3737171a0125020300913</v>
      </c>
      <c r="B21" s="6" t="str">
        <f>IFERROR(__xludf.DUMMYFUNCTION("""COMPUTED_VALUE"""),"My Alien Boxing System")</f>
        <v>My Alien Boxing System</v>
      </c>
      <c r="C21" s="6" t="str">
        <f>IFERROR(__xludf.DUMMYFUNCTION("""COMPUTED_VALUE"""),"Fantasy")</f>
        <v>Fantasy</v>
      </c>
      <c r="D21" s="11">
        <f>IFERROR(__xludf.DUMMYFUNCTION("""COMPUTED_VALUE"""),32.0)</f>
        <v>32</v>
      </c>
      <c r="E21" s="8">
        <f>IFERROR(__xludf.DUMMYFUNCTION("""COMPUTED_VALUE"""),1.0)</f>
        <v>1</v>
      </c>
      <c r="F21" s="8">
        <f>IFERROR(__xludf.DUMMYFUNCTION("""COMPUTED_VALUE"""),0.5625)</f>
        <v>0.5625</v>
      </c>
      <c r="G21" s="8">
        <f>IFERROR(__xludf.DUMMYFUNCTION("""COMPUTED_VALUE"""),0.53125)</f>
        <v>0.53125</v>
      </c>
      <c r="H21" s="8">
        <f>IFERROR(__xludf.DUMMYFUNCTION("""COMPUTED_VALUE"""),0.5)</f>
        <v>0.5</v>
      </c>
      <c r="I21" s="8">
        <f>IFERROR(__xludf.DUMMYFUNCTION("""COMPUTED_VALUE"""),0.46875)</f>
        <v>0.46875</v>
      </c>
      <c r="J21" s="8">
        <f>IFERROR(__xludf.DUMMYFUNCTION("""COMPUTED_VALUE"""),0.4375)</f>
        <v>0.4375</v>
      </c>
      <c r="K21" s="8">
        <f>IFERROR(__xludf.DUMMYFUNCTION("""COMPUTED_VALUE"""),0.40625)</f>
        <v>0.40625</v>
      </c>
      <c r="L21" s="8">
        <f>IFERROR(__xludf.DUMMYFUNCTION("""COMPUTED_VALUE"""),0.40625)</f>
        <v>0.40625</v>
      </c>
      <c r="M21" s="8">
        <f>IFERROR(__xludf.DUMMYFUNCTION("""COMPUTED_VALUE"""),0.375)</f>
        <v>0.375</v>
      </c>
      <c r="N21" s="8">
        <f>IFERROR(__xludf.DUMMYFUNCTION("""COMPUTED_VALUE"""),0.3125)</f>
        <v>0.3125</v>
      </c>
      <c r="O21" s="8">
        <f>IFERROR(__xludf.DUMMYFUNCTION("""COMPUTED_VALUE"""),0.290322580645161)</f>
        <v>0.2903225806</v>
      </c>
      <c r="P21" s="8">
        <f>IFERROR(__xludf.DUMMYFUNCTION("""COMPUTED_VALUE"""),0.1)</f>
        <v>0.1</v>
      </c>
      <c r="Q21" s="8">
        <f>IFERROR(__xludf.DUMMYFUNCTION("""COMPUTED_VALUE"""),0.0)</f>
        <v>0</v>
      </c>
      <c r="R21" s="8">
        <f>IFERROR(__xludf.DUMMYFUNCTION("""COMPUTED_VALUE"""),0.0)</f>
        <v>0</v>
      </c>
      <c r="S21" s="8">
        <f>IFERROR(__xludf.DUMMYFUNCTION("""COMPUTED_VALUE"""),0.0)</f>
        <v>0</v>
      </c>
      <c r="T21" s="8">
        <f>IFERROR(__xludf.DUMMYFUNCTION("""COMPUTED_VALUE"""),0.0)</f>
        <v>0</v>
      </c>
      <c r="U21" s="8">
        <f>IFERROR(__xludf.DUMMYFUNCTION("""COMPUTED_VALUE"""),0.0)</f>
        <v>0</v>
      </c>
      <c r="V21" s="8">
        <f>IFERROR(__xludf.DUMMYFUNCTION("""COMPUTED_VALUE"""),0.0)</f>
        <v>0</v>
      </c>
      <c r="W21" s="8">
        <f>IFERROR(__xludf.DUMMYFUNCTION("""COMPUTED_VALUE"""),0.0)</f>
        <v>0</v>
      </c>
      <c r="X21" s="8">
        <f>IFERROR(__xludf.DUMMYFUNCTION("""COMPUTED_VALUE"""),0.0)</f>
        <v>0</v>
      </c>
      <c r="Y21" s="8">
        <f>IFERROR(__xludf.DUMMYFUNCTION("""COMPUTED_VALUE"""),0.0)</f>
        <v>0</v>
      </c>
      <c r="Z21" s="8">
        <f>IFERROR(__xludf.DUMMYFUNCTION("""COMPUTED_VALUE"""),0.0)</f>
        <v>0</v>
      </c>
      <c r="AA21" s="8">
        <f>IFERROR(__xludf.DUMMYFUNCTION("""COMPUTED_VALUE"""),0.0)</f>
        <v>0</v>
      </c>
      <c r="AB21" s="8">
        <f>IFERROR(__xludf.DUMMYFUNCTION("""COMPUTED_VALUE"""),0.0)</f>
        <v>0</v>
      </c>
      <c r="AC21" s="8">
        <f>IFERROR(__xludf.DUMMYFUNCTION("""COMPUTED_VALUE"""),0.0)</f>
        <v>0</v>
      </c>
    </row>
    <row r="22" ht="15.75" customHeight="1">
      <c r="A22" s="6" t="str">
        <f>IFERROR(__xludf.DUMMYFUNCTION("""COMPUTED_VALUE"""),"158669d764d53a995f111683b8700642d7c4847c")</f>
        <v>158669d764d53a995f111683b8700642d7c4847c</v>
      </c>
      <c r="B22" s="6" t="str">
        <f>IFERROR(__xludf.DUMMYFUNCTION("""COMPUTED_VALUE"""),"The Silent Wife Strikes")</f>
        <v>The Silent Wife Strikes</v>
      </c>
      <c r="C22" s="6" t="str">
        <f>IFERROR(__xludf.DUMMYFUNCTION("""COMPUTED_VALUE"""),"Romance")</f>
        <v>Romance</v>
      </c>
      <c r="D22" s="11">
        <f>IFERROR(__xludf.DUMMYFUNCTION("""COMPUTED_VALUE"""),129.0)</f>
        <v>129</v>
      </c>
      <c r="E22" s="8">
        <f>IFERROR(__xludf.DUMMYFUNCTION("""COMPUTED_VALUE"""),0.914728682170542)</f>
        <v>0.9147286822</v>
      </c>
      <c r="F22" s="8">
        <f>IFERROR(__xludf.DUMMYFUNCTION("""COMPUTED_VALUE"""),0.573643410852713)</f>
        <v>0.5736434109</v>
      </c>
      <c r="G22" s="8">
        <f>IFERROR(__xludf.DUMMYFUNCTION("""COMPUTED_VALUE"""),0.527131782945736)</f>
        <v>0.5271317829</v>
      </c>
      <c r="H22" s="8">
        <f>IFERROR(__xludf.DUMMYFUNCTION("""COMPUTED_VALUE"""),0.434108527131782)</f>
        <v>0.4341085271</v>
      </c>
      <c r="I22" s="8">
        <f>IFERROR(__xludf.DUMMYFUNCTION("""COMPUTED_VALUE"""),0.426356589147286)</f>
        <v>0.4263565891</v>
      </c>
      <c r="J22" s="8">
        <f>IFERROR(__xludf.DUMMYFUNCTION("""COMPUTED_VALUE"""),0.348837209302325)</f>
        <v>0.3488372093</v>
      </c>
      <c r="K22" s="8">
        <f>IFERROR(__xludf.DUMMYFUNCTION("""COMPUTED_VALUE"""),0.426356589147286)</f>
        <v>0.4263565891</v>
      </c>
      <c r="L22" s="8">
        <f>IFERROR(__xludf.DUMMYFUNCTION("""COMPUTED_VALUE"""),0.3203125)</f>
        <v>0.3203125</v>
      </c>
      <c r="M22" s="8">
        <f>IFERROR(__xludf.DUMMYFUNCTION("""COMPUTED_VALUE"""),0.3671875)</f>
        <v>0.3671875</v>
      </c>
      <c r="N22" s="8">
        <f>IFERROR(__xludf.DUMMYFUNCTION("""COMPUTED_VALUE"""),0.322834645669291)</f>
        <v>0.3228346457</v>
      </c>
      <c r="O22" s="8">
        <f>IFERROR(__xludf.DUMMYFUNCTION("""COMPUTED_VALUE"""),0.302521008403361)</f>
        <v>0.3025210084</v>
      </c>
      <c r="P22" s="8">
        <f>IFERROR(__xludf.DUMMYFUNCTION("""COMPUTED_VALUE"""),0.169491525423728)</f>
        <v>0.1694915254</v>
      </c>
      <c r="Q22" s="8">
        <f>IFERROR(__xludf.DUMMYFUNCTION("""COMPUTED_VALUE"""),0.142857142857142)</f>
        <v>0.1428571429</v>
      </c>
      <c r="R22" s="8">
        <f>IFERROR(__xludf.DUMMYFUNCTION("""COMPUTED_VALUE"""),0.0235294117647058)</f>
        <v>0.02352941176</v>
      </c>
      <c r="S22" s="8">
        <f>IFERROR(__xludf.DUMMYFUNCTION("""COMPUTED_VALUE"""),0.0)</f>
        <v>0</v>
      </c>
      <c r="T22" s="8">
        <f>IFERROR(__xludf.DUMMYFUNCTION("""COMPUTED_VALUE"""),0.0)</f>
        <v>0</v>
      </c>
      <c r="U22" s="8">
        <f>IFERROR(__xludf.DUMMYFUNCTION("""COMPUTED_VALUE"""),0.0)</f>
        <v>0</v>
      </c>
      <c r="V22" s="8">
        <f>IFERROR(__xludf.DUMMYFUNCTION("""COMPUTED_VALUE"""),0.0)</f>
        <v>0</v>
      </c>
      <c r="W22" s="8">
        <f>IFERROR(__xludf.DUMMYFUNCTION("""COMPUTED_VALUE"""),0.0)</f>
        <v>0</v>
      </c>
      <c r="X22" s="8">
        <f>IFERROR(__xludf.DUMMYFUNCTION("""COMPUTED_VALUE"""),0.0)</f>
        <v>0</v>
      </c>
      <c r="Y22" s="8">
        <f>IFERROR(__xludf.DUMMYFUNCTION("""COMPUTED_VALUE"""),0.0)</f>
        <v>0</v>
      </c>
      <c r="Z22" s="8">
        <f>IFERROR(__xludf.DUMMYFUNCTION("""COMPUTED_VALUE"""),0.0)</f>
        <v>0</v>
      </c>
      <c r="AA22" s="8">
        <f>IFERROR(__xludf.DUMMYFUNCTION("""COMPUTED_VALUE"""),0.0)</f>
        <v>0</v>
      </c>
      <c r="AB22" s="8">
        <f>IFERROR(__xludf.DUMMYFUNCTION("""COMPUTED_VALUE"""),0.0)</f>
        <v>0</v>
      </c>
      <c r="AC22" s="8">
        <f>IFERROR(__xludf.DUMMYFUNCTION("""COMPUTED_VALUE"""),0.0)</f>
        <v>0</v>
      </c>
    </row>
    <row r="23" ht="15.75" customHeight="1">
      <c r="A23" s="6" t="str">
        <f>IFERROR(__xludf.DUMMYFUNCTION("""COMPUTED_VALUE"""),"170bf0ee514e18fe892383ebee0f53a0f634136f")</f>
        <v>170bf0ee514e18fe892383ebee0f53a0f634136f</v>
      </c>
      <c r="B23" s="6" t="str">
        <f>IFERROR(__xludf.DUMMYFUNCTION("""COMPUTED_VALUE"""),"Started From the Bottom")</f>
        <v>Started From the Bottom</v>
      </c>
      <c r="C23" s="6" t="str">
        <f>IFERROR(__xludf.DUMMYFUNCTION("""COMPUTED_VALUE"""),"Drama")</f>
        <v>Drama</v>
      </c>
      <c r="D23" s="11">
        <f>IFERROR(__xludf.DUMMYFUNCTION("""COMPUTED_VALUE"""),8.0)</f>
        <v>8</v>
      </c>
      <c r="E23" s="8">
        <f>IFERROR(__xludf.DUMMYFUNCTION("""COMPUTED_VALUE"""),1.0)</f>
        <v>1</v>
      </c>
      <c r="F23" s="8">
        <f>IFERROR(__xludf.DUMMYFUNCTION("""COMPUTED_VALUE"""),0.125)</f>
        <v>0.125</v>
      </c>
      <c r="G23" s="8">
        <f>IFERROR(__xludf.DUMMYFUNCTION("""COMPUTED_VALUE"""),0.125)</f>
        <v>0.125</v>
      </c>
      <c r="H23" s="8">
        <f>IFERROR(__xludf.DUMMYFUNCTION("""COMPUTED_VALUE"""),0.125)</f>
        <v>0.125</v>
      </c>
      <c r="I23" s="8">
        <f>IFERROR(__xludf.DUMMYFUNCTION("""COMPUTED_VALUE"""),0.125)</f>
        <v>0.125</v>
      </c>
      <c r="J23" s="8">
        <f>IFERROR(__xludf.DUMMYFUNCTION("""COMPUTED_VALUE"""),0.142857142857142)</f>
        <v>0.1428571429</v>
      </c>
      <c r="K23" s="8">
        <f>IFERROR(__xludf.DUMMYFUNCTION("""COMPUTED_VALUE"""),0.142857142857142)</f>
        <v>0.1428571429</v>
      </c>
      <c r="L23" s="8">
        <f>IFERROR(__xludf.DUMMYFUNCTION("""COMPUTED_VALUE"""),0.142857142857142)</f>
        <v>0.1428571429</v>
      </c>
      <c r="M23" s="8">
        <f>IFERROR(__xludf.DUMMYFUNCTION("""COMPUTED_VALUE"""),0.166666666666666)</f>
        <v>0.1666666667</v>
      </c>
      <c r="N23" s="8">
        <f>IFERROR(__xludf.DUMMYFUNCTION("""COMPUTED_VALUE"""),0.166666666666666)</f>
        <v>0.1666666667</v>
      </c>
      <c r="O23" s="8">
        <f>IFERROR(__xludf.DUMMYFUNCTION("""COMPUTED_VALUE"""),0.2)</f>
        <v>0.2</v>
      </c>
      <c r="P23" s="8">
        <f>IFERROR(__xludf.DUMMYFUNCTION("""COMPUTED_VALUE"""),0.2)</f>
        <v>0.2</v>
      </c>
      <c r="Q23" s="8">
        <f>IFERROR(__xludf.DUMMYFUNCTION("""COMPUTED_VALUE"""),0.25)</f>
        <v>0.25</v>
      </c>
      <c r="R23" s="8">
        <f>IFERROR(__xludf.DUMMYFUNCTION("""COMPUTED_VALUE"""),0.333333333333333)</f>
        <v>0.3333333333</v>
      </c>
      <c r="S23" s="8">
        <f>IFERROR(__xludf.DUMMYFUNCTION("""COMPUTED_VALUE"""),0.0)</f>
        <v>0</v>
      </c>
      <c r="T23" s="8">
        <f>IFERROR(__xludf.DUMMYFUNCTION("""COMPUTED_VALUE"""),0.0)</f>
        <v>0</v>
      </c>
      <c r="U23" s="8">
        <f>IFERROR(__xludf.DUMMYFUNCTION("""COMPUTED_VALUE"""),0.0)</f>
        <v>0</v>
      </c>
      <c r="V23" s="8">
        <f>IFERROR(__xludf.DUMMYFUNCTION("""COMPUTED_VALUE"""),0.0)</f>
        <v>0</v>
      </c>
      <c r="W23" s="8">
        <f>IFERROR(__xludf.DUMMYFUNCTION("""COMPUTED_VALUE"""),0.0)</f>
        <v>0</v>
      </c>
      <c r="X23" s="8">
        <f>IFERROR(__xludf.DUMMYFUNCTION("""COMPUTED_VALUE"""),0.0)</f>
        <v>0</v>
      </c>
      <c r="Y23" s="8">
        <f>IFERROR(__xludf.DUMMYFUNCTION("""COMPUTED_VALUE"""),0.0)</f>
        <v>0</v>
      </c>
      <c r="Z23" s="8">
        <f>IFERROR(__xludf.DUMMYFUNCTION("""COMPUTED_VALUE"""),0.0)</f>
        <v>0</v>
      </c>
      <c r="AA23" s="8">
        <f>IFERROR(__xludf.DUMMYFUNCTION("""COMPUTED_VALUE"""),0.0)</f>
        <v>0</v>
      </c>
      <c r="AB23" s="8">
        <f>IFERROR(__xludf.DUMMYFUNCTION("""COMPUTED_VALUE"""),0.0)</f>
        <v>0</v>
      </c>
      <c r="AC23" s="8">
        <f>IFERROR(__xludf.DUMMYFUNCTION("""COMPUTED_VALUE"""),0.0)</f>
        <v>0</v>
      </c>
    </row>
    <row r="24" ht="15.75" customHeight="1">
      <c r="A24" s="6" t="str">
        <f>IFERROR(__xludf.DUMMYFUNCTION("""COMPUTED_VALUE"""),"184b660f61809850b4478d5bf89e9d10794578ee")</f>
        <v>184b660f61809850b4478d5bf89e9d10794578ee</v>
      </c>
      <c r="B24" s="6" t="str">
        <f>IFERROR(__xludf.DUMMYFUNCTION("""COMPUTED_VALUE"""),"Playing with Fire")</f>
        <v>Playing with Fire</v>
      </c>
      <c r="C24" s="6" t="str">
        <f>IFERROR(__xludf.DUMMYFUNCTION("""COMPUTED_VALUE"""),"Romance")</f>
        <v>Romance</v>
      </c>
      <c r="D24" s="11">
        <f>IFERROR(__xludf.DUMMYFUNCTION("""COMPUTED_VALUE"""),28.0)</f>
        <v>28</v>
      </c>
      <c r="E24" s="8">
        <f>IFERROR(__xludf.DUMMYFUNCTION("""COMPUTED_VALUE"""),0.928571428571428)</f>
        <v>0.9285714286</v>
      </c>
      <c r="F24" s="8">
        <f>IFERROR(__xludf.DUMMYFUNCTION("""COMPUTED_VALUE"""),0.535714285714285)</f>
        <v>0.5357142857</v>
      </c>
      <c r="G24" s="8">
        <f>IFERROR(__xludf.DUMMYFUNCTION("""COMPUTED_VALUE"""),0.464285714285714)</f>
        <v>0.4642857143</v>
      </c>
      <c r="H24" s="8">
        <f>IFERROR(__xludf.DUMMYFUNCTION("""COMPUTED_VALUE"""),0.464285714285714)</f>
        <v>0.4642857143</v>
      </c>
      <c r="I24" s="8">
        <f>IFERROR(__xludf.DUMMYFUNCTION("""COMPUTED_VALUE"""),0.357142857142857)</f>
        <v>0.3571428571</v>
      </c>
      <c r="J24" s="8">
        <f>IFERROR(__xludf.DUMMYFUNCTION("""COMPUTED_VALUE"""),0.321428571428571)</f>
        <v>0.3214285714</v>
      </c>
      <c r="K24" s="8">
        <f>IFERROR(__xludf.DUMMYFUNCTION("""COMPUTED_VALUE"""),0.357142857142857)</f>
        <v>0.3571428571</v>
      </c>
      <c r="L24" s="8">
        <f>IFERROR(__xludf.DUMMYFUNCTION("""COMPUTED_VALUE"""),0.259259259259259)</f>
        <v>0.2592592593</v>
      </c>
      <c r="M24" s="8">
        <f>IFERROR(__xludf.DUMMYFUNCTION("""COMPUTED_VALUE"""),0.296296296296296)</f>
        <v>0.2962962963</v>
      </c>
      <c r="N24" s="8">
        <f>IFERROR(__xludf.DUMMYFUNCTION("""COMPUTED_VALUE"""),0.296296296296296)</f>
        <v>0.2962962963</v>
      </c>
      <c r="O24" s="8">
        <f>IFERROR(__xludf.DUMMYFUNCTION("""COMPUTED_VALUE"""),0.222222222222222)</f>
        <v>0.2222222222</v>
      </c>
      <c r="P24" s="8">
        <f>IFERROR(__xludf.DUMMYFUNCTION("""COMPUTED_VALUE"""),0.185185185185185)</f>
        <v>0.1851851852</v>
      </c>
      <c r="Q24" s="8">
        <f>IFERROR(__xludf.DUMMYFUNCTION("""COMPUTED_VALUE"""),0.0)</f>
        <v>0</v>
      </c>
      <c r="R24" s="8">
        <f>IFERROR(__xludf.DUMMYFUNCTION("""COMPUTED_VALUE"""),0.0)</f>
        <v>0</v>
      </c>
      <c r="S24" s="8">
        <f>IFERROR(__xludf.DUMMYFUNCTION("""COMPUTED_VALUE"""),0.0)</f>
        <v>0</v>
      </c>
      <c r="T24" s="8">
        <f>IFERROR(__xludf.DUMMYFUNCTION("""COMPUTED_VALUE"""),0.0)</f>
        <v>0</v>
      </c>
      <c r="U24" s="8">
        <f>IFERROR(__xludf.DUMMYFUNCTION("""COMPUTED_VALUE"""),0.0)</f>
        <v>0</v>
      </c>
      <c r="V24" s="8">
        <f>IFERROR(__xludf.DUMMYFUNCTION("""COMPUTED_VALUE"""),0.0)</f>
        <v>0</v>
      </c>
      <c r="W24" s="8">
        <f>IFERROR(__xludf.DUMMYFUNCTION("""COMPUTED_VALUE"""),0.0)</f>
        <v>0</v>
      </c>
      <c r="X24" s="8">
        <f>IFERROR(__xludf.DUMMYFUNCTION("""COMPUTED_VALUE"""),0.0)</f>
        <v>0</v>
      </c>
      <c r="Y24" s="8">
        <f>IFERROR(__xludf.DUMMYFUNCTION("""COMPUTED_VALUE"""),0.0)</f>
        <v>0</v>
      </c>
      <c r="Z24" s="8">
        <f>IFERROR(__xludf.DUMMYFUNCTION("""COMPUTED_VALUE"""),0.0)</f>
        <v>0</v>
      </c>
      <c r="AA24" s="8">
        <f>IFERROR(__xludf.DUMMYFUNCTION("""COMPUTED_VALUE"""),0.0)</f>
        <v>0</v>
      </c>
      <c r="AB24" s="8">
        <f>IFERROR(__xludf.DUMMYFUNCTION("""COMPUTED_VALUE"""),0.0)</f>
        <v>0</v>
      </c>
      <c r="AC24" s="8">
        <f>IFERROR(__xludf.DUMMYFUNCTION("""COMPUTED_VALUE"""),0.0)</f>
        <v>0</v>
      </c>
    </row>
    <row r="25" ht="15.75" customHeight="1">
      <c r="A25" s="6" t="str">
        <f>IFERROR(__xludf.DUMMYFUNCTION("""COMPUTED_VALUE"""),"19153cd9dd2e137f1311235c9104db0ecba38abb")</f>
        <v>19153cd9dd2e137f1311235c9104db0ecba38abb</v>
      </c>
      <c r="B25" s="6" t="str">
        <f>IFERROR(__xludf.DUMMYFUNCTION("""COMPUTED_VALUE"""),"My Apex Trading System")</f>
        <v>My Apex Trading System</v>
      </c>
      <c r="C25" s="6" t="str">
        <f>IFERROR(__xludf.DUMMYFUNCTION("""COMPUTED_VALUE"""),"Sci-Fi")</f>
        <v>Sci-Fi</v>
      </c>
      <c r="D25" s="11">
        <f>IFERROR(__xludf.DUMMYFUNCTION("""COMPUTED_VALUE"""),23.0)</f>
        <v>23</v>
      </c>
      <c r="E25" s="8">
        <f>IFERROR(__xludf.DUMMYFUNCTION("""COMPUTED_VALUE"""),0.913043478260869)</f>
        <v>0.9130434783</v>
      </c>
      <c r="F25" s="8">
        <f>IFERROR(__xludf.DUMMYFUNCTION("""COMPUTED_VALUE"""),0.434782608695652)</f>
        <v>0.4347826087</v>
      </c>
      <c r="G25" s="8">
        <f>IFERROR(__xludf.DUMMYFUNCTION("""COMPUTED_VALUE"""),0.391304347826087)</f>
        <v>0.3913043478</v>
      </c>
      <c r="H25" s="8">
        <f>IFERROR(__xludf.DUMMYFUNCTION("""COMPUTED_VALUE"""),0.473684210526315)</f>
        <v>0.4736842105</v>
      </c>
      <c r="I25" s="8">
        <f>IFERROR(__xludf.DUMMYFUNCTION("""COMPUTED_VALUE"""),0.473684210526315)</f>
        <v>0.4736842105</v>
      </c>
      <c r="J25" s="8">
        <f>IFERROR(__xludf.DUMMYFUNCTION("""COMPUTED_VALUE"""),0.470588235294117)</f>
        <v>0.4705882353</v>
      </c>
      <c r="K25" s="8">
        <f>IFERROR(__xludf.DUMMYFUNCTION("""COMPUTED_VALUE"""),0.4)</f>
        <v>0.4</v>
      </c>
      <c r="L25" s="8">
        <f>IFERROR(__xludf.DUMMYFUNCTION("""COMPUTED_VALUE"""),0.384615384615384)</f>
        <v>0.3846153846</v>
      </c>
      <c r="M25" s="8">
        <f>IFERROR(__xludf.DUMMYFUNCTION("""COMPUTED_VALUE"""),0.454545454545454)</f>
        <v>0.4545454545</v>
      </c>
      <c r="N25" s="8">
        <f>IFERROR(__xludf.DUMMYFUNCTION("""COMPUTED_VALUE"""),0.4)</f>
        <v>0.4</v>
      </c>
      <c r="O25" s="8">
        <f>IFERROR(__xludf.DUMMYFUNCTION("""COMPUTED_VALUE"""),0.0)</f>
        <v>0</v>
      </c>
      <c r="P25" s="8">
        <f>IFERROR(__xludf.DUMMYFUNCTION("""COMPUTED_VALUE"""),0.0)</f>
        <v>0</v>
      </c>
      <c r="Q25" s="8">
        <f>IFERROR(__xludf.DUMMYFUNCTION("""COMPUTED_VALUE"""),0.0)</f>
        <v>0</v>
      </c>
      <c r="R25" s="8">
        <f>IFERROR(__xludf.DUMMYFUNCTION("""COMPUTED_VALUE"""),0.0)</f>
        <v>0</v>
      </c>
      <c r="S25" s="8">
        <f>IFERROR(__xludf.DUMMYFUNCTION("""COMPUTED_VALUE"""),0.0)</f>
        <v>0</v>
      </c>
      <c r="T25" s="8">
        <f>IFERROR(__xludf.DUMMYFUNCTION("""COMPUTED_VALUE"""),0.0)</f>
        <v>0</v>
      </c>
      <c r="U25" s="8">
        <f>IFERROR(__xludf.DUMMYFUNCTION("""COMPUTED_VALUE"""),0.0)</f>
        <v>0</v>
      </c>
      <c r="V25" s="8">
        <f>IFERROR(__xludf.DUMMYFUNCTION("""COMPUTED_VALUE"""),0.0)</f>
        <v>0</v>
      </c>
      <c r="W25" s="8">
        <f>IFERROR(__xludf.DUMMYFUNCTION("""COMPUTED_VALUE"""),0.0)</f>
        <v>0</v>
      </c>
      <c r="X25" s="8">
        <f>IFERROR(__xludf.DUMMYFUNCTION("""COMPUTED_VALUE"""),0.0)</f>
        <v>0</v>
      </c>
      <c r="Y25" s="8">
        <f>IFERROR(__xludf.DUMMYFUNCTION("""COMPUTED_VALUE"""),0.0)</f>
        <v>0</v>
      </c>
      <c r="Z25" s="8">
        <f>IFERROR(__xludf.DUMMYFUNCTION("""COMPUTED_VALUE"""),0.0)</f>
        <v>0</v>
      </c>
      <c r="AA25" s="8">
        <f>IFERROR(__xludf.DUMMYFUNCTION("""COMPUTED_VALUE"""),0.0)</f>
        <v>0</v>
      </c>
      <c r="AB25" s="8">
        <f>IFERROR(__xludf.DUMMYFUNCTION("""COMPUTED_VALUE"""),0.0)</f>
        <v>0</v>
      </c>
      <c r="AC25" s="8">
        <f>IFERROR(__xludf.DUMMYFUNCTION("""COMPUTED_VALUE"""),0.0)</f>
        <v>0</v>
      </c>
    </row>
    <row r="26" ht="15.75" customHeight="1">
      <c r="A26" s="6" t="str">
        <f>IFERROR(__xludf.DUMMYFUNCTION("""COMPUTED_VALUE"""),"1a5df306886a7b0e7736ec2c8efad3467507a1c6")</f>
        <v>1a5df306886a7b0e7736ec2c8efad3467507a1c6</v>
      </c>
      <c r="B26" s="6" t="str">
        <f>IFERROR(__xludf.DUMMYFUNCTION("""COMPUTED_VALUE"""),"Billionaire Bentley’s Runaway Princess")</f>
        <v>Billionaire Bentley’s Runaway Princess</v>
      </c>
      <c r="C26" s="6" t="str">
        <f>IFERROR(__xludf.DUMMYFUNCTION("""COMPUTED_VALUE"""),"Romance")</f>
        <v>Romance</v>
      </c>
      <c r="D26" s="11">
        <f>IFERROR(__xludf.DUMMYFUNCTION("""COMPUTED_VALUE"""),1017.0)</f>
        <v>1017</v>
      </c>
      <c r="E26" s="8">
        <f>IFERROR(__xludf.DUMMYFUNCTION("""COMPUTED_VALUE"""),0.951819075712881)</f>
        <v>0.9518190757</v>
      </c>
      <c r="F26" s="8">
        <f>IFERROR(__xludf.DUMMYFUNCTION("""COMPUTED_VALUE"""),0.624385447394296)</f>
        <v>0.6243854474</v>
      </c>
      <c r="G26" s="8">
        <f>IFERROR(__xludf.DUMMYFUNCTION("""COMPUTED_VALUE"""),0.569321533923303)</f>
        <v>0.5693215339</v>
      </c>
      <c r="H26" s="8">
        <f>IFERROR(__xludf.DUMMYFUNCTION("""COMPUTED_VALUE"""),0.527093596059113)</f>
        <v>0.5270935961</v>
      </c>
      <c r="I26" s="8">
        <f>IFERROR(__xludf.DUMMYFUNCTION("""COMPUTED_VALUE"""),0.503448275862069)</f>
        <v>0.5034482759</v>
      </c>
      <c r="J26" s="8">
        <f>IFERROR(__xludf.DUMMYFUNCTION("""COMPUTED_VALUE"""),0.453201970443349)</f>
        <v>0.4532019704</v>
      </c>
      <c r="K26" s="8">
        <f>IFERROR(__xludf.DUMMYFUNCTION("""COMPUTED_VALUE"""),0.443349753694581)</f>
        <v>0.4433497537</v>
      </c>
      <c r="L26" s="8">
        <f>IFERROR(__xludf.DUMMYFUNCTION("""COMPUTED_VALUE"""),0.420118343195266)</f>
        <v>0.4201183432</v>
      </c>
      <c r="M26" s="8">
        <f>IFERROR(__xludf.DUMMYFUNCTION("""COMPUTED_VALUE"""),0.393491124260355)</f>
        <v>0.3934911243</v>
      </c>
      <c r="N26" s="8">
        <f>IFERROR(__xludf.DUMMYFUNCTION("""COMPUTED_VALUE"""),0.416007905138339)</f>
        <v>0.4160079051</v>
      </c>
      <c r="O26" s="8">
        <f>IFERROR(__xludf.DUMMYFUNCTION("""COMPUTED_VALUE"""),0.303991811668372)</f>
        <v>0.3039918117</v>
      </c>
      <c r="P26" s="8">
        <f>IFERROR(__xludf.DUMMYFUNCTION("""COMPUTED_VALUE"""),0.279513888888888)</f>
        <v>0.2795138889</v>
      </c>
      <c r="Q26" s="8">
        <f>IFERROR(__xludf.DUMMYFUNCTION("""COMPUTED_VALUE"""),0.226937269372693)</f>
        <v>0.2269372694</v>
      </c>
      <c r="R26" s="8">
        <f>IFERROR(__xludf.DUMMYFUNCTION("""COMPUTED_VALUE"""),0.0)</f>
        <v>0</v>
      </c>
      <c r="S26" s="8">
        <f>IFERROR(__xludf.DUMMYFUNCTION("""COMPUTED_VALUE"""),0.0)</f>
        <v>0</v>
      </c>
      <c r="T26" s="8">
        <f>IFERROR(__xludf.DUMMYFUNCTION("""COMPUTED_VALUE"""),0.0)</f>
        <v>0</v>
      </c>
      <c r="U26" s="8">
        <f>IFERROR(__xludf.DUMMYFUNCTION("""COMPUTED_VALUE"""),0.0)</f>
        <v>0</v>
      </c>
      <c r="V26" s="8">
        <f>IFERROR(__xludf.DUMMYFUNCTION("""COMPUTED_VALUE"""),0.0)</f>
        <v>0</v>
      </c>
      <c r="W26" s="8">
        <f>IFERROR(__xludf.DUMMYFUNCTION("""COMPUTED_VALUE"""),0.0)</f>
        <v>0</v>
      </c>
      <c r="X26" s="8">
        <f>IFERROR(__xludf.DUMMYFUNCTION("""COMPUTED_VALUE"""),0.0)</f>
        <v>0</v>
      </c>
      <c r="Y26" s="8">
        <f>IFERROR(__xludf.DUMMYFUNCTION("""COMPUTED_VALUE"""),0.0)</f>
        <v>0</v>
      </c>
      <c r="Z26" s="8">
        <f>IFERROR(__xludf.DUMMYFUNCTION("""COMPUTED_VALUE"""),0.0)</f>
        <v>0</v>
      </c>
      <c r="AA26" s="8">
        <f>IFERROR(__xludf.DUMMYFUNCTION("""COMPUTED_VALUE"""),0.0)</f>
        <v>0</v>
      </c>
      <c r="AB26" s="8">
        <f>IFERROR(__xludf.DUMMYFUNCTION("""COMPUTED_VALUE"""),0.0)</f>
        <v>0</v>
      </c>
      <c r="AC26" s="8">
        <f>IFERROR(__xludf.DUMMYFUNCTION("""COMPUTED_VALUE"""),0.0)</f>
        <v>0</v>
      </c>
    </row>
    <row r="27" ht="15.75" customHeight="1">
      <c r="A27" s="6" t="str">
        <f>IFERROR(__xludf.DUMMYFUNCTION("""COMPUTED_VALUE"""),"1b5acb214bfe00156d933b176eef6987dcf9aa8c")</f>
        <v>1b5acb214bfe00156d933b176eef6987dcf9aa8c</v>
      </c>
      <c r="B27" s="6" t="str">
        <f>IFERROR(__xludf.DUMMYFUNCTION("""COMPUTED_VALUE"""),"The Night Forgotten by Us")</f>
        <v>The Night Forgotten by Us</v>
      </c>
      <c r="C27" s="6" t="str">
        <f>IFERROR(__xludf.DUMMYFUNCTION("""COMPUTED_VALUE"""),"Romance")</f>
        <v>Romance</v>
      </c>
      <c r="D27" s="11">
        <f>IFERROR(__xludf.DUMMYFUNCTION("""COMPUTED_VALUE"""),549.0)</f>
        <v>549</v>
      </c>
      <c r="E27" s="8">
        <f>IFERROR(__xludf.DUMMYFUNCTION("""COMPUTED_VALUE"""),0.956284153005464)</f>
        <v>0.956284153</v>
      </c>
      <c r="F27" s="8">
        <f>IFERROR(__xludf.DUMMYFUNCTION("""COMPUTED_VALUE"""),0.588342440801457)</f>
        <v>0.5883424408</v>
      </c>
      <c r="G27" s="8">
        <f>IFERROR(__xludf.DUMMYFUNCTION("""COMPUTED_VALUE"""),0.522768670309653)</f>
        <v>0.5227686703</v>
      </c>
      <c r="H27" s="8">
        <f>IFERROR(__xludf.DUMMYFUNCTION("""COMPUTED_VALUE"""),0.479052823315118)</f>
        <v>0.4790528233</v>
      </c>
      <c r="I27" s="8">
        <f>IFERROR(__xludf.DUMMYFUNCTION("""COMPUTED_VALUE"""),0.468123861566484)</f>
        <v>0.4681238616</v>
      </c>
      <c r="J27" s="8">
        <f>IFERROR(__xludf.DUMMYFUNCTION("""COMPUTED_VALUE"""),0.45719489981785)</f>
        <v>0.4571948998</v>
      </c>
      <c r="K27" s="8">
        <f>IFERROR(__xludf.DUMMYFUNCTION("""COMPUTED_VALUE"""),0.429872495446265)</f>
        <v>0.4298724954</v>
      </c>
      <c r="L27" s="8">
        <f>IFERROR(__xludf.DUMMYFUNCTION("""COMPUTED_VALUE"""),0.417122040072859)</f>
        <v>0.4171220401</v>
      </c>
      <c r="M27" s="8">
        <f>IFERROR(__xludf.DUMMYFUNCTION("""COMPUTED_VALUE"""),0.38615664845173)</f>
        <v>0.3861566485</v>
      </c>
      <c r="N27" s="8">
        <f>IFERROR(__xludf.DUMMYFUNCTION("""COMPUTED_VALUE"""),0.382513661202185)</f>
        <v>0.3825136612</v>
      </c>
      <c r="O27" s="8">
        <f>IFERROR(__xludf.DUMMYFUNCTION("""COMPUTED_VALUE"""),0.375)</f>
        <v>0.375</v>
      </c>
      <c r="P27" s="8">
        <f>IFERROR(__xludf.DUMMYFUNCTION("""COMPUTED_VALUE"""),0.271535580524344)</f>
        <v>0.2715355805</v>
      </c>
      <c r="Q27" s="8">
        <f>IFERROR(__xludf.DUMMYFUNCTION("""COMPUTED_VALUE"""),0.201581027667984)</f>
        <v>0.2015810277</v>
      </c>
      <c r="R27" s="8">
        <f>IFERROR(__xludf.DUMMYFUNCTION("""COMPUTED_VALUE"""),0.0)</f>
        <v>0</v>
      </c>
      <c r="S27" s="8">
        <f>IFERROR(__xludf.DUMMYFUNCTION("""COMPUTED_VALUE"""),0.0)</f>
        <v>0</v>
      </c>
      <c r="T27" s="8">
        <f>IFERROR(__xludf.DUMMYFUNCTION("""COMPUTED_VALUE"""),0.0)</f>
        <v>0</v>
      </c>
      <c r="U27" s="8">
        <f>IFERROR(__xludf.DUMMYFUNCTION("""COMPUTED_VALUE"""),0.0)</f>
        <v>0</v>
      </c>
      <c r="V27" s="8">
        <f>IFERROR(__xludf.DUMMYFUNCTION("""COMPUTED_VALUE"""),0.0)</f>
        <v>0</v>
      </c>
      <c r="W27" s="8">
        <f>IFERROR(__xludf.DUMMYFUNCTION("""COMPUTED_VALUE"""),0.0)</f>
        <v>0</v>
      </c>
      <c r="X27" s="8">
        <f>IFERROR(__xludf.DUMMYFUNCTION("""COMPUTED_VALUE"""),0.0)</f>
        <v>0</v>
      </c>
      <c r="Y27" s="8">
        <f>IFERROR(__xludf.DUMMYFUNCTION("""COMPUTED_VALUE"""),0.0)</f>
        <v>0</v>
      </c>
      <c r="Z27" s="8">
        <f>IFERROR(__xludf.DUMMYFUNCTION("""COMPUTED_VALUE"""),0.0)</f>
        <v>0</v>
      </c>
      <c r="AA27" s="8">
        <f>IFERROR(__xludf.DUMMYFUNCTION("""COMPUTED_VALUE"""),0.0)</f>
        <v>0</v>
      </c>
      <c r="AB27" s="8">
        <f>IFERROR(__xludf.DUMMYFUNCTION("""COMPUTED_VALUE"""),0.0)</f>
        <v>0</v>
      </c>
      <c r="AC27" s="8">
        <f>IFERROR(__xludf.DUMMYFUNCTION("""COMPUTED_VALUE"""),0.0)</f>
        <v>0</v>
      </c>
    </row>
    <row r="28" ht="15.75" customHeight="1">
      <c r="A28" s="6" t="str">
        <f>IFERROR(__xludf.DUMMYFUNCTION("""COMPUTED_VALUE"""),"1b7d7de6c90d2460cfe3da014469e3c056fec830")</f>
        <v>1b7d7de6c90d2460cfe3da014469e3c056fec830</v>
      </c>
      <c r="B28" s="6" t="str">
        <f>IFERROR(__xludf.DUMMYFUNCTION("""COMPUTED_VALUE"""),"The Ceo's Secret Babies")</f>
        <v>The Ceo's Secret Babies</v>
      </c>
      <c r="C28" s="6" t="str">
        <f>IFERROR(__xludf.DUMMYFUNCTION("""COMPUTED_VALUE"""),"Romance")</f>
        <v>Romance</v>
      </c>
      <c r="D28" s="11">
        <f>IFERROR(__xludf.DUMMYFUNCTION("""COMPUTED_VALUE"""),205.0)</f>
        <v>205</v>
      </c>
      <c r="E28" s="8">
        <f>IFERROR(__xludf.DUMMYFUNCTION("""COMPUTED_VALUE"""),0.912195121951219)</f>
        <v>0.912195122</v>
      </c>
      <c r="F28" s="8">
        <f>IFERROR(__xludf.DUMMYFUNCTION("""COMPUTED_VALUE"""),0.678048780487804)</f>
        <v>0.6780487805</v>
      </c>
      <c r="G28" s="8">
        <f>IFERROR(__xludf.DUMMYFUNCTION("""COMPUTED_VALUE"""),0.590243902439024)</f>
        <v>0.5902439024</v>
      </c>
      <c r="H28" s="8">
        <f>IFERROR(__xludf.DUMMYFUNCTION("""COMPUTED_VALUE"""),0.587939698492462)</f>
        <v>0.5879396985</v>
      </c>
      <c r="I28" s="8">
        <f>IFERROR(__xludf.DUMMYFUNCTION("""COMPUTED_VALUE"""),0.595959595959595)</f>
        <v>0.595959596</v>
      </c>
      <c r="J28" s="8">
        <f>IFERROR(__xludf.DUMMYFUNCTION("""COMPUTED_VALUE"""),0.528205128205128)</f>
        <v>0.5282051282</v>
      </c>
      <c r="K28" s="8">
        <f>IFERROR(__xludf.DUMMYFUNCTION("""COMPUTED_VALUE"""),0.492227979274611)</f>
        <v>0.4922279793</v>
      </c>
      <c r="L28" s="8">
        <f>IFERROR(__xludf.DUMMYFUNCTION("""COMPUTED_VALUE"""),0.478494623655914)</f>
        <v>0.4784946237</v>
      </c>
      <c r="M28" s="8">
        <f>IFERROR(__xludf.DUMMYFUNCTION("""COMPUTED_VALUE"""),0.5)</f>
        <v>0.5</v>
      </c>
      <c r="N28" s="8">
        <f>IFERROR(__xludf.DUMMYFUNCTION("""COMPUTED_VALUE"""),0.542682926829268)</f>
        <v>0.5426829268</v>
      </c>
      <c r="O28" s="8">
        <f>IFERROR(__xludf.DUMMYFUNCTION("""COMPUTED_VALUE"""),0.415492957746478)</f>
        <v>0.4154929577</v>
      </c>
      <c r="P28" s="8">
        <f>IFERROR(__xludf.DUMMYFUNCTION("""COMPUTED_VALUE"""),0.359154929577464)</f>
        <v>0.3591549296</v>
      </c>
      <c r="Q28" s="8">
        <f>IFERROR(__xludf.DUMMYFUNCTION("""COMPUTED_VALUE"""),0.134751773049645)</f>
        <v>0.134751773</v>
      </c>
      <c r="R28" s="8">
        <f>IFERROR(__xludf.DUMMYFUNCTION("""COMPUTED_VALUE"""),0.0354609929078014)</f>
        <v>0.03546099291</v>
      </c>
      <c r="S28" s="8">
        <f>IFERROR(__xludf.DUMMYFUNCTION("""COMPUTED_VALUE"""),0.0272727272727272)</f>
        <v>0.02727272727</v>
      </c>
      <c r="T28" s="8">
        <f>IFERROR(__xludf.DUMMYFUNCTION("""COMPUTED_VALUE"""),0.0)</f>
        <v>0</v>
      </c>
      <c r="U28" s="8">
        <f>IFERROR(__xludf.DUMMYFUNCTION("""COMPUTED_VALUE"""),0.0)</f>
        <v>0</v>
      </c>
      <c r="V28" s="8">
        <f>IFERROR(__xludf.DUMMYFUNCTION("""COMPUTED_VALUE"""),0.0)</f>
        <v>0</v>
      </c>
      <c r="W28" s="8">
        <f>IFERROR(__xludf.DUMMYFUNCTION("""COMPUTED_VALUE"""),0.0)</f>
        <v>0</v>
      </c>
      <c r="X28" s="8">
        <f>IFERROR(__xludf.DUMMYFUNCTION("""COMPUTED_VALUE"""),0.0)</f>
        <v>0</v>
      </c>
      <c r="Y28" s="8">
        <f>IFERROR(__xludf.DUMMYFUNCTION("""COMPUTED_VALUE"""),0.0)</f>
        <v>0</v>
      </c>
      <c r="Z28" s="8">
        <f>IFERROR(__xludf.DUMMYFUNCTION("""COMPUTED_VALUE"""),0.0)</f>
        <v>0</v>
      </c>
      <c r="AA28" s="8">
        <f>IFERROR(__xludf.DUMMYFUNCTION("""COMPUTED_VALUE"""),0.0)</f>
        <v>0</v>
      </c>
      <c r="AB28" s="8">
        <f>IFERROR(__xludf.DUMMYFUNCTION("""COMPUTED_VALUE"""),0.0)</f>
        <v>0</v>
      </c>
      <c r="AC28" s="8">
        <f>IFERROR(__xludf.DUMMYFUNCTION("""COMPUTED_VALUE"""),0.0)</f>
        <v>0</v>
      </c>
    </row>
    <row r="29" ht="15.75" customHeight="1">
      <c r="A29" s="6" t="str">
        <f>IFERROR(__xludf.DUMMYFUNCTION("""COMPUTED_VALUE"""),"1b7d89c237c133e6c5b15db13e684c2e1f3688e1")</f>
        <v>1b7d89c237c133e6c5b15db13e684c2e1f3688e1</v>
      </c>
      <c r="B29" s="6" t="str">
        <f>IFERROR(__xludf.DUMMYFUNCTION("""COMPUTED_VALUE"""),"War God of the Red Sea!")</f>
        <v>War God of the Red Sea!</v>
      </c>
      <c r="C29" s="6" t="str">
        <f>IFERROR(__xludf.DUMMYFUNCTION("""COMPUTED_VALUE"""),"Drama")</f>
        <v>Drama</v>
      </c>
      <c r="D29" s="11">
        <f>IFERROR(__xludf.DUMMYFUNCTION("""COMPUTED_VALUE"""),50.0)</f>
        <v>50</v>
      </c>
      <c r="E29" s="8">
        <f>IFERROR(__xludf.DUMMYFUNCTION("""COMPUTED_VALUE"""),1.0)</f>
        <v>1</v>
      </c>
      <c r="F29" s="8">
        <f>IFERROR(__xludf.DUMMYFUNCTION("""COMPUTED_VALUE"""),0.56)</f>
        <v>0.56</v>
      </c>
      <c r="G29" s="8">
        <f>IFERROR(__xludf.DUMMYFUNCTION("""COMPUTED_VALUE"""),0.4)</f>
        <v>0.4</v>
      </c>
      <c r="H29" s="8">
        <f>IFERROR(__xludf.DUMMYFUNCTION("""COMPUTED_VALUE"""),0.325581395348837)</f>
        <v>0.3255813953</v>
      </c>
      <c r="I29" s="8">
        <f>IFERROR(__xludf.DUMMYFUNCTION("""COMPUTED_VALUE"""),0.285714285714285)</f>
        <v>0.2857142857</v>
      </c>
      <c r="J29" s="8">
        <f>IFERROR(__xludf.DUMMYFUNCTION("""COMPUTED_VALUE"""),0.282051282051282)</f>
        <v>0.2820512821</v>
      </c>
      <c r="K29" s="8">
        <f>IFERROR(__xludf.DUMMYFUNCTION("""COMPUTED_VALUE"""),0.324324324324324)</f>
        <v>0.3243243243</v>
      </c>
      <c r="L29" s="8">
        <f>IFERROR(__xludf.DUMMYFUNCTION("""COMPUTED_VALUE"""),0.3125)</f>
        <v>0.3125</v>
      </c>
      <c r="M29" s="8">
        <f>IFERROR(__xludf.DUMMYFUNCTION("""COMPUTED_VALUE"""),0.32258064516129)</f>
        <v>0.3225806452</v>
      </c>
      <c r="N29" s="8">
        <f>IFERROR(__xludf.DUMMYFUNCTION("""COMPUTED_VALUE"""),0.285714285714285)</f>
        <v>0.2857142857</v>
      </c>
      <c r="O29" s="8">
        <f>IFERROR(__xludf.DUMMYFUNCTION("""COMPUTED_VALUE"""),0.222222222222222)</f>
        <v>0.2222222222</v>
      </c>
      <c r="P29" s="8">
        <f>IFERROR(__xludf.DUMMYFUNCTION("""COMPUTED_VALUE"""),0.176470588235294)</f>
        <v>0.1764705882</v>
      </c>
      <c r="Q29" s="8">
        <f>IFERROR(__xludf.DUMMYFUNCTION("""COMPUTED_VALUE"""),0.0)</f>
        <v>0</v>
      </c>
      <c r="R29" s="8">
        <f>IFERROR(__xludf.DUMMYFUNCTION("""COMPUTED_VALUE"""),0.0)</f>
        <v>0</v>
      </c>
      <c r="S29" s="8">
        <f>IFERROR(__xludf.DUMMYFUNCTION("""COMPUTED_VALUE"""),0.0)</f>
        <v>0</v>
      </c>
      <c r="T29" s="8">
        <f>IFERROR(__xludf.DUMMYFUNCTION("""COMPUTED_VALUE"""),0.0)</f>
        <v>0</v>
      </c>
      <c r="U29" s="8">
        <f>IFERROR(__xludf.DUMMYFUNCTION("""COMPUTED_VALUE"""),0.0)</f>
        <v>0</v>
      </c>
      <c r="V29" s="8">
        <f>IFERROR(__xludf.DUMMYFUNCTION("""COMPUTED_VALUE"""),0.0)</f>
        <v>0</v>
      </c>
      <c r="W29" s="8">
        <f>IFERROR(__xludf.DUMMYFUNCTION("""COMPUTED_VALUE"""),0.0)</f>
        <v>0</v>
      </c>
      <c r="X29" s="8">
        <f>IFERROR(__xludf.DUMMYFUNCTION("""COMPUTED_VALUE"""),0.0)</f>
        <v>0</v>
      </c>
      <c r="Y29" s="8">
        <f>IFERROR(__xludf.DUMMYFUNCTION("""COMPUTED_VALUE"""),0.0)</f>
        <v>0</v>
      </c>
      <c r="Z29" s="8">
        <f>IFERROR(__xludf.DUMMYFUNCTION("""COMPUTED_VALUE"""),0.0)</f>
        <v>0</v>
      </c>
      <c r="AA29" s="8">
        <f>IFERROR(__xludf.DUMMYFUNCTION("""COMPUTED_VALUE"""),0.0)</f>
        <v>0</v>
      </c>
      <c r="AB29" s="8">
        <f>IFERROR(__xludf.DUMMYFUNCTION("""COMPUTED_VALUE"""),0.0)</f>
        <v>0</v>
      </c>
      <c r="AC29" s="8">
        <f>IFERROR(__xludf.DUMMYFUNCTION("""COMPUTED_VALUE"""),0.0)</f>
        <v>0</v>
      </c>
    </row>
    <row r="30" ht="15.75" customHeight="1">
      <c r="A30" s="6" t="str">
        <f>IFERROR(__xludf.DUMMYFUNCTION("""COMPUTED_VALUE"""),"1c56eb2cce6609cb207d235ae3464f7759d4cb84")</f>
        <v>1c56eb2cce6609cb207d235ae3464f7759d4cb84</v>
      </c>
      <c r="B30" s="6" t="str">
        <f>IFERROR(__xludf.DUMMYFUNCTION("""COMPUTED_VALUE"""),"Rage of the Heiress")</f>
        <v>Rage of the Heiress</v>
      </c>
      <c r="C30" s="6" t="str">
        <f>IFERROR(__xludf.DUMMYFUNCTION("""COMPUTED_VALUE"""),"Drama")</f>
        <v>Drama</v>
      </c>
      <c r="D30" s="11">
        <f>IFERROR(__xludf.DUMMYFUNCTION("""COMPUTED_VALUE"""),1669.0)</f>
        <v>1669</v>
      </c>
      <c r="E30" s="8">
        <f>IFERROR(__xludf.DUMMYFUNCTION("""COMPUTED_VALUE"""),0.949071300179748)</f>
        <v>0.9490713002</v>
      </c>
      <c r="F30" s="8">
        <f>IFERROR(__xludf.DUMMYFUNCTION("""COMPUTED_VALUE"""),0.627321749550629)</f>
        <v>0.6273217496</v>
      </c>
      <c r="G30" s="8">
        <f>IFERROR(__xludf.DUMMYFUNCTION("""COMPUTED_VALUE"""),0.607549430796884)</f>
        <v>0.6075494308</v>
      </c>
      <c r="H30" s="8">
        <f>IFERROR(__xludf.DUMMYFUNCTION("""COMPUTED_VALUE"""),0.57661038148843)</f>
        <v>0.5766103815</v>
      </c>
      <c r="I30" s="8">
        <f>IFERROR(__xludf.DUMMYFUNCTION("""COMPUTED_VALUE"""),0.567412140575079)</f>
        <v>0.5674121406</v>
      </c>
      <c r="J30" s="8">
        <f>IFERROR(__xludf.DUMMYFUNCTION("""COMPUTED_VALUE"""),0.561699258260283)</f>
        <v>0.5616992583</v>
      </c>
      <c r="K30" s="8">
        <f>IFERROR(__xludf.DUMMYFUNCTION("""COMPUTED_VALUE"""),0.539100346020761)</f>
        <v>0.539100346</v>
      </c>
      <c r="L30" s="8">
        <f>IFERROR(__xludf.DUMMYFUNCTION("""COMPUTED_VALUE"""),0.521707137601177)</f>
        <v>0.5217071376</v>
      </c>
      <c r="M30" s="8">
        <f>IFERROR(__xludf.DUMMYFUNCTION("""COMPUTED_VALUE"""),0.514047076689445)</f>
        <v>0.5140470767</v>
      </c>
      <c r="N30" s="8">
        <f>IFERROR(__xludf.DUMMYFUNCTION("""COMPUTED_VALUE"""),0.506525285481239)</f>
        <v>0.5065252855</v>
      </c>
      <c r="O30" s="8">
        <f>IFERROR(__xludf.DUMMYFUNCTION("""COMPUTED_VALUE"""),0.527027027027027)</f>
        <v>0.527027027</v>
      </c>
      <c r="P30" s="8">
        <f>IFERROR(__xludf.DUMMYFUNCTION("""COMPUTED_VALUE"""),0.409371146732429)</f>
        <v>0.4093711467</v>
      </c>
      <c r="Q30" s="8">
        <f>IFERROR(__xludf.DUMMYFUNCTION("""COMPUTED_VALUE"""),0.324812030075188)</f>
        <v>0.3248120301</v>
      </c>
      <c r="R30" s="8">
        <f>IFERROR(__xludf.DUMMYFUNCTION("""COMPUTED_VALUE"""),0.282608695652173)</f>
        <v>0.2826086957</v>
      </c>
      <c r="S30" s="8">
        <f>IFERROR(__xludf.DUMMYFUNCTION("""COMPUTED_VALUE"""),0.257551669316375)</f>
        <v>0.2575516693</v>
      </c>
      <c r="T30" s="8">
        <f>IFERROR(__xludf.DUMMYFUNCTION("""COMPUTED_VALUE"""),0.227722772277227)</f>
        <v>0.2277227723</v>
      </c>
      <c r="U30" s="8">
        <f>IFERROR(__xludf.DUMMYFUNCTION("""COMPUTED_VALUE"""),0.186963979416809)</f>
        <v>0.1869639794</v>
      </c>
      <c r="V30" s="8">
        <f>IFERROR(__xludf.DUMMYFUNCTION("""COMPUTED_VALUE"""),0.163444639718804)</f>
        <v>0.1634446397</v>
      </c>
      <c r="W30" s="8">
        <f>IFERROR(__xludf.DUMMYFUNCTION("""COMPUTED_VALUE"""),0.156862745098039)</f>
        <v>0.1568627451</v>
      </c>
      <c r="X30" s="8">
        <f>IFERROR(__xludf.DUMMYFUNCTION("""COMPUTED_VALUE"""),0.0)</f>
        <v>0</v>
      </c>
      <c r="Y30" s="8">
        <f>IFERROR(__xludf.DUMMYFUNCTION("""COMPUTED_VALUE"""),0.0)</f>
        <v>0</v>
      </c>
      <c r="Z30" s="8">
        <f>IFERROR(__xludf.DUMMYFUNCTION("""COMPUTED_VALUE"""),0.0)</f>
        <v>0</v>
      </c>
      <c r="AA30" s="8">
        <f>IFERROR(__xludf.DUMMYFUNCTION("""COMPUTED_VALUE"""),0.0)</f>
        <v>0</v>
      </c>
      <c r="AB30" s="8">
        <f>IFERROR(__xludf.DUMMYFUNCTION("""COMPUTED_VALUE"""),0.0)</f>
        <v>0</v>
      </c>
      <c r="AC30" s="8">
        <f>IFERROR(__xludf.DUMMYFUNCTION("""COMPUTED_VALUE"""),0.0)</f>
        <v>0</v>
      </c>
    </row>
    <row r="31" ht="15.75" customHeight="1">
      <c r="A31" s="6" t="str">
        <f>IFERROR(__xludf.DUMMYFUNCTION("""COMPUTED_VALUE"""),"1ca4f3c3b8e200f37ec14ed7a11442df6a65f4e6")</f>
        <v>1ca4f3c3b8e200f37ec14ed7a11442df6a65f4e6</v>
      </c>
      <c r="B31" s="6" t="str">
        <f>IFERROR(__xludf.DUMMYFUNCTION("""COMPUTED_VALUE"""),"Unstoppable Cultivator")</f>
        <v>Unstoppable Cultivator</v>
      </c>
      <c r="C31" s="6" t="str">
        <f>IFERROR(__xludf.DUMMYFUNCTION("""COMPUTED_VALUE"""),"Fantasy")</f>
        <v>Fantasy</v>
      </c>
      <c r="D31" s="11">
        <f>IFERROR(__xludf.DUMMYFUNCTION("""COMPUTED_VALUE"""),39.0)</f>
        <v>39</v>
      </c>
      <c r="E31" s="8">
        <f>IFERROR(__xludf.DUMMYFUNCTION("""COMPUTED_VALUE"""),0.923076923076923)</f>
        <v>0.9230769231</v>
      </c>
      <c r="F31" s="8">
        <f>IFERROR(__xludf.DUMMYFUNCTION("""COMPUTED_VALUE"""),0.333333333333333)</f>
        <v>0.3333333333</v>
      </c>
      <c r="G31" s="8">
        <f>IFERROR(__xludf.DUMMYFUNCTION("""COMPUTED_VALUE"""),0.282051282051282)</f>
        <v>0.2820512821</v>
      </c>
      <c r="H31" s="8">
        <f>IFERROR(__xludf.DUMMYFUNCTION("""COMPUTED_VALUE"""),0.289473684210526)</f>
        <v>0.2894736842</v>
      </c>
      <c r="I31" s="8">
        <f>IFERROR(__xludf.DUMMYFUNCTION("""COMPUTED_VALUE"""),0.289473684210526)</f>
        <v>0.2894736842</v>
      </c>
      <c r="J31" s="8">
        <f>IFERROR(__xludf.DUMMYFUNCTION("""COMPUTED_VALUE"""),0.263157894736842)</f>
        <v>0.2631578947</v>
      </c>
      <c r="K31" s="8">
        <f>IFERROR(__xludf.DUMMYFUNCTION("""COMPUTED_VALUE"""),0.210526315789473)</f>
        <v>0.2105263158</v>
      </c>
      <c r="L31" s="8">
        <f>IFERROR(__xludf.DUMMYFUNCTION("""COMPUTED_VALUE"""),0.184210526315789)</f>
        <v>0.1842105263</v>
      </c>
      <c r="M31" s="8">
        <f>IFERROR(__xludf.DUMMYFUNCTION("""COMPUTED_VALUE"""),0.189189189189189)</f>
        <v>0.1891891892</v>
      </c>
      <c r="N31" s="8">
        <f>IFERROR(__xludf.DUMMYFUNCTION("""COMPUTED_VALUE"""),0.189189189189189)</f>
        <v>0.1891891892</v>
      </c>
      <c r="O31" s="8">
        <f>IFERROR(__xludf.DUMMYFUNCTION("""COMPUTED_VALUE"""),0.15625)</f>
        <v>0.15625</v>
      </c>
      <c r="P31" s="8">
        <f>IFERROR(__xludf.DUMMYFUNCTION("""COMPUTED_VALUE"""),0.0)</f>
        <v>0</v>
      </c>
      <c r="Q31" s="8">
        <f>IFERROR(__xludf.DUMMYFUNCTION("""COMPUTED_VALUE"""),0.0)</f>
        <v>0</v>
      </c>
      <c r="R31" s="8">
        <f>IFERROR(__xludf.DUMMYFUNCTION("""COMPUTED_VALUE"""),0.0)</f>
        <v>0</v>
      </c>
      <c r="S31" s="8">
        <f>IFERROR(__xludf.DUMMYFUNCTION("""COMPUTED_VALUE"""),0.0)</f>
        <v>0</v>
      </c>
      <c r="T31" s="8">
        <f>IFERROR(__xludf.DUMMYFUNCTION("""COMPUTED_VALUE"""),0.0)</f>
        <v>0</v>
      </c>
      <c r="U31" s="8">
        <f>IFERROR(__xludf.DUMMYFUNCTION("""COMPUTED_VALUE"""),0.0)</f>
        <v>0</v>
      </c>
      <c r="V31" s="8">
        <f>IFERROR(__xludf.DUMMYFUNCTION("""COMPUTED_VALUE"""),0.0)</f>
        <v>0</v>
      </c>
      <c r="W31" s="8">
        <f>IFERROR(__xludf.DUMMYFUNCTION("""COMPUTED_VALUE"""),0.0)</f>
        <v>0</v>
      </c>
      <c r="X31" s="8">
        <f>IFERROR(__xludf.DUMMYFUNCTION("""COMPUTED_VALUE"""),0.0)</f>
        <v>0</v>
      </c>
      <c r="Y31" s="8">
        <f>IFERROR(__xludf.DUMMYFUNCTION("""COMPUTED_VALUE"""),0.0)</f>
        <v>0</v>
      </c>
      <c r="Z31" s="8">
        <f>IFERROR(__xludf.DUMMYFUNCTION("""COMPUTED_VALUE"""),0.0)</f>
        <v>0</v>
      </c>
      <c r="AA31" s="8">
        <f>IFERROR(__xludf.DUMMYFUNCTION("""COMPUTED_VALUE"""),0.0)</f>
        <v>0</v>
      </c>
      <c r="AB31" s="8">
        <f>IFERROR(__xludf.DUMMYFUNCTION("""COMPUTED_VALUE"""),0.0)</f>
        <v>0</v>
      </c>
      <c r="AC31" s="8">
        <f>IFERROR(__xludf.DUMMYFUNCTION("""COMPUTED_VALUE"""),0.0)</f>
        <v>0</v>
      </c>
    </row>
    <row r="32" ht="15.75" customHeight="1">
      <c r="A32" s="6" t="str">
        <f>IFERROR(__xludf.DUMMYFUNCTION("""COMPUTED_VALUE"""),"1d8b1f39e146ede1f7528763445a7a47aad10b05")</f>
        <v>1d8b1f39e146ede1f7528763445a7a47aad10b05</v>
      </c>
      <c r="B32" s="6" t="str">
        <f>IFERROR(__xludf.DUMMYFUNCTION("""COMPUTED_VALUE"""),"Love and Heartbroken")</f>
        <v>Love and Heartbroken</v>
      </c>
      <c r="C32" s="6" t="str">
        <f>IFERROR(__xludf.DUMMYFUNCTION("""COMPUTED_VALUE"""),"System and Superpower")</f>
        <v>System and Superpower</v>
      </c>
      <c r="D32" s="11">
        <f>IFERROR(__xludf.DUMMYFUNCTION("""COMPUTED_VALUE"""),405.0)</f>
        <v>405</v>
      </c>
      <c r="E32" s="8">
        <f>IFERROR(__xludf.DUMMYFUNCTION("""COMPUTED_VALUE"""),0.990123456790123)</f>
        <v>0.9901234568</v>
      </c>
      <c r="F32" s="8">
        <f>IFERROR(__xludf.DUMMYFUNCTION("""COMPUTED_VALUE"""),0.454320987654321)</f>
        <v>0.4543209877</v>
      </c>
      <c r="G32" s="8">
        <f>IFERROR(__xludf.DUMMYFUNCTION("""COMPUTED_VALUE"""),0.417283950617283)</f>
        <v>0.4172839506</v>
      </c>
      <c r="H32" s="8">
        <f>IFERROR(__xludf.DUMMYFUNCTION("""COMPUTED_VALUE"""),0.358024691358024)</f>
        <v>0.3580246914</v>
      </c>
      <c r="I32" s="8">
        <f>IFERROR(__xludf.DUMMYFUNCTION("""COMPUTED_VALUE"""),0.314356435643564)</f>
        <v>0.3143564356</v>
      </c>
      <c r="J32" s="8">
        <f>IFERROR(__xludf.DUMMYFUNCTION("""COMPUTED_VALUE"""),0.282178217821782)</f>
        <v>0.2821782178</v>
      </c>
      <c r="K32" s="8">
        <f>IFERROR(__xludf.DUMMYFUNCTION("""COMPUTED_VALUE"""),0.257425742574257)</f>
        <v>0.2574257426</v>
      </c>
      <c r="L32" s="8">
        <f>IFERROR(__xludf.DUMMYFUNCTION("""COMPUTED_VALUE"""),0.212871287128712)</f>
        <v>0.2128712871</v>
      </c>
      <c r="M32" s="8">
        <f>IFERROR(__xludf.DUMMYFUNCTION("""COMPUTED_VALUE"""),0.173267326732673)</f>
        <v>0.1732673267</v>
      </c>
      <c r="N32" s="8">
        <f>IFERROR(__xludf.DUMMYFUNCTION("""COMPUTED_VALUE"""),0.155940594059405)</f>
        <v>0.1559405941</v>
      </c>
      <c r="O32" s="8">
        <f>IFERROR(__xludf.DUMMYFUNCTION("""COMPUTED_VALUE"""),0.103359173126614)</f>
        <v>0.1033591731</v>
      </c>
      <c r="P32" s="8">
        <f>IFERROR(__xludf.DUMMYFUNCTION("""COMPUTED_VALUE"""),0.0437317784256559)</f>
        <v>0.04373177843</v>
      </c>
      <c r="Q32" s="8">
        <f>IFERROR(__xludf.DUMMYFUNCTION("""COMPUTED_VALUE"""),0.0214723926380368)</f>
        <v>0.02147239264</v>
      </c>
      <c r="R32" s="8">
        <f>IFERROR(__xludf.DUMMYFUNCTION("""COMPUTED_VALUE"""),0.0123076923076923)</f>
        <v>0.01230769231</v>
      </c>
      <c r="S32" s="8">
        <f>IFERROR(__xludf.DUMMYFUNCTION("""COMPUTED_VALUE"""),0.00888888888888888)</f>
        <v>0.008888888889</v>
      </c>
      <c r="T32" s="8">
        <f>IFERROR(__xludf.DUMMYFUNCTION("""COMPUTED_VALUE"""),0.0)</f>
        <v>0</v>
      </c>
      <c r="U32" s="8">
        <f>IFERROR(__xludf.DUMMYFUNCTION("""COMPUTED_VALUE"""),0.0)</f>
        <v>0</v>
      </c>
      <c r="V32" s="8">
        <f>IFERROR(__xludf.DUMMYFUNCTION("""COMPUTED_VALUE"""),0.0)</f>
        <v>0</v>
      </c>
      <c r="W32" s="8">
        <f>IFERROR(__xludf.DUMMYFUNCTION("""COMPUTED_VALUE"""),0.0)</f>
        <v>0</v>
      </c>
      <c r="X32" s="8">
        <f>IFERROR(__xludf.DUMMYFUNCTION("""COMPUTED_VALUE"""),0.0)</f>
        <v>0</v>
      </c>
      <c r="Y32" s="8">
        <f>IFERROR(__xludf.DUMMYFUNCTION("""COMPUTED_VALUE"""),0.0)</f>
        <v>0</v>
      </c>
      <c r="Z32" s="8">
        <f>IFERROR(__xludf.DUMMYFUNCTION("""COMPUTED_VALUE"""),0.0)</f>
        <v>0</v>
      </c>
      <c r="AA32" s="8">
        <f>IFERROR(__xludf.DUMMYFUNCTION("""COMPUTED_VALUE"""),0.0)</f>
        <v>0</v>
      </c>
      <c r="AB32" s="8">
        <f>IFERROR(__xludf.DUMMYFUNCTION("""COMPUTED_VALUE"""),0.0)</f>
        <v>0</v>
      </c>
      <c r="AC32" s="8">
        <f>IFERROR(__xludf.DUMMYFUNCTION("""COMPUTED_VALUE"""),0.0)</f>
        <v>0</v>
      </c>
    </row>
    <row r="33" ht="15.75" customHeight="1">
      <c r="A33" s="6" t="str">
        <f>IFERROR(__xludf.DUMMYFUNCTION("""COMPUTED_VALUE"""),"1e1205d9e93348005e7eb4b2e071c8c63b7914ca")</f>
        <v>1e1205d9e93348005e7eb4b2e071c8c63b7914ca</v>
      </c>
      <c r="B33" s="6" t="str">
        <f>IFERROR(__xludf.DUMMYFUNCTION("""COMPUTED_VALUE"""),"The Heart's Captive")</f>
        <v>The Heart's Captive</v>
      </c>
      <c r="C33" s="6" t="str">
        <f>IFERROR(__xludf.DUMMYFUNCTION("""COMPUTED_VALUE"""),"Romantasy")</f>
        <v>Romantasy</v>
      </c>
      <c r="D33" s="11">
        <f>IFERROR(__xludf.DUMMYFUNCTION("""COMPUTED_VALUE"""),65.0)</f>
        <v>65</v>
      </c>
      <c r="E33" s="8">
        <f>IFERROR(__xludf.DUMMYFUNCTION("""COMPUTED_VALUE"""),0.938461538461538)</f>
        <v>0.9384615385</v>
      </c>
      <c r="F33" s="8">
        <f>IFERROR(__xludf.DUMMYFUNCTION("""COMPUTED_VALUE"""),0.523076923076923)</f>
        <v>0.5230769231</v>
      </c>
      <c r="G33" s="8">
        <f>IFERROR(__xludf.DUMMYFUNCTION("""COMPUTED_VALUE"""),0.492307692307692)</f>
        <v>0.4923076923</v>
      </c>
      <c r="H33" s="8">
        <f>IFERROR(__xludf.DUMMYFUNCTION("""COMPUTED_VALUE"""),0.507692307692307)</f>
        <v>0.5076923077</v>
      </c>
      <c r="I33" s="8">
        <f>IFERROR(__xludf.DUMMYFUNCTION("""COMPUTED_VALUE"""),0.446153846153846)</f>
        <v>0.4461538462</v>
      </c>
      <c r="J33" s="8">
        <f>IFERROR(__xludf.DUMMYFUNCTION("""COMPUTED_VALUE"""),0.461538461538461)</f>
        <v>0.4615384615</v>
      </c>
      <c r="K33" s="8">
        <f>IFERROR(__xludf.DUMMYFUNCTION("""COMPUTED_VALUE"""),0.421875)</f>
        <v>0.421875</v>
      </c>
      <c r="L33" s="8">
        <f>IFERROR(__xludf.DUMMYFUNCTION("""COMPUTED_VALUE"""),0.46875)</f>
        <v>0.46875</v>
      </c>
      <c r="M33" s="8">
        <f>IFERROR(__xludf.DUMMYFUNCTION("""COMPUTED_VALUE"""),0.46875)</f>
        <v>0.46875</v>
      </c>
      <c r="N33" s="8">
        <f>IFERROR(__xludf.DUMMYFUNCTION("""COMPUTED_VALUE"""),0.484375)</f>
        <v>0.484375</v>
      </c>
      <c r="O33" s="8">
        <f>IFERROR(__xludf.DUMMYFUNCTION("""COMPUTED_VALUE"""),0.4375)</f>
        <v>0.4375</v>
      </c>
      <c r="P33" s="8">
        <f>IFERROR(__xludf.DUMMYFUNCTION("""COMPUTED_VALUE"""),0.234375)</f>
        <v>0.234375</v>
      </c>
      <c r="Q33" s="8">
        <f>IFERROR(__xludf.DUMMYFUNCTION("""COMPUTED_VALUE"""),0.03125)</f>
        <v>0.03125</v>
      </c>
      <c r="R33" s="8">
        <f>IFERROR(__xludf.DUMMYFUNCTION("""COMPUTED_VALUE"""),0.0)</f>
        <v>0</v>
      </c>
      <c r="S33" s="8">
        <f>IFERROR(__xludf.DUMMYFUNCTION("""COMPUTED_VALUE"""),0.0)</f>
        <v>0</v>
      </c>
      <c r="T33" s="8">
        <f>IFERROR(__xludf.DUMMYFUNCTION("""COMPUTED_VALUE"""),0.0)</f>
        <v>0</v>
      </c>
      <c r="U33" s="8">
        <f>IFERROR(__xludf.DUMMYFUNCTION("""COMPUTED_VALUE"""),0.0)</f>
        <v>0</v>
      </c>
      <c r="V33" s="8">
        <f>IFERROR(__xludf.DUMMYFUNCTION("""COMPUTED_VALUE"""),0.0)</f>
        <v>0</v>
      </c>
      <c r="W33" s="8">
        <f>IFERROR(__xludf.DUMMYFUNCTION("""COMPUTED_VALUE"""),0.0)</f>
        <v>0</v>
      </c>
      <c r="X33" s="8">
        <f>IFERROR(__xludf.DUMMYFUNCTION("""COMPUTED_VALUE"""),0.0)</f>
        <v>0</v>
      </c>
      <c r="Y33" s="8">
        <f>IFERROR(__xludf.DUMMYFUNCTION("""COMPUTED_VALUE"""),0.0)</f>
        <v>0</v>
      </c>
      <c r="Z33" s="8">
        <f>IFERROR(__xludf.DUMMYFUNCTION("""COMPUTED_VALUE"""),0.0)</f>
        <v>0</v>
      </c>
      <c r="AA33" s="8">
        <f>IFERROR(__xludf.DUMMYFUNCTION("""COMPUTED_VALUE"""),0.0)</f>
        <v>0</v>
      </c>
      <c r="AB33" s="8">
        <f>IFERROR(__xludf.DUMMYFUNCTION("""COMPUTED_VALUE"""),0.0)</f>
        <v>0</v>
      </c>
      <c r="AC33" s="8">
        <f>IFERROR(__xludf.DUMMYFUNCTION("""COMPUTED_VALUE"""),0.0)</f>
        <v>0</v>
      </c>
    </row>
    <row r="34" ht="15.75" customHeight="1">
      <c r="A34" s="6" t="str">
        <f>IFERROR(__xludf.DUMMYFUNCTION("""COMPUTED_VALUE"""),"1e2b4197fd4a9f595c560bc8d4530339758b031a")</f>
        <v>1e2b4197fd4a9f595c560bc8d4530339758b031a</v>
      </c>
      <c r="B34" s="6" t="str">
        <f>IFERROR(__xludf.DUMMYFUNCTION("""COMPUTED_VALUE"""),"Becoming Garrison Green")</f>
        <v>Becoming Garrison Green</v>
      </c>
      <c r="C34" s="6" t="str">
        <f>IFERROR(__xludf.DUMMYFUNCTION("""COMPUTED_VALUE"""),"Drama")</f>
        <v>Drama</v>
      </c>
      <c r="D34" s="11">
        <f>IFERROR(__xludf.DUMMYFUNCTION("""COMPUTED_VALUE"""),487.0)</f>
        <v>487</v>
      </c>
      <c r="E34" s="8">
        <f>IFERROR(__xludf.DUMMYFUNCTION("""COMPUTED_VALUE"""),0.97741273100616)</f>
        <v>0.977412731</v>
      </c>
      <c r="F34" s="8">
        <f>IFERROR(__xludf.DUMMYFUNCTION("""COMPUTED_VALUE"""),0.515400410677618)</f>
        <v>0.5154004107</v>
      </c>
      <c r="G34" s="8">
        <f>IFERROR(__xludf.DUMMYFUNCTION("""COMPUTED_VALUE"""),0.470225872689938)</f>
        <v>0.4702258727</v>
      </c>
      <c r="H34" s="8">
        <f>IFERROR(__xludf.DUMMYFUNCTION("""COMPUTED_VALUE"""),0.437371663244353)</f>
        <v>0.4373716632</v>
      </c>
      <c r="I34" s="8">
        <f>IFERROR(__xludf.DUMMYFUNCTION("""COMPUTED_VALUE"""),0.408624229979466)</f>
        <v>0.40862423</v>
      </c>
      <c r="J34" s="8">
        <f>IFERROR(__xludf.DUMMYFUNCTION("""COMPUTED_VALUE"""),0.37782340862423)</f>
        <v>0.3778234086</v>
      </c>
      <c r="K34" s="8">
        <f>IFERROR(__xludf.DUMMYFUNCTION("""COMPUTED_VALUE"""),0.351129363449692)</f>
        <v>0.3511293634</v>
      </c>
      <c r="L34" s="8">
        <f>IFERROR(__xludf.DUMMYFUNCTION("""COMPUTED_VALUE"""),0.336755646817248)</f>
        <v>0.3367556468</v>
      </c>
      <c r="M34" s="8">
        <f>IFERROR(__xludf.DUMMYFUNCTION("""COMPUTED_VALUE"""),0.324435318275154)</f>
        <v>0.3244353183</v>
      </c>
      <c r="N34" s="8">
        <f>IFERROR(__xludf.DUMMYFUNCTION("""COMPUTED_VALUE"""),0.314168377823408)</f>
        <v>0.3141683778</v>
      </c>
      <c r="O34" s="8">
        <f>IFERROR(__xludf.DUMMYFUNCTION("""COMPUTED_VALUE"""),0.264150943396226)</f>
        <v>0.2641509434</v>
      </c>
      <c r="P34" s="8">
        <f>IFERROR(__xludf.DUMMYFUNCTION("""COMPUTED_VALUE"""),0.206718346253229)</f>
        <v>0.2067183463</v>
      </c>
      <c r="Q34" s="8">
        <f>IFERROR(__xludf.DUMMYFUNCTION("""COMPUTED_VALUE"""),0.148698884758364)</f>
        <v>0.1486988848</v>
      </c>
      <c r="R34" s="8">
        <f>IFERROR(__xludf.DUMMYFUNCTION("""COMPUTED_VALUE"""),0.266666666666666)</f>
        <v>0.2666666667</v>
      </c>
      <c r="S34" s="8">
        <f>IFERROR(__xludf.DUMMYFUNCTION("""COMPUTED_VALUE"""),0.0)</f>
        <v>0</v>
      </c>
      <c r="T34" s="8">
        <f>IFERROR(__xludf.DUMMYFUNCTION("""COMPUTED_VALUE"""),0.0)</f>
        <v>0</v>
      </c>
      <c r="U34" s="8">
        <f>IFERROR(__xludf.DUMMYFUNCTION("""COMPUTED_VALUE"""),0.0)</f>
        <v>0</v>
      </c>
      <c r="V34" s="8">
        <f>IFERROR(__xludf.DUMMYFUNCTION("""COMPUTED_VALUE"""),0.0)</f>
        <v>0</v>
      </c>
      <c r="W34" s="8">
        <f>IFERROR(__xludf.DUMMYFUNCTION("""COMPUTED_VALUE"""),0.0)</f>
        <v>0</v>
      </c>
      <c r="X34" s="8">
        <f>IFERROR(__xludf.DUMMYFUNCTION("""COMPUTED_VALUE"""),0.0)</f>
        <v>0</v>
      </c>
      <c r="Y34" s="8">
        <f>IFERROR(__xludf.DUMMYFUNCTION("""COMPUTED_VALUE"""),0.0)</f>
        <v>0</v>
      </c>
      <c r="Z34" s="8">
        <f>IFERROR(__xludf.DUMMYFUNCTION("""COMPUTED_VALUE"""),0.0)</f>
        <v>0</v>
      </c>
      <c r="AA34" s="8">
        <f>IFERROR(__xludf.DUMMYFUNCTION("""COMPUTED_VALUE"""),0.0)</f>
        <v>0</v>
      </c>
      <c r="AB34" s="8">
        <f>IFERROR(__xludf.DUMMYFUNCTION("""COMPUTED_VALUE"""),0.0)</f>
        <v>0</v>
      </c>
      <c r="AC34" s="8">
        <f>IFERROR(__xludf.DUMMYFUNCTION("""COMPUTED_VALUE"""),0.0)</f>
        <v>0</v>
      </c>
    </row>
    <row r="35" ht="15.75" customHeight="1">
      <c r="A35" s="6" t="str">
        <f>IFERROR(__xludf.DUMMYFUNCTION("""COMPUTED_VALUE"""),"1e8c33b5d824973efcdca4b5194f961aed4ba258")</f>
        <v>1e8c33b5d824973efcdca4b5194f961aed4ba258</v>
      </c>
      <c r="B35" s="6" t="str">
        <f>IFERROR(__xludf.DUMMYFUNCTION("""COMPUTED_VALUE"""),"Mafia's Reluctant Bride")</f>
        <v>Mafia's Reluctant Bride</v>
      </c>
      <c r="C35" s="6" t="str">
        <f>IFERROR(__xludf.DUMMYFUNCTION("""COMPUTED_VALUE"""),"Romance")</f>
        <v>Romance</v>
      </c>
      <c r="D35" s="11">
        <f>IFERROR(__xludf.DUMMYFUNCTION("""COMPUTED_VALUE"""),566.0)</f>
        <v>566</v>
      </c>
      <c r="E35" s="8">
        <f>IFERROR(__xludf.DUMMYFUNCTION("""COMPUTED_VALUE"""),0.982332155477031)</f>
        <v>0.9823321555</v>
      </c>
      <c r="F35" s="8">
        <f>IFERROR(__xludf.DUMMYFUNCTION("""COMPUTED_VALUE"""),0.556537102473498)</f>
        <v>0.5565371025</v>
      </c>
      <c r="G35" s="8">
        <f>IFERROR(__xludf.DUMMYFUNCTION("""COMPUTED_VALUE"""),0.487632508833922)</f>
        <v>0.4876325088</v>
      </c>
      <c r="H35" s="8">
        <f>IFERROR(__xludf.DUMMYFUNCTION("""COMPUTED_VALUE"""),0.444660194174757)</f>
        <v>0.4446601942</v>
      </c>
      <c r="I35" s="8">
        <f>IFERROR(__xludf.DUMMYFUNCTION("""COMPUTED_VALUE"""),0.411881188118811)</f>
        <v>0.4118811881</v>
      </c>
      <c r="J35" s="8">
        <f>IFERROR(__xludf.DUMMYFUNCTION("""COMPUTED_VALUE"""),0.357873210633946)</f>
        <v>0.3578732106</v>
      </c>
      <c r="K35" s="8">
        <f>IFERROR(__xludf.DUMMYFUNCTION("""COMPUTED_VALUE"""),0.337526205450733)</f>
        <v>0.3375262055</v>
      </c>
      <c r="L35" s="8">
        <f>IFERROR(__xludf.DUMMYFUNCTION("""COMPUTED_VALUE"""),0.318284424379232)</f>
        <v>0.3182844244</v>
      </c>
      <c r="M35" s="8">
        <f>IFERROR(__xludf.DUMMYFUNCTION("""COMPUTED_VALUE"""),0.289340101522842)</f>
        <v>0.2893401015</v>
      </c>
      <c r="N35" s="8">
        <f>IFERROR(__xludf.DUMMYFUNCTION("""COMPUTED_VALUE"""),0.287096774193548)</f>
        <v>0.2870967742</v>
      </c>
      <c r="O35" s="8">
        <f>IFERROR(__xludf.DUMMYFUNCTION("""COMPUTED_VALUE"""),0.278571428571428)</f>
        <v>0.2785714286</v>
      </c>
      <c r="P35" s="8">
        <f>IFERROR(__xludf.DUMMYFUNCTION("""COMPUTED_VALUE"""),0.163636363636363)</f>
        <v>0.1636363636</v>
      </c>
      <c r="Q35" s="8">
        <f>IFERROR(__xludf.DUMMYFUNCTION("""COMPUTED_VALUE"""),0.0)</f>
        <v>0</v>
      </c>
      <c r="R35" s="8">
        <f>IFERROR(__xludf.DUMMYFUNCTION("""COMPUTED_VALUE"""),0.0)</f>
        <v>0</v>
      </c>
      <c r="S35" s="8">
        <f>IFERROR(__xludf.DUMMYFUNCTION("""COMPUTED_VALUE"""),0.0)</f>
        <v>0</v>
      </c>
      <c r="T35" s="8">
        <f>IFERROR(__xludf.DUMMYFUNCTION("""COMPUTED_VALUE"""),0.0)</f>
        <v>0</v>
      </c>
      <c r="U35" s="8">
        <f>IFERROR(__xludf.DUMMYFUNCTION("""COMPUTED_VALUE"""),0.0)</f>
        <v>0</v>
      </c>
      <c r="V35" s="8">
        <f>IFERROR(__xludf.DUMMYFUNCTION("""COMPUTED_VALUE"""),0.0)</f>
        <v>0</v>
      </c>
      <c r="W35" s="8">
        <f>IFERROR(__xludf.DUMMYFUNCTION("""COMPUTED_VALUE"""),0.0)</f>
        <v>0</v>
      </c>
      <c r="X35" s="8">
        <f>IFERROR(__xludf.DUMMYFUNCTION("""COMPUTED_VALUE"""),0.0)</f>
        <v>0</v>
      </c>
      <c r="Y35" s="8">
        <f>IFERROR(__xludf.DUMMYFUNCTION("""COMPUTED_VALUE"""),0.0)</f>
        <v>0</v>
      </c>
      <c r="Z35" s="8">
        <f>IFERROR(__xludf.DUMMYFUNCTION("""COMPUTED_VALUE"""),0.0)</f>
        <v>0</v>
      </c>
      <c r="AA35" s="8">
        <f>IFERROR(__xludf.DUMMYFUNCTION("""COMPUTED_VALUE"""),0.0)</f>
        <v>0</v>
      </c>
      <c r="AB35" s="8">
        <f>IFERROR(__xludf.DUMMYFUNCTION("""COMPUTED_VALUE"""),0.0)</f>
        <v>0</v>
      </c>
      <c r="AC35" s="8">
        <f>IFERROR(__xludf.DUMMYFUNCTION("""COMPUTED_VALUE"""),0.0)</f>
        <v>0</v>
      </c>
    </row>
    <row r="36" ht="15.75" customHeight="1">
      <c r="A36" s="6" t="str">
        <f>IFERROR(__xludf.DUMMYFUNCTION("""COMPUTED_VALUE"""),"1f78098e196cc2154bbadfe054e0bdd13c10fa60")</f>
        <v>1f78098e196cc2154bbadfe054e0bdd13c10fa60</v>
      </c>
      <c r="B36" s="6" t="str">
        <f>IFERROR(__xludf.DUMMYFUNCTION("""COMPUTED_VALUE"""),"The Marriage Timer")</f>
        <v>The Marriage Timer</v>
      </c>
      <c r="C36" s="6" t="str">
        <f>IFERROR(__xludf.DUMMYFUNCTION("""COMPUTED_VALUE"""),"Romance")</f>
        <v>Romance</v>
      </c>
      <c r="D36" s="11">
        <f>IFERROR(__xludf.DUMMYFUNCTION("""COMPUTED_VALUE"""),1226.0)</f>
        <v>1226</v>
      </c>
      <c r="E36" s="8">
        <f>IFERROR(__xludf.DUMMYFUNCTION("""COMPUTED_VALUE"""),0.967373572593801)</f>
        <v>0.9673735726</v>
      </c>
      <c r="F36" s="8">
        <f>IFERROR(__xludf.DUMMYFUNCTION("""COMPUTED_VALUE"""),0.628874388254486)</f>
        <v>0.6288743883</v>
      </c>
      <c r="G36" s="8">
        <f>IFERROR(__xludf.DUMMYFUNCTION("""COMPUTED_VALUE"""),0.535073409461663)</f>
        <v>0.5350734095</v>
      </c>
      <c r="H36" s="8">
        <f>IFERROR(__xludf.DUMMYFUNCTION("""COMPUTED_VALUE"""),0.481967213114754)</f>
        <v>0.4819672131</v>
      </c>
      <c r="I36" s="8">
        <f>IFERROR(__xludf.DUMMYFUNCTION("""COMPUTED_VALUE"""),0.459326211996713)</f>
        <v>0.459326212</v>
      </c>
      <c r="J36" s="8">
        <f>IFERROR(__xludf.DUMMYFUNCTION("""COMPUTED_VALUE"""),0.424217462932454)</f>
        <v>0.4242174629</v>
      </c>
      <c r="K36" s="8">
        <f>IFERROR(__xludf.DUMMYFUNCTION("""COMPUTED_VALUE"""),0.399010717230008)</f>
        <v>0.3990107172</v>
      </c>
      <c r="L36" s="8">
        <f>IFERROR(__xludf.DUMMYFUNCTION("""COMPUTED_VALUE"""),0.398178807947019)</f>
        <v>0.3981788079</v>
      </c>
      <c r="M36" s="8">
        <f>IFERROR(__xludf.DUMMYFUNCTION("""COMPUTED_VALUE"""),0.387230514096185)</f>
        <v>0.3872305141</v>
      </c>
      <c r="N36" s="8">
        <f>IFERROR(__xludf.DUMMYFUNCTION("""COMPUTED_VALUE"""),0.359634551495016)</f>
        <v>0.3596345515</v>
      </c>
      <c r="O36" s="8">
        <f>IFERROR(__xludf.DUMMYFUNCTION("""COMPUTED_VALUE"""),0.336691855583543)</f>
        <v>0.3366918556</v>
      </c>
      <c r="P36" s="8">
        <f>IFERROR(__xludf.DUMMYFUNCTION("""COMPUTED_VALUE"""),0.198988195615514)</f>
        <v>0.1989881956</v>
      </c>
      <c r="Q36" s="8">
        <f>IFERROR(__xludf.DUMMYFUNCTION("""COMPUTED_VALUE"""),0.103418054338299)</f>
        <v>0.1034180543</v>
      </c>
      <c r="R36" s="8">
        <f>IFERROR(__xludf.DUMMYFUNCTION("""COMPUTED_VALUE"""),0.0)</f>
        <v>0</v>
      </c>
      <c r="S36" s="8">
        <f>IFERROR(__xludf.DUMMYFUNCTION("""COMPUTED_VALUE"""),0.0)</f>
        <v>0</v>
      </c>
      <c r="T36" s="8">
        <f>IFERROR(__xludf.DUMMYFUNCTION("""COMPUTED_VALUE"""),0.0)</f>
        <v>0</v>
      </c>
      <c r="U36" s="8">
        <f>IFERROR(__xludf.DUMMYFUNCTION("""COMPUTED_VALUE"""),0.0)</f>
        <v>0</v>
      </c>
      <c r="V36" s="8">
        <f>IFERROR(__xludf.DUMMYFUNCTION("""COMPUTED_VALUE"""),0.0)</f>
        <v>0</v>
      </c>
      <c r="W36" s="8">
        <f>IFERROR(__xludf.DUMMYFUNCTION("""COMPUTED_VALUE"""),0.0)</f>
        <v>0</v>
      </c>
      <c r="X36" s="8">
        <f>IFERROR(__xludf.DUMMYFUNCTION("""COMPUTED_VALUE"""),0.0)</f>
        <v>0</v>
      </c>
      <c r="Y36" s="8">
        <f>IFERROR(__xludf.DUMMYFUNCTION("""COMPUTED_VALUE"""),0.0)</f>
        <v>0</v>
      </c>
      <c r="Z36" s="8">
        <f>IFERROR(__xludf.DUMMYFUNCTION("""COMPUTED_VALUE"""),0.0)</f>
        <v>0</v>
      </c>
      <c r="AA36" s="8">
        <f>IFERROR(__xludf.DUMMYFUNCTION("""COMPUTED_VALUE"""),0.0)</f>
        <v>0</v>
      </c>
      <c r="AB36" s="8">
        <f>IFERROR(__xludf.DUMMYFUNCTION("""COMPUTED_VALUE"""),0.0)</f>
        <v>0</v>
      </c>
      <c r="AC36" s="8">
        <f>IFERROR(__xludf.DUMMYFUNCTION("""COMPUTED_VALUE"""),0.0)</f>
        <v>0</v>
      </c>
    </row>
    <row r="37" ht="15.75" customHeight="1">
      <c r="A37" s="6" t="str">
        <f>IFERROR(__xludf.DUMMYFUNCTION("""COMPUTED_VALUE"""),"2039c770620dbd485e50118a476f0b91b4bd035b")</f>
        <v>2039c770620dbd485e50118a476f0b91b4bd035b</v>
      </c>
      <c r="B37" s="6" t="str">
        <f>IFERROR(__xludf.DUMMYFUNCTION("""COMPUTED_VALUE"""),"Princess Ebony &amp; the Silver Dragon - Remastered Edition")</f>
        <v>Princess Ebony &amp; the Silver Dragon - Remastered Edition</v>
      </c>
      <c r="C37" s="6" t="str">
        <f>IFERROR(__xludf.DUMMYFUNCTION("""COMPUTED_VALUE"""),"Fantasy")</f>
        <v>Fantasy</v>
      </c>
      <c r="D37" s="11">
        <f>IFERROR(__xludf.DUMMYFUNCTION("""COMPUTED_VALUE"""),5763.0)</f>
        <v>5763</v>
      </c>
      <c r="E37" s="8">
        <f>IFERROR(__xludf.DUMMYFUNCTION("""COMPUTED_VALUE"""),0.95072011105327)</f>
        <v>0.9507201111</v>
      </c>
      <c r="F37" s="8">
        <f>IFERROR(__xludf.DUMMYFUNCTION("""COMPUTED_VALUE"""),0.490716640638556)</f>
        <v>0.4907166406</v>
      </c>
      <c r="G37" s="8">
        <f>IFERROR(__xludf.DUMMYFUNCTION("""COMPUTED_VALUE"""),0.442998438313378)</f>
        <v>0.4429984383</v>
      </c>
      <c r="H37" s="8">
        <f>IFERROR(__xludf.DUMMYFUNCTION("""COMPUTED_VALUE"""),0.418803418803418)</f>
        <v>0.4188034188</v>
      </c>
      <c r="I37" s="8">
        <f>IFERROR(__xludf.DUMMYFUNCTION("""COMPUTED_VALUE"""),0.401015228426395)</f>
        <v>0.4010152284</v>
      </c>
      <c r="J37" s="8">
        <f>IFERROR(__xludf.DUMMYFUNCTION("""COMPUTED_VALUE"""),0.383829487405319)</f>
        <v>0.3838294874</v>
      </c>
      <c r="K37" s="8">
        <f>IFERROR(__xludf.DUMMYFUNCTION("""COMPUTED_VALUE"""),0.372014859366707)</f>
        <v>0.3720148594</v>
      </c>
      <c r="L37" s="8">
        <f>IFERROR(__xludf.DUMMYFUNCTION("""COMPUTED_VALUE"""),0.363021018881368)</f>
        <v>0.3630210189</v>
      </c>
      <c r="M37" s="8">
        <f>IFERROR(__xludf.DUMMYFUNCTION("""COMPUTED_VALUE"""),0.356338279992848)</f>
        <v>0.35633828</v>
      </c>
      <c r="N37" s="8">
        <f>IFERROR(__xludf.DUMMYFUNCTION("""COMPUTED_VALUE"""),0.349549549549549)</f>
        <v>0.3495495495</v>
      </c>
      <c r="O37" s="8">
        <f>IFERROR(__xludf.DUMMYFUNCTION("""COMPUTED_VALUE"""),0.335681186283595)</f>
        <v>0.3356811863</v>
      </c>
      <c r="P37" s="8">
        <f>IFERROR(__xludf.DUMMYFUNCTION("""COMPUTED_VALUE"""),0.310318076027928)</f>
        <v>0.310318076</v>
      </c>
      <c r="Q37" s="8">
        <f>IFERROR(__xludf.DUMMYFUNCTION("""COMPUTED_VALUE"""),0.267611683848797)</f>
        <v>0.2676116838</v>
      </c>
      <c r="R37" s="8">
        <f>IFERROR(__xludf.DUMMYFUNCTION("""COMPUTED_VALUE"""),0.215097771714415)</f>
        <v>0.2150977717</v>
      </c>
      <c r="S37" s="8">
        <f>IFERROR(__xludf.DUMMYFUNCTION("""COMPUTED_VALUE"""),0.175988428158148)</f>
        <v>0.1759884282</v>
      </c>
      <c r="T37" s="8">
        <f>IFERROR(__xludf.DUMMYFUNCTION("""COMPUTED_VALUE"""),0.144167758846657)</f>
        <v>0.1441677588</v>
      </c>
      <c r="U37" s="8">
        <f>IFERROR(__xludf.DUMMYFUNCTION("""COMPUTED_VALUE"""),0.117744610281923)</f>
        <v>0.1177446103</v>
      </c>
      <c r="V37" s="8">
        <f>IFERROR(__xludf.DUMMYFUNCTION("""COMPUTED_VALUE"""),0.0929339477726574)</f>
        <v>0.09293394777</v>
      </c>
      <c r="W37" s="8">
        <f>IFERROR(__xludf.DUMMYFUNCTION("""COMPUTED_VALUE"""),0.0583518930957683)</f>
        <v>0.0583518931</v>
      </c>
      <c r="X37" s="8">
        <f>IFERROR(__xludf.DUMMYFUNCTION("""COMPUTED_VALUE"""),0.0322807017543859)</f>
        <v>0.03228070175</v>
      </c>
      <c r="Y37" s="8">
        <f>IFERROR(__xludf.DUMMYFUNCTION("""COMPUTED_VALUE"""),0.0)</f>
        <v>0</v>
      </c>
      <c r="Z37" s="8">
        <f>IFERROR(__xludf.DUMMYFUNCTION("""COMPUTED_VALUE"""),0.0)</f>
        <v>0</v>
      </c>
      <c r="AA37" s="8">
        <f>IFERROR(__xludf.DUMMYFUNCTION("""COMPUTED_VALUE"""),0.0)</f>
        <v>0</v>
      </c>
      <c r="AB37" s="8">
        <f>IFERROR(__xludf.DUMMYFUNCTION("""COMPUTED_VALUE"""),0.0)</f>
        <v>0</v>
      </c>
      <c r="AC37" s="8">
        <f>IFERROR(__xludf.DUMMYFUNCTION("""COMPUTED_VALUE"""),0.0)</f>
        <v>0</v>
      </c>
    </row>
    <row r="38" ht="15.75" customHeight="1">
      <c r="A38" s="6" t="str">
        <f>IFERROR(__xludf.DUMMYFUNCTION("""COMPUTED_VALUE"""),"215d4622bad0b1fca5cb36bca9f92b3c41d21f7e")</f>
        <v>215d4622bad0b1fca5cb36bca9f92b3c41d21f7e</v>
      </c>
      <c r="B38" s="6" t="str">
        <f>IFERROR(__xludf.DUMMYFUNCTION("""COMPUTED_VALUE"""),"Aiden's Regression")</f>
        <v>Aiden's Regression</v>
      </c>
      <c r="C38" s="6" t="str">
        <f>IFERROR(__xludf.DUMMYFUNCTION("""COMPUTED_VALUE"""),"System and Superpower")</f>
        <v>System and Superpower</v>
      </c>
      <c r="D38" s="11">
        <f>IFERROR(__xludf.DUMMYFUNCTION("""COMPUTED_VALUE"""),51.0)</f>
        <v>51</v>
      </c>
      <c r="E38" s="8">
        <f>IFERROR(__xludf.DUMMYFUNCTION("""COMPUTED_VALUE"""),0.980392156862745)</f>
        <v>0.9803921569</v>
      </c>
      <c r="F38" s="8">
        <f>IFERROR(__xludf.DUMMYFUNCTION("""COMPUTED_VALUE"""),0.647058823529411)</f>
        <v>0.6470588235</v>
      </c>
      <c r="G38" s="8">
        <f>IFERROR(__xludf.DUMMYFUNCTION("""COMPUTED_VALUE"""),0.607843137254901)</f>
        <v>0.6078431373</v>
      </c>
      <c r="H38" s="8">
        <f>IFERROR(__xludf.DUMMYFUNCTION("""COMPUTED_VALUE"""),0.627450980392156)</f>
        <v>0.6274509804</v>
      </c>
      <c r="I38" s="8">
        <f>IFERROR(__xludf.DUMMYFUNCTION("""COMPUTED_VALUE"""),0.607843137254901)</f>
        <v>0.6078431373</v>
      </c>
      <c r="J38" s="8">
        <f>IFERROR(__xludf.DUMMYFUNCTION("""COMPUTED_VALUE"""),0.607843137254901)</f>
        <v>0.6078431373</v>
      </c>
      <c r="K38" s="8">
        <f>IFERROR(__xludf.DUMMYFUNCTION("""COMPUTED_VALUE"""),0.568627450980392)</f>
        <v>0.568627451</v>
      </c>
      <c r="L38" s="8">
        <f>IFERROR(__xludf.DUMMYFUNCTION("""COMPUTED_VALUE"""),0.549019607843137)</f>
        <v>0.5490196078</v>
      </c>
      <c r="M38" s="8">
        <f>IFERROR(__xludf.DUMMYFUNCTION("""COMPUTED_VALUE"""),0.54)</f>
        <v>0.54</v>
      </c>
      <c r="N38" s="8">
        <f>IFERROR(__xludf.DUMMYFUNCTION("""COMPUTED_VALUE"""),0.52)</f>
        <v>0.52</v>
      </c>
      <c r="O38" s="8">
        <f>IFERROR(__xludf.DUMMYFUNCTION("""COMPUTED_VALUE"""),0.456521739130434)</f>
        <v>0.4565217391</v>
      </c>
      <c r="P38" s="8">
        <f>IFERROR(__xludf.DUMMYFUNCTION("""COMPUTED_VALUE"""),0.375)</f>
        <v>0.375</v>
      </c>
      <c r="Q38" s="8">
        <f>IFERROR(__xludf.DUMMYFUNCTION("""COMPUTED_VALUE"""),0.0)</f>
        <v>0</v>
      </c>
      <c r="R38" s="8">
        <f>IFERROR(__xludf.DUMMYFUNCTION("""COMPUTED_VALUE"""),0.0)</f>
        <v>0</v>
      </c>
      <c r="S38" s="8">
        <f>IFERROR(__xludf.DUMMYFUNCTION("""COMPUTED_VALUE"""),0.0)</f>
        <v>0</v>
      </c>
      <c r="T38" s="8">
        <f>IFERROR(__xludf.DUMMYFUNCTION("""COMPUTED_VALUE"""),0.0)</f>
        <v>0</v>
      </c>
      <c r="U38" s="8">
        <f>IFERROR(__xludf.DUMMYFUNCTION("""COMPUTED_VALUE"""),0.0)</f>
        <v>0</v>
      </c>
      <c r="V38" s="8">
        <f>IFERROR(__xludf.DUMMYFUNCTION("""COMPUTED_VALUE"""),0.0)</f>
        <v>0</v>
      </c>
      <c r="W38" s="8">
        <f>IFERROR(__xludf.DUMMYFUNCTION("""COMPUTED_VALUE"""),0.0)</f>
        <v>0</v>
      </c>
      <c r="X38" s="8">
        <f>IFERROR(__xludf.DUMMYFUNCTION("""COMPUTED_VALUE"""),0.0)</f>
        <v>0</v>
      </c>
      <c r="Y38" s="8">
        <f>IFERROR(__xludf.DUMMYFUNCTION("""COMPUTED_VALUE"""),0.0)</f>
        <v>0</v>
      </c>
      <c r="Z38" s="8">
        <f>IFERROR(__xludf.DUMMYFUNCTION("""COMPUTED_VALUE"""),0.0)</f>
        <v>0</v>
      </c>
      <c r="AA38" s="8">
        <f>IFERROR(__xludf.DUMMYFUNCTION("""COMPUTED_VALUE"""),0.0)</f>
        <v>0</v>
      </c>
      <c r="AB38" s="8">
        <f>IFERROR(__xludf.DUMMYFUNCTION("""COMPUTED_VALUE"""),0.0)</f>
        <v>0</v>
      </c>
      <c r="AC38" s="8">
        <f>IFERROR(__xludf.DUMMYFUNCTION("""COMPUTED_VALUE"""),0.0)</f>
        <v>0</v>
      </c>
    </row>
    <row r="39" ht="15.75" customHeight="1">
      <c r="A39" s="6" t="str">
        <f>IFERROR(__xludf.DUMMYFUNCTION("""COMPUTED_VALUE"""),"2217881cc8f3c05fb3e0dbf70a118129e4e12471")</f>
        <v>2217881cc8f3c05fb3e0dbf70a118129e4e12471</v>
      </c>
      <c r="B39" s="6" t="str">
        <f>IFERROR(__xludf.DUMMYFUNCTION("""COMPUTED_VALUE"""),"Sevenfold Saint's Rise")</f>
        <v>Sevenfold Saint's Rise</v>
      </c>
      <c r="C39" s="6" t="str">
        <f>IFERROR(__xludf.DUMMYFUNCTION("""COMPUTED_VALUE"""),"Fantasy")</f>
        <v>Fantasy</v>
      </c>
      <c r="D39" s="11">
        <f>IFERROR(__xludf.DUMMYFUNCTION("""COMPUTED_VALUE"""),91.0)</f>
        <v>91</v>
      </c>
      <c r="E39" s="8">
        <f>IFERROR(__xludf.DUMMYFUNCTION("""COMPUTED_VALUE"""),0.956043956043956)</f>
        <v>0.956043956</v>
      </c>
      <c r="F39" s="8">
        <f>IFERROR(__xludf.DUMMYFUNCTION("""COMPUTED_VALUE"""),0.615384615384615)</f>
        <v>0.6153846154</v>
      </c>
      <c r="G39" s="8">
        <f>IFERROR(__xludf.DUMMYFUNCTION("""COMPUTED_VALUE"""),0.549450549450549)</f>
        <v>0.5494505495</v>
      </c>
      <c r="H39" s="8">
        <f>IFERROR(__xludf.DUMMYFUNCTION("""COMPUTED_VALUE"""),0.528089887640449)</f>
        <v>0.5280898876</v>
      </c>
      <c r="I39" s="8">
        <f>IFERROR(__xludf.DUMMYFUNCTION("""COMPUTED_VALUE"""),0.449438202247191)</f>
        <v>0.4494382022</v>
      </c>
      <c r="J39" s="8">
        <f>IFERROR(__xludf.DUMMYFUNCTION("""COMPUTED_VALUE"""),0.337209302325581)</f>
        <v>0.3372093023</v>
      </c>
      <c r="K39" s="8">
        <f>IFERROR(__xludf.DUMMYFUNCTION("""COMPUTED_VALUE"""),0.302325581395348)</f>
        <v>0.3023255814</v>
      </c>
      <c r="L39" s="8">
        <f>IFERROR(__xludf.DUMMYFUNCTION("""COMPUTED_VALUE"""),0.305882352941176)</f>
        <v>0.3058823529</v>
      </c>
      <c r="M39" s="8">
        <f>IFERROR(__xludf.DUMMYFUNCTION("""COMPUTED_VALUE"""),0.271604938271604)</f>
        <v>0.2716049383</v>
      </c>
      <c r="N39" s="8">
        <f>IFERROR(__xludf.DUMMYFUNCTION("""COMPUTED_VALUE"""),0.220588235294117)</f>
        <v>0.2205882353</v>
      </c>
      <c r="O39" s="8">
        <f>IFERROR(__xludf.DUMMYFUNCTION("""COMPUTED_VALUE"""),0.0)</f>
        <v>0</v>
      </c>
      <c r="P39" s="8">
        <f>IFERROR(__xludf.DUMMYFUNCTION("""COMPUTED_VALUE"""),0.0)</f>
        <v>0</v>
      </c>
      <c r="Q39" s="8">
        <f>IFERROR(__xludf.DUMMYFUNCTION("""COMPUTED_VALUE"""),0.0)</f>
        <v>0</v>
      </c>
      <c r="R39" s="8">
        <f>IFERROR(__xludf.DUMMYFUNCTION("""COMPUTED_VALUE"""),0.0)</f>
        <v>0</v>
      </c>
      <c r="S39" s="8">
        <f>IFERROR(__xludf.DUMMYFUNCTION("""COMPUTED_VALUE"""),0.0)</f>
        <v>0</v>
      </c>
      <c r="T39" s="8">
        <f>IFERROR(__xludf.DUMMYFUNCTION("""COMPUTED_VALUE"""),0.0)</f>
        <v>0</v>
      </c>
      <c r="U39" s="8">
        <f>IFERROR(__xludf.DUMMYFUNCTION("""COMPUTED_VALUE"""),0.0)</f>
        <v>0</v>
      </c>
      <c r="V39" s="8">
        <f>IFERROR(__xludf.DUMMYFUNCTION("""COMPUTED_VALUE"""),0.0)</f>
        <v>0</v>
      </c>
      <c r="W39" s="8">
        <f>IFERROR(__xludf.DUMMYFUNCTION("""COMPUTED_VALUE"""),0.0)</f>
        <v>0</v>
      </c>
      <c r="X39" s="8">
        <f>IFERROR(__xludf.DUMMYFUNCTION("""COMPUTED_VALUE"""),0.0)</f>
        <v>0</v>
      </c>
      <c r="Y39" s="8">
        <f>IFERROR(__xludf.DUMMYFUNCTION("""COMPUTED_VALUE"""),0.0)</f>
        <v>0</v>
      </c>
      <c r="Z39" s="8">
        <f>IFERROR(__xludf.DUMMYFUNCTION("""COMPUTED_VALUE"""),0.0)</f>
        <v>0</v>
      </c>
      <c r="AA39" s="8">
        <f>IFERROR(__xludf.DUMMYFUNCTION("""COMPUTED_VALUE"""),0.0)</f>
        <v>0</v>
      </c>
      <c r="AB39" s="8">
        <f>IFERROR(__xludf.DUMMYFUNCTION("""COMPUTED_VALUE"""),0.0)</f>
        <v>0</v>
      </c>
      <c r="AC39" s="8">
        <f>IFERROR(__xludf.DUMMYFUNCTION("""COMPUTED_VALUE"""),0.0)</f>
        <v>0</v>
      </c>
    </row>
    <row r="40" ht="15.75" customHeight="1">
      <c r="A40" s="6" t="str">
        <f>IFERROR(__xludf.DUMMYFUNCTION("""COMPUTED_VALUE"""),"23200139c53ab123429a0f621a7519272bf21ea7")</f>
        <v>23200139c53ab123429a0f621a7519272bf21ea7</v>
      </c>
      <c r="B40" s="6" t="str">
        <f>IFERROR(__xludf.DUMMYFUNCTION("""COMPUTED_VALUE"""),"The Fae Lycan Abomination")</f>
        <v>The Fae Lycan Abomination</v>
      </c>
      <c r="C40" s="6" t="str">
        <f>IFERROR(__xludf.DUMMYFUNCTION("""COMPUTED_VALUE"""),"Fantasy")</f>
        <v>Fantasy</v>
      </c>
      <c r="D40" s="11">
        <f>IFERROR(__xludf.DUMMYFUNCTION("""COMPUTED_VALUE"""),102.0)</f>
        <v>102</v>
      </c>
      <c r="E40" s="8">
        <f>IFERROR(__xludf.DUMMYFUNCTION("""COMPUTED_VALUE"""),0.990196078431372)</f>
        <v>0.9901960784</v>
      </c>
      <c r="F40" s="8">
        <f>IFERROR(__xludf.DUMMYFUNCTION("""COMPUTED_VALUE"""),0.509803921568627)</f>
        <v>0.5098039216</v>
      </c>
      <c r="G40" s="8">
        <f>IFERROR(__xludf.DUMMYFUNCTION("""COMPUTED_VALUE"""),0.401960784313725)</f>
        <v>0.4019607843</v>
      </c>
      <c r="H40" s="8">
        <f>IFERROR(__xludf.DUMMYFUNCTION("""COMPUTED_VALUE"""),0.313953488372093)</f>
        <v>0.3139534884</v>
      </c>
      <c r="I40" s="8">
        <f>IFERROR(__xludf.DUMMYFUNCTION("""COMPUTED_VALUE"""),0.32051282051282)</f>
        <v>0.3205128205</v>
      </c>
      <c r="J40" s="8">
        <f>IFERROR(__xludf.DUMMYFUNCTION("""COMPUTED_VALUE"""),0.289855072463768)</f>
        <v>0.2898550725</v>
      </c>
      <c r="K40" s="8">
        <f>IFERROR(__xludf.DUMMYFUNCTION("""COMPUTED_VALUE"""),0.274193548387096)</f>
        <v>0.2741935484</v>
      </c>
      <c r="L40" s="8">
        <f>IFERROR(__xludf.DUMMYFUNCTION("""COMPUTED_VALUE"""),0.267857142857142)</f>
        <v>0.2678571429</v>
      </c>
      <c r="M40" s="8">
        <f>IFERROR(__xludf.DUMMYFUNCTION("""COMPUTED_VALUE"""),0.274509803921568)</f>
        <v>0.2745098039</v>
      </c>
      <c r="N40" s="8">
        <f>IFERROR(__xludf.DUMMYFUNCTION("""COMPUTED_VALUE"""),0.31578947368421)</f>
        <v>0.3157894737</v>
      </c>
      <c r="O40" s="8">
        <f>IFERROR(__xludf.DUMMYFUNCTION("""COMPUTED_VALUE"""),0.166666666666666)</f>
        <v>0.1666666667</v>
      </c>
      <c r="P40" s="8">
        <f>IFERROR(__xludf.DUMMYFUNCTION("""COMPUTED_VALUE"""),0.0833333333333333)</f>
        <v>0.08333333333</v>
      </c>
      <c r="Q40" s="8">
        <f>IFERROR(__xludf.DUMMYFUNCTION("""COMPUTED_VALUE"""),0.0)</f>
        <v>0</v>
      </c>
      <c r="R40" s="8">
        <f>IFERROR(__xludf.DUMMYFUNCTION("""COMPUTED_VALUE"""),0.0)</f>
        <v>0</v>
      </c>
      <c r="S40" s="8">
        <f>IFERROR(__xludf.DUMMYFUNCTION("""COMPUTED_VALUE"""),0.0)</f>
        <v>0</v>
      </c>
      <c r="T40" s="8">
        <f>IFERROR(__xludf.DUMMYFUNCTION("""COMPUTED_VALUE"""),0.0)</f>
        <v>0</v>
      </c>
      <c r="U40" s="8">
        <f>IFERROR(__xludf.DUMMYFUNCTION("""COMPUTED_VALUE"""),0.0)</f>
        <v>0</v>
      </c>
      <c r="V40" s="8">
        <f>IFERROR(__xludf.DUMMYFUNCTION("""COMPUTED_VALUE"""),0.0)</f>
        <v>0</v>
      </c>
      <c r="W40" s="8">
        <f>IFERROR(__xludf.DUMMYFUNCTION("""COMPUTED_VALUE"""),0.0)</f>
        <v>0</v>
      </c>
      <c r="X40" s="8">
        <f>IFERROR(__xludf.DUMMYFUNCTION("""COMPUTED_VALUE"""),0.0)</f>
        <v>0</v>
      </c>
      <c r="Y40" s="8">
        <f>IFERROR(__xludf.DUMMYFUNCTION("""COMPUTED_VALUE"""),0.0)</f>
        <v>0</v>
      </c>
      <c r="Z40" s="8">
        <f>IFERROR(__xludf.DUMMYFUNCTION("""COMPUTED_VALUE"""),0.0)</f>
        <v>0</v>
      </c>
      <c r="AA40" s="8">
        <f>IFERROR(__xludf.DUMMYFUNCTION("""COMPUTED_VALUE"""),0.0)</f>
        <v>0</v>
      </c>
      <c r="AB40" s="8">
        <f>IFERROR(__xludf.DUMMYFUNCTION("""COMPUTED_VALUE"""),0.0)</f>
        <v>0</v>
      </c>
      <c r="AC40" s="8">
        <f>IFERROR(__xludf.DUMMYFUNCTION("""COMPUTED_VALUE"""),0.0)</f>
        <v>0</v>
      </c>
    </row>
    <row r="41" ht="15.75" customHeight="1">
      <c r="A41" s="6" t="str">
        <f>IFERROR(__xludf.DUMMYFUNCTION("""COMPUTED_VALUE"""),"234ed47144507d63e9a903acfe37512c24bc9290")</f>
        <v>234ed47144507d63e9a903acfe37512c24bc9290</v>
      </c>
      <c r="B41" s="6" t="str">
        <f>IFERROR(__xludf.DUMMYFUNCTION("""COMPUTED_VALUE"""),"Twists of Love &amp; Revenge")</f>
        <v>Twists of Love &amp; Revenge</v>
      </c>
      <c r="C41" s="6" t="str">
        <f>IFERROR(__xludf.DUMMYFUNCTION("""COMPUTED_VALUE"""),"Drama")</f>
        <v>Drama</v>
      </c>
      <c r="D41" s="11">
        <f>IFERROR(__xludf.DUMMYFUNCTION("""COMPUTED_VALUE"""),8155.0)</f>
        <v>8155</v>
      </c>
      <c r="E41" s="8">
        <f>IFERROR(__xludf.DUMMYFUNCTION("""COMPUTED_VALUE"""),0.951318209687308)</f>
        <v>0.9513182097</v>
      </c>
      <c r="F41" s="8">
        <f>IFERROR(__xludf.DUMMYFUNCTION("""COMPUTED_VALUE"""),0.715389331698344)</f>
        <v>0.7153893317</v>
      </c>
      <c r="G41" s="8">
        <f>IFERROR(__xludf.DUMMYFUNCTION("""COMPUTED_VALUE"""),0.661557326793378)</f>
        <v>0.6615573268</v>
      </c>
      <c r="H41" s="8">
        <f>IFERROR(__xludf.DUMMYFUNCTION("""COMPUTED_VALUE"""),0.616488774383511)</f>
        <v>0.6164887744</v>
      </c>
      <c r="I41" s="8">
        <f>IFERROR(__xludf.DUMMYFUNCTION("""COMPUTED_VALUE"""),0.588220858895705)</f>
        <v>0.5882208589</v>
      </c>
      <c r="J41" s="8">
        <f>IFERROR(__xludf.DUMMYFUNCTION("""COMPUTED_VALUE"""),0.571375966613477)</f>
        <v>0.5713759666</v>
      </c>
      <c r="K41" s="8">
        <f>IFERROR(__xludf.DUMMYFUNCTION("""COMPUTED_VALUE"""),0.556169429097605)</f>
        <v>0.5561694291</v>
      </c>
      <c r="L41" s="8">
        <f>IFERROR(__xludf.DUMMYFUNCTION("""COMPUTED_VALUE"""),0.542562338779019)</f>
        <v>0.5425623388</v>
      </c>
      <c r="M41" s="8">
        <f>IFERROR(__xludf.DUMMYFUNCTION("""COMPUTED_VALUE"""),0.533366105444266)</f>
        <v>0.5333661054</v>
      </c>
      <c r="N41" s="8">
        <f>IFERROR(__xludf.DUMMYFUNCTION("""COMPUTED_VALUE"""),0.5259404966806)</f>
        <v>0.5259404967</v>
      </c>
      <c r="O41" s="8">
        <f>IFERROR(__xludf.DUMMYFUNCTION("""COMPUTED_VALUE"""),0.50246184145741)</f>
        <v>0.5024618415</v>
      </c>
      <c r="P41" s="8">
        <f>IFERROR(__xludf.DUMMYFUNCTION("""COMPUTED_VALUE"""),0.454601605929586)</f>
        <v>0.4546016059</v>
      </c>
      <c r="Q41" s="8">
        <f>IFERROR(__xludf.DUMMYFUNCTION("""COMPUTED_VALUE"""),0.375311100049776)</f>
        <v>0.3753111</v>
      </c>
      <c r="R41" s="8">
        <f>IFERROR(__xludf.DUMMYFUNCTION("""COMPUTED_VALUE"""),0.302965836566136)</f>
        <v>0.3029658366</v>
      </c>
      <c r="S41" s="8">
        <f>IFERROR(__xludf.DUMMYFUNCTION("""COMPUTED_VALUE"""),0.274603574125346)</f>
        <v>0.2746035741</v>
      </c>
      <c r="T41" s="8">
        <f>IFERROR(__xludf.DUMMYFUNCTION("""COMPUTED_VALUE"""),0.260743174924165)</f>
        <v>0.2607431749</v>
      </c>
      <c r="U41" s="8">
        <f>IFERROR(__xludf.DUMMYFUNCTION("""COMPUTED_VALUE"""),0.237032339885859)</f>
        <v>0.2370323399</v>
      </c>
      <c r="V41" s="8">
        <f>IFERROR(__xludf.DUMMYFUNCTION("""COMPUTED_VALUE"""),0.217384615384615)</f>
        <v>0.2173846154</v>
      </c>
      <c r="W41" s="8">
        <f>IFERROR(__xludf.DUMMYFUNCTION("""COMPUTED_VALUE"""),0.204484019716966)</f>
        <v>0.2044840197</v>
      </c>
      <c r="X41" s="8">
        <f>IFERROR(__xludf.DUMMYFUNCTION("""COMPUTED_VALUE"""),0.184524839882291)</f>
        <v>0.1845248399</v>
      </c>
      <c r="Y41" s="8">
        <f>IFERROR(__xludf.DUMMYFUNCTION("""COMPUTED_VALUE"""),0.165414945550131)</f>
        <v>0.1654149456</v>
      </c>
      <c r="Z41" s="8">
        <f>IFERROR(__xludf.DUMMYFUNCTION("""COMPUTED_VALUE"""),0.138083735909822)</f>
        <v>0.1380837359</v>
      </c>
      <c r="AA41" s="8">
        <f>IFERROR(__xludf.DUMMYFUNCTION("""COMPUTED_VALUE"""),0.0746113989637305)</f>
        <v>0.07461139896</v>
      </c>
      <c r="AB41" s="8">
        <f>IFERROR(__xludf.DUMMYFUNCTION("""COMPUTED_VALUE"""),0.0304054054054054)</f>
        <v>0.03040540541</v>
      </c>
      <c r="AC41" s="8">
        <f>IFERROR(__xludf.DUMMYFUNCTION("""COMPUTED_VALUE"""),0.0)</f>
        <v>0</v>
      </c>
    </row>
    <row r="42" ht="15.75" customHeight="1">
      <c r="A42" s="6" t="str">
        <f>IFERROR(__xludf.DUMMYFUNCTION("""COMPUTED_VALUE"""),"239987644f409ac822be4ca9051a98eb8bf7e766")</f>
        <v>239987644f409ac822be4ca9051a98eb8bf7e766</v>
      </c>
      <c r="B42" s="6" t="str">
        <f>IFERROR(__xludf.DUMMYFUNCTION("""COMPUTED_VALUE"""),"The Silent Rebirth")</f>
        <v>The Silent Rebirth</v>
      </c>
      <c r="C42" s="6" t="str">
        <f>IFERROR(__xludf.DUMMYFUNCTION("""COMPUTED_VALUE"""),"Romantasy")</f>
        <v>Romantasy</v>
      </c>
      <c r="D42" s="11">
        <f>IFERROR(__xludf.DUMMYFUNCTION("""COMPUTED_VALUE"""),3656.0)</f>
        <v>3656</v>
      </c>
      <c r="E42" s="8">
        <f>IFERROR(__xludf.DUMMYFUNCTION("""COMPUTED_VALUE"""),0.960612691466083)</f>
        <v>0.9606126915</v>
      </c>
      <c r="F42" s="8">
        <f>IFERROR(__xludf.DUMMYFUNCTION("""COMPUTED_VALUE"""),0.62199124726477)</f>
        <v>0.6219912473</v>
      </c>
      <c r="G42" s="8">
        <f>IFERROR(__xludf.DUMMYFUNCTION("""COMPUTED_VALUE"""),0.564004376367614)</f>
        <v>0.5640043764</v>
      </c>
      <c r="H42" s="8">
        <f>IFERROR(__xludf.DUMMYFUNCTION("""COMPUTED_VALUE"""),0.530087527352297)</f>
        <v>0.5300875274</v>
      </c>
      <c r="I42" s="8">
        <f>IFERROR(__xludf.DUMMYFUNCTION("""COMPUTED_VALUE"""),0.512448700410396)</f>
        <v>0.5124487004</v>
      </c>
      <c r="J42" s="8">
        <f>IFERROR(__xludf.DUMMYFUNCTION("""COMPUTED_VALUE"""),0.484815321477428)</f>
        <v>0.4848153215</v>
      </c>
      <c r="K42" s="8">
        <f>IFERROR(__xludf.DUMMYFUNCTION("""COMPUTED_VALUE"""),0.463601532567049)</f>
        <v>0.4636015326</v>
      </c>
      <c r="L42" s="8">
        <f>IFERROR(__xludf.DUMMYFUNCTION("""COMPUTED_VALUE"""),0.453475643130815)</f>
        <v>0.4534756431</v>
      </c>
      <c r="M42" s="8">
        <f>IFERROR(__xludf.DUMMYFUNCTION("""COMPUTED_VALUE"""),0.443349753694581)</f>
        <v>0.4433497537</v>
      </c>
      <c r="N42" s="8">
        <f>IFERROR(__xludf.DUMMYFUNCTION("""COMPUTED_VALUE"""),0.43334245825349)</f>
        <v>0.4333424583</v>
      </c>
      <c r="O42" s="8">
        <f>IFERROR(__xludf.DUMMYFUNCTION("""COMPUTED_VALUE"""),0.417672886937431)</f>
        <v>0.4176728869</v>
      </c>
      <c r="P42" s="8">
        <f>IFERROR(__xludf.DUMMYFUNCTION("""COMPUTED_VALUE"""),0.361057559900853)</f>
        <v>0.3610575599</v>
      </c>
      <c r="Q42" s="8">
        <f>IFERROR(__xludf.DUMMYFUNCTION("""COMPUTED_VALUE"""),0.276666666666666)</f>
        <v>0.2766666667</v>
      </c>
      <c r="R42" s="8">
        <f>IFERROR(__xludf.DUMMYFUNCTION("""COMPUTED_VALUE"""),0.244815846487155)</f>
        <v>0.2448158465</v>
      </c>
      <c r="S42" s="8">
        <f>IFERROR(__xludf.DUMMYFUNCTION("""COMPUTED_VALUE"""),0.211485148514851)</f>
        <v>0.2114851485</v>
      </c>
      <c r="T42" s="8">
        <f>IFERROR(__xludf.DUMMYFUNCTION("""COMPUTED_VALUE"""),0.183716075156576)</f>
        <v>0.1837160752</v>
      </c>
      <c r="U42" s="8">
        <f>IFERROR(__xludf.DUMMYFUNCTION("""COMPUTED_VALUE"""),0.168854415274463)</f>
        <v>0.1688544153</v>
      </c>
      <c r="V42" s="8">
        <f>IFERROR(__xludf.DUMMYFUNCTION("""COMPUTED_VALUE"""),0.155970149253731)</f>
        <v>0.1559701493</v>
      </c>
      <c r="W42" s="8">
        <f>IFERROR(__xludf.DUMMYFUNCTION("""COMPUTED_VALUE"""),0.114)</f>
        <v>0.114</v>
      </c>
      <c r="X42" s="8">
        <f>IFERROR(__xludf.DUMMYFUNCTION("""COMPUTED_VALUE"""),0.0849478390461997)</f>
        <v>0.08494783905</v>
      </c>
      <c r="Y42" s="8">
        <f>IFERROR(__xludf.DUMMYFUNCTION("""COMPUTED_VALUE"""),0.0)</f>
        <v>0</v>
      </c>
      <c r="Z42" s="8">
        <f>IFERROR(__xludf.DUMMYFUNCTION("""COMPUTED_VALUE"""),0.0)</f>
        <v>0</v>
      </c>
      <c r="AA42" s="8">
        <f>IFERROR(__xludf.DUMMYFUNCTION("""COMPUTED_VALUE"""),0.0)</f>
        <v>0</v>
      </c>
      <c r="AB42" s="8">
        <f>IFERROR(__xludf.DUMMYFUNCTION("""COMPUTED_VALUE"""),0.0)</f>
        <v>0</v>
      </c>
      <c r="AC42" s="8">
        <f>IFERROR(__xludf.DUMMYFUNCTION("""COMPUTED_VALUE"""),0.0)</f>
        <v>0</v>
      </c>
    </row>
    <row r="43" ht="15.75" customHeight="1">
      <c r="A43" s="6" t="str">
        <f>IFERROR(__xludf.DUMMYFUNCTION("""COMPUTED_VALUE"""),"239fafc880752526fba110a11c49b101aec7192f")</f>
        <v>239fafc880752526fba110a11c49b101aec7192f</v>
      </c>
      <c r="B43" s="6" t="str">
        <f>IFERROR(__xludf.DUMMYFUNCTION("""COMPUTED_VALUE"""),"Mama's Lil Kings")</f>
        <v>Mama's Lil Kings</v>
      </c>
      <c r="C43" s="6" t="str">
        <f>IFERROR(__xludf.DUMMYFUNCTION("""COMPUTED_VALUE"""),"Drama")</f>
        <v>Drama</v>
      </c>
      <c r="D43" s="11">
        <f>IFERROR(__xludf.DUMMYFUNCTION("""COMPUTED_VALUE"""),71.0)</f>
        <v>71</v>
      </c>
      <c r="E43" s="8">
        <f>IFERROR(__xludf.DUMMYFUNCTION("""COMPUTED_VALUE"""),0.971830985915493)</f>
        <v>0.9718309859</v>
      </c>
      <c r="F43" s="8">
        <f>IFERROR(__xludf.DUMMYFUNCTION("""COMPUTED_VALUE"""),0.154929577464788)</f>
        <v>0.1549295775</v>
      </c>
      <c r="G43" s="8">
        <f>IFERROR(__xludf.DUMMYFUNCTION("""COMPUTED_VALUE"""),0.140845070422535)</f>
        <v>0.1408450704</v>
      </c>
      <c r="H43" s="8">
        <f>IFERROR(__xludf.DUMMYFUNCTION("""COMPUTED_VALUE"""),0.0985915492957746)</f>
        <v>0.0985915493</v>
      </c>
      <c r="I43" s="8">
        <f>IFERROR(__xludf.DUMMYFUNCTION("""COMPUTED_VALUE"""),0.0845070422535211)</f>
        <v>0.08450704225</v>
      </c>
      <c r="J43" s="8">
        <f>IFERROR(__xludf.DUMMYFUNCTION("""COMPUTED_VALUE"""),0.0579710144927536)</f>
        <v>0.05797101449</v>
      </c>
      <c r="K43" s="8">
        <f>IFERROR(__xludf.DUMMYFUNCTION("""COMPUTED_VALUE"""),0.0588235294117647)</f>
        <v>0.05882352941</v>
      </c>
      <c r="L43" s="8">
        <f>IFERROR(__xludf.DUMMYFUNCTION("""COMPUTED_VALUE"""),0.044776119402985)</f>
        <v>0.0447761194</v>
      </c>
      <c r="M43" s="8">
        <f>IFERROR(__xludf.DUMMYFUNCTION("""COMPUTED_VALUE"""),0.044776119402985)</f>
        <v>0.0447761194</v>
      </c>
      <c r="N43" s="8">
        <f>IFERROR(__xludf.DUMMYFUNCTION("""COMPUTED_VALUE"""),0.0625)</f>
        <v>0.0625</v>
      </c>
      <c r="O43" s="8">
        <f>IFERROR(__xludf.DUMMYFUNCTION("""COMPUTED_VALUE"""),0.064516129032258)</f>
        <v>0.06451612903</v>
      </c>
      <c r="P43" s="8">
        <f>IFERROR(__xludf.DUMMYFUNCTION("""COMPUTED_VALUE"""),0.032258064516129)</f>
        <v>0.03225806452</v>
      </c>
      <c r="Q43" s="8">
        <f>IFERROR(__xludf.DUMMYFUNCTION("""COMPUTED_VALUE"""),0.0333333333333333)</f>
        <v>0.03333333333</v>
      </c>
      <c r="R43" s="8">
        <f>IFERROR(__xludf.DUMMYFUNCTION("""COMPUTED_VALUE"""),0.0344827586206896)</f>
        <v>0.03448275862</v>
      </c>
      <c r="S43" s="8">
        <f>IFERROR(__xludf.DUMMYFUNCTION("""COMPUTED_VALUE"""),0.0344827586206896)</f>
        <v>0.03448275862</v>
      </c>
      <c r="T43" s="8">
        <f>IFERROR(__xludf.DUMMYFUNCTION("""COMPUTED_VALUE"""),0.0377358490566037)</f>
        <v>0.03773584906</v>
      </c>
      <c r="U43" s="8">
        <f>IFERROR(__xludf.DUMMYFUNCTION("""COMPUTED_VALUE"""),0.0425531914893617)</f>
        <v>0.04255319149</v>
      </c>
      <c r="V43" s="8">
        <f>IFERROR(__xludf.DUMMYFUNCTION("""COMPUTED_VALUE"""),0.0465116279069767)</f>
        <v>0.04651162791</v>
      </c>
      <c r="W43" s="8">
        <f>IFERROR(__xludf.DUMMYFUNCTION("""COMPUTED_VALUE"""),0.0555555555555555)</f>
        <v>0.05555555556</v>
      </c>
      <c r="X43" s="8">
        <f>IFERROR(__xludf.DUMMYFUNCTION("""COMPUTED_VALUE"""),0.0285714285714285)</f>
        <v>0.02857142857</v>
      </c>
      <c r="Y43" s="8">
        <f>IFERROR(__xludf.DUMMYFUNCTION("""COMPUTED_VALUE"""),0.0666666666666666)</f>
        <v>0.06666666667</v>
      </c>
      <c r="Z43" s="8">
        <f>IFERROR(__xludf.DUMMYFUNCTION("""COMPUTED_VALUE"""),0.0)</f>
        <v>0</v>
      </c>
      <c r="AA43" s="8">
        <f>IFERROR(__xludf.DUMMYFUNCTION("""COMPUTED_VALUE"""),0.0)</f>
        <v>0</v>
      </c>
      <c r="AB43" s="8">
        <f>IFERROR(__xludf.DUMMYFUNCTION("""COMPUTED_VALUE"""),0.0)</f>
        <v>0</v>
      </c>
      <c r="AC43" s="8">
        <f>IFERROR(__xludf.DUMMYFUNCTION("""COMPUTED_VALUE"""),0.0)</f>
        <v>0</v>
      </c>
    </row>
    <row r="44" ht="15.75" customHeight="1">
      <c r="A44" s="6" t="str">
        <f>IFERROR(__xludf.DUMMYFUNCTION("""COMPUTED_VALUE"""),"23a0bb3d5deb8d4707bdb34175170e288d724c97")</f>
        <v>23a0bb3d5deb8d4707bdb34175170e288d724c97</v>
      </c>
      <c r="B44" s="6" t="str">
        <f>IFERROR(__xludf.DUMMYFUNCTION("""COMPUTED_VALUE"""),"System of Super Tech")</f>
        <v>System of Super Tech</v>
      </c>
      <c r="C44" s="6" t="str">
        <f>IFERROR(__xludf.DUMMYFUNCTION("""COMPUTED_VALUE"""),"System and Superpower")</f>
        <v>System and Superpower</v>
      </c>
      <c r="D44" s="11">
        <f>IFERROR(__xludf.DUMMYFUNCTION("""COMPUTED_VALUE"""),23.0)</f>
        <v>23</v>
      </c>
      <c r="E44" s="8">
        <f>IFERROR(__xludf.DUMMYFUNCTION("""COMPUTED_VALUE"""),1.0)</f>
        <v>1</v>
      </c>
      <c r="F44" s="8">
        <f>IFERROR(__xludf.DUMMYFUNCTION("""COMPUTED_VALUE"""),0.391304347826087)</f>
        <v>0.3913043478</v>
      </c>
      <c r="G44" s="8">
        <f>IFERROR(__xludf.DUMMYFUNCTION("""COMPUTED_VALUE"""),0.304347826086956)</f>
        <v>0.3043478261</v>
      </c>
      <c r="H44" s="8">
        <f>IFERROR(__xludf.DUMMYFUNCTION("""COMPUTED_VALUE"""),0.238095238095238)</f>
        <v>0.2380952381</v>
      </c>
      <c r="I44" s="8">
        <f>IFERROR(__xludf.DUMMYFUNCTION("""COMPUTED_VALUE"""),0.19047619047619)</f>
        <v>0.1904761905</v>
      </c>
      <c r="J44" s="8">
        <f>IFERROR(__xludf.DUMMYFUNCTION("""COMPUTED_VALUE"""),0.157894736842105)</f>
        <v>0.1578947368</v>
      </c>
      <c r="K44" s="8">
        <f>IFERROR(__xludf.DUMMYFUNCTION("""COMPUTED_VALUE"""),0.105263157894736)</f>
        <v>0.1052631579</v>
      </c>
      <c r="L44" s="8">
        <f>IFERROR(__xludf.DUMMYFUNCTION("""COMPUTED_VALUE"""),0.0555555555555555)</f>
        <v>0.05555555556</v>
      </c>
      <c r="M44" s="8">
        <f>IFERROR(__xludf.DUMMYFUNCTION("""COMPUTED_VALUE"""),0.0555555555555555)</f>
        <v>0.05555555556</v>
      </c>
      <c r="N44" s="8">
        <f>IFERROR(__xludf.DUMMYFUNCTION("""COMPUTED_VALUE"""),0.0)</f>
        <v>0</v>
      </c>
      <c r="O44" s="8">
        <f>IFERROR(__xludf.DUMMYFUNCTION("""COMPUTED_VALUE"""),0.25)</f>
        <v>0.25</v>
      </c>
      <c r="P44" s="8">
        <f>IFERROR(__xludf.DUMMYFUNCTION("""COMPUTED_VALUE"""),0.0)</f>
        <v>0</v>
      </c>
      <c r="Q44" s="8">
        <f>IFERROR(__xludf.DUMMYFUNCTION("""COMPUTED_VALUE"""),0.0)</f>
        <v>0</v>
      </c>
      <c r="R44" s="8">
        <f>IFERROR(__xludf.DUMMYFUNCTION("""COMPUTED_VALUE"""),0.0)</f>
        <v>0</v>
      </c>
      <c r="S44" s="8">
        <f>IFERROR(__xludf.DUMMYFUNCTION("""COMPUTED_VALUE"""),0.0)</f>
        <v>0</v>
      </c>
      <c r="T44" s="8">
        <f>IFERROR(__xludf.DUMMYFUNCTION("""COMPUTED_VALUE"""),0.0)</f>
        <v>0</v>
      </c>
      <c r="U44" s="8">
        <f>IFERROR(__xludf.DUMMYFUNCTION("""COMPUTED_VALUE"""),0.0)</f>
        <v>0</v>
      </c>
      <c r="V44" s="8">
        <f>IFERROR(__xludf.DUMMYFUNCTION("""COMPUTED_VALUE"""),0.0)</f>
        <v>0</v>
      </c>
      <c r="W44" s="8">
        <f>IFERROR(__xludf.DUMMYFUNCTION("""COMPUTED_VALUE"""),0.0)</f>
        <v>0</v>
      </c>
      <c r="X44" s="8">
        <f>IFERROR(__xludf.DUMMYFUNCTION("""COMPUTED_VALUE"""),0.0)</f>
        <v>0</v>
      </c>
      <c r="Y44" s="8">
        <f>IFERROR(__xludf.DUMMYFUNCTION("""COMPUTED_VALUE"""),0.0)</f>
        <v>0</v>
      </c>
      <c r="Z44" s="8">
        <f>IFERROR(__xludf.DUMMYFUNCTION("""COMPUTED_VALUE"""),0.0)</f>
        <v>0</v>
      </c>
      <c r="AA44" s="8">
        <f>IFERROR(__xludf.DUMMYFUNCTION("""COMPUTED_VALUE"""),0.0)</f>
        <v>0</v>
      </c>
      <c r="AB44" s="8">
        <f>IFERROR(__xludf.DUMMYFUNCTION("""COMPUTED_VALUE"""),0.0)</f>
        <v>0</v>
      </c>
      <c r="AC44" s="8">
        <f>IFERROR(__xludf.DUMMYFUNCTION("""COMPUTED_VALUE"""),0.0)</f>
        <v>0</v>
      </c>
    </row>
    <row r="45" ht="15.75" customHeight="1">
      <c r="A45" s="6" t="str">
        <f>IFERROR(__xludf.DUMMYFUNCTION("""COMPUTED_VALUE"""),"247dcedeaecc161909c6ddd57b599f4e38d758d8")</f>
        <v>247dcedeaecc161909c6ddd57b599f4e38d758d8</v>
      </c>
      <c r="B45" s="6" t="str">
        <f>IFERROR(__xludf.DUMMYFUNCTION("""COMPUTED_VALUE"""),"A Christmas of Betrayals")</f>
        <v>A Christmas of Betrayals</v>
      </c>
      <c r="C45" s="6" t="str">
        <f>IFERROR(__xludf.DUMMYFUNCTION("""COMPUTED_VALUE"""),"Romance")</f>
        <v>Romance</v>
      </c>
      <c r="D45" s="11">
        <f>IFERROR(__xludf.DUMMYFUNCTION("""COMPUTED_VALUE"""),145.0)</f>
        <v>145</v>
      </c>
      <c r="E45" s="8">
        <f>IFERROR(__xludf.DUMMYFUNCTION("""COMPUTED_VALUE"""),0.951724137931034)</f>
        <v>0.9517241379</v>
      </c>
      <c r="F45" s="8">
        <f>IFERROR(__xludf.DUMMYFUNCTION("""COMPUTED_VALUE"""),0.620689655172413)</f>
        <v>0.6206896552</v>
      </c>
      <c r="G45" s="8">
        <f>IFERROR(__xludf.DUMMYFUNCTION("""COMPUTED_VALUE"""),0.551724137931034)</f>
        <v>0.5517241379</v>
      </c>
      <c r="H45" s="8">
        <f>IFERROR(__xludf.DUMMYFUNCTION("""COMPUTED_VALUE"""),0.5)</f>
        <v>0.5</v>
      </c>
      <c r="I45" s="8">
        <f>IFERROR(__xludf.DUMMYFUNCTION("""COMPUTED_VALUE"""),0.402777777777777)</f>
        <v>0.4027777778</v>
      </c>
      <c r="J45" s="8">
        <f>IFERROR(__xludf.DUMMYFUNCTION("""COMPUTED_VALUE"""),0.416666666666666)</f>
        <v>0.4166666667</v>
      </c>
      <c r="K45" s="8">
        <f>IFERROR(__xludf.DUMMYFUNCTION("""COMPUTED_VALUE"""),0.381944444444444)</f>
        <v>0.3819444444</v>
      </c>
      <c r="L45" s="8">
        <f>IFERROR(__xludf.DUMMYFUNCTION("""COMPUTED_VALUE"""),0.361702127659574)</f>
        <v>0.3617021277</v>
      </c>
      <c r="M45" s="8">
        <f>IFERROR(__xludf.DUMMYFUNCTION("""COMPUTED_VALUE"""),0.328571428571428)</f>
        <v>0.3285714286</v>
      </c>
      <c r="N45" s="8">
        <f>IFERROR(__xludf.DUMMYFUNCTION("""COMPUTED_VALUE"""),0.309352517985611)</f>
        <v>0.309352518</v>
      </c>
      <c r="O45" s="8">
        <f>IFERROR(__xludf.DUMMYFUNCTION("""COMPUTED_VALUE"""),0.270072992700729)</f>
        <v>0.2700729927</v>
      </c>
      <c r="P45" s="8">
        <f>IFERROR(__xludf.DUMMYFUNCTION("""COMPUTED_VALUE"""),0.163793103448275)</f>
        <v>0.1637931034</v>
      </c>
      <c r="Q45" s="8">
        <f>IFERROR(__xludf.DUMMYFUNCTION("""COMPUTED_VALUE"""),0.121621621621621)</f>
        <v>0.1216216216</v>
      </c>
      <c r="R45" s="8">
        <f>IFERROR(__xludf.DUMMYFUNCTION("""COMPUTED_VALUE"""),0.0)</f>
        <v>0</v>
      </c>
      <c r="S45" s="8">
        <f>IFERROR(__xludf.DUMMYFUNCTION("""COMPUTED_VALUE"""),0.0)</f>
        <v>0</v>
      </c>
      <c r="T45" s="8">
        <f>IFERROR(__xludf.DUMMYFUNCTION("""COMPUTED_VALUE"""),0.0)</f>
        <v>0</v>
      </c>
      <c r="U45" s="8">
        <f>IFERROR(__xludf.DUMMYFUNCTION("""COMPUTED_VALUE"""),0.0)</f>
        <v>0</v>
      </c>
      <c r="V45" s="8">
        <f>IFERROR(__xludf.DUMMYFUNCTION("""COMPUTED_VALUE"""),0.0)</f>
        <v>0</v>
      </c>
      <c r="W45" s="8">
        <f>IFERROR(__xludf.DUMMYFUNCTION("""COMPUTED_VALUE"""),0.0)</f>
        <v>0</v>
      </c>
      <c r="X45" s="8">
        <f>IFERROR(__xludf.DUMMYFUNCTION("""COMPUTED_VALUE"""),0.0)</f>
        <v>0</v>
      </c>
      <c r="Y45" s="8">
        <f>IFERROR(__xludf.DUMMYFUNCTION("""COMPUTED_VALUE"""),0.0)</f>
        <v>0</v>
      </c>
      <c r="Z45" s="8">
        <f>IFERROR(__xludf.DUMMYFUNCTION("""COMPUTED_VALUE"""),0.0)</f>
        <v>0</v>
      </c>
      <c r="AA45" s="8">
        <f>IFERROR(__xludf.DUMMYFUNCTION("""COMPUTED_VALUE"""),0.0)</f>
        <v>0</v>
      </c>
      <c r="AB45" s="8">
        <f>IFERROR(__xludf.DUMMYFUNCTION("""COMPUTED_VALUE"""),0.0)</f>
        <v>0</v>
      </c>
      <c r="AC45" s="8">
        <f>IFERROR(__xludf.DUMMYFUNCTION("""COMPUTED_VALUE"""),0.0)</f>
        <v>0</v>
      </c>
    </row>
    <row r="46" ht="15.75" customHeight="1">
      <c r="A46" s="6" t="str">
        <f>IFERROR(__xludf.DUMMYFUNCTION("""COMPUTED_VALUE"""),"248aae390e84177edc04ecc06fac6c17aed375ff")</f>
        <v>248aae390e84177edc04ecc06fac6c17aed375ff</v>
      </c>
      <c r="B46" s="6" t="str">
        <f>IFERROR(__xludf.DUMMYFUNCTION("""COMPUTED_VALUE"""),"Silver Onyx: Dragonbound")</f>
        <v>Silver Onyx: Dragonbound</v>
      </c>
      <c r="C46" s="6" t="str">
        <f>IFERROR(__xludf.DUMMYFUNCTION("""COMPUTED_VALUE"""),"Romantasy")</f>
        <v>Romantasy</v>
      </c>
      <c r="D46" s="11">
        <f>IFERROR(__xludf.DUMMYFUNCTION("""COMPUTED_VALUE"""),281.0)</f>
        <v>281</v>
      </c>
      <c r="E46" s="8">
        <f>IFERROR(__xludf.DUMMYFUNCTION("""COMPUTED_VALUE"""),0.97153024911032)</f>
        <v>0.9715302491</v>
      </c>
      <c r="F46" s="8">
        <f>IFERROR(__xludf.DUMMYFUNCTION("""COMPUTED_VALUE"""),0.594306049822064)</f>
        <v>0.5943060498</v>
      </c>
      <c r="G46" s="8">
        <f>IFERROR(__xludf.DUMMYFUNCTION("""COMPUTED_VALUE"""),0.558718861209964)</f>
        <v>0.5587188612</v>
      </c>
      <c r="H46" s="8">
        <f>IFERROR(__xludf.DUMMYFUNCTION("""COMPUTED_VALUE"""),0.519713261648745)</f>
        <v>0.5197132616</v>
      </c>
      <c r="I46" s="8">
        <f>IFERROR(__xludf.DUMMYFUNCTION("""COMPUTED_VALUE"""),0.50179211469534)</f>
        <v>0.5017921147</v>
      </c>
      <c r="J46" s="8">
        <f>IFERROR(__xludf.DUMMYFUNCTION("""COMPUTED_VALUE"""),0.487455197132616)</f>
        <v>0.4874551971</v>
      </c>
      <c r="K46" s="8">
        <f>IFERROR(__xludf.DUMMYFUNCTION("""COMPUTED_VALUE"""),0.485611510791366)</f>
        <v>0.4856115108</v>
      </c>
      <c r="L46" s="8">
        <f>IFERROR(__xludf.DUMMYFUNCTION("""COMPUTED_VALUE"""),0.481884057971014)</f>
        <v>0.481884058</v>
      </c>
      <c r="M46" s="8">
        <f>IFERROR(__xludf.DUMMYFUNCTION("""COMPUTED_VALUE"""),0.465454545454545)</f>
        <v>0.4654545455</v>
      </c>
      <c r="N46" s="8">
        <f>IFERROR(__xludf.DUMMYFUNCTION("""COMPUTED_VALUE"""),0.466666666666666)</f>
        <v>0.4666666667</v>
      </c>
      <c r="O46" s="8">
        <f>IFERROR(__xludf.DUMMYFUNCTION("""COMPUTED_VALUE"""),0.577777777777777)</f>
        <v>0.5777777778</v>
      </c>
      <c r="P46" s="8">
        <f>IFERROR(__xludf.DUMMYFUNCTION("""COMPUTED_VALUE"""),0.538461538461538)</f>
        <v>0.5384615385</v>
      </c>
      <c r="Q46" s="8">
        <f>IFERROR(__xludf.DUMMYFUNCTION("""COMPUTED_VALUE"""),0.0)</f>
        <v>0</v>
      </c>
      <c r="R46" s="8">
        <f>IFERROR(__xludf.DUMMYFUNCTION("""COMPUTED_VALUE"""),0.0)</f>
        <v>0</v>
      </c>
      <c r="S46" s="8">
        <f>IFERROR(__xludf.DUMMYFUNCTION("""COMPUTED_VALUE"""),0.0)</f>
        <v>0</v>
      </c>
      <c r="T46" s="8">
        <f>IFERROR(__xludf.DUMMYFUNCTION("""COMPUTED_VALUE"""),0.0)</f>
        <v>0</v>
      </c>
      <c r="U46" s="8">
        <f>IFERROR(__xludf.DUMMYFUNCTION("""COMPUTED_VALUE"""),0.0)</f>
        <v>0</v>
      </c>
      <c r="V46" s="8">
        <f>IFERROR(__xludf.DUMMYFUNCTION("""COMPUTED_VALUE"""),0.0)</f>
        <v>0</v>
      </c>
      <c r="W46" s="8">
        <f>IFERROR(__xludf.DUMMYFUNCTION("""COMPUTED_VALUE"""),0.0)</f>
        <v>0</v>
      </c>
      <c r="X46" s="8">
        <f>IFERROR(__xludf.DUMMYFUNCTION("""COMPUTED_VALUE"""),0.0)</f>
        <v>0</v>
      </c>
      <c r="Y46" s="8">
        <f>IFERROR(__xludf.DUMMYFUNCTION("""COMPUTED_VALUE"""),0.0)</f>
        <v>0</v>
      </c>
      <c r="Z46" s="8">
        <f>IFERROR(__xludf.DUMMYFUNCTION("""COMPUTED_VALUE"""),0.0)</f>
        <v>0</v>
      </c>
      <c r="AA46" s="8">
        <f>IFERROR(__xludf.DUMMYFUNCTION("""COMPUTED_VALUE"""),0.0)</f>
        <v>0</v>
      </c>
      <c r="AB46" s="8">
        <f>IFERROR(__xludf.DUMMYFUNCTION("""COMPUTED_VALUE"""),0.0)</f>
        <v>0</v>
      </c>
      <c r="AC46" s="8">
        <f>IFERROR(__xludf.DUMMYFUNCTION("""COMPUTED_VALUE"""),0.0)</f>
        <v>0</v>
      </c>
    </row>
    <row r="47" ht="15.75" customHeight="1">
      <c r="A47" s="6" t="str">
        <f>IFERROR(__xludf.DUMMYFUNCTION("""COMPUTED_VALUE"""),"248ba0ec55862a22dd7993c8b49d5f052ce03954")</f>
        <v>248ba0ec55862a22dd7993c8b49d5f052ce03954</v>
      </c>
      <c r="B47" s="6" t="str">
        <f>IFERROR(__xludf.DUMMYFUNCTION("""COMPUTED_VALUE"""),"The Silent Sovereign")</f>
        <v>The Silent Sovereign</v>
      </c>
      <c r="C47" s="6" t="str">
        <f>IFERROR(__xludf.DUMMYFUNCTION("""COMPUTED_VALUE"""),"Fantasy")</f>
        <v>Fantasy</v>
      </c>
      <c r="D47" s="11">
        <f>IFERROR(__xludf.DUMMYFUNCTION("""COMPUTED_VALUE"""),100.0)</f>
        <v>100</v>
      </c>
      <c r="E47" s="8">
        <f>IFERROR(__xludf.DUMMYFUNCTION("""COMPUTED_VALUE"""),0.94)</f>
        <v>0.94</v>
      </c>
      <c r="F47" s="8">
        <f>IFERROR(__xludf.DUMMYFUNCTION("""COMPUTED_VALUE"""),0.66)</f>
        <v>0.66</v>
      </c>
      <c r="G47" s="8">
        <f>IFERROR(__xludf.DUMMYFUNCTION("""COMPUTED_VALUE"""),0.6)</f>
        <v>0.6</v>
      </c>
      <c r="H47" s="8">
        <f>IFERROR(__xludf.DUMMYFUNCTION("""COMPUTED_VALUE"""),0.57)</f>
        <v>0.57</v>
      </c>
      <c r="I47" s="8">
        <f>IFERROR(__xludf.DUMMYFUNCTION("""COMPUTED_VALUE"""),0.479591836734693)</f>
        <v>0.4795918367</v>
      </c>
      <c r="J47" s="8">
        <f>IFERROR(__xludf.DUMMYFUNCTION("""COMPUTED_VALUE"""),0.42391304347826)</f>
        <v>0.4239130435</v>
      </c>
      <c r="K47" s="8">
        <f>IFERROR(__xludf.DUMMYFUNCTION("""COMPUTED_VALUE"""),0.352941176470588)</f>
        <v>0.3529411765</v>
      </c>
      <c r="L47" s="8">
        <f>IFERROR(__xludf.DUMMYFUNCTION("""COMPUTED_VALUE"""),0.325)</f>
        <v>0.325</v>
      </c>
      <c r="M47" s="8">
        <f>IFERROR(__xludf.DUMMYFUNCTION("""COMPUTED_VALUE"""),0.298701298701298)</f>
        <v>0.2987012987</v>
      </c>
      <c r="N47" s="8">
        <f>IFERROR(__xludf.DUMMYFUNCTION("""COMPUTED_VALUE"""),0.268292682926829)</f>
        <v>0.2682926829</v>
      </c>
      <c r="O47" s="8">
        <f>IFERROR(__xludf.DUMMYFUNCTION("""COMPUTED_VALUE"""),0.5)</f>
        <v>0.5</v>
      </c>
      <c r="P47" s="8">
        <f>IFERROR(__xludf.DUMMYFUNCTION("""COMPUTED_VALUE"""),0.0)</f>
        <v>0</v>
      </c>
      <c r="Q47" s="8">
        <f>IFERROR(__xludf.DUMMYFUNCTION("""COMPUTED_VALUE"""),0.0)</f>
        <v>0</v>
      </c>
      <c r="R47" s="8">
        <f>IFERROR(__xludf.DUMMYFUNCTION("""COMPUTED_VALUE"""),0.0)</f>
        <v>0</v>
      </c>
      <c r="S47" s="8">
        <f>IFERROR(__xludf.DUMMYFUNCTION("""COMPUTED_VALUE"""),0.0)</f>
        <v>0</v>
      </c>
      <c r="T47" s="8">
        <f>IFERROR(__xludf.DUMMYFUNCTION("""COMPUTED_VALUE"""),0.0)</f>
        <v>0</v>
      </c>
      <c r="U47" s="8">
        <f>IFERROR(__xludf.DUMMYFUNCTION("""COMPUTED_VALUE"""),0.0)</f>
        <v>0</v>
      </c>
      <c r="V47" s="8">
        <f>IFERROR(__xludf.DUMMYFUNCTION("""COMPUTED_VALUE"""),0.0)</f>
        <v>0</v>
      </c>
      <c r="W47" s="8">
        <f>IFERROR(__xludf.DUMMYFUNCTION("""COMPUTED_VALUE"""),0.0)</f>
        <v>0</v>
      </c>
      <c r="X47" s="8">
        <f>IFERROR(__xludf.DUMMYFUNCTION("""COMPUTED_VALUE"""),0.0)</f>
        <v>0</v>
      </c>
      <c r="Y47" s="8">
        <f>IFERROR(__xludf.DUMMYFUNCTION("""COMPUTED_VALUE"""),0.0)</f>
        <v>0</v>
      </c>
      <c r="Z47" s="8">
        <f>IFERROR(__xludf.DUMMYFUNCTION("""COMPUTED_VALUE"""),0.0)</f>
        <v>0</v>
      </c>
      <c r="AA47" s="8">
        <f>IFERROR(__xludf.DUMMYFUNCTION("""COMPUTED_VALUE"""),0.0)</f>
        <v>0</v>
      </c>
      <c r="AB47" s="8">
        <f>IFERROR(__xludf.DUMMYFUNCTION("""COMPUTED_VALUE"""),0.0)</f>
        <v>0</v>
      </c>
      <c r="AC47" s="8">
        <f>IFERROR(__xludf.DUMMYFUNCTION("""COMPUTED_VALUE"""),0.0)</f>
        <v>0</v>
      </c>
    </row>
    <row r="48" ht="15.75" customHeight="1">
      <c r="A48" s="6" t="str">
        <f>IFERROR(__xludf.DUMMYFUNCTION("""COMPUTED_VALUE"""),"26e1fd07be016edcad6988356011ef8b49038bd1")</f>
        <v>26e1fd07be016edcad6988356011ef8b49038bd1</v>
      </c>
      <c r="B48" s="6" t="str">
        <f>IFERROR(__xludf.DUMMYFUNCTION("""COMPUTED_VALUE"""),"The Last Anniversary Lie")</f>
        <v>The Last Anniversary Lie</v>
      </c>
      <c r="C48" s="6" t="str">
        <f>IFERROR(__xludf.DUMMYFUNCTION("""COMPUTED_VALUE"""),"Romance")</f>
        <v>Romance</v>
      </c>
      <c r="D48" s="11">
        <f>IFERROR(__xludf.DUMMYFUNCTION("""COMPUTED_VALUE"""),542.0)</f>
        <v>542</v>
      </c>
      <c r="E48" s="8">
        <f>IFERROR(__xludf.DUMMYFUNCTION("""COMPUTED_VALUE"""),0.974169741697417)</f>
        <v>0.9741697417</v>
      </c>
      <c r="F48" s="8">
        <f>IFERROR(__xludf.DUMMYFUNCTION("""COMPUTED_VALUE"""),0.645756457564575)</f>
        <v>0.6457564576</v>
      </c>
      <c r="G48" s="8">
        <f>IFERROR(__xludf.DUMMYFUNCTION("""COMPUTED_VALUE"""),0.559040590405904)</f>
        <v>0.5590405904</v>
      </c>
      <c r="H48" s="8">
        <f>IFERROR(__xludf.DUMMYFUNCTION("""COMPUTED_VALUE"""),0.521335807050092)</f>
        <v>0.5213358071</v>
      </c>
      <c r="I48" s="8">
        <f>IFERROR(__xludf.DUMMYFUNCTION("""COMPUTED_VALUE"""),0.461824953445065)</f>
        <v>0.4618249534</v>
      </c>
      <c r="J48" s="8">
        <f>IFERROR(__xludf.DUMMYFUNCTION("""COMPUTED_VALUE"""),0.432835820895522)</f>
        <v>0.4328358209</v>
      </c>
      <c r="K48" s="8">
        <f>IFERROR(__xludf.DUMMYFUNCTION("""COMPUTED_VALUE"""),0.385046728971962)</f>
        <v>0.385046729</v>
      </c>
      <c r="L48" s="8">
        <f>IFERROR(__xludf.DUMMYFUNCTION("""COMPUTED_VALUE"""),0.386915887850467)</f>
        <v>0.3869158879</v>
      </c>
      <c r="M48" s="8">
        <f>IFERROR(__xludf.DUMMYFUNCTION("""COMPUTED_VALUE"""),0.390654205607476)</f>
        <v>0.3906542056</v>
      </c>
      <c r="N48" s="8">
        <f>IFERROR(__xludf.DUMMYFUNCTION("""COMPUTED_VALUE"""),0.383458646616541)</f>
        <v>0.3834586466</v>
      </c>
      <c r="O48" s="8">
        <f>IFERROR(__xludf.DUMMYFUNCTION("""COMPUTED_VALUE"""),0.271186440677966)</f>
        <v>0.2711864407</v>
      </c>
      <c r="P48" s="8">
        <f>IFERROR(__xludf.DUMMYFUNCTION("""COMPUTED_VALUE"""),0.285714285714285)</f>
        <v>0.2857142857</v>
      </c>
      <c r="Q48" s="8">
        <f>IFERROR(__xludf.DUMMYFUNCTION("""COMPUTED_VALUE"""),0.0)</f>
        <v>0</v>
      </c>
      <c r="R48" s="8">
        <f>IFERROR(__xludf.DUMMYFUNCTION("""COMPUTED_VALUE"""),0.0)</f>
        <v>0</v>
      </c>
      <c r="S48" s="8">
        <f>IFERROR(__xludf.DUMMYFUNCTION("""COMPUTED_VALUE"""),0.0)</f>
        <v>0</v>
      </c>
      <c r="T48" s="8">
        <f>IFERROR(__xludf.DUMMYFUNCTION("""COMPUTED_VALUE"""),0.0)</f>
        <v>0</v>
      </c>
      <c r="U48" s="8">
        <f>IFERROR(__xludf.DUMMYFUNCTION("""COMPUTED_VALUE"""),0.0)</f>
        <v>0</v>
      </c>
      <c r="V48" s="8">
        <f>IFERROR(__xludf.DUMMYFUNCTION("""COMPUTED_VALUE"""),0.0)</f>
        <v>0</v>
      </c>
      <c r="W48" s="8">
        <f>IFERROR(__xludf.DUMMYFUNCTION("""COMPUTED_VALUE"""),0.0)</f>
        <v>0</v>
      </c>
      <c r="X48" s="8">
        <f>IFERROR(__xludf.DUMMYFUNCTION("""COMPUTED_VALUE"""),0.0)</f>
        <v>0</v>
      </c>
      <c r="Y48" s="8">
        <f>IFERROR(__xludf.DUMMYFUNCTION("""COMPUTED_VALUE"""),0.0)</f>
        <v>0</v>
      </c>
      <c r="Z48" s="8">
        <f>IFERROR(__xludf.DUMMYFUNCTION("""COMPUTED_VALUE"""),0.0)</f>
        <v>0</v>
      </c>
      <c r="AA48" s="8">
        <f>IFERROR(__xludf.DUMMYFUNCTION("""COMPUTED_VALUE"""),0.0)</f>
        <v>0</v>
      </c>
      <c r="AB48" s="8">
        <f>IFERROR(__xludf.DUMMYFUNCTION("""COMPUTED_VALUE"""),0.0)</f>
        <v>0</v>
      </c>
      <c r="AC48" s="8">
        <f>IFERROR(__xludf.DUMMYFUNCTION("""COMPUTED_VALUE"""),0.0)</f>
        <v>0</v>
      </c>
    </row>
    <row r="49" ht="15.75" customHeight="1">
      <c r="A49" s="6" t="str">
        <f>IFERROR(__xludf.DUMMYFUNCTION("""COMPUTED_VALUE"""),"2804c5c0d94ac97e4b67564cc852e784e64583e5")</f>
        <v>2804c5c0d94ac97e4b67564cc852e784e64583e5</v>
      </c>
      <c r="B49" s="6" t="str">
        <f>IFERROR(__xludf.DUMMYFUNCTION("""COMPUTED_VALUE"""),"Rebirth in Beauty")</f>
        <v>Rebirth in Beauty</v>
      </c>
      <c r="C49" s="6" t="str">
        <f>IFERROR(__xludf.DUMMYFUNCTION("""COMPUTED_VALUE"""),"Fantasy")</f>
        <v>Fantasy</v>
      </c>
      <c r="D49" s="11">
        <f>IFERROR(__xludf.DUMMYFUNCTION("""COMPUTED_VALUE"""),328.0)</f>
        <v>328</v>
      </c>
      <c r="E49" s="8">
        <f>IFERROR(__xludf.DUMMYFUNCTION("""COMPUTED_VALUE"""),0.966463414634146)</f>
        <v>0.9664634146</v>
      </c>
      <c r="F49" s="8">
        <f>IFERROR(__xludf.DUMMYFUNCTION("""COMPUTED_VALUE"""),0.621951219512195)</f>
        <v>0.6219512195</v>
      </c>
      <c r="G49" s="8">
        <f>IFERROR(__xludf.DUMMYFUNCTION("""COMPUTED_VALUE"""),0.548780487804878)</f>
        <v>0.5487804878</v>
      </c>
      <c r="H49" s="8">
        <f>IFERROR(__xludf.DUMMYFUNCTION("""COMPUTED_VALUE"""),0.494915254237288)</f>
        <v>0.4949152542</v>
      </c>
      <c r="I49" s="8">
        <f>IFERROR(__xludf.DUMMYFUNCTION("""COMPUTED_VALUE"""),0.458333333333333)</f>
        <v>0.4583333333</v>
      </c>
      <c r="J49" s="8">
        <f>IFERROR(__xludf.DUMMYFUNCTION("""COMPUTED_VALUE"""),0.442446043165467)</f>
        <v>0.4424460432</v>
      </c>
      <c r="K49" s="8">
        <f>IFERROR(__xludf.DUMMYFUNCTION("""COMPUTED_VALUE"""),0.405109489051094)</f>
        <v>0.4051094891</v>
      </c>
      <c r="L49" s="8">
        <f>IFERROR(__xludf.DUMMYFUNCTION("""COMPUTED_VALUE"""),0.386178861788617)</f>
        <v>0.3861788618</v>
      </c>
      <c r="M49" s="8">
        <f>IFERROR(__xludf.DUMMYFUNCTION("""COMPUTED_VALUE"""),0.361386138613861)</f>
        <v>0.3613861386</v>
      </c>
      <c r="N49" s="8">
        <f>IFERROR(__xludf.DUMMYFUNCTION("""COMPUTED_VALUE"""),0.3125)</f>
        <v>0.3125</v>
      </c>
      <c r="O49" s="8">
        <f>IFERROR(__xludf.DUMMYFUNCTION("""COMPUTED_VALUE"""),0.142857142857142)</f>
        <v>0.1428571429</v>
      </c>
      <c r="P49" s="8">
        <f>IFERROR(__xludf.DUMMYFUNCTION("""COMPUTED_VALUE"""),0.0)</f>
        <v>0</v>
      </c>
      <c r="Q49" s="8">
        <f>IFERROR(__xludf.DUMMYFUNCTION("""COMPUTED_VALUE"""),0.0)</f>
        <v>0</v>
      </c>
      <c r="R49" s="8">
        <f>IFERROR(__xludf.DUMMYFUNCTION("""COMPUTED_VALUE"""),0.0)</f>
        <v>0</v>
      </c>
      <c r="S49" s="8">
        <f>IFERROR(__xludf.DUMMYFUNCTION("""COMPUTED_VALUE"""),0.0)</f>
        <v>0</v>
      </c>
      <c r="T49" s="8">
        <f>IFERROR(__xludf.DUMMYFUNCTION("""COMPUTED_VALUE"""),0.0)</f>
        <v>0</v>
      </c>
      <c r="U49" s="8">
        <f>IFERROR(__xludf.DUMMYFUNCTION("""COMPUTED_VALUE"""),0.0)</f>
        <v>0</v>
      </c>
      <c r="V49" s="8">
        <f>IFERROR(__xludf.DUMMYFUNCTION("""COMPUTED_VALUE"""),0.0)</f>
        <v>0</v>
      </c>
      <c r="W49" s="8">
        <f>IFERROR(__xludf.DUMMYFUNCTION("""COMPUTED_VALUE"""),0.0)</f>
        <v>0</v>
      </c>
      <c r="X49" s="8">
        <f>IFERROR(__xludf.DUMMYFUNCTION("""COMPUTED_VALUE"""),0.0)</f>
        <v>0</v>
      </c>
      <c r="Y49" s="8">
        <f>IFERROR(__xludf.DUMMYFUNCTION("""COMPUTED_VALUE"""),0.0)</f>
        <v>0</v>
      </c>
      <c r="Z49" s="8">
        <f>IFERROR(__xludf.DUMMYFUNCTION("""COMPUTED_VALUE"""),0.0)</f>
        <v>0</v>
      </c>
      <c r="AA49" s="8">
        <f>IFERROR(__xludf.DUMMYFUNCTION("""COMPUTED_VALUE"""),0.0)</f>
        <v>0</v>
      </c>
      <c r="AB49" s="8">
        <f>IFERROR(__xludf.DUMMYFUNCTION("""COMPUTED_VALUE"""),0.0)</f>
        <v>0</v>
      </c>
      <c r="AC49" s="8">
        <f>IFERROR(__xludf.DUMMYFUNCTION("""COMPUTED_VALUE"""),0.0)</f>
        <v>0</v>
      </c>
    </row>
    <row r="50" ht="15.75" customHeight="1">
      <c r="A50" s="6" t="str">
        <f>IFERROR(__xludf.DUMMYFUNCTION("""COMPUTED_VALUE"""),"2969766ce2d0cd5c21da961666ea357622d5d073")</f>
        <v>2969766ce2d0cd5c21da961666ea357622d5d073</v>
      </c>
      <c r="B50" s="6" t="str">
        <f>IFERROR(__xludf.DUMMYFUNCTION("""COMPUTED_VALUE"""),"The Magical Mystic Master")</f>
        <v>The Magical Mystic Master</v>
      </c>
      <c r="C50" s="6" t="str">
        <f>IFERROR(__xludf.DUMMYFUNCTION("""COMPUTED_VALUE"""),"Fantasy")</f>
        <v>Fantasy</v>
      </c>
      <c r="D50" s="11">
        <f>IFERROR(__xludf.DUMMYFUNCTION("""COMPUTED_VALUE"""),86.0)</f>
        <v>86</v>
      </c>
      <c r="E50" s="8">
        <f>IFERROR(__xludf.DUMMYFUNCTION("""COMPUTED_VALUE"""),0.988372093023255)</f>
        <v>0.988372093</v>
      </c>
      <c r="F50" s="8">
        <f>IFERROR(__xludf.DUMMYFUNCTION("""COMPUTED_VALUE"""),0.651162790697674)</f>
        <v>0.6511627907</v>
      </c>
      <c r="G50" s="8">
        <f>IFERROR(__xludf.DUMMYFUNCTION("""COMPUTED_VALUE"""),0.534883720930232)</f>
        <v>0.5348837209</v>
      </c>
      <c r="H50" s="8">
        <f>IFERROR(__xludf.DUMMYFUNCTION("""COMPUTED_VALUE"""),0.48235294117647)</f>
        <v>0.4823529412</v>
      </c>
      <c r="I50" s="8">
        <f>IFERROR(__xludf.DUMMYFUNCTION("""COMPUTED_VALUE"""),0.4)</f>
        <v>0.4</v>
      </c>
      <c r="J50" s="8">
        <f>IFERROR(__xludf.DUMMYFUNCTION("""COMPUTED_VALUE"""),0.317647058823529)</f>
        <v>0.3176470588</v>
      </c>
      <c r="K50" s="8">
        <f>IFERROR(__xludf.DUMMYFUNCTION("""COMPUTED_VALUE"""),0.285714285714285)</f>
        <v>0.2857142857</v>
      </c>
      <c r="L50" s="8">
        <f>IFERROR(__xludf.DUMMYFUNCTION("""COMPUTED_VALUE"""),0.23170731707317)</f>
        <v>0.2317073171</v>
      </c>
      <c r="M50" s="8">
        <f>IFERROR(__xludf.DUMMYFUNCTION("""COMPUTED_VALUE"""),0.23170731707317)</f>
        <v>0.2317073171</v>
      </c>
      <c r="N50" s="8">
        <f>IFERROR(__xludf.DUMMYFUNCTION("""COMPUTED_VALUE"""),0.219512195121951)</f>
        <v>0.2195121951</v>
      </c>
      <c r="O50" s="8">
        <f>IFERROR(__xludf.DUMMYFUNCTION("""COMPUTED_VALUE"""),0.158536585365853)</f>
        <v>0.1585365854</v>
      </c>
      <c r="P50" s="8">
        <f>IFERROR(__xludf.DUMMYFUNCTION("""COMPUTED_VALUE"""),0.109756097560975)</f>
        <v>0.1097560976</v>
      </c>
      <c r="Q50" s="8">
        <f>IFERROR(__xludf.DUMMYFUNCTION("""COMPUTED_VALUE"""),0.131578947368421)</f>
        <v>0.1315789474</v>
      </c>
      <c r="R50" s="8">
        <f>IFERROR(__xludf.DUMMYFUNCTION("""COMPUTED_VALUE"""),0.0789473684210526)</f>
        <v>0.07894736842</v>
      </c>
      <c r="S50" s="8">
        <f>IFERROR(__xludf.DUMMYFUNCTION("""COMPUTED_VALUE"""),0.0)</f>
        <v>0</v>
      </c>
      <c r="T50" s="8">
        <f>IFERROR(__xludf.DUMMYFUNCTION("""COMPUTED_VALUE"""),0.0)</f>
        <v>0</v>
      </c>
      <c r="U50" s="8">
        <f>IFERROR(__xludf.DUMMYFUNCTION("""COMPUTED_VALUE"""),0.0)</f>
        <v>0</v>
      </c>
      <c r="V50" s="8">
        <f>IFERROR(__xludf.DUMMYFUNCTION("""COMPUTED_VALUE"""),0.0)</f>
        <v>0</v>
      </c>
      <c r="W50" s="8">
        <f>IFERROR(__xludf.DUMMYFUNCTION("""COMPUTED_VALUE"""),0.0)</f>
        <v>0</v>
      </c>
      <c r="X50" s="8">
        <f>IFERROR(__xludf.DUMMYFUNCTION("""COMPUTED_VALUE"""),0.0)</f>
        <v>0</v>
      </c>
      <c r="Y50" s="8">
        <f>IFERROR(__xludf.DUMMYFUNCTION("""COMPUTED_VALUE"""),0.0)</f>
        <v>0</v>
      </c>
      <c r="Z50" s="8">
        <f>IFERROR(__xludf.DUMMYFUNCTION("""COMPUTED_VALUE"""),0.0)</f>
        <v>0</v>
      </c>
      <c r="AA50" s="8">
        <f>IFERROR(__xludf.DUMMYFUNCTION("""COMPUTED_VALUE"""),0.0)</f>
        <v>0</v>
      </c>
      <c r="AB50" s="8">
        <f>IFERROR(__xludf.DUMMYFUNCTION("""COMPUTED_VALUE"""),0.0)</f>
        <v>0</v>
      </c>
      <c r="AC50" s="8">
        <f>IFERROR(__xludf.DUMMYFUNCTION("""COMPUTED_VALUE"""),0.0)</f>
        <v>0</v>
      </c>
    </row>
    <row r="51" ht="15.75" customHeight="1">
      <c r="A51" s="6" t="str">
        <f>IFERROR(__xludf.DUMMYFUNCTION("""COMPUTED_VALUE"""),"29b6547143fa9e79e6e0d3e0463e7b79ac00c7fd")</f>
        <v>29b6547143fa9e79e6e0d3e0463e7b79ac00c7fd</v>
      </c>
      <c r="B51" s="6" t="str">
        <f>IFERROR(__xludf.DUMMYFUNCTION("""COMPUTED_VALUE"""),"Love, Revenge &amp; My Past")</f>
        <v>Love, Revenge &amp; My Past</v>
      </c>
      <c r="C51" s="6" t="str">
        <f>IFERROR(__xludf.DUMMYFUNCTION("""COMPUTED_VALUE"""),"Romance")</f>
        <v>Romance</v>
      </c>
      <c r="D51" s="11">
        <f>IFERROR(__xludf.DUMMYFUNCTION("""COMPUTED_VALUE"""),494.0)</f>
        <v>494</v>
      </c>
      <c r="E51" s="8">
        <f>IFERROR(__xludf.DUMMYFUNCTION("""COMPUTED_VALUE"""),0.973684210526315)</f>
        <v>0.9736842105</v>
      </c>
      <c r="F51" s="8">
        <f>IFERROR(__xludf.DUMMYFUNCTION("""COMPUTED_VALUE"""),0.42914979757085)</f>
        <v>0.4291497976</v>
      </c>
      <c r="G51" s="8">
        <f>IFERROR(__xludf.DUMMYFUNCTION("""COMPUTED_VALUE"""),0.396761133603238)</f>
        <v>0.3967611336</v>
      </c>
      <c r="H51" s="8">
        <f>IFERROR(__xludf.DUMMYFUNCTION("""COMPUTED_VALUE"""),0.37246963562753)</f>
        <v>0.3724696356</v>
      </c>
      <c r="I51" s="8">
        <f>IFERROR(__xludf.DUMMYFUNCTION("""COMPUTED_VALUE"""),0.342105263157894)</f>
        <v>0.3421052632</v>
      </c>
      <c r="J51" s="8">
        <f>IFERROR(__xludf.DUMMYFUNCTION("""COMPUTED_VALUE"""),0.303643724696356)</f>
        <v>0.3036437247</v>
      </c>
      <c r="K51" s="8">
        <f>IFERROR(__xludf.DUMMYFUNCTION("""COMPUTED_VALUE"""),0.285425101214574)</f>
        <v>0.2854251012</v>
      </c>
      <c r="L51" s="8">
        <f>IFERROR(__xludf.DUMMYFUNCTION("""COMPUTED_VALUE"""),0.267748478701825)</f>
        <v>0.2677484787</v>
      </c>
      <c r="M51" s="8">
        <f>IFERROR(__xludf.DUMMYFUNCTION("""COMPUTED_VALUE"""),0.253549695740365)</f>
        <v>0.2535496957</v>
      </c>
      <c r="N51" s="8">
        <f>IFERROR(__xludf.DUMMYFUNCTION("""COMPUTED_VALUE"""),0.247967479674796)</f>
        <v>0.2479674797</v>
      </c>
      <c r="O51" s="8">
        <f>IFERROR(__xludf.DUMMYFUNCTION("""COMPUTED_VALUE"""),0.17827868852459)</f>
        <v>0.1782786885</v>
      </c>
      <c r="P51" s="8">
        <f>IFERROR(__xludf.DUMMYFUNCTION("""COMPUTED_VALUE"""),0.117768595041322)</f>
        <v>0.117768595</v>
      </c>
      <c r="Q51" s="8">
        <f>IFERROR(__xludf.DUMMYFUNCTION("""COMPUTED_VALUE"""),0.0502958579881656)</f>
        <v>0.05029585799</v>
      </c>
      <c r="R51" s="8">
        <f>IFERROR(__xludf.DUMMYFUNCTION("""COMPUTED_VALUE"""),0.027027027027027)</f>
        <v>0.02702702703</v>
      </c>
      <c r="S51" s="8">
        <f>IFERROR(__xludf.DUMMYFUNCTION("""COMPUTED_VALUE"""),0.0625)</f>
        <v>0.0625</v>
      </c>
      <c r="T51" s="8">
        <f>IFERROR(__xludf.DUMMYFUNCTION("""COMPUTED_VALUE"""),0.0)</f>
        <v>0</v>
      </c>
      <c r="U51" s="8">
        <f>IFERROR(__xludf.DUMMYFUNCTION("""COMPUTED_VALUE"""),0.0)</f>
        <v>0</v>
      </c>
      <c r="V51" s="8">
        <f>IFERROR(__xludf.DUMMYFUNCTION("""COMPUTED_VALUE"""),0.0)</f>
        <v>0</v>
      </c>
      <c r="W51" s="8">
        <f>IFERROR(__xludf.DUMMYFUNCTION("""COMPUTED_VALUE"""),0.0)</f>
        <v>0</v>
      </c>
      <c r="X51" s="8">
        <f>IFERROR(__xludf.DUMMYFUNCTION("""COMPUTED_VALUE"""),0.0)</f>
        <v>0</v>
      </c>
      <c r="Y51" s="8">
        <f>IFERROR(__xludf.DUMMYFUNCTION("""COMPUTED_VALUE"""),0.0)</f>
        <v>0</v>
      </c>
      <c r="Z51" s="8">
        <f>IFERROR(__xludf.DUMMYFUNCTION("""COMPUTED_VALUE"""),0.0)</f>
        <v>0</v>
      </c>
      <c r="AA51" s="8">
        <f>IFERROR(__xludf.DUMMYFUNCTION("""COMPUTED_VALUE"""),0.0)</f>
        <v>0</v>
      </c>
      <c r="AB51" s="8">
        <f>IFERROR(__xludf.DUMMYFUNCTION("""COMPUTED_VALUE"""),0.0)</f>
        <v>0</v>
      </c>
      <c r="AC51" s="8">
        <f>IFERROR(__xludf.DUMMYFUNCTION("""COMPUTED_VALUE"""),0.0)</f>
        <v>0</v>
      </c>
    </row>
    <row r="52" ht="15.75" customHeight="1">
      <c r="A52" s="6" t="str">
        <f>IFERROR(__xludf.DUMMYFUNCTION("""COMPUTED_VALUE"""),"2a8120a20d0bebaa0f325746e4058859d5e610ee")</f>
        <v>2a8120a20d0bebaa0f325746e4058859d5e610ee</v>
      </c>
      <c r="B52" s="6" t="str">
        <f>IFERROR(__xludf.DUMMYFUNCTION("""COMPUTED_VALUE"""),"Cultivated Love")</f>
        <v>Cultivated Love</v>
      </c>
      <c r="C52" s="6" t="str">
        <f>IFERROR(__xludf.DUMMYFUNCTION("""COMPUTED_VALUE"""),"Romance")</f>
        <v>Romance</v>
      </c>
      <c r="D52" s="11">
        <f>IFERROR(__xludf.DUMMYFUNCTION("""COMPUTED_VALUE"""),115.0)</f>
        <v>115</v>
      </c>
      <c r="E52" s="8">
        <f>IFERROR(__xludf.DUMMYFUNCTION("""COMPUTED_VALUE"""),0.895652173913043)</f>
        <v>0.8956521739</v>
      </c>
      <c r="F52" s="8">
        <f>IFERROR(__xludf.DUMMYFUNCTION("""COMPUTED_VALUE"""),0.260869565217391)</f>
        <v>0.2608695652</v>
      </c>
      <c r="G52" s="8">
        <f>IFERROR(__xludf.DUMMYFUNCTION("""COMPUTED_VALUE"""),0.243478260869565)</f>
        <v>0.2434782609</v>
      </c>
      <c r="H52" s="8">
        <f>IFERROR(__xludf.DUMMYFUNCTION("""COMPUTED_VALUE"""),0.160714285714285)</f>
        <v>0.1607142857</v>
      </c>
      <c r="I52" s="8">
        <f>IFERROR(__xludf.DUMMYFUNCTION("""COMPUTED_VALUE"""),0.189189189189189)</f>
        <v>0.1891891892</v>
      </c>
      <c r="J52" s="8">
        <f>IFERROR(__xludf.DUMMYFUNCTION("""COMPUTED_VALUE"""),0.177570093457943)</f>
        <v>0.1775700935</v>
      </c>
      <c r="K52" s="8">
        <f>IFERROR(__xludf.DUMMYFUNCTION("""COMPUTED_VALUE"""),0.177570093457943)</f>
        <v>0.1775700935</v>
      </c>
      <c r="L52" s="8">
        <f>IFERROR(__xludf.DUMMYFUNCTION("""COMPUTED_VALUE"""),0.168316831683168)</f>
        <v>0.1683168317</v>
      </c>
      <c r="M52" s="8">
        <f>IFERROR(__xludf.DUMMYFUNCTION("""COMPUTED_VALUE"""),0.214285714285714)</f>
        <v>0.2142857143</v>
      </c>
      <c r="N52" s="8">
        <f>IFERROR(__xludf.DUMMYFUNCTION("""COMPUTED_VALUE"""),0.175824175824175)</f>
        <v>0.1758241758</v>
      </c>
      <c r="O52" s="8">
        <f>IFERROR(__xludf.DUMMYFUNCTION("""COMPUTED_VALUE"""),0.318181818181818)</f>
        <v>0.3181818182</v>
      </c>
      <c r="P52" s="8">
        <f>IFERROR(__xludf.DUMMYFUNCTION("""COMPUTED_VALUE"""),0.209302325581395)</f>
        <v>0.2093023256</v>
      </c>
      <c r="Q52" s="8">
        <f>IFERROR(__xludf.DUMMYFUNCTION("""COMPUTED_VALUE"""),0.142857142857142)</f>
        <v>0.1428571429</v>
      </c>
      <c r="R52" s="8">
        <f>IFERROR(__xludf.DUMMYFUNCTION("""COMPUTED_VALUE"""),0.131578947368421)</f>
        <v>0.1315789474</v>
      </c>
      <c r="S52" s="8">
        <f>IFERROR(__xludf.DUMMYFUNCTION("""COMPUTED_VALUE"""),0.0714285714285714)</f>
        <v>0.07142857143</v>
      </c>
      <c r="T52" s="8">
        <f>IFERROR(__xludf.DUMMYFUNCTION("""COMPUTED_VALUE"""),0.0869565217391304)</f>
        <v>0.08695652174</v>
      </c>
      <c r="U52" s="8">
        <f>IFERROR(__xludf.DUMMYFUNCTION("""COMPUTED_VALUE"""),0.0)</f>
        <v>0</v>
      </c>
      <c r="V52" s="8">
        <f>IFERROR(__xludf.DUMMYFUNCTION("""COMPUTED_VALUE"""),0.0)</f>
        <v>0</v>
      </c>
      <c r="W52" s="8">
        <f>IFERROR(__xludf.DUMMYFUNCTION("""COMPUTED_VALUE"""),0.0)</f>
        <v>0</v>
      </c>
      <c r="X52" s="8">
        <f>IFERROR(__xludf.DUMMYFUNCTION("""COMPUTED_VALUE"""),0.0)</f>
        <v>0</v>
      </c>
      <c r="Y52" s="8">
        <f>IFERROR(__xludf.DUMMYFUNCTION("""COMPUTED_VALUE"""),0.0)</f>
        <v>0</v>
      </c>
      <c r="Z52" s="8">
        <f>IFERROR(__xludf.DUMMYFUNCTION("""COMPUTED_VALUE"""),0.0)</f>
        <v>0</v>
      </c>
      <c r="AA52" s="8">
        <f>IFERROR(__xludf.DUMMYFUNCTION("""COMPUTED_VALUE"""),0.0)</f>
        <v>0</v>
      </c>
      <c r="AB52" s="8">
        <f>IFERROR(__xludf.DUMMYFUNCTION("""COMPUTED_VALUE"""),0.0)</f>
        <v>0</v>
      </c>
      <c r="AC52" s="8">
        <f>IFERROR(__xludf.DUMMYFUNCTION("""COMPUTED_VALUE"""),0.0)</f>
        <v>0</v>
      </c>
    </row>
    <row r="53" ht="15.75" customHeight="1">
      <c r="A53" s="6" t="str">
        <f>IFERROR(__xludf.DUMMYFUNCTION("""COMPUTED_VALUE"""),"2b967281ca19c941aa99d03c959adaf6349da9b3")</f>
        <v>2b967281ca19c941aa99d03c959adaf6349da9b3</v>
      </c>
      <c r="B53" s="6" t="str">
        <f>IFERROR(__xludf.DUMMYFUNCTION("""COMPUTED_VALUE"""),"The Unlikely Heiress")</f>
        <v>The Unlikely Heiress</v>
      </c>
      <c r="C53" s="6" t="str">
        <f>IFERROR(__xludf.DUMMYFUNCTION("""COMPUTED_VALUE"""),"Romance")</f>
        <v>Romance</v>
      </c>
      <c r="D53" s="11">
        <f>IFERROR(__xludf.DUMMYFUNCTION("""COMPUTED_VALUE"""),4992.0)</f>
        <v>4992</v>
      </c>
      <c r="E53" s="8">
        <f>IFERROR(__xludf.DUMMYFUNCTION("""COMPUTED_VALUE"""),0.955328525641025)</f>
        <v>0.9553285256</v>
      </c>
      <c r="F53" s="8">
        <f>IFERROR(__xludf.DUMMYFUNCTION("""COMPUTED_VALUE"""),0.563501602564102)</f>
        <v>0.5635016026</v>
      </c>
      <c r="G53" s="8">
        <f>IFERROR(__xludf.DUMMYFUNCTION("""COMPUTED_VALUE"""),0.5390625)</f>
        <v>0.5390625</v>
      </c>
      <c r="H53" s="8">
        <f>IFERROR(__xludf.DUMMYFUNCTION("""COMPUTED_VALUE"""),0.511921458625526)</f>
        <v>0.5119214586</v>
      </c>
      <c r="I53" s="8">
        <f>IFERROR(__xludf.DUMMYFUNCTION("""COMPUTED_VALUE"""),0.494487873321306)</f>
        <v>0.4944878733</v>
      </c>
      <c r="J53" s="8">
        <f>IFERROR(__xludf.DUMMYFUNCTION("""COMPUTED_VALUE"""),0.474929803449659)</f>
        <v>0.4749298034</v>
      </c>
      <c r="K53" s="8">
        <f>IFERROR(__xludf.DUMMYFUNCTION("""COMPUTED_VALUE"""),0.453670276774969)</f>
        <v>0.4536702768</v>
      </c>
      <c r="L53" s="8">
        <f>IFERROR(__xludf.DUMMYFUNCTION("""COMPUTED_VALUE"""),0.435568044961862)</f>
        <v>0.435568045</v>
      </c>
      <c r="M53" s="8">
        <f>IFERROR(__xludf.DUMMYFUNCTION("""COMPUTED_VALUE"""),0.424668541582965)</f>
        <v>0.4246685416</v>
      </c>
      <c r="N53" s="8">
        <f>IFERROR(__xludf.DUMMYFUNCTION("""COMPUTED_VALUE"""),0.423401688781664)</f>
        <v>0.4234016888</v>
      </c>
      <c r="O53" s="8">
        <f>IFERROR(__xludf.DUMMYFUNCTION("""COMPUTED_VALUE"""),0.379129734085415)</f>
        <v>0.3791297341</v>
      </c>
      <c r="P53" s="8">
        <f>IFERROR(__xludf.DUMMYFUNCTION("""COMPUTED_VALUE"""),0.314014539579967)</f>
        <v>0.3140145396</v>
      </c>
      <c r="Q53" s="8">
        <f>IFERROR(__xludf.DUMMYFUNCTION("""COMPUTED_VALUE"""),0.214082792207792)</f>
        <v>0.2140827922</v>
      </c>
      <c r="R53" s="8">
        <f>IFERROR(__xludf.DUMMYFUNCTION("""COMPUTED_VALUE"""),0.188733552631578)</f>
        <v>0.1887335526</v>
      </c>
      <c r="S53" s="8">
        <f>IFERROR(__xludf.DUMMYFUNCTION("""COMPUTED_VALUE"""),0.146445750935328)</f>
        <v>0.1464457509</v>
      </c>
      <c r="T53" s="8">
        <f>IFERROR(__xludf.DUMMYFUNCTION("""COMPUTED_VALUE"""),0.08100147275405)</f>
        <v>0.08100147275</v>
      </c>
      <c r="U53" s="8">
        <f>IFERROR(__xludf.DUMMYFUNCTION("""COMPUTED_VALUE"""),0.0155038759689922)</f>
        <v>0.01550387597</v>
      </c>
      <c r="V53" s="8">
        <f>IFERROR(__xludf.DUMMYFUNCTION("""COMPUTED_VALUE"""),0.0)</f>
        <v>0</v>
      </c>
      <c r="W53" s="8">
        <f>IFERROR(__xludf.DUMMYFUNCTION("""COMPUTED_VALUE"""),0.0)</f>
        <v>0</v>
      </c>
      <c r="X53" s="8">
        <f>IFERROR(__xludf.DUMMYFUNCTION("""COMPUTED_VALUE"""),0.0)</f>
        <v>0</v>
      </c>
      <c r="Y53" s="8">
        <f>IFERROR(__xludf.DUMMYFUNCTION("""COMPUTED_VALUE"""),0.0)</f>
        <v>0</v>
      </c>
      <c r="Z53" s="8">
        <f>IFERROR(__xludf.DUMMYFUNCTION("""COMPUTED_VALUE"""),0.0)</f>
        <v>0</v>
      </c>
      <c r="AA53" s="8">
        <f>IFERROR(__xludf.DUMMYFUNCTION("""COMPUTED_VALUE"""),0.0)</f>
        <v>0</v>
      </c>
      <c r="AB53" s="8">
        <f>IFERROR(__xludf.DUMMYFUNCTION("""COMPUTED_VALUE"""),0.0)</f>
        <v>0</v>
      </c>
      <c r="AC53" s="8">
        <f>IFERROR(__xludf.DUMMYFUNCTION("""COMPUTED_VALUE"""),0.0)</f>
        <v>0</v>
      </c>
    </row>
    <row r="54" ht="15.75" customHeight="1">
      <c r="A54" s="6" t="str">
        <f>IFERROR(__xludf.DUMMYFUNCTION("""COMPUTED_VALUE"""),"2fb79ac2c90574002aaeec2f842f6693eb8ff7c2")</f>
        <v>2fb79ac2c90574002aaeec2f842f6693eb8ff7c2</v>
      </c>
      <c r="B54" s="6" t="str">
        <f>IFERROR(__xludf.DUMMYFUNCTION("""COMPUTED_VALUE"""),"Dear Boss")</f>
        <v>Dear Boss</v>
      </c>
      <c r="C54" s="6" t="str">
        <f>IFERROR(__xludf.DUMMYFUNCTION("""COMPUTED_VALUE"""),"Romance")</f>
        <v>Romance</v>
      </c>
      <c r="D54" s="11">
        <f>IFERROR(__xludf.DUMMYFUNCTION("""COMPUTED_VALUE"""),476.0)</f>
        <v>476</v>
      </c>
      <c r="E54" s="8">
        <f>IFERROR(__xludf.DUMMYFUNCTION("""COMPUTED_VALUE"""),0.974789915966386)</f>
        <v>0.974789916</v>
      </c>
      <c r="F54" s="8">
        <f>IFERROR(__xludf.DUMMYFUNCTION("""COMPUTED_VALUE"""),0.571428571428571)</f>
        <v>0.5714285714</v>
      </c>
      <c r="G54" s="8">
        <f>IFERROR(__xludf.DUMMYFUNCTION("""COMPUTED_VALUE"""),0.497899159663865)</f>
        <v>0.4978991597</v>
      </c>
      <c r="H54" s="8">
        <f>IFERROR(__xludf.DUMMYFUNCTION("""COMPUTED_VALUE"""),0.469344608879492)</f>
        <v>0.4693446089</v>
      </c>
      <c r="I54" s="8">
        <f>IFERROR(__xludf.DUMMYFUNCTION("""COMPUTED_VALUE"""),0.446088794926004)</f>
        <v>0.4460887949</v>
      </c>
      <c r="J54" s="8">
        <f>IFERROR(__xludf.DUMMYFUNCTION("""COMPUTED_VALUE"""),0.395744680851063)</f>
        <v>0.3957446809</v>
      </c>
      <c r="K54" s="8">
        <f>IFERROR(__xludf.DUMMYFUNCTION("""COMPUTED_VALUE"""),0.371794871794871)</f>
        <v>0.3717948718</v>
      </c>
      <c r="L54" s="8">
        <f>IFERROR(__xludf.DUMMYFUNCTION("""COMPUTED_VALUE"""),0.362637362637362)</f>
        <v>0.3626373626</v>
      </c>
      <c r="M54" s="8">
        <f>IFERROR(__xludf.DUMMYFUNCTION("""COMPUTED_VALUE"""),0.34963325183374)</f>
        <v>0.3496332518</v>
      </c>
      <c r="N54" s="8">
        <f>IFERROR(__xludf.DUMMYFUNCTION("""COMPUTED_VALUE"""),0.353260869565217)</f>
        <v>0.3532608696</v>
      </c>
      <c r="O54" s="8">
        <f>IFERROR(__xludf.DUMMYFUNCTION("""COMPUTED_VALUE"""),0.388888888888888)</f>
        <v>0.3888888889</v>
      </c>
      <c r="P54" s="8">
        <f>IFERROR(__xludf.DUMMYFUNCTION("""COMPUTED_VALUE"""),0.5)</f>
        <v>0.5</v>
      </c>
      <c r="Q54" s="8">
        <f>IFERROR(__xludf.DUMMYFUNCTION("""COMPUTED_VALUE"""),0.0)</f>
        <v>0</v>
      </c>
      <c r="R54" s="8">
        <f>IFERROR(__xludf.DUMMYFUNCTION("""COMPUTED_VALUE"""),0.0)</f>
        <v>0</v>
      </c>
      <c r="S54" s="8">
        <f>IFERROR(__xludf.DUMMYFUNCTION("""COMPUTED_VALUE"""),0.0)</f>
        <v>0</v>
      </c>
      <c r="T54" s="8">
        <f>IFERROR(__xludf.DUMMYFUNCTION("""COMPUTED_VALUE"""),0.0)</f>
        <v>0</v>
      </c>
      <c r="U54" s="8">
        <f>IFERROR(__xludf.DUMMYFUNCTION("""COMPUTED_VALUE"""),0.0)</f>
        <v>0</v>
      </c>
      <c r="V54" s="8">
        <f>IFERROR(__xludf.DUMMYFUNCTION("""COMPUTED_VALUE"""),0.0)</f>
        <v>0</v>
      </c>
      <c r="W54" s="8">
        <f>IFERROR(__xludf.DUMMYFUNCTION("""COMPUTED_VALUE"""),0.0)</f>
        <v>0</v>
      </c>
      <c r="X54" s="8">
        <f>IFERROR(__xludf.DUMMYFUNCTION("""COMPUTED_VALUE"""),0.0)</f>
        <v>0</v>
      </c>
      <c r="Y54" s="8">
        <f>IFERROR(__xludf.DUMMYFUNCTION("""COMPUTED_VALUE"""),0.0)</f>
        <v>0</v>
      </c>
      <c r="Z54" s="8">
        <f>IFERROR(__xludf.DUMMYFUNCTION("""COMPUTED_VALUE"""),0.0)</f>
        <v>0</v>
      </c>
      <c r="AA54" s="8">
        <f>IFERROR(__xludf.DUMMYFUNCTION("""COMPUTED_VALUE"""),0.0)</f>
        <v>0</v>
      </c>
      <c r="AB54" s="8">
        <f>IFERROR(__xludf.DUMMYFUNCTION("""COMPUTED_VALUE"""),0.0)</f>
        <v>0</v>
      </c>
      <c r="AC54" s="8">
        <f>IFERROR(__xludf.DUMMYFUNCTION("""COMPUTED_VALUE"""),0.0)</f>
        <v>0</v>
      </c>
    </row>
    <row r="55" ht="15.75" customHeight="1">
      <c r="A55" s="6" t="str">
        <f>IFERROR(__xludf.DUMMYFUNCTION("""COMPUTED_VALUE"""),"31b86ee5ffeadf52fab3148c3add083a2f90b442")</f>
        <v>31b86ee5ffeadf52fab3148c3add083a2f90b442</v>
      </c>
      <c r="B55" s="6" t="str">
        <f>IFERROR(__xludf.DUMMYFUNCTION("""COMPUTED_VALUE"""),"Enchanted by Blood ")</f>
        <v>Enchanted by Blood </v>
      </c>
      <c r="C55" s="6" t="str">
        <f>IFERROR(__xludf.DUMMYFUNCTION("""COMPUTED_VALUE"""),"Romantasy")</f>
        <v>Romantasy</v>
      </c>
      <c r="D55" s="11">
        <f>IFERROR(__xludf.DUMMYFUNCTION("""COMPUTED_VALUE"""),122.0)</f>
        <v>122</v>
      </c>
      <c r="E55" s="8">
        <f>IFERROR(__xludf.DUMMYFUNCTION("""COMPUTED_VALUE"""),0.967213114754098)</f>
        <v>0.9672131148</v>
      </c>
      <c r="F55" s="8">
        <f>IFERROR(__xludf.DUMMYFUNCTION("""COMPUTED_VALUE"""),0.286885245901639)</f>
        <v>0.2868852459</v>
      </c>
      <c r="G55" s="8">
        <f>IFERROR(__xludf.DUMMYFUNCTION("""COMPUTED_VALUE"""),0.237704918032786)</f>
        <v>0.237704918</v>
      </c>
      <c r="H55" s="8">
        <f>IFERROR(__xludf.DUMMYFUNCTION("""COMPUTED_VALUE"""),0.205128205128205)</f>
        <v>0.2051282051</v>
      </c>
      <c r="I55" s="8">
        <f>IFERROR(__xludf.DUMMYFUNCTION("""COMPUTED_VALUE"""),0.168141592920354)</f>
        <v>0.1681415929</v>
      </c>
      <c r="J55" s="8">
        <f>IFERROR(__xludf.DUMMYFUNCTION("""COMPUTED_VALUE"""),0.109090909090909)</f>
        <v>0.1090909091</v>
      </c>
      <c r="K55" s="8">
        <f>IFERROR(__xludf.DUMMYFUNCTION("""COMPUTED_VALUE"""),0.0934579439252336)</f>
        <v>0.09345794393</v>
      </c>
      <c r="L55" s="8">
        <f>IFERROR(__xludf.DUMMYFUNCTION("""COMPUTED_VALUE"""),0.0714285714285714)</f>
        <v>0.07142857143</v>
      </c>
      <c r="M55" s="8">
        <f>IFERROR(__xludf.DUMMYFUNCTION("""COMPUTED_VALUE"""),0.0357142857142857)</f>
        <v>0.03571428571</v>
      </c>
      <c r="N55" s="8">
        <f>IFERROR(__xludf.DUMMYFUNCTION("""COMPUTED_VALUE"""),0.0422535211267605)</f>
        <v>0.04225352113</v>
      </c>
      <c r="O55" s="8">
        <f>IFERROR(__xludf.DUMMYFUNCTION("""COMPUTED_VALUE"""),0.142857142857142)</f>
        <v>0.1428571429</v>
      </c>
      <c r="P55" s="8">
        <f>IFERROR(__xludf.DUMMYFUNCTION("""COMPUTED_VALUE"""),0.142857142857142)</f>
        <v>0.1428571429</v>
      </c>
      <c r="Q55" s="8">
        <f>IFERROR(__xludf.DUMMYFUNCTION("""COMPUTED_VALUE"""),0.142857142857142)</f>
        <v>0.1428571429</v>
      </c>
      <c r="R55" s="8">
        <f>IFERROR(__xludf.DUMMYFUNCTION("""COMPUTED_VALUE"""),0.0)</f>
        <v>0</v>
      </c>
      <c r="S55" s="8">
        <f>IFERROR(__xludf.DUMMYFUNCTION("""COMPUTED_VALUE"""),0.0)</f>
        <v>0</v>
      </c>
      <c r="T55" s="8">
        <f>IFERROR(__xludf.DUMMYFUNCTION("""COMPUTED_VALUE"""),0.0)</f>
        <v>0</v>
      </c>
      <c r="U55" s="8">
        <f>IFERROR(__xludf.DUMMYFUNCTION("""COMPUTED_VALUE"""),0.0)</f>
        <v>0</v>
      </c>
      <c r="V55" s="8">
        <f>IFERROR(__xludf.DUMMYFUNCTION("""COMPUTED_VALUE"""),0.0)</f>
        <v>0</v>
      </c>
      <c r="W55" s="8">
        <f>IFERROR(__xludf.DUMMYFUNCTION("""COMPUTED_VALUE"""),0.0)</f>
        <v>0</v>
      </c>
      <c r="X55" s="8">
        <f>IFERROR(__xludf.DUMMYFUNCTION("""COMPUTED_VALUE"""),0.0)</f>
        <v>0</v>
      </c>
      <c r="Y55" s="8">
        <f>IFERROR(__xludf.DUMMYFUNCTION("""COMPUTED_VALUE"""),0.0)</f>
        <v>0</v>
      </c>
      <c r="Z55" s="8">
        <f>IFERROR(__xludf.DUMMYFUNCTION("""COMPUTED_VALUE"""),0.0)</f>
        <v>0</v>
      </c>
      <c r="AA55" s="8">
        <f>IFERROR(__xludf.DUMMYFUNCTION("""COMPUTED_VALUE"""),0.0)</f>
        <v>0</v>
      </c>
      <c r="AB55" s="8">
        <f>IFERROR(__xludf.DUMMYFUNCTION("""COMPUTED_VALUE"""),0.0)</f>
        <v>0</v>
      </c>
      <c r="AC55" s="8">
        <f>IFERROR(__xludf.DUMMYFUNCTION("""COMPUTED_VALUE"""),0.0)</f>
        <v>0</v>
      </c>
    </row>
    <row r="56" ht="15.75" customHeight="1">
      <c r="A56" s="6" t="str">
        <f>IFERROR(__xludf.DUMMYFUNCTION("""COMPUTED_VALUE"""),"31e58f7ec421b1daaed1f4ac654ecd9eb855bc93")</f>
        <v>31e58f7ec421b1daaed1f4ac654ecd9eb855bc93</v>
      </c>
      <c r="B56" s="6" t="str">
        <f>IFERROR(__xludf.DUMMYFUNCTION("""COMPUTED_VALUE"""),"The Forsaken Path")</f>
        <v>The Forsaken Path</v>
      </c>
      <c r="C56" s="6" t="str">
        <f>IFERROR(__xludf.DUMMYFUNCTION("""COMPUTED_VALUE"""),"Fantasy")</f>
        <v>Fantasy</v>
      </c>
      <c r="D56" s="11">
        <f>IFERROR(__xludf.DUMMYFUNCTION("""COMPUTED_VALUE"""),68.0)</f>
        <v>68</v>
      </c>
      <c r="E56" s="8">
        <f>IFERROR(__xludf.DUMMYFUNCTION("""COMPUTED_VALUE"""),0.955882352941176)</f>
        <v>0.9558823529</v>
      </c>
      <c r="F56" s="8">
        <f>IFERROR(__xludf.DUMMYFUNCTION("""COMPUTED_VALUE"""),0.529411764705882)</f>
        <v>0.5294117647</v>
      </c>
      <c r="G56" s="8">
        <f>IFERROR(__xludf.DUMMYFUNCTION("""COMPUTED_VALUE"""),0.514705882352941)</f>
        <v>0.5147058824</v>
      </c>
      <c r="H56" s="8">
        <f>IFERROR(__xludf.DUMMYFUNCTION("""COMPUTED_VALUE"""),0.477611940298507)</f>
        <v>0.4776119403</v>
      </c>
      <c r="I56" s="8">
        <f>IFERROR(__xludf.DUMMYFUNCTION("""COMPUTED_VALUE"""),0.44776119402985)</f>
        <v>0.447761194</v>
      </c>
      <c r="J56" s="8">
        <f>IFERROR(__xludf.DUMMYFUNCTION("""COMPUTED_VALUE"""),0.46031746031746)</f>
        <v>0.4603174603</v>
      </c>
      <c r="K56" s="8">
        <f>IFERROR(__xludf.DUMMYFUNCTION("""COMPUTED_VALUE"""),0.45)</f>
        <v>0.45</v>
      </c>
      <c r="L56" s="8">
        <f>IFERROR(__xludf.DUMMYFUNCTION("""COMPUTED_VALUE"""),0.440677966101694)</f>
        <v>0.4406779661</v>
      </c>
      <c r="M56" s="8">
        <f>IFERROR(__xludf.DUMMYFUNCTION("""COMPUTED_VALUE"""),0.403508771929824)</f>
        <v>0.4035087719</v>
      </c>
      <c r="N56" s="8">
        <f>IFERROR(__xludf.DUMMYFUNCTION("""COMPUTED_VALUE"""),0.395833333333333)</f>
        <v>0.3958333333</v>
      </c>
      <c r="O56" s="8">
        <f>IFERROR(__xludf.DUMMYFUNCTION("""COMPUTED_VALUE"""),0.285714285714285)</f>
        <v>0.2857142857</v>
      </c>
      <c r="P56" s="8">
        <f>IFERROR(__xludf.DUMMYFUNCTION("""COMPUTED_VALUE"""),0.0)</f>
        <v>0</v>
      </c>
      <c r="Q56" s="8">
        <f>IFERROR(__xludf.DUMMYFUNCTION("""COMPUTED_VALUE"""),0.0)</f>
        <v>0</v>
      </c>
      <c r="R56" s="8">
        <f>IFERROR(__xludf.DUMMYFUNCTION("""COMPUTED_VALUE"""),0.0)</f>
        <v>0</v>
      </c>
      <c r="S56" s="8">
        <f>IFERROR(__xludf.DUMMYFUNCTION("""COMPUTED_VALUE"""),0.0)</f>
        <v>0</v>
      </c>
      <c r="T56" s="8">
        <f>IFERROR(__xludf.DUMMYFUNCTION("""COMPUTED_VALUE"""),0.0)</f>
        <v>0</v>
      </c>
      <c r="U56" s="8">
        <f>IFERROR(__xludf.DUMMYFUNCTION("""COMPUTED_VALUE"""),0.0)</f>
        <v>0</v>
      </c>
      <c r="V56" s="8">
        <f>IFERROR(__xludf.DUMMYFUNCTION("""COMPUTED_VALUE"""),0.0)</f>
        <v>0</v>
      </c>
      <c r="W56" s="8">
        <f>IFERROR(__xludf.DUMMYFUNCTION("""COMPUTED_VALUE"""),0.0)</f>
        <v>0</v>
      </c>
      <c r="X56" s="8">
        <f>IFERROR(__xludf.DUMMYFUNCTION("""COMPUTED_VALUE"""),0.0)</f>
        <v>0</v>
      </c>
      <c r="Y56" s="8">
        <f>IFERROR(__xludf.DUMMYFUNCTION("""COMPUTED_VALUE"""),0.0)</f>
        <v>0</v>
      </c>
      <c r="Z56" s="8">
        <f>IFERROR(__xludf.DUMMYFUNCTION("""COMPUTED_VALUE"""),0.0)</f>
        <v>0</v>
      </c>
      <c r="AA56" s="8">
        <f>IFERROR(__xludf.DUMMYFUNCTION("""COMPUTED_VALUE"""),0.0)</f>
        <v>0</v>
      </c>
      <c r="AB56" s="8">
        <f>IFERROR(__xludf.DUMMYFUNCTION("""COMPUTED_VALUE"""),0.0)</f>
        <v>0</v>
      </c>
      <c r="AC56" s="8">
        <f>IFERROR(__xludf.DUMMYFUNCTION("""COMPUTED_VALUE"""),0.0)</f>
        <v>0</v>
      </c>
    </row>
    <row r="57" ht="15.75" customHeight="1">
      <c r="A57" s="6" t="str">
        <f>IFERROR(__xludf.DUMMYFUNCTION("""COMPUTED_VALUE"""),"328a6c95d732271bc4717aa2abf3a7c15f89a25e")</f>
        <v>328a6c95d732271bc4717aa2abf3a7c15f89a25e</v>
      </c>
      <c r="B57" s="6" t="str">
        <f>IFERROR(__xludf.DUMMYFUNCTION("""COMPUTED_VALUE"""),"Braving the Rapid Waters")</f>
        <v>Braving the Rapid Waters</v>
      </c>
      <c r="C57" s="6" t="str">
        <f>IFERROR(__xludf.DUMMYFUNCTION("""COMPUTED_VALUE"""),"Romance")</f>
        <v>Romance</v>
      </c>
      <c r="D57" s="11">
        <f>IFERROR(__xludf.DUMMYFUNCTION("""COMPUTED_VALUE"""),438.0)</f>
        <v>438</v>
      </c>
      <c r="E57" s="8">
        <f>IFERROR(__xludf.DUMMYFUNCTION("""COMPUTED_VALUE"""),0.977168949771689)</f>
        <v>0.9771689498</v>
      </c>
      <c r="F57" s="8">
        <f>IFERROR(__xludf.DUMMYFUNCTION("""COMPUTED_VALUE"""),0.506849315068493)</f>
        <v>0.5068493151</v>
      </c>
      <c r="G57" s="8">
        <f>IFERROR(__xludf.DUMMYFUNCTION("""COMPUTED_VALUE"""),0.43607305936073)</f>
        <v>0.4360730594</v>
      </c>
      <c r="H57" s="8">
        <f>IFERROR(__xludf.DUMMYFUNCTION("""COMPUTED_VALUE"""),0.410958904109589)</f>
        <v>0.4109589041</v>
      </c>
      <c r="I57" s="8">
        <f>IFERROR(__xludf.DUMMYFUNCTION("""COMPUTED_VALUE"""),0.381278538812785)</f>
        <v>0.3812785388</v>
      </c>
      <c r="J57" s="8">
        <f>IFERROR(__xludf.DUMMYFUNCTION("""COMPUTED_VALUE"""),0.366132723112128)</f>
        <v>0.3661327231</v>
      </c>
      <c r="K57" s="8">
        <f>IFERROR(__xludf.DUMMYFUNCTION("""COMPUTED_VALUE"""),0.35091743119266)</f>
        <v>0.3509174312</v>
      </c>
      <c r="L57" s="8">
        <f>IFERROR(__xludf.DUMMYFUNCTION("""COMPUTED_VALUE"""),0.330275229357798)</f>
        <v>0.3302752294</v>
      </c>
      <c r="M57" s="8">
        <f>IFERROR(__xludf.DUMMYFUNCTION("""COMPUTED_VALUE"""),0.318807339449541)</f>
        <v>0.3188073394</v>
      </c>
      <c r="N57" s="8">
        <f>IFERROR(__xludf.DUMMYFUNCTION("""COMPUTED_VALUE"""),0.307339449541284)</f>
        <v>0.3073394495</v>
      </c>
      <c r="O57" s="8">
        <f>IFERROR(__xludf.DUMMYFUNCTION("""COMPUTED_VALUE"""),0.20919540229885)</f>
        <v>0.2091954023</v>
      </c>
      <c r="P57" s="8">
        <f>IFERROR(__xludf.DUMMYFUNCTION("""COMPUTED_VALUE"""),0.126436781609195)</f>
        <v>0.1264367816</v>
      </c>
      <c r="Q57" s="8">
        <f>IFERROR(__xludf.DUMMYFUNCTION("""COMPUTED_VALUE"""),0.0705882352941176)</f>
        <v>0.07058823529</v>
      </c>
      <c r="R57" s="8">
        <f>IFERROR(__xludf.DUMMYFUNCTION("""COMPUTED_VALUE"""),0.0260047281323877)</f>
        <v>0.02600472813</v>
      </c>
      <c r="S57" s="8">
        <f>IFERROR(__xludf.DUMMYFUNCTION("""COMPUTED_VALUE"""),0.0)</f>
        <v>0</v>
      </c>
      <c r="T57" s="8">
        <f>IFERROR(__xludf.DUMMYFUNCTION("""COMPUTED_VALUE"""),0.0)</f>
        <v>0</v>
      </c>
      <c r="U57" s="8">
        <f>IFERROR(__xludf.DUMMYFUNCTION("""COMPUTED_VALUE"""),0.0)</f>
        <v>0</v>
      </c>
      <c r="V57" s="8">
        <f>IFERROR(__xludf.DUMMYFUNCTION("""COMPUTED_VALUE"""),0.0)</f>
        <v>0</v>
      </c>
      <c r="W57" s="8">
        <f>IFERROR(__xludf.DUMMYFUNCTION("""COMPUTED_VALUE"""),0.0)</f>
        <v>0</v>
      </c>
      <c r="X57" s="8">
        <f>IFERROR(__xludf.DUMMYFUNCTION("""COMPUTED_VALUE"""),0.0)</f>
        <v>0</v>
      </c>
      <c r="Y57" s="8">
        <f>IFERROR(__xludf.DUMMYFUNCTION("""COMPUTED_VALUE"""),0.0)</f>
        <v>0</v>
      </c>
      <c r="Z57" s="8">
        <f>IFERROR(__xludf.DUMMYFUNCTION("""COMPUTED_VALUE"""),0.0)</f>
        <v>0</v>
      </c>
      <c r="AA57" s="8">
        <f>IFERROR(__xludf.DUMMYFUNCTION("""COMPUTED_VALUE"""),0.0)</f>
        <v>0</v>
      </c>
      <c r="AB57" s="8">
        <f>IFERROR(__xludf.DUMMYFUNCTION("""COMPUTED_VALUE"""),0.0)</f>
        <v>0</v>
      </c>
      <c r="AC57" s="8">
        <f>IFERROR(__xludf.DUMMYFUNCTION("""COMPUTED_VALUE"""),0.0)</f>
        <v>0</v>
      </c>
    </row>
    <row r="58" ht="15.75" customHeight="1">
      <c r="A58" s="6" t="str">
        <f>IFERROR(__xludf.DUMMYFUNCTION("""COMPUTED_VALUE"""),"328d4b017d5db890a886902acdade960088fb3d8")</f>
        <v>328d4b017d5db890a886902acdade960088fb3d8</v>
      </c>
      <c r="B58" s="6" t="str">
        <f>IFERROR(__xludf.DUMMYFUNCTION("""COMPUTED_VALUE"""),"Her Worthless Son-in-Law")</f>
        <v>Her Worthless Son-in-Law</v>
      </c>
      <c r="C58" s="6" t="str">
        <f>IFERROR(__xludf.DUMMYFUNCTION("""COMPUTED_VALUE"""),"System and Superpower")</f>
        <v>System and Superpower</v>
      </c>
      <c r="D58" s="11">
        <f>IFERROR(__xludf.DUMMYFUNCTION("""COMPUTED_VALUE"""),20.0)</f>
        <v>20</v>
      </c>
      <c r="E58" s="8">
        <f>IFERROR(__xludf.DUMMYFUNCTION("""COMPUTED_VALUE"""),0.95)</f>
        <v>0.95</v>
      </c>
      <c r="F58" s="8">
        <f>IFERROR(__xludf.DUMMYFUNCTION("""COMPUTED_VALUE"""),0.7)</f>
        <v>0.7</v>
      </c>
      <c r="G58" s="8">
        <f>IFERROR(__xludf.DUMMYFUNCTION("""COMPUTED_VALUE"""),0.7)</f>
        <v>0.7</v>
      </c>
      <c r="H58" s="8">
        <f>IFERROR(__xludf.DUMMYFUNCTION("""COMPUTED_VALUE"""),0.684210526315789)</f>
        <v>0.6842105263</v>
      </c>
      <c r="I58" s="8">
        <f>IFERROR(__xludf.DUMMYFUNCTION("""COMPUTED_VALUE"""),0.684210526315789)</f>
        <v>0.6842105263</v>
      </c>
      <c r="J58" s="8">
        <f>IFERROR(__xludf.DUMMYFUNCTION("""COMPUTED_VALUE"""),0.631578947368421)</f>
        <v>0.6315789474</v>
      </c>
      <c r="K58" s="8">
        <f>IFERROR(__xludf.DUMMYFUNCTION("""COMPUTED_VALUE"""),0.631578947368421)</f>
        <v>0.6315789474</v>
      </c>
      <c r="L58" s="8">
        <f>IFERROR(__xludf.DUMMYFUNCTION("""COMPUTED_VALUE"""),0.631578947368421)</f>
        <v>0.6315789474</v>
      </c>
      <c r="M58" s="8">
        <f>IFERROR(__xludf.DUMMYFUNCTION("""COMPUTED_VALUE"""),0.631578947368421)</f>
        <v>0.6315789474</v>
      </c>
      <c r="N58" s="8">
        <f>IFERROR(__xludf.DUMMYFUNCTION("""COMPUTED_VALUE"""),0.578947368421052)</f>
        <v>0.5789473684</v>
      </c>
      <c r="O58" s="8">
        <f>IFERROR(__xludf.DUMMYFUNCTION("""COMPUTED_VALUE"""),0.5)</f>
        <v>0.5</v>
      </c>
      <c r="P58" s="8">
        <f>IFERROR(__xludf.DUMMYFUNCTION("""COMPUTED_VALUE"""),0.333333333333333)</f>
        <v>0.3333333333</v>
      </c>
      <c r="Q58" s="8">
        <f>IFERROR(__xludf.DUMMYFUNCTION("""COMPUTED_VALUE"""),0.333333333333333)</f>
        <v>0.3333333333</v>
      </c>
      <c r="R58" s="8">
        <f>IFERROR(__xludf.DUMMYFUNCTION("""COMPUTED_VALUE"""),0.0)</f>
        <v>0</v>
      </c>
      <c r="S58" s="8">
        <f>IFERROR(__xludf.DUMMYFUNCTION("""COMPUTED_VALUE"""),0.0)</f>
        <v>0</v>
      </c>
      <c r="T58" s="8">
        <f>IFERROR(__xludf.DUMMYFUNCTION("""COMPUTED_VALUE"""),0.0)</f>
        <v>0</v>
      </c>
      <c r="U58" s="8">
        <f>IFERROR(__xludf.DUMMYFUNCTION("""COMPUTED_VALUE"""),0.0)</f>
        <v>0</v>
      </c>
      <c r="V58" s="8">
        <f>IFERROR(__xludf.DUMMYFUNCTION("""COMPUTED_VALUE"""),0.0)</f>
        <v>0</v>
      </c>
      <c r="W58" s="8">
        <f>IFERROR(__xludf.DUMMYFUNCTION("""COMPUTED_VALUE"""),0.0)</f>
        <v>0</v>
      </c>
      <c r="X58" s="8">
        <f>IFERROR(__xludf.DUMMYFUNCTION("""COMPUTED_VALUE"""),0.0)</f>
        <v>0</v>
      </c>
      <c r="Y58" s="8">
        <f>IFERROR(__xludf.DUMMYFUNCTION("""COMPUTED_VALUE"""),0.0)</f>
        <v>0</v>
      </c>
      <c r="Z58" s="8">
        <f>IFERROR(__xludf.DUMMYFUNCTION("""COMPUTED_VALUE"""),0.0)</f>
        <v>0</v>
      </c>
      <c r="AA58" s="8">
        <f>IFERROR(__xludf.DUMMYFUNCTION("""COMPUTED_VALUE"""),0.0)</f>
        <v>0</v>
      </c>
      <c r="AB58" s="8">
        <f>IFERROR(__xludf.DUMMYFUNCTION("""COMPUTED_VALUE"""),0.0)</f>
        <v>0</v>
      </c>
      <c r="AC58" s="8">
        <f>IFERROR(__xludf.DUMMYFUNCTION("""COMPUTED_VALUE"""),0.0)</f>
        <v>0</v>
      </c>
    </row>
    <row r="59" ht="15.75" customHeight="1">
      <c r="A59" s="6" t="str">
        <f>IFERROR(__xludf.DUMMYFUNCTION("""COMPUTED_VALUE"""),"33e8ab0db9ae32917785af78276932f16eac10c0")</f>
        <v>33e8ab0db9ae32917785af78276932f16eac10c0</v>
      </c>
      <c r="B59" s="6" t="str">
        <f>IFERROR(__xludf.DUMMYFUNCTION("""COMPUTED_VALUE"""),"The Crowns Selection")</f>
        <v>The Crowns Selection</v>
      </c>
      <c r="C59" s="6" t="str">
        <f>IFERROR(__xludf.DUMMYFUNCTION("""COMPUTED_VALUE"""),"Romance")</f>
        <v>Romance</v>
      </c>
      <c r="D59" s="11">
        <f>IFERROR(__xludf.DUMMYFUNCTION("""COMPUTED_VALUE"""),535.0)</f>
        <v>535</v>
      </c>
      <c r="E59" s="8">
        <f>IFERROR(__xludf.DUMMYFUNCTION("""COMPUTED_VALUE"""),0.985046728971962)</f>
        <v>0.985046729</v>
      </c>
      <c r="F59" s="8">
        <f>IFERROR(__xludf.DUMMYFUNCTION("""COMPUTED_VALUE"""),0.581308411214953)</f>
        <v>0.5813084112</v>
      </c>
      <c r="G59" s="8">
        <f>IFERROR(__xludf.DUMMYFUNCTION("""COMPUTED_VALUE"""),0.508411214953271)</f>
        <v>0.508411215</v>
      </c>
      <c r="H59" s="8">
        <f>IFERROR(__xludf.DUMMYFUNCTION("""COMPUTED_VALUE"""),0.488789237668161)</f>
        <v>0.4887892377</v>
      </c>
      <c r="I59" s="8">
        <f>IFERROR(__xludf.DUMMYFUNCTION("""COMPUTED_VALUE"""),0.389521640091116)</f>
        <v>0.3895216401</v>
      </c>
      <c r="J59" s="8">
        <f>IFERROR(__xludf.DUMMYFUNCTION("""COMPUTED_VALUE"""),0.370892018779342)</f>
        <v>0.3708920188</v>
      </c>
      <c r="K59" s="8">
        <f>IFERROR(__xludf.DUMMYFUNCTION("""COMPUTED_VALUE"""),0.320388349514563)</f>
        <v>0.3203883495</v>
      </c>
      <c r="L59" s="8">
        <f>IFERROR(__xludf.DUMMYFUNCTION("""COMPUTED_VALUE"""),0.305128205128205)</f>
        <v>0.3051282051</v>
      </c>
      <c r="M59" s="8">
        <f>IFERROR(__xludf.DUMMYFUNCTION("""COMPUTED_VALUE"""),0.286549707602339)</f>
        <v>0.2865497076</v>
      </c>
      <c r="N59" s="8">
        <f>IFERROR(__xludf.DUMMYFUNCTION("""COMPUTED_VALUE"""),0.285123966942148)</f>
        <v>0.2851239669</v>
      </c>
      <c r="O59" s="8">
        <f>IFERROR(__xludf.DUMMYFUNCTION("""COMPUTED_VALUE"""),0.292682926829268)</f>
        <v>0.2926829268</v>
      </c>
      <c r="P59" s="8">
        <f>IFERROR(__xludf.DUMMYFUNCTION("""COMPUTED_VALUE"""),0.257142857142857)</f>
        <v>0.2571428571</v>
      </c>
      <c r="Q59" s="8">
        <f>IFERROR(__xludf.DUMMYFUNCTION("""COMPUTED_VALUE"""),0.666666666666666)</f>
        <v>0.6666666667</v>
      </c>
      <c r="R59" s="8">
        <f>IFERROR(__xludf.DUMMYFUNCTION("""COMPUTED_VALUE"""),0.0)</f>
        <v>0</v>
      </c>
      <c r="S59" s="8">
        <f>IFERROR(__xludf.DUMMYFUNCTION("""COMPUTED_VALUE"""),0.0)</f>
        <v>0</v>
      </c>
      <c r="T59" s="8">
        <f>IFERROR(__xludf.DUMMYFUNCTION("""COMPUTED_VALUE"""),0.0)</f>
        <v>0</v>
      </c>
      <c r="U59" s="8">
        <f>IFERROR(__xludf.DUMMYFUNCTION("""COMPUTED_VALUE"""),0.0)</f>
        <v>0</v>
      </c>
      <c r="V59" s="8">
        <f>IFERROR(__xludf.DUMMYFUNCTION("""COMPUTED_VALUE"""),0.0)</f>
        <v>0</v>
      </c>
      <c r="W59" s="8">
        <f>IFERROR(__xludf.DUMMYFUNCTION("""COMPUTED_VALUE"""),0.0)</f>
        <v>0</v>
      </c>
      <c r="X59" s="8">
        <f>IFERROR(__xludf.DUMMYFUNCTION("""COMPUTED_VALUE"""),0.0)</f>
        <v>0</v>
      </c>
      <c r="Y59" s="8">
        <f>IFERROR(__xludf.DUMMYFUNCTION("""COMPUTED_VALUE"""),0.0)</f>
        <v>0</v>
      </c>
      <c r="Z59" s="8">
        <f>IFERROR(__xludf.DUMMYFUNCTION("""COMPUTED_VALUE"""),0.0)</f>
        <v>0</v>
      </c>
      <c r="AA59" s="8">
        <f>IFERROR(__xludf.DUMMYFUNCTION("""COMPUTED_VALUE"""),0.0)</f>
        <v>0</v>
      </c>
      <c r="AB59" s="8">
        <f>IFERROR(__xludf.DUMMYFUNCTION("""COMPUTED_VALUE"""),0.0)</f>
        <v>0</v>
      </c>
      <c r="AC59" s="8">
        <f>IFERROR(__xludf.DUMMYFUNCTION("""COMPUTED_VALUE"""),0.0)</f>
        <v>0</v>
      </c>
    </row>
    <row r="60" ht="15.75" customHeight="1">
      <c r="A60" s="6" t="str">
        <f>IFERROR(__xludf.DUMMYFUNCTION("""COMPUTED_VALUE"""),"344fcbb2ea419c5e240def842cb2949db59acee4")</f>
        <v>344fcbb2ea419c5e240def842cb2949db59acee4</v>
      </c>
      <c r="B60" s="6" t="str">
        <f>IFERROR(__xludf.DUMMYFUNCTION("""COMPUTED_VALUE"""),"Gate of Immortality")</f>
        <v>Gate of Immortality</v>
      </c>
      <c r="C60" s="6" t="str">
        <f>IFERROR(__xludf.DUMMYFUNCTION("""COMPUTED_VALUE"""),"Drama")</f>
        <v>Drama</v>
      </c>
      <c r="D60" s="11">
        <f>IFERROR(__xludf.DUMMYFUNCTION("""COMPUTED_VALUE"""),38.0)</f>
        <v>38</v>
      </c>
      <c r="E60" s="8">
        <f>IFERROR(__xludf.DUMMYFUNCTION("""COMPUTED_VALUE"""),0.973684210526315)</f>
        <v>0.9736842105</v>
      </c>
      <c r="F60" s="8">
        <f>IFERROR(__xludf.DUMMYFUNCTION("""COMPUTED_VALUE"""),0.5)</f>
        <v>0.5</v>
      </c>
      <c r="G60" s="8">
        <f>IFERROR(__xludf.DUMMYFUNCTION("""COMPUTED_VALUE"""),0.394736842105263)</f>
        <v>0.3947368421</v>
      </c>
      <c r="H60" s="8">
        <f>IFERROR(__xludf.DUMMYFUNCTION("""COMPUTED_VALUE"""),0.448275862068965)</f>
        <v>0.4482758621</v>
      </c>
      <c r="I60" s="8">
        <f>IFERROR(__xludf.DUMMYFUNCTION("""COMPUTED_VALUE"""),0.407407407407407)</f>
        <v>0.4074074074</v>
      </c>
      <c r="J60" s="8">
        <f>IFERROR(__xludf.DUMMYFUNCTION("""COMPUTED_VALUE"""),0.375)</f>
        <v>0.375</v>
      </c>
      <c r="K60" s="8">
        <f>IFERROR(__xludf.DUMMYFUNCTION("""COMPUTED_VALUE"""),0.347826086956521)</f>
        <v>0.347826087</v>
      </c>
      <c r="L60" s="8">
        <f>IFERROR(__xludf.DUMMYFUNCTION("""COMPUTED_VALUE"""),0.35)</f>
        <v>0.35</v>
      </c>
      <c r="M60" s="8">
        <f>IFERROR(__xludf.DUMMYFUNCTION("""COMPUTED_VALUE"""),0.31578947368421)</f>
        <v>0.3157894737</v>
      </c>
      <c r="N60" s="8">
        <f>IFERROR(__xludf.DUMMYFUNCTION("""COMPUTED_VALUE"""),0.294117647058823)</f>
        <v>0.2941176471</v>
      </c>
      <c r="O60" s="8">
        <f>IFERROR(__xludf.DUMMYFUNCTION("""COMPUTED_VALUE"""),0.181818181818181)</f>
        <v>0.1818181818</v>
      </c>
      <c r="P60" s="8">
        <f>IFERROR(__xludf.DUMMYFUNCTION("""COMPUTED_VALUE"""),0.272727272727272)</f>
        <v>0.2727272727</v>
      </c>
      <c r="Q60" s="8">
        <f>IFERROR(__xludf.DUMMYFUNCTION("""COMPUTED_VALUE"""),0.0)</f>
        <v>0</v>
      </c>
      <c r="R60" s="8">
        <f>IFERROR(__xludf.DUMMYFUNCTION("""COMPUTED_VALUE"""),0.0)</f>
        <v>0</v>
      </c>
      <c r="S60" s="8">
        <f>IFERROR(__xludf.DUMMYFUNCTION("""COMPUTED_VALUE"""),0.0)</f>
        <v>0</v>
      </c>
      <c r="T60" s="8">
        <f>IFERROR(__xludf.DUMMYFUNCTION("""COMPUTED_VALUE"""),0.0)</f>
        <v>0</v>
      </c>
      <c r="U60" s="8">
        <f>IFERROR(__xludf.DUMMYFUNCTION("""COMPUTED_VALUE"""),0.0)</f>
        <v>0</v>
      </c>
      <c r="V60" s="8">
        <f>IFERROR(__xludf.DUMMYFUNCTION("""COMPUTED_VALUE"""),0.0)</f>
        <v>0</v>
      </c>
      <c r="W60" s="8">
        <f>IFERROR(__xludf.DUMMYFUNCTION("""COMPUTED_VALUE"""),0.0)</f>
        <v>0</v>
      </c>
      <c r="X60" s="8">
        <f>IFERROR(__xludf.DUMMYFUNCTION("""COMPUTED_VALUE"""),0.0)</f>
        <v>0</v>
      </c>
      <c r="Y60" s="8">
        <f>IFERROR(__xludf.DUMMYFUNCTION("""COMPUTED_VALUE"""),0.0)</f>
        <v>0</v>
      </c>
      <c r="Z60" s="8">
        <f>IFERROR(__xludf.DUMMYFUNCTION("""COMPUTED_VALUE"""),0.0)</f>
        <v>0</v>
      </c>
      <c r="AA60" s="8">
        <f>IFERROR(__xludf.DUMMYFUNCTION("""COMPUTED_VALUE"""),0.0)</f>
        <v>0</v>
      </c>
      <c r="AB60" s="8">
        <f>IFERROR(__xludf.DUMMYFUNCTION("""COMPUTED_VALUE"""),0.0)</f>
        <v>0</v>
      </c>
      <c r="AC60" s="8">
        <f>IFERROR(__xludf.DUMMYFUNCTION("""COMPUTED_VALUE"""),0.0)</f>
        <v>0</v>
      </c>
    </row>
    <row r="61" ht="15.75" customHeight="1">
      <c r="A61" s="6" t="str">
        <f>IFERROR(__xludf.DUMMYFUNCTION("""COMPUTED_VALUE"""),"34997bc4167305107b251e0bf8431553064ef3a5")</f>
        <v>34997bc4167305107b251e0bf8431553064ef3a5</v>
      </c>
      <c r="B61" s="6" t="str">
        <f>IFERROR(__xludf.DUMMYFUNCTION("""COMPUTED_VALUE"""),"The Ghost Heiress")</f>
        <v>The Ghost Heiress</v>
      </c>
      <c r="C61" s="6" t="str">
        <f>IFERROR(__xludf.DUMMYFUNCTION("""COMPUTED_VALUE"""),"Romance")</f>
        <v>Romance</v>
      </c>
      <c r="D61" s="11">
        <f>IFERROR(__xludf.DUMMYFUNCTION("""COMPUTED_VALUE"""),277.0)</f>
        <v>277</v>
      </c>
      <c r="E61" s="8">
        <f>IFERROR(__xludf.DUMMYFUNCTION("""COMPUTED_VALUE"""),0.953068592057761)</f>
        <v>0.9530685921</v>
      </c>
      <c r="F61" s="8">
        <f>IFERROR(__xludf.DUMMYFUNCTION("""COMPUTED_VALUE"""),0.566787003610108)</f>
        <v>0.5667870036</v>
      </c>
      <c r="G61" s="8">
        <f>IFERROR(__xludf.DUMMYFUNCTION("""COMPUTED_VALUE"""),0.509025270758122)</f>
        <v>0.5090252708</v>
      </c>
      <c r="H61" s="8">
        <f>IFERROR(__xludf.DUMMYFUNCTION("""COMPUTED_VALUE"""),0.441666666666666)</f>
        <v>0.4416666667</v>
      </c>
      <c r="I61" s="8">
        <f>IFERROR(__xludf.DUMMYFUNCTION("""COMPUTED_VALUE"""),0.427947598253275)</f>
        <v>0.4279475983</v>
      </c>
      <c r="J61" s="8">
        <f>IFERROR(__xludf.DUMMYFUNCTION("""COMPUTED_VALUE"""),0.378504672897196)</f>
        <v>0.3785046729</v>
      </c>
      <c r="K61" s="8">
        <f>IFERROR(__xludf.DUMMYFUNCTION("""COMPUTED_VALUE"""),0.288557213930348)</f>
        <v>0.2885572139</v>
      </c>
      <c r="L61" s="8">
        <f>IFERROR(__xludf.DUMMYFUNCTION("""COMPUTED_VALUE"""),0.333333333333333)</f>
        <v>0.3333333333</v>
      </c>
      <c r="M61" s="8">
        <f>IFERROR(__xludf.DUMMYFUNCTION("""COMPUTED_VALUE"""),0.32258064516129)</f>
        <v>0.3225806452</v>
      </c>
      <c r="N61" s="8">
        <f>IFERROR(__xludf.DUMMYFUNCTION("""COMPUTED_VALUE"""),0.33695652173913)</f>
        <v>0.3369565217</v>
      </c>
      <c r="O61" s="8">
        <f>IFERROR(__xludf.DUMMYFUNCTION("""COMPUTED_VALUE"""),0.29090909090909)</f>
        <v>0.2909090909</v>
      </c>
      <c r="P61" s="8">
        <f>IFERROR(__xludf.DUMMYFUNCTION("""COMPUTED_VALUE"""),0.188679245283018)</f>
        <v>0.1886792453</v>
      </c>
      <c r="Q61" s="8">
        <f>IFERROR(__xludf.DUMMYFUNCTION("""COMPUTED_VALUE"""),0.333333333333333)</f>
        <v>0.3333333333</v>
      </c>
      <c r="R61" s="8">
        <f>IFERROR(__xludf.DUMMYFUNCTION("""COMPUTED_VALUE"""),0.0)</f>
        <v>0</v>
      </c>
      <c r="S61" s="8">
        <f>IFERROR(__xludf.DUMMYFUNCTION("""COMPUTED_VALUE"""),0.0)</f>
        <v>0</v>
      </c>
      <c r="T61" s="8">
        <f>IFERROR(__xludf.DUMMYFUNCTION("""COMPUTED_VALUE"""),0.0)</f>
        <v>0</v>
      </c>
      <c r="U61" s="8">
        <f>IFERROR(__xludf.DUMMYFUNCTION("""COMPUTED_VALUE"""),0.0)</f>
        <v>0</v>
      </c>
      <c r="V61" s="8">
        <f>IFERROR(__xludf.DUMMYFUNCTION("""COMPUTED_VALUE"""),0.0)</f>
        <v>0</v>
      </c>
      <c r="W61" s="8">
        <f>IFERROR(__xludf.DUMMYFUNCTION("""COMPUTED_VALUE"""),0.0)</f>
        <v>0</v>
      </c>
      <c r="X61" s="8">
        <f>IFERROR(__xludf.DUMMYFUNCTION("""COMPUTED_VALUE"""),0.0)</f>
        <v>0</v>
      </c>
      <c r="Y61" s="8">
        <f>IFERROR(__xludf.DUMMYFUNCTION("""COMPUTED_VALUE"""),0.0)</f>
        <v>0</v>
      </c>
      <c r="Z61" s="8">
        <f>IFERROR(__xludf.DUMMYFUNCTION("""COMPUTED_VALUE"""),0.0)</f>
        <v>0</v>
      </c>
      <c r="AA61" s="8">
        <f>IFERROR(__xludf.DUMMYFUNCTION("""COMPUTED_VALUE"""),0.0)</f>
        <v>0</v>
      </c>
      <c r="AB61" s="8">
        <f>IFERROR(__xludf.DUMMYFUNCTION("""COMPUTED_VALUE"""),0.0)</f>
        <v>0</v>
      </c>
      <c r="AC61" s="8">
        <f>IFERROR(__xludf.DUMMYFUNCTION("""COMPUTED_VALUE"""),0.0)</f>
        <v>0</v>
      </c>
    </row>
    <row r="62" ht="15.75" customHeight="1">
      <c r="A62" s="6" t="str">
        <f>IFERROR(__xludf.DUMMYFUNCTION("""COMPUTED_VALUE"""),"34f2f307c600eaadeadd185f5681a891034fb635")</f>
        <v>34f2f307c600eaadeadd185f5681a891034fb635</v>
      </c>
      <c r="B62" s="6" t="str">
        <f>IFERROR(__xludf.DUMMYFUNCTION("""COMPUTED_VALUE"""),"Complete Deception")</f>
        <v>Complete Deception</v>
      </c>
      <c r="C62" s="6" t="str">
        <f>IFERROR(__xludf.DUMMYFUNCTION("""COMPUTED_VALUE"""),"Romance")</f>
        <v>Romance</v>
      </c>
      <c r="D62" s="11">
        <f>IFERROR(__xludf.DUMMYFUNCTION("""COMPUTED_VALUE"""),441.0)</f>
        <v>441</v>
      </c>
      <c r="E62" s="8">
        <f>IFERROR(__xludf.DUMMYFUNCTION("""COMPUTED_VALUE"""),0.979591836734693)</f>
        <v>0.9795918367</v>
      </c>
      <c r="F62" s="8">
        <f>IFERROR(__xludf.DUMMYFUNCTION("""COMPUTED_VALUE"""),0.571428571428571)</f>
        <v>0.5714285714</v>
      </c>
      <c r="G62" s="8">
        <f>IFERROR(__xludf.DUMMYFUNCTION("""COMPUTED_VALUE"""),0.446712018140589)</f>
        <v>0.4467120181</v>
      </c>
      <c r="H62" s="8">
        <f>IFERROR(__xludf.DUMMYFUNCTION("""COMPUTED_VALUE"""),0.408163265306122)</f>
        <v>0.4081632653</v>
      </c>
      <c r="I62" s="8">
        <f>IFERROR(__xludf.DUMMYFUNCTION("""COMPUTED_VALUE"""),0.403628117913832)</f>
        <v>0.4036281179</v>
      </c>
      <c r="J62" s="8">
        <f>IFERROR(__xludf.DUMMYFUNCTION("""COMPUTED_VALUE"""),0.362811791383219)</f>
        <v>0.3628117914</v>
      </c>
      <c r="K62" s="8">
        <f>IFERROR(__xludf.DUMMYFUNCTION("""COMPUTED_VALUE"""),0.317460317460317)</f>
        <v>0.3174603175</v>
      </c>
      <c r="L62" s="8">
        <f>IFERROR(__xludf.DUMMYFUNCTION("""COMPUTED_VALUE"""),0.312072892938496)</f>
        <v>0.3120728929</v>
      </c>
      <c r="M62" s="8">
        <f>IFERROR(__xludf.DUMMYFUNCTION("""COMPUTED_VALUE"""),0.309794988610478)</f>
        <v>0.3097949886</v>
      </c>
      <c r="N62" s="8">
        <f>IFERROR(__xludf.DUMMYFUNCTION("""COMPUTED_VALUE"""),0.295871559633027)</f>
        <v>0.2958715596</v>
      </c>
      <c r="O62" s="8">
        <f>IFERROR(__xludf.DUMMYFUNCTION("""COMPUTED_VALUE"""),0.265573770491803)</f>
        <v>0.2655737705</v>
      </c>
      <c r="P62" s="8">
        <f>IFERROR(__xludf.DUMMYFUNCTION("""COMPUTED_VALUE"""),0.256756756756756)</f>
        <v>0.2567567568</v>
      </c>
      <c r="Q62" s="8">
        <f>IFERROR(__xludf.DUMMYFUNCTION("""COMPUTED_VALUE"""),0.123287671232876)</f>
        <v>0.1232876712</v>
      </c>
      <c r="R62" s="8">
        <f>IFERROR(__xludf.DUMMYFUNCTION("""COMPUTED_VALUE"""),0.0827586206896551)</f>
        <v>0.08275862069</v>
      </c>
      <c r="S62" s="8">
        <f>IFERROR(__xludf.DUMMYFUNCTION("""COMPUTED_VALUE"""),0.0277777777777777)</f>
        <v>0.02777777778</v>
      </c>
      <c r="T62" s="8">
        <f>IFERROR(__xludf.DUMMYFUNCTION("""COMPUTED_VALUE"""),0.0217391304347826)</f>
        <v>0.02173913043</v>
      </c>
      <c r="U62" s="8">
        <f>IFERROR(__xludf.DUMMYFUNCTION("""COMPUTED_VALUE"""),0.017391304347826)</f>
        <v>0.01739130435</v>
      </c>
      <c r="V62" s="8">
        <f>IFERROR(__xludf.DUMMYFUNCTION("""COMPUTED_VALUE"""),0.0)</f>
        <v>0</v>
      </c>
      <c r="W62" s="8">
        <f>IFERROR(__xludf.DUMMYFUNCTION("""COMPUTED_VALUE"""),0.0)</f>
        <v>0</v>
      </c>
      <c r="X62" s="8">
        <f>IFERROR(__xludf.DUMMYFUNCTION("""COMPUTED_VALUE"""),0.0)</f>
        <v>0</v>
      </c>
      <c r="Y62" s="8">
        <f>IFERROR(__xludf.DUMMYFUNCTION("""COMPUTED_VALUE"""),0.0)</f>
        <v>0</v>
      </c>
      <c r="Z62" s="8">
        <f>IFERROR(__xludf.DUMMYFUNCTION("""COMPUTED_VALUE"""),0.0)</f>
        <v>0</v>
      </c>
      <c r="AA62" s="8">
        <f>IFERROR(__xludf.DUMMYFUNCTION("""COMPUTED_VALUE"""),0.0)</f>
        <v>0</v>
      </c>
      <c r="AB62" s="8">
        <f>IFERROR(__xludf.DUMMYFUNCTION("""COMPUTED_VALUE"""),0.0)</f>
        <v>0</v>
      </c>
      <c r="AC62" s="8">
        <f>IFERROR(__xludf.DUMMYFUNCTION("""COMPUTED_VALUE"""),0.0)</f>
        <v>0</v>
      </c>
    </row>
    <row r="63" ht="15.75" customHeight="1">
      <c r="A63" s="6" t="str">
        <f>IFERROR(__xludf.DUMMYFUNCTION("""COMPUTED_VALUE"""),"362902a5f0edf9862b88e64b166bdf3fa44487fc")</f>
        <v>362902a5f0edf9862b88e64b166bdf3fa44487fc</v>
      </c>
      <c r="B63" s="6" t="str">
        <f>IFERROR(__xludf.DUMMYFUNCTION("""COMPUTED_VALUE"""),"Almighty Sword Domain")</f>
        <v>Almighty Sword Domain</v>
      </c>
      <c r="C63" s="6" t="str">
        <f>IFERROR(__xludf.DUMMYFUNCTION("""COMPUTED_VALUE"""),"Fantasy")</f>
        <v>Fantasy</v>
      </c>
      <c r="D63" s="11">
        <f>IFERROR(__xludf.DUMMYFUNCTION("""COMPUTED_VALUE"""),12.0)</f>
        <v>12</v>
      </c>
      <c r="E63" s="8">
        <f>IFERROR(__xludf.DUMMYFUNCTION("""COMPUTED_VALUE"""),1.0)</f>
        <v>1</v>
      </c>
      <c r="F63" s="8">
        <f>IFERROR(__xludf.DUMMYFUNCTION("""COMPUTED_VALUE"""),0.416666666666666)</f>
        <v>0.4166666667</v>
      </c>
      <c r="G63" s="8">
        <f>IFERROR(__xludf.DUMMYFUNCTION("""COMPUTED_VALUE"""),0.5)</f>
        <v>0.5</v>
      </c>
      <c r="H63" s="8">
        <f>IFERROR(__xludf.DUMMYFUNCTION("""COMPUTED_VALUE"""),0.6)</f>
        <v>0.6</v>
      </c>
      <c r="I63" s="8">
        <f>IFERROR(__xludf.DUMMYFUNCTION("""COMPUTED_VALUE"""),0.428571428571428)</f>
        <v>0.4285714286</v>
      </c>
      <c r="J63" s="8">
        <f>IFERROR(__xludf.DUMMYFUNCTION("""COMPUTED_VALUE"""),0.5)</f>
        <v>0.5</v>
      </c>
      <c r="K63" s="8">
        <f>IFERROR(__xludf.DUMMYFUNCTION("""COMPUTED_VALUE"""),0.25)</f>
        <v>0.25</v>
      </c>
      <c r="L63" s="8">
        <f>IFERROR(__xludf.DUMMYFUNCTION("""COMPUTED_VALUE"""),0.25)</f>
        <v>0.25</v>
      </c>
      <c r="M63" s="8">
        <f>IFERROR(__xludf.DUMMYFUNCTION("""COMPUTED_VALUE"""),0.25)</f>
        <v>0.25</v>
      </c>
      <c r="N63" s="8">
        <f>IFERROR(__xludf.DUMMYFUNCTION("""COMPUTED_VALUE"""),0.25)</f>
        <v>0.25</v>
      </c>
      <c r="O63" s="8">
        <f>IFERROR(__xludf.DUMMYFUNCTION("""COMPUTED_VALUE"""),0.25)</f>
        <v>0.25</v>
      </c>
      <c r="P63" s="8">
        <f>IFERROR(__xludf.DUMMYFUNCTION("""COMPUTED_VALUE"""),0.25)</f>
        <v>0.25</v>
      </c>
      <c r="Q63" s="8">
        <f>IFERROR(__xludf.DUMMYFUNCTION("""COMPUTED_VALUE"""),0.25)</f>
        <v>0.25</v>
      </c>
      <c r="R63" s="8">
        <f>IFERROR(__xludf.DUMMYFUNCTION("""COMPUTED_VALUE"""),0.25)</f>
        <v>0.25</v>
      </c>
      <c r="S63" s="8">
        <f>IFERROR(__xludf.DUMMYFUNCTION("""COMPUTED_VALUE"""),0.0)</f>
        <v>0</v>
      </c>
      <c r="T63" s="8">
        <f>IFERROR(__xludf.DUMMYFUNCTION("""COMPUTED_VALUE"""),0.0)</f>
        <v>0</v>
      </c>
      <c r="U63" s="8">
        <f>IFERROR(__xludf.DUMMYFUNCTION("""COMPUTED_VALUE"""),0.0)</f>
        <v>0</v>
      </c>
      <c r="V63" s="8">
        <f>IFERROR(__xludf.DUMMYFUNCTION("""COMPUTED_VALUE"""),0.0)</f>
        <v>0</v>
      </c>
      <c r="W63" s="8">
        <f>IFERROR(__xludf.DUMMYFUNCTION("""COMPUTED_VALUE"""),0.0)</f>
        <v>0</v>
      </c>
      <c r="X63" s="8">
        <f>IFERROR(__xludf.DUMMYFUNCTION("""COMPUTED_VALUE"""),0.0)</f>
        <v>0</v>
      </c>
      <c r="Y63" s="8">
        <f>IFERROR(__xludf.DUMMYFUNCTION("""COMPUTED_VALUE"""),0.0)</f>
        <v>0</v>
      </c>
      <c r="Z63" s="8">
        <f>IFERROR(__xludf.DUMMYFUNCTION("""COMPUTED_VALUE"""),0.0)</f>
        <v>0</v>
      </c>
      <c r="AA63" s="8">
        <f>IFERROR(__xludf.DUMMYFUNCTION("""COMPUTED_VALUE"""),0.0)</f>
        <v>0</v>
      </c>
      <c r="AB63" s="8">
        <f>IFERROR(__xludf.DUMMYFUNCTION("""COMPUTED_VALUE"""),0.0)</f>
        <v>0</v>
      </c>
      <c r="AC63" s="8">
        <f>IFERROR(__xludf.DUMMYFUNCTION("""COMPUTED_VALUE"""),0.0)</f>
        <v>0</v>
      </c>
    </row>
    <row r="64" ht="15.75" customHeight="1">
      <c r="A64" s="6" t="str">
        <f>IFERROR(__xludf.DUMMYFUNCTION("""COMPUTED_VALUE"""),"37a4619595e440ac361cdc0df4d1bd0a9bd5d60c")</f>
        <v>37a4619595e440ac361cdc0df4d1bd0a9bd5d60c</v>
      </c>
      <c r="B64" s="6" t="str">
        <f>IFERROR(__xludf.DUMMYFUNCTION("""COMPUTED_VALUE"""),"The Bloodline Copy System")</f>
        <v>The Bloodline Copy System</v>
      </c>
      <c r="C64" s="6" t="str">
        <f>IFERROR(__xludf.DUMMYFUNCTION("""COMPUTED_VALUE"""),"System and Superpower")</f>
        <v>System and Superpower</v>
      </c>
      <c r="D64" s="11">
        <f>IFERROR(__xludf.DUMMYFUNCTION("""COMPUTED_VALUE"""),52.0)</f>
        <v>52</v>
      </c>
      <c r="E64" s="8">
        <f>IFERROR(__xludf.DUMMYFUNCTION("""COMPUTED_VALUE"""),0.98076923076923)</f>
        <v>0.9807692308</v>
      </c>
      <c r="F64" s="8">
        <f>IFERROR(__xludf.DUMMYFUNCTION("""COMPUTED_VALUE"""),0.519230769230769)</f>
        <v>0.5192307692</v>
      </c>
      <c r="G64" s="8">
        <f>IFERROR(__xludf.DUMMYFUNCTION("""COMPUTED_VALUE"""),0.461538461538461)</f>
        <v>0.4615384615</v>
      </c>
      <c r="H64" s="8">
        <f>IFERROR(__xludf.DUMMYFUNCTION("""COMPUTED_VALUE"""),0.442307692307692)</f>
        <v>0.4423076923</v>
      </c>
      <c r="I64" s="8">
        <f>IFERROR(__xludf.DUMMYFUNCTION("""COMPUTED_VALUE"""),0.423076923076923)</f>
        <v>0.4230769231</v>
      </c>
      <c r="J64" s="8">
        <f>IFERROR(__xludf.DUMMYFUNCTION("""COMPUTED_VALUE"""),0.384615384615384)</f>
        <v>0.3846153846</v>
      </c>
      <c r="K64" s="8">
        <f>IFERROR(__xludf.DUMMYFUNCTION("""COMPUTED_VALUE"""),0.346153846153846)</f>
        <v>0.3461538462</v>
      </c>
      <c r="L64" s="8">
        <f>IFERROR(__xludf.DUMMYFUNCTION("""COMPUTED_VALUE"""),0.32)</f>
        <v>0.32</v>
      </c>
      <c r="M64" s="8">
        <f>IFERROR(__xludf.DUMMYFUNCTION("""COMPUTED_VALUE"""),0.3)</f>
        <v>0.3</v>
      </c>
      <c r="N64" s="8">
        <f>IFERROR(__xludf.DUMMYFUNCTION("""COMPUTED_VALUE"""),0.297872340425531)</f>
        <v>0.2978723404</v>
      </c>
      <c r="O64" s="8">
        <f>IFERROR(__xludf.DUMMYFUNCTION("""COMPUTED_VALUE"""),0.243243243243243)</f>
        <v>0.2432432432</v>
      </c>
      <c r="P64" s="8">
        <f>IFERROR(__xludf.DUMMYFUNCTION("""COMPUTED_VALUE"""),0.2)</f>
        <v>0.2</v>
      </c>
      <c r="Q64" s="8">
        <f>IFERROR(__xludf.DUMMYFUNCTION("""COMPUTED_VALUE"""),0.0526315789473684)</f>
        <v>0.05263157895</v>
      </c>
      <c r="R64" s="8">
        <f>IFERROR(__xludf.DUMMYFUNCTION("""COMPUTED_VALUE"""),0.142857142857142)</f>
        <v>0.1428571429</v>
      </c>
      <c r="S64" s="8">
        <f>IFERROR(__xludf.DUMMYFUNCTION("""COMPUTED_VALUE"""),0.25)</f>
        <v>0.25</v>
      </c>
      <c r="T64" s="8">
        <f>IFERROR(__xludf.DUMMYFUNCTION("""COMPUTED_VALUE"""),0.25)</f>
        <v>0.25</v>
      </c>
      <c r="U64" s="8">
        <f>IFERROR(__xludf.DUMMYFUNCTION("""COMPUTED_VALUE"""),0.0)</f>
        <v>0</v>
      </c>
      <c r="V64" s="8">
        <f>IFERROR(__xludf.DUMMYFUNCTION("""COMPUTED_VALUE"""),0.0)</f>
        <v>0</v>
      </c>
      <c r="W64" s="8">
        <f>IFERROR(__xludf.DUMMYFUNCTION("""COMPUTED_VALUE"""),0.0)</f>
        <v>0</v>
      </c>
      <c r="X64" s="8">
        <f>IFERROR(__xludf.DUMMYFUNCTION("""COMPUTED_VALUE"""),0.0)</f>
        <v>0</v>
      </c>
      <c r="Y64" s="8">
        <f>IFERROR(__xludf.DUMMYFUNCTION("""COMPUTED_VALUE"""),0.0)</f>
        <v>0</v>
      </c>
      <c r="Z64" s="8">
        <f>IFERROR(__xludf.DUMMYFUNCTION("""COMPUTED_VALUE"""),0.0)</f>
        <v>0</v>
      </c>
      <c r="AA64" s="8">
        <f>IFERROR(__xludf.DUMMYFUNCTION("""COMPUTED_VALUE"""),0.0)</f>
        <v>0</v>
      </c>
      <c r="AB64" s="8">
        <f>IFERROR(__xludf.DUMMYFUNCTION("""COMPUTED_VALUE"""),0.0)</f>
        <v>0</v>
      </c>
      <c r="AC64" s="8">
        <f>IFERROR(__xludf.DUMMYFUNCTION("""COMPUTED_VALUE"""),0.0)</f>
        <v>0</v>
      </c>
    </row>
    <row r="65" ht="15.75" customHeight="1">
      <c r="A65" s="6" t="str">
        <f>IFERROR(__xludf.DUMMYFUNCTION("""COMPUTED_VALUE"""),"381f2f23cfe6043e04a4a705bfde2d0832cb6847")</f>
        <v>381f2f23cfe6043e04a4a705bfde2d0832cb6847</v>
      </c>
      <c r="B65" s="6" t="str">
        <f>IFERROR(__xludf.DUMMYFUNCTION("""COMPUTED_VALUE"""),"The Personal Maid")</f>
        <v>The Personal Maid</v>
      </c>
      <c r="C65" s="6" t="str">
        <f>IFERROR(__xludf.DUMMYFUNCTION("""COMPUTED_VALUE"""),"Romance")</f>
        <v>Romance</v>
      </c>
      <c r="D65" s="11">
        <f>IFERROR(__xludf.DUMMYFUNCTION("""COMPUTED_VALUE"""),54.0)</f>
        <v>54</v>
      </c>
      <c r="E65" s="8">
        <f>IFERROR(__xludf.DUMMYFUNCTION("""COMPUTED_VALUE"""),0.962962962962962)</f>
        <v>0.962962963</v>
      </c>
      <c r="F65" s="8">
        <f>IFERROR(__xludf.DUMMYFUNCTION("""COMPUTED_VALUE"""),0.629629629629629)</f>
        <v>0.6296296296</v>
      </c>
      <c r="G65" s="8">
        <f>IFERROR(__xludf.DUMMYFUNCTION("""COMPUTED_VALUE"""),0.462962962962962)</f>
        <v>0.462962963</v>
      </c>
      <c r="H65" s="8">
        <f>IFERROR(__xludf.DUMMYFUNCTION("""COMPUTED_VALUE"""),0.462962962962962)</f>
        <v>0.462962963</v>
      </c>
      <c r="I65" s="8">
        <f>IFERROR(__xludf.DUMMYFUNCTION("""COMPUTED_VALUE"""),0.425925925925925)</f>
        <v>0.4259259259</v>
      </c>
      <c r="J65" s="8">
        <f>IFERROR(__xludf.DUMMYFUNCTION("""COMPUTED_VALUE"""),0.351851851851851)</f>
        <v>0.3518518519</v>
      </c>
      <c r="K65" s="8">
        <f>IFERROR(__xludf.DUMMYFUNCTION("""COMPUTED_VALUE"""),0.333333333333333)</f>
        <v>0.3333333333</v>
      </c>
      <c r="L65" s="8">
        <f>IFERROR(__xludf.DUMMYFUNCTION("""COMPUTED_VALUE"""),0.277777777777777)</f>
        <v>0.2777777778</v>
      </c>
      <c r="M65" s="8">
        <f>IFERROR(__xludf.DUMMYFUNCTION("""COMPUTED_VALUE"""),0.259259259259259)</f>
        <v>0.2592592593</v>
      </c>
      <c r="N65" s="8">
        <f>IFERROR(__xludf.DUMMYFUNCTION("""COMPUTED_VALUE"""),0.24074074074074)</f>
        <v>0.2407407407</v>
      </c>
      <c r="O65" s="8">
        <f>IFERROR(__xludf.DUMMYFUNCTION("""COMPUTED_VALUE"""),0.277777777777777)</f>
        <v>0.2777777778</v>
      </c>
      <c r="P65" s="8">
        <f>IFERROR(__xludf.DUMMYFUNCTION("""COMPUTED_VALUE"""),0.148148148148148)</f>
        <v>0.1481481481</v>
      </c>
      <c r="Q65" s="8">
        <f>IFERROR(__xludf.DUMMYFUNCTION("""COMPUTED_VALUE"""),0.081081081081081)</f>
        <v>0.08108108108</v>
      </c>
      <c r="R65" s="8">
        <f>IFERROR(__xludf.DUMMYFUNCTION("""COMPUTED_VALUE"""),0.0)</f>
        <v>0</v>
      </c>
      <c r="S65" s="8">
        <f>IFERROR(__xludf.DUMMYFUNCTION("""COMPUTED_VALUE"""),0.0)</f>
        <v>0</v>
      </c>
      <c r="T65" s="8">
        <f>IFERROR(__xludf.DUMMYFUNCTION("""COMPUTED_VALUE"""),0.0)</f>
        <v>0</v>
      </c>
      <c r="U65" s="8">
        <f>IFERROR(__xludf.DUMMYFUNCTION("""COMPUTED_VALUE"""),0.0)</f>
        <v>0</v>
      </c>
      <c r="V65" s="8">
        <f>IFERROR(__xludf.DUMMYFUNCTION("""COMPUTED_VALUE"""),0.0)</f>
        <v>0</v>
      </c>
      <c r="W65" s="8">
        <f>IFERROR(__xludf.DUMMYFUNCTION("""COMPUTED_VALUE"""),0.0)</f>
        <v>0</v>
      </c>
      <c r="X65" s="8">
        <f>IFERROR(__xludf.DUMMYFUNCTION("""COMPUTED_VALUE"""),0.0)</f>
        <v>0</v>
      </c>
      <c r="Y65" s="8">
        <f>IFERROR(__xludf.DUMMYFUNCTION("""COMPUTED_VALUE"""),0.0)</f>
        <v>0</v>
      </c>
      <c r="Z65" s="8">
        <f>IFERROR(__xludf.DUMMYFUNCTION("""COMPUTED_VALUE"""),0.0)</f>
        <v>0</v>
      </c>
      <c r="AA65" s="8">
        <f>IFERROR(__xludf.DUMMYFUNCTION("""COMPUTED_VALUE"""),0.0)</f>
        <v>0</v>
      </c>
      <c r="AB65" s="8">
        <f>IFERROR(__xludf.DUMMYFUNCTION("""COMPUTED_VALUE"""),0.0)</f>
        <v>0</v>
      </c>
      <c r="AC65" s="8">
        <f>IFERROR(__xludf.DUMMYFUNCTION("""COMPUTED_VALUE"""),0.0)</f>
        <v>0</v>
      </c>
    </row>
    <row r="66" ht="15.75" customHeight="1">
      <c r="A66" s="6" t="str">
        <f>IFERROR(__xludf.DUMMYFUNCTION("""COMPUTED_VALUE"""),"3a6212d18e444c9585676ce7dba35b7111dd1613")</f>
        <v>3a6212d18e444c9585676ce7dba35b7111dd1613</v>
      </c>
      <c r="B66" s="6" t="str">
        <f>IFERROR(__xludf.DUMMYFUNCTION("""COMPUTED_VALUE"""),"King of Throne")</f>
        <v>King of Throne</v>
      </c>
      <c r="C66" s="6" t="str">
        <f>IFERROR(__xludf.DUMMYFUNCTION("""COMPUTED_VALUE"""),"Fantasy")</f>
        <v>Fantasy</v>
      </c>
      <c r="D66" s="11">
        <f>IFERROR(__xludf.DUMMYFUNCTION("""COMPUTED_VALUE"""),9.0)</f>
        <v>9</v>
      </c>
      <c r="E66" s="8">
        <f>IFERROR(__xludf.DUMMYFUNCTION("""COMPUTED_VALUE"""),1.0)</f>
        <v>1</v>
      </c>
      <c r="F66" s="8">
        <f>IFERROR(__xludf.DUMMYFUNCTION("""COMPUTED_VALUE"""),0.333333333333333)</f>
        <v>0.3333333333</v>
      </c>
      <c r="G66" s="8">
        <f>IFERROR(__xludf.DUMMYFUNCTION("""COMPUTED_VALUE"""),0.333333333333333)</f>
        <v>0.3333333333</v>
      </c>
      <c r="H66" s="8">
        <f>IFERROR(__xludf.DUMMYFUNCTION("""COMPUTED_VALUE"""),0.5)</f>
        <v>0.5</v>
      </c>
      <c r="I66" s="8">
        <f>IFERROR(__xludf.DUMMYFUNCTION("""COMPUTED_VALUE"""),0.5)</f>
        <v>0.5</v>
      </c>
      <c r="J66" s="8">
        <f>IFERROR(__xludf.DUMMYFUNCTION("""COMPUTED_VALUE"""),1.0)</f>
        <v>1</v>
      </c>
      <c r="K66" s="8">
        <f>IFERROR(__xludf.DUMMYFUNCTION("""COMPUTED_VALUE"""),0.0)</f>
        <v>0</v>
      </c>
      <c r="L66" s="8">
        <f>IFERROR(__xludf.DUMMYFUNCTION("""COMPUTED_VALUE"""),0.0)</f>
        <v>0</v>
      </c>
      <c r="M66" s="8">
        <f>IFERROR(__xludf.DUMMYFUNCTION("""COMPUTED_VALUE"""),0.0)</f>
        <v>0</v>
      </c>
      <c r="N66" s="8">
        <f>IFERROR(__xludf.DUMMYFUNCTION("""COMPUTED_VALUE"""),0.0)</f>
        <v>0</v>
      </c>
      <c r="O66" s="8">
        <f>IFERROR(__xludf.DUMMYFUNCTION("""COMPUTED_VALUE"""),0.0)</f>
        <v>0</v>
      </c>
      <c r="P66" s="8">
        <f>IFERROR(__xludf.DUMMYFUNCTION("""COMPUTED_VALUE"""),0.0)</f>
        <v>0</v>
      </c>
      <c r="Q66" s="8">
        <f>IFERROR(__xludf.DUMMYFUNCTION("""COMPUTED_VALUE"""),0.0)</f>
        <v>0</v>
      </c>
      <c r="R66" s="8">
        <f>IFERROR(__xludf.DUMMYFUNCTION("""COMPUTED_VALUE"""),0.0)</f>
        <v>0</v>
      </c>
      <c r="S66" s="8">
        <f>IFERROR(__xludf.DUMMYFUNCTION("""COMPUTED_VALUE"""),0.0)</f>
        <v>0</v>
      </c>
      <c r="T66" s="8">
        <f>IFERROR(__xludf.DUMMYFUNCTION("""COMPUTED_VALUE"""),0.0)</f>
        <v>0</v>
      </c>
      <c r="U66" s="8">
        <f>IFERROR(__xludf.DUMMYFUNCTION("""COMPUTED_VALUE"""),0.0)</f>
        <v>0</v>
      </c>
      <c r="V66" s="8">
        <f>IFERROR(__xludf.DUMMYFUNCTION("""COMPUTED_VALUE"""),0.0)</f>
        <v>0</v>
      </c>
      <c r="W66" s="8">
        <f>IFERROR(__xludf.DUMMYFUNCTION("""COMPUTED_VALUE"""),0.0)</f>
        <v>0</v>
      </c>
      <c r="X66" s="8">
        <f>IFERROR(__xludf.DUMMYFUNCTION("""COMPUTED_VALUE"""),0.0)</f>
        <v>0</v>
      </c>
      <c r="Y66" s="8">
        <f>IFERROR(__xludf.DUMMYFUNCTION("""COMPUTED_VALUE"""),0.0)</f>
        <v>0</v>
      </c>
      <c r="Z66" s="8">
        <f>IFERROR(__xludf.DUMMYFUNCTION("""COMPUTED_VALUE"""),0.0)</f>
        <v>0</v>
      </c>
      <c r="AA66" s="8">
        <f>IFERROR(__xludf.DUMMYFUNCTION("""COMPUTED_VALUE"""),0.0)</f>
        <v>0</v>
      </c>
      <c r="AB66" s="8">
        <f>IFERROR(__xludf.DUMMYFUNCTION("""COMPUTED_VALUE"""),0.0)</f>
        <v>0</v>
      </c>
      <c r="AC66" s="8">
        <f>IFERROR(__xludf.DUMMYFUNCTION("""COMPUTED_VALUE"""),0.0)</f>
        <v>0</v>
      </c>
    </row>
    <row r="67" ht="15.75" customHeight="1">
      <c r="A67" s="6" t="str">
        <f>IFERROR(__xludf.DUMMYFUNCTION("""COMPUTED_VALUE"""),"3b626e0d14c34edb82f4b215f3b8d2e50455bbdd")</f>
        <v>3b626e0d14c34edb82f4b215f3b8d2e50455bbdd</v>
      </c>
      <c r="B67" s="6" t="str">
        <f>IFERROR(__xludf.DUMMYFUNCTION("""COMPUTED_VALUE"""),"His Lady Boss Is a Mafia")</f>
        <v>His Lady Boss Is a Mafia</v>
      </c>
      <c r="C67" s="6" t="str">
        <f>IFERROR(__xludf.DUMMYFUNCTION("""COMPUTED_VALUE"""),"Romance")</f>
        <v>Romance</v>
      </c>
      <c r="D67" s="11">
        <f>IFERROR(__xludf.DUMMYFUNCTION("""COMPUTED_VALUE"""),329.0)</f>
        <v>329</v>
      </c>
      <c r="E67" s="8">
        <f>IFERROR(__xludf.DUMMYFUNCTION("""COMPUTED_VALUE"""),0.94224924012158)</f>
        <v>0.9422492401</v>
      </c>
      <c r="F67" s="8">
        <f>IFERROR(__xludf.DUMMYFUNCTION("""COMPUTED_VALUE"""),0.434650455927051)</f>
        <v>0.4346504559</v>
      </c>
      <c r="G67" s="8">
        <f>IFERROR(__xludf.DUMMYFUNCTION("""COMPUTED_VALUE"""),0.401215805471124)</f>
        <v>0.4012158055</v>
      </c>
      <c r="H67" s="8">
        <f>IFERROR(__xludf.DUMMYFUNCTION("""COMPUTED_VALUE"""),0.378461538461538)</f>
        <v>0.3784615385</v>
      </c>
      <c r="I67" s="8">
        <f>IFERROR(__xludf.DUMMYFUNCTION("""COMPUTED_VALUE"""),0.342679127725856)</f>
        <v>0.3426791277</v>
      </c>
      <c r="J67" s="8">
        <f>IFERROR(__xludf.DUMMYFUNCTION("""COMPUTED_VALUE"""),0.331230283911671)</f>
        <v>0.3312302839</v>
      </c>
      <c r="K67" s="8">
        <f>IFERROR(__xludf.DUMMYFUNCTION("""COMPUTED_VALUE"""),0.330128205128205)</f>
        <v>0.3301282051</v>
      </c>
      <c r="L67" s="8">
        <f>IFERROR(__xludf.DUMMYFUNCTION("""COMPUTED_VALUE"""),0.30718954248366)</f>
        <v>0.3071895425</v>
      </c>
      <c r="M67" s="8">
        <f>IFERROR(__xludf.DUMMYFUNCTION("""COMPUTED_VALUE"""),0.33003300330033)</f>
        <v>0.3300330033</v>
      </c>
      <c r="N67" s="8">
        <f>IFERROR(__xludf.DUMMYFUNCTION("""COMPUTED_VALUE"""),0.320819112627986)</f>
        <v>0.3208191126</v>
      </c>
      <c r="O67" s="8">
        <f>IFERROR(__xludf.DUMMYFUNCTION("""COMPUTED_VALUE"""),0.301418439716312)</f>
        <v>0.3014184397</v>
      </c>
      <c r="P67" s="8">
        <f>IFERROR(__xludf.DUMMYFUNCTION("""COMPUTED_VALUE"""),0.266187050359712)</f>
        <v>0.2661870504</v>
      </c>
      <c r="Q67" s="8">
        <f>IFERROR(__xludf.DUMMYFUNCTION("""COMPUTED_VALUE"""),1.0)</f>
        <v>1</v>
      </c>
      <c r="R67" s="8">
        <f>IFERROR(__xludf.DUMMYFUNCTION("""COMPUTED_VALUE"""),0.0)</f>
        <v>0</v>
      </c>
      <c r="S67" s="8">
        <f>IFERROR(__xludf.DUMMYFUNCTION("""COMPUTED_VALUE"""),0.0)</f>
        <v>0</v>
      </c>
      <c r="T67" s="8">
        <f>IFERROR(__xludf.DUMMYFUNCTION("""COMPUTED_VALUE"""),0.0)</f>
        <v>0</v>
      </c>
      <c r="U67" s="8">
        <f>IFERROR(__xludf.DUMMYFUNCTION("""COMPUTED_VALUE"""),0.0)</f>
        <v>0</v>
      </c>
      <c r="V67" s="8">
        <f>IFERROR(__xludf.DUMMYFUNCTION("""COMPUTED_VALUE"""),0.0)</f>
        <v>0</v>
      </c>
      <c r="W67" s="8">
        <f>IFERROR(__xludf.DUMMYFUNCTION("""COMPUTED_VALUE"""),0.0)</f>
        <v>0</v>
      </c>
      <c r="X67" s="8">
        <f>IFERROR(__xludf.DUMMYFUNCTION("""COMPUTED_VALUE"""),0.0)</f>
        <v>0</v>
      </c>
      <c r="Y67" s="8">
        <f>IFERROR(__xludf.DUMMYFUNCTION("""COMPUTED_VALUE"""),0.0)</f>
        <v>0</v>
      </c>
      <c r="Z67" s="8">
        <f>IFERROR(__xludf.DUMMYFUNCTION("""COMPUTED_VALUE"""),0.0)</f>
        <v>0</v>
      </c>
      <c r="AA67" s="8">
        <f>IFERROR(__xludf.DUMMYFUNCTION("""COMPUTED_VALUE"""),0.0)</f>
        <v>0</v>
      </c>
      <c r="AB67" s="8">
        <f>IFERROR(__xludf.DUMMYFUNCTION("""COMPUTED_VALUE"""),0.0)</f>
        <v>0</v>
      </c>
      <c r="AC67" s="8">
        <f>IFERROR(__xludf.DUMMYFUNCTION("""COMPUTED_VALUE"""),0.0)</f>
        <v>0</v>
      </c>
    </row>
    <row r="68" ht="15.75" customHeight="1">
      <c r="A68" s="6" t="str">
        <f>IFERROR(__xludf.DUMMYFUNCTION("""COMPUTED_VALUE"""),"3c57dd9bd6f929bdb36d8716aa9f261a72778e24")</f>
        <v>3c57dd9bd6f929bdb36d8716aa9f261a72778e24</v>
      </c>
      <c r="B68" s="6" t="str">
        <f>IFERROR(__xludf.DUMMYFUNCTION("""COMPUTED_VALUE"""),"Resurrected as a Secret Billionaire Liam Carson")</f>
        <v>Resurrected as a Secret Billionaire Liam Carson</v>
      </c>
      <c r="C68" s="6" t="str">
        <f>IFERROR(__xludf.DUMMYFUNCTION("""COMPUTED_VALUE"""),"Fantasy")</f>
        <v>Fantasy</v>
      </c>
      <c r="D68" s="11">
        <f>IFERROR(__xludf.DUMMYFUNCTION("""COMPUTED_VALUE"""),3642.0)</f>
        <v>3642</v>
      </c>
      <c r="E68" s="8">
        <f>IFERROR(__xludf.DUMMYFUNCTION("""COMPUTED_VALUE"""),0.943437671609006)</f>
        <v>0.9434376716</v>
      </c>
      <c r="F68" s="8">
        <f>IFERROR(__xludf.DUMMYFUNCTION("""COMPUTED_VALUE"""),0.534596375617792)</f>
        <v>0.5345963756</v>
      </c>
      <c r="G68" s="8">
        <f>IFERROR(__xludf.DUMMYFUNCTION("""COMPUTED_VALUE"""),0.487369577155409)</f>
        <v>0.4873695772</v>
      </c>
      <c r="H68" s="8">
        <f>IFERROR(__xludf.DUMMYFUNCTION("""COMPUTED_VALUE"""),0.464413300357241)</f>
        <v>0.4644133004</v>
      </c>
      <c r="I68" s="8">
        <f>IFERROR(__xludf.DUMMYFUNCTION("""COMPUTED_VALUE"""),0.447223749312809)</f>
        <v>0.4472237493</v>
      </c>
      <c r="J68" s="8">
        <f>IFERROR(__xludf.DUMMYFUNCTION("""COMPUTED_VALUE"""),0.431874483897605)</f>
        <v>0.4318744839</v>
      </c>
      <c r="K68" s="8">
        <f>IFERROR(__xludf.DUMMYFUNCTION("""COMPUTED_VALUE"""),0.426328835031671)</f>
        <v>0.426328835</v>
      </c>
      <c r="L68" s="8">
        <f>IFERROR(__xludf.DUMMYFUNCTION("""COMPUTED_VALUE"""),0.414829106945975)</f>
        <v>0.4148291069</v>
      </c>
      <c r="M68" s="8">
        <f>IFERROR(__xludf.DUMMYFUNCTION("""COMPUTED_VALUE"""),0.404137931034482)</f>
        <v>0.404137931</v>
      </c>
      <c r="N68" s="8">
        <f>IFERROR(__xludf.DUMMYFUNCTION("""COMPUTED_VALUE"""),0.396794694667035)</f>
        <v>0.3967946947</v>
      </c>
      <c r="O68" s="8">
        <f>IFERROR(__xludf.DUMMYFUNCTION("""COMPUTED_VALUE"""),0.37729039422543)</f>
        <v>0.3772903942</v>
      </c>
      <c r="P68" s="8">
        <f>IFERROR(__xludf.DUMMYFUNCTION("""COMPUTED_VALUE"""),0.308293772689192)</f>
        <v>0.3082937727</v>
      </c>
      <c r="Q68" s="8">
        <f>IFERROR(__xludf.DUMMYFUNCTION("""COMPUTED_VALUE"""),0.237331081081081)</f>
        <v>0.2373310811</v>
      </c>
      <c r="R68" s="8">
        <f>IFERROR(__xludf.DUMMYFUNCTION("""COMPUTED_VALUE"""),0.191163976210705)</f>
        <v>0.1911639762</v>
      </c>
      <c r="S68" s="8">
        <f>IFERROR(__xludf.DUMMYFUNCTION("""COMPUTED_VALUE"""),0.149245229279407)</f>
        <v>0.1492452293</v>
      </c>
      <c r="T68" s="8">
        <f>IFERROR(__xludf.DUMMYFUNCTION("""COMPUTED_VALUE"""),0.127439724454649)</f>
        <v>0.1274397245</v>
      </c>
      <c r="U68" s="8">
        <f>IFERROR(__xludf.DUMMYFUNCTION("""COMPUTED_VALUE"""),0.119877675840978)</f>
        <v>0.1198776758</v>
      </c>
      <c r="V68" s="8">
        <f>IFERROR(__xludf.DUMMYFUNCTION("""COMPUTED_VALUE"""),0.112965340179717)</f>
        <v>0.1129653402</v>
      </c>
      <c r="W68" s="8">
        <f>IFERROR(__xludf.DUMMYFUNCTION("""COMPUTED_VALUE"""),0.101353582040277)</f>
        <v>0.101353582</v>
      </c>
      <c r="X68" s="8">
        <f>IFERROR(__xludf.DUMMYFUNCTION("""COMPUTED_VALUE"""),0.0811251528740318)</f>
        <v>0.08112515287</v>
      </c>
      <c r="Y68" s="8">
        <f>IFERROR(__xludf.DUMMYFUNCTION("""COMPUTED_VALUE"""),0.0341836734693877)</f>
        <v>0.03418367347</v>
      </c>
      <c r="Z68" s="8">
        <f>IFERROR(__xludf.DUMMYFUNCTION("""COMPUTED_VALUE"""),0.0202275600505689)</f>
        <v>0.02022756005</v>
      </c>
      <c r="AA68" s="8">
        <f>IFERROR(__xludf.DUMMYFUNCTION("""COMPUTED_VALUE"""),0.0138339920948616)</f>
        <v>0.01383399209</v>
      </c>
      <c r="AB68" s="8">
        <f>IFERROR(__xludf.DUMMYFUNCTION("""COMPUTED_VALUE"""),0.0)</f>
        <v>0</v>
      </c>
      <c r="AC68" s="8">
        <f>IFERROR(__xludf.DUMMYFUNCTION("""COMPUTED_VALUE"""),0.0)</f>
        <v>0</v>
      </c>
    </row>
    <row r="69" ht="15.75" customHeight="1">
      <c r="A69" s="6" t="str">
        <f>IFERROR(__xludf.DUMMYFUNCTION("""COMPUTED_VALUE"""),"4010f733ac400156fd9f4d75852b8ebdeabe1689")</f>
        <v>4010f733ac400156fd9f4d75852b8ebdeabe1689</v>
      </c>
      <c r="B69" s="6" t="str">
        <f>IFERROR(__xludf.DUMMYFUNCTION("""COMPUTED_VALUE"""),"My Ceo Husband's Secret")</f>
        <v>My Ceo Husband's Secret</v>
      </c>
      <c r="C69" s="6" t="str">
        <f>IFERROR(__xludf.DUMMYFUNCTION("""COMPUTED_VALUE"""),"Romance")</f>
        <v>Romance</v>
      </c>
      <c r="D69" s="11">
        <f>IFERROR(__xludf.DUMMYFUNCTION("""COMPUTED_VALUE"""),531.0)</f>
        <v>531</v>
      </c>
      <c r="E69" s="8">
        <f>IFERROR(__xludf.DUMMYFUNCTION("""COMPUTED_VALUE"""),0.973634651600753)</f>
        <v>0.9736346516</v>
      </c>
      <c r="F69" s="8">
        <f>IFERROR(__xludf.DUMMYFUNCTION("""COMPUTED_VALUE"""),0.713747645951035)</f>
        <v>0.713747646</v>
      </c>
      <c r="G69" s="8">
        <f>IFERROR(__xludf.DUMMYFUNCTION("""COMPUTED_VALUE"""),0.638418079096045)</f>
        <v>0.6384180791</v>
      </c>
      <c r="H69" s="8">
        <f>IFERROR(__xludf.DUMMYFUNCTION("""COMPUTED_VALUE"""),0.584905660377358)</f>
        <v>0.5849056604</v>
      </c>
      <c r="I69" s="8">
        <f>IFERROR(__xludf.DUMMYFUNCTION("""COMPUTED_VALUE"""),0.518867924528301)</f>
        <v>0.5188679245</v>
      </c>
      <c r="J69" s="8">
        <f>IFERROR(__xludf.DUMMYFUNCTION("""COMPUTED_VALUE"""),0.456603773584905)</f>
        <v>0.4566037736</v>
      </c>
      <c r="K69" s="8">
        <f>IFERROR(__xludf.DUMMYFUNCTION("""COMPUTED_VALUE"""),0.411320754716981)</f>
        <v>0.4113207547</v>
      </c>
      <c r="L69" s="8">
        <f>IFERROR(__xludf.DUMMYFUNCTION("""COMPUTED_VALUE"""),0.371916508538899)</f>
        <v>0.3719165085</v>
      </c>
      <c r="M69" s="8">
        <f>IFERROR(__xludf.DUMMYFUNCTION("""COMPUTED_VALUE"""),0.330170777988614)</f>
        <v>0.330170778</v>
      </c>
      <c r="N69" s="8">
        <f>IFERROR(__xludf.DUMMYFUNCTION("""COMPUTED_VALUE"""),0.294117647058823)</f>
        <v>0.2941176471</v>
      </c>
      <c r="O69" s="8">
        <f>IFERROR(__xludf.DUMMYFUNCTION("""COMPUTED_VALUE"""),0.218390804597701)</f>
        <v>0.2183908046</v>
      </c>
      <c r="P69" s="8">
        <f>IFERROR(__xludf.DUMMYFUNCTION("""COMPUTED_VALUE"""),0.161691542288557)</f>
        <v>0.1616915423</v>
      </c>
      <c r="Q69" s="8">
        <f>IFERROR(__xludf.DUMMYFUNCTION("""COMPUTED_VALUE"""),0.407407407407407)</f>
        <v>0.4074074074</v>
      </c>
      <c r="R69" s="8">
        <f>IFERROR(__xludf.DUMMYFUNCTION("""COMPUTED_VALUE"""),0.434210526315789)</f>
        <v>0.4342105263</v>
      </c>
      <c r="S69" s="8">
        <f>IFERROR(__xludf.DUMMYFUNCTION("""COMPUTED_VALUE"""),0.327272727272727)</f>
        <v>0.3272727273</v>
      </c>
      <c r="T69" s="8">
        <f>IFERROR(__xludf.DUMMYFUNCTION("""COMPUTED_VALUE"""),0.212121212121212)</f>
        <v>0.2121212121</v>
      </c>
      <c r="U69" s="8">
        <f>IFERROR(__xludf.DUMMYFUNCTION("""COMPUTED_VALUE"""),0.166666666666666)</f>
        <v>0.1666666667</v>
      </c>
      <c r="V69" s="8">
        <f>IFERROR(__xludf.DUMMYFUNCTION("""COMPUTED_VALUE"""),0.0)</f>
        <v>0</v>
      </c>
      <c r="W69" s="8">
        <f>IFERROR(__xludf.DUMMYFUNCTION("""COMPUTED_VALUE"""),0.0)</f>
        <v>0</v>
      </c>
      <c r="X69" s="8">
        <f>IFERROR(__xludf.DUMMYFUNCTION("""COMPUTED_VALUE"""),0.0)</f>
        <v>0</v>
      </c>
      <c r="Y69" s="8">
        <f>IFERROR(__xludf.DUMMYFUNCTION("""COMPUTED_VALUE"""),0.0)</f>
        <v>0</v>
      </c>
      <c r="Z69" s="8">
        <f>IFERROR(__xludf.DUMMYFUNCTION("""COMPUTED_VALUE"""),0.0)</f>
        <v>0</v>
      </c>
      <c r="AA69" s="8">
        <f>IFERROR(__xludf.DUMMYFUNCTION("""COMPUTED_VALUE"""),0.0)</f>
        <v>0</v>
      </c>
      <c r="AB69" s="8">
        <f>IFERROR(__xludf.DUMMYFUNCTION("""COMPUTED_VALUE"""),0.0)</f>
        <v>0</v>
      </c>
      <c r="AC69" s="8">
        <f>IFERROR(__xludf.DUMMYFUNCTION("""COMPUTED_VALUE"""),0.0)</f>
        <v>0</v>
      </c>
    </row>
    <row r="70" ht="15.75" customHeight="1">
      <c r="A70" s="6" t="str">
        <f>IFERROR(__xludf.DUMMYFUNCTION("""COMPUTED_VALUE"""),"4056d8e031445adbb80d52b1fd723609be585a3b")</f>
        <v>4056d8e031445adbb80d52b1fd723609be585a3b</v>
      </c>
      <c r="B70" s="6" t="str">
        <f>IFERROR(__xludf.DUMMYFUNCTION("""COMPUTED_VALUE"""),"Only Boy on the Bus")</f>
        <v>Only Boy on the Bus</v>
      </c>
      <c r="C70" s="6" t="str">
        <f>IFERROR(__xludf.DUMMYFUNCTION("""COMPUTED_VALUE"""),"Fantasy")</f>
        <v>Fantasy</v>
      </c>
      <c r="D70" s="11">
        <f>IFERROR(__xludf.DUMMYFUNCTION("""COMPUTED_VALUE"""),36.0)</f>
        <v>36</v>
      </c>
      <c r="E70" s="8">
        <f>IFERROR(__xludf.DUMMYFUNCTION("""COMPUTED_VALUE"""),0.972222222222222)</f>
        <v>0.9722222222</v>
      </c>
      <c r="F70" s="8">
        <f>IFERROR(__xludf.DUMMYFUNCTION("""COMPUTED_VALUE"""),0.277777777777777)</f>
        <v>0.2777777778</v>
      </c>
      <c r="G70" s="8">
        <f>IFERROR(__xludf.DUMMYFUNCTION("""COMPUTED_VALUE"""),0.25)</f>
        <v>0.25</v>
      </c>
      <c r="H70" s="8">
        <f>IFERROR(__xludf.DUMMYFUNCTION("""COMPUTED_VALUE"""),0.25)</f>
        <v>0.25</v>
      </c>
      <c r="I70" s="8">
        <f>IFERROR(__xludf.DUMMYFUNCTION("""COMPUTED_VALUE"""),0.138888888888888)</f>
        <v>0.1388888889</v>
      </c>
      <c r="J70" s="8">
        <f>IFERROR(__xludf.DUMMYFUNCTION("""COMPUTED_VALUE"""),0.147058823529411)</f>
        <v>0.1470588235</v>
      </c>
      <c r="K70" s="8">
        <f>IFERROR(__xludf.DUMMYFUNCTION("""COMPUTED_VALUE"""),0.147058823529411)</f>
        <v>0.1470588235</v>
      </c>
      <c r="L70" s="8">
        <f>IFERROR(__xludf.DUMMYFUNCTION("""COMPUTED_VALUE"""),0.117647058823529)</f>
        <v>0.1176470588</v>
      </c>
      <c r="M70" s="8">
        <f>IFERROR(__xludf.DUMMYFUNCTION("""COMPUTED_VALUE"""),0.121212121212121)</f>
        <v>0.1212121212</v>
      </c>
      <c r="N70" s="8">
        <f>IFERROR(__xludf.DUMMYFUNCTION("""COMPUTED_VALUE"""),0.121212121212121)</f>
        <v>0.1212121212</v>
      </c>
      <c r="O70" s="8">
        <f>IFERROR(__xludf.DUMMYFUNCTION("""COMPUTED_VALUE"""),0.121212121212121)</f>
        <v>0.1212121212</v>
      </c>
      <c r="P70" s="8">
        <f>IFERROR(__xludf.DUMMYFUNCTION("""COMPUTED_VALUE"""),0.148148148148148)</f>
        <v>0.1481481481</v>
      </c>
      <c r="Q70" s="8">
        <f>IFERROR(__xludf.DUMMYFUNCTION("""COMPUTED_VALUE"""),0.0)</f>
        <v>0</v>
      </c>
      <c r="R70" s="8">
        <f>IFERROR(__xludf.DUMMYFUNCTION("""COMPUTED_VALUE"""),0.0)</f>
        <v>0</v>
      </c>
      <c r="S70" s="8">
        <f>IFERROR(__xludf.DUMMYFUNCTION("""COMPUTED_VALUE"""),0.0)</f>
        <v>0</v>
      </c>
      <c r="T70" s="8">
        <f>IFERROR(__xludf.DUMMYFUNCTION("""COMPUTED_VALUE"""),0.0)</f>
        <v>0</v>
      </c>
      <c r="U70" s="8">
        <f>IFERROR(__xludf.DUMMYFUNCTION("""COMPUTED_VALUE"""),0.0)</f>
        <v>0</v>
      </c>
      <c r="V70" s="8">
        <f>IFERROR(__xludf.DUMMYFUNCTION("""COMPUTED_VALUE"""),0.0)</f>
        <v>0</v>
      </c>
      <c r="W70" s="8">
        <f>IFERROR(__xludf.DUMMYFUNCTION("""COMPUTED_VALUE"""),0.0)</f>
        <v>0</v>
      </c>
      <c r="X70" s="8">
        <f>IFERROR(__xludf.DUMMYFUNCTION("""COMPUTED_VALUE"""),0.0)</f>
        <v>0</v>
      </c>
      <c r="Y70" s="8">
        <f>IFERROR(__xludf.DUMMYFUNCTION("""COMPUTED_VALUE"""),0.0)</f>
        <v>0</v>
      </c>
      <c r="Z70" s="8">
        <f>IFERROR(__xludf.DUMMYFUNCTION("""COMPUTED_VALUE"""),0.0)</f>
        <v>0</v>
      </c>
      <c r="AA70" s="8">
        <f>IFERROR(__xludf.DUMMYFUNCTION("""COMPUTED_VALUE"""),0.0)</f>
        <v>0</v>
      </c>
      <c r="AB70" s="8">
        <f>IFERROR(__xludf.DUMMYFUNCTION("""COMPUTED_VALUE"""),0.0)</f>
        <v>0</v>
      </c>
      <c r="AC70" s="8">
        <f>IFERROR(__xludf.DUMMYFUNCTION("""COMPUTED_VALUE"""),0.0)</f>
        <v>0</v>
      </c>
    </row>
    <row r="71" ht="15.75" customHeight="1">
      <c r="A71" s="6" t="str">
        <f>IFERROR(__xludf.DUMMYFUNCTION("""COMPUTED_VALUE"""),"40e06046d3679811f910f8beed9306369f59c60e")</f>
        <v>40e06046d3679811f910f8beed9306369f59c60e</v>
      </c>
      <c r="B71" s="6" t="str">
        <f>IFERROR(__xludf.DUMMYFUNCTION("""COMPUTED_VALUE"""),"Lycan Unity Academy")</f>
        <v>Lycan Unity Academy</v>
      </c>
      <c r="C71" s="6" t="str">
        <f>IFERROR(__xludf.DUMMYFUNCTION("""COMPUTED_VALUE"""),"Romantasy")</f>
        <v>Romantasy</v>
      </c>
      <c r="D71" s="11">
        <f>IFERROR(__xludf.DUMMYFUNCTION("""COMPUTED_VALUE"""),1127.0)</f>
        <v>1127</v>
      </c>
      <c r="E71" s="8">
        <f>IFERROR(__xludf.DUMMYFUNCTION("""COMPUTED_VALUE"""),0.968056787932564)</f>
        <v>0.9680567879</v>
      </c>
      <c r="F71" s="8">
        <f>IFERROR(__xludf.DUMMYFUNCTION("""COMPUTED_VALUE"""),0.533274179236912)</f>
        <v>0.5332741792</v>
      </c>
      <c r="G71" s="8">
        <f>IFERROR(__xludf.DUMMYFUNCTION("""COMPUTED_VALUE"""),0.470275066548358)</f>
        <v>0.4702750665</v>
      </c>
      <c r="H71" s="8">
        <f>IFERROR(__xludf.DUMMYFUNCTION("""COMPUTED_VALUE"""),0.435669920141969)</f>
        <v>0.4356699201</v>
      </c>
      <c r="I71" s="8">
        <f>IFERROR(__xludf.DUMMYFUNCTION("""COMPUTED_VALUE"""),0.389529724933451)</f>
        <v>0.3895297249</v>
      </c>
      <c r="J71" s="8">
        <f>IFERROR(__xludf.DUMMYFUNCTION("""COMPUTED_VALUE"""),0.378881987577639)</f>
        <v>0.3788819876</v>
      </c>
      <c r="K71" s="8">
        <f>IFERROR(__xludf.DUMMYFUNCTION("""COMPUTED_VALUE"""),0.369121561668145)</f>
        <v>0.3691215617</v>
      </c>
      <c r="L71" s="8">
        <f>IFERROR(__xludf.DUMMYFUNCTION("""COMPUTED_VALUE"""),0.346051464063886)</f>
        <v>0.3460514641</v>
      </c>
      <c r="M71" s="8">
        <f>IFERROR(__xludf.DUMMYFUNCTION("""COMPUTED_VALUE"""),0.325044404973357)</f>
        <v>0.325044405</v>
      </c>
      <c r="N71" s="8">
        <f>IFERROR(__xludf.DUMMYFUNCTION("""COMPUTED_VALUE"""),0.319111111111111)</f>
        <v>0.3191111111</v>
      </c>
      <c r="O71" s="8">
        <f>IFERROR(__xludf.DUMMYFUNCTION("""COMPUTED_VALUE"""),0.287892376681614)</f>
        <v>0.2878923767</v>
      </c>
      <c r="P71" s="8">
        <f>IFERROR(__xludf.DUMMYFUNCTION("""COMPUTED_VALUE"""),0.227767695099818)</f>
        <v>0.2277676951</v>
      </c>
      <c r="Q71" s="8">
        <f>IFERROR(__xludf.DUMMYFUNCTION("""COMPUTED_VALUE"""),0.160349854227405)</f>
        <v>0.1603498542</v>
      </c>
      <c r="R71" s="8">
        <f>IFERROR(__xludf.DUMMYFUNCTION("""COMPUTED_VALUE"""),0.235294117647058)</f>
        <v>0.2352941176</v>
      </c>
      <c r="S71" s="8">
        <f>IFERROR(__xludf.DUMMYFUNCTION("""COMPUTED_VALUE"""),0.0)</f>
        <v>0</v>
      </c>
      <c r="T71" s="8">
        <f>IFERROR(__xludf.DUMMYFUNCTION("""COMPUTED_VALUE"""),0.0)</f>
        <v>0</v>
      </c>
      <c r="U71" s="8">
        <f>IFERROR(__xludf.DUMMYFUNCTION("""COMPUTED_VALUE"""),0.0)</f>
        <v>0</v>
      </c>
      <c r="V71" s="8">
        <f>IFERROR(__xludf.DUMMYFUNCTION("""COMPUTED_VALUE"""),0.0)</f>
        <v>0</v>
      </c>
      <c r="W71" s="8">
        <f>IFERROR(__xludf.DUMMYFUNCTION("""COMPUTED_VALUE"""),0.0)</f>
        <v>0</v>
      </c>
      <c r="X71" s="8">
        <f>IFERROR(__xludf.DUMMYFUNCTION("""COMPUTED_VALUE"""),0.0)</f>
        <v>0</v>
      </c>
      <c r="Y71" s="8">
        <f>IFERROR(__xludf.DUMMYFUNCTION("""COMPUTED_VALUE"""),0.0)</f>
        <v>0</v>
      </c>
      <c r="Z71" s="8">
        <f>IFERROR(__xludf.DUMMYFUNCTION("""COMPUTED_VALUE"""),0.0)</f>
        <v>0</v>
      </c>
      <c r="AA71" s="8">
        <f>IFERROR(__xludf.DUMMYFUNCTION("""COMPUTED_VALUE"""),0.0)</f>
        <v>0</v>
      </c>
      <c r="AB71" s="8">
        <f>IFERROR(__xludf.DUMMYFUNCTION("""COMPUTED_VALUE"""),0.0)</f>
        <v>0</v>
      </c>
      <c r="AC71" s="8">
        <f>IFERROR(__xludf.DUMMYFUNCTION("""COMPUTED_VALUE"""),0.0)</f>
        <v>0</v>
      </c>
    </row>
    <row r="72" ht="15.75" customHeight="1">
      <c r="A72" s="6" t="str">
        <f>IFERROR(__xludf.DUMMYFUNCTION("""COMPUTED_VALUE"""),"41afeacb4e481e249d618ae39936f1173864e026")</f>
        <v>41afeacb4e481e249d618ae39936f1173864e026</v>
      </c>
      <c r="B72" s="6" t="str">
        <f>IFERROR(__xludf.DUMMYFUNCTION("""COMPUTED_VALUE"""),"Disguised Successor")</f>
        <v>Disguised Successor</v>
      </c>
      <c r="C72" s="6" t="str">
        <f>IFERROR(__xludf.DUMMYFUNCTION("""COMPUTED_VALUE"""),"Drama")</f>
        <v>Drama</v>
      </c>
      <c r="D72" s="11">
        <f>IFERROR(__xludf.DUMMYFUNCTION("""COMPUTED_VALUE"""),161.0)</f>
        <v>161</v>
      </c>
      <c r="E72" s="8">
        <f>IFERROR(__xludf.DUMMYFUNCTION("""COMPUTED_VALUE"""),0.975155279503105)</f>
        <v>0.9751552795</v>
      </c>
      <c r="F72" s="8">
        <f>IFERROR(__xludf.DUMMYFUNCTION("""COMPUTED_VALUE"""),0.565217391304347)</f>
        <v>0.5652173913</v>
      </c>
      <c r="G72" s="8">
        <f>IFERROR(__xludf.DUMMYFUNCTION("""COMPUTED_VALUE"""),0.509316770186335)</f>
        <v>0.5093167702</v>
      </c>
      <c r="H72" s="8">
        <f>IFERROR(__xludf.DUMMYFUNCTION("""COMPUTED_VALUE"""),0.440993788819875)</f>
        <v>0.4409937888</v>
      </c>
      <c r="I72" s="8">
        <f>IFERROR(__xludf.DUMMYFUNCTION("""COMPUTED_VALUE"""),0.403726708074534)</f>
        <v>0.4037267081</v>
      </c>
      <c r="J72" s="8">
        <f>IFERROR(__xludf.DUMMYFUNCTION("""COMPUTED_VALUE"""),0.3875)</f>
        <v>0.3875</v>
      </c>
      <c r="K72" s="8">
        <f>IFERROR(__xludf.DUMMYFUNCTION("""COMPUTED_VALUE"""),0.325)</f>
        <v>0.325</v>
      </c>
      <c r="L72" s="8">
        <f>IFERROR(__xludf.DUMMYFUNCTION("""COMPUTED_VALUE"""),0.31875)</f>
        <v>0.31875</v>
      </c>
      <c r="M72" s="8">
        <f>IFERROR(__xludf.DUMMYFUNCTION("""COMPUTED_VALUE"""),0.3)</f>
        <v>0.3</v>
      </c>
      <c r="N72" s="8">
        <f>IFERROR(__xludf.DUMMYFUNCTION("""COMPUTED_VALUE"""),0.25)</f>
        <v>0.25</v>
      </c>
      <c r="O72" s="8">
        <f>IFERROR(__xludf.DUMMYFUNCTION("""COMPUTED_VALUE"""),0.21656050955414)</f>
        <v>0.2165605096</v>
      </c>
      <c r="P72" s="8">
        <f>IFERROR(__xludf.DUMMYFUNCTION("""COMPUTED_VALUE"""),0.155844155844155)</f>
        <v>0.1558441558</v>
      </c>
      <c r="Q72" s="8">
        <f>IFERROR(__xludf.DUMMYFUNCTION("""COMPUTED_VALUE"""),0.08)</f>
        <v>0.08</v>
      </c>
      <c r="R72" s="8">
        <f>IFERROR(__xludf.DUMMYFUNCTION("""COMPUTED_VALUE"""),0.048)</f>
        <v>0.048</v>
      </c>
      <c r="S72" s="8">
        <f>IFERROR(__xludf.DUMMYFUNCTION("""COMPUTED_VALUE"""),0.0)</f>
        <v>0</v>
      </c>
      <c r="T72" s="8">
        <f>IFERROR(__xludf.DUMMYFUNCTION("""COMPUTED_VALUE"""),0.0)</f>
        <v>0</v>
      </c>
      <c r="U72" s="8">
        <f>IFERROR(__xludf.DUMMYFUNCTION("""COMPUTED_VALUE"""),0.0)</f>
        <v>0</v>
      </c>
      <c r="V72" s="8">
        <f>IFERROR(__xludf.DUMMYFUNCTION("""COMPUTED_VALUE"""),0.0)</f>
        <v>0</v>
      </c>
      <c r="W72" s="8">
        <f>IFERROR(__xludf.DUMMYFUNCTION("""COMPUTED_VALUE"""),0.0)</f>
        <v>0</v>
      </c>
      <c r="X72" s="8">
        <f>IFERROR(__xludf.DUMMYFUNCTION("""COMPUTED_VALUE"""),0.0)</f>
        <v>0</v>
      </c>
      <c r="Y72" s="8">
        <f>IFERROR(__xludf.DUMMYFUNCTION("""COMPUTED_VALUE"""),0.0)</f>
        <v>0</v>
      </c>
      <c r="Z72" s="8">
        <f>IFERROR(__xludf.DUMMYFUNCTION("""COMPUTED_VALUE"""),0.0)</f>
        <v>0</v>
      </c>
      <c r="AA72" s="8">
        <f>IFERROR(__xludf.DUMMYFUNCTION("""COMPUTED_VALUE"""),0.0)</f>
        <v>0</v>
      </c>
      <c r="AB72" s="8">
        <f>IFERROR(__xludf.DUMMYFUNCTION("""COMPUTED_VALUE"""),0.0)</f>
        <v>0</v>
      </c>
      <c r="AC72" s="8">
        <f>IFERROR(__xludf.DUMMYFUNCTION("""COMPUTED_VALUE"""),0.0)</f>
        <v>0</v>
      </c>
    </row>
    <row r="73" ht="15.75" customHeight="1">
      <c r="A73" s="6" t="str">
        <f>IFERROR(__xludf.DUMMYFUNCTION("""COMPUTED_VALUE"""),"41fe3152f98c34f655d93ac2fc85bf506eac3371")</f>
        <v>41fe3152f98c34f655d93ac2fc85bf506eac3371</v>
      </c>
      <c r="B73" s="6" t="str">
        <f>IFERROR(__xludf.DUMMYFUNCTION("""COMPUTED_VALUE"""),"Owen &amp; Liam")</f>
        <v>Owen &amp; Liam</v>
      </c>
      <c r="C73" s="6" t="str">
        <f>IFERROR(__xludf.DUMMYFUNCTION("""COMPUTED_VALUE"""),"Romance")</f>
        <v>Romance</v>
      </c>
      <c r="D73" s="11">
        <f>IFERROR(__xludf.DUMMYFUNCTION("""COMPUTED_VALUE"""),6189.0)</f>
        <v>6189</v>
      </c>
      <c r="E73" s="8">
        <f>IFERROR(__xludf.DUMMYFUNCTION("""COMPUTED_VALUE"""),0.949587978671837)</f>
        <v>0.9495879787</v>
      </c>
      <c r="F73" s="8">
        <f>IFERROR(__xludf.DUMMYFUNCTION("""COMPUTED_VALUE"""),0.622879301987397)</f>
        <v>0.622879302</v>
      </c>
      <c r="G73" s="8">
        <f>IFERROR(__xludf.DUMMYFUNCTION("""COMPUTED_VALUE"""),0.535142995637421)</f>
        <v>0.5351429956</v>
      </c>
      <c r="H73" s="8">
        <f>IFERROR(__xludf.DUMMYFUNCTION("""COMPUTED_VALUE"""),0.486425339366515)</f>
        <v>0.4864253394</v>
      </c>
      <c r="I73" s="8">
        <f>IFERROR(__xludf.DUMMYFUNCTION("""COMPUTED_VALUE"""),0.45830639948287)</f>
        <v>0.4583063995</v>
      </c>
      <c r="J73" s="8">
        <f>IFERROR(__xludf.DUMMYFUNCTION("""COMPUTED_VALUE"""),0.441157452311671)</f>
        <v>0.4411574523</v>
      </c>
      <c r="K73" s="8">
        <f>IFERROR(__xludf.DUMMYFUNCTION("""COMPUTED_VALUE"""),0.41884901390236)</f>
        <v>0.4188490139</v>
      </c>
      <c r="L73" s="8">
        <f>IFERROR(__xludf.DUMMYFUNCTION("""COMPUTED_VALUE"""),0.406886517943743)</f>
        <v>0.4068865179</v>
      </c>
      <c r="M73" s="8">
        <f>IFERROR(__xludf.DUMMYFUNCTION("""COMPUTED_VALUE"""),0.397833818299385)</f>
        <v>0.3978338183</v>
      </c>
      <c r="N73" s="8">
        <f>IFERROR(__xludf.DUMMYFUNCTION("""COMPUTED_VALUE"""),0.382799870675719)</f>
        <v>0.3827998707</v>
      </c>
      <c r="O73" s="8">
        <f>IFERROR(__xludf.DUMMYFUNCTION("""COMPUTED_VALUE"""),0.352960207052733)</f>
        <v>0.3529602071</v>
      </c>
      <c r="P73" s="8">
        <f>IFERROR(__xludf.DUMMYFUNCTION("""COMPUTED_VALUE"""),0.322157434402332)</f>
        <v>0.3221574344</v>
      </c>
      <c r="Q73" s="8">
        <f>IFERROR(__xludf.DUMMYFUNCTION("""COMPUTED_VALUE"""),0.259805623047552)</f>
        <v>0.259805623</v>
      </c>
      <c r="R73" s="8">
        <f>IFERROR(__xludf.DUMMYFUNCTION("""COMPUTED_VALUE"""),0.204382470119521)</f>
        <v>0.2043824701</v>
      </c>
      <c r="S73" s="8">
        <f>IFERROR(__xludf.DUMMYFUNCTION("""COMPUTED_VALUE"""),0.156580211335254)</f>
        <v>0.1565802113</v>
      </c>
      <c r="T73" s="8">
        <f>IFERROR(__xludf.DUMMYFUNCTION("""COMPUTED_VALUE"""),0.133420707732634)</f>
        <v>0.1334207077</v>
      </c>
      <c r="U73" s="8">
        <f>IFERROR(__xludf.DUMMYFUNCTION("""COMPUTED_VALUE"""),0.121036669423766)</f>
        <v>0.1210366694</v>
      </c>
      <c r="V73" s="8">
        <f>IFERROR(__xludf.DUMMYFUNCTION("""COMPUTED_VALUE"""),0.11353711790393)</f>
        <v>0.1135371179</v>
      </c>
      <c r="W73" s="8">
        <f>IFERROR(__xludf.DUMMYFUNCTION("""COMPUTED_VALUE"""),0.0988976377952755)</f>
        <v>0.0988976378</v>
      </c>
      <c r="X73" s="8">
        <f>IFERROR(__xludf.DUMMYFUNCTION("""COMPUTED_VALUE"""),0.094744121715076)</f>
        <v>0.09474412172</v>
      </c>
      <c r="Y73" s="8">
        <f>IFERROR(__xludf.DUMMYFUNCTION("""COMPUTED_VALUE"""),0.0659851301115241)</f>
        <v>0.06598513011</v>
      </c>
      <c r="Z73" s="8">
        <f>IFERROR(__xludf.DUMMYFUNCTION("""COMPUTED_VALUE"""),0.0621761658031088)</f>
        <v>0.0621761658</v>
      </c>
      <c r="AA73" s="8">
        <f>IFERROR(__xludf.DUMMYFUNCTION("""COMPUTED_VALUE"""),0.0)</f>
        <v>0</v>
      </c>
      <c r="AB73" s="8">
        <f>IFERROR(__xludf.DUMMYFUNCTION("""COMPUTED_VALUE"""),0.0)</f>
        <v>0</v>
      </c>
      <c r="AC73" s="8">
        <f>IFERROR(__xludf.DUMMYFUNCTION("""COMPUTED_VALUE"""),0.0)</f>
        <v>0</v>
      </c>
    </row>
    <row r="74" ht="15.75" customHeight="1">
      <c r="A74" s="6" t="str">
        <f>IFERROR(__xludf.DUMMYFUNCTION("""COMPUTED_VALUE"""),"424b450dc35cc4bf4fc088069830e978aa97884a")</f>
        <v>424b450dc35cc4bf4fc088069830e978aa97884a</v>
      </c>
      <c r="B74" s="6" t="str">
        <f>IFERROR(__xludf.DUMMYFUNCTION("""COMPUTED_VALUE"""),"The Alpha's Witch")</f>
        <v>The Alpha's Witch</v>
      </c>
      <c r="C74" s="6" t="str">
        <f>IFERROR(__xludf.DUMMYFUNCTION("""COMPUTED_VALUE"""),"Romantasy")</f>
        <v>Romantasy</v>
      </c>
      <c r="D74" s="11">
        <f>IFERROR(__xludf.DUMMYFUNCTION("""COMPUTED_VALUE"""),650.0)</f>
        <v>650</v>
      </c>
      <c r="E74" s="8">
        <f>IFERROR(__xludf.DUMMYFUNCTION("""COMPUTED_VALUE"""),0.983076923076923)</f>
        <v>0.9830769231</v>
      </c>
      <c r="F74" s="8">
        <f>IFERROR(__xludf.DUMMYFUNCTION("""COMPUTED_VALUE"""),0.687692307692307)</f>
        <v>0.6876923077</v>
      </c>
      <c r="G74" s="8">
        <f>IFERROR(__xludf.DUMMYFUNCTION("""COMPUTED_VALUE"""),0.613846153846153)</f>
        <v>0.6138461538</v>
      </c>
      <c r="H74" s="8">
        <f>IFERROR(__xludf.DUMMYFUNCTION("""COMPUTED_VALUE"""),0.543913713405238)</f>
        <v>0.5439137134</v>
      </c>
      <c r="I74" s="8">
        <f>IFERROR(__xludf.DUMMYFUNCTION("""COMPUTED_VALUE"""),0.501543209876543)</f>
        <v>0.5015432099</v>
      </c>
      <c r="J74" s="8">
        <f>IFERROR(__xludf.DUMMYFUNCTION("""COMPUTED_VALUE"""),0.484567901234567)</f>
        <v>0.4845679012</v>
      </c>
      <c r="K74" s="8">
        <f>IFERROR(__xludf.DUMMYFUNCTION("""COMPUTED_VALUE"""),0.462132921174652)</f>
        <v>0.4621329212</v>
      </c>
      <c r="L74" s="8">
        <f>IFERROR(__xludf.DUMMYFUNCTION("""COMPUTED_VALUE"""),0.451313755795981)</f>
        <v>0.4513137558</v>
      </c>
      <c r="M74" s="8">
        <f>IFERROR(__xludf.DUMMYFUNCTION("""COMPUTED_VALUE"""),0.447368421052631)</f>
        <v>0.4473684211</v>
      </c>
      <c r="N74" s="8">
        <f>IFERROR(__xludf.DUMMYFUNCTION("""COMPUTED_VALUE"""),0.438080495356037)</f>
        <v>0.4380804954</v>
      </c>
      <c r="O74" s="8">
        <f>IFERROR(__xludf.DUMMYFUNCTION("""COMPUTED_VALUE"""),0.250778816199376)</f>
        <v>0.2507788162</v>
      </c>
      <c r="P74" s="8">
        <f>IFERROR(__xludf.DUMMYFUNCTION("""COMPUTED_VALUE"""),0.205696202531645)</f>
        <v>0.2056962025</v>
      </c>
      <c r="Q74" s="8">
        <f>IFERROR(__xludf.DUMMYFUNCTION("""COMPUTED_VALUE"""),0.168711656441717)</f>
        <v>0.1687116564</v>
      </c>
      <c r="R74" s="8">
        <f>IFERROR(__xludf.DUMMYFUNCTION("""COMPUTED_VALUE"""),0.17391304347826)</f>
        <v>0.1739130435</v>
      </c>
      <c r="S74" s="8">
        <f>IFERROR(__xludf.DUMMYFUNCTION("""COMPUTED_VALUE"""),0.0)</f>
        <v>0</v>
      </c>
      <c r="T74" s="8">
        <f>IFERROR(__xludf.DUMMYFUNCTION("""COMPUTED_VALUE"""),0.0)</f>
        <v>0</v>
      </c>
      <c r="U74" s="8">
        <f>IFERROR(__xludf.DUMMYFUNCTION("""COMPUTED_VALUE"""),0.0)</f>
        <v>0</v>
      </c>
      <c r="V74" s="8">
        <f>IFERROR(__xludf.DUMMYFUNCTION("""COMPUTED_VALUE"""),0.0)</f>
        <v>0</v>
      </c>
      <c r="W74" s="8">
        <f>IFERROR(__xludf.DUMMYFUNCTION("""COMPUTED_VALUE"""),0.0)</f>
        <v>0</v>
      </c>
      <c r="X74" s="8">
        <f>IFERROR(__xludf.DUMMYFUNCTION("""COMPUTED_VALUE"""),0.0)</f>
        <v>0</v>
      </c>
      <c r="Y74" s="8">
        <f>IFERROR(__xludf.DUMMYFUNCTION("""COMPUTED_VALUE"""),0.0)</f>
        <v>0</v>
      </c>
      <c r="Z74" s="8">
        <f>IFERROR(__xludf.DUMMYFUNCTION("""COMPUTED_VALUE"""),0.0)</f>
        <v>0</v>
      </c>
      <c r="AA74" s="8">
        <f>IFERROR(__xludf.DUMMYFUNCTION("""COMPUTED_VALUE"""),0.0)</f>
        <v>0</v>
      </c>
      <c r="AB74" s="8">
        <f>IFERROR(__xludf.DUMMYFUNCTION("""COMPUTED_VALUE"""),0.0)</f>
        <v>0</v>
      </c>
      <c r="AC74" s="8">
        <f>IFERROR(__xludf.DUMMYFUNCTION("""COMPUTED_VALUE"""),0.0)</f>
        <v>0</v>
      </c>
    </row>
    <row r="75" ht="15.75" customHeight="1">
      <c r="A75" s="6" t="str">
        <f>IFERROR(__xludf.DUMMYFUNCTION("""COMPUTED_VALUE"""),"42515091e7b47b7b2d2381d7512fdb9f9866aa1e")</f>
        <v>42515091e7b47b7b2d2381d7512fdb9f9866aa1e</v>
      </c>
      <c r="B75" s="6" t="str">
        <f>IFERROR(__xludf.DUMMYFUNCTION("""COMPUTED_VALUE"""),"The Tomboy Love Story")</f>
        <v>The Tomboy Love Story</v>
      </c>
      <c r="C75" s="6" t="str">
        <f>IFERROR(__xludf.DUMMYFUNCTION("""COMPUTED_VALUE"""),"Romance")</f>
        <v>Romance</v>
      </c>
      <c r="D75" s="11">
        <f>IFERROR(__xludf.DUMMYFUNCTION("""COMPUTED_VALUE"""),635.0)</f>
        <v>635</v>
      </c>
      <c r="E75" s="8">
        <f>IFERROR(__xludf.DUMMYFUNCTION("""COMPUTED_VALUE"""),0.971653543307086)</f>
        <v>0.9716535433</v>
      </c>
      <c r="F75" s="8">
        <f>IFERROR(__xludf.DUMMYFUNCTION("""COMPUTED_VALUE"""),0.563779527559055)</f>
        <v>0.5637795276</v>
      </c>
      <c r="G75" s="8">
        <f>IFERROR(__xludf.DUMMYFUNCTION("""COMPUTED_VALUE"""),0.508661417322834)</f>
        <v>0.5086614173</v>
      </c>
      <c r="H75" s="8">
        <f>IFERROR(__xludf.DUMMYFUNCTION("""COMPUTED_VALUE"""),0.473933649289099)</f>
        <v>0.4739336493</v>
      </c>
      <c r="I75" s="8">
        <f>IFERROR(__xludf.DUMMYFUNCTION("""COMPUTED_VALUE"""),0.446202531645569)</f>
        <v>0.4462025316</v>
      </c>
      <c r="J75" s="8">
        <f>IFERROR(__xludf.DUMMYFUNCTION("""COMPUTED_VALUE"""),0.435816164817749)</f>
        <v>0.4358161648</v>
      </c>
      <c r="K75" s="8">
        <f>IFERROR(__xludf.DUMMYFUNCTION("""COMPUTED_VALUE"""),0.42472266244057)</f>
        <v>0.4247226624</v>
      </c>
      <c r="L75" s="8">
        <f>IFERROR(__xludf.DUMMYFUNCTION("""COMPUTED_VALUE"""),0.421553090332805)</f>
        <v>0.4215530903</v>
      </c>
      <c r="M75" s="8">
        <f>IFERROR(__xludf.DUMMYFUNCTION("""COMPUTED_VALUE"""),0.410459587955626)</f>
        <v>0.410459588</v>
      </c>
      <c r="N75" s="8">
        <f>IFERROR(__xludf.DUMMYFUNCTION("""COMPUTED_VALUE"""),0.391442155309033)</f>
        <v>0.3914421553</v>
      </c>
      <c r="O75" s="8">
        <f>IFERROR(__xludf.DUMMYFUNCTION("""COMPUTED_VALUE"""),0.376996805111821)</f>
        <v>0.3769968051</v>
      </c>
      <c r="P75" s="8">
        <f>IFERROR(__xludf.DUMMYFUNCTION("""COMPUTED_VALUE"""),0.286898839137645)</f>
        <v>0.2868988391</v>
      </c>
      <c r="Q75" s="8">
        <f>IFERROR(__xludf.DUMMYFUNCTION("""COMPUTED_VALUE"""),0.150190114068441)</f>
        <v>0.1501901141</v>
      </c>
      <c r="R75" s="8">
        <f>IFERROR(__xludf.DUMMYFUNCTION("""COMPUTED_VALUE"""),0.126005361930294)</f>
        <v>0.1260053619</v>
      </c>
      <c r="S75" s="8">
        <f>IFERROR(__xludf.DUMMYFUNCTION("""COMPUTED_VALUE"""),0.16)</f>
        <v>0.16</v>
      </c>
      <c r="T75" s="8">
        <f>IFERROR(__xludf.DUMMYFUNCTION("""COMPUTED_VALUE"""),0.0)</f>
        <v>0</v>
      </c>
      <c r="U75" s="8">
        <f>IFERROR(__xludf.DUMMYFUNCTION("""COMPUTED_VALUE"""),0.0)</f>
        <v>0</v>
      </c>
      <c r="V75" s="8">
        <f>IFERROR(__xludf.DUMMYFUNCTION("""COMPUTED_VALUE"""),0.0)</f>
        <v>0</v>
      </c>
      <c r="W75" s="8">
        <f>IFERROR(__xludf.DUMMYFUNCTION("""COMPUTED_VALUE"""),0.0)</f>
        <v>0</v>
      </c>
      <c r="X75" s="8">
        <f>IFERROR(__xludf.DUMMYFUNCTION("""COMPUTED_VALUE"""),0.0)</f>
        <v>0</v>
      </c>
      <c r="Y75" s="8">
        <f>IFERROR(__xludf.DUMMYFUNCTION("""COMPUTED_VALUE"""),0.0)</f>
        <v>0</v>
      </c>
      <c r="Z75" s="8">
        <f>IFERROR(__xludf.DUMMYFUNCTION("""COMPUTED_VALUE"""),0.0)</f>
        <v>0</v>
      </c>
      <c r="AA75" s="8">
        <f>IFERROR(__xludf.DUMMYFUNCTION("""COMPUTED_VALUE"""),0.0)</f>
        <v>0</v>
      </c>
      <c r="AB75" s="8">
        <f>IFERROR(__xludf.DUMMYFUNCTION("""COMPUTED_VALUE"""),0.0)</f>
        <v>0</v>
      </c>
      <c r="AC75" s="8">
        <f>IFERROR(__xludf.DUMMYFUNCTION("""COMPUTED_VALUE"""),0.0)</f>
        <v>0</v>
      </c>
    </row>
    <row r="76" ht="15.75" customHeight="1">
      <c r="A76" s="6" t="str">
        <f>IFERROR(__xludf.DUMMYFUNCTION("""COMPUTED_VALUE"""),"4335258b71733375cbccc0fbf7ce0bf0975b095d")</f>
        <v>4335258b71733375cbccc0fbf7ce0bf0975b095d</v>
      </c>
      <c r="B76" s="6" t="str">
        <f>IFERROR(__xludf.DUMMYFUNCTION("""COMPUTED_VALUE"""),"Alex &amp; the Prison System")</f>
        <v>Alex &amp; the Prison System</v>
      </c>
      <c r="C76" s="6" t="str">
        <f>IFERROR(__xludf.DUMMYFUNCTION("""COMPUTED_VALUE"""),"System and Superpower")</f>
        <v>System and Superpower</v>
      </c>
      <c r="D76" s="11">
        <f>IFERROR(__xludf.DUMMYFUNCTION("""COMPUTED_VALUE"""),166.0)</f>
        <v>166</v>
      </c>
      <c r="E76" s="8">
        <f>IFERROR(__xludf.DUMMYFUNCTION("""COMPUTED_VALUE"""),0.957831325301204)</f>
        <v>0.9578313253</v>
      </c>
      <c r="F76" s="8">
        <f>IFERROR(__xludf.DUMMYFUNCTION("""COMPUTED_VALUE"""),0.656626506024096)</f>
        <v>0.656626506</v>
      </c>
      <c r="G76" s="8">
        <f>IFERROR(__xludf.DUMMYFUNCTION("""COMPUTED_VALUE"""),0.548192771084337)</f>
        <v>0.5481927711</v>
      </c>
      <c r="H76" s="8">
        <f>IFERROR(__xludf.DUMMYFUNCTION("""COMPUTED_VALUE"""),0.551515151515151)</f>
        <v>0.5515151515</v>
      </c>
      <c r="I76" s="8">
        <f>IFERROR(__xludf.DUMMYFUNCTION("""COMPUTED_VALUE"""),0.527272727272727)</f>
        <v>0.5272727273</v>
      </c>
      <c r="J76" s="8">
        <f>IFERROR(__xludf.DUMMYFUNCTION("""COMPUTED_VALUE"""),0.509090909090909)</f>
        <v>0.5090909091</v>
      </c>
      <c r="K76" s="8">
        <f>IFERROR(__xludf.DUMMYFUNCTION("""COMPUTED_VALUE"""),0.521212121212121)</f>
        <v>0.5212121212</v>
      </c>
      <c r="L76" s="8">
        <f>IFERROR(__xludf.DUMMYFUNCTION("""COMPUTED_VALUE"""),0.533333333333333)</f>
        <v>0.5333333333</v>
      </c>
      <c r="M76" s="8">
        <f>IFERROR(__xludf.DUMMYFUNCTION("""COMPUTED_VALUE"""),0.49090909090909)</f>
        <v>0.4909090909</v>
      </c>
      <c r="N76" s="8">
        <f>IFERROR(__xludf.DUMMYFUNCTION("""COMPUTED_VALUE"""),0.49090909090909)</f>
        <v>0.4909090909</v>
      </c>
      <c r="O76" s="8">
        <f>IFERROR(__xludf.DUMMYFUNCTION("""COMPUTED_VALUE"""),0.365853658536585)</f>
        <v>0.3658536585</v>
      </c>
      <c r="P76" s="8">
        <f>IFERROR(__xludf.DUMMYFUNCTION("""COMPUTED_VALUE"""),0.246575342465753)</f>
        <v>0.2465753425</v>
      </c>
      <c r="Q76" s="8">
        <f>IFERROR(__xludf.DUMMYFUNCTION("""COMPUTED_VALUE"""),0.236363636363636)</f>
        <v>0.2363636364</v>
      </c>
      <c r="R76" s="8">
        <f>IFERROR(__xludf.DUMMYFUNCTION("""COMPUTED_VALUE"""),0.333333333333333)</f>
        <v>0.3333333333</v>
      </c>
      <c r="S76" s="8">
        <f>IFERROR(__xludf.DUMMYFUNCTION("""COMPUTED_VALUE"""),0.0)</f>
        <v>0</v>
      </c>
      <c r="T76" s="8">
        <f>IFERROR(__xludf.DUMMYFUNCTION("""COMPUTED_VALUE"""),0.0)</f>
        <v>0</v>
      </c>
      <c r="U76" s="8">
        <f>IFERROR(__xludf.DUMMYFUNCTION("""COMPUTED_VALUE"""),0.0)</f>
        <v>0</v>
      </c>
      <c r="V76" s="8">
        <f>IFERROR(__xludf.DUMMYFUNCTION("""COMPUTED_VALUE"""),0.0)</f>
        <v>0</v>
      </c>
      <c r="W76" s="8">
        <f>IFERROR(__xludf.DUMMYFUNCTION("""COMPUTED_VALUE"""),0.0)</f>
        <v>0</v>
      </c>
      <c r="X76" s="8">
        <f>IFERROR(__xludf.DUMMYFUNCTION("""COMPUTED_VALUE"""),0.0)</f>
        <v>0</v>
      </c>
      <c r="Y76" s="8">
        <f>IFERROR(__xludf.DUMMYFUNCTION("""COMPUTED_VALUE"""),0.0)</f>
        <v>0</v>
      </c>
      <c r="Z76" s="8">
        <f>IFERROR(__xludf.DUMMYFUNCTION("""COMPUTED_VALUE"""),0.0)</f>
        <v>0</v>
      </c>
      <c r="AA76" s="8">
        <f>IFERROR(__xludf.DUMMYFUNCTION("""COMPUTED_VALUE"""),0.0)</f>
        <v>0</v>
      </c>
      <c r="AB76" s="8">
        <f>IFERROR(__xludf.DUMMYFUNCTION("""COMPUTED_VALUE"""),0.0)</f>
        <v>0</v>
      </c>
      <c r="AC76" s="8">
        <f>IFERROR(__xludf.DUMMYFUNCTION("""COMPUTED_VALUE"""),0.0)</f>
        <v>0</v>
      </c>
    </row>
    <row r="77" ht="15.75" customHeight="1">
      <c r="A77" s="6" t="str">
        <f>IFERROR(__xludf.DUMMYFUNCTION("""COMPUTED_VALUE"""),"43de49339ed40a2c4d8acef5644870ce292f541e")</f>
        <v>43de49339ed40a2c4d8acef5644870ce292f541e</v>
      </c>
      <c r="B77" s="6" t="str">
        <f>IFERROR(__xludf.DUMMYFUNCTION("""COMPUTED_VALUE"""),"Second Chances: Reborn to Be a CEO’s Wife")</f>
        <v>Second Chances: Reborn to Be a CEO’s Wife</v>
      </c>
      <c r="C77" s="6" t="str">
        <f>IFERROR(__xludf.DUMMYFUNCTION("""COMPUTED_VALUE"""),"Romance")</f>
        <v>Romance</v>
      </c>
      <c r="D77" s="11">
        <f>IFERROR(__xludf.DUMMYFUNCTION("""COMPUTED_VALUE"""),506.0)</f>
        <v>506</v>
      </c>
      <c r="E77" s="8">
        <f>IFERROR(__xludf.DUMMYFUNCTION("""COMPUTED_VALUE"""),0.928853754940711)</f>
        <v>0.9288537549</v>
      </c>
      <c r="F77" s="8">
        <f>IFERROR(__xludf.DUMMYFUNCTION("""COMPUTED_VALUE"""),0.691699604743083)</f>
        <v>0.6916996047</v>
      </c>
      <c r="G77" s="8">
        <f>IFERROR(__xludf.DUMMYFUNCTION("""COMPUTED_VALUE"""),0.612648221343873)</f>
        <v>0.6126482213</v>
      </c>
      <c r="H77" s="8">
        <f>IFERROR(__xludf.DUMMYFUNCTION("""COMPUTED_VALUE"""),0.561264822134387)</f>
        <v>0.5612648221</v>
      </c>
      <c r="I77" s="8">
        <f>IFERROR(__xludf.DUMMYFUNCTION("""COMPUTED_VALUE"""),0.532673267326732)</f>
        <v>0.5326732673</v>
      </c>
      <c r="J77" s="8">
        <f>IFERROR(__xludf.DUMMYFUNCTION("""COMPUTED_VALUE"""),0.495029821073558)</f>
        <v>0.4950298211</v>
      </c>
      <c r="K77" s="8">
        <f>IFERROR(__xludf.DUMMYFUNCTION("""COMPUTED_VALUE"""),0.479125248508946)</f>
        <v>0.4791252485</v>
      </c>
      <c r="L77" s="8">
        <f>IFERROR(__xludf.DUMMYFUNCTION("""COMPUTED_VALUE"""),0.447316103379721)</f>
        <v>0.4473161034</v>
      </c>
      <c r="M77" s="8">
        <f>IFERROR(__xludf.DUMMYFUNCTION("""COMPUTED_VALUE"""),0.401590457256461)</f>
        <v>0.4015904573</v>
      </c>
      <c r="N77" s="8">
        <f>IFERROR(__xludf.DUMMYFUNCTION("""COMPUTED_VALUE"""),0.378486055776892)</f>
        <v>0.3784860558</v>
      </c>
      <c r="O77" s="8">
        <f>IFERROR(__xludf.DUMMYFUNCTION("""COMPUTED_VALUE"""),0.331337325349301)</f>
        <v>0.3313373253</v>
      </c>
      <c r="P77" s="8">
        <f>IFERROR(__xludf.DUMMYFUNCTION("""COMPUTED_VALUE"""),0.186234817813765)</f>
        <v>0.1862348178</v>
      </c>
      <c r="Q77" s="8">
        <f>IFERROR(__xludf.DUMMYFUNCTION("""COMPUTED_VALUE"""),0.0368098159509202)</f>
        <v>0.03680981595</v>
      </c>
      <c r="R77" s="8">
        <f>IFERROR(__xludf.DUMMYFUNCTION("""COMPUTED_VALUE"""),0.0)</f>
        <v>0</v>
      </c>
      <c r="S77" s="8">
        <f>IFERROR(__xludf.DUMMYFUNCTION("""COMPUTED_VALUE"""),0.0)</f>
        <v>0</v>
      </c>
      <c r="T77" s="8">
        <f>IFERROR(__xludf.DUMMYFUNCTION("""COMPUTED_VALUE"""),0.0)</f>
        <v>0</v>
      </c>
      <c r="U77" s="8">
        <f>IFERROR(__xludf.DUMMYFUNCTION("""COMPUTED_VALUE"""),0.0)</f>
        <v>0</v>
      </c>
      <c r="V77" s="8">
        <f>IFERROR(__xludf.DUMMYFUNCTION("""COMPUTED_VALUE"""),0.0)</f>
        <v>0</v>
      </c>
      <c r="W77" s="8">
        <f>IFERROR(__xludf.DUMMYFUNCTION("""COMPUTED_VALUE"""),0.0)</f>
        <v>0</v>
      </c>
      <c r="X77" s="8">
        <f>IFERROR(__xludf.DUMMYFUNCTION("""COMPUTED_VALUE"""),0.0)</f>
        <v>0</v>
      </c>
      <c r="Y77" s="8">
        <f>IFERROR(__xludf.DUMMYFUNCTION("""COMPUTED_VALUE"""),0.0)</f>
        <v>0</v>
      </c>
      <c r="Z77" s="8">
        <f>IFERROR(__xludf.DUMMYFUNCTION("""COMPUTED_VALUE"""),0.0)</f>
        <v>0</v>
      </c>
      <c r="AA77" s="8">
        <f>IFERROR(__xludf.DUMMYFUNCTION("""COMPUTED_VALUE"""),0.0)</f>
        <v>0</v>
      </c>
      <c r="AB77" s="8">
        <f>IFERROR(__xludf.DUMMYFUNCTION("""COMPUTED_VALUE"""),0.0)</f>
        <v>0</v>
      </c>
      <c r="AC77" s="8">
        <f>IFERROR(__xludf.DUMMYFUNCTION("""COMPUTED_VALUE"""),0.0)</f>
        <v>0</v>
      </c>
    </row>
    <row r="78" ht="15.75" customHeight="1">
      <c r="A78" s="6" t="str">
        <f>IFERROR(__xludf.DUMMYFUNCTION("""COMPUTED_VALUE"""),"442d4dce8ca376c2bb4438209980daa53b761b51")</f>
        <v>442d4dce8ca376c2bb4438209980daa53b761b51</v>
      </c>
      <c r="B78" s="6" t="str">
        <f>IFERROR(__xludf.DUMMYFUNCTION("""COMPUTED_VALUE"""),"Rejected and Craved")</f>
        <v>Rejected and Craved</v>
      </c>
      <c r="C78" s="6" t="str">
        <f>IFERROR(__xludf.DUMMYFUNCTION("""COMPUTED_VALUE"""),"Romantasy")</f>
        <v>Romantasy</v>
      </c>
      <c r="D78" s="11">
        <f>IFERROR(__xludf.DUMMYFUNCTION("""COMPUTED_VALUE"""),572.0)</f>
        <v>572</v>
      </c>
      <c r="E78" s="8">
        <f>IFERROR(__xludf.DUMMYFUNCTION("""COMPUTED_VALUE"""),0.975524475524475)</f>
        <v>0.9755244755</v>
      </c>
      <c r="F78" s="8">
        <f>IFERROR(__xludf.DUMMYFUNCTION("""COMPUTED_VALUE"""),0.683566433566433)</f>
        <v>0.6835664336</v>
      </c>
      <c r="G78" s="8">
        <f>IFERROR(__xludf.DUMMYFUNCTION("""COMPUTED_VALUE"""),0.657342657342657)</f>
        <v>0.6573426573</v>
      </c>
      <c r="H78" s="8">
        <f>IFERROR(__xludf.DUMMYFUNCTION("""COMPUTED_VALUE"""),0.640980735551663)</f>
        <v>0.6409807356</v>
      </c>
      <c r="I78" s="8">
        <f>IFERROR(__xludf.DUMMYFUNCTION("""COMPUTED_VALUE"""),0.615114235500878)</f>
        <v>0.6151142355</v>
      </c>
      <c r="J78" s="8">
        <f>IFERROR(__xludf.DUMMYFUNCTION("""COMPUTED_VALUE"""),0.582010582010582)</f>
        <v>0.582010582</v>
      </c>
      <c r="K78" s="8">
        <f>IFERROR(__xludf.DUMMYFUNCTION("""COMPUTED_VALUE"""),0.562610229276896)</f>
        <v>0.5626102293</v>
      </c>
      <c r="L78" s="8">
        <f>IFERROR(__xludf.DUMMYFUNCTION("""COMPUTED_VALUE"""),0.543209876543209)</f>
        <v>0.5432098765</v>
      </c>
      <c r="M78" s="8">
        <f>IFERROR(__xludf.DUMMYFUNCTION("""COMPUTED_VALUE"""),0.56084656084656)</f>
        <v>0.5608465608</v>
      </c>
      <c r="N78" s="8">
        <f>IFERROR(__xludf.DUMMYFUNCTION("""COMPUTED_VALUE"""),0.529100529100529)</f>
        <v>0.5291005291</v>
      </c>
      <c r="O78" s="8">
        <f>IFERROR(__xludf.DUMMYFUNCTION("""COMPUTED_VALUE"""),0.440433212996389)</f>
        <v>0.440433213</v>
      </c>
      <c r="P78" s="8">
        <f>IFERROR(__xludf.DUMMYFUNCTION("""COMPUTED_VALUE"""),0.266544117647058)</f>
        <v>0.2665441176</v>
      </c>
      <c r="Q78" s="8">
        <f>IFERROR(__xludf.DUMMYFUNCTION("""COMPUTED_VALUE"""),0.0841487279843444)</f>
        <v>0.08414872798</v>
      </c>
      <c r="R78" s="8">
        <f>IFERROR(__xludf.DUMMYFUNCTION("""COMPUTED_VALUE"""),0.0)</f>
        <v>0</v>
      </c>
      <c r="S78" s="8">
        <f>IFERROR(__xludf.DUMMYFUNCTION("""COMPUTED_VALUE"""),0.0)</f>
        <v>0</v>
      </c>
      <c r="T78" s="8">
        <f>IFERROR(__xludf.DUMMYFUNCTION("""COMPUTED_VALUE"""),0.0)</f>
        <v>0</v>
      </c>
      <c r="U78" s="8">
        <f>IFERROR(__xludf.DUMMYFUNCTION("""COMPUTED_VALUE"""),0.0)</f>
        <v>0</v>
      </c>
      <c r="V78" s="8">
        <f>IFERROR(__xludf.DUMMYFUNCTION("""COMPUTED_VALUE"""),0.0)</f>
        <v>0</v>
      </c>
      <c r="W78" s="8">
        <f>IFERROR(__xludf.DUMMYFUNCTION("""COMPUTED_VALUE"""),0.0)</f>
        <v>0</v>
      </c>
      <c r="X78" s="8">
        <f>IFERROR(__xludf.DUMMYFUNCTION("""COMPUTED_VALUE"""),0.0)</f>
        <v>0</v>
      </c>
      <c r="Y78" s="8">
        <f>IFERROR(__xludf.DUMMYFUNCTION("""COMPUTED_VALUE"""),0.0)</f>
        <v>0</v>
      </c>
      <c r="Z78" s="8">
        <f>IFERROR(__xludf.DUMMYFUNCTION("""COMPUTED_VALUE"""),0.0)</f>
        <v>0</v>
      </c>
      <c r="AA78" s="8">
        <f>IFERROR(__xludf.DUMMYFUNCTION("""COMPUTED_VALUE"""),0.0)</f>
        <v>0</v>
      </c>
      <c r="AB78" s="8">
        <f>IFERROR(__xludf.DUMMYFUNCTION("""COMPUTED_VALUE"""),0.0)</f>
        <v>0</v>
      </c>
      <c r="AC78" s="8">
        <f>IFERROR(__xludf.DUMMYFUNCTION("""COMPUTED_VALUE"""),0.0)</f>
        <v>0</v>
      </c>
    </row>
    <row r="79" ht="15.75" customHeight="1">
      <c r="A79" s="6" t="str">
        <f>IFERROR(__xludf.DUMMYFUNCTION("""COMPUTED_VALUE"""),"446d5769edafce0d5daf04c6cfc40515f289004f")</f>
        <v>446d5769edafce0d5daf04c6cfc40515f289004f</v>
      </c>
      <c r="B79" s="6" t="str">
        <f>IFERROR(__xludf.DUMMYFUNCTION("""COMPUTED_VALUE"""),"The Cloaked Mogul")</f>
        <v>The Cloaked Mogul</v>
      </c>
      <c r="C79" s="6" t="str">
        <f>IFERROR(__xludf.DUMMYFUNCTION("""COMPUTED_VALUE"""),"Drama")</f>
        <v>Drama</v>
      </c>
      <c r="D79" s="11">
        <f>IFERROR(__xludf.DUMMYFUNCTION("""COMPUTED_VALUE"""),911.0)</f>
        <v>911</v>
      </c>
      <c r="E79" s="8">
        <f>IFERROR(__xludf.DUMMYFUNCTION("""COMPUTED_VALUE"""),0.953896816684961)</f>
        <v>0.9538968167</v>
      </c>
      <c r="F79" s="8">
        <f>IFERROR(__xludf.DUMMYFUNCTION("""COMPUTED_VALUE"""),0.506037321624588)</f>
        <v>0.5060373216</v>
      </c>
      <c r="G79" s="8">
        <f>IFERROR(__xludf.DUMMYFUNCTION("""COMPUTED_VALUE"""),0.461031833150384)</f>
        <v>0.4610318332</v>
      </c>
      <c r="H79" s="8">
        <f>IFERROR(__xludf.DUMMYFUNCTION("""COMPUTED_VALUE"""),0.447252747252747)</f>
        <v>0.4472527473</v>
      </c>
      <c r="I79" s="8">
        <f>IFERROR(__xludf.DUMMYFUNCTION("""COMPUTED_VALUE"""),0.419780219780219)</f>
        <v>0.4197802198</v>
      </c>
      <c r="J79" s="8">
        <f>IFERROR(__xludf.DUMMYFUNCTION("""COMPUTED_VALUE"""),0.40748898678414)</f>
        <v>0.4074889868</v>
      </c>
      <c r="K79" s="8">
        <f>IFERROR(__xludf.DUMMYFUNCTION("""COMPUTED_VALUE"""),0.395143487858719)</f>
        <v>0.3951434879</v>
      </c>
      <c r="L79" s="8">
        <f>IFERROR(__xludf.DUMMYFUNCTION("""COMPUTED_VALUE"""),0.386917960088691)</f>
        <v>0.3869179601</v>
      </c>
      <c r="M79" s="8">
        <f>IFERROR(__xludf.DUMMYFUNCTION("""COMPUTED_VALUE"""),0.38)</f>
        <v>0.38</v>
      </c>
      <c r="N79" s="8">
        <f>IFERROR(__xludf.DUMMYFUNCTION("""COMPUTED_VALUE"""),0.369419642857142)</f>
        <v>0.3694196429</v>
      </c>
      <c r="O79" s="8">
        <f>IFERROR(__xludf.DUMMYFUNCTION("""COMPUTED_VALUE"""),0.343148357870894)</f>
        <v>0.3431483579</v>
      </c>
      <c r="P79" s="8">
        <f>IFERROR(__xludf.DUMMYFUNCTION("""COMPUTED_VALUE"""),0.272519954389965)</f>
        <v>0.2725199544</v>
      </c>
      <c r="Q79" s="8">
        <f>IFERROR(__xludf.DUMMYFUNCTION("""COMPUTED_VALUE"""),0.170336037079953)</f>
        <v>0.1703360371</v>
      </c>
      <c r="R79" s="8">
        <f>IFERROR(__xludf.DUMMYFUNCTION("""COMPUTED_VALUE"""),0.0981873111782477)</f>
        <v>0.09818731118</v>
      </c>
      <c r="S79" s="8">
        <f>IFERROR(__xludf.DUMMYFUNCTION("""COMPUTED_VALUE"""),0.0879712746858168)</f>
        <v>0.08797127469</v>
      </c>
      <c r="T79" s="8">
        <f>IFERROR(__xludf.DUMMYFUNCTION("""COMPUTED_VALUE"""),0.0789473684210526)</f>
        <v>0.07894736842</v>
      </c>
      <c r="U79" s="8">
        <f>IFERROR(__xludf.DUMMYFUNCTION("""COMPUTED_VALUE"""),0.0627450980392156)</f>
        <v>0.06274509804</v>
      </c>
      <c r="V79" s="8">
        <f>IFERROR(__xludf.DUMMYFUNCTION("""COMPUTED_VALUE"""),0.0525252525252525)</f>
        <v>0.05252525253</v>
      </c>
      <c r="W79" s="8">
        <f>IFERROR(__xludf.DUMMYFUNCTION("""COMPUTED_VALUE"""),0.0392156862745098)</f>
        <v>0.03921568627</v>
      </c>
      <c r="X79" s="8">
        <f>IFERROR(__xludf.DUMMYFUNCTION("""COMPUTED_VALUE"""),0.0)</f>
        <v>0</v>
      </c>
      <c r="Y79" s="8">
        <f>IFERROR(__xludf.DUMMYFUNCTION("""COMPUTED_VALUE"""),0.0)</f>
        <v>0</v>
      </c>
      <c r="Z79" s="8">
        <f>IFERROR(__xludf.DUMMYFUNCTION("""COMPUTED_VALUE"""),0.0)</f>
        <v>0</v>
      </c>
      <c r="AA79" s="8">
        <f>IFERROR(__xludf.DUMMYFUNCTION("""COMPUTED_VALUE"""),0.0)</f>
        <v>0</v>
      </c>
      <c r="AB79" s="8">
        <f>IFERROR(__xludf.DUMMYFUNCTION("""COMPUTED_VALUE"""),0.0)</f>
        <v>0</v>
      </c>
      <c r="AC79" s="8">
        <f>IFERROR(__xludf.DUMMYFUNCTION("""COMPUTED_VALUE"""),0.0)</f>
        <v>0</v>
      </c>
    </row>
    <row r="80" ht="15.75" customHeight="1">
      <c r="A80" s="6" t="str">
        <f>IFERROR(__xludf.DUMMYFUNCTION("""COMPUTED_VALUE"""),"44c616c59b6b2cd7fcb80263ece968b250ad9dbe")</f>
        <v>44c616c59b6b2cd7fcb80263ece968b250ad9dbe</v>
      </c>
      <c r="B80" s="6" t="str">
        <f>IFERROR(__xludf.DUMMYFUNCTION("""COMPUTED_VALUE"""),"Supreme Miracle Doctor")</f>
        <v>Supreme Miracle Doctor</v>
      </c>
      <c r="C80" s="6" t="str">
        <f>IFERROR(__xludf.DUMMYFUNCTION("""COMPUTED_VALUE"""),"Drama")</f>
        <v>Drama</v>
      </c>
      <c r="D80" s="11">
        <f>IFERROR(__xludf.DUMMYFUNCTION("""COMPUTED_VALUE"""),111.0)</f>
        <v>111</v>
      </c>
      <c r="E80" s="8">
        <f>IFERROR(__xludf.DUMMYFUNCTION("""COMPUTED_VALUE"""),1.0)</f>
        <v>1</v>
      </c>
      <c r="F80" s="8">
        <f>IFERROR(__xludf.DUMMYFUNCTION("""COMPUTED_VALUE"""),0.45045045045045)</f>
        <v>0.4504504505</v>
      </c>
      <c r="G80" s="8">
        <f>IFERROR(__xludf.DUMMYFUNCTION("""COMPUTED_VALUE"""),0.396396396396396)</f>
        <v>0.3963963964</v>
      </c>
      <c r="H80" s="8">
        <f>IFERROR(__xludf.DUMMYFUNCTION("""COMPUTED_VALUE"""),0.343434343434343)</f>
        <v>0.3434343434</v>
      </c>
      <c r="I80" s="8">
        <f>IFERROR(__xludf.DUMMYFUNCTION("""COMPUTED_VALUE"""),0.305263157894736)</f>
        <v>0.3052631579</v>
      </c>
      <c r="J80" s="8">
        <f>IFERROR(__xludf.DUMMYFUNCTION("""COMPUTED_VALUE"""),0.244186046511627)</f>
        <v>0.2441860465</v>
      </c>
      <c r="K80" s="8">
        <f>IFERROR(__xludf.DUMMYFUNCTION("""COMPUTED_VALUE"""),0.192771084337349)</f>
        <v>0.1927710843</v>
      </c>
      <c r="L80" s="8">
        <f>IFERROR(__xludf.DUMMYFUNCTION("""COMPUTED_VALUE"""),0.184615384615384)</f>
        <v>0.1846153846</v>
      </c>
      <c r="M80" s="8">
        <f>IFERROR(__xludf.DUMMYFUNCTION("""COMPUTED_VALUE"""),0.155172413793103)</f>
        <v>0.1551724138</v>
      </c>
      <c r="N80" s="8">
        <f>IFERROR(__xludf.DUMMYFUNCTION("""COMPUTED_VALUE"""),0.156862745098039)</f>
        <v>0.1568627451</v>
      </c>
      <c r="O80" s="8">
        <f>IFERROR(__xludf.DUMMYFUNCTION("""COMPUTED_VALUE"""),0.103448275862068)</f>
        <v>0.1034482759</v>
      </c>
      <c r="P80" s="8">
        <f>IFERROR(__xludf.DUMMYFUNCTION("""COMPUTED_VALUE"""),0.0769230769230769)</f>
        <v>0.07692307692</v>
      </c>
      <c r="Q80" s="8">
        <f>IFERROR(__xludf.DUMMYFUNCTION("""COMPUTED_VALUE"""),0.0)</f>
        <v>0</v>
      </c>
      <c r="R80" s="8">
        <f>IFERROR(__xludf.DUMMYFUNCTION("""COMPUTED_VALUE"""),0.0)</f>
        <v>0</v>
      </c>
      <c r="S80" s="8">
        <f>IFERROR(__xludf.DUMMYFUNCTION("""COMPUTED_VALUE"""),0.0)</f>
        <v>0</v>
      </c>
      <c r="T80" s="8">
        <f>IFERROR(__xludf.DUMMYFUNCTION("""COMPUTED_VALUE"""),0.0)</f>
        <v>0</v>
      </c>
      <c r="U80" s="8">
        <f>IFERROR(__xludf.DUMMYFUNCTION("""COMPUTED_VALUE"""),0.0)</f>
        <v>0</v>
      </c>
      <c r="V80" s="8">
        <f>IFERROR(__xludf.DUMMYFUNCTION("""COMPUTED_VALUE"""),0.0)</f>
        <v>0</v>
      </c>
      <c r="W80" s="8">
        <f>IFERROR(__xludf.DUMMYFUNCTION("""COMPUTED_VALUE"""),0.0)</f>
        <v>0</v>
      </c>
      <c r="X80" s="8">
        <f>IFERROR(__xludf.DUMMYFUNCTION("""COMPUTED_VALUE"""),0.0)</f>
        <v>0</v>
      </c>
      <c r="Y80" s="8">
        <f>IFERROR(__xludf.DUMMYFUNCTION("""COMPUTED_VALUE"""),0.0)</f>
        <v>0</v>
      </c>
      <c r="Z80" s="8">
        <f>IFERROR(__xludf.DUMMYFUNCTION("""COMPUTED_VALUE"""),0.0)</f>
        <v>0</v>
      </c>
      <c r="AA80" s="8">
        <f>IFERROR(__xludf.DUMMYFUNCTION("""COMPUTED_VALUE"""),0.0)</f>
        <v>0</v>
      </c>
      <c r="AB80" s="8">
        <f>IFERROR(__xludf.DUMMYFUNCTION("""COMPUTED_VALUE"""),0.0)</f>
        <v>0</v>
      </c>
      <c r="AC80" s="8">
        <f>IFERROR(__xludf.DUMMYFUNCTION("""COMPUTED_VALUE"""),0.0)</f>
        <v>0</v>
      </c>
    </row>
    <row r="81" ht="15.75" customHeight="1">
      <c r="A81" s="6" t="str">
        <f>IFERROR(__xludf.DUMMYFUNCTION("""COMPUTED_VALUE"""),"44f5a6fb4876567a5eec3722df1d0a3d436d8bdf")</f>
        <v>44f5a6fb4876567a5eec3722df1d0a3d436d8bdf</v>
      </c>
      <c r="B81" s="6" t="str">
        <f>IFERROR(__xludf.DUMMYFUNCTION("""COMPUTED_VALUE"""),"Alpha Kyros")</f>
        <v>Alpha Kyros</v>
      </c>
      <c r="C81" s="6" t="str">
        <f>IFERROR(__xludf.DUMMYFUNCTION("""COMPUTED_VALUE"""),"Romantasy")</f>
        <v>Romantasy</v>
      </c>
      <c r="D81" s="11">
        <f>IFERROR(__xludf.DUMMYFUNCTION("""COMPUTED_VALUE"""),3915.0)</f>
        <v>3915</v>
      </c>
      <c r="E81" s="8">
        <f>IFERROR(__xludf.DUMMYFUNCTION("""COMPUTED_VALUE"""),0.971902937420178)</f>
        <v>0.9719029374</v>
      </c>
      <c r="F81" s="8">
        <f>IFERROR(__xludf.DUMMYFUNCTION("""COMPUTED_VALUE"""),0.635504469987228)</f>
        <v>0.63550447</v>
      </c>
      <c r="G81" s="8">
        <f>IFERROR(__xludf.DUMMYFUNCTION("""COMPUTED_VALUE"""),0.583397190293742)</f>
        <v>0.5833971903</v>
      </c>
      <c r="H81" s="8">
        <f>IFERROR(__xludf.DUMMYFUNCTION("""COMPUTED_VALUE"""),0.561685823754789)</f>
        <v>0.5616858238</v>
      </c>
      <c r="I81" s="8">
        <f>IFERROR(__xludf.DUMMYFUNCTION("""COMPUTED_VALUE"""),0.545733265201839)</f>
        <v>0.5457332652</v>
      </c>
      <c r="J81" s="8">
        <f>IFERROR(__xludf.DUMMYFUNCTION("""COMPUTED_VALUE"""),0.525441063666581)</f>
        <v>0.5254410637</v>
      </c>
      <c r="K81" s="8">
        <f>IFERROR(__xludf.DUMMYFUNCTION("""COMPUTED_VALUE"""),0.511633853234466)</f>
        <v>0.5116338532</v>
      </c>
      <c r="L81" s="8">
        <f>IFERROR(__xludf.DUMMYFUNCTION("""COMPUTED_VALUE"""),0.502941928882067)</f>
        <v>0.5029419289</v>
      </c>
      <c r="M81" s="8">
        <f>IFERROR(__xludf.DUMMYFUNCTION("""COMPUTED_VALUE"""),0.490145891988738)</f>
        <v>0.490145892</v>
      </c>
      <c r="N81" s="8">
        <f>IFERROR(__xludf.DUMMYFUNCTION("""COMPUTED_VALUE"""),0.479385403329065)</f>
        <v>0.4793854033</v>
      </c>
      <c r="O81" s="8">
        <f>IFERROR(__xludf.DUMMYFUNCTION("""COMPUTED_VALUE"""),0.421999485993317)</f>
        <v>0.421999486</v>
      </c>
      <c r="P81" s="8">
        <f>IFERROR(__xludf.DUMMYFUNCTION("""COMPUTED_VALUE"""),0.357390300230946)</f>
        <v>0.3573903002</v>
      </c>
      <c r="Q81" s="8">
        <f>IFERROR(__xludf.DUMMYFUNCTION("""COMPUTED_VALUE"""),0.234256926952141)</f>
        <v>0.234256927</v>
      </c>
      <c r="R81" s="8">
        <f>IFERROR(__xludf.DUMMYFUNCTION("""COMPUTED_VALUE"""),0.108108108108108)</f>
        <v>0.1081081081</v>
      </c>
      <c r="S81" s="8">
        <f>IFERROR(__xludf.DUMMYFUNCTION("""COMPUTED_VALUE"""),0.0)</f>
        <v>0</v>
      </c>
      <c r="T81" s="8">
        <f>IFERROR(__xludf.DUMMYFUNCTION("""COMPUTED_VALUE"""),0.0)</f>
        <v>0</v>
      </c>
      <c r="U81" s="8">
        <f>IFERROR(__xludf.DUMMYFUNCTION("""COMPUTED_VALUE"""),0.0)</f>
        <v>0</v>
      </c>
      <c r="V81" s="8">
        <f>IFERROR(__xludf.DUMMYFUNCTION("""COMPUTED_VALUE"""),0.0)</f>
        <v>0</v>
      </c>
      <c r="W81" s="8">
        <f>IFERROR(__xludf.DUMMYFUNCTION("""COMPUTED_VALUE"""),0.0)</f>
        <v>0</v>
      </c>
      <c r="X81" s="8">
        <f>IFERROR(__xludf.DUMMYFUNCTION("""COMPUTED_VALUE"""),0.0)</f>
        <v>0</v>
      </c>
      <c r="Y81" s="8">
        <f>IFERROR(__xludf.DUMMYFUNCTION("""COMPUTED_VALUE"""),0.0)</f>
        <v>0</v>
      </c>
      <c r="Z81" s="8">
        <f>IFERROR(__xludf.DUMMYFUNCTION("""COMPUTED_VALUE"""),0.0)</f>
        <v>0</v>
      </c>
      <c r="AA81" s="8">
        <f>IFERROR(__xludf.DUMMYFUNCTION("""COMPUTED_VALUE"""),0.0)</f>
        <v>0</v>
      </c>
      <c r="AB81" s="8">
        <f>IFERROR(__xludf.DUMMYFUNCTION("""COMPUTED_VALUE"""),0.0)</f>
        <v>0</v>
      </c>
      <c r="AC81" s="8">
        <f>IFERROR(__xludf.DUMMYFUNCTION("""COMPUTED_VALUE"""),0.0)</f>
        <v>0</v>
      </c>
    </row>
    <row r="82" ht="15.75" customHeight="1">
      <c r="A82" s="6" t="str">
        <f>IFERROR(__xludf.DUMMYFUNCTION("""COMPUTED_VALUE"""),"462b561ac0c6d238fc5ed6d8ce632a9e6a2152d9")</f>
        <v>462b561ac0c6d238fc5ed6d8ce632a9e6a2152d9</v>
      </c>
      <c r="B82" s="6" t="str">
        <f>IFERROR(__xludf.DUMMYFUNCTION("""COMPUTED_VALUE"""),"My Billionaire System")</f>
        <v>My Billionaire System</v>
      </c>
      <c r="C82" s="6" t="str">
        <f>IFERROR(__xludf.DUMMYFUNCTION("""COMPUTED_VALUE"""),"System and Superpower")</f>
        <v>System and Superpower</v>
      </c>
      <c r="D82" s="11">
        <f>IFERROR(__xludf.DUMMYFUNCTION("""COMPUTED_VALUE"""),72.0)</f>
        <v>72</v>
      </c>
      <c r="E82" s="8">
        <f>IFERROR(__xludf.DUMMYFUNCTION("""COMPUTED_VALUE"""),0.972222222222222)</f>
        <v>0.9722222222</v>
      </c>
      <c r="F82" s="8">
        <f>IFERROR(__xludf.DUMMYFUNCTION("""COMPUTED_VALUE"""),0.583333333333333)</f>
        <v>0.5833333333</v>
      </c>
      <c r="G82" s="8">
        <f>IFERROR(__xludf.DUMMYFUNCTION("""COMPUTED_VALUE"""),0.527777777777777)</f>
        <v>0.5277777778</v>
      </c>
      <c r="H82" s="8">
        <f>IFERROR(__xludf.DUMMYFUNCTION("""COMPUTED_VALUE"""),0.472222222222222)</f>
        <v>0.4722222222</v>
      </c>
      <c r="I82" s="8">
        <f>IFERROR(__xludf.DUMMYFUNCTION("""COMPUTED_VALUE"""),0.436619718309859)</f>
        <v>0.4366197183</v>
      </c>
      <c r="J82" s="8">
        <f>IFERROR(__xludf.DUMMYFUNCTION("""COMPUTED_VALUE"""),0.4)</f>
        <v>0.4</v>
      </c>
      <c r="K82" s="8">
        <f>IFERROR(__xludf.DUMMYFUNCTION("""COMPUTED_VALUE"""),0.285714285714285)</f>
        <v>0.2857142857</v>
      </c>
      <c r="L82" s="8">
        <f>IFERROR(__xludf.DUMMYFUNCTION("""COMPUTED_VALUE"""),0.279411764705882)</f>
        <v>0.2794117647</v>
      </c>
      <c r="M82" s="8">
        <f>IFERROR(__xludf.DUMMYFUNCTION("""COMPUTED_VALUE"""),0.21875)</f>
        <v>0.21875</v>
      </c>
      <c r="N82" s="8">
        <f>IFERROR(__xludf.DUMMYFUNCTION("""COMPUTED_VALUE"""),0.222222222222222)</f>
        <v>0.2222222222</v>
      </c>
      <c r="O82" s="8">
        <f>IFERROR(__xludf.DUMMYFUNCTION("""COMPUTED_VALUE"""),0.0)</f>
        <v>0</v>
      </c>
      <c r="P82" s="8">
        <f>IFERROR(__xludf.DUMMYFUNCTION("""COMPUTED_VALUE"""),0.0)</f>
        <v>0</v>
      </c>
      <c r="Q82" s="8">
        <f>IFERROR(__xludf.DUMMYFUNCTION("""COMPUTED_VALUE"""),0.0)</f>
        <v>0</v>
      </c>
      <c r="R82" s="8">
        <f>IFERROR(__xludf.DUMMYFUNCTION("""COMPUTED_VALUE"""),0.0)</f>
        <v>0</v>
      </c>
      <c r="S82" s="8">
        <f>IFERROR(__xludf.DUMMYFUNCTION("""COMPUTED_VALUE"""),0.0)</f>
        <v>0</v>
      </c>
      <c r="T82" s="8">
        <f>IFERROR(__xludf.DUMMYFUNCTION("""COMPUTED_VALUE"""),0.0)</f>
        <v>0</v>
      </c>
      <c r="U82" s="8">
        <f>IFERROR(__xludf.DUMMYFUNCTION("""COMPUTED_VALUE"""),0.0)</f>
        <v>0</v>
      </c>
      <c r="V82" s="8">
        <f>IFERROR(__xludf.DUMMYFUNCTION("""COMPUTED_VALUE"""),0.0)</f>
        <v>0</v>
      </c>
      <c r="W82" s="8">
        <f>IFERROR(__xludf.DUMMYFUNCTION("""COMPUTED_VALUE"""),0.0)</f>
        <v>0</v>
      </c>
      <c r="X82" s="8">
        <f>IFERROR(__xludf.DUMMYFUNCTION("""COMPUTED_VALUE"""),0.0)</f>
        <v>0</v>
      </c>
      <c r="Y82" s="8">
        <f>IFERROR(__xludf.DUMMYFUNCTION("""COMPUTED_VALUE"""),0.0)</f>
        <v>0</v>
      </c>
      <c r="Z82" s="8">
        <f>IFERROR(__xludf.DUMMYFUNCTION("""COMPUTED_VALUE"""),0.0)</f>
        <v>0</v>
      </c>
      <c r="AA82" s="8">
        <f>IFERROR(__xludf.DUMMYFUNCTION("""COMPUTED_VALUE"""),0.0)</f>
        <v>0</v>
      </c>
      <c r="AB82" s="8">
        <f>IFERROR(__xludf.DUMMYFUNCTION("""COMPUTED_VALUE"""),0.0)</f>
        <v>0</v>
      </c>
      <c r="AC82" s="8">
        <f>IFERROR(__xludf.DUMMYFUNCTION("""COMPUTED_VALUE"""),0.0)</f>
        <v>0</v>
      </c>
    </row>
    <row r="83" ht="15.75" customHeight="1">
      <c r="A83" s="6" t="str">
        <f>IFERROR(__xludf.DUMMYFUNCTION("""COMPUTED_VALUE"""),"46b27558432dbda1475a912729ae1e1dee8ac6fa")</f>
        <v>46b27558432dbda1475a912729ae1e1dee8ac6fa</v>
      </c>
      <c r="B83" s="6" t="str">
        <f>IFERROR(__xludf.DUMMYFUNCTION("""COMPUTED_VALUE"""),"Secrets of Thunder Eyes ")</f>
        <v>Secrets of Thunder Eyes </v>
      </c>
      <c r="C83" s="6" t="str">
        <f>IFERROR(__xludf.DUMMYFUNCTION("""COMPUTED_VALUE"""),"Fantasy")</f>
        <v>Fantasy</v>
      </c>
      <c r="D83" s="11">
        <f>IFERROR(__xludf.DUMMYFUNCTION("""COMPUTED_VALUE"""),35.0)</f>
        <v>35</v>
      </c>
      <c r="E83" s="8">
        <f>IFERROR(__xludf.DUMMYFUNCTION("""COMPUTED_VALUE"""),0.971428571428571)</f>
        <v>0.9714285714</v>
      </c>
      <c r="F83" s="8">
        <f>IFERROR(__xludf.DUMMYFUNCTION("""COMPUTED_VALUE"""),0.257142857142857)</f>
        <v>0.2571428571</v>
      </c>
      <c r="G83" s="8">
        <f>IFERROR(__xludf.DUMMYFUNCTION("""COMPUTED_VALUE"""),0.171428571428571)</f>
        <v>0.1714285714</v>
      </c>
      <c r="H83" s="8">
        <f>IFERROR(__xludf.DUMMYFUNCTION("""COMPUTED_VALUE"""),0.193548387096774)</f>
        <v>0.1935483871</v>
      </c>
      <c r="I83" s="8">
        <f>IFERROR(__xludf.DUMMYFUNCTION("""COMPUTED_VALUE"""),0.233333333333333)</f>
        <v>0.2333333333</v>
      </c>
      <c r="J83" s="8">
        <f>IFERROR(__xludf.DUMMYFUNCTION("""COMPUTED_VALUE"""),0.206896551724137)</f>
        <v>0.2068965517</v>
      </c>
      <c r="K83" s="8">
        <f>IFERROR(__xludf.DUMMYFUNCTION("""COMPUTED_VALUE"""),0.142857142857142)</f>
        <v>0.1428571429</v>
      </c>
      <c r="L83" s="8">
        <f>IFERROR(__xludf.DUMMYFUNCTION("""COMPUTED_VALUE"""),0.0833333333333333)</f>
        <v>0.08333333333</v>
      </c>
      <c r="M83" s="8">
        <f>IFERROR(__xludf.DUMMYFUNCTION("""COMPUTED_VALUE"""),0.0869565217391304)</f>
        <v>0.08695652174</v>
      </c>
      <c r="N83" s="8">
        <f>IFERROR(__xludf.DUMMYFUNCTION("""COMPUTED_VALUE"""),0.05)</f>
        <v>0.05</v>
      </c>
      <c r="O83" s="8">
        <f>IFERROR(__xludf.DUMMYFUNCTION("""COMPUTED_VALUE"""),0.111111111111111)</f>
        <v>0.1111111111</v>
      </c>
      <c r="P83" s="8">
        <f>IFERROR(__xludf.DUMMYFUNCTION("""COMPUTED_VALUE"""),0.0)</f>
        <v>0</v>
      </c>
      <c r="Q83" s="8">
        <f>IFERROR(__xludf.DUMMYFUNCTION("""COMPUTED_VALUE"""),0.0)</f>
        <v>0</v>
      </c>
      <c r="R83" s="8">
        <f>IFERROR(__xludf.DUMMYFUNCTION("""COMPUTED_VALUE"""),0.0)</f>
        <v>0</v>
      </c>
      <c r="S83" s="8">
        <f>IFERROR(__xludf.DUMMYFUNCTION("""COMPUTED_VALUE"""),0.0)</f>
        <v>0</v>
      </c>
      <c r="T83" s="8">
        <f>IFERROR(__xludf.DUMMYFUNCTION("""COMPUTED_VALUE"""),0.0)</f>
        <v>0</v>
      </c>
      <c r="U83" s="8">
        <f>IFERROR(__xludf.DUMMYFUNCTION("""COMPUTED_VALUE"""),0.0)</f>
        <v>0</v>
      </c>
      <c r="V83" s="8">
        <f>IFERROR(__xludf.DUMMYFUNCTION("""COMPUTED_VALUE"""),0.0)</f>
        <v>0</v>
      </c>
      <c r="W83" s="8">
        <f>IFERROR(__xludf.DUMMYFUNCTION("""COMPUTED_VALUE"""),0.0)</f>
        <v>0</v>
      </c>
      <c r="X83" s="8">
        <f>IFERROR(__xludf.DUMMYFUNCTION("""COMPUTED_VALUE"""),0.0)</f>
        <v>0</v>
      </c>
      <c r="Y83" s="8">
        <f>IFERROR(__xludf.DUMMYFUNCTION("""COMPUTED_VALUE"""),0.0)</f>
        <v>0</v>
      </c>
      <c r="Z83" s="8">
        <f>IFERROR(__xludf.DUMMYFUNCTION("""COMPUTED_VALUE"""),0.0)</f>
        <v>0</v>
      </c>
      <c r="AA83" s="8">
        <f>IFERROR(__xludf.DUMMYFUNCTION("""COMPUTED_VALUE"""),0.0)</f>
        <v>0</v>
      </c>
      <c r="AB83" s="8">
        <f>IFERROR(__xludf.DUMMYFUNCTION("""COMPUTED_VALUE"""),0.0)</f>
        <v>0</v>
      </c>
      <c r="AC83" s="8">
        <f>IFERROR(__xludf.DUMMYFUNCTION("""COMPUTED_VALUE"""),0.0)</f>
        <v>0</v>
      </c>
    </row>
    <row r="84" ht="15.75" customHeight="1">
      <c r="A84" s="6" t="str">
        <f>IFERROR(__xludf.DUMMYFUNCTION("""COMPUTED_VALUE"""),"48b422f2dbf0dc909fde9fadad832fde3d20f4a4")</f>
        <v>48b422f2dbf0dc909fde9fadad832fde3d20f4a4</v>
      </c>
      <c r="B84" s="6" t="str">
        <f>IFERROR(__xludf.DUMMYFUNCTION("""COMPUTED_VALUE"""),"Bride of the Ice Ceo")</f>
        <v>Bride of the Ice Ceo</v>
      </c>
      <c r="C84" s="6" t="str">
        <f>IFERROR(__xludf.DUMMYFUNCTION("""COMPUTED_VALUE"""),"Romance")</f>
        <v>Romance</v>
      </c>
      <c r="D84" s="11">
        <f>IFERROR(__xludf.DUMMYFUNCTION("""COMPUTED_VALUE"""),691.0)</f>
        <v>691</v>
      </c>
      <c r="E84" s="8">
        <f>IFERROR(__xludf.DUMMYFUNCTION("""COMPUTED_VALUE"""),0.972503617945007)</f>
        <v>0.9725036179</v>
      </c>
      <c r="F84" s="8">
        <f>IFERROR(__xludf.DUMMYFUNCTION("""COMPUTED_VALUE"""),0.743849493487699)</f>
        <v>0.7438494935</v>
      </c>
      <c r="G84" s="8">
        <f>IFERROR(__xludf.DUMMYFUNCTION("""COMPUTED_VALUE"""),0.680173661360347)</f>
        <v>0.6801736614</v>
      </c>
      <c r="H84" s="8">
        <f>IFERROR(__xludf.DUMMYFUNCTION("""COMPUTED_VALUE"""),0.637155297532656)</f>
        <v>0.6371552975</v>
      </c>
      <c r="I84" s="8">
        <f>IFERROR(__xludf.DUMMYFUNCTION("""COMPUTED_VALUE"""),0.58055152394775)</f>
        <v>0.5805515239</v>
      </c>
      <c r="J84" s="8">
        <f>IFERROR(__xludf.DUMMYFUNCTION("""COMPUTED_VALUE"""),0.55813953488372)</f>
        <v>0.5581395349</v>
      </c>
      <c r="K84" s="8">
        <f>IFERROR(__xludf.DUMMYFUNCTION("""COMPUTED_VALUE"""),0.524709302325581)</f>
        <v>0.5247093023</v>
      </c>
      <c r="L84" s="8">
        <f>IFERROR(__xludf.DUMMYFUNCTION("""COMPUTED_VALUE"""),0.518195050946142)</f>
        <v>0.5181950509</v>
      </c>
      <c r="M84" s="8">
        <f>IFERROR(__xludf.DUMMYFUNCTION("""COMPUTED_VALUE"""),0.512372634643377)</f>
        <v>0.5123726346</v>
      </c>
      <c r="N84" s="8">
        <f>IFERROR(__xludf.DUMMYFUNCTION("""COMPUTED_VALUE"""),0.486880466472303)</f>
        <v>0.4868804665</v>
      </c>
      <c r="O84" s="8">
        <f>IFERROR(__xludf.DUMMYFUNCTION("""COMPUTED_VALUE"""),0.418639053254437)</f>
        <v>0.4186390533</v>
      </c>
      <c r="P84" s="8">
        <f>IFERROR(__xludf.DUMMYFUNCTION("""COMPUTED_VALUE"""),0.318385650224215)</f>
        <v>0.3183856502</v>
      </c>
      <c r="Q84" s="8">
        <f>IFERROR(__xludf.DUMMYFUNCTION("""COMPUTED_VALUE"""),0.197635135135135)</f>
        <v>0.1976351351</v>
      </c>
      <c r="R84" s="8">
        <f>IFERROR(__xludf.DUMMYFUNCTION("""COMPUTED_VALUE"""),0.137630662020905)</f>
        <v>0.137630662</v>
      </c>
      <c r="S84" s="8">
        <f>IFERROR(__xludf.DUMMYFUNCTION("""COMPUTED_VALUE"""),0.0)</f>
        <v>0</v>
      </c>
      <c r="T84" s="8">
        <f>IFERROR(__xludf.DUMMYFUNCTION("""COMPUTED_VALUE"""),0.0)</f>
        <v>0</v>
      </c>
      <c r="U84" s="8">
        <f>IFERROR(__xludf.DUMMYFUNCTION("""COMPUTED_VALUE"""),0.0)</f>
        <v>0</v>
      </c>
      <c r="V84" s="8">
        <f>IFERROR(__xludf.DUMMYFUNCTION("""COMPUTED_VALUE"""),0.0)</f>
        <v>0</v>
      </c>
      <c r="W84" s="8">
        <f>IFERROR(__xludf.DUMMYFUNCTION("""COMPUTED_VALUE"""),0.0)</f>
        <v>0</v>
      </c>
      <c r="X84" s="8">
        <f>IFERROR(__xludf.DUMMYFUNCTION("""COMPUTED_VALUE"""),0.0)</f>
        <v>0</v>
      </c>
      <c r="Y84" s="8">
        <f>IFERROR(__xludf.DUMMYFUNCTION("""COMPUTED_VALUE"""),0.0)</f>
        <v>0</v>
      </c>
      <c r="Z84" s="8">
        <f>IFERROR(__xludf.DUMMYFUNCTION("""COMPUTED_VALUE"""),0.0)</f>
        <v>0</v>
      </c>
      <c r="AA84" s="8">
        <f>IFERROR(__xludf.DUMMYFUNCTION("""COMPUTED_VALUE"""),0.0)</f>
        <v>0</v>
      </c>
      <c r="AB84" s="8">
        <f>IFERROR(__xludf.DUMMYFUNCTION("""COMPUTED_VALUE"""),0.0)</f>
        <v>0</v>
      </c>
      <c r="AC84" s="8">
        <f>IFERROR(__xludf.DUMMYFUNCTION("""COMPUTED_VALUE"""),0.0)</f>
        <v>0</v>
      </c>
    </row>
    <row r="85" ht="15.75" customHeight="1">
      <c r="A85" s="6" t="str">
        <f>IFERROR(__xludf.DUMMYFUNCTION("""COMPUTED_VALUE"""),"4a310051c4c56c2fab46c3a7f528a09901399ecd")</f>
        <v>4a310051c4c56c2fab46c3a7f528a09901399ecd</v>
      </c>
      <c r="B85" s="6" t="str">
        <f>IFERROR(__xludf.DUMMYFUNCTION("""COMPUTED_VALUE"""),"Strongest Warlock ")</f>
        <v>Strongest Warlock </v>
      </c>
      <c r="C85" s="6" t="str">
        <f>IFERROR(__xludf.DUMMYFUNCTION("""COMPUTED_VALUE"""),"Fantasy")</f>
        <v>Fantasy</v>
      </c>
      <c r="D85" s="11">
        <f>IFERROR(__xludf.DUMMYFUNCTION("""COMPUTED_VALUE"""),5991.0)</f>
        <v>5991</v>
      </c>
      <c r="E85" s="8">
        <f>IFERROR(__xludf.DUMMYFUNCTION("""COMPUTED_VALUE"""),0.962109831413787)</f>
        <v>0.9621098314</v>
      </c>
      <c r="F85" s="8">
        <f>IFERROR(__xludf.DUMMYFUNCTION("""COMPUTED_VALUE"""),0.57920213653814)</f>
        <v>0.5792021365</v>
      </c>
      <c r="G85" s="8">
        <f>IFERROR(__xludf.DUMMYFUNCTION("""COMPUTED_VALUE"""),0.528960106826907)</f>
        <v>0.5289601068</v>
      </c>
      <c r="H85" s="8">
        <f>IFERROR(__xludf.DUMMYFUNCTION("""COMPUTED_VALUE"""),0.498662654630558)</f>
        <v>0.4986626546</v>
      </c>
      <c r="I85" s="8">
        <f>IFERROR(__xludf.DUMMYFUNCTION("""COMPUTED_VALUE"""),0.474899598393574)</f>
        <v>0.4748995984</v>
      </c>
      <c r="J85" s="8">
        <f>IFERROR(__xludf.DUMMYFUNCTION("""COMPUTED_VALUE"""),0.456343221049103)</f>
        <v>0.456343221</v>
      </c>
      <c r="K85" s="8">
        <f>IFERROR(__xludf.DUMMYFUNCTION("""COMPUTED_VALUE"""),0.431208053691275)</f>
        <v>0.4312080537</v>
      </c>
      <c r="L85" s="8">
        <f>IFERROR(__xludf.DUMMYFUNCTION("""COMPUTED_VALUE"""),0.419371111484782)</f>
        <v>0.4193711115</v>
      </c>
      <c r="M85" s="8">
        <f>IFERROR(__xludf.DUMMYFUNCTION("""COMPUTED_VALUE"""),0.406902356902356)</f>
        <v>0.4069023569</v>
      </c>
      <c r="N85" s="8">
        <f>IFERROR(__xludf.DUMMYFUNCTION("""COMPUTED_VALUE"""),0.396522619851451)</f>
        <v>0.3965226199</v>
      </c>
      <c r="O85" s="8">
        <f>IFERROR(__xludf.DUMMYFUNCTION("""COMPUTED_VALUE"""),0.354184421339696)</f>
        <v>0.3541844213</v>
      </c>
      <c r="P85" s="8">
        <f>IFERROR(__xludf.DUMMYFUNCTION("""COMPUTED_VALUE"""),0.311571675302245)</f>
        <v>0.3115716753</v>
      </c>
      <c r="Q85" s="8">
        <f>IFERROR(__xludf.DUMMYFUNCTION("""COMPUTED_VALUE"""),0.233812311513216)</f>
        <v>0.2338123115</v>
      </c>
      <c r="R85" s="8">
        <f>IFERROR(__xludf.DUMMYFUNCTION("""COMPUTED_VALUE"""),0.195452084461288)</f>
        <v>0.1954520845</v>
      </c>
      <c r="S85" s="8">
        <f>IFERROR(__xludf.DUMMYFUNCTION("""COMPUTED_VALUE"""),0.167516387472687)</f>
        <v>0.1675163875</v>
      </c>
      <c r="T85" s="8">
        <f>IFERROR(__xludf.DUMMYFUNCTION("""COMPUTED_VALUE"""),0.146656815663095)</f>
        <v>0.1466568157</v>
      </c>
      <c r="U85" s="8">
        <f>IFERROR(__xludf.DUMMYFUNCTION("""COMPUTED_VALUE"""),0.135770234986945)</f>
        <v>0.135770235</v>
      </c>
      <c r="V85" s="8">
        <f>IFERROR(__xludf.DUMMYFUNCTION("""COMPUTED_VALUE"""),0.126299867649839)</f>
        <v>0.1262998676</v>
      </c>
      <c r="W85" s="8">
        <f>IFERROR(__xludf.DUMMYFUNCTION("""COMPUTED_VALUE"""),0.115369873514756)</f>
        <v>0.1153698735</v>
      </c>
      <c r="X85" s="8">
        <f>IFERROR(__xludf.DUMMYFUNCTION("""COMPUTED_VALUE"""),0.100292682926829)</f>
        <v>0.1002926829</v>
      </c>
      <c r="Y85" s="8">
        <f>IFERROR(__xludf.DUMMYFUNCTION("""COMPUTED_VALUE"""),0.0704169160183522)</f>
        <v>0.07041691602</v>
      </c>
      <c r="Z85" s="8">
        <f>IFERROR(__xludf.DUMMYFUNCTION("""COMPUTED_VALUE"""),0.0100616016427104)</f>
        <v>0.01006160164</v>
      </c>
      <c r="AA85" s="8">
        <f>IFERROR(__xludf.DUMMYFUNCTION("""COMPUTED_VALUE"""),0.0)</f>
        <v>0</v>
      </c>
      <c r="AB85" s="8">
        <f>IFERROR(__xludf.DUMMYFUNCTION("""COMPUTED_VALUE"""),0.0)</f>
        <v>0</v>
      </c>
      <c r="AC85" s="8">
        <f>IFERROR(__xludf.DUMMYFUNCTION("""COMPUTED_VALUE"""),0.0)</f>
        <v>0</v>
      </c>
    </row>
    <row r="86" ht="15.75" customHeight="1">
      <c r="A86" s="6" t="str">
        <f>IFERROR(__xludf.DUMMYFUNCTION("""COMPUTED_VALUE"""),"4b2d918a2f639175cf29754151e058356b36f273")</f>
        <v>4b2d918a2f639175cf29754151e058356b36f273</v>
      </c>
      <c r="B86" s="6" t="str">
        <f>IFERROR(__xludf.DUMMYFUNCTION("""COMPUTED_VALUE"""),"Surviving Zombies Rising")</f>
        <v>Surviving Zombies Rising</v>
      </c>
      <c r="C86" s="6" t="str">
        <f>IFERROR(__xludf.DUMMYFUNCTION("""COMPUTED_VALUE"""),"Sci-Fi")</f>
        <v>Sci-Fi</v>
      </c>
      <c r="D86" s="11">
        <f>IFERROR(__xludf.DUMMYFUNCTION("""COMPUTED_VALUE"""),46.0)</f>
        <v>46</v>
      </c>
      <c r="E86" s="8">
        <f>IFERROR(__xludf.DUMMYFUNCTION("""COMPUTED_VALUE"""),0.956521739130434)</f>
        <v>0.9565217391</v>
      </c>
      <c r="F86" s="8">
        <f>IFERROR(__xludf.DUMMYFUNCTION("""COMPUTED_VALUE"""),0.58695652173913)</f>
        <v>0.5869565217</v>
      </c>
      <c r="G86" s="8">
        <f>IFERROR(__xludf.DUMMYFUNCTION("""COMPUTED_VALUE"""),0.456521739130434)</f>
        <v>0.4565217391</v>
      </c>
      <c r="H86" s="8">
        <f>IFERROR(__xludf.DUMMYFUNCTION("""COMPUTED_VALUE"""),0.422222222222222)</f>
        <v>0.4222222222</v>
      </c>
      <c r="I86" s="8">
        <f>IFERROR(__xludf.DUMMYFUNCTION("""COMPUTED_VALUE"""),0.333333333333333)</f>
        <v>0.3333333333</v>
      </c>
      <c r="J86" s="8">
        <f>IFERROR(__xludf.DUMMYFUNCTION("""COMPUTED_VALUE"""),0.325)</f>
        <v>0.325</v>
      </c>
      <c r="K86" s="8">
        <f>IFERROR(__xludf.DUMMYFUNCTION("""COMPUTED_VALUE"""),0.35)</f>
        <v>0.35</v>
      </c>
      <c r="L86" s="8">
        <f>IFERROR(__xludf.DUMMYFUNCTION("""COMPUTED_VALUE"""),0.3)</f>
        <v>0.3</v>
      </c>
      <c r="M86" s="8">
        <f>IFERROR(__xludf.DUMMYFUNCTION("""COMPUTED_VALUE"""),0.3)</f>
        <v>0.3</v>
      </c>
      <c r="N86" s="8">
        <f>IFERROR(__xludf.DUMMYFUNCTION("""COMPUTED_VALUE"""),0.275)</f>
        <v>0.275</v>
      </c>
      <c r="O86" s="8">
        <f>IFERROR(__xludf.DUMMYFUNCTION("""COMPUTED_VALUE"""),0.263157894736842)</f>
        <v>0.2631578947</v>
      </c>
      <c r="P86" s="8">
        <f>IFERROR(__xludf.DUMMYFUNCTION("""COMPUTED_VALUE"""),0.258064516129032)</f>
        <v>0.2580645161</v>
      </c>
      <c r="Q86" s="8">
        <f>IFERROR(__xludf.DUMMYFUNCTION("""COMPUTED_VALUE"""),0.277777777777777)</f>
        <v>0.2777777778</v>
      </c>
      <c r="R86" s="8">
        <f>IFERROR(__xludf.DUMMYFUNCTION("""COMPUTED_VALUE"""),0.0)</f>
        <v>0</v>
      </c>
      <c r="S86" s="8">
        <f>IFERROR(__xludf.DUMMYFUNCTION("""COMPUTED_VALUE"""),0.0)</f>
        <v>0</v>
      </c>
      <c r="T86" s="8">
        <f>IFERROR(__xludf.DUMMYFUNCTION("""COMPUTED_VALUE"""),0.0)</f>
        <v>0</v>
      </c>
      <c r="U86" s="8">
        <f>IFERROR(__xludf.DUMMYFUNCTION("""COMPUTED_VALUE"""),0.0)</f>
        <v>0</v>
      </c>
      <c r="V86" s="8">
        <f>IFERROR(__xludf.DUMMYFUNCTION("""COMPUTED_VALUE"""),0.0)</f>
        <v>0</v>
      </c>
      <c r="W86" s="8">
        <f>IFERROR(__xludf.DUMMYFUNCTION("""COMPUTED_VALUE"""),0.0)</f>
        <v>0</v>
      </c>
      <c r="X86" s="8">
        <f>IFERROR(__xludf.DUMMYFUNCTION("""COMPUTED_VALUE"""),0.0)</f>
        <v>0</v>
      </c>
      <c r="Y86" s="8">
        <f>IFERROR(__xludf.DUMMYFUNCTION("""COMPUTED_VALUE"""),0.0)</f>
        <v>0</v>
      </c>
      <c r="Z86" s="8">
        <f>IFERROR(__xludf.DUMMYFUNCTION("""COMPUTED_VALUE"""),0.0)</f>
        <v>0</v>
      </c>
      <c r="AA86" s="8">
        <f>IFERROR(__xludf.DUMMYFUNCTION("""COMPUTED_VALUE"""),0.0)</f>
        <v>0</v>
      </c>
      <c r="AB86" s="8">
        <f>IFERROR(__xludf.DUMMYFUNCTION("""COMPUTED_VALUE"""),0.0)</f>
        <v>0</v>
      </c>
      <c r="AC86" s="8">
        <f>IFERROR(__xludf.DUMMYFUNCTION("""COMPUTED_VALUE"""),0.0)</f>
        <v>0</v>
      </c>
    </row>
    <row r="87" ht="15.75" customHeight="1">
      <c r="A87" s="6" t="str">
        <f>IFERROR(__xludf.DUMMYFUNCTION("""COMPUTED_VALUE"""),"4bb85319b3dd3ab4ec654bdd13098e3f37cb3e3b")</f>
        <v>4bb85319b3dd3ab4ec654bdd13098e3f37cb3e3b</v>
      </c>
      <c r="B87" s="6" t="str">
        <f>IFERROR(__xludf.DUMMYFUNCTION("""COMPUTED_VALUE"""),"Shadowed Wealth")</f>
        <v>Shadowed Wealth</v>
      </c>
      <c r="C87" s="6" t="str">
        <f>IFERROR(__xludf.DUMMYFUNCTION("""COMPUTED_VALUE"""),"System and Superpower")</f>
        <v>System and Superpower</v>
      </c>
      <c r="D87" s="11">
        <f>IFERROR(__xludf.DUMMYFUNCTION("""COMPUTED_VALUE"""),42.0)</f>
        <v>42</v>
      </c>
      <c r="E87" s="8">
        <f>IFERROR(__xludf.DUMMYFUNCTION("""COMPUTED_VALUE"""),0.928571428571428)</f>
        <v>0.9285714286</v>
      </c>
      <c r="F87" s="8">
        <f>IFERROR(__xludf.DUMMYFUNCTION("""COMPUTED_VALUE"""),0.619047619047619)</f>
        <v>0.619047619</v>
      </c>
      <c r="G87" s="8">
        <f>IFERROR(__xludf.DUMMYFUNCTION("""COMPUTED_VALUE"""),0.571428571428571)</f>
        <v>0.5714285714</v>
      </c>
      <c r="H87" s="8">
        <f>IFERROR(__xludf.DUMMYFUNCTION("""COMPUTED_VALUE"""),0.547619047619047)</f>
        <v>0.5476190476</v>
      </c>
      <c r="I87" s="8">
        <f>IFERROR(__xludf.DUMMYFUNCTION("""COMPUTED_VALUE"""),0.5)</f>
        <v>0.5</v>
      </c>
      <c r="J87" s="8">
        <f>IFERROR(__xludf.DUMMYFUNCTION("""COMPUTED_VALUE"""),0.428571428571428)</f>
        <v>0.4285714286</v>
      </c>
      <c r="K87" s="8">
        <f>IFERROR(__xludf.DUMMYFUNCTION("""COMPUTED_VALUE"""),0.452380952380952)</f>
        <v>0.4523809524</v>
      </c>
      <c r="L87" s="8">
        <f>IFERROR(__xludf.DUMMYFUNCTION("""COMPUTED_VALUE"""),0.38095238095238)</f>
        <v>0.380952381</v>
      </c>
      <c r="M87" s="8">
        <f>IFERROR(__xludf.DUMMYFUNCTION("""COMPUTED_VALUE"""),0.38095238095238)</f>
        <v>0.380952381</v>
      </c>
      <c r="N87" s="8">
        <f>IFERROR(__xludf.DUMMYFUNCTION("""COMPUTED_VALUE"""),0.38095238095238)</f>
        <v>0.380952381</v>
      </c>
      <c r="O87" s="8">
        <f>IFERROR(__xludf.DUMMYFUNCTION("""COMPUTED_VALUE"""),0.261904761904761)</f>
        <v>0.2619047619</v>
      </c>
      <c r="P87" s="8">
        <f>IFERROR(__xludf.DUMMYFUNCTION("""COMPUTED_VALUE"""),0.24390243902439)</f>
        <v>0.243902439</v>
      </c>
      <c r="Q87" s="8">
        <f>IFERROR(__xludf.DUMMYFUNCTION("""COMPUTED_VALUE"""),0.125)</f>
        <v>0.125</v>
      </c>
      <c r="R87" s="8">
        <f>IFERROR(__xludf.DUMMYFUNCTION("""COMPUTED_VALUE"""),0.0)</f>
        <v>0</v>
      </c>
      <c r="S87" s="8">
        <f>IFERROR(__xludf.DUMMYFUNCTION("""COMPUTED_VALUE"""),0.0)</f>
        <v>0</v>
      </c>
      <c r="T87" s="8">
        <f>IFERROR(__xludf.DUMMYFUNCTION("""COMPUTED_VALUE"""),0.0)</f>
        <v>0</v>
      </c>
      <c r="U87" s="8">
        <f>IFERROR(__xludf.DUMMYFUNCTION("""COMPUTED_VALUE"""),0.0)</f>
        <v>0</v>
      </c>
      <c r="V87" s="8">
        <f>IFERROR(__xludf.DUMMYFUNCTION("""COMPUTED_VALUE"""),0.0)</f>
        <v>0</v>
      </c>
      <c r="W87" s="8">
        <f>IFERROR(__xludf.DUMMYFUNCTION("""COMPUTED_VALUE"""),0.0)</f>
        <v>0</v>
      </c>
      <c r="X87" s="8">
        <f>IFERROR(__xludf.DUMMYFUNCTION("""COMPUTED_VALUE"""),0.0)</f>
        <v>0</v>
      </c>
      <c r="Y87" s="8">
        <f>IFERROR(__xludf.DUMMYFUNCTION("""COMPUTED_VALUE"""),0.0)</f>
        <v>0</v>
      </c>
      <c r="Z87" s="8">
        <f>IFERROR(__xludf.DUMMYFUNCTION("""COMPUTED_VALUE"""),0.0)</f>
        <v>0</v>
      </c>
      <c r="AA87" s="8">
        <f>IFERROR(__xludf.DUMMYFUNCTION("""COMPUTED_VALUE"""),0.0)</f>
        <v>0</v>
      </c>
      <c r="AB87" s="8">
        <f>IFERROR(__xludf.DUMMYFUNCTION("""COMPUTED_VALUE"""),0.0)</f>
        <v>0</v>
      </c>
      <c r="AC87" s="8">
        <f>IFERROR(__xludf.DUMMYFUNCTION("""COMPUTED_VALUE"""),0.0)</f>
        <v>0</v>
      </c>
    </row>
    <row r="88" ht="15.75" customHeight="1">
      <c r="A88" s="6" t="str">
        <f>IFERROR(__xludf.DUMMYFUNCTION("""COMPUTED_VALUE"""),"4c43207d3f7885c90d8aaafbb8952de80561f21d")</f>
        <v>4c43207d3f7885c90d8aaafbb8952de80561f21d</v>
      </c>
      <c r="B88" s="6" t="str">
        <f>IFERROR(__xludf.DUMMYFUNCTION("""COMPUTED_VALUE"""),"The Boss &amp; His Fake Wife")</f>
        <v>The Boss &amp; His Fake Wife</v>
      </c>
      <c r="C88" s="6" t="str">
        <f>IFERROR(__xludf.DUMMYFUNCTION("""COMPUTED_VALUE"""),"Romance")</f>
        <v>Romance</v>
      </c>
      <c r="D88" s="11">
        <f>IFERROR(__xludf.DUMMYFUNCTION("""COMPUTED_VALUE"""),38.0)</f>
        <v>38</v>
      </c>
      <c r="E88" s="8">
        <f>IFERROR(__xludf.DUMMYFUNCTION("""COMPUTED_VALUE"""),0.973684210526315)</f>
        <v>0.9736842105</v>
      </c>
      <c r="F88" s="8">
        <f>IFERROR(__xludf.DUMMYFUNCTION("""COMPUTED_VALUE"""),0.5)</f>
        <v>0.5</v>
      </c>
      <c r="G88" s="8">
        <f>IFERROR(__xludf.DUMMYFUNCTION("""COMPUTED_VALUE"""),0.5)</f>
        <v>0.5</v>
      </c>
      <c r="H88" s="8">
        <f>IFERROR(__xludf.DUMMYFUNCTION("""COMPUTED_VALUE"""),0.447368421052631)</f>
        <v>0.4473684211</v>
      </c>
      <c r="I88" s="8">
        <f>IFERROR(__xludf.DUMMYFUNCTION("""COMPUTED_VALUE"""),0.421052631578947)</f>
        <v>0.4210526316</v>
      </c>
      <c r="J88" s="8">
        <f>IFERROR(__xludf.DUMMYFUNCTION("""COMPUTED_VALUE"""),0.388888888888888)</f>
        <v>0.3888888889</v>
      </c>
      <c r="K88" s="8">
        <f>IFERROR(__xludf.DUMMYFUNCTION("""COMPUTED_VALUE"""),0.388888888888888)</f>
        <v>0.3888888889</v>
      </c>
      <c r="L88" s="8">
        <f>IFERROR(__xludf.DUMMYFUNCTION("""COMPUTED_VALUE"""),0.371428571428571)</f>
        <v>0.3714285714</v>
      </c>
      <c r="M88" s="8">
        <f>IFERROR(__xludf.DUMMYFUNCTION("""COMPUTED_VALUE"""),0.352941176470588)</f>
        <v>0.3529411765</v>
      </c>
      <c r="N88" s="8">
        <f>IFERROR(__xludf.DUMMYFUNCTION("""COMPUTED_VALUE"""),0.333333333333333)</f>
        <v>0.3333333333</v>
      </c>
      <c r="O88" s="8">
        <f>IFERROR(__xludf.DUMMYFUNCTION("""COMPUTED_VALUE"""),0.3)</f>
        <v>0.3</v>
      </c>
      <c r="P88" s="8">
        <f>IFERROR(__xludf.DUMMYFUNCTION("""COMPUTED_VALUE"""),0.0)</f>
        <v>0</v>
      </c>
      <c r="Q88" s="8">
        <f>IFERROR(__xludf.DUMMYFUNCTION("""COMPUTED_VALUE"""),0.0)</f>
        <v>0</v>
      </c>
      <c r="R88" s="8">
        <f>IFERROR(__xludf.DUMMYFUNCTION("""COMPUTED_VALUE"""),0.0)</f>
        <v>0</v>
      </c>
      <c r="S88" s="8">
        <f>IFERROR(__xludf.DUMMYFUNCTION("""COMPUTED_VALUE"""),0.0)</f>
        <v>0</v>
      </c>
      <c r="T88" s="8">
        <f>IFERROR(__xludf.DUMMYFUNCTION("""COMPUTED_VALUE"""),0.0)</f>
        <v>0</v>
      </c>
      <c r="U88" s="8">
        <f>IFERROR(__xludf.DUMMYFUNCTION("""COMPUTED_VALUE"""),0.0)</f>
        <v>0</v>
      </c>
      <c r="V88" s="8">
        <f>IFERROR(__xludf.DUMMYFUNCTION("""COMPUTED_VALUE"""),0.0)</f>
        <v>0</v>
      </c>
      <c r="W88" s="8">
        <f>IFERROR(__xludf.DUMMYFUNCTION("""COMPUTED_VALUE"""),0.0)</f>
        <v>0</v>
      </c>
      <c r="X88" s="8">
        <f>IFERROR(__xludf.DUMMYFUNCTION("""COMPUTED_VALUE"""),0.0)</f>
        <v>0</v>
      </c>
      <c r="Y88" s="8">
        <f>IFERROR(__xludf.DUMMYFUNCTION("""COMPUTED_VALUE"""),0.0)</f>
        <v>0</v>
      </c>
      <c r="Z88" s="8">
        <f>IFERROR(__xludf.DUMMYFUNCTION("""COMPUTED_VALUE"""),0.0)</f>
        <v>0</v>
      </c>
      <c r="AA88" s="8">
        <f>IFERROR(__xludf.DUMMYFUNCTION("""COMPUTED_VALUE"""),0.0)</f>
        <v>0</v>
      </c>
      <c r="AB88" s="8">
        <f>IFERROR(__xludf.DUMMYFUNCTION("""COMPUTED_VALUE"""),0.0)</f>
        <v>0</v>
      </c>
      <c r="AC88" s="8">
        <f>IFERROR(__xludf.DUMMYFUNCTION("""COMPUTED_VALUE"""),0.0)</f>
        <v>0</v>
      </c>
    </row>
    <row r="89" ht="15.75" customHeight="1">
      <c r="A89" s="6" t="str">
        <f>IFERROR(__xludf.DUMMYFUNCTION("""COMPUTED_VALUE"""),"4d01d84cdfff217f33b380cdb07a2a1c706749ea")</f>
        <v>4d01d84cdfff217f33b380cdb07a2a1c706749ea</v>
      </c>
      <c r="B89" s="6" t="str">
        <f>IFERROR(__xludf.DUMMYFUNCTION("""COMPUTED_VALUE"""),"The Fifth Bride")</f>
        <v>The Fifth Bride</v>
      </c>
      <c r="C89" s="6" t="str">
        <f>IFERROR(__xludf.DUMMYFUNCTION("""COMPUTED_VALUE"""),"Suspense or Thriller")</f>
        <v>Suspense or Thriller</v>
      </c>
      <c r="D89" s="11">
        <f>IFERROR(__xludf.DUMMYFUNCTION("""COMPUTED_VALUE"""),129.0)</f>
        <v>129</v>
      </c>
      <c r="E89" s="8">
        <f>IFERROR(__xludf.DUMMYFUNCTION("""COMPUTED_VALUE"""),0.930232558139534)</f>
        <v>0.9302325581</v>
      </c>
      <c r="F89" s="8">
        <f>IFERROR(__xludf.DUMMYFUNCTION("""COMPUTED_VALUE"""),0.573643410852713)</f>
        <v>0.5736434109</v>
      </c>
      <c r="G89" s="8">
        <f>IFERROR(__xludf.DUMMYFUNCTION("""COMPUTED_VALUE"""),0.488372093023255)</f>
        <v>0.488372093</v>
      </c>
      <c r="H89" s="8">
        <f>IFERROR(__xludf.DUMMYFUNCTION("""COMPUTED_VALUE"""),0.449612403100775)</f>
        <v>0.4496124031</v>
      </c>
      <c r="I89" s="8">
        <f>IFERROR(__xludf.DUMMYFUNCTION("""COMPUTED_VALUE"""),0.434108527131782)</f>
        <v>0.4341085271</v>
      </c>
      <c r="J89" s="8">
        <f>IFERROR(__xludf.DUMMYFUNCTION("""COMPUTED_VALUE"""),0.426356589147286)</f>
        <v>0.4263565891</v>
      </c>
      <c r="K89" s="8">
        <f>IFERROR(__xludf.DUMMYFUNCTION("""COMPUTED_VALUE"""),0.395348837209302)</f>
        <v>0.3953488372</v>
      </c>
      <c r="L89" s="8">
        <f>IFERROR(__xludf.DUMMYFUNCTION("""COMPUTED_VALUE"""),0.348837209302325)</f>
        <v>0.3488372093</v>
      </c>
      <c r="M89" s="8">
        <f>IFERROR(__xludf.DUMMYFUNCTION("""COMPUTED_VALUE"""),0.364341085271317)</f>
        <v>0.3643410853</v>
      </c>
      <c r="N89" s="8">
        <f>IFERROR(__xludf.DUMMYFUNCTION("""COMPUTED_VALUE"""),0.310077519379844)</f>
        <v>0.3100775194</v>
      </c>
      <c r="O89" s="8">
        <f>IFERROR(__xludf.DUMMYFUNCTION("""COMPUTED_VALUE"""),0.2734375)</f>
        <v>0.2734375</v>
      </c>
      <c r="P89" s="8">
        <f>IFERROR(__xludf.DUMMYFUNCTION("""COMPUTED_VALUE"""),0.2265625)</f>
        <v>0.2265625</v>
      </c>
      <c r="Q89" s="8">
        <f>IFERROR(__xludf.DUMMYFUNCTION("""COMPUTED_VALUE"""),0.0918367346938775)</f>
        <v>0.09183673469</v>
      </c>
      <c r="R89" s="8">
        <f>IFERROR(__xludf.DUMMYFUNCTION("""COMPUTED_VALUE"""),0.0)</f>
        <v>0</v>
      </c>
      <c r="S89" s="8">
        <f>IFERROR(__xludf.DUMMYFUNCTION("""COMPUTED_VALUE"""),0.0)</f>
        <v>0</v>
      </c>
      <c r="T89" s="8">
        <f>IFERROR(__xludf.DUMMYFUNCTION("""COMPUTED_VALUE"""),0.0)</f>
        <v>0</v>
      </c>
      <c r="U89" s="8">
        <f>IFERROR(__xludf.DUMMYFUNCTION("""COMPUTED_VALUE"""),0.0)</f>
        <v>0</v>
      </c>
      <c r="V89" s="8">
        <f>IFERROR(__xludf.DUMMYFUNCTION("""COMPUTED_VALUE"""),0.0)</f>
        <v>0</v>
      </c>
      <c r="W89" s="8">
        <f>IFERROR(__xludf.DUMMYFUNCTION("""COMPUTED_VALUE"""),0.0)</f>
        <v>0</v>
      </c>
      <c r="X89" s="8">
        <f>IFERROR(__xludf.DUMMYFUNCTION("""COMPUTED_VALUE"""),0.0)</f>
        <v>0</v>
      </c>
      <c r="Y89" s="8">
        <f>IFERROR(__xludf.DUMMYFUNCTION("""COMPUTED_VALUE"""),0.0)</f>
        <v>0</v>
      </c>
      <c r="Z89" s="8">
        <f>IFERROR(__xludf.DUMMYFUNCTION("""COMPUTED_VALUE"""),0.0)</f>
        <v>0</v>
      </c>
      <c r="AA89" s="8">
        <f>IFERROR(__xludf.DUMMYFUNCTION("""COMPUTED_VALUE"""),0.0)</f>
        <v>0</v>
      </c>
      <c r="AB89" s="8">
        <f>IFERROR(__xludf.DUMMYFUNCTION("""COMPUTED_VALUE"""),0.0)</f>
        <v>0</v>
      </c>
      <c r="AC89" s="8">
        <f>IFERROR(__xludf.DUMMYFUNCTION("""COMPUTED_VALUE"""),0.0)</f>
        <v>0</v>
      </c>
    </row>
    <row r="90" ht="15.75" customHeight="1">
      <c r="A90" s="6" t="str">
        <f>IFERROR(__xludf.DUMMYFUNCTION("""COMPUTED_VALUE"""),"4d887dec2a071a00150fdcd6417f16bcaf5f02b0")</f>
        <v>4d887dec2a071a00150fdcd6417f16bcaf5f02b0</v>
      </c>
      <c r="B90" s="6" t="str">
        <f>IFERROR(__xludf.DUMMYFUNCTION("""COMPUTED_VALUE"""),"Loving Nathaniel Hawthorne: The Billionaire Playboy")</f>
        <v>Loving Nathaniel Hawthorne: The Billionaire Playboy</v>
      </c>
      <c r="C90" s="6" t="str">
        <f>IFERROR(__xludf.DUMMYFUNCTION("""COMPUTED_VALUE"""),"Romance")</f>
        <v>Romance</v>
      </c>
      <c r="D90" s="11">
        <f>IFERROR(__xludf.DUMMYFUNCTION("""COMPUTED_VALUE"""),6603.0)</f>
        <v>6603</v>
      </c>
      <c r="E90" s="8">
        <f>IFERROR(__xludf.DUMMYFUNCTION("""COMPUTED_VALUE"""),0.921399363925488)</f>
        <v>0.9213993639</v>
      </c>
      <c r="F90" s="8">
        <f>IFERROR(__xludf.DUMMYFUNCTION("""COMPUTED_VALUE"""),0.570801150991973)</f>
        <v>0.570801151</v>
      </c>
      <c r="G90" s="8">
        <f>IFERROR(__xludf.DUMMYFUNCTION("""COMPUTED_VALUE"""),0.527033166742389)</f>
        <v>0.5270331667</v>
      </c>
      <c r="H90" s="8">
        <f>IFERROR(__xludf.DUMMYFUNCTION("""COMPUTED_VALUE"""),0.502726446531354)</f>
        <v>0.5027264465</v>
      </c>
      <c r="I90" s="8">
        <f>IFERROR(__xludf.DUMMYFUNCTION("""COMPUTED_VALUE"""),0.481139221330101)</f>
        <v>0.4811392213</v>
      </c>
      <c r="J90" s="8">
        <f>IFERROR(__xludf.DUMMYFUNCTION("""COMPUTED_VALUE"""),0.469161994241551)</f>
        <v>0.4691619942</v>
      </c>
      <c r="K90" s="8">
        <f>IFERROR(__xludf.DUMMYFUNCTION("""COMPUTED_VALUE"""),0.452864504395271)</f>
        <v>0.4528645044</v>
      </c>
      <c r="L90" s="8">
        <f>IFERROR(__xludf.DUMMYFUNCTION("""COMPUTED_VALUE"""),0.446095526914329)</f>
        <v>0.4460955269</v>
      </c>
      <c r="M90" s="8">
        <f>IFERROR(__xludf.DUMMYFUNCTION("""COMPUTED_VALUE"""),0.440400363967242)</f>
        <v>0.440400364</v>
      </c>
      <c r="N90" s="8">
        <f>IFERROR(__xludf.DUMMYFUNCTION("""COMPUTED_VALUE"""),0.433990895295902)</f>
        <v>0.4339908953</v>
      </c>
      <c r="O90" s="8">
        <f>IFERROR(__xludf.DUMMYFUNCTION("""COMPUTED_VALUE"""),0.411273169249468)</f>
        <v>0.4112731692</v>
      </c>
      <c r="P90" s="8">
        <f>IFERROR(__xludf.DUMMYFUNCTION("""COMPUTED_VALUE"""),0.359056316590563)</f>
        <v>0.3590563166</v>
      </c>
      <c r="Q90" s="8">
        <f>IFERROR(__xludf.DUMMYFUNCTION("""COMPUTED_VALUE"""),0.268497330282227)</f>
        <v>0.2684973303</v>
      </c>
      <c r="R90" s="8">
        <f>IFERROR(__xludf.DUMMYFUNCTION("""COMPUTED_VALUE"""),0.213991140980601)</f>
        <v>0.213991141</v>
      </c>
      <c r="S90" s="8">
        <f>IFERROR(__xludf.DUMMYFUNCTION("""COMPUTED_VALUE"""),0.188904172397982)</f>
        <v>0.1889041724</v>
      </c>
      <c r="T90" s="8">
        <f>IFERROR(__xludf.DUMMYFUNCTION("""COMPUTED_VALUE"""),0.175984071067544)</f>
        <v>0.1759840711</v>
      </c>
      <c r="U90" s="8">
        <f>IFERROR(__xludf.DUMMYFUNCTION("""COMPUTED_VALUE"""),0.165771297006907)</f>
        <v>0.165771297</v>
      </c>
      <c r="V90" s="8">
        <f>IFERROR(__xludf.DUMMYFUNCTION("""COMPUTED_VALUE"""),0.155403251514185)</f>
        <v>0.1554032515</v>
      </c>
      <c r="W90" s="8">
        <f>IFERROR(__xludf.DUMMYFUNCTION("""COMPUTED_VALUE"""),0.141023289932147)</f>
        <v>0.1410232899</v>
      </c>
      <c r="X90" s="8">
        <f>IFERROR(__xludf.DUMMYFUNCTION("""COMPUTED_VALUE"""),0.130614115490375)</f>
        <v>0.1306141155</v>
      </c>
      <c r="Y90" s="8">
        <f>IFERROR(__xludf.DUMMYFUNCTION("""COMPUTED_VALUE"""),0.105074821080026)</f>
        <v>0.1050748211</v>
      </c>
      <c r="Z90" s="8">
        <f>IFERROR(__xludf.DUMMYFUNCTION("""COMPUTED_VALUE"""),0.079018028385117)</f>
        <v>0.07901802839</v>
      </c>
      <c r="AA90" s="8">
        <f>IFERROR(__xludf.DUMMYFUNCTION("""COMPUTED_VALUE"""),0.0)</f>
        <v>0</v>
      </c>
      <c r="AB90" s="8">
        <f>IFERROR(__xludf.DUMMYFUNCTION("""COMPUTED_VALUE"""),0.0)</f>
        <v>0</v>
      </c>
      <c r="AC90" s="8">
        <f>IFERROR(__xludf.DUMMYFUNCTION("""COMPUTED_VALUE"""),0.0)</f>
        <v>0</v>
      </c>
    </row>
    <row r="91" ht="15.75" customHeight="1">
      <c r="A91" s="6" t="str">
        <f>IFERROR(__xludf.DUMMYFUNCTION("""COMPUTED_VALUE"""),"4e3bbfc86993cf8c574bdebca34a49627f4a386a")</f>
        <v>4e3bbfc86993cf8c574bdebca34a49627f4a386a</v>
      </c>
      <c r="B91" s="6" t="str">
        <f>IFERROR(__xludf.DUMMYFUNCTION("""COMPUTED_VALUE"""),"Our Beloved Villains ")</f>
        <v>Our Beloved Villains </v>
      </c>
      <c r="C91" s="6" t="str">
        <f>IFERROR(__xludf.DUMMYFUNCTION("""COMPUTED_VALUE"""),"Fantasy")</f>
        <v>Fantasy</v>
      </c>
      <c r="D91" s="11">
        <f>IFERROR(__xludf.DUMMYFUNCTION("""COMPUTED_VALUE"""),19.0)</f>
        <v>19</v>
      </c>
      <c r="E91" s="8">
        <f>IFERROR(__xludf.DUMMYFUNCTION("""COMPUTED_VALUE"""),1.0)</f>
        <v>1</v>
      </c>
      <c r="F91" s="8">
        <f>IFERROR(__xludf.DUMMYFUNCTION("""COMPUTED_VALUE"""),0.421052631578947)</f>
        <v>0.4210526316</v>
      </c>
      <c r="G91" s="8">
        <f>IFERROR(__xludf.DUMMYFUNCTION("""COMPUTED_VALUE"""),0.31578947368421)</f>
        <v>0.3157894737</v>
      </c>
      <c r="H91" s="8">
        <f>IFERROR(__xludf.DUMMYFUNCTION("""COMPUTED_VALUE"""),0.263157894736842)</f>
        <v>0.2631578947</v>
      </c>
      <c r="I91" s="8">
        <f>IFERROR(__xludf.DUMMYFUNCTION("""COMPUTED_VALUE"""),0.263157894736842)</f>
        <v>0.2631578947</v>
      </c>
      <c r="J91" s="8">
        <f>IFERROR(__xludf.DUMMYFUNCTION("""COMPUTED_VALUE"""),0.263157894736842)</f>
        <v>0.2631578947</v>
      </c>
      <c r="K91" s="8">
        <f>IFERROR(__xludf.DUMMYFUNCTION("""COMPUTED_VALUE"""),0.263157894736842)</f>
        <v>0.2631578947</v>
      </c>
      <c r="L91" s="8">
        <f>IFERROR(__xludf.DUMMYFUNCTION("""COMPUTED_VALUE"""),0.210526315789473)</f>
        <v>0.2105263158</v>
      </c>
      <c r="M91" s="8">
        <f>IFERROR(__xludf.DUMMYFUNCTION("""COMPUTED_VALUE"""),0.105263157894736)</f>
        <v>0.1052631579</v>
      </c>
      <c r="N91" s="8">
        <f>IFERROR(__xludf.DUMMYFUNCTION("""COMPUTED_VALUE"""),0.0526315789473684)</f>
        <v>0.05263157895</v>
      </c>
      <c r="O91" s="8">
        <f>IFERROR(__xludf.DUMMYFUNCTION("""COMPUTED_VALUE"""),0.0526315789473684)</f>
        <v>0.05263157895</v>
      </c>
      <c r="P91" s="8">
        <f>IFERROR(__xludf.DUMMYFUNCTION("""COMPUTED_VALUE"""),0.0555555555555555)</f>
        <v>0.05555555556</v>
      </c>
      <c r="Q91" s="8">
        <f>IFERROR(__xludf.DUMMYFUNCTION("""COMPUTED_VALUE"""),0.0)</f>
        <v>0</v>
      </c>
      <c r="R91" s="8">
        <f>IFERROR(__xludf.DUMMYFUNCTION("""COMPUTED_VALUE"""),0.0)</f>
        <v>0</v>
      </c>
      <c r="S91" s="8">
        <f>IFERROR(__xludf.DUMMYFUNCTION("""COMPUTED_VALUE"""),0.0)</f>
        <v>0</v>
      </c>
      <c r="T91" s="8">
        <f>IFERROR(__xludf.DUMMYFUNCTION("""COMPUTED_VALUE"""),0.0)</f>
        <v>0</v>
      </c>
      <c r="U91" s="8">
        <f>IFERROR(__xludf.DUMMYFUNCTION("""COMPUTED_VALUE"""),0.0)</f>
        <v>0</v>
      </c>
      <c r="V91" s="8">
        <f>IFERROR(__xludf.DUMMYFUNCTION("""COMPUTED_VALUE"""),0.0)</f>
        <v>0</v>
      </c>
      <c r="W91" s="8">
        <f>IFERROR(__xludf.DUMMYFUNCTION("""COMPUTED_VALUE"""),0.0)</f>
        <v>0</v>
      </c>
      <c r="X91" s="8">
        <f>IFERROR(__xludf.DUMMYFUNCTION("""COMPUTED_VALUE"""),0.0)</f>
        <v>0</v>
      </c>
      <c r="Y91" s="8">
        <f>IFERROR(__xludf.DUMMYFUNCTION("""COMPUTED_VALUE"""),0.0)</f>
        <v>0</v>
      </c>
      <c r="Z91" s="8">
        <f>IFERROR(__xludf.DUMMYFUNCTION("""COMPUTED_VALUE"""),0.0)</f>
        <v>0</v>
      </c>
      <c r="AA91" s="8">
        <f>IFERROR(__xludf.DUMMYFUNCTION("""COMPUTED_VALUE"""),0.0)</f>
        <v>0</v>
      </c>
      <c r="AB91" s="8">
        <f>IFERROR(__xludf.DUMMYFUNCTION("""COMPUTED_VALUE"""),0.0)</f>
        <v>0</v>
      </c>
      <c r="AC91" s="8">
        <f>IFERROR(__xludf.DUMMYFUNCTION("""COMPUTED_VALUE"""),0.0)</f>
        <v>0</v>
      </c>
    </row>
    <row r="92" ht="15.75" customHeight="1">
      <c r="A92" s="6" t="str">
        <f>IFERROR(__xludf.DUMMYFUNCTION("""COMPUTED_VALUE"""),"4e767fe3eae1eb30991fabcb73be16e9925ab124")</f>
        <v>4e767fe3eae1eb30991fabcb73be16e9925ab124</v>
      </c>
      <c r="B92" s="6" t="str">
        <f>IFERROR(__xludf.DUMMYFUNCTION("""COMPUTED_VALUE"""),"The Ill-Fated Aristocrat")</f>
        <v>The Ill-Fated Aristocrat</v>
      </c>
      <c r="C92" s="6" t="str">
        <f>IFERROR(__xludf.DUMMYFUNCTION("""COMPUTED_VALUE"""),"Romance")</f>
        <v>Romance</v>
      </c>
      <c r="D92" s="11">
        <f>IFERROR(__xludf.DUMMYFUNCTION("""COMPUTED_VALUE"""),702.0)</f>
        <v>702</v>
      </c>
      <c r="E92" s="8">
        <f>IFERROR(__xludf.DUMMYFUNCTION("""COMPUTED_VALUE"""),0.97008547008547)</f>
        <v>0.9700854701</v>
      </c>
      <c r="F92" s="8">
        <f>IFERROR(__xludf.DUMMYFUNCTION("""COMPUTED_VALUE"""),0.624285714285714)</f>
        <v>0.6242857143</v>
      </c>
      <c r="G92" s="8">
        <f>IFERROR(__xludf.DUMMYFUNCTION("""COMPUTED_VALUE"""),0.581428571428571)</f>
        <v>0.5814285714</v>
      </c>
      <c r="H92" s="8">
        <f>IFERROR(__xludf.DUMMYFUNCTION("""COMPUTED_VALUE"""),0.51862464183381)</f>
        <v>0.5186246418</v>
      </c>
      <c r="I92" s="8">
        <f>IFERROR(__xludf.DUMMYFUNCTION("""COMPUTED_VALUE"""),0.482065997130559)</f>
        <v>0.4820659971</v>
      </c>
      <c r="J92" s="8">
        <f>IFERROR(__xludf.DUMMYFUNCTION("""COMPUTED_VALUE"""),0.449067431850789)</f>
        <v>0.4490674319</v>
      </c>
      <c r="K92" s="8">
        <f>IFERROR(__xludf.DUMMYFUNCTION("""COMPUTED_VALUE"""),0.434720229555236)</f>
        <v>0.4347202296</v>
      </c>
      <c r="L92" s="8">
        <f>IFERROR(__xludf.DUMMYFUNCTION("""COMPUTED_VALUE"""),0.417503586800573)</f>
        <v>0.4175035868</v>
      </c>
      <c r="M92" s="8">
        <f>IFERROR(__xludf.DUMMYFUNCTION("""COMPUTED_VALUE"""),0.39454806312769)</f>
        <v>0.3945480631</v>
      </c>
      <c r="N92" s="8">
        <f>IFERROR(__xludf.DUMMYFUNCTION("""COMPUTED_VALUE"""),0.380200860832137)</f>
        <v>0.3802008608</v>
      </c>
      <c r="O92" s="8">
        <f>IFERROR(__xludf.DUMMYFUNCTION("""COMPUTED_VALUE"""),0.352011494252873)</f>
        <v>0.3520114943</v>
      </c>
      <c r="P92" s="8">
        <f>IFERROR(__xludf.DUMMYFUNCTION("""COMPUTED_VALUE"""),0.295815295815295)</f>
        <v>0.2958152958</v>
      </c>
      <c r="Q92" s="8">
        <f>IFERROR(__xludf.DUMMYFUNCTION("""COMPUTED_VALUE"""),0.185298621745788)</f>
        <v>0.1852986217</v>
      </c>
      <c r="R92" s="8">
        <f>IFERROR(__xludf.DUMMYFUNCTION("""COMPUTED_VALUE"""),0.122073578595317)</f>
        <v>0.1220735786</v>
      </c>
      <c r="S92" s="8">
        <f>IFERROR(__xludf.DUMMYFUNCTION("""COMPUTED_VALUE"""),0.0833333333333333)</f>
        <v>0.08333333333</v>
      </c>
      <c r="T92" s="8">
        <f>IFERROR(__xludf.DUMMYFUNCTION("""COMPUTED_VALUE"""),0.0)</f>
        <v>0</v>
      </c>
      <c r="U92" s="8">
        <f>IFERROR(__xludf.DUMMYFUNCTION("""COMPUTED_VALUE"""),0.0)</f>
        <v>0</v>
      </c>
      <c r="V92" s="8">
        <f>IFERROR(__xludf.DUMMYFUNCTION("""COMPUTED_VALUE"""),0.0)</f>
        <v>0</v>
      </c>
      <c r="W92" s="8">
        <f>IFERROR(__xludf.DUMMYFUNCTION("""COMPUTED_VALUE"""),0.0)</f>
        <v>0</v>
      </c>
      <c r="X92" s="8">
        <f>IFERROR(__xludf.DUMMYFUNCTION("""COMPUTED_VALUE"""),0.0)</f>
        <v>0</v>
      </c>
      <c r="Y92" s="8">
        <f>IFERROR(__xludf.DUMMYFUNCTION("""COMPUTED_VALUE"""),0.0)</f>
        <v>0</v>
      </c>
      <c r="Z92" s="8">
        <f>IFERROR(__xludf.DUMMYFUNCTION("""COMPUTED_VALUE"""),0.0)</f>
        <v>0</v>
      </c>
      <c r="AA92" s="8">
        <f>IFERROR(__xludf.DUMMYFUNCTION("""COMPUTED_VALUE"""),0.0)</f>
        <v>0</v>
      </c>
      <c r="AB92" s="8">
        <f>IFERROR(__xludf.DUMMYFUNCTION("""COMPUTED_VALUE"""),0.0)</f>
        <v>0</v>
      </c>
      <c r="AC92" s="8">
        <f>IFERROR(__xludf.DUMMYFUNCTION("""COMPUTED_VALUE"""),0.0)</f>
        <v>0</v>
      </c>
    </row>
    <row r="93" ht="15.75" customHeight="1">
      <c r="A93" s="6" t="str">
        <f>IFERROR(__xludf.DUMMYFUNCTION("""COMPUTED_VALUE"""),"4e82e5be987e78daa5bb2bb67006b68256170925")</f>
        <v>4e82e5be987e78daa5bb2bb67006b68256170925</v>
      </c>
      <c r="B93" s="6" t="str">
        <f>IFERROR(__xludf.DUMMYFUNCTION("""COMPUTED_VALUE"""),"Machine Invasion")</f>
        <v>Machine Invasion</v>
      </c>
      <c r="C93" s="6" t="str">
        <f>IFERROR(__xludf.DUMMYFUNCTION("""COMPUTED_VALUE"""),"System and Superpower")</f>
        <v>System and Superpower</v>
      </c>
      <c r="D93" s="11">
        <f>IFERROR(__xludf.DUMMYFUNCTION("""COMPUTED_VALUE"""),216.0)</f>
        <v>216</v>
      </c>
      <c r="E93" s="8">
        <f>IFERROR(__xludf.DUMMYFUNCTION("""COMPUTED_VALUE"""),0.976851851851851)</f>
        <v>0.9768518519</v>
      </c>
      <c r="F93" s="8">
        <f>IFERROR(__xludf.DUMMYFUNCTION("""COMPUTED_VALUE"""),0.513888888888888)</f>
        <v>0.5138888889</v>
      </c>
      <c r="G93" s="8">
        <f>IFERROR(__xludf.DUMMYFUNCTION("""COMPUTED_VALUE"""),0.462962962962962)</f>
        <v>0.462962963</v>
      </c>
      <c r="H93" s="8">
        <f>IFERROR(__xludf.DUMMYFUNCTION("""COMPUTED_VALUE"""),0.439814814814814)</f>
        <v>0.4398148148</v>
      </c>
      <c r="I93" s="8">
        <f>IFERROR(__xludf.DUMMYFUNCTION("""COMPUTED_VALUE"""),0.416666666666666)</f>
        <v>0.4166666667</v>
      </c>
      <c r="J93" s="8">
        <f>IFERROR(__xludf.DUMMYFUNCTION("""COMPUTED_VALUE"""),0.37037037037037)</f>
        <v>0.3703703704</v>
      </c>
      <c r="K93" s="8">
        <f>IFERROR(__xludf.DUMMYFUNCTION("""COMPUTED_VALUE"""),0.342592592592592)</f>
        <v>0.3425925926</v>
      </c>
      <c r="L93" s="8">
        <f>IFERROR(__xludf.DUMMYFUNCTION("""COMPUTED_VALUE"""),0.319444444444444)</f>
        <v>0.3194444444</v>
      </c>
      <c r="M93" s="8">
        <f>IFERROR(__xludf.DUMMYFUNCTION("""COMPUTED_VALUE"""),0.305555555555555)</f>
        <v>0.3055555556</v>
      </c>
      <c r="N93" s="8">
        <f>IFERROR(__xludf.DUMMYFUNCTION("""COMPUTED_VALUE"""),0.310185185185185)</f>
        <v>0.3101851852</v>
      </c>
      <c r="O93" s="8">
        <f>IFERROR(__xludf.DUMMYFUNCTION("""COMPUTED_VALUE"""),0.247474747474747)</f>
        <v>0.2474747475</v>
      </c>
      <c r="P93" s="8">
        <f>IFERROR(__xludf.DUMMYFUNCTION("""COMPUTED_VALUE"""),0.170542635658914)</f>
        <v>0.1705426357</v>
      </c>
      <c r="Q93" s="8">
        <f>IFERROR(__xludf.DUMMYFUNCTION("""COMPUTED_VALUE"""),0.19047619047619)</f>
        <v>0.1904761905</v>
      </c>
      <c r="R93" s="8">
        <f>IFERROR(__xludf.DUMMYFUNCTION("""COMPUTED_VALUE"""),0.0)</f>
        <v>0</v>
      </c>
      <c r="S93" s="8">
        <f>IFERROR(__xludf.DUMMYFUNCTION("""COMPUTED_VALUE"""),0.0)</f>
        <v>0</v>
      </c>
      <c r="T93" s="8">
        <f>IFERROR(__xludf.DUMMYFUNCTION("""COMPUTED_VALUE"""),0.0)</f>
        <v>0</v>
      </c>
      <c r="U93" s="8">
        <f>IFERROR(__xludf.DUMMYFUNCTION("""COMPUTED_VALUE"""),0.0)</f>
        <v>0</v>
      </c>
      <c r="V93" s="8">
        <f>IFERROR(__xludf.DUMMYFUNCTION("""COMPUTED_VALUE"""),0.0)</f>
        <v>0</v>
      </c>
      <c r="W93" s="8">
        <f>IFERROR(__xludf.DUMMYFUNCTION("""COMPUTED_VALUE"""),0.0)</f>
        <v>0</v>
      </c>
      <c r="X93" s="8">
        <f>IFERROR(__xludf.DUMMYFUNCTION("""COMPUTED_VALUE"""),0.0)</f>
        <v>0</v>
      </c>
      <c r="Y93" s="8">
        <f>IFERROR(__xludf.DUMMYFUNCTION("""COMPUTED_VALUE"""),0.0)</f>
        <v>0</v>
      </c>
      <c r="Z93" s="8">
        <f>IFERROR(__xludf.DUMMYFUNCTION("""COMPUTED_VALUE"""),0.0)</f>
        <v>0</v>
      </c>
      <c r="AA93" s="8">
        <f>IFERROR(__xludf.DUMMYFUNCTION("""COMPUTED_VALUE"""),0.0)</f>
        <v>0</v>
      </c>
      <c r="AB93" s="8">
        <f>IFERROR(__xludf.DUMMYFUNCTION("""COMPUTED_VALUE"""),0.0)</f>
        <v>0</v>
      </c>
      <c r="AC93" s="8">
        <f>IFERROR(__xludf.DUMMYFUNCTION("""COMPUTED_VALUE"""),0.0)</f>
        <v>0</v>
      </c>
    </row>
    <row r="94" ht="15.75" customHeight="1">
      <c r="A94" s="6" t="str">
        <f>IFERROR(__xludf.DUMMYFUNCTION("""COMPUTED_VALUE"""),"4e8fc1ec90ca0e70f873bdd45aea984fc56b5c89")</f>
        <v>4e8fc1ec90ca0e70f873bdd45aea984fc56b5c89</v>
      </c>
      <c r="B94" s="6" t="str">
        <f>IFERROR(__xludf.DUMMYFUNCTION("""COMPUTED_VALUE"""),"When Strangers Say I Do")</f>
        <v>When Strangers Say I Do</v>
      </c>
      <c r="C94" s="6" t="str">
        <f>IFERROR(__xludf.DUMMYFUNCTION("""COMPUTED_VALUE"""),"Drama")</f>
        <v>Drama</v>
      </c>
      <c r="D94" s="11">
        <f>IFERROR(__xludf.DUMMYFUNCTION("""COMPUTED_VALUE"""),239.0)</f>
        <v>239</v>
      </c>
      <c r="E94" s="8">
        <f>IFERROR(__xludf.DUMMYFUNCTION("""COMPUTED_VALUE"""),0.974895397489539)</f>
        <v>0.9748953975</v>
      </c>
      <c r="F94" s="8">
        <f>IFERROR(__xludf.DUMMYFUNCTION("""COMPUTED_VALUE"""),0.447698744769874)</f>
        <v>0.4476987448</v>
      </c>
      <c r="G94" s="8">
        <f>IFERROR(__xludf.DUMMYFUNCTION("""COMPUTED_VALUE"""),0.380753138075313)</f>
        <v>0.3807531381</v>
      </c>
      <c r="H94" s="8">
        <f>IFERROR(__xludf.DUMMYFUNCTION("""COMPUTED_VALUE"""),0.336134453781512)</f>
        <v>0.3361344538</v>
      </c>
      <c r="I94" s="8">
        <f>IFERROR(__xludf.DUMMYFUNCTION("""COMPUTED_VALUE"""),0.291139240506329)</f>
        <v>0.2911392405</v>
      </c>
      <c r="J94" s="8">
        <f>IFERROR(__xludf.DUMMYFUNCTION("""COMPUTED_VALUE"""),0.280851063829787)</f>
        <v>0.2808510638</v>
      </c>
      <c r="K94" s="8">
        <f>IFERROR(__xludf.DUMMYFUNCTION("""COMPUTED_VALUE"""),0.277777777777777)</f>
        <v>0.2777777778</v>
      </c>
      <c r="L94" s="8">
        <f>IFERROR(__xludf.DUMMYFUNCTION("""COMPUTED_VALUE"""),0.266094420600858)</f>
        <v>0.2660944206</v>
      </c>
      <c r="M94" s="8">
        <f>IFERROR(__xludf.DUMMYFUNCTION("""COMPUTED_VALUE"""),0.245689655172413)</f>
        <v>0.2456896552</v>
      </c>
      <c r="N94" s="8">
        <f>IFERROR(__xludf.DUMMYFUNCTION("""COMPUTED_VALUE"""),0.223684210526315)</f>
        <v>0.2236842105</v>
      </c>
      <c r="O94" s="8">
        <f>IFERROR(__xludf.DUMMYFUNCTION("""COMPUTED_VALUE"""),0.195979899497487)</f>
        <v>0.1959798995</v>
      </c>
      <c r="P94" s="8">
        <f>IFERROR(__xludf.DUMMYFUNCTION("""COMPUTED_VALUE"""),0.2)</f>
        <v>0.2</v>
      </c>
      <c r="Q94" s="8">
        <f>IFERROR(__xludf.DUMMYFUNCTION("""COMPUTED_VALUE"""),0.0980392156862745)</f>
        <v>0.09803921569</v>
      </c>
      <c r="R94" s="8">
        <f>IFERROR(__xludf.DUMMYFUNCTION("""COMPUTED_VALUE"""),0.0)</f>
        <v>0</v>
      </c>
      <c r="S94" s="8">
        <f>IFERROR(__xludf.DUMMYFUNCTION("""COMPUTED_VALUE"""),0.0)</f>
        <v>0</v>
      </c>
      <c r="T94" s="8">
        <f>IFERROR(__xludf.DUMMYFUNCTION("""COMPUTED_VALUE"""),0.0)</f>
        <v>0</v>
      </c>
      <c r="U94" s="8">
        <f>IFERROR(__xludf.DUMMYFUNCTION("""COMPUTED_VALUE"""),0.0)</f>
        <v>0</v>
      </c>
      <c r="V94" s="8">
        <f>IFERROR(__xludf.DUMMYFUNCTION("""COMPUTED_VALUE"""),0.0)</f>
        <v>0</v>
      </c>
      <c r="W94" s="8">
        <f>IFERROR(__xludf.DUMMYFUNCTION("""COMPUTED_VALUE"""),0.0)</f>
        <v>0</v>
      </c>
      <c r="X94" s="8">
        <f>IFERROR(__xludf.DUMMYFUNCTION("""COMPUTED_VALUE"""),0.0)</f>
        <v>0</v>
      </c>
      <c r="Y94" s="8">
        <f>IFERROR(__xludf.DUMMYFUNCTION("""COMPUTED_VALUE"""),0.0)</f>
        <v>0</v>
      </c>
      <c r="Z94" s="8">
        <f>IFERROR(__xludf.DUMMYFUNCTION("""COMPUTED_VALUE"""),0.0)</f>
        <v>0</v>
      </c>
      <c r="AA94" s="8">
        <f>IFERROR(__xludf.DUMMYFUNCTION("""COMPUTED_VALUE"""),0.0)</f>
        <v>0</v>
      </c>
      <c r="AB94" s="8">
        <f>IFERROR(__xludf.DUMMYFUNCTION("""COMPUTED_VALUE"""),0.0)</f>
        <v>0</v>
      </c>
      <c r="AC94" s="8">
        <f>IFERROR(__xludf.DUMMYFUNCTION("""COMPUTED_VALUE"""),0.0)</f>
        <v>0</v>
      </c>
    </row>
    <row r="95" ht="15.75" customHeight="1">
      <c r="A95" s="6" t="str">
        <f>IFERROR(__xludf.DUMMYFUNCTION("""COMPUTED_VALUE"""),"4ef829b74ddfb2f550d1c5ceb22a6d68f5936dff")</f>
        <v>4ef829b74ddfb2f550d1c5ceb22a6d68f5936dff</v>
      </c>
      <c r="B95" s="6" t="str">
        <f>IFERROR(__xludf.DUMMYFUNCTION("""COMPUTED_VALUE"""),"The Mad Alpha’s True Luna")</f>
        <v>The Mad Alpha’s True Luna</v>
      </c>
      <c r="C95" s="6" t="str">
        <f>IFERROR(__xludf.DUMMYFUNCTION("""COMPUTED_VALUE"""),"Romantasy")</f>
        <v>Romantasy</v>
      </c>
      <c r="D95" s="11">
        <f>IFERROR(__xludf.DUMMYFUNCTION("""COMPUTED_VALUE"""),443.0)</f>
        <v>443</v>
      </c>
      <c r="E95" s="8">
        <f>IFERROR(__xludf.DUMMYFUNCTION("""COMPUTED_VALUE"""),0.979683972911963)</f>
        <v>0.9796839729</v>
      </c>
      <c r="F95" s="8">
        <f>IFERROR(__xludf.DUMMYFUNCTION("""COMPUTED_VALUE"""),0.681715575620767)</f>
        <v>0.6817155756</v>
      </c>
      <c r="G95" s="8">
        <f>IFERROR(__xludf.DUMMYFUNCTION("""COMPUTED_VALUE"""),0.591422121896162)</f>
        <v>0.5914221219</v>
      </c>
      <c r="H95" s="8">
        <f>IFERROR(__xludf.DUMMYFUNCTION("""COMPUTED_VALUE"""),0.556497175141243)</f>
        <v>0.5564971751</v>
      </c>
      <c r="I95" s="8">
        <f>IFERROR(__xludf.DUMMYFUNCTION("""COMPUTED_VALUE"""),0.55188679245283)</f>
        <v>0.5518867925</v>
      </c>
      <c r="J95" s="8">
        <f>IFERROR(__xludf.DUMMYFUNCTION("""COMPUTED_VALUE"""),0.542372881355932)</f>
        <v>0.5423728814</v>
      </c>
      <c r="K95" s="8">
        <f>IFERROR(__xludf.DUMMYFUNCTION("""COMPUTED_VALUE"""),0.629629629629629)</f>
        <v>0.6296296296</v>
      </c>
      <c r="L95" s="8">
        <f>IFERROR(__xludf.DUMMYFUNCTION("""COMPUTED_VALUE"""),0.629629629629629)</f>
        <v>0.6296296296</v>
      </c>
      <c r="M95" s="8">
        <f>IFERROR(__xludf.DUMMYFUNCTION("""COMPUTED_VALUE"""),0.576923076923076)</f>
        <v>0.5769230769</v>
      </c>
      <c r="N95" s="8">
        <f>IFERROR(__xludf.DUMMYFUNCTION("""COMPUTED_VALUE"""),0.576923076923076)</f>
        <v>0.5769230769</v>
      </c>
      <c r="O95" s="8">
        <f>IFERROR(__xludf.DUMMYFUNCTION("""COMPUTED_VALUE"""),0.521739130434782)</f>
        <v>0.5217391304</v>
      </c>
      <c r="P95" s="8">
        <f>IFERROR(__xludf.DUMMYFUNCTION("""COMPUTED_VALUE"""),0.409090909090909)</f>
        <v>0.4090909091</v>
      </c>
      <c r="Q95" s="8">
        <f>IFERROR(__xludf.DUMMYFUNCTION("""COMPUTED_VALUE"""),0.0)</f>
        <v>0</v>
      </c>
      <c r="R95" s="8">
        <f>IFERROR(__xludf.DUMMYFUNCTION("""COMPUTED_VALUE"""),0.0)</f>
        <v>0</v>
      </c>
      <c r="S95" s="8">
        <f>IFERROR(__xludf.DUMMYFUNCTION("""COMPUTED_VALUE"""),0.0)</f>
        <v>0</v>
      </c>
      <c r="T95" s="8">
        <f>IFERROR(__xludf.DUMMYFUNCTION("""COMPUTED_VALUE"""),0.0)</f>
        <v>0</v>
      </c>
      <c r="U95" s="8">
        <f>IFERROR(__xludf.DUMMYFUNCTION("""COMPUTED_VALUE"""),0.0)</f>
        <v>0</v>
      </c>
      <c r="V95" s="8">
        <f>IFERROR(__xludf.DUMMYFUNCTION("""COMPUTED_VALUE"""),0.0)</f>
        <v>0</v>
      </c>
      <c r="W95" s="8">
        <f>IFERROR(__xludf.DUMMYFUNCTION("""COMPUTED_VALUE"""),0.0)</f>
        <v>0</v>
      </c>
      <c r="X95" s="8">
        <f>IFERROR(__xludf.DUMMYFUNCTION("""COMPUTED_VALUE"""),0.0)</f>
        <v>0</v>
      </c>
      <c r="Y95" s="8">
        <f>IFERROR(__xludf.DUMMYFUNCTION("""COMPUTED_VALUE"""),0.0)</f>
        <v>0</v>
      </c>
      <c r="Z95" s="8">
        <f>IFERROR(__xludf.DUMMYFUNCTION("""COMPUTED_VALUE"""),0.0)</f>
        <v>0</v>
      </c>
      <c r="AA95" s="8">
        <f>IFERROR(__xludf.DUMMYFUNCTION("""COMPUTED_VALUE"""),0.0)</f>
        <v>0</v>
      </c>
      <c r="AB95" s="8">
        <f>IFERROR(__xludf.DUMMYFUNCTION("""COMPUTED_VALUE"""),0.0)</f>
        <v>0</v>
      </c>
      <c r="AC95" s="8">
        <f>IFERROR(__xludf.DUMMYFUNCTION("""COMPUTED_VALUE"""),0.0)</f>
        <v>0</v>
      </c>
    </row>
    <row r="96" ht="15.75" customHeight="1">
      <c r="A96" s="6" t="str">
        <f>IFERROR(__xludf.DUMMYFUNCTION("""COMPUTED_VALUE"""),"4fed71af64877bcaf79252f171bf022a3b80e926")</f>
        <v>4fed71af64877bcaf79252f171bf022a3b80e926</v>
      </c>
      <c r="B96" s="6" t="str">
        <f>IFERROR(__xludf.DUMMYFUNCTION("""COMPUTED_VALUE"""),"Doomsday Hoarder")</f>
        <v>Doomsday Hoarder</v>
      </c>
      <c r="C96" s="6" t="str">
        <f>IFERROR(__xludf.DUMMYFUNCTION("""COMPUTED_VALUE"""),"Fantasy")</f>
        <v>Fantasy</v>
      </c>
      <c r="D96" s="11">
        <f>IFERROR(__xludf.DUMMYFUNCTION("""COMPUTED_VALUE"""),17.0)</f>
        <v>17</v>
      </c>
      <c r="E96" s="8">
        <f>IFERROR(__xludf.DUMMYFUNCTION("""COMPUTED_VALUE"""),0.823529411764705)</f>
        <v>0.8235294118</v>
      </c>
      <c r="F96" s="8">
        <f>IFERROR(__xludf.DUMMYFUNCTION("""COMPUTED_VALUE"""),0.647058823529411)</f>
        <v>0.6470588235</v>
      </c>
      <c r="G96" s="8">
        <f>IFERROR(__xludf.DUMMYFUNCTION("""COMPUTED_VALUE"""),0.647058823529411)</f>
        <v>0.6470588235</v>
      </c>
      <c r="H96" s="8">
        <f>IFERROR(__xludf.DUMMYFUNCTION("""COMPUTED_VALUE"""),0.647058823529411)</f>
        <v>0.6470588235</v>
      </c>
      <c r="I96" s="8">
        <f>IFERROR(__xludf.DUMMYFUNCTION("""COMPUTED_VALUE"""),0.647058823529411)</f>
        <v>0.6470588235</v>
      </c>
      <c r="J96" s="8">
        <f>IFERROR(__xludf.DUMMYFUNCTION("""COMPUTED_VALUE"""),0.588235294117647)</f>
        <v>0.5882352941</v>
      </c>
      <c r="K96" s="8">
        <f>IFERROR(__xludf.DUMMYFUNCTION("""COMPUTED_VALUE"""),0.588235294117647)</f>
        <v>0.5882352941</v>
      </c>
      <c r="L96" s="8">
        <f>IFERROR(__xludf.DUMMYFUNCTION("""COMPUTED_VALUE"""),0.588235294117647)</f>
        <v>0.5882352941</v>
      </c>
      <c r="M96" s="8">
        <f>IFERROR(__xludf.DUMMYFUNCTION("""COMPUTED_VALUE"""),0.529411764705882)</f>
        <v>0.5294117647</v>
      </c>
      <c r="N96" s="8">
        <f>IFERROR(__xludf.DUMMYFUNCTION("""COMPUTED_VALUE"""),0.529411764705882)</f>
        <v>0.5294117647</v>
      </c>
      <c r="O96" s="8">
        <f>IFERROR(__xludf.DUMMYFUNCTION("""COMPUTED_VALUE"""),0.352941176470588)</f>
        <v>0.3529411765</v>
      </c>
      <c r="P96" s="8">
        <f>IFERROR(__xludf.DUMMYFUNCTION("""COMPUTED_VALUE"""),0.25)</f>
        <v>0.25</v>
      </c>
      <c r="Q96" s="8">
        <f>IFERROR(__xludf.DUMMYFUNCTION("""COMPUTED_VALUE"""),0.266666666666666)</f>
        <v>0.2666666667</v>
      </c>
      <c r="R96" s="8">
        <f>IFERROR(__xludf.DUMMYFUNCTION("""COMPUTED_VALUE"""),0.0)</f>
        <v>0</v>
      </c>
      <c r="S96" s="8">
        <f>IFERROR(__xludf.DUMMYFUNCTION("""COMPUTED_VALUE"""),0.0)</f>
        <v>0</v>
      </c>
      <c r="T96" s="8">
        <f>IFERROR(__xludf.DUMMYFUNCTION("""COMPUTED_VALUE"""),0.0)</f>
        <v>0</v>
      </c>
      <c r="U96" s="8">
        <f>IFERROR(__xludf.DUMMYFUNCTION("""COMPUTED_VALUE"""),0.0)</f>
        <v>0</v>
      </c>
      <c r="V96" s="8">
        <f>IFERROR(__xludf.DUMMYFUNCTION("""COMPUTED_VALUE"""),0.0)</f>
        <v>0</v>
      </c>
      <c r="W96" s="8">
        <f>IFERROR(__xludf.DUMMYFUNCTION("""COMPUTED_VALUE"""),0.0)</f>
        <v>0</v>
      </c>
      <c r="X96" s="8">
        <f>IFERROR(__xludf.DUMMYFUNCTION("""COMPUTED_VALUE"""),0.0)</f>
        <v>0</v>
      </c>
      <c r="Y96" s="8">
        <f>IFERROR(__xludf.DUMMYFUNCTION("""COMPUTED_VALUE"""),0.0)</f>
        <v>0</v>
      </c>
      <c r="Z96" s="8">
        <f>IFERROR(__xludf.DUMMYFUNCTION("""COMPUTED_VALUE"""),0.0)</f>
        <v>0</v>
      </c>
      <c r="AA96" s="8">
        <f>IFERROR(__xludf.DUMMYFUNCTION("""COMPUTED_VALUE"""),0.0)</f>
        <v>0</v>
      </c>
      <c r="AB96" s="8">
        <f>IFERROR(__xludf.DUMMYFUNCTION("""COMPUTED_VALUE"""),0.0)</f>
        <v>0</v>
      </c>
      <c r="AC96" s="8">
        <f>IFERROR(__xludf.DUMMYFUNCTION("""COMPUTED_VALUE"""),0.0)</f>
        <v>0</v>
      </c>
    </row>
    <row r="97" ht="15.75" customHeight="1">
      <c r="A97" s="6" t="str">
        <f>IFERROR(__xludf.DUMMYFUNCTION("""COMPUTED_VALUE"""),"514efd834428337923e640a1254ea9d7477b18b3")</f>
        <v>514efd834428337923e640a1254ea9d7477b18b3</v>
      </c>
      <c r="B97" s="6" t="str">
        <f>IFERROR(__xludf.DUMMYFUNCTION("""COMPUTED_VALUE"""),"Bride of a Dragon")</f>
        <v>Bride of a Dragon</v>
      </c>
      <c r="C97" s="6" t="str">
        <f>IFERROR(__xludf.DUMMYFUNCTION("""COMPUTED_VALUE"""),"Romantasy")</f>
        <v>Romantasy</v>
      </c>
      <c r="D97" s="11">
        <f>IFERROR(__xludf.DUMMYFUNCTION("""COMPUTED_VALUE"""),3620.0)</f>
        <v>3620</v>
      </c>
      <c r="E97" s="8">
        <f>IFERROR(__xludf.DUMMYFUNCTION("""COMPUTED_VALUE"""),0.949447513812154)</f>
        <v>0.9494475138</v>
      </c>
      <c r="F97" s="8">
        <f>IFERROR(__xludf.DUMMYFUNCTION("""COMPUTED_VALUE"""),0.69696132596685)</f>
        <v>0.696961326</v>
      </c>
      <c r="G97" s="8">
        <f>IFERROR(__xludf.DUMMYFUNCTION("""COMPUTED_VALUE"""),0.657734806629834)</f>
        <v>0.6577348066</v>
      </c>
      <c r="H97" s="8">
        <f>IFERROR(__xludf.DUMMYFUNCTION("""COMPUTED_VALUE"""),0.618942121296039)</f>
        <v>0.6189421213</v>
      </c>
      <c r="I97" s="8">
        <f>IFERROR(__xludf.DUMMYFUNCTION("""COMPUTED_VALUE"""),0.604554290474868)</f>
        <v>0.6045542905</v>
      </c>
      <c r="J97" s="8">
        <f>IFERROR(__xludf.DUMMYFUNCTION("""COMPUTED_VALUE"""),0.577437325905292)</f>
        <v>0.5774373259</v>
      </c>
      <c r="K97" s="8">
        <f>IFERROR(__xludf.DUMMYFUNCTION("""COMPUTED_VALUE"""),0.569037656903765)</f>
        <v>0.5690376569</v>
      </c>
      <c r="L97" s="8">
        <f>IFERROR(__xludf.DUMMYFUNCTION("""COMPUTED_VALUE"""),0.55250630075609)</f>
        <v>0.5525063008</v>
      </c>
      <c r="M97" s="8">
        <f>IFERROR(__xludf.DUMMYFUNCTION("""COMPUTED_VALUE"""),0.540684624017957)</f>
        <v>0.540684624</v>
      </c>
      <c r="N97" s="8">
        <f>IFERROR(__xludf.DUMMYFUNCTION("""COMPUTED_VALUE"""),0.529875986471251)</f>
        <v>0.5298759865</v>
      </c>
      <c r="O97" s="8">
        <f>IFERROR(__xludf.DUMMYFUNCTION("""COMPUTED_VALUE"""),0.487031700288184)</f>
        <v>0.4870317003</v>
      </c>
      <c r="P97" s="8">
        <f>IFERROR(__xludf.DUMMYFUNCTION("""COMPUTED_VALUE"""),0.449926144756277)</f>
        <v>0.4499261448</v>
      </c>
      <c r="Q97" s="8">
        <f>IFERROR(__xludf.DUMMYFUNCTION("""COMPUTED_VALUE"""),0.403915881073241)</f>
        <v>0.4039158811</v>
      </c>
      <c r="R97" s="8">
        <f>IFERROR(__xludf.DUMMYFUNCTION("""COMPUTED_VALUE"""),0.357837181044957)</f>
        <v>0.357837181</v>
      </c>
      <c r="S97" s="8">
        <f>IFERROR(__xludf.DUMMYFUNCTION("""COMPUTED_VALUE"""),0.295134443021766)</f>
        <v>0.295134443</v>
      </c>
      <c r="T97" s="8">
        <f>IFERROR(__xludf.DUMMYFUNCTION("""COMPUTED_VALUE"""),0.123076923076923)</f>
        <v>0.1230769231</v>
      </c>
      <c r="U97" s="8">
        <f>IFERROR(__xludf.DUMMYFUNCTION("""COMPUTED_VALUE"""),0.0666666666666666)</f>
        <v>0.06666666667</v>
      </c>
      <c r="V97" s="8">
        <f>IFERROR(__xludf.DUMMYFUNCTION("""COMPUTED_VALUE"""),0.0)</f>
        <v>0</v>
      </c>
      <c r="W97" s="8">
        <f>IFERROR(__xludf.DUMMYFUNCTION("""COMPUTED_VALUE"""),0.0)</f>
        <v>0</v>
      </c>
      <c r="X97" s="8">
        <f>IFERROR(__xludf.DUMMYFUNCTION("""COMPUTED_VALUE"""),0.0)</f>
        <v>0</v>
      </c>
      <c r="Y97" s="8">
        <f>IFERROR(__xludf.DUMMYFUNCTION("""COMPUTED_VALUE"""),0.0)</f>
        <v>0</v>
      </c>
      <c r="Z97" s="8">
        <f>IFERROR(__xludf.DUMMYFUNCTION("""COMPUTED_VALUE"""),0.0)</f>
        <v>0</v>
      </c>
      <c r="AA97" s="8">
        <f>IFERROR(__xludf.DUMMYFUNCTION("""COMPUTED_VALUE"""),0.0)</f>
        <v>0</v>
      </c>
      <c r="AB97" s="8">
        <f>IFERROR(__xludf.DUMMYFUNCTION("""COMPUTED_VALUE"""),0.0)</f>
        <v>0</v>
      </c>
      <c r="AC97" s="8">
        <f>IFERROR(__xludf.DUMMYFUNCTION("""COMPUTED_VALUE"""),0.0)</f>
        <v>0</v>
      </c>
    </row>
    <row r="98" ht="15.75" customHeight="1">
      <c r="A98" s="6" t="str">
        <f>IFERROR(__xludf.DUMMYFUNCTION("""COMPUTED_VALUE"""),"5269f35d5665dd7c25aa81eac9fa9e452b693897")</f>
        <v>5269f35d5665dd7c25aa81eac9fa9e452b693897</v>
      </c>
      <c r="B98" s="6" t="str">
        <f>IFERROR(__xludf.DUMMYFUNCTION("""COMPUTED_VALUE"""),"Her Royal Vampire")</f>
        <v>Her Royal Vampire</v>
      </c>
      <c r="C98" s="6" t="str">
        <f>IFERROR(__xludf.DUMMYFUNCTION("""COMPUTED_VALUE"""),"Romantasy")</f>
        <v>Romantasy</v>
      </c>
      <c r="D98" s="11">
        <f>IFERROR(__xludf.DUMMYFUNCTION("""COMPUTED_VALUE"""),1112.0)</f>
        <v>1112</v>
      </c>
      <c r="E98" s="8">
        <f>IFERROR(__xludf.DUMMYFUNCTION("""COMPUTED_VALUE"""),0.966726618705036)</f>
        <v>0.9667266187</v>
      </c>
      <c r="F98" s="8">
        <f>IFERROR(__xludf.DUMMYFUNCTION("""COMPUTED_VALUE"""),0.647482014388489)</f>
        <v>0.6474820144</v>
      </c>
      <c r="G98" s="8">
        <f>IFERROR(__xludf.DUMMYFUNCTION("""COMPUTED_VALUE"""),0.58273381294964)</f>
        <v>0.5827338129</v>
      </c>
      <c r="H98" s="8">
        <f>IFERROR(__xludf.DUMMYFUNCTION("""COMPUTED_VALUE"""),0.540954095409541)</f>
        <v>0.5409540954</v>
      </c>
      <c r="I98" s="8">
        <f>IFERROR(__xludf.DUMMYFUNCTION("""COMPUTED_VALUE"""),0.503616636528028)</f>
        <v>0.5036166365</v>
      </c>
      <c r="J98" s="8">
        <f>IFERROR(__xludf.DUMMYFUNCTION("""COMPUTED_VALUE"""),0.485972850678733)</f>
        <v>0.4859728507</v>
      </c>
      <c r="K98" s="8">
        <f>IFERROR(__xludf.DUMMYFUNCTION("""COMPUTED_VALUE"""),0.47420814479638)</f>
        <v>0.4742081448</v>
      </c>
      <c r="L98" s="8">
        <f>IFERROR(__xludf.DUMMYFUNCTION("""COMPUTED_VALUE"""),0.463702359346642)</f>
        <v>0.4637023593</v>
      </c>
      <c r="M98" s="8">
        <f>IFERROR(__xludf.DUMMYFUNCTION("""COMPUTED_VALUE"""),0.452641165755919)</f>
        <v>0.4526411658</v>
      </c>
      <c r="N98" s="8">
        <f>IFERROR(__xludf.DUMMYFUNCTION("""COMPUTED_VALUE"""),0.432087511394712)</f>
        <v>0.4320875114</v>
      </c>
      <c r="O98" s="8">
        <f>IFERROR(__xludf.DUMMYFUNCTION("""COMPUTED_VALUE"""),0.386363636363636)</f>
        <v>0.3863636364</v>
      </c>
      <c r="P98" s="8">
        <f>IFERROR(__xludf.DUMMYFUNCTION("""COMPUTED_VALUE"""),0.289437585733882)</f>
        <v>0.2894375857</v>
      </c>
      <c r="Q98" s="8">
        <f>IFERROR(__xludf.DUMMYFUNCTION("""COMPUTED_VALUE"""),0.188925081433224)</f>
        <v>0.1889250814</v>
      </c>
      <c r="R98" s="8">
        <f>IFERROR(__xludf.DUMMYFUNCTION("""COMPUTED_VALUE"""),0.106896551724137)</f>
        <v>0.1068965517</v>
      </c>
      <c r="S98" s="8">
        <f>IFERROR(__xludf.DUMMYFUNCTION("""COMPUTED_VALUE"""),0.108695652173913)</f>
        <v>0.1086956522</v>
      </c>
      <c r="T98" s="8">
        <f>IFERROR(__xludf.DUMMYFUNCTION("""COMPUTED_VALUE"""),0.0285714285714285)</f>
        <v>0.02857142857</v>
      </c>
      <c r="U98" s="8">
        <f>IFERROR(__xludf.DUMMYFUNCTION("""COMPUTED_VALUE"""),0.0)</f>
        <v>0</v>
      </c>
      <c r="V98" s="8">
        <f>IFERROR(__xludf.DUMMYFUNCTION("""COMPUTED_VALUE"""),0.0)</f>
        <v>0</v>
      </c>
      <c r="W98" s="8">
        <f>IFERROR(__xludf.DUMMYFUNCTION("""COMPUTED_VALUE"""),0.0)</f>
        <v>0</v>
      </c>
      <c r="X98" s="8">
        <f>IFERROR(__xludf.DUMMYFUNCTION("""COMPUTED_VALUE"""),0.0)</f>
        <v>0</v>
      </c>
      <c r="Y98" s="8">
        <f>IFERROR(__xludf.DUMMYFUNCTION("""COMPUTED_VALUE"""),0.0)</f>
        <v>0</v>
      </c>
      <c r="Z98" s="8">
        <f>IFERROR(__xludf.DUMMYFUNCTION("""COMPUTED_VALUE"""),0.0)</f>
        <v>0</v>
      </c>
      <c r="AA98" s="8">
        <f>IFERROR(__xludf.DUMMYFUNCTION("""COMPUTED_VALUE"""),0.0)</f>
        <v>0</v>
      </c>
      <c r="AB98" s="8">
        <f>IFERROR(__xludf.DUMMYFUNCTION("""COMPUTED_VALUE"""),0.0)</f>
        <v>0</v>
      </c>
      <c r="AC98" s="8">
        <f>IFERROR(__xludf.DUMMYFUNCTION("""COMPUTED_VALUE"""),0.0)</f>
        <v>0</v>
      </c>
    </row>
    <row r="99" ht="15.75" customHeight="1">
      <c r="A99" s="6" t="str">
        <f>IFERROR(__xludf.DUMMYFUNCTION("""COMPUTED_VALUE"""),"5276da779c8fe48836102d34eea2143d4421865c")</f>
        <v>5276da779c8fe48836102d34eea2143d4421865c</v>
      </c>
      <c r="B99" s="6" t="str">
        <f>IFERROR(__xludf.DUMMYFUNCTION("""COMPUTED_VALUE"""),"The Single Father's Surrender")</f>
        <v>The Single Father's Surrender</v>
      </c>
      <c r="C99" s="6" t="str">
        <f>IFERROR(__xludf.DUMMYFUNCTION("""COMPUTED_VALUE"""),"Romance")</f>
        <v>Romance</v>
      </c>
      <c r="D99" s="11">
        <f>IFERROR(__xludf.DUMMYFUNCTION("""COMPUTED_VALUE"""),408.0)</f>
        <v>408</v>
      </c>
      <c r="E99" s="8">
        <f>IFERROR(__xludf.DUMMYFUNCTION("""COMPUTED_VALUE"""),0.973039215686274)</f>
        <v>0.9730392157</v>
      </c>
      <c r="F99" s="8">
        <f>IFERROR(__xludf.DUMMYFUNCTION("""COMPUTED_VALUE"""),0.627450980392156)</f>
        <v>0.6274509804</v>
      </c>
      <c r="G99" s="8">
        <f>IFERROR(__xludf.DUMMYFUNCTION("""COMPUTED_VALUE"""),0.549019607843137)</f>
        <v>0.5490196078</v>
      </c>
      <c r="H99" s="8">
        <f>IFERROR(__xludf.DUMMYFUNCTION("""COMPUTED_VALUE"""),0.501240694789081)</f>
        <v>0.5012406948</v>
      </c>
      <c r="I99" s="8">
        <f>IFERROR(__xludf.DUMMYFUNCTION("""COMPUTED_VALUE"""),0.48477157360406)</f>
        <v>0.4847715736</v>
      </c>
      <c r="J99" s="8">
        <f>IFERROR(__xludf.DUMMYFUNCTION("""COMPUTED_VALUE"""),0.467700258397932)</f>
        <v>0.4677002584</v>
      </c>
      <c r="K99" s="8">
        <f>IFERROR(__xludf.DUMMYFUNCTION("""COMPUTED_VALUE"""),0.4296875)</f>
        <v>0.4296875</v>
      </c>
      <c r="L99" s="8">
        <f>IFERROR(__xludf.DUMMYFUNCTION("""COMPUTED_VALUE"""),0.426666666666666)</f>
        <v>0.4266666667</v>
      </c>
      <c r="M99" s="8">
        <f>IFERROR(__xludf.DUMMYFUNCTION("""COMPUTED_VALUE"""),0.38781163434903)</f>
        <v>0.3878116343</v>
      </c>
      <c r="N99" s="8">
        <f>IFERROR(__xludf.DUMMYFUNCTION("""COMPUTED_VALUE"""),0.385579937304075)</f>
        <v>0.3855799373</v>
      </c>
      <c r="O99" s="8">
        <f>IFERROR(__xludf.DUMMYFUNCTION("""COMPUTED_VALUE"""),0.474358974358974)</f>
        <v>0.4743589744</v>
      </c>
      <c r="P99" s="8">
        <f>IFERROR(__xludf.DUMMYFUNCTION("""COMPUTED_VALUE"""),0.23076923076923)</f>
        <v>0.2307692308</v>
      </c>
      <c r="Q99" s="8">
        <f>IFERROR(__xludf.DUMMYFUNCTION("""COMPUTED_VALUE"""),0.0454545454545454)</f>
        <v>0.04545454545</v>
      </c>
      <c r="R99" s="8">
        <f>IFERROR(__xludf.DUMMYFUNCTION("""COMPUTED_VALUE"""),0.0)</f>
        <v>0</v>
      </c>
      <c r="S99" s="8">
        <f>IFERROR(__xludf.DUMMYFUNCTION("""COMPUTED_VALUE"""),0.0)</f>
        <v>0</v>
      </c>
      <c r="T99" s="8">
        <f>IFERROR(__xludf.DUMMYFUNCTION("""COMPUTED_VALUE"""),0.0)</f>
        <v>0</v>
      </c>
      <c r="U99" s="8">
        <f>IFERROR(__xludf.DUMMYFUNCTION("""COMPUTED_VALUE"""),0.0)</f>
        <v>0</v>
      </c>
      <c r="V99" s="8">
        <f>IFERROR(__xludf.DUMMYFUNCTION("""COMPUTED_VALUE"""),0.0)</f>
        <v>0</v>
      </c>
      <c r="W99" s="8">
        <f>IFERROR(__xludf.DUMMYFUNCTION("""COMPUTED_VALUE"""),0.0)</f>
        <v>0</v>
      </c>
      <c r="X99" s="8">
        <f>IFERROR(__xludf.DUMMYFUNCTION("""COMPUTED_VALUE"""),0.0)</f>
        <v>0</v>
      </c>
      <c r="Y99" s="8">
        <f>IFERROR(__xludf.DUMMYFUNCTION("""COMPUTED_VALUE"""),0.0)</f>
        <v>0</v>
      </c>
      <c r="Z99" s="8">
        <f>IFERROR(__xludf.DUMMYFUNCTION("""COMPUTED_VALUE"""),0.0)</f>
        <v>0</v>
      </c>
      <c r="AA99" s="8">
        <f>IFERROR(__xludf.DUMMYFUNCTION("""COMPUTED_VALUE"""),0.0)</f>
        <v>0</v>
      </c>
      <c r="AB99" s="8">
        <f>IFERROR(__xludf.DUMMYFUNCTION("""COMPUTED_VALUE"""),0.0)</f>
        <v>0</v>
      </c>
      <c r="AC99" s="8">
        <f>IFERROR(__xludf.DUMMYFUNCTION("""COMPUTED_VALUE"""),0.0)</f>
        <v>0</v>
      </c>
    </row>
    <row r="100" ht="15.75" customHeight="1">
      <c r="A100" s="6" t="str">
        <f>IFERROR(__xludf.DUMMYFUNCTION("""COMPUTED_VALUE"""),"53bd90147df4228136243c0a218345e3a338b8c1")</f>
        <v>53bd90147df4228136243c0a218345e3a338b8c1</v>
      </c>
      <c r="B100" s="6" t="str">
        <f>IFERROR(__xludf.DUMMYFUNCTION("""COMPUTED_VALUE"""),"His Abandoned Wife")</f>
        <v>His Abandoned Wife</v>
      </c>
      <c r="C100" s="6" t="str">
        <f>IFERROR(__xludf.DUMMYFUNCTION("""COMPUTED_VALUE"""),"Romance")</f>
        <v>Romance</v>
      </c>
      <c r="D100" s="11">
        <f>IFERROR(__xludf.DUMMYFUNCTION("""COMPUTED_VALUE"""),24.0)</f>
        <v>24</v>
      </c>
      <c r="E100" s="8">
        <f>IFERROR(__xludf.DUMMYFUNCTION("""COMPUTED_VALUE"""),1.0)</f>
        <v>1</v>
      </c>
      <c r="F100" s="8">
        <f>IFERROR(__xludf.DUMMYFUNCTION("""COMPUTED_VALUE"""),0.625)</f>
        <v>0.625</v>
      </c>
      <c r="G100" s="8">
        <f>IFERROR(__xludf.DUMMYFUNCTION("""COMPUTED_VALUE"""),0.5)</f>
        <v>0.5</v>
      </c>
      <c r="H100" s="8">
        <f>IFERROR(__xludf.DUMMYFUNCTION("""COMPUTED_VALUE"""),0.388888888888888)</f>
        <v>0.3888888889</v>
      </c>
      <c r="I100" s="8">
        <f>IFERROR(__xludf.DUMMYFUNCTION("""COMPUTED_VALUE"""),0.375)</f>
        <v>0.375</v>
      </c>
      <c r="J100" s="8">
        <f>IFERROR(__xludf.DUMMYFUNCTION("""COMPUTED_VALUE"""),0.6)</f>
        <v>0.6</v>
      </c>
      <c r="K100" s="8">
        <f>IFERROR(__xludf.DUMMYFUNCTION("""COMPUTED_VALUE"""),0.555555555555555)</f>
        <v>0.5555555556</v>
      </c>
      <c r="L100" s="8">
        <f>IFERROR(__xludf.DUMMYFUNCTION("""COMPUTED_VALUE"""),0.555555555555555)</f>
        <v>0.5555555556</v>
      </c>
      <c r="M100" s="8">
        <f>IFERROR(__xludf.DUMMYFUNCTION("""COMPUTED_VALUE"""),0.444444444444444)</f>
        <v>0.4444444444</v>
      </c>
      <c r="N100" s="8">
        <f>IFERROR(__xludf.DUMMYFUNCTION("""COMPUTED_VALUE"""),0.333333333333333)</f>
        <v>0.3333333333</v>
      </c>
      <c r="O100" s="8">
        <f>IFERROR(__xludf.DUMMYFUNCTION("""COMPUTED_VALUE"""),0.375)</f>
        <v>0.375</v>
      </c>
      <c r="P100" s="8">
        <f>IFERROR(__xludf.DUMMYFUNCTION("""COMPUTED_VALUE"""),0.166666666666666)</f>
        <v>0.1666666667</v>
      </c>
      <c r="Q100" s="8">
        <f>IFERROR(__xludf.DUMMYFUNCTION("""COMPUTED_VALUE"""),0.0)</f>
        <v>0</v>
      </c>
      <c r="R100" s="8">
        <f>IFERROR(__xludf.DUMMYFUNCTION("""COMPUTED_VALUE"""),0.0)</f>
        <v>0</v>
      </c>
      <c r="S100" s="8">
        <f>IFERROR(__xludf.DUMMYFUNCTION("""COMPUTED_VALUE"""),0.0)</f>
        <v>0</v>
      </c>
      <c r="T100" s="8">
        <f>IFERROR(__xludf.DUMMYFUNCTION("""COMPUTED_VALUE"""),0.0)</f>
        <v>0</v>
      </c>
      <c r="U100" s="8">
        <f>IFERROR(__xludf.DUMMYFUNCTION("""COMPUTED_VALUE"""),0.0)</f>
        <v>0</v>
      </c>
      <c r="V100" s="8">
        <f>IFERROR(__xludf.DUMMYFUNCTION("""COMPUTED_VALUE"""),0.0)</f>
        <v>0</v>
      </c>
      <c r="W100" s="8">
        <f>IFERROR(__xludf.DUMMYFUNCTION("""COMPUTED_VALUE"""),0.0)</f>
        <v>0</v>
      </c>
      <c r="X100" s="8">
        <f>IFERROR(__xludf.DUMMYFUNCTION("""COMPUTED_VALUE"""),0.0)</f>
        <v>0</v>
      </c>
      <c r="Y100" s="8">
        <f>IFERROR(__xludf.DUMMYFUNCTION("""COMPUTED_VALUE"""),0.0)</f>
        <v>0</v>
      </c>
      <c r="Z100" s="8">
        <f>IFERROR(__xludf.DUMMYFUNCTION("""COMPUTED_VALUE"""),0.0)</f>
        <v>0</v>
      </c>
      <c r="AA100" s="8">
        <f>IFERROR(__xludf.DUMMYFUNCTION("""COMPUTED_VALUE"""),0.0)</f>
        <v>0</v>
      </c>
      <c r="AB100" s="8">
        <f>IFERROR(__xludf.DUMMYFUNCTION("""COMPUTED_VALUE"""),0.0)</f>
        <v>0</v>
      </c>
      <c r="AC100" s="8">
        <f>IFERROR(__xludf.DUMMYFUNCTION("""COMPUTED_VALUE"""),0.0)</f>
        <v>0</v>
      </c>
    </row>
    <row r="101" ht="15.75" customHeight="1">
      <c r="A101" s="6" t="str">
        <f>IFERROR(__xludf.DUMMYFUNCTION("""COMPUTED_VALUE"""),"54a2cb963cd2e93491b9f03d9cf379ed72d3271f")</f>
        <v>54a2cb963cd2e93491b9f03d9cf379ed72d3271f</v>
      </c>
      <c r="B101" s="6" t="str">
        <f>IFERROR(__xludf.DUMMYFUNCTION("""COMPUTED_VALUE"""),"The One He Can't Break")</f>
        <v>The One He Can't Break</v>
      </c>
      <c r="C101" s="6" t="str">
        <f>IFERROR(__xludf.DUMMYFUNCTION("""COMPUTED_VALUE"""),"Romance")</f>
        <v>Romance</v>
      </c>
      <c r="D101" s="11">
        <f>IFERROR(__xludf.DUMMYFUNCTION("""COMPUTED_VALUE"""),678.0)</f>
        <v>678</v>
      </c>
      <c r="E101" s="8">
        <f>IFERROR(__xludf.DUMMYFUNCTION("""COMPUTED_VALUE"""),0.985250737463126)</f>
        <v>0.9852507375</v>
      </c>
      <c r="F101" s="8">
        <f>IFERROR(__xludf.DUMMYFUNCTION("""COMPUTED_VALUE"""),0.597345132743362)</f>
        <v>0.5973451327</v>
      </c>
      <c r="G101" s="8">
        <f>IFERROR(__xludf.DUMMYFUNCTION("""COMPUTED_VALUE"""),0.532448377581121)</f>
        <v>0.5324483776</v>
      </c>
      <c r="H101" s="8">
        <f>IFERROR(__xludf.DUMMYFUNCTION("""COMPUTED_VALUE"""),0.449404761904761)</f>
        <v>0.4494047619</v>
      </c>
      <c r="I101" s="8">
        <f>IFERROR(__xludf.DUMMYFUNCTION("""COMPUTED_VALUE"""),0.428571428571428)</f>
        <v>0.4285714286</v>
      </c>
      <c r="J101" s="8">
        <f>IFERROR(__xludf.DUMMYFUNCTION("""COMPUTED_VALUE"""),0.377245508982035)</f>
        <v>0.377245509</v>
      </c>
      <c r="K101" s="8">
        <f>IFERROR(__xludf.DUMMYFUNCTION("""COMPUTED_VALUE"""),0.354887218045112)</f>
        <v>0.354887218</v>
      </c>
      <c r="L101" s="8">
        <f>IFERROR(__xludf.DUMMYFUNCTION("""COMPUTED_VALUE"""),0.314728682170542)</f>
        <v>0.3147286822</v>
      </c>
      <c r="M101" s="8">
        <f>IFERROR(__xludf.DUMMYFUNCTION("""COMPUTED_VALUE"""),0.307952622673434)</f>
        <v>0.3079526227</v>
      </c>
      <c r="N101" s="8">
        <f>IFERROR(__xludf.DUMMYFUNCTION("""COMPUTED_VALUE"""),0.278)</f>
        <v>0.278</v>
      </c>
      <c r="O101" s="8">
        <f>IFERROR(__xludf.DUMMYFUNCTION("""COMPUTED_VALUE"""),0.263681592039801)</f>
        <v>0.263681592</v>
      </c>
      <c r="P101" s="8">
        <f>IFERROR(__xludf.DUMMYFUNCTION("""COMPUTED_VALUE"""),0.159574468085106)</f>
        <v>0.1595744681</v>
      </c>
      <c r="Q101" s="8">
        <f>IFERROR(__xludf.DUMMYFUNCTION("""COMPUTED_VALUE"""),0.0952380952380952)</f>
        <v>0.09523809524</v>
      </c>
      <c r="R101" s="8">
        <f>IFERROR(__xludf.DUMMYFUNCTION("""COMPUTED_VALUE"""),0.0888888888888888)</f>
        <v>0.08888888889</v>
      </c>
      <c r="S101" s="8">
        <f>IFERROR(__xludf.DUMMYFUNCTION("""COMPUTED_VALUE"""),0.108108108108108)</f>
        <v>0.1081081081</v>
      </c>
      <c r="T101" s="8">
        <f>IFERROR(__xludf.DUMMYFUNCTION("""COMPUTED_VALUE"""),0.0)</f>
        <v>0</v>
      </c>
      <c r="U101" s="8">
        <f>IFERROR(__xludf.DUMMYFUNCTION("""COMPUTED_VALUE"""),0.0)</f>
        <v>0</v>
      </c>
      <c r="V101" s="8">
        <f>IFERROR(__xludf.DUMMYFUNCTION("""COMPUTED_VALUE"""),0.0)</f>
        <v>0</v>
      </c>
      <c r="W101" s="8">
        <f>IFERROR(__xludf.DUMMYFUNCTION("""COMPUTED_VALUE"""),0.0)</f>
        <v>0</v>
      </c>
      <c r="X101" s="8">
        <f>IFERROR(__xludf.DUMMYFUNCTION("""COMPUTED_VALUE"""),0.0)</f>
        <v>0</v>
      </c>
      <c r="Y101" s="8">
        <f>IFERROR(__xludf.DUMMYFUNCTION("""COMPUTED_VALUE"""),0.0)</f>
        <v>0</v>
      </c>
      <c r="Z101" s="8">
        <f>IFERROR(__xludf.DUMMYFUNCTION("""COMPUTED_VALUE"""),0.0)</f>
        <v>0</v>
      </c>
      <c r="AA101" s="8">
        <f>IFERROR(__xludf.DUMMYFUNCTION("""COMPUTED_VALUE"""),0.0)</f>
        <v>0</v>
      </c>
      <c r="AB101" s="8">
        <f>IFERROR(__xludf.DUMMYFUNCTION("""COMPUTED_VALUE"""),0.0)</f>
        <v>0</v>
      </c>
      <c r="AC101" s="8">
        <f>IFERROR(__xludf.DUMMYFUNCTION("""COMPUTED_VALUE"""),0.0)</f>
        <v>0</v>
      </c>
    </row>
    <row r="102" ht="15.75" customHeight="1">
      <c r="A102" s="6" t="str">
        <f>IFERROR(__xludf.DUMMYFUNCTION("""COMPUTED_VALUE"""),"55254a77c40862bb825ededf69a85438157d664f")</f>
        <v>55254a77c40862bb825ededf69a85438157d664f</v>
      </c>
      <c r="B102" s="6" t="str">
        <f>IFERROR(__xludf.DUMMYFUNCTION("""COMPUTED_VALUE"""),"The Billionaire With Mask")</f>
        <v>The Billionaire With Mask</v>
      </c>
      <c r="C102" s="6" t="str">
        <f>IFERROR(__xludf.DUMMYFUNCTION("""COMPUTED_VALUE"""),"Drama")</f>
        <v>Drama</v>
      </c>
      <c r="D102" s="11">
        <f>IFERROR(__xludf.DUMMYFUNCTION("""COMPUTED_VALUE"""),48.0)</f>
        <v>48</v>
      </c>
      <c r="E102" s="8">
        <f>IFERROR(__xludf.DUMMYFUNCTION("""COMPUTED_VALUE"""),0.958333333333333)</f>
        <v>0.9583333333</v>
      </c>
      <c r="F102" s="8">
        <f>IFERROR(__xludf.DUMMYFUNCTION("""COMPUTED_VALUE"""),0.541666666666666)</f>
        <v>0.5416666667</v>
      </c>
      <c r="G102" s="8">
        <f>IFERROR(__xludf.DUMMYFUNCTION("""COMPUTED_VALUE"""),0.375)</f>
        <v>0.375</v>
      </c>
      <c r="H102" s="8">
        <f>IFERROR(__xludf.DUMMYFUNCTION("""COMPUTED_VALUE"""),0.395833333333333)</f>
        <v>0.3958333333</v>
      </c>
      <c r="I102" s="8">
        <f>IFERROR(__xludf.DUMMYFUNCTION("""COMPUTED_VALUE"""),0.375)</f>
        <v>0.375</v>
      </c>
      <c r="J102" s="8">
        <f>IFERROR(__xludf.DUMMYFUNCTION("""COMPUTED_VALUE"""),0.333333333333333)</f>
        <v>0.3333333333</v>
      </c>
      <c r="K102" s="8">
        <f>IFERROR(__xludf.DUMMYFUNCTION("""COMPUTED_VALUE"""),0.3125)</f>
        <v>0.3125</v>
      </c>
      <c r="L102" s="8">
        <f>IFERROR(__xludf.DUMMYFUNCTION("""COMPUTED_VALUE"""),0.3125)</f>
        <v>0.3125</v>
      </c>
      <c r="M102" s="8">
        <f>IFERROR(__xludf.DUMMYFUNCTION("""COMPUTED_VALUE"""),0.291666666666666)</f>
        <v>0.2916666667</v>
      </c>
      <c r="N102" s="8">
        <f>IFERROR(__xludf.DUMMYFUNCTION("""COMPUTED_VALUE"""),0.291666666666666)</f>
        <v>0.2916666667</v>
      </c>
      <c r="O102" s="8">
        <f>IFERROR(__xludf.DUMMYFUNCTION("""COMPUTED_VALUE"""),0.270833333333333)</f>
        <v>0.2708333333</v>
      </c>
      <c r="P102" s="8">
        <f>IFERROR(__xludf.DUMMYFUNCTION("""COMPUTED_VALUE"""),0.268292682926829)</f>
        <v>0.2682926829</v>
      </c>
      <c r="Q102" s="8">
        <f>IFERROR(__xludf.DUMMYFUNCTION("""COMPUTED_VALUE"""),0.103448275862068)</f>
        <v>0.1034482759</v>
      </c>
      <c r="R102" s="8">
        <f>IFERROR(__xludf.DUMMYFUNCTION("""COMPUTED_VALUE"""),0.115384615384615)</f>
        <v>0.1153846154</v>
      </c>
      <c r="S102" s="8">
        <f>IFERROR(__xludf.DUMMYFUNCTION("""COMPUTED_VALUE"""),0.0476190476190476)</f>
        <v>0.04761904762</v>
      </c>
      <c r="T102" s="8">
        <f>IFERROR(__xludf.DUMMYFUNCTION("""COMPUTED_VALUE"""),0.0)</f>
        <v>0</v>
      </c>
      <c r="U102" s="8">
        <f>IFERROR(__xludf.DUMMYFUNCTION("""COMPUTED_VALUE"""),0.0)</f>
        <v>0</v>
      </c>
      <c r="V102" s="8">
        <f>IFERROR(__xludf.DUMMYFUNCTION("""COMPUTED_VALUE"""),0.0)</f>
        <v>0</v>
      </c>
      <c r="W102" s="8">
        <f>IFERROR(__xludf.DUMMYFUNCTION("""COMPUTED_VALUE"""),0.0)</f>
        <v>0</v>
      </c>
      <c r="X102" s="8">
        <f>IFERROR(__xludf.DUMMYFUNCTION("""COMPUTED_VALUE"""),0.0)</f>
        <v>0</v>
      </c>
      <c r="Y102" s="8">
        <f>IFERROR(__xludf.DUMMYFUNCTION("""COMPUTED_VALUE"""),0.0)</f>
        <v>0</v>
      </c>
      <c r="Z102" s="8">
        <f>IFERROR(__xludf.DUMMYFUNCTION("""COMPUTED_VALUE"""),0.0)</f>
        <v>0</v>
      </c>
      <c r="AA102" s="8">
        <f>IFERROR(__xludf.DUMMYFUNCTION("""COMPUTED_VALUE"""),0.0)</f>
        <v>0</v>
      </c>
      <c r="AB102" s="8">
        <f>IFERROR(__xludf.DUMMYFUNCTION("""COMPUTED_VALUE"""),0.0)</f>
        <v>0</v>
      </c>
      <c r="AC102" s="8">
        <f>IFERROR(__xludf.DUMMYFUNCTION("""COMPUTED_VALUE"""),0.0)</f>
        <v>0</v>
      </c>
    </row>
    <row r="103" ht="15.75" customHeight="1">
      <c r="A103" s="6" t="str">
        <f>IFERROR(__xludf.DUMMYFUNCTION("""COMPUTED_VALUE"""),"559db21e99cf5bc0720a814784386a0617e020b9")</f>
        <v>559db21e99cf5bc0720a814784386a0617e020b9</v>
      </c>
      <c r="B103" s="6" t="str">
        <f>IFERROR(__xludf.DUMMYFUNCTION("""COMPUTED_VALUE"""),"The Reborn Sovereign")</f>
        <v>The Reborn Sovereign</v>
      </c>
      <c r="C103" s="6" t="str">
        <f>IFERROR(__xludf.DUMMYFUNCTION("""COMPUTED_VALUE"""),"Fantasy")</f>
        <v>Fantasy</v>
      </c>
      <c r="D103" s="11">
        <f>IFERROR(__xludf.DUMMYFUNCTION("""COMPUTED_VALUE"""),189.0)</f>
        <v>189</v>
      </c>
      <c r="E103" s="8">
        <f>IFERROR(__xludf.DUMMYFUNCTION("""COMPUTED_VALUE"""),0.962962962962962)</f>
        <v>0.962962963</v>
      </c>
      <c r="F103" s="8">
        <f>IFERROR(__xludf.DUMMYFUNCTION("""COMPUTED_VALUE"""),0.698412698412698)</f>
        <v>0.6984126984</v>
      </c>
      <c r="G103" s="8">
        <f>IFERROR(__xludf.DUMMYFUNCTION("""COMPUTED_VALUE"""),0.65079365079365)</f>
        <v>0.6507936508</v>
      </c>
      <c r="H103" s="8">
        <f>IFERROR(__xludf.DUMMYFUNCTION("""COMPUTED_VALUE"""),0.635359116022099)</f>
        <v>0.635359116</v>
      </c>
      <c r="I103" s="8">
        <f>IFERROR(__xludf.DUMMYFUNCTION("""COMPUTED_VALUE"""),0.597701149425287)</f>
        <v>0.5977011494</v>
      </c>
      <c r="J103" s="8">
        <f>IFERROR(__xludf.DUMMYFUNCTION("""COMPUTED_VALUE"""),0.579268292682926)</f>
        <v>0.5792682927</v>
      </c>
      <c r="K103" s="8">
        <f>IFERROR(__xludf.DUMMYFUNCTION("""COMPUTED_VALUE"""),0.56441717791411)</f>
        <v>0.5644171779</v>
      </c>
      <c r="L103" s="8">
        <f>IFERROR(__xludf.DUMMYFUNCTION("""COMPUTED_VALUE"""),0.583333333333333)</f>
        <v>0.5833333333</v>
      </c>
      <c r="M103" s="8">
        <f>IFERROR(__xludf.DUMMYFUNCTION("""COMPUTED_VALUE"""),0.587837837837837)</f>
        <v>0.5878378378</v>
      </c>
      <c r="N103" s="8">
        <f>IFERROR(__xludf.DUMMYFUNCTION("""COMPUTED_VALUE"""),0.552447552447552)</f>
        <v>0.5524475524</v>
      </c>
      <c r="O103" s="8">
        <f>IFERROR(__xludf.DUMMYFUNCTION("""COMPUTED_VALUE"""),0.503597122302158)</f>
        <v>0.5035971223</v>
      </c>
      <c r="P103" s="8">
        <f>IFERROR(__xludf.DUMMYFUNCTION("""COMPUTED_VALUE"""),0.389312977099236)</f>
        <v>0.3893129771</v>
      </c>
      <c r="Q103" s="8">
        <f>IFERROR(__xludf.DUMMYFUNCTION("""COMPUTED_VALUE"""),0.299145299145299)</f>
        <v>0.2991452991</v>
      </c>
      <c r="R103" s="8">
        <f>IFERROR(__xludf.DUMMYFUNCTION("""COMPUTED_VALUE"""),0.163636363636363)</f>
        <v>0.1636363636</v>
      </c>
      <c r="S103" s="8">
        <f>IFERROR(__xludf.DUMMYFUNCTION("""COMPUTED_VALUE"""),0.11578947368421)</f>
        <v>0.1157894737</v>
      </c>
      <c r="T103" s="8">
        <f>IFERROR(__xludf.DUMMYFUNCTION("""COMPUTED_VALUE"""),0.0)</f>
        <v>0</v>
      </c>
      <c r="U103" s="8">
        <f>IFERROR(__xludf.DUMMYFUNCTION("""COMPUTED_VALUE"""),0.0)</f>
        <v>0</v>
      </c>
      <c r="V103" s="8">
        <f>IFERROR(__xludf.DUMMYFUNCTION("""COMPUTED_VALUE"""),0.0)</f>
        <v>0</v>
      </c>
      <c r="W103" s="8">
        <f>IFERROR(__xludf.DUMMYFUNCTION("""COMPUTED_VALUE"""),0.0)</f>
        <v>0</v>
      </c>
      <c r="X103" s="8">
        <f>IFERROR(__xludf.DUMMYFUNCTION("""COMPUTED_VALUE"""),0.0)</f>
        <v>0</v>
      </c>
      <c r="Y103" s="8">
        <f>IFERROR(__xludf.DUMMYFUNCTION("""COMPUTED_VALUE"""),0.0)</f>
        <v>0</v>
      </c>
      <c r="Z103" s="8">
        <f>IFERROR(__xludf.DUMMYFUNCTION("""COMPUTED_VALUE"""),0.0)</f>
        <v>0</v>
      </c>
      <c r="AA103" s="8">
        <f>IFERROR(__xludf.DUMMYFUNCTION("""COMPUTED_VALUE"""),0.0)</f>
        <v>0</v>
      </c>
      <c r="AB103" s="8">
        <f>IFERROR(__xludf.DUMMYFUNCTION("""COMPUTED_VALUE"""),0.0)</f>
        <v>0</v>
      </c>
      <c r="AC103" s="8">
        <f>IFERROR(__xludf.DUMMYFUNCTION("""COMPUTED_VALUE"""),0.0)</f>
        <v>0</v>
      </c>
    </row>
    <row r="104" ht="15.75" customHeight="1">
      <c r="A104" s="6" t="str">
        <f>IFERROR(__xludf.DUMMYFUNCTION("""COMPUTED_VALUE"""),"562f725dcc83392df0b3d429b6d1ff538f81e71b")</f>
        <v>562f725dcc83392df0b3d429b6d1ff538f81e71b</v>
      </c>
      <c r="B104" s="6" t="str">
        <f>IFERROR(__xludf.DUMMYFUNCTION("""COMPUTED_VALUE"""),"Their Contracted Hearts")</f>
        <v>Their Contracted Hearts</v>
      </c>
      <c r="C104" s="6" t="str">
        <f>IFERROR(__xludf.DUMMYFUNCTION("""COMPUTED_VALUE"""),"Romance")</f>
        <v>Romance</v>
      </c>
      <c r="D104" s="11">
        <f>IFERROR(__xludf.DUMMYFUNCTION("""COMPUTED_VALUE"""),561.0)</f>
        <v>561</v>
      </c>
      <c r="E104" s="8">
        <f>IFERROR(__xludf.DUMMYFUNCTION("""COMPUTED_VALUE"""),0.964349376114082)</f>
        <v>0.9643493761</v>
      </c>
      <c r="F104" s="8">
        <f>IFERROR(__xludf.DUMMYFUNCTION("""COMPUTED_VALUE"""),0.627450980392156)</f>
        <v>0.6274509804</v>
      </c>
      <c r="G104" s="8">
        <f>IFERROR(__xludf.DUMMYFUNCTION("""COMPUTED_VALUE"""),0.655971479500891)</f>
        <v>0.6559714795</v>
      </c>
      <c r="H104" s="8">
        <f>IFERROR(__xludf.DUMMYFUNCTION("""COMPUTED_VALUE"""),0.601785714285714)</f>
        <v>0.6017857143</v>
      </c>
      <c r="I104" s="8">
        <f>IFERROR(__xludf.DUMMYFUNCTION("""COMPUTED_VALUE"""),0.607142857142857)</f>
        <v>0.6071428571</v>
      </c>
      <c r="J104" s="8">
        <f>IFERROR(__xludf.DUMMYFUNCTION("""COMPUTED_VALUE"""),0.543828264758497)</f>
        <v>0.5438282648</v>
      </c>
      <c r="K104" s="8">
        <f>IFERROR(__xludf.DUMMYFUNCTION("""COMPUTED_VALUE"""),0.511627906976744)</f>
        <v>0.511627907</v>
      </c>
      <c r="L104" s="8">
        <f>IFERROR(__xludf.DUMMYFUNCTION("""COMPUTED_VALUE"""),0.52772808586762)</f>
        <v>0.5277280859</v>
      </c>
      <c r="M104" s="8">
        <f>IFERROR(__xludf.DUMMYFUNCTION("""COMPUTED_VALUE"""),0.491949910554561)</f>
        <v>0.4919499106</v>
      </c>
      <c r="N104" s="8">
        <f>IFERROR(__xludf.DUMMYFUNCTION("""COMPUTED_VALUE"""),0.464157706093189)</f>
        <v>0.4641577061</v>
      </c>
      <c r="O104" s="8">
        <f>IFERROR(__xludf.DUMMYFUNCTION("""COMPUTED_VALUE"""),0.363471971066907)</f>
        <v>0.3634719711</v>
      </c>
      <c r="P104" s="8">
        <f>IFERROR(__xludf.DUMMYFUNCTION("""COMPUTED_VALUE"""),0.171532846715328)</f>
        <v>0.1715328467</v>
      </c>
      <c r="Q104" s="8">
        <f>IFERROR(__xludf.DUMMYFUNCTION("""COMPUTED_VALUE"""),0.24074074074074)</f>
        <v>0.2407407407</v>
      </c>
      <c r="R104" s="8">
        <f>IFERROR(__xludf.DUMMYFUNCTION("""COMPUTED_VALUE"""),0.163265306122448)</f>
        <v>0.1632653061</v>
      </c>
      <c r="S104" s="8">
        <f>IFERROR(__xludf.DUMMYFUNCTION("""COMPUTED_VALUE"""),0.0476190476190476)</f>
        <v>0.04761904762</v>
      </c>
      <c r="T104" s="8">
        <f>IFERROR(__xludf.DUMMYFUNCTION("""COMPUTED_VALUE"""),0.0)</f>
        <v>0</v>
      </c>
      <c r="U104" s="8">
        <f>IFERROR(__xludf.DUMMYFUNCTION("""COMPUTED_VALUE"""),0.0)</f>
        <v>0</v>
      </c>
      <c r="V104" s="8">
        <f>IFERROR(__xludf.DUMMYFUNCTION("""COMPUTED_VALUE"""),0.0)</f>
        <v>0</v>
      </c>
      <c r="W104" s="8">
        <f>IFERROR(__xludf.DUMMYFUNCTION("""COMPUTED_VALUE"""),0.0)</f>
        <v>0</v>
      </c>
      <c r="X104" s="8">
        <f>IFERROR(__xludf.DUMMYFUNCTION("""COMPUTED_VALUE"""),0.0)</f>
        <v>0</v>
      </c>
      <c r="Y104" s="8">
        <f>IFERROR(__xludf.DUMMYFUNCTION("""COMPUTED_VALUE"""),0.0)</f>
        <v>0</v>
      </c>
      <c r="Z104" s="8">
        <f>IFERROR(__xludf.DUMMYFUNCTION("""COMPUTED_VALUE"""),0.0)</f>
        <v>0</v>
      </c>
      <c r="AA104" s="8">
        <f>IFERROR(__xludf.DUMMYFUNCTION("""COMPUTED_VALUE"""),0.0)</f>
        <v>0</v>
      </c>
      <c r="AB104" s="8">
        <f>IFERROR(__xludf.DUMMYFUNCTION("""COMPUTED_VALUE"""),0.0)</f>
        <v>0</v>
      </c>
      <c r="AC104" s="8">
        <f>IFERROR(__xludf.DUMMYFUNCTION("""COMPUTED_VALUE"""),0.0)</f>
        <v>0</v>
      </c>
    </row>
    <row r="105" ht="15.75" customHeight="1">
      <c r="A105" s="6" t="str">
        <f>IFERROR(__xludf.DUMMYFUNCTION("""COMPUTED_VALUE"""),"56fd2f13dbccca0c55f9b02f7334d302737ec3df")</f>
        <v>56fd2f13dbccca0c55f9b02f7334d302737ec3df</v>
      </c>
      <c r="B105" s="6" t="str">
        <f>IFERROR(__xludf.DUMMYFUNCTION("""COMPUTED_VALUE"""),"Heaven-Shaking Doctor")</f>
        <v>Heaven-Shaking Doctor</v>
      </c>
      <c r="C105" s="6" t="str">
        <f>IFERROR(__xludf.DUMMYFUNCTION("""COMPUTED_VALUE"""),"Drama")</f>
        <v>Drama</v>
      </c>
      <c r="D105" s="11">
        <f>IFERROR(__xludf.DUMMYFUNCTION("""COMPUTED_VALUE"""),114.0)</f>
        <v>114</v>
      </c>
      <c r="E105" s="8">
        <f>IFERROR(__xludf.DUMMYFUNCTION("""COMPUTED_VALUE"""),0.991228070175438)</f>
        <v>0.9912280702</v>
      </c>
      <c r="F105" s="8">
        <f>IFERROR(__xludf.DUMMYFUNCTION("""COMPUTED_VALUE"""),0.543859649122807)</f>
        <v>0.5438596491</v>
      </c>
      <c r="G105" s="8">
        <f>IFERROR(__xludf.DUMMYFUNCTION("""COMPUTED_VALUE"""),0.473684210526315)</f>
        <v>0.4736842105</v>
      </c>
      <c r="H105" s="8">
        <f>IFERROR(__xludf.DUMMYFUNCTION("""COMPUTED_VALUE"""),0.385964912280701)</f>
        <v>0.3859649123</v>
      </c>
      <c r="I105" s="8">
        <f>IFERROR(__xludf.DUMMYFUNCTION("""COMPUTED_VALUE"""),0.350877192982456)</f>
        <v>0.350877193</v>
      </c>
      <c r="J105" s="8">
        <f>IFERROR(__xludf.DUMMYFUNCTION("""COMPUTED_VALUE"""),0.307017543859649)</f>
        <v>0.3070175439</v>
      </c>
      <c r="K105" s="8">
        <f>IFERROR(__xludf.DUMMYFUNCTION("""COMPUTED_VALUE"""),0.271929824561403)</f>
        <v>0.2719298246</v>
      </c>
      <c r="L105" s="8">
        <f>IFERROR(__xludf.DUMMYFUNCTION("""COMPUTED_VALUE"""),0.245614035087719)</f>
        <v>0.2456140351</v>
      </c>
      <c r="M105" s="8">
        <f>IFERROR(__xludf.DUMMYFUNCTION("""COMPUTED_VALUE"""),0.219298245614035)</f>
        <v>0.2192982456</v>
      </c>
      <c r="N105" s="8">
        <f>IFERROR(__xludf.DUMMYFUNCTION("""COMPUTED_VALUE"""),0.175438596491228)</f>
        <v>0.1754385965</v>
      </c>
      <c r="O105" s="8">
        <f>IFERROR(__xludf.DUMMYFUNCTION("""COMPUTED_VALUE"""),0.123893805309734)</f>
        <v>0.1238938053</v>
      </c>
      <c r="P105" s="8">
        <f>IFERROR(__xludf.DUMMYFUNCTION("""COMPUTED_VALUE"""),0.063063063063063)</f>
        <v>0.06306306306</v>
      </c>
      <c r="Q105" s="8">
        <f>IFERROR(__xludf.DUMMYFUNCTION("""COMPUTED_VALUE"""),0.0)</f>
        <v>0</v>
      </c>
      <c r="R105" s="8">
        <f>IFERROR(__xludf.DUMMYFUNCTION("""COMPUTED_VALUE"""),0.0)</f>
        <v>0</v>
      </c>
      <c r="S105" s="8">
        <f>IFERROR(__xludf.DUMMYFUNCTION("""COMPUTED_VALUE"""),0.0)</f>
        <v>0</v>
      </c>
      <c r="T105" s="8">
        <f>IFERROR(__xludf.DUMMYFUNCTION("""COMPUTED_VALUE"""),0.0)</f>
        <v>0</v>
      </c>
      <c r="U105" s="8">
        <f>IFERROR(__xludf.DUMMYFUNCTION("""COMPUTED_VALUE"""),0.0)</f>
        <v>0</v>
      </c>
      <c r="V105" s="8">
        <f>IFERROR(__xludf.DUMMYFUNCTION("""COMPUTED_VALUE"""),0.0)</f>
        <v>0</v>
      </c>
      <c r="W105" s="8">
        <f>IFERROR(__xludf.DUMMYFUNCTION("""COMPUTED_VALUE"""),0.0)</f>
        <v>0</v>
      </c>
      <c r="X105" s="8">
        <f>IFERROR(__xludf.DUMMYFUNCTION("""COMPUTED_VALUE"""),0.0)</f>
        <v>0</v>
      </c>
      <c r="Y105" s="8">
        <f>IFERROR(__xludf.DUMMYFUNCTION("""COMPUTED_VALUE"""),0.0)</f>
        <v>0</v>
      </c>
      <c r="Z105" s="8">
        <f>IFERROR(__xludf.DUMMYFUNCTION("""COMPUTED_VALUE"""),0.0)</f>
        <v>0</v>
      </c>
      <c r="AA105" s="8">
        <f>IFERROR(__xludf.DUMMYFUNCTION("""COMPUTED_VALUE"""),0.0)</f>
        <v>0</v>
      </c>
      <c r="AB105" s="8">
        <f>IFERROR(__xludf.DUMMYFUNCTION("""COMPUTED_VALUE"""),0.0)</f>
        <v>0</v>
      </c>
      <c r="AC105" s="8">
        <f>IFERROR(__xludf.DUMMYFUNCTION("""COMPUTED_VALUE"""),0.0)</f>
        <v>0</v>
      </c>
    </row>
    <row r="106" ht="15.75" customHeight="1">
      <c r="A106" s="6" t="str">
        <f>IFERROR(__xludf.DUMMYFUNCTION("""COMPUTED_VALUE"""),"5710ee62e2cd01947d8f11e6bcaaa653fd1281b2")</f>
        <v>5710ee62e2cd01947d8f11e6bcaaa653fd1281b2</v>
      </c>
      <c r="B106" s="6" t="str">
        <f>IFERROR(__xludf.DUMMYFUNCTION("""COMPUTED_VALUE"""),"The Greatest Son-in-Law")</f>
        <v>The Greatest Son-in-Law</v>
      </c>
      <c r="C106" s="6" t="str">
        <f>IFERROR(__xludf.DUMMYFUNCTION("""COMPUTED_VALUE"""),"Drama")</f>
        <v>Drama</v>
      </c>
      <c r="D106" s="11">
        <f>IFERROR(__xludf.DUMMYFUNCTION("""COMPUTED_VALUE"""),112.0)</f>
        <v>112</v>
      </c>
      <c r="E106" s="8">
        <f>IFERROR(__xludf.DUMMYFUNCTION("""COMPUTED_VALUE"""),0.982142857142857)</f>
        <v>0.9821428571</v>
      </c>
      <c r="F106" s="8">
        <f>IFERROR(__xludf.DUMMYFUNCTION("""COMPUTED_VALUE"""),0.517857142857142)</f>
        <v>0.5178571429</v>
      </c>
      <c r="G106" s="8">
        <f>IFERROR(__xludf.DUMMYFUNCTION("""COMPUTED_VALUE"""),0.383928571428571)</f>
        <v>0.3839285714</v>
      </c>
      <c r="H106" s="8">
        <f>IFERROR(__xludf.DUMMYFUNCTION("""COMPUTED_VALUE"""),0.287037037037037)</f>
        <v>0.287037037</v>
      </c>
      <c r="I106" s="8">
        <f>IFERROR(__xludf.DUMMYFUNCTION("""COMPUTED_VALUE"""),0.24)</f>
        <v>0.24</v>
      </c>
      <c r="J106" s="8">
        <f>IFERROR(__xludf.DUMMYFUNCTION("""COMPUTED_VALUE"""),0.181818181818181)</f>
        <v>0.1818181818</v>
      </c>
      <c r="K106" s="8">
        <f>IFERROR(__xludf.DUMMYFUNCTION("""COMPUTED_VALUE"""),0.177215189873417)</f>
        <v>0.1772151899</v>
      </c>
      <c r="L106" s="8">
        <f>IFERROR(__xludf.DUMMYFUNCTION("""COMPUTED_VALUE"""),0.135135135135135)</f>
        <v>0.1351351351</v>
      </c>
      <c r="M106" s="8">
        <f>IFERROR(__xludf.DUMMYFUNCTION("""COMPUTED_VALUE"""),0.137931034482758)</f>
        <v>0.1379310345</v>
      </c>
      <c r="N106" s="8">
        <f>IFERROR(__xludf.DUMMYFUNCTION("""COMPUTED_VALUE"""),0.127659574468085)</f>
        <v>0.1276595745</v>
      </c>
      <c r="O106" s="8">
        <f>IFERROR(__xludf.DUMMYFUNCTION("""COMPUTED_VALUE"""),0.0454545454545454)</f>
        <v>0.04545454545</v>
      </c>
      <c r="P106" s="8">
        <f>IFERROR(__xludf.DUMMYFUNCTION("""COMPUTED_VALUE"""),0.0)</f>
        <v>0</v>
      </c>
      <c r="Q106" s="8">
        <f>IFERROR(__xludf.DUMMYFUNCTION("""COMPUTED_VALUE"""),0.0)</f>
        <v>0</v>
      </c>
      <c r="R106" s="8">
        <f>IFERROR(__xludf.DUMMYFUNCTION("""COMPUTED_VALUE"""),0.0)</f>
        <v>0</v>
      </c>
      <c r="S106" s="8">
        <f>IFERROR(__xludf.DUMMYFUNCTION("""COMPUTED_VALUE"""),0.0)</f>
        <v>0</v>
      </c>
      <c r="T106" s="8">
        <f>IFERROR(__xludf.DUMMYFUNCTION("""COMPUTED_VALUE"""),0.0)</f>
        <v>0</v>
      </c>
      <c r="U106" s="8">
        <f>IFERROR(__xludf.DUMMYFUNCTION("""COMPUTED_VALUE"""),0.0)</f>
        <v>0</v>
      </c>
      <c r="V106" s="8">
        <f>IFERROR(__xludf.DUMMYFUNCTION("""COMPUTED_VALUE"""),0.0)</f>
        <v>0</v>
      </c>
      <c r="W106" s="8">
        <f>IFERROR(__xludf.DUMMYFUNCTION("""COMPUTED_VALUE"""),0.0)</f>
        <v>0</v>
      </c>
      <c r="X106" s="8">
        <f>IFERROR(__xludf.DUMMYFUNCTION("""COMPUTED_VALUE"""),0.0)</f>
        <v>0</v>
      </c>
      <c r="Y106" s="8">
        <f>IFERROR(__xludf.DUMMYFUNCTION("""COMPUTED_VALUE"""),0.0)</f>
        <v>0</v>
      </c>
      <c r="Z106" s="8">
        <f>IFERROR(__xludf.DUMMYFUNCTION("""COMPUTED_VALUE"""),0.0)</f>
        <v>0</v>
      </c>
      <c r="AA106" s="8">
        <f>IFERROR(__xludf.DUMMYFUNCTION("""COMPUTED_VALUE"""),0.0)</f>
        <v>0</v>
      </c>
      <c r="AB106" s="8">
        <f>IFERROR(__xludf.DUMMYFUNCTION("""COMPUTED_VALUE"""),0.0)</f>
        <v>0</v>
      </c>
      <c r="AC106" s="8">
        <f>IFERROR(__xludf.DUMMYFUNCTION("""COMPUTED_VALUE"""),0.0)</f>
        <v>0</v>
      </c>
    </row>
    <row r="107" ht="15.75" customHeight="1">
      <c r="A107" s="6" t="str">
        <f>IFERROR(__xludf.DUMMYFUNCTION("""COMPUTED_VALUE"""),"57c4ad36d88c94c3d6132c931c371b08f21ab0e1")</f>
        <v>57c4ad36d88c94c3d6132c931c371b08f21ab0e1</v>
      </c>
      <c r="B107" s="6" t="str">
        <f>IFERROR(__xludf.DUMMYFUNCTION("""COMPUTED_VALUE"""),"Warlord of the Frozen Daw")</f>
        <v>Warlord of the Frozen Daw</v>
      </c>
      <c r="C107" s="6" t="str">
        <f>IFERROR(__xludf.DUMMYFUNCTION("""COMPUTED_VALUE"""),"Drama")</f>
        <v>Drama</v>
      </c>
      <c r="D107" s="11">
        <f>IFERROR(__xludf.DUMMYFUNCTION("""COMPUTED_VALUE"""),6.0)</f>
        <v>6</v>
      </c>
      <c r="E107" s="8">
        <f>IFERROR(__xludf.DUMMYFUNCTION("""COMPUTED_VALUE"""),1.0)</f>
        <v>1</v>
      </c>
      <c r="F107" s="8">
        <f>IFERROR(__xludf.DUMMYFUNCTION("""COMPUTED_VALUE"""),0.666666666666666)</f>
        <v>0.6666666667</v>
      </c>
      <c r="G107" s="8">
        <f>IFERROR(__xludf.DUMMYFUNCTION("""COMPUTED_VALUE"""),0.666666666666666)</f>
        <v>0.6666666667</v>
      </c>
      <c r="H107" s="8">
        <f>IFERROR(__xludf.DUMMYFUNCTION("""COMPUTED_VALUE"""),0.666666666666666)</f>
        <v>0.6666666667</v>
      </c>
      <c r="I107" s="8">
        <f>IFERROR(__xludf.DUMMYFUNCTION("""COMPUTED_VALUE"""),0.5)</f>
        <v>0.5</v>
      </c>
      <c r="J107" s="8">
        <f>IFERROR(__xludf.DUMMYFUNCTION("""COMPUTED_VALUE"""),0.5)</f>
        <v>0.5</v>
      </c>
      <c r="K107" s="8">
        <f>IFERROR(__xludf.DUMMYFUNCTION("""COMPUTED_VALUE"""),0.5)</f>
        <v>0.5</v>
      </c>
      <c r="L107" s="8">
        <f>IFERROR(__xludf.DUMMYFUNCTION("""COMPUTED_VALUE"""),0.6)</f>
        <v>0.6</v>
      </c>
      <c r="M107" s="8">
        <f>IFERROR(__xludf.DUMMYFUNCTION("""COMPUTED_VALUE"""),0.6)</f>
        <v>0.6</v>
      </c>
      <c r="N107" s="8">
        <f>IFERROR(__xludf.DUMMYFUNCTION("""COMPUTED_VALUE"""),0.6)</f>
        <v>0.6</v>
      </c>
      <c r="O107" s="8">
        <f>IFERROR(__xludf.DUMMYFUNCTION("""COMPUTED_VALUE"""),0.6)</f>
        <v>0.6</v>
      </c>
      <c r="P107" s="8">
        <f>IFERROR(__xludf.DUMMYFUNCTION("""COMPUTED_VALUE"""),0.4)</f>
        <v>0.4</v>
      </c>
      <c r="Q107" s="8">
        <f>IFERROR(__xludf.DUMMYFUNCTION("""COMPUTED_VALUE"""),0.4)</f>
        <v>0.4</v>
      </c>
      <c r="R107" s="8">
        <f>IFERROR(__xludf.DUMMYFUNCTION("""COMPUTED_VALUE"""),0.2)</f>
        <v>0.2</v>
      </c>
      <c r="S107" s="8">
        <f>IFERROR(__xludf.DUMMYFUNCTION("""COMPUTED_VALUE"""),0.0)</f>
        <v>0</v>
      </c>
      <c r="T107" s="8">
        <f>IFERROR(__xludf.DUMMYFUNCTION("""COMPUTED_VALUE"""),0.0)</f>
        <v>0</v>
      </c>
      <c r="U107" s="8">
        <f>IFERROR(__xludf.DUMMYFUNCTION("""COMPUTED_VALUE"""),0.0)</f>
        <v>0</v>
      </c>
      <c r="V107" s="8">
        <f>IFERROR(__xludf.DUMMYFUNCTION("""COMPUTED_VALUE"""),0.0)</f>
        <v>0</v>
      </c>
      <c r="W107" s="8">
        <f>IFERROR(__xludf.DUMMYFUNCTION("""COMPUTED_VALUE"""),0.0)</f>
        <v>0</v>
      </c>
      <c r="X107" s="8">
        <f>IFERROR(__xludf.DUMMYFUNCTION("""COMPUTED_VALUE"""),0.0)</f>
        <v>0</v>
      </c>
      <c r="Y107" s="8">
        <f>IFERROR(__xludf.DUMMYFUNCTION("""COMPUTED_VALUE"""),0.0)</f>
        <v>0</v>
      </c>
      <c r="Z107" s="8">
        <f>IFERROR(__xludf.DUMMYFUNCTION("""COMPUTED_VALUE"""),0.0)</f>
        <v>0</v>
      </c>
      <c r="AA107" s="8">
        <f>IFERROR(__xludf.DUMMYFUNCTION("""COMPUTED_VALUE"""),0.0)</f>
        <v>0</v>
      </c>
      <c r="AB107" s="8">
        <f>IFERROR(__xludf.DUMMYFUNCTION("""COMPUTED_VALUE"""),0.0)</f>
        <v>0</v>
      </c>
      <c r="AC107" s="8">
        <f>IFERROR(__xludf.DUMMYFUNCTION("""COMPUTED_VALUE"""),0.0)</f>
        <v>0</v>
      </c>
    </row>
    <row r="108" ht="15.75" customHeight="1">
      <c r="A108" s="6" t="str">
        <f>IFERROR(__xludf.DUMMYFUNCTION("""COMPUTED_VALUE"""),"57e670da35fed12abf270953b1cf3cf942fc89e1")</f>
        <v>57e670da35fed12abf270953b1cf3cf942fc89e1</v>
      </c>
      <c r="B108" s="6" t="str">
        <f>IFERROR(__xludf.DUMMYFUNCTION("""COMPUTED_VALUE"""),"You Are Mine Alone, Love")</f>
        <v>You Are Mine Alone, Love</v>
      </c>
      <c r="C108" s="6" t="str">
        <f>IFERROR(__xludf.DUMMYFUNCTION("""COMPUTED_VALUE"""),"Romance")</f>
        <v>Romance</v>
      </c>
      <c r="D108" s="11">
        <f>IFERROR(__xludf.DUMMYFUNCTION("""COMPUTED_VALUE"""),160.0)</f>
        <v>160</v>
      </c>
      <c r="E108" s="8">
        <f>IFERROR(__xludf.DUMMYFUNCTION("""COMPUTED_VALUE"""),0.975)</f>
        <v>0.975</v>
      </c>
      <c r="F108" s="8">
        <f>IFERROR(__xludf.DUMMYFUNCTION("""COMPUTED_VALUE"""),0.59375)</f>
        <v>0.59375</v>
      </c>
      <c r="G108" s="8">
        <f>IFERROR(__xludf.DUMMYFUNCTION("""COMPUTED_VALUE"""),0.4875)</f>
        <v>0.4875</v>
      </c>
      <c r="H108" s="8">
        <f>IFERROR(__xludf.DUMMYFUNCTION("""COMPUTED_VALUE"""),0.437086092715231)</f>
        <v>0.4370860927</v>
      </c>
      <c r="I108" s="8">
        <f>IFERROR(__xludf.DUMMYFUNCTION("""COMPUTED_VALUE"""),0.426573426573426)</f>
        <v>0.4265734266</v>
      </c>
      <c r="J108" s="8">
        <f>IFERROR(__xludf.DUMMYFUNCTION("""COMPUTED_VALUE"""),0.389705882352941)</f>
        <v>0.3897058824</v>
      </c>
      <c r="K108" s="8">
        <f>IFERROR(__xludf.DUMMYFUNCTION("""COMPUTED_VALUE"""),0.350746268656716)</f>
        <v>0.3507462687</v>
      </c>
      <c r="L108" s="8">
        <f>IFERROR(__xludf.DUMMYFUNCTION("""COMPUTED_VALUE"""),0.330578512396694)</f>
        <v>0.3305785124</v>
      </c>
      <c r="M108" s="8">
        <f>IFERROR(__xludf.DUMMYFUNCTION("""COMPUTED_VALUE"""),0.292452830188679)</f>
        <v>0.2924528302</v>
      </c>
      <c r="N108" s="8">
        <f>IFERROR(__xludf.DUMMYFUNCTION("""COMPUTED_VALUE"""),0.288888888888888)</f>
        <v>0.2888888889</v>
      </c>
      <c r="O108" s="8">
        <f>IFERROR(__xludf.DUMMYFUNCTION("""COMPUTED_VALUE"""),0.227848101265822)</f>
        <v>0.2278481013</v>
      </c>
      <c r="P108" s="8">
        <f>IFERROR(__xludf.DUMMYFUNCTION("""COMPUTED_VALUE"""),0.169230769230769)</f>
        <v>0.1692307692</v>
      </c>
      <c r="Q108" s="8">
        <f>IFERROR(__xludf.DUMMYFUNCTION("""COMPUTED_VALUE"""),0.125)</f>
        <v>0.125</v>
      </c>
      <c r="R108" s="8">
        <f>IFERROR(__xludf.DUMMYFUNCTION("""COMPUTED_VALUE"""),0.0)</f>
        <v>0</v>
      </c>
      <c r="S108" s="8">
        <f>IFERROR(__xludf.DUMMYFUNCTION("""COMPUTED_VALUE"""),0.0)</f>
        <v>0</v>
      </c>
      <c r="T108" s="8">
        <f>IFERROR(__xludf.DUMMYFUNCTION("""COMPUTED_VALUE"""),0.0)</f>
        <v>0</v>
      </c>
      <c r="U108" s="8">
        <f>IFERROR(__xludf.DUMMYFUNCTION("""COMPUTED_VALUE"""),0.0)</f>
        <v>0</v>
      </c>
      <c r="V108" s="8">
        <f>IFERROR(__xludf.DUMMYFUNCTION("""COMPUTED_VALUE"""),0.0)</f>
        <v>0</v>
      </c>
      <c r="W108" s="8">
        <f>IFERROR(__xludf.DUMMYFUNCTION("""COMPUTED_VALUE"""),0.0)</f>
        <v>0</v>
      </c>
      <c r="X108" s="8">
        <f>IFERROR(__xludf.DUMMYFUNCTION("""COMPUTED_VALUE"""),0.0)</f>
        <v>0</v>
      </c>
      <c r="Y108" s="8">
        <f>IFERROR(__xludf.DUMMYFUNCTION("""COMPUTED_VALUE"""),0.0)</f>
        <v>0</v>
      </c>
      <c r="Z108" s="8">
        <f>IFERROR(__xludf.DUMMYFUNCTION("""COMPUTED_VALUE"""),0.0)</f>
        <v>0</v>
      </c>
      <c r="AA108" s="8">
        <f>IFERROR(__xludf.DUMMYFUNCTION("""COMPUTED_VALUE"""),0.0)</f>
        <v>0</v>
      </c>
      <c r="AB108" s="8">
        <f>IFERROR(__xludf.DUMMYFUNCTION("""COMPUTED_VALUE"""),0.0)</f>
        <v>0</v>
      </c>
      <c r="AC108" s="8">
        <f>IFERROR(__xludf.DUMMYFUNCTION("""COMPUTED_VALUE"""),0.0)</f>
        <v>0</v>
      </c>
    </row>
    <row r="109" ht="15.75" customHeight="1">
      <c r="A109" s="6" t="str">
        <f>IFERROR(__xludf.DUMMYFUNCTION("""COMPUTED_VALUE"""),"57ebfa5b58a3257a521a5b9c12c5af19771e4403")</f>
        <v>57ebfa5b58a3257a521a5b9c12c5af19771e4403</v>
      </c>
      <c r="B109" s="6" t="str">
        <f>IFERROR(__xludf.DUMMYFUNCTION("""COMPUTED_VALUE"""),"Unmasking the Bride")</f>
        <v>Unmasking the Bride</v>
      </c>
      <c r="C109" s="6" t="str">
        <f>IFERROR(__xludf.DUMMYFUNCTION("""COMPUTED_VALUE"""),"Romance")</f>
        <v>Romance</v>
      </c>
      <c r="D109" s="11">
        <f>IFERROR(__xludf.DUMMYFUNCTION("""COMPUTED_VALUE"""),70.0)</f>
        <v>70</v>
      </c>
      <c r="E109" s="8">
        <f>IFERROR(__xludf.DUMMYFUNCTION("""COMPUTED_VALUE"""),0.928571428571428)</f>
        <v>0.9285714286</v>
      </c>
      <c r="F109" s="8">
        <f>IFERROR(__xludf.DUMMYFUNCTION("""COMPUTED_VALUE"""),0.471428571428571)</f>
        <v>0.4714285714</v>
      </c>
      <c r="G109" s="8">
        <f>IFERROR(__xludf.DUMMYFUNCTION("""COMPUTED_VALUE"""),0.5)</f>
        <v>0.5</v>
      </c>
      <c r="H109" s="8">
        <f>IFERROR(__xludf.DUMMYFUNCTION("""COMPUTED_VALUE"""),0.442857142857142)</f>
        <v>0.4428571429</v>
      </c>
      <c r="I109" s="8">
        <f>IFERROR(__xludf.DUMMYFUNCTION("""COMPUTED_VALUE"""),0.371428571428571)</f>
        <v>0.3714285714</v>
      </c>
      <c r="J109" s="8">
        <f>IFERROR(__xludf.DUMMYFUNCTION("""COMPUTED_VALUE"""),0.357142857142857)</f>
        <v>0.3571428571</v>
      </c>
      <c r="K109" s="8">
        <f>IFERROR(__xludf.DUMMYFUNCTION("""COMPUTED_VALUE"""),0.357142857142857)</f>
        <v>0.3571428571</v>
      </c>
      <c r="L109" s="8">
        <f>IFERROR(__xludf.DUMMYFUNCTION("""COMPUTED_VALUE"""),0.357142857142857)</f>
        <v>0.3571428571</v>
      </c>
      <c r="M109" s="8">
        <f>IFERROR(__xludf.DUMMYFUNCTION("""COMPUTED_VALUE"""),0.285714285714285)</f>
        <v>0.2857142857</v>
      </c>
      <c r="N109" s="8">
        <f>IFERROR(__xludf.DUMMYFUNCTION("""COMPUTED_VALUE"""),0.257142857142857)</f>
        <v>0.2571428571</v>
      </c>
      <c r="O109" s="8">
        <f>IFERROR(__xludf.DUMMYFUNCTION("""COMPUTED_VALUE"""),0.279411764705882)</f>
        <v>0.2794117647</v>
      </c>
      <c r="P109" s="8">
        <f>IFERROR(__xludf.DUMMYFUNCTION("""COMPUTED_VALUE"""),0.0338983050847457)</f>
        <v>0.03389830508</v>
      </c>
      <c r="Q109" s="8">
        <f>IFERROR(__xludf.DUMMYFUNCTION("""COMPUTED_VALUE"""),0.0192307692307692)</f>
        <v>0.01923076923</v>
      </c>
      <c r="R109" s="8">
        <f>IFERROR(__xludf.DUMMYFUNCTION("""COMPUTED_VALUE"""),0.0)</f>
        <v>0</v>
      </c>
      <c r="S109" s="8">
        <f>IFERROR(__xludf.DUMMYFUNCTION("""COMPUTED_VALUE"""),0.0)</f>
        <v>0</v>
      </c>
      <c r="T109" s="8">
        <f>IFERROR(__xludf.DUMMYFUNCTION("""COMPUTED_VALUE"""),0.0)</f>
        <v>0</v>
      </c>
      <c r="U109" s="8">
        <f>IFERROR(__xludf.DUMMYFUNCTION("""COMPUTED_VALUE"""),0.0)</f>
        <v>0</v>
      </c>
      <c r="V109" s="8">
        <f>IFERROR(__xludf.DUMMYFUNCTION("""COMPUTED_VALUE"""),0.0)</f>
        <v>0</v>
      </c>
      <c r="W109" s="8">
        <f>IFERROR(__xludf.DUMMYFUNCTION("""COMPUTED_VALUE"""),0.0)</f>
        <v>0</v>
      </c>
      <c r="X109" s="8">
        <f>IFERROR(__xludf.DUMMYFUNCTION("""COMPUTED_VALUE"""),0.0)</f>
        <v>0</v>
      </c>
      <c r="Y109" s="8">
        <f>IFERROR(__xludf.DUMMYFUNCTION("""COMPUTED_VALUE"""),0.0)</f>
        <v>0</v>
      </c>
      <c r="Z109" s="8">
        <f>IFERROR(__xludf.DUMMYFUNCTION("""COMPUTED_VALUE"""),0.0)</f>
        <v>0</v>
      </c>
      <c r="AA109" s="8">
        <f>IFERROR(__xludf.DUMMYFUNCTION("""COMPUTED_VALUE"""),0.0)</f>
        <v>0</v>
      </c>
      <c r="AB109" s="8">
        <f>IFERROR(__xludf.DUMMYFUNCTION("""COMPUTED_VALUE"""),0.0)</f>
        <v>0</v>
      </c>
      <c r="AC109" s="8">
        <f>IFERROR(__xludf.DUMMYFUNCTION("""COMPUTED_VALUE"""),0.0)</f>
        <v>0</v>
      </c>
    </row>
    <row r="110" ht="15.75" customHeight="1">
      <c r="A110" s="6" t="str">
        <f>IFERROR(__xludf.DUMMYFUNCTION("""COMPUTED_VALUE"""),"5843f25ac24c8ba34301e2cfe9e73ddc0bfd8fc7")</f>
        <v>5843f25ac24c8ba34301e2cfe9e73ddc0bfd8fc7</v>
      </c>
      <c r="B110" s="6" t="str">
        <f>IFERROR(__xludf.DUMMYFUNCTION("""COMPUTED_VALUE"""),"The Fire Reborn Xavier")</f>
        <v>The Fire Reborn Xavier</v>
      </c>
      <c r="C110" s="6" t="str">
        <f>IFERROR(__xludf.DUMMYFUNCTION("""COMPUTED_VALUE"""),"System and Superpower")</f>
        <v>System and Superpower</v>
      </c>
      <c r="D110" s="11">
        <f>IFERROR(__xludf.DUMMYFUNCTION("""COMPUTED_VALUE"""),88.0)</f>
        <v>88</v>
      </c>
      <c r="E110" s="8">
        <f>IFERROR(__xludf.DUMMYFUNCTION("""COMPUTED_VALUE"""),0.931818181818181)</f>
        <v>0.9318181818</v>
      </c>
      <c r="F110" s="8">
        <f>IFERROR(__xludf.DUMMYFUNCTION("""COMPUTED_VALUE"""),0.522727272727272)</f>
        <v>0.5227272727</v>
      </c>
      <c r="G110" s="8">
        <f>IFERROR(__xludf.DUMMYFUNCTION("""COMPUTED_VALUE"""),0.443181818181818)</f>
        <v>0.4431818182</v>
      </c>
      <c r="H110" s="8">
        <f>IFERROR(__xludf.DUMMYFUNCTION("""COMPUTED_VALUE"""),0.395348837209302)</f>
        <v>0.3953488372</v>
      </c>
      <c r="I110" s="8">
        <f>IFERROR(__xludf.DUMMYFUNCTION("""COMPUTED_VALUE"""),0.325581395348837)</f>
        <v>0.3255813953</v>
      </c>
      <c r="J110" s="8">
        <f>IFERROR(__xludf.DUMMYFUNCTION("""COMPUTED_VALUE"""),0.27906976744186)</f>
        <v>0.2790697674</v>
      </c>
      <c r="K110" s="8">
        <f>IFERROR(__xludf.DUMMYFUNCTION("""COMPUTED_VALUE"""),0.267441860465116)</f>
        <v>0.2674418605</v>
      </c>
      <c r="L110" s="8">
        <f>IFERROR(__xludf.DUMMYFUNCTION("""COMPUTED_VALUE"""),0.270588235294117)</f>
        <v>0.2705882353</v>
      </c>
      <c r="M110" s="8">
        <f>IFERROR(__xludf.DUMMYFUNCTION("""COMPUTED_VALUE"""),0.268292682926829)</f>
        <v>0.2682926829</v>
      </c>
      <c r="N110" s="8">
        <f>IFERROR(__xludf.DUMMYFUNCTION("""COMPUTED_VALUE"""),0.236111111111111)</f>
        <v>0.2361111111</v>
      </c>
      <c r="O110" s="8">
        <f>IFERROR(__xludf.DUMMYFUNCTION("""COMPUTED_VALUE"""),0.1875)</f>
        <v>0.1875</v>
      </c>
      <c r="P110" s="8">
        <f>IFERROR(__xludf.DUMMYFUNCTION("""COMPUTED_VALUE"""),0.113636363636363)</f>
        <v>0.1136363636</v>
      </c>
      <c r="Q110" s="8">
        <f>IFERROR(__xludf.DUMMYFUNCTION("""COMPUTED_VALUE"""),0.0975609756097561)</f>
        <v>0.09756097561</v>
      </c>
      <c r="R110" s="8">
        <f>IFERROR(__xludf.DUMMYFUNCTION("""COMPUTED_VALUE"""),0.125)</f>
        <v>0.125</v>
      </c>
      <c r="S110" s="8">
        <f>IFERROR(__xludf.DUMMYFUNCTION("""COMPUTED_VALUE"""),0.0)</f>
        <v>0</v>
      </c>
      <c r="T110" s="8">
        <f>IFERROR(__xludf.DUMMYFUNCTION("""COMPUTED_VALUE"""),0.0)</f>
        <v>0</v>
      </c>
      <c r="U110" s="8">
        <f>IFERROR(__xludf.DUMMYFUNCTION("""COMPUTED_VALUE"""),0.0)</f>
        <v>0</v>
      </c>
      <c r="V110" s="8">
        <f>IFERROR(__xludf.DUMMYFUNCTION("""COMPUTED_VALUE"""),0.0)</f>
        <v>0</v>
      </c>
      <c r="W110" s="8">
        <f>IFERROR(__xludf.DUMMYFUNCTION("""COMPUTED_VALUE"""),0.0)</f>
        <v>0</v>
      </c>
      <c r="X110" s="8">
        <f>IFERROR(__xludf.DUMMYFUNCTION("""COMPUTED_VALUE"""),0.0)</f>
        <v>0</v>
      </c>
      <c r="Y110" s="8">
        <f>IFERROR(__xludf.DUMMYFUNCTION("""COMPUTED_VALUE"""),0.0)</f>
        <v>0</v>
      </c>
      <c r="Z110" s="8">
        <f>IFERROR(__xludf.DUMMYFUNCTION("""COMPUTED_VALUE"""),0.0)</f>
        <v>0</v>
      </c>
      <c r="AA110" s="8">
        <f>IFERROR(__xludf.DUMMYFUNCTION("""COMPUTED_VALUE"""),0.0)</f>
        <v>0</v>
      </c>
      <c r="AB110" s="8">
        <f>IFERROR(__xludf.DUMMYFUNCTION("""COMPUTED_VALUE"""),0.0)</f>
        <v>0</v>
      </c>
      <c r="AC110" s="8">
        <f>IFERROR(__xludf.DUMMYFUNCTION("""COMPUTED_VALUE"""),0.0)</f>
        <v>0</v>
      </c>
    </row>
    <row r="111" ht="15.75" customHeight="1">
      <c r="A111" s="6" t="str">
        <f>IFERROR(__xludf.DUMMYFUNCTION("""COMPUTED_VALUE"""),"596d213162507bbf543b3c2a618f8bb54acd4623")</f>
        <v>596d213162507bbf543b3c2a618f8bb54acd4623</v>
      </c>
      <c r="B111" s="6" t="str">
        <f>IFERROR(__xludf.DUMMYFUNCTION("""COMPUTED_VALUE"""),"Echoes of Regrets")</f>
        <v>Echoes of Regrets</v>
      </c>
      <c r="C111" s="6" t="str">
        <f>IFERROR(__xludf.DUMMYFUNCTION("""COMPUTED_VALUE"""),"Romance")</f>
        <v>Romance</v>
      </c>
      <c r="D111" s="11">
        <f>IFERROR(__xludf.DUMMYFUNCTION("""COMPUTED_VALUE"""),172.0)</f>
        <v>172</v>
      </c>
      <c r="E111" s="8">
        <f>IFERROR(__xludf.DUMMYFUNCTION("""COMPUTED_VALUE"""),0.976744186046511)</f>
        <v>0.976744186</v>
      </c>
      <c r="F111" s="8">
        <f>IFERROR(__xludf.DUMMYFUNCTION("""COMPUTED_VALUE"""),0.627906976744186)</f>
        <v>0.6279069767</v>
      </c>
      <c r="G111" s="8">
        <f>IFERROR(__xludf.DUMMYFUNCTION("""COMPUTED_VALUE"""),0.569767441860465)</f>
        <v>0.5697674419</v>
      </c>
      <c r="H111" s="8">
        <f>IFERROR(__xludf.DUMMYFUNCTION("""COMPUTED_VALUE"""),0.465408805031446)</f>
        <v>0.465408805</v>
      </c>
      <c r="I111" s="8">
        <f>IFERROR(__xludf.DUMMYFUNCTION("""COMPUTED_VALUE"""),0.423841059602649)</f>
        <v>0.4238410596</v>
      </c>
      <c r="J111" s="8">
        <f>IFERROR(__xludf.DUMMYFUNCTION("""COMPUTED_VALUE"""),0.384615384615384)</f>
        <v>0.3846153846</v>
      </c>
      <c r="K111" s="8">
        <f>IFERROR(__xludf.DUMMYFUNCTION("""COMPUTED_VALUE"""),0.363636363636363)</f>
        <v>0.3636363636</v>
      </c>
      <c r="L111" s="8">
        <f>IFERROR(__xludf.DUMMYFUNCTION("""COMPUTED_VALUE"""),0.372340425531914)</f>
        <v>0.3723404255</v>
      </c>
      <c r="M111" s="8">
        <f>IFERROR(__xludf.DUMMYFUNCTION("""COMPUTED_VALUE"""),0.3875)</f>
        <v>0.3875</v>
      </c>
      <c r="N111" s="8">
        <f>IFERROR(__xludf.DUMMYFUNCTION("""COMPUTED_VALUE"""),0.298507462686567)</f>
        <v>0.2985074627</v>
      </c>
      <c r="O111" s="8">
        <f>IFERROR(__xludf.DUMMYFUNCTION("""COMPUTED_VALUE"""),0.339622641509433)</f>
        <v>0.3396226415</v>
      </c>
      <c r="P111" s="8">
        <f>IFERROR(__xludf.DUMMYFUNCTION("""COMPUTED_VALUE"""),0.283018867924528)</f>
        <v>0.2830188679</v>
      </c>
      <c r="Q111" s="8">
        <f>IFERROR(__xludf.DUMMYFUNCTION("""COMPUTED_VALUE"""),0.225806451612903)</f>
        <v>0.2258064516</v>
      </c>
      <c r="R111" s="8">
        <f>IFERROR(__xludf.DUMMYFUNCTION("""COMPUTED_VALUE"""),0.0)</f>
        <v>0</v>
      </c>
      <c r="S111" s="8">
        <f>IFERROR(__xludf.DUMMYFUNCTION("""COMPUTED_VALUE"""),0.0)</f>
        <v>0</v>
      </c>
      <c r="T111" s="8">
        <f>IFERROR(__xludf.DUMMYFUNCTION("""COMPUTED_VALUE"""),0.0)</f>
        <v>0</v>
      </c>
      <c r="U111" s="8">
        <f>IFERROR(__xludf.DUMMYFUNCTION("""COMPUTED_VALUE"""),0.0)</f>
        <v>0</v>
      </c>
      <c r="V111" s="8">
        <f>IFERROR(__xludf.DUMMYFUNCTION("""COMPUTED_VALUE"""),0.0)</f>
        <v>0</v>
      </c>
      <c r="W111" s="8">
        <f>IFERROR(__xludf.DUMMYFUNCTION("""COMPUTED_VALUE"""),0.0)</f>
        <v>0</v>
      </c>
      <c r="X111" s="8">
        <f>IFERROR(__xludf.DUMMYFUNCTION("""COMPUTED_VALUE"""),0.0)</f>
        <v>0</v>
      </c>
      <c r="Y111" s="8">
        <f>IFERROR(__xludf.DUMMYFUNCTION("""COMPUTED_VALUE"""),0.0)</f>
        <v>0</v>
      </c>
      <c r="Z111" s="8">
        <f>IFERROR(__xludf.DUMMYFUNCTION("""COMPUTED_VALUE"""),0.0)</f>
        <v>0</v>
      </c>
      <c r="AA111" s="8">
        <f>IFERROR(__xludf.DUMMYFUNCTION("""COMPUTED_VALUE"""),0.0)</f>
        <v>0</v>
      </c>
      <c r="AB111" s="8">
        <f>IFERROR(__xludf.DUMMYFUNCTION("""COMPUTED_VALUE"""),0.0)</f>
        <v>0</v>
      </c>
      <c r="AC111" s="8">
        <f>IFERROR(__xludf.DUMMYFUNCTION("""COMPUTED_VALUE"""),0.0)</f>
        <v>0</v>
      </c>
    </row>
    <row r="112" ht="15.75" customHeight="1">
      <c r="A112" s="6" t="str">
        <f>IFERROR(__xludf.DUMMYFUNCTION("""COMPUTED_VALUE"""),"5c0a4a3bda3c16a4ed94c8945bade52e165a2848")</f>
        <v>5c0a4a3bda3c16a4ed94c8945bade52e165a2848</v>
      </c>
      <c r="B112" s="6" t="str">
        <f>IFERROR(__xludf.DUMMYFUNCTION("""COMPUTED_VALUE"""),"Bound to Reclusive Alpha")</f>
        <v>Bound to Reclusive Alpha</v>
      </c>
      <c r="C112" s="6" t="str">
        <f>IFERROR(__xludf.DUMMYFUNCTION("""COMPUTED_VALUE"""),"Fantasy")</f>
        <v>Fantasy</v>
      </c>
      <c r="D112" s="11">
        <f>IFERROR(__xludf.DUMMYFUNCTION("""COMPUTED_VALUE"""),655.0)</f>
        <v>655</v>
      </c>
      <c r="E112" s="8">
        <f>IFERROR(__xludf.DUMMYFUNCTION("""COMPUTED_VALUE"""),0.983206106870229)</f>
        <v>0.9832061069</v>
      </c>
      <c r="F112" s="8">
        <f>IFERROR(__xludf.DUMMYFUNCTION("""COMPUTED_VALUE"""),0.538931297709923)</f>
        <v>0.5389312977</v>
      </c>
      <c r="G112" s="8">
        <f>IFERROR(__xludf.DUMMYFUNCTION("""COMPUTED_VALUE"""),0.471755725190839)</f>
        <v>0.4717557252</v>
      </c>
      <c r="H112" s="8">
        <f>IFERROR(__xludf.DUMMYFUNCTION("""COMPUTED_VALUE"""),0.425159235668789)</f>
        <v>0.4251592357</v>
      </c>
      <c r="I112" s="8">
        <f>IFERROR(__xludf.DUMMYFUNCTION("""COMPUTED_VALUE"""),0.3856)</f>
        <v>0.3856</v>
      </c>
      <c r="J112" s="8">
        <f>IFERROR(__xludf.DUMMYFUNCTION("""COMPUTED_VALUE"""),0.349025974025974)</f>
        <v>0.349025974</v>
      </c>
      <c r="K112" s="8">
        <f>IFERROR(__xludf.DUMMYFUNCTION("""COMPUTED_VALUE"""),0.321895424836601)</f>
        <v>0.3218954248</v>
      </c>
      <c r="L112" s="8">
        <f>IFERROR(__xludf.DUMMYFUNCTION("""COMPUTED_VALUE"""),0.305227655986509)</f>
        <v>0.305227656</v>
      </c>
      <c r="M112" s="8">
        <f>IFERROR(__xludf.DUMMYFUNCTION("""COMPUTED_VALUE"""),0.280276816608996)</f>
        <v>0.2802768166</v>
      </c>
      <c r="N112" s="8">
        <f>IFERROR(__xludf.DUMMYFUNCTION("""COMPUTED_VALUE"""),0.243772241992882)</f>
        <v>0.243772242</v>
      </c>
      <c r="O112" s="8">
        <f>IFERROR(__xludf.DUMMYFUNCTION("""COMPUTED_VALUE"""),0.206214689265536)</f>
        <v>0.2062146893</v>
      </c>
      <c r="P112" s="8">
        <f>IFERROR(__xludf.DUMMYFUNCTION("""COMPUTED_VALUE"""),0.2)</f>
        <v>0.2</v>
      </c>
      <c r="Q112" s="8">
        <f>IFERROR(__xludf.DUMMYFUNCTION("""COMPUTED_VALUE"""),0.0421686746987951)</f>
        <v>0.0421686747</v>
      </c>
      <c r="R112" s="8">
        <f>IFERROR(__xludf.DUMMYFUNCTION("""COMPUTED_VALUE"""),0.03125)</f>
        <v>0.03125</v>
      </c>
      <c r="S112" s="8">
        <f>IFERROR(__xludf.DUMMYFUNCTION("""COMPUTED_VALUE"""),0.0769230769230769)</f>
        <v>0.07692307692</v>
      </c>
      <c r="T112" s="8">
        <f>IFERROR(__xludf.DUMMYFUNCTION("""COMPUTED_VALUE"""),0.0)</f>
        <v>0</v>
      </c>
      <c r="U112" s="8">
        <f>IFERROR(__xludf.DUMMYFUNCTION("""COMPUTED_VALUE"""),0.0)</f>
        <v>0</v>
      </c>
      <c r="V112" s="8">
        <f>IFERROR(__xludf.DUMMYFUNCTION("""COMPUTED_VALUE"""),0.0)</f>
        <v>0</v>
      </c>
      <c r="W112" s="8">
        <f>IFERROR(__xludf.DUMMYFUNCTION("""COMPUTED_VALUE"""),0.0)</f>
        <v>0</v>
      </c>
      <c r="X112" s="8">
        <f>IFERROR(__xludf.DUMMYFUNCTION("""COMPUTED_VALUE"""),0.0)</f>
        <v>0</v>
      </c>
      <c r="Y112" s="8">
        <f>IFERROR(__xludf.DUMMYFUNCTION("""COMPUTED_VALUE"""),0.0)</f>
        <v>0</v>
      </c>
      <c r="Z112" s="8">
        <f>IFERROR(__xludf.DUMMYFUNCTION("""COMPUTED_VALUE"""),0.0)</f>
        <v>0</v>
      </c>
      <c r="AA112" s="8">
        <f>IFERROR(__xludf.DUMMYFUNCTION("""COMPUTED_VALUE"""),0.0)</f>
        <v>0</v>
      </c>
      <c r="AB112" s="8">
        <f>IFERROR(__xludf.DUMMYFUNCTION("""COMPUTED_VALUE"""),0.0)</f>
        <v>0</v>
      </c>
      <c r="AC112" s="8">
        <f>IFERROR(__xludf.DUMMYFUNCTION("""COMPUTED_VALUE"""),0.0)</f>
        <v>0</v>
      </c>
    </row>
    <row r="113" ht="15.75" customHeight="1">
      <c r="A113" s="6" t="str">
        <f>IFERROR(__xludf.DUMMYFUNCTION("""COMPUTED_VALUE"""),"5cf4b46f18d6bb7294440595874ef70922a2b9a3")</f>
        <v>5cf4b46f18d6bb7294440595874ef70922a2b9a3</v>
      </c>
      <c r="B113" s="6" t="str">
        <f>IFERROR(__xludf.DUMMYFUNCTION("""COMPUTED_VALUE"""),"Alabama Royal")</f>
        <v>Alabama Royal</v>
      </c>
      <c r="C113" s="6" t="str">
        <f>IFERROR(__xludf.DUMMYFUNCTION("""COMPUTED_VALUE"""),"Romance")</f>
        <v>Romance</v>
      </c>
      <c r="D113" s="11">
        <f>IFERROR(__xludf.DUMMYFUNCTION("""COMPUTED_VALUE"""),518.0)</f>
        <v>518</v>
      </c>
      <c r="E113" s="8">
        <f>IFERROR(__xludf.DUMMYFUNCTION("""COMPUTED_VALUE"""),0.974903474903475)</f>
        <v>0.9749034749</v>
      </c>
      <c r="F113" s="8">
        <f>IFERROR(__xludf.DUMMYFUNCTION("""COMPUTED_VALUE"""),0.482625482625482)</f>
        <v>0.4826254826</v>
      </c>
      <c r="G113" s="8">
        <f>IFERROR(__xludf.DUMMYFUNCTION("""COMPUTED_VALUE"""),0.436293436293436)</f>
        <v>0.4362934363</v>
      </c>
      <c r="H113" s="8">
        <f>IFERROR(__xludf.DUMMYFUNCTION("""COMPUTED_VALUE"""),0.398452611218568)</f>
        <v>0.3984526112</v>
      </c>
      <c r="I113" s="8">
        <f>IFERROR(__xludf.DUMMYFUNCTION("""COMPUTED_VALUE"""),0.366279069767441)</f>
        <v>0.3662790698</v>
      </c>
      <c r="J113" s="8">
        <f>IFERROR(__xludf.DUMMYFUNCTION("""COMPUTED_VALUE"""),0.321705426356589)</f>
        <v>0.3217054264</v>
      </c>
      <c r="K113" s="8">
        <f>IFERROR(__xludf.DUMMYFUNCTION("""COMPUTED_VALUE"""),0.30813953488372)</f>
        <v>0.3081395349</v>
      </c>
      <c r="L113" s="8">
        <f>IFERROR(__xludf.DUMMYFUNCTION("""COMPUTED_VALUE"""),0.284883720930232)</f>
        <v>0.2848837209</v>
      </c>
      <c r="M113" s="8">
        <f>IFERROR(__xludf.DUMMYFUNCTION("""COMPUTED_VALUE"""),0.267961165048543)</f>
        <v>0.267961165</v>
      </c>
      <c r="N113" s="8">
        <f>IFERROR(__xludf.DUMMYFUNCTION("""COMPUTED_VALUE"""),0.2568093385214)</f>
        <v>0.2568093385</v>
      </c>
      <c r="O113" s="8">
        <f>IFERROR(__xludf.DUMMYFUNCTION("""COMPUTED_VALUE"""),0.215568862275449)</f>
        <v>0.2155688623</v>
      </c>
      <c r="P113" s="8">
        <f>IFERROR(__xludf.DUMMYFUNCTION("""COMPUTED_VALUE"""),0.184210526315789)</f>
        <v>0.1842105263</v>
      </c>
      <c r="Q113" s="8">
        <f>IFERROR(__xludf.DUMMYFUNCTION("""COMPUTED_VALUE"""),0.131944444444444)</f>
        <v>0.1319444444</v>
      </c>
      <c r="R113" s="8">
        <f>IFERROR(__xludf.DUMMYFUNCTION("""COMPUTED_VALUE"""),0.0)</f>
        <v>0</v>
      </c>
      <c r="S113" s="8">
        <f>IFERROR(__xludf.DUMMYFUNCTION("""COMPUTED_VALUE"""),0.0)</f>
        <v>0</v>
      </c>
      <c r="T113" s="8">
        <f>IFERROR(__xludf.DUMMYFUNCTION("""COMPUTED_VALUE"""),0.0)</f>
        <v>0</v>
      </c>
      <c r="U113" s="8">
        <f>IFERROR(__xludf.DUMMYFUNCTION("""COMPUTED_VALUE"""),0.0)</f>
        <v>0</v>
      </c>
      <c r="V113" s="8">
        <f>IFERROR(__xludf.DUMMYFUNCTION("""COMPUTED_VALUE"""),0.0)</f>
        <v>0</v>
      </c>
      <c r="W113" s="8">
        <f>IFERROR(__xludf.DUMMYFUNCTION("""COMPUTED_VALUE"""),0.0)</f>
        <v>0</v>
      </c>
      <c r="X113" s="8">
        <f>IFERROR(__xludf.DUMMYFUNCTION("""COMPUTED_VALUE"""),0.0)</f>
        <v>0</v>
      </c>
      <c r="Y113" s="8">
        <f>IFERROR(__xludf.DUMMYFUNCTION("""COMPUTED_VALUE"""),0.0)</f>
        <v>0</v>
      </c>
      <c r="Z113" s="8">
        <f>IFERROR(__xludf.DUMMYFUNCTION("""COMPUTED_VALUE"""),0.0)</f>
        <v>0</v>
      </c>
      <c r="AA113" s="8">
        <f>IFERROR(__xludf.DUMMYFUNCTION("""COMPUTED_VALUE"""),0.0)</f>
        <v>0</v>
      </c>
      <c r="AB113" s="8">
        <f>IFERROR(__xludf.DUMMYFUNCTION("""COMPUTED_VALUE"""),0.0)</f>
        <v>0</v>
      </c>
      <c r="AC113" s="8">
        <f>IFERROR(__xludf.DUMMYFUNCTION("""COMPUTED_VALUE"""),0.0)</f>
        <v>0</v>
      </c>
    </row>
    <row r="114" ht="15.75" customHeight="1">
      <c r="A114" s="6" t="str">
        <f>IFERROR(__xludf.DUMMYFUNCTION("""COMPUTED_VALUE"""),"5d4e7e8696e74e383e0ea0e4f4f535ba9758496a")</f>
        <v>5d4e7e8696e74e383e0ea0e4f4f535ba9758496a</v>
      </c>
      <c r="B114" s="6" t="str">
        <f>IFERROR(__xludf.DUMMYFUNCTION("""COMPUTED_VALUE"""),"Who Fathered My Twins")</f>
        <v>Who Fathered My Twins</v>
      </c>
      <c r="C114" s="6" t="str">
        <f>IFERROR(__xludf.DUMMYFUNCTION("""COMPUTED_VALUE"""),"Romance")</f>
        <v>Romance</v>
      </c>
      <c r="D114" s="11">
        <f>IFERROR(__xludf.DUMMYFUNCTION("""COMPUTED_VALUE"""),100.0)</f>
        <v>100</v>
      </c>
      <c r="E114" s="8">
        <f>IFERROR(__xludf.DUMMYFUNCTION("""COMPUTED_VALUE"""),0.94)</f>
        <v>0.94</v>
      </c>
      <c r="F114" s="8">
        <f>IFERROR(__xludf.DUMMYFUNCTION("""COMPUTED_VALUE"""),0.64)</f>
        <v>0.64</v>
      </c>
      <c r="G114" s="8">
        <f>IFERROR(__xludf.DUMMYFUNCTION("""COMPUTED_VALUE"""),0.58)</f>
        <v>0.58</v>
      </c>
      <c r="H114" s="8">
        <f>IFERROR(__xludf.DUMMYFUNCTION("""COMPUTED_VALUE"""),0.56)</f>
        <v>0.56</v>
      </c>
      <c r="I114" s="8">
        <f>IFERROR(__xludf.DUMMYFUNCTION("""COMPUTED_VALUE"""),0.52)</f>
        <v>0.52</v>
      </c>
      <c r="J114" s="8">
        <f>IFERROR(__xludf.DUMMYFUNCTION("""COMPUTED_VALUE"""),0.55)</f>
        <v>0.55</v>
      </c>
      <c r="K114" s="8">
        <f>IFERROR(__xludf.DUMMYFUNCTION("""COMPUTED_VALUE"""),0.5)</f>
        <v>0.5</v>
      </c>
      <c r="L114" s="8">
        <f>IFERROR(__xludf.DUMMYFUNCTION("""COMPUTED_VALUE"""),0.47)</f>
        <v>0.47</v>
      </c>
      <c r="M114" s="8">
        <f>IFERROR(__xludf.DUMMYFUNCTION("""COMPUTED_VALUE"""),0.51)</f>
        <v>0.51</v>
      </c>
      <c r="N114" s="8">
        <f>IFERROR(__xludf.DUMMYFUNCTION("""COMPUTED_VALUE"""),0.505263157894736)</f>
        <v>0.5052631579</v>
      </c>
      <c r="O114" s="8">
        <f>IFERROR(__xludf.DUMMYFUNCTION("""COMPUTED_VALUE"""),0.476190476190476)</f>
        <v>0.4761904762</v>
      </c>
      <c r="P114" s="8">
        <f>IFERROR(__xludf.DUMMYFUNCTION("""COMPUTED_VALUE"""),0.219512195121951)</f>
        <v>0.2195121951</v>
      </c>
      <c r="Q114" s="8">
        <f>IFERROR(__xludf.DUMMYFUNCTION("""COMPUTED_VALUE"""),0.072463768115942)</f>
        <v>0.07246376812</v>
      </c>
      <c r="R114" s="8">
        <f>IFERROR(__xludf.DUMMYFUNCTION("""COMPUTED_VALUE"""),0.111111111111111)</f>
        <v>0.1111111111</v>
      </c>
      <c r="S114" s="8">
        <f>IFERROR(__xludf.DUMMYFUNCTION("""COMPUTED_VALUE"""),0.0)</f>
        <v>0</v>
      </c>
      <c r="T114" s="8">
        <f>IFERROR(__xludf.DUMMYFUNCTION("""COMPUTED_VALUE"""),0.0)</f>
        <v>0</v>
      </c>
      <c r="U114" s="8">
        <f>IFERROR(__xludf.DUMMYFUNCTION("""COMPUTED_VALUE"""),0.0)</f>
        <v>0</v>
      </c>
      <c r="V114" s="8">
        <f>IFERROR(__xludf.DUMMYFUNCTION("""COMPUTED_VALUE"""),0.0)</f>
        <v>0</v>
      </c>
      <c r="W114" s="8">
        <f>IFERROR(__xludf.DUMMYFUNCTION("""COMPUTED_VALUE"""),0.0)</f>
        <v>0</v>
      </c>
      <c r="X114" s="8">
        <f>IFERROR(__xludf.DUMMYFUNCTION("""COMPUTED_VALUE"""),0.0)</f>
        <v>0</v>
      </c>
      <c r="Y114" s="8">
        <f>IFERROR(__xludf.DUMMYFUNCTION("""COMPUTED_VALUE"""),0.0)</f>
        <v>0</v>
      </c>
      <c r="Z114" s="8">
        <f>IFERROR(__xludf.DUMMYFUNCTION("""COMPUTED_VALUE"""),0.0)</f>
        <v>0</v>
      </c>
      <c r="AA114" s="8">
        <f>IFERROR(__xludf.DUMMYFUNCTION("""COMPUTED_VALUE"""),0.0)</f>
        <v>0</v>
      </c>
      <c r="AB114" s="8">
        <f>IFERROR(__xludf.DUMMYFUNCTION("""COMPUTED_VALUE"""),0.0)</f>
        <v>0</v>
      </c>
      <c r="AC114" s="8">
        <f>IFERROR(__xludf.DUMMYFUNCTION("""COMPUTED_VALUE"""),0.0)</f>
        <v>0</v>
      </c>
    </row>
    <row r="115" ht="15.75" customHeight="1">
      <c r="A115" s="6" t="str">
        <f>IFERROR(__xludf.DUMMYFUNCTION("""COMPUTED_VALUE"""),"5e570d3fccfb5029774b4d9f9669429f580d0791")</f>
        <v>5e570d3fccfb5029774b4d9f9669429f580d0791</v>
      </c>
      <c r="B115" s="6" t="str">
        <f>IFERROR(__xludf.DUMMYFUNCTION("""COMPUTED_VALUE"""),"Princess Ebony &amp; the Silver Dragon")</f>
        <v>Princess Ebony &amp; the Silver Dragon</v>
      </c>
      <c r="C115" s="6" t="str">
        <f>IFERROR(__xludf.DUMMYFUNCTION("""COMPUTED_VALUE"""),"Fantasy")</f>
        <v>Fantasy</v>
      </c>
      <c r="D115" s="11">
        <f>IFERROR(__xludf.DUMMYFUNCTION("""COMPUTED_VALUE"""),1060.0)</f>
        <v>1060</v>
      </c>
      <c r="E115" s="8">
        <f>IFERROR(__xludf.DUMMYFUNCTION("""COMPUTED_VALUE"""),0.929245283018867)</f>
        <v>0.929245283</v>
      </c>
      <c r="F115" s="8">
        <f>IFERROR(__xludf.DUMMYFUNCTION("""COMPUTED_VALUE"""),0.659433962264151)</f>
        <v>0.6594339623</v>
      </c>
      <c r="G115" s="8">
        <f>IFERROR(__xludf.DUMMYFUNCTION("""COMPUTED_VALUE"""),0.600943396226415)</f>
        <v>0.6009433962</v>
      </c>
      <c r="H115" s="8">
        <f>IFERROR(__xludf.DUMMYFUNCTION("""COMPUTED_VALUE"""),0.569811320754717)</f>
        <v>0.5698113208</v>
      </c>
      <c r="I115" s="8">
        <f>IFERROR(__xludf.DUMMYFUNCTION("""COMPUTED_VALUE"""),0.563739376770538)</f>
        <v>0.5637393768</v>
      </c>
      <c r="J115" s="8">
        <f>IFERROR(__xludf.DUMMYFUNCTION("""COMPUTED_VALUE"""),0.544853635505193)</f>
        <v>0.5448536355</v>
      </c>
      <c r="K115" s="8">
        <f>IFERROR(__xludf.DUMMYFUNCTION("""COMPUTED_VALUE"""),0.520302171860245)</f>
        <v>0.5203021719</v>
      </c>
      <c r="L115" s="8">
        <f>IFERROR(__xludf.DUMMYFUNCTION("""COMPUTED_VALUE"""),0.510859301227573)</f>
        <v>0.5108593012</v>
      </c>
      <c r="M115" s="8">
        <f>IFERROR(__xludf.DUMMYFUNCTION("""COMPUTED_VALUE"""),0.503305004721435)</f>
        <v>0.5033050047</v>
      </c>
      <c r="N115" s="8">
        <f>IFERROR(__xludf.DUMMYFUNCTION("""COMPUTED_VALUE"""),0.492917847025495)</f>
        <v>0.492917847</v>
      </c>
      <c r="O115" s="8">
        <f>IFERROR(__xludf.DUMMYFUNCTION("""COMPUTED_VALUE"""),0.456090651558073)</f>
        <v>0.4560906516</v>
      </c>
      <c r="P115" s="8">
        <f>IFERROR(__xludf.DUMMYFUNCTION("""COMPUTED_VALUE"""),0.400377714825306)</f>
        <v>0.4003777148</v>
      </c>
      <c r="Q115" s="8">
        <f>IFERROR(__xludf.DUMMYFUNCTION("""COMPUTED_VALUE"""),0.319169027384324)</f>
        <v>0.3191690274</v>
      </c>
      <c r="R115" s="8">
        <f>IFERROR(__xludf.DUMMYFUNCTION("""COMPUTED_VALUE"""),0.297731568998109)</f>
        <v>0.297731569</v>
      </c>
      <c r="S115" s="8">
        <f>IFERROR(__xludf.DUMMYFUNCTION("""COMPUTED_VALUE"""),0.257088846880907)</f>
        <v>0.2570888469</v>
      </c>
      <c r="T115" s="8">
        <f>IFERROR(__xludf.DUMMYFUNCTION("""COMPUTED_VALUE"""),0.215500945179584)</f>
        <v>0.2155009452</v>
      </c>
      <c r="U115" s="8">
        <f>IFERROR(__xludf.DUMMYFUNCTION("""COMPUTED_VALUE"""),0.172323759791122)</f>
        <v>0.1723237598</v>
      </c>
      <c r="V115" s="8">
        <f>IFERROR(__xludf.DUMMYFUNCTION("""COMPUTED_VALUE"""),0.120622568093385)</f>
        <v>0.1206225681</v>
      </c>
      <c r="W115" s="8">
        <f>IFERROR(__xludf.DUMMYFUNCTION("""COMPUTED_VALUE"""),0.108108108108108)</f>
        <v>0.1081081081</v>
      </c>
      <c r="X115" s="8">
        <f>IFERROR(__xludf.DUMMYFUNCTION("""COMPUTED_VALUE"""),0.0259740259740259)</f>
        <v>0.02597402597</v>
      </c>
      <c r="Y115" s="8">
        <f>IFERROR(__xludf.DUMMYFUNCTION("""COMPUTED_VALUE"""),0.05)</f>
        <v>0.05</v>
      </c>
      <c r="Z115" s="8">
        <f>IFERROR(__xludf.DUMMYFUNCTION("""COMPUTED_VALUE"""),0.0)</f>
        <v>0</v>
      </c>
      <c r="AA115" s="8">
        <f>IFERROR(__xludf.DUMMYFUNCTION("""COMPUTED_VALUE"""),0.0)</f>
        <v>0</v>
      </c>
      <c r="AB115" s="8">
        <f>IFERROR(__xludf.DUMMYFUNCTION("""COMPUTED_VALUE"""),0.0)</f>
        <v>0</v>
      </c>
      <c r="AC115" s="8">
        <f>IFERROR(__xludf.DUMMYFUNCTION("""COMPUTED_VALUE"""),0.0)</f>
        <v>0</v>
      </c>
    </row>
    <row r="116" ht="15.75" customHeight="1">
      <c r="A116" s="6" t="str">
        <f>IFERROR(__xludf.DUMMYFUNCTION("""COMPUTED_VALUE"""),"600fd3dce36442cc62b42d3dc874d91d13e1d8e4")</f>
        <v>600fd3dce36442cc62b42d3dc874d91d13e1d8e4</v>
      </c>
      <c r="B116" s="6" t="str">
        <f>IFERROR(__xludf.DUMMYFUNCTION("""COMPUTED_VALUE"""),"Solo Leveling Respawn")</f>
        <v>Solo Leveling Respawn</v>
      </c>
      <c r="C116" s="6" t="str">
        <f>IFERROR(__xludf.DUMMYFUNCTION("""COMPUTED_VALUE"""),"System and Superpower")</f>
        <v>System and Superpower</v>
      </c>
      <c r="D116" s="11">
        <f>IFERROR(__xludf.DUMMYFUNCTION("""COMPUTED_VALUE"""),9.0)</f>
        <v>9</v>
      </c>
      <c r="E116" s="8">
        <f>IFERROR(__xludf.DUMMYFUNCTION("""COMPUTED_VALUE"""),1.0)</f>
        <v>1</v>
      </c>
      <c r="F116" s="8">
        <f>IFERROR(__xludf.DUMMYFUNCTION("""COMPUTED_VALUE"""),0.333333333333333)</f>
        <v>0.3333333333</v>
      </c>
      <c r="G116" s="8">
        <f>IFERROR(__xludf.DUMMYFUNCTION("""COMPUTED_VALUE"""),0.222222222222222)</f>
        <v>0.2222222222</v>
      </c>
      <c r="H116" s="8">
        <f>IFERROR(__xludf.DUMMYFUNCTION("""COMPUTED_VALUE"""),0.222222222222222)</f>
        <v>0.2222222222</v>
      </c>
      <c r="I116" s="8">
        <f>IFERROR(__xludf.DUMMYFUNCTION("""COMPUTED_VALUE"""),0.111111111111111)</f>
        <v>0.1111111111</v>
      </c>
      <c r="J116" s="8">
        <f>IFERROR(__xludf.DUMMYFUNCTION("""COMPUTED_VALUE"""),0.0)</f>
        <v>0</v>
      </c>
      <c r="K116" s="8">
        <f>IFERROR(__xludf.DUMMYFUNCTION("""COMPUTED_VALUE"""),0.0)</f>
        <v>0</v>
      </c>
      <c r="L116" s="8">
        <f>IFERROR(__xludf.DUMMYFUNCTION("""COMPUTED_VALUE"""),0.0)</f>
        <v>0</v>
      </c>
      <c r="M116" s="8">
        <f>IFERROR(__xludf.DUMMYFUNCTION("""COMPUTED_VALUE"""),0.0)</f>
        <v>0</v>
      </c>
      <c r="N116" s="8">
        <f>IFERROR(__xludf.DUMMYFUNCTION("""COMPUTED_VALUE"""),0.0)</f>
        <v>0</v>
      </c>
      <c r="O116" s="8">
        <f>IFERROR(__xludf.DUMMYFUNCTION("""COMPUTED_VALUE"""),0.0)</f>
        <v>0</v>
      </c>
      <c r="P116" s="8">
        <f>IFERROR(__xludf.DUMMYFUNCTION("""COMPUTED_VALUE"""),0.0)</f>
        <v>0</v>
      </c>
      <c r="Q116" s="8">
        <f>IFERROR(__xludf.DUMMYFUNCTION("""COMPUTED_VALUE"""),0.0)</f>
        <v>0</v>
      </c>
      <c r="R116" s="8">
        <f>IFERROR(__xludf.DUMMYFUNCTION("""COMPUTED_VALUE"""),0.0)</f>
        <v>0</v>
      </c>
      <c r="S116" s="8">
        <f>IFERROR(__xludf.DUMMYFUNCTION("""COMPUTED_VALUE"""),0.0)</f>
        <v>0</v>
      </c>
      <c r="T116" s="8">
        <f>IFERROR(__xludf.DUMMYFUNCTION("""COMPUTED_VALUE"""),0.0)</f>
        <v>0</v>
      </c>
      <c r="U116" s="8">
        <f>IFERROR(__xludf.DUMMYFUNCTION("""COMPUTED_VALUE"""),0.0)</f>
        <v>0</v>
      </c>
      <c r="V116" s="8">
        <f>IFERROR(__xludf.DUMMYFUNCTION("""COMPUTED_VALUE"""),0.0)</f>
        <v>0</v>
      </c>
      <c r="W116" s="8">
        <f>IFERROR(__xludf.DUMMYFUNCTION("""COMPUTED_VALUE"""),0.0)</f>
        <v>0</v>
      </c>
      <c r="X116" s="8">
        <f>IFERROR(__xludf.DUMMYFUNCTION("""COMPUTED_VALUE"""),0.0)</f>
        <v>0</v>
      </c>
      <c r="Y116" s="8">
        <f>IFERROR(__xludf.DUMMYFUNCTION("""COMPUTED_VALUE"""),0.0)</f>
        <v>0</v>
      </c>
      <c r="Z116" s="8">
        <f>IFERROR(__xludf.DUMMYFUNCTION("""COMPUTED_VALUE"""),0.0)</f>
        <v>0</v>
      </c>
      <c r="AA116" s="8">
        <f>IFERROR(__xludf.DUMMYFUNCTION("""COMPUTED_VALUE"""),0.0)</f>
        <v>0</v>
      </c>
      <c r="AB116" s="8">
        <f>IFERROR(__xludf.DUMMYFUNCTION("""COMPUTED_VALUE"""),0.0)</f>
        <v>0</v>
      </c>
      <c r="AC116" s="8">
        <f>IFERROR(__xludf.DUMMYFUNCTION("""COMPUTED_VALUE"""),0.0)</f>
        <v>0</v>
      </c>
    </row>
    <row r="117" ht="15.75" customHeight="1">
      <c r="A117" s="6" t="str">
        <f>IFERROR(__xludf.DUMMYFUNCTION("""COMPUTED_VALUE"""),"607c0f609185406d26ef53f75ec53702dfb292d7")</f>
        <v>607c0f609185406d26ef53f75ec53702dfb292d7</v>
      </c>
      <c r="B117" s="6" t="str">
        <f>IFERROR(__xludf.DUMMYFUNCTION("""COMPUTED_VALUE"""),"The Chaosborn Child")</f>
        <v>The Chaosborn Child</v>
      </c>
      <c r="C117" s="6" t="str">
        <f>IFERROR(__xludf.DUMMYFUNCTION("""COMPUTED_VALUE"""),"Fantasy")</f>
        <v>Fantasy</v>
      </c>
      <c r="D117" s="11">
        <f>IFERROR(__xludf.DUMMYFUNCTION("""COMPUTED_VALUE"""),16.0)</f>
        <v>16</v>
      </c>
      <c r="E117" s="8">
        <f>IFERROR(__xludf.DUMMYFUNCTION("""COMPUTED_VALUE"""),1.0)</f>
        <v>1</v>
      </c>
      <c r="F117" s="8">
        <f>IFERROR(__xludf.DUMMYFUNCTION("""COMPUTED_VALUE"""),0.75)</f>
        <v>0.75</v>
      </c>
      <c r="G117" s="8">
        <f>IFERROR(__xludf.DUMMYFUNCTION("""COMPUTED_VALUE"""),0.5625)</f>
        <v>0.5625</v>
      </c>
      <c r="H117" s="8">
        <f>IFERROR(__xludf.DUMMYFUNCTION("""COMPUTED_VALUE"""),0.5625)</f>
        <v>0.5625</v>
      </c>
      <c r="I117" s="8">
        <f>IFERROR(__xludf.DUMMYFUNCTION("""COMPUTED_VALUE"""),0.5)</f>
        <v>0.5</v>
      </c>
      <c r="J117" s="8">
        <f>IFERROR(__xludf.DUMMYFUNCTION("""COMPUTED_VALUE"""),0.5)</f>
        <v>0.5</v>
      </c>
      <c r="K117" s="8">
        <f>IFERROR(__xludf.DUMMYFUNCTION("""COMPUTED_VALUE"""),0.5)</f>
        <v>0.5</v>
      </c>
      <c r="L117" s="8">
        <f>IFERROR(__xludf.DUMMYFUNCTION("""COMPUTED_VALUE"""),0.4375)</f>
        <v>0.4375</v>
      </c>
      <c r="M117" s="8">
        <f>IFERROR(__xludf.DUMMYFUNCTION("""COMPUTED_VALUE"""),0.4375)</f>
        <v>0.4375</v>
      </c>
      <c r="N117" s="8">
        <f>IFERROR(__xludf.DUMMYFUNCTION("""COMPUTED_VALUE"""),0.375)</f>
        <v>0.375</v>
      </c>
      <c r="O117" s="8">
        <f>IFERROR(__xludf.DUMMYFUNCTION("""COMPUTED_VALUE"""),0.266666666666666)</f>
        <v>0.2666666667</v>
      </c>
      <c r="P117" s="8">
        <f>IFERROR(__xludf.DUMMYFUNCTION("""COMPUTED_VALUE"""),0.307692307692307)</f>
        <v>0.3076923077</v>
      </c>
      <c r="Q117" s="8">
        <f>IFERROR(__xludf.DUMMYFUNCTION("""COMPUTED_VALUE"""),0.111111111111111)</f>
        <v>0.1111111111</v>
      </c>
      <c r="R117" s="8">
        <f>IFERROR(__xludf.DUMMYFUNCTION("""COMPUTED_VALUE"""),0.0)</f>
        <v>0</v>
      </c>
      <c r="S117" s="8">
        <f>IFERROR(__xludf.DUMMYFUNCTION("""COMPUTED_VALUE"""),0.0)</f>
        <v>0</v>
      </c>
      <c r="T117" s="8">
        <f>IFERROR(__xludf.DUMMYFUNCTION("""COMPUTED_VALUE"""),0.0)</f>
        <v>0</v>
      </c>
      <c r="U117" s="8">
        <f>IFERROR(__xludf.DUMMYFUNCTION("""COMPUTED_VALUE"""),0.0)</f>
        <v>0</v>
      </c>
      <c r="V117" s="8">
        <f>IFERROR(__xludf.DUMMYFUNCTION("""COMPUTED_VALUE"""),0.0)</f>
        <v>0</v>
      </c>
      <c r="W117" s="8">
        <f>IFERROR(__xludf.DUMMYFUNCTION("""COMPUTED_VALUE"""),0.0)</f>
        <v>0</v>
      </c>
      <c r="X117" s="8">
        <f>IFERROR(__xludf.DUMMYFUNCTION("""COMPUTED_VALUE"""),0.0)</f>
        <v>0</v>
      </c>
      <c r="Y117" s="8">
        <f>IFERROR(__xludf.DUMMYFUNCTION("""COMPUTED_VALUE"""),0.0)</f>
        <v>0</v>
      </c>
      <c r="Z117" s="8">
        <f>IFERROR(__xludf.DUMMYFUNCTION("""COMPUTED_VALUE"""),0.0)</f>
        <v>0</v>
      </c>
      <c r="AA117" s="8">
        <f>IFERROR(__xludf.DUMMYFUNCTION("""COMPUTED_VALUE"""),0.0)</f>
        <v>0</v>
      </c>
      <c r="AB117" s="8">
        <f>IFERROR(__xludf.DUMMYFUNCTION("""COMPUTED_VALUE"""),0.0)</f>
        <v>0</v>
      </c>
      <c r="AC117" s="8">
        <f>IFERROR(__xludf.DUMMYFUNCTION("""COMPUTED_VALUE"""),0.0)</f>
        <v>0</v>
      </c>
    </row>
    <row r="118" ht="15.75" customHeight="1">
      <c r="A118" s="6" t="str">
        <f>IFERROR(__xludf.DUMMYFUNCTION("""COMPUTED_VALUE"""),"616431aa030a50bfb34a59a1919f5a8db0c29017")</f>
        <v>616431aa030a50bfb34a59a1919f5a8db0c29017</v>
      </c>
      <c r="B118" s="6" t="str">
        <f>IFERROR(__xludf.DUMMYFUNCTION("""COMPUTED_VALUE"""),"She Came Back Fabulous")</f>
        <v>She Came Back Fabulous</v>
      </c>
      <c r="C118" s="6" t="str">
        <f>IFERROR(__xludf.DUMMYFUNCTION("""COMPUTED_VALUE"""),"Romance")</f>
        <v>Romance</v>
      </c>
      <c r="D118" s="11">
        <f>IFERROR(__xludf.DUMMYFUNCTION("""COMPUTED_VALUE"""),497.0)</f>
        <v>497</v>
      </c>
      <c r="E118" s="8">
        <f>IFERROR(__xludf.DUMMYFUNCTION("""COMPUTED_VALUE"""),0.963782696177062)</f>
        <v>0.9637826962</v>
      </c>
      <c r="F118" s="8">
        <f>IFERROR(__xludf.DUMMYFUNCTION("""COMPUTED_VALUE"""),0.575452716297786)</f>
        <v>0.5754527163</v>
      </c>
      <c r="G118" s="8">
        <f>IFERROR(__xludf.DUMMYFUNCTION("""COMPUTED_VALUE"""),0.527162977867203)</f>
        <v>0.5271629779</v>
      </c>
      <c r="H118" s="8">
        <f>IFERROR(__xludf.DUMMYFUNCTION("""COMPUTED_VALUE"""),0.484599589322381)</f>
        <v>0.4845995893</v>
      </c>
      <c r="I118" s="8">
        <f>IFERROR(__xludf.DUMMYFUNCTION("""COMPUTED_VALUE"""),0.431535269709543)</f>
        <v>0.4315352697</v>
      </c>
      <c r="J118" s="8">
        <f>IFERROR(__xludf.DUMMYFUNCTION("""COMPUTED_VALUE"""),0.392857142857142)</f>
        <v>0.3928571429</v>
      </c>
      <c r="K118" s="8">
        <f>IFERROR(__xludf.DUMMYFUNCTION("""COMPUTED_VALUE"""),0.374468085106382)</f>
        <v>0.3744680851</v>
      </c>
      <c r="L118" s="8">
        <f>IFERROR(__xludf.DUMMYFUNCTION("""COMPUTED_VALUE"""),0.343544857768052)</f>
        <v>0.3435448578</v>
      </c>
      <c r="M118" s="8">
        <f>IFERROR(__xludf.DUMMYFUNCTION("""COMPUTED_VALUE"""),0.377622377622377)</f>
        <v>0.3776223776</v>
      </c>
      <c r="N118" s="8">
        <f>IFERROR(__xludf.DUMMYFUNCTION("""COMPUTED_VALUE"""),0.369294605809128)</f>
        <v>0.3692946058</v>
      </c>
      <c r="O118" s="8">
        <f>IFERROR(__xludf.DUMMYFUNCTION("""COMPUTED_VALUE"""),0.315068493150684)</f>
        <v>0.3150684932</v>
      </c>
      <c r="P118" s="8">
        <f>IFERROR(__xludf.DUMMYFUNCTION("""COMPUTED_VALUE"""),0.347222222222222)</f>
        <v>0.3472222222</v>
      </c>
      <c r="Q118" s="8">
        <f>IFERROR(__xludf.DUMMYFUNCTION("""COMPUTED_VALUE"""),0.15)</f>
        <v>0.15</v>
      </c>
      <c r="R118" s="8">
        <f>IFERROR(__xludf.DUMMYFUNCTION("""COMPUTED_VALUE"""),0.0)</f>
        <v>0</v>
      </c>
      <c r="S118" s="8">
        <f>IFERROR(__xludf.DUMMYFUNCTION("""COMPUTED_VALUE"""),0.0)</f>
        <v>0</v>
      </c>
      <c r="T118" s="8">
        <f>IFERROR(__xludf.DUMMYFUNCTION("""COMPUTED_VALUE"""),0.0)</f>
        <v>0</v>
      </c>
      <c r="U118" s="8">
        <f>IFERROR(__xludf.DUMMYFUNCTION("""COMPUTED_VALUE"""),0.0)</f>
        <v>0</v>
      </c>
      <c r="V118" s="8">
        <f>IFERROR(__xludf.DUMMYFUNCTION("""COMPUTED_VALUE"""),0.0)</f>
        <v>0</v>
      </c>
      <c r="W118" s="8">
        <f>IFERROR(__xludf.DUMMYFUNCTION("""COMPUTED_VALUE"""),0.0)</f>
        <v>0</v>
      </c>
      <c r="X118" s="8">
        <f>IFERROR(__xludf.DUMMYFUNCTION("""COMPUTED_VALUE"""),0.0)</f>
        <v>0</v>
      </c>
      <c r="Y118" s="8">
        <f>IFERROR(__xludf.DUMMYFUNCTION("""COMPUTED_VALUE"""),0.0)</f>
        <v>0</v>
      </c>
      <c r="Z118" s="8">
        <f>IFERROR(__xludf.DUMMYFUNCTION("""COMPUTED_VALUE"""),0.0)</f>
        <v>0</v>
      </c>
      <c r="AA118" s="8">
        <f>IFERROR(__xludf.DUMMYFUNCTION("""COMPUTED_VALUE"""),0.0)</f>
        <v>0</v>
      </c>
      <c r="AB118" s="8">
        <f>IFERROR(__xludf.DUMMYFUNCTION("""COMPUTED_VALUE"""),0.0)</f>
        <v>0</v>
      </c>
      <c r="AC118" s="8">
        <f>IFERROR(__xludf.DUMMYFUNCTION("""COMPUTED_VALUE"""),0.0)</f>
        <v>0</v>
      </c>
    </row>
    <row r="119" ht="15.75" customHeight="1">
      <c r="A119" s="6" t="str">
        <f>IFERROR(__xludf.DUMMYFUNCTION("""COMPUTED_VALUE"""),"6214ecac2801afde28aa63c555faf06203321c85")</f>
        <v>6214ecac2801afde28aa63c555faf06203321c85</v>
      </c>
      <c r="B119" s="6" t="str">
        <f>IFERROR(__xludf.DUMMYFUNCTION("""COMPUTED_VALUE"""),"Love Behind the Screen")</f>
        <v>Love Behind the Screen</v>
      </c>
      <c r="C119" s="6" t="str">
        <f>IFERROR(__xludf.DUMMYFUNCTION("""COMPUTED_VALUE"""),"Romance")</f>
        <v>Romance</v>
      </c>
      <c r="D119" s="11">
        <f>IFERROR(__xludf.DUMMYFUNCTION("""COMPUTED_VALUE"""),839.0)</f>
        <v>839</v>
      </c>
      <c r="E119" s="8">
        <f>IFERROR(__xludf.DUMMYFUNCTION("""COMPUTED_VALUE"""),0.960667461263408)</f>
        <v>0.9606674613</v>
      </c>
      <c r="F119" s="8">
        <f>IFERROR(__xludf.DUMMYFUNCTION("""COMPUTED_VALUE"""),0.558472553699284)</f>
        <v>0.5584725537</v>
      </c>
      <c r="G119" s="8">
        <f>IFERROR(__xludf.DUMMYFUNCTION("""COMPUTED_VALUE"""),0.498806682577565)</f>
        <v>0.4988066826</v>
      </c>
      <c r="H119" s="8">
        <f>IFERROR(__xludf.DUMMYFUNCTION("""COMPUTED_VALUE"""),0.48444976076555)</f>
        <v>0.4844497608</v>
      </c>
      <c r="I119" s="8">
        <f>IFERROR(__xludf.DUMMYFUNCTION("""COMPUTED_VALUE"""),0.436602870813397)</f>
        <v>0.4366028708</v>
      </c>
      <c r="J119" s="8">
        <f>IFERROR(__xludf.DUMMYFUNCTION("""COMPUTED_VALUE"""),0.419664268585131)</f>
        <v>0.4196642686</v>
      </c>
      <c r="K119" s="8">
        <f>IFERROR(__xludf.DUMMYFUNCTION("""COMPUTED_VALUE"""),0.398559423769507)</f>
        <v>0.3985594238</v>
      </c>
      <c r="L119" s="8">
        <f>IFERROR(__xludf.DUMMYFUNCTION("""COMPUTED_VALUE"""),0.383413461538461)</f>
        <v>0.3834134615</v>
      </c>
      <c r="M119" s="8">
        <f>IFERROR(__xludf.DUMMYFUNCTION("""COMPUTED_VALUE"""),0.368231046931407)</f>
        <v>0.3682310469</v>
      </c>
      <c r="N119" s="8">
        <f>IFERROR(__xludf.DUMMYFUNCTION("""COMPUTED_VALUE"""),0.355850422195416)</f>
        <v>0.3558504222</v>
      </c>
      <c r="O119" s="8">
        <f>IFERROR(__xludf.DUMMYFUNCTION("""COMPUTED_VALUE"""),0.327114427860696)</f>
        <v>0.3271144279</v>
      </c>
      <c r="P119" s="8">
        <f>IFERROR(__xludf.DUMMYFUNCTION("""COMPUTED_VALUE"""),0.208044382801664)</f>
        <v>0.2080443828</v>
      </c>
      <c r="Q119" s="8">
        <f>IFERROR(__xludf.DUMMYFUNCTION("""COMPUTED_VALUE"""),0.137362637362637)</f>
        <v>0.1373626374</v>
      </c>
      <c r="R119" s="8">
        <f>IFERROR(__xludf.DUMMYFUNCTION("""COMPUTED_VALUE"""),0.104395604395604)</f>
        <v>0.1043956044</v>
      </c>
      <c r="S119" s="8">
        <f>IFERROR(__xludf.DUMMYFUNCTION("""COMPUTED_VALUE"""),0.0745967741935483)</f>
        <v>0.07459677419</v>
      </c>
      <c r="T119" s="8">
        <f>IFERROR(__xludf.DUMMYFUNCTION("""COMPUTED_VALUE"""),0.0)</f>
        <v>0</v>
      </c>
      <c r="U119" s="8">
        <f>IFERROR(__xludf.DUMMYFUNCTION("""COMPUTED_VALUE"""),0.0)</f>
        <v>0</v>
      </c>
      <c r="V119" s="8">
        <f>IFERROR(__xludf.DUMMYFUNCTION("""COMPUTED_VALUE"""),0.0)</f>
        <v>0</v>
      </c>
      <c r="W119" s="8">
        <f>IFERROR(__xludf.DUMMYFUNCTION("""COMPUTED_VALUE"""),0.0)</f>
        <v>0</v>
      </c>
      <c r="X119" s="8">
        <f>IFERROR(__xludf.DUMMYFUNCTION("""COMPUTED_VALUE"""),0.0)</f>
        <v>0</v>
      </c>
      <c r="Y119" s="8">
        <f>IFERROR(__xludf.DUMMYFUNCTION("""COMPUTED_VALUE"""),0.0)</f>
        <v>0</v>
      </c>
      <c r="Z119" s="8">
        <f>IFERROR(__xludf.DUMMYFUNCTION("""COMPUTED_VALUE"""),0.0)</f>
        <v>0</v>
      </c>
      <c r="AA119" s="8">
        <f>IFERROR(__xludf.DUMMYFUNCTION("""COMPUTED_VALUE"""),0.0)</f>
        <v>0</v>
      </c>
      <c r="AB119" s="8">
        <f>IFERROR(__xludf.DUMMYFUNCTION("""COMPUTED_VALUE"""),0.0)</f>
        <v>0</v>
      </c>
      <c r="AC119" s="8">
        <f>IFERROR(__xludf.DUMMYFUNCTION("""COMPUTED_VALUE"""),0.0)</f>
        <v>0</v>
      </c>
    </row>
    <row r="120" ht="15.75" customHeight="1">
      <c r="A120" s="6" t="str">
        <f>IFERROR(__xludf.DUMMYFUNCTION("""COMPUTED_VALUE"""),"622c96a576425047d6bff8447205921132d7f61c")</f>
        <v>622c96a576425047d6bff8447205921132d7f61c</v>
      </c>
      <c r="B120" s="6" t="str">
        <f>IFERROR(__xludf.DUMMYFUNCTION("""COMPUTED_VALUE"""),"The Exit Nobody Expected")</f>
        <v>The Exit Nobody Expected</v>
      </c>
      <c r="C120" s="6" t="str">
        <f>IFERROR(__xludf.DUMMYFUNCTION("""COMPUTED_VALUE"""),"Suspense or Thriller")</f>
        <v>Suspense or Thriller</v>
      </c>
      <c r="D120" s="11">
        <f>IFERROR(__xludf.DUMMYFUNCTION("""COMPUTED_VALUE"""),43.0)</f>
        <v>43</v>
      </c>
      <c r="E120" s="8">
        <f>IFERROR(__xludf.DUMMYFUNCTION("""COMPUTED_VALUE"""),0.953488372093023)</f>
        <v>0.9534883721</v>
      </c>
      <c r="F120" s="8">
        <f>IFERROR(__xludf.DUMMYFUNCTION("""COMPUTED_VALUE"""),0.395348837209302)</f>
        <v>0.3953488372</v>
      </c>
      <c r="G120" s="8">
        <f>IFERROR(__xludf.DUMMYFUNCTION("""COMPUTED_VALUE"""),0.372093023255813)</f>
        <v>0.3720930233</v>
      </c>
      <c r="H120" s="8">
        <f>IFERROR(__xludf.DUMMYFUNCTION("""COMPUTED_VALUE"""),0.35)</f>
        <v>0.35</v>
      </c>
      <c r="I120" s="8">
        <f>IFERROR(__xludf.DUMMYFUNCTION("""COMPUTED_VALUE"""),0.222222222222222)</f>
        <v>0.2222222222</v>
      </c>
      <c r="J120" s="8">
        <f>IFERROR(__xludf.DUMMYFUNCTION("""COMPUTED_VALUE"""),0.21875)</f>
        <v>0.21875</v>
      </c>
      <c r="K120" s="8">
        <f>IFERROR(__xludf.DUMMYFUNCTION("""COMPUTED_VALUE"""),0.25)</f>
        <v>0.25</v>
      </c>
      <c r="L120" s="8">
        <f>IFERROR(__xludf.DUMMYFUNCTION("""COMPUTED_VALUE"""),0.17391304347826)</f>
        <v>0.1739130435</v>
      </c>
      <c r="M120" s="8">
        <f>IFERROR(__xludf.DUMMYFUNCTION("""COMPUTED_VALUE"""),0.181818181818181)</f>
        <v>0.1818181818</v>
      </c>
      <c r="N120" s="8">
        <f>IFERROR(__xludf.DUMMYFUNCTION("""COMPUTED_VALUE"""),0.105263157894736)</f>
        <v>0.1052631579</v>
      </c>
      <c r="O120" s="8">
        <f>IFERROR(__xludf.DUMMYFUNCTION("""COMPUTED_VALUE"""),0.0909090909090909)</f>
        <v>0.09090909091</v>
      </c>
      <c r="P120" s="8">
        <f>IFERROR(__xludf.DUMMYFUNCTION("""COMPUTED_VALUE"""),0.0)</f>
        <v>0</v>
      </c>
      <c r="Q120" s="8">
        <f>IFERROR(__xludf.DUMMYFUNCTION("""COMPUTED_VALUE"""),0.125)</f>
        <v>0.125</v>
      </c>
      <c r="R120" s="8">
        <f>IFERROR(__xludf.DUMMYFUNCTION("""COMPUTED_VALUE"""),0.0)</f>
        <v>0</v>
      </c>
      <c r="S120" s="8">
        <f>IFERROR(__xludf.DUMMYFUNCTION("""COMPUTED_VALUE"""),0.0)</f>
        <v>0</v>
      </c>
      <c r="T120" s="8">
        <f>IFERROR(__xludf.DUMMYFUNCTION("""COMPUTED_VALUE"""),0.0)</f>
        <v>0</v>
      </c>
      <c r="U120" s="8">
        <f>IFERROR(__xludf.DUMMYFUNCTION("""COMPUTED_VALUE"""),0.0)</f>
        <v>0</v>
      </c>
      <c r="V120" s="8">
        <f>IFERROR(__xludf.DUMMYFUNCTION("""COMPUTED_VALUE"""),0.0)</f>
        <v>0</v>
      </c>
      <c r="W120" s="8">
        <f>IFERROR(__xludf.DUMMYFUNCTION("""COMPUTED_VALUE"""),0.0)</f>
        <v>0</v>
      </c>
      <c r="X120" s="8">
        <f>IFERROR(__xludf.DUMMYFUNCTION("""COMPUTED_VALUE"""),0.0)</f>
        <v>0</v>
      </c>
      <c r="Y120" s="8">
        <f>IFERROR(__xludf.DUMMYFUNCTION("""COMPUTED_VALUE"""),0.0)</f>
        <v>0</v>
      </c>
      <c r="Z120" s="8">
        <f>IFERROR(__xludf.DUMMYFUNCTION("""COMPUTED_VALUE"""),0.0)</f>
        <v>0</v>
      </c>
      <c r="AA120" s="8">
        <f>IFERROR(__xludf.DUMMYFUNCTION("""COMPUTED_VALUE"""),0.0)</f>
        <v>0</v>
      </c>
      <c r="AB120" s="8">
        <f>IFERROR(__xludf.DUMMYFUNCTION("""COMPUTED_VALUE"""),0.0)</f>
        <v>0</v>
      </c>
      <c r="AC120" s="8">
        <f>IFERROR(__xludf.DUMMYFUNCTION("""COMPUTED_VALUE"""),0.0)</f>
        <v>0</v>
      </c>
    </row>
    <row r="121" ht="15.75" customHeight="1">
      <c r="A121" s="6" t="str">
        <f>IFERROR(__xludf.DUMMYFUNCTION("""COMPUTED_VALUE"""),"6346e154f10078de4f17cbc6268066519b02789f")</f>
        <v>6346e154f10078de4f17cbc6268066519b02789f</v>
      </c>
      <c r="B121" s="6" t="str">
        <f>IFERROR(__xludf.DUMMYFUNCTION("""COMPUTED_VALUE"""),"Doctor Young")</f>
        <v>Doctor Young</v>
      </c>
      <c r="C121" s="6" t="str">
        <f>IFERROR(__xludf.DUMMYFUNCTION("""COMPUTED_VALUE"""),"Suspense or Thriller")</f>
        <v>Suspense or Thriller</v>
      </c>
      <c r="D121" s="11">
        <f>IFERROR(__xludf.DUMMYFUNCTION("""COMPUTED_VALUE"""),75.0)</f>
        <v>75</v>
      </c>
      <c r="E121" s="8">
        <f>IFERROR(__xludf.DUMMYFUNCTION("""COMPUTED_VALUE"""),0.96)</f>
        <v>0.96</v>
      </c>
      <c r="F121" s="8">
        <f>IFERROR(__xludf.DUMMYFUNCTION("""COMPUTED_VALUE"""),0.386666666666666)</f>
        <v>0.3866666667</v>
      </c>
      <c r="G121" s="8">
        <f>IFERROR(__xludf.DUMMYFUNCTION("""COMPUTED_VALUE"""),0.306666666666666)</f>
        <v>0.3066666667</v>
      </c>
      <c r="H121" s="8">
        <f>IFERROR(__xludf.DUMMYFUNCTION("""COMPUTED_VALUE"""),0.246575342465753)</f>
        <v>0.2465753425</v>
      </c>
      <c r="I121" s="8">
        <f>IFERROR(__xludf.DUMMYFUNCTION("""COMPUTED_VALUE"""),0.205479452054794)</f>
        <v>0.2054794521</v>
      </c>
      <c r="J121" s="8">
        <f>IFERROR(__xludf.DUMMYFUNCTION("""COMPUTED_VALUE"""),0.225352112676056)</f>
        <v>0.2253521127</v>
      </c>
      <c r="K121" s="8">
        <f>IFERROR(__xludf.DUMMYFUNCTION("""COMPUTED_VALUE"""),0.2)</f>
        <v>0.2</v>
      </c>
      <c r="L121" s="8">
        <f>IFERROR(__xludf.DUMMYFUNCTION("""COMPUTED_VALUE"""),0.220588235294117)</f>
        <v>0.2205882353</v>
      </c>
      <c r="M121" s="8">
        <f>IFERROR(__xludf.DUMMYFUNCTION("""COMPUTED_VALUE"""),0.191176470588235)</f>
        <v>0.1911764706</v>
      </c>
      <c r="N121" s="8">
        <f>IFERROR(__xludf.DUMMYFUNCTION("""COMPUTED_VALUE"""),0.215384615384615)</f>
        <v>0.2153846154</v>
      </c>
      <c r="O121" s="8">
        <f>IFERROR(__xludf.DUMMYFUNCTION("""COMPUTED_VALUE"""),0.192307692307692)</f>
        <v>0.1923076923</v>
      </c>
      <c r="P121" s="8">
        <f>IFERROR(__xludf.DUMMYFUNCTION("""COMPUTED_VALUE"""),0.142857142857142)</f>
        <v>0.1428571429</v>
      </c>
      <c r="Q121" s="8">
        <f>IFERROR(__xludf.DUMMYFUNCTION("""COMPUTED_VALUE"""),0.125)</f>
        <v>0.125</v>
      </c>
      <c r="R121" s="8">
        <f>IFERROR(__xludf.DUMMYFUNCTION("""COMPUTED_VALUE"""),0.0851063829787234)</f>
        <v>0.08510638298</v>
      </c>
      <c r="S121" s="8">
        <f>IFERROR(__xludf.DUMMYFUNCTION("""COMPUTED_VALUE"""),0.0)</f>
        <v>0</v>
      </c>
      <c r="T121" s="8">
        <f>IFERROR(__xludf.DUMMYFUNCTION("""COMPUTED_VALUE"""),0.0)</f>
        <v>0</v>
      </c>
      <c r="U121" s="8">
        <f>IFERROR(__xludf.DUMMYFUNCTION("""COMPUTED_VALUE"""),0.0)</f>
        <v>0</v>
      </c>
      <c r="V121" s="8">
        <f>IFERROR(__xludf.DUMMYFUNCTION("""COMPUTED_VALUE"""),0.0)</f>
        <v>0</v>
      </c>
      <c r="W121" s="8">
        <f>IFERROR(__xludf.DUMMYFUNCTION("""COMPUTED_VALUE"""),0.0)</f>
        <v>0</v>
      </c>
      <c r="X121" s="8">
        <f>IFERROR(__xludf.DUMMYFUNCTION("""COMPUTED_VALUE"""),0.0)</f>
        <v>0</v>
      </c>
      <c r="Y121" s="8">
        <f>IFERROR(__xludf.DUMMYFUNCTION("""COMPUTED_VALUE"""),0.0)</f>
        <v>0</v>
      </c>
      <c r="Z121" s="8">
        <f>IFERROR(__xludf.DUMMYFUNCTION("""COMPUTED_VALUE"""),0.0)</f>
        <v>0</v>
      </c>
      <c r="AA121" s="8">
        <f>IFERROR(__xludf.DUMMYFUNCTION("""COMPUTED_VALUE"""),0.0)</f>
        <v>0</v>
      </c>
      <c r="AB121" s="8">
        <f>IFERROR(__xludf.DUMMYFUNCTION("""COMPUTED_VALUE"""),0.0)</f>
        <v>0</v>
      </c>
      <c r="AC121" s="8">
        <f>IFERROR(__xludf.DUMMYFUNCTION("""COMPUTED_VALUE"""),0.0)</f>
        <v>0</v>
      </c>
    </row>
    <row r="122" ht="15.75" customHeight="1">
      <c r="A122" s="6" t="str">
        <f>IFERROR(__xludf.DUMMYFUNCTION("""COMPUTED_VALUE"""),"646112abf2d6a5c232155a853f029ad1737b504e")</f>
        <v>646112abf2d6a5c232155a853f029ad1737b504e</v>
      </c>
      <c r="B122" s="6" t="str">
        <f>IFERROR(__xludf.DUMMYFUNCTION("""COMPUTED_VALUE"""),"Gatebreak")</f>
        <v>Gatebreak</v>
      </c>
      <c r="C122" s="6" t="str">
        <f>IFERROR(__xludf.DUMMYFUNCTION("""COMPUTED_VALUE"""),"Fantasy")</f>
        <v>Fantasy</v>
      </c>
      <c r="D122" s="11">
        <f>IFERROR(__xludf.DUMMYFUNCTION("""COMPUTED_VALUE"""),67.0)</f>
        <v>67</v>
      </c>
      <c r="E122" s="8">
        <f>IFERROR(__xludf.DUMMYFUNCTION("""COMPUTED_VALUE"""),0.955223880597014)</f>
        <v>0.9552238806</v>
      </c>
      <c r="F122" s="8">
        <f>IFERROR(__xludf.DUMMYFUNCTION("""COMPUTED_VALUE"""),0.626865671641791)</f>
        <v>0.6268656716</v>
      </c>
      <c r="G122" s="8">
        <f>IFERROR(__xludf.DUMMYFUNCTION("""COMPUTED_VALUE"""),0.53731343283582)</f>
        <v>0.5373134328</v>
      </c>
      <c r="H122" s="8">
        <f>IFERROR(__xludf.DUMMYFUNCTION("""COMPUTED_VALUE"""),0.507462686567164)</f>
        <v>0.5074626866</v>
      </c>
      <c r="I122" s="8">
        <f>IFERROR(__xludf.DUMMYFUNCTION("""COMPUTED_VALUE"""),0.492537313432835)</f>
        <v>0.4925373134</v>
      </c>
      <c r="J122" s="8">
        <f>IFERROR(__xludf.DUMMYFUNCTION("""COMPUTED_VALUE"""),0.515151515151515)</f>
        <v>0.5151515152</v>
      </c>
      <c r="K122" s="8">
        <f>IFERROR(__xludf.DUMMYFUNCTION("""COMPUTED_VALUE"""),0.484848484848484)</f>
        <v>0.4848484848</v>
      </c>
      <c r="L122" s="8">
        <f>IFERROR(__xludf.DUMMYFUNCTION("""COMPUTED_VALUE"""),0.492307692307692)</f>
        <v>0.4923076923</v>
      </c>
      <c r="M122" s="8">
        <f>IFERROR(__xludf.DUMMYFUNCTION("""COMPUTED_VALUE"""),0.476923076923076)</f>
        <v>0.4769230769</v>
      </c>
      <c r="N122" s="8">
        <f>IFERROR(__xludf.DUMMYFUNCTION("""COMPUTED_VALUE"""),0.461538461538461)</f>
        <v>0.4615384615</v>
      </c>
      <c r="O122" s="8">
        <f>IFERROR(__xludf.DUMMYFUNCTION("""COMPUTED_VALUE"""),0.34375)</f>
        <v>0.34375</v>
      </c>
      <c r="P122" s="8">
        <f>IFERROR(__xludf.DUMMYFUNCTION("""COMPUTED_VALUE"""),0.317460317460317)</f>
        <v>0.3174603175</v>
      </c>
      <c r="Q122" s="8">
        <f>IFERROR(__xludf.DUMMYFUNCTION("""COMPUTED_VALUE"""),0.222222222222222)</f>
        <v>0.2222222222</v>
      </c>
      <c r="R122" s="8">
        <f>IFERROR(__xludf.DUMMYFUNCTION("""COMPUTED_VALUE"""),0.112903225806451)</f>
        <v>0.1129032258</v>
      </c>
      <c r="S122" s="8">
        <f>IFERROR(__xludf.DUMMYFUNCTION("""COMPUTED_VALUE"""),0.0983606557377049)</f>
        <v>0.09836065574</v>
      </c>
      <c r="T122" s="8">
        <f>IFERROR(__xludf.DUMMYFUNCTION("""COMPUTED_VALUE"""),0.0701754385964912)</f>
        <v>0.0701754386</v>
      </c>
      <c r="U122" s="8">
        <f>IFERROR(__xludf.DUMMYFUNCTION("""COMPUTED_VALUE"""),0.0)</f>
        <v>0</v>
      </c>
      <c r="V122" s="8">
        <f>IFERROR(__xludf.DUMMYFUNCTION("""COMPUTED_VALUE"""),0.0)</f>
        <v>0</v>
      </c>
      <c r="W122" s="8">
        <f>IFERROR(__xludf.DUMMYFUNCTION("""COMPUTED_VALUE"""),0.0)</f>
        <v>0</v>
      </c>
      <c r="X122" s="8">
        <f>IFERROR(__xludf.DUMMYFUNCTION("""COMPUTED_VALUE"""),0.0)</f>
        <v>0</v>
      </c>
      <c r="Y122" s="8">
        <f>IFERROR(__xludf.DUMMYFUNCTION("""COMPUTED_VALUE"""),0.0)</f>
        <v>0</v>
      </c>
      <c r="Z122" s="8">
        <f>IFERROR(__xludf.DUMMYFUNCTION("""COMPUTED_VALUE"""),0.0)</f>
        <v>0</v>
      </c>
      <c r="AA122" s="8">
        <f>IFERROR(__xludf.DUMMYFUNCTION("""COMPUTED_VALUE"""),0.0)</f>
        <v>0</v>
      </c>
      <c r="AB122" s="8">
        <f>IFERROR(__xludf.DUMMYFUNCTION("""COMPUTED_VALUE"""),0.0)</f>
        <v>0</v>
      </c>
      <c r="AC122" s="8">
        <f>IFERROR(__xludf.DUMMYFUNCTION("""COMPUTED_VALUE"""),0.0)</f>
        <v>0</v>
      </c>
    </row>
    <row r="123" ht="15.75" customHeight="1">
      <c r="A123" s="6" t="str">
        <f>IFERROR(__xludf.DUMMYFUNCTION("""COMPUTED_VALUE"""),"6537ebcf99ebb2572c378cc92edd07b6d165b13b")</f>
        <v>6537ebcf99ebb2572c378cc92edd07b6d165b13b</v>
      </c>
      <c r="B123" s="6" t="str">
        <f>IFERROR(__xludf.DUMMYFUNCTION("""COMPUTED_VALUE"""),"The Legendary Beast Archi")</f>
        <v>The Legendary Beast Archi</v>
      </c>
      <c r="C123" s="6" t="str">
        <f>IFERROR(__xludf.DUMMYFUNCTION("""COMPUTED_VALUE"""),"Fantasy")</f>
        <v>Fantasy</v>
      </c>
      <c r="D123" s="11">
        <f>IFERROR(__xludf.DUMMYFUNCTION("""COMPUTED_VALUE"""),64.0)</f>
        <v>64</v>
      </c>
      <c r="E123" s="8">
        <f>IFERROR(__xludf.DUMMYFUNCTION("""COMPUTED_VALUE"""),1.0)</f>
        <v>1</v>
      </c>
      <c r="F123" s="8">
        <f>IFERROR(__xludf.DUMMYFUNCTION("""COMPUTED_VALUE"""),0.515625)</f>
        <v>0.515625</v>
      </c>
      <c r="G123" s="8">
        <f>IFERROR(__xludf.DUMMYFUNCTION("""COMPUTED_VALUE"""),0.453125)</f>
        <v>0.453125</v>
      </c>
      <c r="H123" s="8">
        <f>IFERROR(__xludf.DUMMYFUNCTION("""COMPUTED_VALUE"""),0.40625)</f>
        <v>0.40625</v>
      </c>
      <c r="I123" s="8">
        <f>IFERROR(__xludf.DUMMYFUNCTION("""COMPUTED_VALUE"""),0.375)</f>
        <v>0.375</v>
      </c>
      <c r="J123" s="8">
        <f>IFERROR(__xludf.DUMMYFUNCTION("""COMPUTED_VALUE"""),0.338709677419354)</f>
        <v>0.3387096774</v>
      </c>
      <c r="K123" s="8">
        <f>IFERROR(__xludf.DUMMYFUNCTION("""COMPUTED_VALUE"""),0.3)</f>
        <v>0.3</v>
      </c>
      <c r="L123" s="8">
        <f>IFERROR(__xludf.DUMMYFUNCTION("""COMPUTED_VALUE"""),0.24390243902439)</f>
        <v>0.243902439</v>
      </c>
      <c r="M123" s="8">
        <f>IFERROR(__xludf.DUMMYFUNCTION("""COMPUTED_VALUE"""),0.23076923076923)</f>
        <v>0.2307692308</v>
      </c>
      <c r="N123" s="8">
        <f>IFERROR(__xludf.DUMMYFUNCTION("""COMPUTED_VALUE"""),0.259259259259259)</f>
        <v>0.2592592593</v>
      </c>
      <c r="O123" s="8">
        <f>IFERROR(__xludf.DUMMYFUNCTION("""COMPUTED_VALUE"""),0.333333333333333)</f>
        <v>0.3333333333</v>
      </c>
      <c r="P123" s="8">
        <f>IFERROR(__xludf.DUMMYFUNCTION("""COMPUTED_VALUE"""),0.333333333333333)</f>
        <v>0.3333333333</v>
      </c>
      <c r="Q123" s="8">
        <f>IFERROR(__xludf.DUMMYFUNCTION("""COMPUTED_VALUE"""),0.0)</f>
        <v>0</v>
      </c>
      <c r="R123" s="8">
        <f>IFERROR(__xludf.DUMMYFUNCTION("""COMPUTED_VALUE"""),0.0)</f>
        <v>0</v>
      </c>
      <c r="S123" s="8">
        <f>IFERROR(__xludf.DUMMYFUNCTION("""COMPUTED_VALUE"""),0.0)</f>
        <v>0</v>
      </c>
      <c r="T123" s="8">
        <f>IFERROR(__xludf.DUMMYFUNCTION("""COMPUTED_VALUE"""),0.0)</f>
        <v>0</v>
      </c>
      <c r="U123" s="8">
        <f>IFERROR(__xludf.DUMMYFUNCTION("""COMPUTED_VALUE"""),0.0)</f>
        <v>0</v>
      </c>
      <c r="V123" s="8">
        <f>IFERROR(__xludf.DUMMYFUNCTION("""COMPUTED_VALUE"""),0.0)</f>
        <v>0</v>
      </c>
      <c r="W123" s="8">
        <f>IFERROR(__xludf.DUMMYFUNCTION("""COMPUTED_VALUE"""),0.0)</f>
        <v>0</v>
      </c>
      <c r="X123" s="8">
        <f>IFERROR(__xludf.DUMMYFUNCTION("""COMPUTED_VALUE"""),0.0)</f>
        <v>0</v>
      </c>
      <c r="Y123" s="8">
        <f>IFERROR(__xludf.DUMMYFUNCTION("""COMPUTED_VALUE"""),0.0)</f>
        <v>0</v>
      </c>
      <c r="Z123" s="8">
        <f>IFERROR(__xludf.DUMMYFUNCTION("""COMPUTED_VALUE"""),0.0)</f>
        <v>0</v>
      </c>
      <c r="AA123" s="8">
        <f>IFERROR(__xludf.DUMMYFUNCTION("""COMPUTED_VALUE"""),0.0)</f>
        <v>0</v>
      </c>
      <c r="AB123" s="8">
        <f>IFERROR(__xludf.DUMMYFUNCTION("""COMPUTED_VALUE"""),0.0)</f>
        <v>0</v>
      </c>
      <c r="AC123" s="8">
        <f>IFERROR(__xludf.DUMMYFUNCTION("""COMPUTED_VALUE"""),0.0)</f>
        <v>0</v>
      </c>
    </row>
    <row r="124" ht="15.75" customHeight="1">
      <c r="A124" s="6" t="str">
        <f>IFERROR(__xludf.DUMMYFUNCTION("""COMPUTED_VALUE"""),"66e5597d741c6d87c2bc8e35ec83065242c0e34d")</f>
        <v>66e5597d741c6d87c2bc8e35ec83065242c0e34d</v>
      </c>
      <c r="B124" s="6" t="str">
        <f>IFERROR(__xludf.DUMMYFUNCTION("""COMPUTED_VALUE"""),"Sky Lord")</f>
        <v>Sky Lord</v>
      </c>
      <c r="C124" s="6" t="str">
        <f>IFERROR(__xludf.DUMMYFUNCTION("""COMPUTED_VALUE"""),"Fantasy")</f>
        <v>Fantasy</v>
      </c>
      <c r="D124" s="11">
        <f>IFERROR(__xludf.DUMMYFUNCTION("""COMPUTED_VALUE"""),58.0)</f>
        <v>58</v>
      </c>
      <c r="E124" s="8">
        <f>IFERROR(__xludf.DUMMYFUNCTION("""COMPUTED_VALUE"""),0.96551724137931)</f>
        <v>0.9655172414</v>
      </c>
      <c r="F124" s="8">
        <f>IFERROR(__xludf.DUMMYFUNCTION("""COMPUTED_VALUE"""),0.620689655172413)</f>
        <v>0.6206896552</v>
      </c>
      <c r="G124" s="8">
        <f>IFERROR(__xludf.DUMMYFUNCTION("""COMPUTED_VALUE"""),0.568965517241379)</f>
        <v>0.5689655172</v>
      </c>
      <c r="H124" s="8">
        <f>IFERROR(__xludf.DUMMYFUNCTION("""COMPUTED_VALUE"""),0.553571428571428)</f>
        <v>0.5535714286</v>
      </c>
      <c r="I124" s="8">
        <f>IFERROR(__xludf.DUMMYFUNCTION("""COMPUTED_VALUE"""),0.5)</f>
        <v>0.5</v>
      </c>
      <c r="J124" s="8">
        <f>IFERROR(__xludf.DUMMYFUNCTION("""COMPUTED_VALUE"""),0.49090909090909)</f>
        <v>0.4909090909</v>
      </c>
      <c r="K124" s="8">
        <f>IFERROR(__xludf.DUMMYFUNCTION("""COMPUTED_VALUE"""),0.472727272727272)</f>
        <v>0.4727272727</v>
      </c>
      <c r="L124" s="8">
        <f>IFERROR(__xludf.DUMMYFUNCTION("""COMPUTED_VALUE"""),0.403846153846153)</f>
        <v>0.4038461538</v>
      </c>
      <c r="M124" s="8">
        <f>IFERROR(__xludf.DUMMYFUNCTION("""COMPUTED_VALUE"""),0.346153846153846)</f>
        <v>0.3461538462</v>
      </c>
      <c r="N124" s="8">
        <f>IFERROR(__xludf.DUMMYFUNCTION("""COMPUTED_VALUE"""),0.333333333333333)</f>
        <v>0.3333333333</v>
      </c>
      <c r="O124" s="8">
        <f>IFERROR(__xludf.DUMMYFUNCTION("""COMPUTED_VALUE"""),1.0)</f>
        <v>1</v>
      </c>
      <c r="P124" s="8">
        <f>IFERROR(__xludf.DUMMYFUNCTION("""COMPUTED_VALUE"""),0.0)</f>
        <v>0</v>
      </c>
      <c r="Q124" s="8">
        <f>IFERROR(__xludf.DUMMYFUNCTION("""COMPUTED_VALUE"""),0.0)</f>
        <v>0</v>
      </c>
      <c r="R124" s="8">
        <f>IFERROR(__xludf.DUMMYFUNCTION("""COMPUTED_VALUE"""),0.0)</f>
        <v>0</v>
      </c>
      <c r="S124" s="8">
        <f>IFERROR(__xludf.DUMMYFUNCTION("""COMPUTED_VALUE"""),0.0)</f>
        <v>0</v>
      </c>
      <c r="T124" s="8">
        <f>IFERROR(__xludf.DUMMYFUNCTION("""COMPUTED_VALUE"""),0.0)</f>
        <v>0</v>
      </c>
      <c r="U124" s="8">
        <f>IFERROR(__xludf.DUMMYFUNCTION("""COMPUTED_VALUE"""),0.0)</f>
        <v>0</v>
      </c>
      <c r="V124" s="8">
        <f>IFERROR(__xludf.DUMMYFUNCTION("""COMPUTED_VALUE"""),0.0)</f>
        <v>0</v>
      </c>
      <c r="W124" s="8">
        <f>IFERROR(__xludf.DUMMYFUNCTION("""COMPUTED_VALUE"""),0.0)</f>
        <v>0</v>
      </c>
      <c r="X124" s="8">
        <f>IFERROR(__xludf.DUMMYFUNCTION("""COMPUTED_VALUE"""),0.0)</f>
        <v>0</v>
      </c>
      <c r="Y124" s="8">
        <f>IFERROR(__xludf.DUMMYFUNCTION("""COMPUTED_VALUE"""),0.0)</f>
        <v>0</v>
      </c>
      <c r="Z124" s="8">
        <f>IFERROR(__xludf.DUMMYFUNCTION("""COMPUTED_VALUE"""),0.0)</f>
        <v>0</v>
      </c>
      <c r="AA124" s="8">
        <f>IFERROR(__xludf.DUMMYFUNCTION("""COMPUTED_VALUE"""),0.0)</f>
        <v>0</v>
      </c>
      <c r="AB124" s="8">
        <f>IFERROR(__xludf.DUMMYFUNCTION("""COMPUTED_VALUE"""),0.0)</f>
        <v>0</v>
      </c>
      <c r="AC124" s="8">
        <f>IFERROR(__xludf.DUMMYFUNCTION("""COMPUTED_VALUE"""),0.0)</f>
        <v>0</v>
      </c>
    </row>
    <row r="125" ht="15.75" customHeight="1">
      <c r="A125" s="6" t="str">
        <f>IFERROR(__xludf.DUMMYFUNCTION("""COMPUTED_VALUE"""),"69e29d606b65c300fffe9a9af149d4b81b170a78")</f>
        <v>69e29d606b65c300fffe9a9af149d4b81b170a78</v>
      </c>
      <c r="B125" s="6" t="str">
        <f>IFERROR(__xludf.DUMMYFUNCTION("""COMPUTED_VALUE"""),"Unexpectedly Entwined")</f>
        <v>Unexpectedly Entwined</v>
      </c>
      <c r="C125" s="6" t="str">
        <f>IFERROR(__xludf.DUMMYFUNCTION("""COMPUTED_VALUE"""),"Romance")</f>
        <v>Romance</v>
      </c>
      <c r="D125" s="11">
        <f>IFERROR(__xludf.DUMMYFUNCTION("""COMPUTED_VALUE"""),136.0)</f>
        <v>136</v>
      </c>
      <c r="E125" s="8">
        <f>IFERROR(__xludf.DUMMYFUNCTION("""COMPUTED_VALUE"""),0.948529411764705)</f>
        <v>0.9485294118</v>
      </c>
      <c r="F125" s="8">
        <f>IFERROR(__xludf.DUMMYFUNCTION("""COMPUTED_VALUE"""),0.588235294117647)</f>
        <v>0.5882352941</v>
      </c>
      <c r="G125" s="8">
        <f>IFERROR(__xludf.DUMMYFUNCTION("""COMPUTED_VALUE"""),0.536764705882352)</f>
        <v>0.5367647059</v>
      </c>
      <c r="H125" s="8">
        <f>IFERROR(__xludf.DUMMYFUNCTION("""COMPUTED_VALUE"""),0.488888888888888)</f>
        <v>0.4888888889</v>
      </c>
      <c r="I125" s="8">
        <f>IFERROR(__xludf.DUMMYFUNCTION("""COMPUTED_VALUE"""),0.451851851851851)</f>
        <v>0.4518518519</v>
      </c>
      <c r="J125" s="8">
        <f>IFERROR(__xludf.DUMMYFUNCTION("""COMPUTED_VALUE"""),0.414814814814814)</f>
        <v>0.4148148148</v>
      </c>
      <c r="K125" s="8">
        <f>IFERROR(__xludf.DUMMYFUNCTION("""COMPUTED_VALUE"""),0.362962962962963)</f>
        <v>0.362962963</v>
      </c>
      <c r="L125" s="8">
        <f>IFERROR(__xludf.DUMMYFUNCTION("""COMPUTED_VALUE"""),0.377777777777777)</f>
        <v>0.3777777778</v>
      </c>
      <c r="M125" s="8">
        <f>IFERROR(__xludf.DUMMYFUNCTION("""COMPUTED_VALUE"""),0.318518518518518)</f>
        <v>0.3185185185</v>
      </c>
      <c r="N125" s="8">
        <f>IFERROR(__xludf.DUMMYFUNCTION("""COMPUTED_VALUE"""),0.325925925925925)</f>
        <v>0.3259259259</v>
      </c>
      <c r="O125" s="8">
        <f>IFERROR(__xludf.DUMMYFUNCTION("""COMPUTED_VALUE"""),0.242424242424242)</f>
        <v>0.2424242424</v>
      </c>
      <c r="P125" s="8">
        <f>IFERROR(__xludf.DUMMYFUNCTION("""COMPUTED_VALUE"""),0.124031007751937)</f>
        <v>0.1240310078</v>
      </c>
      <c r="Q125" s="8">
        <f>IFERROR(__xludf.DUMMYFUNCTION("""COMPUTED_VALUE"""),0.0967741935483871)</f>
        <v>0.09677419355</v>
      </c>
      <c r="R125" s="8">
        <f>IFERROR(__xludf.DUMMYFUNCTION("""COMPUTED_VALUE"""),0.0972222222222222)</f>
        <v>0.09722222222</v>
      </c>
      <c r="S125" s="8">
        <f>IFERROR(__xludf.DUMMYFUNCTION("""COMPUTED_VALUE"""),0.142857142857142)</f>
        <v>0.1428571429</v>
      </c>
      <c r="T125" s="8">
        <f>IFERROR(__xludf.DUMMYFUNCTION("""COMPUTED_VALUE"""),0.0294117647058823)</f>
        <v>0.02941176471</v>
      </c>
      <c r="U125" s="8">
        <f>IFERROR(__xludf.DUMMYFUNCTION("""COMPUTED_VALUE"""),0.0)</f>
        <v>0</v>
      </c>
      <c r="V125" s="8">
        <f>IFERROR(__xludf.DUMMYFUNCTION("""COMPUTED_VALUE"""),0.0)</f>
        <v>0</v>
      </c>
      <c r="W125" s="8">
        <f>IFERROR(__xludf.DUMMYFUNCTION("""COMPUTED_VALUE"""),0.0)</f>
        <v>0</v>
      </c>
      <c r="X125" s="8">
        <f>IFERROR(__xludf.DUMMYFUNCTION("""COMPUTED_VALUE"""),0.0)</f>
        <v>0</v>
      </c>
      <c r="Y125" s="8">
        <f>IFERROR(__xludf.DUMMYFUNCTION("""COMPUTED_VALUE"""),0.0)</f>
        <v>0</v>
      </c>
      <c r="Z125" s="8">
        <f>IFERROR(__xludf.DUMMYFUNCTION("""COMPUTED_VALUE"""),0.0)</f>
        <v>0</v>
      </c>
      <c r="AA125" s="8">
        <f>IFERROR(__xludf.DUMMYFUNCTION("""COMPUTED_VALUE"""),0.0)</f>
        <v>0</v>
      </c>
      <c r="AB125" s="8">
        <f>IFERROR(__xludf.DUMMYFUNCTION("""COMPUTED_VALUE"""),0.0)</f>
        <v>0</v>
      </c>
      <c r="AC125" s="8">
        <f>IFERROR(__xludf.DUMMYFUNCTION("""COMPUTED_VALUE"""),0.0)</f>
        <v>0</v>
      </c>
    </row>
    <row r="126" ht="15.75" customHeight="1">
      <c r="A126" s="6" t="str">
        <f>IFERROR(__xludf.DUMMYFUNCTION("""COMPUTED_VALUE"""),"69e2eb3772b49e749fed57ae96a86147dde154cb")</f>
        <v>69e2eb3772b49e749fed57ae96a86147dde154cb</v>
      </c>
      <c r="B126" s="6" t="str">
        <f>IFERROR(__xludf.DUMMYFUNCTION("""COMPUTED_VALUE"""),"The Alpha She Chose")</f>
        <v>The Alpha She Chose</v>
      </c>
      <c r="C126" s="6" t="str">
        <f>IFERROR(__xludf.DUMMYFUNCTION("""COMPUTED_VALUE"""),"Romantasy")</f>
        <v>Romantasy</v>
      </c>
      <c r="D126" s="11">
        <f>IFERROR(__xludf.DUMMYFUNCTION("""COMPUTED_VALUE"""),709.0)</f>
        <v>709</v>
      </c>
      <c r="E126" s="8">
        <f>IFERROR(__xludf.DUMMYFUNCTION("""COMPUTED_VALUE"""),0.960507757404795)</f>
        <v>0.9605077574</v>
      </c>
      <c r="F126" s="8">
        <f>IFERROR(__xludf.DUMMYFUNCTION("""COMPUTED_VALUE"""),0.638928067700987)</f>
        <v>0.6389280677</v>
      </c>
      <c r="G126" s="8">
        <f>IFERROR(__xludf.DUMMYFUNCTION("""COMPUTED_VALUE"""),0.607898448519041)</f>
        <v>0.6078984485</v>
      </c>
      <c r="H126" s="8">
        <f>IFERROR(__xludf.DUMMYFUNCTION("""COMPUTED_VALUE"""),0.582978723404255)</f>
        <v>0.5829787234</v>
      </c>
      <c r="I126" s="8">
        <f>IFERROR(__xludf.DUMMYFUNCTION("""COMPUTED_VALUE"""),0.55049786628734)</f>
        <v>0.5504978663</v>
      </c>
      <c r="J126" s="8">
        <f>IFERROR(__xludf.DUMMYFUNCTION("""COMPUTED_VALUE"""),0.534285714285714)</f>
        <v>0.5342857143</v>
      </c>
      <c r="K126" s="8">
        <f>IFERROR(__xludf.DUMMYFUNCTION("""COMPUTED_VALUE"""),0.512195121951219)</f>
        <v>0.512195122</v>
      </c>
      <c r="L126" s="8">
        <f>IFERROR(__xludf.DUMMYFUNCTION("""COMPUTED_VALUE"""),0.492816091954023)</f>
        <v>0.492816092</v>
      </c>
      <c r="M126" s="8">
        <f>IFERROR(__xludf.DUMMYFUNCTION("""COMPUTED_VALUE"""),0.47391304347826)</f>
        <v>0.4739130435</v>
      </c>
      <c r="N126" s="8">
        <f>IFERROR(__xludf.DUMMYFUNCTION("""COMPUTED_VALUE"""),0.466374269005847)</f>
        <v>0.466374269</v>
      </c>
      <c r="O126" s="8">
        <f>IFERROR(__xludf.DUMMYFUNCTION("""COMPUTED_VALUE"""),0.441033925686591)</f>
        <v>0.4410339257</v>
      </c>
      <c r="P126" s="8">
        <f>IFERROR(__xludf.DUMMYFUNCTION("""COMPUTED_VALUE"""),0.333895446880269)</f>
        <v>0.3338954469</v>
      </c>
      <c r="Q126" s="8">
        <f>IFERROR(__xludf.DUMMYFUNCTION("""COMPUTED_VALUE"""),0.282495667244367)</f>
        <v>0.2824956672</v>
      </c>
      <c r="R126" s="8">
        <f>IFERROR(__xludf.DUMMYFUNCTION("""COMPUTED_VALUE"""),0.236294896030245)</f>
        <v>0.236294896</v>
      </c>
      <c r="S126" s="8">
        <f>IFERROR(__xludf.DUMMYFUNCTION("""COMPUTED_VALUE"""),0.15)</f>
        <v>0.15</v>
      </c>
      <c r="T126" s="8">
        <f>IFERROR(__xludf.DUMMYFUNCTION("""COMPUTED_VALUE"""),0.0)</f>
        <v>0</v>
      </c>
      <c r="U126" s="8">
        <f>IFERROR(__xludf.DUMMYFUNCTION("""COMPUTED_VALUE"""),0.0)</f>
        <v>0</v>
      </c>
      <c r="V126" s="8">
        <f>IFERROR(__xludf.DUMMYFUNCTION("""COMPUTED_VALUE"""),0.0)</f>
        <v>0</v>
      </c>
      <c r="W126" s="8">
        <f>IFERROR(__xludf.DUMMYFUNCTION("""COMPUTED_VALUE"""),0.0)</f>
        <v>0</v>
      </c>
      <c r="X126" s="8">
        <f>IFERROR(__xludf.DUMMYFUNCTION("""COMPUTED_VALUE"""),0.0)</f>
        <v>0</v>
      </c>
      <c r="Y126" s="8">
        <f>IFERROR(__xludf.DUMMYFUNCTION("""COMPUTED_VALUE"""),0.0)</f>
        <v>0</v>
      </c>
      <c r="Z126" s="8">
        <f>IFERROR(__xludf.DUMMYFUNCTION("""COMPUTED_VALUE"""),0.0)</f>
        <v>0</v>
      </c>
      <c r="AA126" s="8">
        <f>IFERROR(__xludf.DUMMYFUNCTION("""COMPUTED_VALUE"""),0.0)</f>
        <v>0</v>
      </c>
      <c r="AB126" s="8">
        <f>IFERROR(__xludf.DUMMYFUNCTION("""COMPUTED_VALUE"""),0.0)</f>
        <v>0</v>
      </c>
      <c r="AC126" s="8">
        <f>IFERROR(__xludf.DUMMYFUNCTION("""COMPUTED_VALUE"""),0.0)</f>
        <v>0</v>
      </c>
    </row>
    <row r="127" ht="15.75" customHeight="1">
      <c r="A127" s="6" t="str">
        <f>IFERROR(__xludf.DUMMYFUNCTION("""COMPUTED_VALUE"""),"6c13ac0e01a86e60a2d75bbcee5bb8f9be472700")</f>
        <v>6c13ac0e01a86e60a2d75bbcee5bb8f9be472700</v>
      </c>
      <c r="B127" s="6" t="str">
        <f>IFERROR(__xludf.DUMMYFUNCTION("""COMPUTED_VALUE"""),"Fated to You")</f>
        <v>Fated to You</v>
      </c>
      <c r="C127" s="6" t="str">
        <f>IFERROR(__xludf.DUMMYFUNCTION("""COMPUTED_VALUE"""),"Romance")</f>
        <v>Romance</v>
      </c>
      <c r="D127" s="11">
        <f>IFERROR(__xludf.DUMMYFUNCTION("""COMPUTED_VALUE"""),93.0)</f>
        <v>93</v>
      </c>
      <c r="E127" s="8">
        <f>IFERROR(__xludf.DUMMYFUNCTION("""COMPUTED_VALUE"""),0.516129032258064)</f>
        <v>0.5161290323</v>
      </c>
      <c r="F127" s="8">
        <f>IFERROR(__xludf.DUMMYFUNCTION("""COMPUTED_VALUE"""),0.354838709677419)</f>
        <v>0.3548387097</v>
      </c>
      <c r="G127" s="8">
        <f>IFERROR(__xludf.DUMMYFUNCTION("""COMPUTED_VALUE"""),0.344086021505376)</f>
        <v>0.3440860215</v>
      </c>
      <c r="H127" s="8">
        <f>IFERROR(__xludf.DUMMYFUNCTION("""COMPUTED_VALUE"""),0.304347826086956)</f>
        <v>0.3043478261</v>
      </c>
      <c r="I127" s="8">
        <f>IFERROR(__xludf.DUMMYFUNCTION("""COMPUTED_VALUE"""),0.271739130434782)</f>
        <v>0.2717391304</v>
      </c>
      <c r="J127" s="8">
        <f>IFERROR(__xludf.DUMMYFUNCTION("""COMPUTED_VALUE"""),0.271739130434782)</f>
        <v>0.2717391304</v>
      </c>
      <c r="K127" s="8">
        <f>IFERROR(__xludf.DUMMYFUNCTION("""COMPUTED_VALUE"""),0.25)</f>
        <v>0.25</v>
      </c>
      <c r="L127" s="8">
        <f>IFERROR(__xludf.DUMMYFUNCTION("""COMPUTED_VALUE"""),0.25)</f>
        <v>0.25</v>
      </c>
      <c r="M127" s="8">
        <f>IFERROR(__xludf.DUMMYFUNCTION("""COMPUTED_VALUE"""),0.241758241758241)</f>
        <v>0.2417582418</v>
      </c>
      <c r="N127" s="8">
        <f>IFERROR(__xludf.DUMMYFUNCTION("""COMPUTED_VALUE"""),0.263736263736263)</f>
        <v>0.2637362637</v>
      </c>
      <c r="O127" s="8">
        <f>IFERROR(__xludf.DUMMYFUNCTION("""COMPUTED_VALUE"""),0.218390804597701)</f>
        <v>0.2183908046</v>
      </c>
      <c r="P127" s="8">
        <f>IFERROR(__xludf.DUMMYFUNCTION("""COMPUTED_VALUE"""),0.218390804597701)</f>
        <v>0.2183908046</v>
      </c>
      <c r="Q127" s="8">
        <f>IFERROR(__xludf.DUMMYFUNCTION("""COMPUTED_VALUE"""),0.0813953488372093)</f>
        <v>0.08139534884</v>
      </c>
      <c r="R127" s="8">
        <f>IFERROR(__xludf.DUMMYFUNCTION("""COMPUTED_VALUE"""),0.0714285714285714)</f>
        <v>0.07142857143</v>
      </c>
      <c r="S127" s="8">
        <f>IFERROR(__xludf.DUMMYFUNCTION("""COMPUTED_VALUE"""),0.0579710144927536)</f>
        <v>0.05797101449</v>
      </c>
      <c r="T127" s="8">
        <f>IFERROR(__xludf.DUMMYFUNCTION("""COMPUTED_VALUE"""),0.05)</f>
        <v>0.05</v>
      </c>
      <c r="U127" s="8">
        <f>IFERROR(__xludf.DUMMYFUNCTION("""COMPUTED_VALUE"""),0.0338983050847457)</f>
        <v>0.03389830508</v>
      </c>
      <c r="V127" s="8">
        <f>IFERROR(__xludf.DUMMYFUNCTION("""COMPUTED_VALUE"""),0.0169491525423728)</f>
        <v>0.01694915254</v>
      </c>
      <c r="W127" s="8">
        <f>IFERROR(__xludf.DUMMYFUNCTION("""COMPUTED_VALUE"""),0.0)</f>
        <v>0</v>
      </c>
      <c r="X127" s="8">
        <f>IFERROR(__xludf.DUMMYFUNCTION("""COMPUTED_VALUE"""),0.0172413793103448)</f>
        <v>0.01724137931</v>
      </c>
      <c r="Y127" s="8">
        <f>IFERROR(__xludf.DUMMYFUNCTION("""COMPUTED_VALUE"""),0.0)</f>
        <v>0</v>
      </c>
      <c r="Z127" s="8">
        <f>IFERROR(__xludf.DUMMYFUNCTION("""COMPUTED_VALUE"""),0.0)</f>
        <v>0</v>
      </c>
      <c r="AA127" s="8">
        <f>IFERROR(__xludf.DUMMYFUNCTION("""COMPUTED_VALUE"""),0.0)</f>
        <v>0</v>
      </c>
      <c r="AB127" s="8">
        <f>IFERROR(__xludf.DUMMYFUNCTION("""COMPUTED_VALUE"""),0.0)</f>
        <v>0</v>
      </c>
      <c r="AC127" s="8">
        <f>IFERROR(__xludf.DUMMYFUNCTION("""COMPUTED_VALUE"""),0.0)</f>
        <v>0</v>
      </c>
    </row>
    <row r="128" ht="15.75" customHeight="1">
      <c r="A128" s="6" t="str">
        <f>IFERROR(__xludf.DUMMYFUNCTION("""COMPUTED_VALUE"""),"6e9cd8b5ce597e73f12a6a180c18888a89f8aac3")</f>
        <v>6e9cd8b5ce597e73f12a6a180c18888a89f8aac3</v>
      </c>
      <c r="B128" s="6" t="str">
        <f>IFERROR(__xludf.DUMMYFUNCTION("""COMPUTED_VALUE"""),"Sovereign Retribution")</f>
        <v>Sovereign Retribution</v>
      </c>
      <c r="C128" s="6" t="str">
        <f>IFERROR(__xludf.DUMMYFUNCTION("""COMPUTED_VALUE"""),"Drama")</f>
        <v>Drama</v>
      </c>
      <c r="D128" s="11">
        <f>IFERROR(__xludf.DUMMYFUNCTION("""COMPUTED_VALUE"""),302.0)</f>
        <v>302</v>
      </c>
      <c r="E128" s="8">
        <f>IFERROR(__xludf.DUMMYFUNCTION("""COMPUTED_VALUE"""),0.950331125827814)</f>
        <v>0.9503311258</v>
      </c>
      <c r="F128" s="8">
        <f>IFERROR(__xludf.DUMMYFUNCTION("""COMPUTED_VALUE"""),0.728476821192052)</f>
        <v>0.7284768212</v>
      </c>
      <c r="G128" s="8">
        <f>IFERROR(__xludf.DUMMYFUNCTION("""COMPUTED_VALUE"""),0.685430463576158)</f>
        <v>0.6854304636</v>
      </c>
      <c r="H128" s="8">
        <f>IFERROR(__xludf.DUMMYFUNCTION("""COMPUTED_VALUE"""),0.64569536423841)</f>
        <v>0.6456953642</v>
      </c>
      <c r="I128" s="8">
        <f>IFERROR(__xludf.DUMMYFUNCTION("""COMPUTED_VALUE"""),0.625827814569536)</f>
        <v>0.6258278146</v>
      </c>
      <c r="J128" s="8">
        <f>IFERROR(__xludf.DUMMYFUNCTION("""COMPUTED_VALUE"""),0.602649006622516)</f>
        <v>0.6026490066</v>
      </c>
      <c r="K128" s="8">
        <f>IFERROR(__xludf.DUMMYFUNCTION("""COMPUTED_VALUE"""),0.569536423841059)</f>
        <v>0.5695364238</v>
      </c>
      <c r="L128" s="8">
        <f>IFERROR(__xludf.DUMMYFUNCTION("""COMPUTED_VALUE"""),0.554817275747508)</f>
        <v>0.5548172757</v>
      </c>
      <c r="M128" s="8">
        <f>IFERROR(__xludf.DUMMYFUNCTION("""COMPUTED_VALUE"""),0.541528239202657)</f>
        <v>0.5415282392</v>
      </c>
      <c r="N128" s="8">
        <f>IFERROR(__xludf.DUMMYFUNCTION("""COMPUTED_VALUE"""),0.52)</f>
        <v>0.52</v>
      </c>
      <c r="O128" s="8">
        <f>IFERROR(__xludf.DUMMYFUNCTION("""COMPUTED_VALUE"""),0.444067796610169)</f>
        <v>0.4440677966</v>
      </c>
      <c r="P128" s="8">
        <f>IFERROR(__xludf.DUMMYFUNCTION("""COMPUTED_VALUE"""),0.334545454545454)</f>
        <v>0.3345454545</v>
      </c>
      <c r="Q128" s="8">
        <f>IFERROR(__xludf.DUMMYFUNCTION("""COMPUTED_VALUE"""),0.244725738396624)</f>
        <v>0.2447257384</v>
      </c>
      <c r="R128" s="8">
        <f>IFERROR(__xludf.DUMMYFUNCTION("""COMPUTED_VALUE"""),0.333333333333333)</f>
        <v>0.3333333333</v>
      </c>
      <c r="S128" s="8">
        <f>IFERROR(__xludf.DUMMYFUNCTION("""COMPUTED_VALUE"""),0.0)</f>
        <v>0</v>
      </c>
      <c r="T128" s="8">
        <f>IFERROR(__xludf.DUMMYFUNCTION("""COMPUTED_VALUE"""),0.0)</f>
        <v>0</v>
      </c>
      <c r="U128" s="8">
        <f>IFERROR(__xludf.DUMMYFUNCTION("""COMPUTED_VALUE"""),0.0)</f>
        <v>0</v>
      </c>
      <c r="V128" s="8">
        <f>IFERROR(__xludf.DUMMYFUNCTION("""COMPUTED_VALUE"""),0.0)</f>
        <v>0</v>
      </c>
      <c r="W128" s="8">
        <f>IFERROR(__xludf.DUMMYFUNCTION("""COMPUTED_VALUE"""),0.0)</f>
        <v>0</v>
      </c>
      <c r="X128" s="8">
        <f>IFERROR(__xludf.DUMMYFUNCTION("""COMPUTED_VALUE"""),0.0)</f>
        <v>0</v>
      </c>
      <c r="Y128" s="8">
        <f>IFERROR(__xludf.DUMMYFUNCTION("""COMPUTED_VALUE"""),0.0)</f>
        <v>0</v>
      </c>
      <c r="Z128" s="8">
        <f>IFERROR(__xludf.DUMMYFUNCTION("""COMPUTED_VALUE"""),0.0)</f>
        <v>0</v>
      </c>
      <c r="AA128" s="8">
        <f>IFERROR(__xludf.DUMMYFUNCTION("""COMPUTED_VALUE"""),0.0)</f>
        <v>0</v>
      </c>
      <c r="AB128" s="8">
        <f>IFERROR(__xludf.DUMMYFUNCTION("""COMPUTED_VALUE"""),0.0)</f>
        <v>0</v>
      </c>
      <c r="AC128" s="8">
        <f>IFERROR(__xludf.DUMMYFUNCTION("""COMPUTED_VALUE"""),0.0)</f>
        <v>0</v>
      </c>
    </row>
    <row r="129" ht="15.75" customHeight="1">
      <c r="A129" s="6" t="str">
        <f>IFERROR(__xludf.DUMMYFUNCTION("""COMPUTED_VALUE"""),"6f82cdfa2792a89aec9172918610c124246ad8bd")</f>
        <v>6f82cdfa2792a89aec9172918610c124246ad8bd</v>
      </c>
      <c r="B129" s="6" t="str">
        <f>IFERROR(__xludf.DUMMYFUNCTION("""COMPUTED_VALUE"""),"Hector's Rise to Power")</f>
        <v>Hector's Rise to Power</v>
      </c>
      <c r="C129" s="6" t="str">
        <f>IFERROR(__xludf.DUMMYFUNCTION("""COMPUTED_VALUE"""),"Drama")</f>
        <v>Drama</v>
      </c>
      <c r="D129" s="11">
        <f>IFERROR(__xludf.DUMMYFUNCTION("""COMPUTED_VALUE"""),13.0)</f>
        <v>13</v>
      </c>
      <c r="E129" s="8">
        <f>IFERROR(__xludf.DUMMYFUNCTION("""COMPUTED_VALUE"""),1.0)</f>
        <v>1</v>
      </c>
      <c r="F129" s="8">
        <f>IFERROR(__xludf.DUMMYFUNCTION("""COMPUTED_VALUE"""),0.692307692307692)</f>
        <v>0.6923076923</v>
      </c>
      <c r="G129" s="8">
        <f>IFERROR(__xludf.DUMMYFUNCTION("""COMPUTED_VALUE"""),0.615384615384615)</f>
        <v>0.6153846154</v>
      </c>
      <c r="H129" s="8">
        <f>IFERROR(__xludf.DUMMYFUNCTION("""COMPUTED_VALUE"""),0.461538461538461)</f>
        <v>0.4615384615</v>
      </c>
      <c r="I129" s="8">
        <f>IFERROR(__xludf.DUMMYFUNCTION("""COMPUTED_VALUE"""),0.384615384615384)</f>
        <v>0.3846153846</v>
      </c>
      <c r="J129" s="8">
        <f>IFERROR(__xludf.DUMMYFUNCTION("""COMPUTED_VALUE"""),0.307692307692307)</f>
        <v>0.3076923077</v>
      </c>
      <c r="K129" s="8">
        <f>IFERROR(__xludf.DUMMYFUNCTION("""COMPUTED_VALUE"""),0.23076923076923)</f>
        <v>0.2307692308</v>
      </c>
      <c r="L129" s="8">
        <f>IFERROR(__xludf.DUMMYFUNCTION("""COMPUTED_VALUE"""),0.23076923076923)</f>
        <v>0.2307692308</v>
      </c>
      <c r="M129" s="8">
        <f>IFERROR(__xludf.DUMMYFUNCTION("""COMPUTED_VALUE"""),0.153846153846153)</f>
        <v>0.1538461538</v>
      </c>
      <c r="N129" s="8">
        <f>IFERROR(__xludf.DUMMYFUNCTION("""COMPUTED_VALUE"""),0.166666666666666)</f>
        <v>0.1666666667</v>
      </c>
      <c r="O129" s="8">
        <f>IFERROR(__xludf.DUMMYFUNCTION("""COMPUTED_VALUE"""),0.166666666666666)</f>
        <v>0.1666666667</v>
      </c>
      <c r="P129" s="8">
        <f>IFERROR(__xludf.DUMMYFUNCTION("""COMPUTED_VALUE"""),0.25)</f>
        <v>0.25</v>
      </c>
      <c r="Q129" s="8">
        <f>IFERROR(__xludf.DUMMYFUNCTION("""COMPUTED_VALUE"""),0.0)</f>
        <v>0</v>
      </c>
      <c r="R129" s="8">
        <f>IFERROR(__xludf.DUMMYFUNCTION("""COMPUTED_VALUE"""),0.0)</f>
        <v>0</v>
      </c>
      <c r="S129" s="8">
        <f>IFERROR(__xludf.DUMMYFUNCTION("""COMPUTED_VALUE"""),0.0)</f>
        <v>0</v>
      </c>
      <c r="T129" s="8">
        <f>IFERROR(__xludf.DUMMYFUNCTION("""COMPUTED_VALUE"""),0.0)</f>
        <v>0</v>
      </c>
      <c r="U129" s="8">
        <f>IFERROR(__xludf.DUMMYFUNCTION("""COMPUTED_VALUE"""),0.0)</f>
        <v>0</v>
      </c>
      <c r="V129" s="8">
        <f>IFERROR(__xludf.DUMMYFUNCTION("""COMPUTED_VALUE"""),0.0)</f>
        <v>0</v>
      </c>
      <c r="W129" s="8">
        <f>IFERROR(__xludf.DUMMYFUNCTION("""COMPUTED_VALUE"""),0.0)</f>
        <v>0</v>
      </c>
      <c r="X129" s="8">
        <f>IFERROR(__xludf.DUMMYFUNCTION("""COMPUTED_VALUE"""),0.0)</f>
        <v>0</v>
      </c>
      <c r="Y129" s="8">
        <f>IFERROR(__xludf.DUMMYFUNCTION("""COMPUTED_VALUE"""),0.0)</f>
        <v>0</v>
      </c>
      <c r="Z129" s="8">
        <f>IFERROR(__xludf.DUMMYFUNCTION("""COMPUTED_VALUE"""),0.0)</f>
        <v>0</v>
      </c>
      <c r="AA129" s="8">
        <f>IFERROR(__xludf.DUMMYFUNCTION("""COMPUTED_VALUE"""),0.0)</f>
        <v>0</v>
      </c>
      <c r="AB129" s="8">
        <f>IFERROR(__xludf.DUMMYFUNCTION("""COMPUTED_VALUE"""),0.0)</f>
        <v>0</v>
      </c>
      <c r="AC129" s="8">
        <f>IFERROR(__xludf.DUMMYFUNCTION("""COMPUTED_VALUE"""),0.0)</f>
        <v>0</v>
      </c>
    </row>
    <row r="130" ht="15.75" customHeight="1">
      <c r="A130" s="6" t="str">
        <f>IFERROR(__xludf.DUMMYFUNCTION("""COMPUTED_VALUE"""),"6f907f1e2ab28d03dcc8246bf380f11b97d00c06")</f>
        <v>6f907f1e2ab28d03dcc8246bf380f11b97d00c06</v>
      </c>
      <c r="B130" s="6" t="str">
        <f>IFERROR(__xludf.DUMMYFUNCTION("""COMPUTED_VALUE"""),"CEO Inherited Bride ")</f>
        <v>CEO Inherited Bride </v>
      </c>
      <c r="C130" s="6" t="str">
        <f>IFERROR(__xludf.DUMMYFUNCTION("""COMPUTED_VALUE"""),"Romance")</f>
        <v>Romance</v>
      </c>
      <c r="D130" s="11">
        <f>IFERROR(__xludf.DUMMYFUNCTION("""COMPUTED_VALUE"""),44.0)</f>
        <v>44</v>
      </c>
      <c r="E130" s="8">
        <f>IFERROR(__xludf.DUMMYFUNCTION("""COMPUTED_VALUE"""),0.977272727272727)</f>
        <v>0.9772727273</v>
      </c>
      <c r="F130" s="8">
        <f>IFERROR(__xludf.DUMMYFUNCTION("""COMPUTED_VALUE"""),0.681818181818181)</f>
        <v>0.6818181818</v>
      </c>
      <c r="G130" s="8">
        <f>IFERROR(__xludf.DUMMYFUNCTION("""COMPUTED_VALUE"""),0.59090909090909)</f>
        <v>0.5909090909</v>
      </c>
      <c r="H130" s="8">
        <f>IFERROR(__xludf.DUMMYFUNCTION("""COMPUTED_VALUE"""),0.59090909090909)</f>
        <v>0.5909090909</v>
      </c>
      <c r="I130" s="8">
        <f>IFERROR(__xludf.DUMMYFUNCTION("""COMPUTED_VALUE"""),0.545454545454545)</f>
        <v>0.5454545455</v>
      </c>
      <c r="J130" s="8">
        <f>IFERROR(__xludf.DUMMYFUNCTION("""COMPUTED_VALUE"""),0.545454545454545)</f>
        <v>0.5454545455</v>
      </c>
      <c r="K130" s="8">
        <f>IFERROR(__xludf.DUMMYFUNCTION("""COMPUTED_VALUE"""),0.5)</f>
        <v>0.5</v>
      </c>
      <c r="L130" s="8">
        <f>IFERROR(__xludf.DUMMYFUNCTION("""COMPUTED_VALUE"""),0.454545454545454)</f>
        <v>0.4545454545</v>
      </c>
      <c r="M130" s="8">
        <f>IFERROR(__xludf.DUMMYFUNCTION("""COMPUTED_VALUE"""),0.431818181818181)</f>
        <v>0.4318181818</v>
      </c>
      <c r="N130" s="8">
        <f>IFERROR(__xludf.DUMMYFUNCTION("""COMPUTED_VALUE"""),0.431818181818181)</f>
        <v>0.4318181818</v>
      </c>
      <c r="O130" s="8">
        <f>IFERROR(__xludf.DUMMYFUNCTION("""COMPUTED_VALUE"""),0.333333333333333)</f>
        <v>0.3333333333</v>
      </c>
      <c r="P130" s="8">
        <f>IFERROR(__xludf.DUMMYFUNCTION("""COMPUTED_VALUE"""),0.24390243902439)</f>
        <v>0.243902439</v>
      </c>
      <c r="Q130" s="8">
        <f>IFERROR(__xludf.DUMMYFUNCTION("""COMPUTED_VALUE"""),0.157894736842105)</f>
        <v>0.1578947368</v>
      </c>
      <c r="R130" s="8">
        <f>IFERROR(__xludf.DUMMYFUNCTION("""COMPUTED_VALUE"""),0.0789473684210526)</f>
        <v>0.07894736842</v>
      </c>
      <c r="S130" s="8">
        <f>IFERROR(__xludf.DUMMYFUNCTION("""COMPUTED_VALUE"""),0.04)</f>
        <v>0.04</v>
      </c>
      <c r="T130" s="8">
        <f>IFERROR(__xludf.DUMMYFUNCTION("""COMPUTED_VALUE"""),0.117647058823529)</f>
        <v>0.1176470588</v>
      </c>
      <c r="U130" s="8">
        <f>IFERROR(__xludf.DUMMYFUNCTION("""COMPUTED_VALUE"""),0.0)</f>
        <v>0</v>
      </c>
      <c r="V130" s="8">
        <f>IFERROR(__xludf.DUMMYFUNCTION("""COMPUTED_VALUE"""),0.0)</f>
        <v>0</v>
      </c>
      <c r="W130" s="8">
        <f>IFERROR(__xludf.DUMMYFUNCTION("""COMPUTED_VALUE"""),0.0)</f>
        <v>0</v>
      </c>
      <c r="X130" s="8">
        <f>IFERROR(__xludf.DUMMYFUNCTION("""COMPUTED_VALUE"""),0.0)</f>
        <v>0</v>
      </c>
      <c r="Y130" s="8">
        <f>IFERROR(__xludf.DUMMYFUNCTION("""COMPUTED_VALUE"""),0.0)</f>
        <v>0</v>
      </c>
      <c r="Z130" s="8">
        <f>IFERROR(__xludf.DUMMYFUNCTION("""COMPUTED_VALUE"""),0.0)</f>
        <v>0</v>
      </c>
      <c r="AA130" s="8">
        <f>IFERROR(__xludf.DUMMYFUNCTION("""COMPUTED_VALUE"""),0.0)</f>
        <v>0</v>
      </c>
      <c r="AB130" s="8">
        <f>IFERROR(__xludf.DUMMYFUNCTION("""COMPUTED_VALUE"""),0.0)</f>
        <v>0</v>
      </c>
      <c r="AC130" s="8">
        <f>IFERROR(__xludf.DUMMYFUNCTION("""COMPUTED_VALUE"""),0.0)</f>
        <v>0</v>
      </c>
    </row>
    <row r="131" ht="15.75" customHeight="1">
      <c r="A131" s="6" t="str">
        <f>IFERROR(__xludf.DUMMYFUNCTION("""COMPUTED_VALUE"""),"71bfacd374965f4c980894477e36ea695b41c609")</f>
        <v>71bfacd374965f4c980894477e36ea695b41c609</v>
      </c>
      <c r="B131" s="6" t="str">
        <f>IFERROR(__xludf.DUMMYFUNCTION("""COMPUTED_VALUE"""),"Bride Who Didn't Want Him")</f>
        <v>Bride Who Didn't Want Him</v>
      </c>
      <c r="C131" s="6" t="str">
        <f>IFERROR(__xludf.DUMMYFUNCTION("""COMPUTED_VALUE"""),"Romance")</f>
        <v>Romance</v>
      </c>
      <c r="D131" s="11">
        <f>IFERROR(__xludf.DUMMYFUNCTION("""COMPUTED_VALUE"""),588.0)</f>
        <v>588</v>
      </c>
      <c r="E131" s="8">
        <f>IFERROR(__xludf.DUMMYFUNCTION("""COMPUTED_VALUE"""),0.972789115646258)</f>
        <v>0.9727891156</v>
      </c>
      <c r="F131" s="8">
        <f>IFERROR(__xludf.DUMMYFUNCTION("""COMPUTED_VALUE"""),0.564625850340136)</f>
        <v>0.5646258503</v>
      </c>
      <c r="G131" s="8">
        <f>IFERROR(__xludf.DUMMYFUNCTION("""COMPUTED_VALUE"""),0.491496598639455)</f>
        <v>0.4914965986</v>
      </c>
      <c r="H131" s="8">
        <f>IFERROR(__xludf.DUMMYFUNCTION("""COMPUTED_VALUE"""),0.435374149659863)</f>
        <v>0.4353741497</v>
      </c>
      <c r="I131" s="8">
        <f>IFERROR(__xludf.DUMMYFUNCTION("""COMPUTED_VALUE"""),0.414965986394557)</f>
        <v>0.4149659864</v>
      </c>
      <c r="J131" s="8">
        <f>IFERROR(__xludf.DUMMYFUNCTION("""COMPUTED_VALUE"""),0.394557823129251)</f>
        <v>0.3945578231</v>
      </c>
      <c r="K131" s="8">
        <f>IFERROR(__xludf.DUMMYFUNCTION("""COMPUTED_VALUE"""),0.379251700680272)</f>
        <v>0.3792517007</v>
      </c>
      <c r="L131" s="8">
        <f>IFERROR(__xludf.DUMMYFUNCTION("""COMPUTED_VALUE"""),0.358843537414966)</f>
        <v>0.3588435374</v>
      </c>
      <c r="M131" s="8">
        <f>IFERROR(__xludf.DUMMYFUNCTION("""COMPUTED_VALUE"""),0.357142857142857)</f>
        <v>0.3571428571</v>
      </c>
      <c r="N131" s="8">
        <f>IFERROR(__xludf.DUMMYFUNCTION("""COMPUTED_VALUE"""),0.342419080068143)</f>
        <v>0.3424190801</v>
      </c>
      <c r="O131" s="8">
        <f>IFERROR(__xludf.DUMMYFUNCTION("""COMPUTED_VALUE"""),0.319112627986348)</f>
        <v>0.319112628</v>
      </c>
      <c r="P131" s="8">
        <f>IFERROR(__xludf.DUMMYFUNCTION("""COMPUTED_VALUE"""),0.246998284734133)</f>
        <v>0.2469982847</v>
      </c>
      <c r="Q131" s="8">
        <f>IFERROR(__xludf.DUMMYFUNCTION("""COMPUTED_VALUE"""),0.130590339892665)</f>
        <v>0.1305903399</v>
      </c>
      <c r="R131" s="8">
        <f>IFERROR(__xludf.DUMMYFUNCTION("""COMPUTED_VALUE"""),0.0)</f>
        <v>0</v>
      </c>
      <c r="S131" s="8">
        <f>IFERROR(__xludf.DUMMYFUNCTION("""COMPUTED_VALUE"""),0.0)</f>
        <v>0</v>
      </c>
      <c r="T131" s="8">
        <f>IFERROR(__xludf.DUMMYFUNCTION("""COMPUTED_VALUE"""),0.0)</f>
        <v>0</v>
      </c>
      <c r="U131" s="8">
        <f>IFERROR(__xludf.DUMMYFUNCTION("""COMPUTED_VALUE"""),0.0)</f>
        <v>0</v>
      </c>
      <c r="V131" s="8">
        <f>IFERROR(__xludf.DUMMYFUNCTION("""COMPUTED_VALUE"""),0.0)</f>
        <v>0</v>
      </c>
      <c r="W131" s="8">
        <f>IFERROR(__xludf.DUMMYFUNCTION("""COMPUTED_VALUE"""),0.0)</f>
        <v>0</v>
      </c>
      <c r="X131" s="8">
        <f>IFERROR(__xludf.DUMMYFUNCTION("""COMPUTED_VALUE"""),0.0)</f>
        <v>0</v>
      </c>
      <c r="Y131" s="8">
        <f>IFERROR(__xludf.DUMMYFUNCTION("""COMPUTED_VALUE"""),0.0)</f>
        <v>0</v>
      </c>
      <c r="Z131" s="8">
        <f>IFERROR(__xludf.DUMMYFUNCTION("""COMPUTED_VALUE"""),0.0)</f>
        <v>0</v>
      </c>
      <c r="AA131" s="8">
        <f>IFERROR(__xludf.DUMMYFUNCTION("""COMPUTED_VALUE"""),0.0)</f>
        <v>0</v>
      </c>
      <c r="AB131" s="8">
        <f>IFERROR(__xludf.DUMMYFUNCTION("""COMPUTED_VALUE"""),0.0)</f>
        <v>0</v>
      </c>
      <c r="AC131" s="8">
        <f>IFERROR(__xludf.DUMMYFUNCTION("""COMPUTED_VALUE"""),0.0)</f>
        <v>0</v>
      </c>
    </row>
    <row r="132" ht="15.75" customHeight="1">
      <c r="A132" s="6" t="str">
        <f>IFERROR(__xludf.DUMMYFUNCTION("""COMPUTED_VALUE"""),"730a3d0d6b094f151aed0a3dff6794a1d2fedee3")</f>
        <v>730a3d0d6b094f151aed0a3dff6794a1d2fedee3</v>
      </c>
      <c r="B132" s="6" t="str">
        <f>IFERROR(__xludf.DUMMYFUNCTION("""COMPUTED_VALUE"""),"Her Beauty Is Reborn")</f>
        <v>Her Beauty Is Reborn</v>
      </c>
      <c r="C132" s="6" t="str">
        <f>IFERROR(__xludf.DUMMYFUNCTION("""COMPUTED_VALUE"""),"Romance")</f>
        <v>Romance</v>
      </c>
      <c r="D132" s="11">
        <f>IFERROR(__xludf.DUMMYFUNCTION("""COMPUTED_VALUE"""),3127.0)</f>
        <v>3127</v>
      </c>
      <c r="E132" s="8">
        <f>IFERROR(__xludf.DUMMYFUNCTION("""COMPUTED_VALUE"""),0.958426606971538)</f>
        <v>0.958426607</v>
      </c>
      <c r="F132" s="8">
        <f>IFERROR(__xludf.DUMMYFUNCTION("""COMPUTED_VALUE"""),0.617844579469139)</f>
        <v>0.6178445795</v>
      </c>
      <c r="G132" s="8">
        <f>IFERROR(__xludf.DUMMYFUNCTION("""COMPUTED_VALUE"""),0.557083466581388)</f>
        <v>0.5570834666</v>
      </c>
      <c r="H132" s="8">
        <f>IFERROR(__xludf.DUMMYFUNCTION("""COMPUTED_VALUE"""),0.518068436200831)</f>
        <v>0.5180684362</v>
      </c>
      <c r="I132" s="8">
        <f>IFERROR(__xludf.DUMMYFUNCTION("""COMPUTED_VALUE"""),0.498880716341541)</f>
        <v>0.4988807163</v>
      </c>
      <c r="J132" s="8">
        <f>IFERROR(__xludf.DUMMYFUNCTION("""COMPUTED_VALUE"""),0.473297089862488)</f>
        <v>0.4732970899</v>
      </c>
      <c r="K132" s="8">
        <f>IFERROR(__xludf.DUMMYFUNCTION("""COMPUTED_VALUE"""),0.456987527982091)</f>
        <v>0.456987528</v>
      </c>
      <c r="L132" s="8">
        <f>IFERROR(__xludf.DUMMYFUNCTION("""COMPUTED_VALUE"""),0.44512)</f>
        <v>0.44512</v>
      </c>
      <c r="M132" s="8">
        <f>IFERROR(__xludf.DUMMYFUNCTION("""COMPUTED_VALUE"""),0.43488)</f>
        <v>0.43488</v>
      </c>
      <c r="N132" s="8">
        <f>IFERROR(__xludf.DUMMYFUNCTION("""COMPUTED_VALUE"""),0.42656)</f>
        <v>0.42656</v>
      </c>
      <c r="O132" s="8">
        <f>IFERROR(__xludf.DUMMYFUNCTION("""COMPUTED_VALUE"""),0.395057766367137)</f>
        <v>0.3950577664</v>
      </c>
      <c r="P132" s="8">
        <f>IFERROR(__xludf.DUMMYFUNCTION("""COMPUTED_VALUE"""),0.340535311189938)</f>
        <v>0.3405353112</v>
      </c>
      <c r="Q132" s="8">
        <f>IFERROR(__xludf.DUMMYFUNCTION("""COMPUTED_VALUE"""),0.280142996425089)</f>
        <v>0.2801429964</v>
      </c>
      <c r="R132" s="8">
        <f>IFERROR(__xludf.DUMMYFUNCTION("""COMPUTED_VALUE"""),0.220718618758749)</f>
        <v>0.2207186188</v>
      </c>
      <c r="S132" s="8">
        <f>IFERROR(__xludf.DUMMYFUNCTION("""COMPUTED_VALUE"""),0.185658699277376)</f>
        <v>0.1856586993</v>
      </c>
      <c r="T132" s="8">
        <f>IFERROR(__xludf.DUMMYFUNCTION("""COMPUTED_VALUE"""),0.165725047080979)</f>
        <v>0.1657250471</v>
      </c>
      <c r="U132" s="8">
        <f>IFERROR(__xludf.DUMMYFUNCTION("""COMPUTED_VALUE"""),0.130182421227197)</f>
        <v>0.1301824212</v>
      </c>
      <c r="V132" s="8">
        <f>IFERROR(__xludf.DUMMYFUNCTION("""COMPUTED_VALUE"""),0.118955512572533)</f>
        <v>0.1189555126</v>
      </c>
      <c r="W132" s="8">
        <f>IFERROR(__xludf.DUMMYFUNCTION("""COMPUTED_VALUE"""),0.104123711340206)</f>
        <v>0.1041237113</v>
      </c>
      <c r="X132" s="8">
        <f>IFERROR(__xludf.DUMMYFUNCTION("""COMPUTED_VALUE"""),0.0897435897435897)</f>
        <v>0.08974358974</v>
      </c>
      <c r="Y132" s="8">
        <f>IFERROR(__xludf.DUMMYFUNCTION("""COMPUTED_VALUE"""),0.0141129032258064)</f>
        <v>0.01411290323</v>
      </c>
      <c r="Z132" s="8">
        <f>IFERROR(__xludf.DUMMYFUNCTION("""COMPUTED_VALUE"""),0.0)</f>
        <v>0</v>
      </c>
      <c r="AA132" s="8">
        <f>IFERROR(__xludf.DUMMYFUNCTION("""COMPUTED_VALUE"""),0.0)</f>
        <v>0</v>
      </c>
      <c r="AB132" s="8">
        <f>IFERROR(__xludf.DUMMYFUNCTION("""COMPUTED_VALUE"""),0.0)</f>
        <v>0</v>
      </c>
      <c r="AC132" s="8">
        <f>IFERROR(__xludf.DUMMYFUNCTION("""COMPUTED_VALUE"""),0.0)</f>
        <v>0</v>
      </c>
    </row>
    <row r="133" ht="15.75" customHeight="1">
      <c r="A133" s="6" t="str">
        <f>IFERROR(__xludf.DUMMYFUNCTION("""COMPUTED_VALUE"""),"7315dca13e406894d8407cd6d050c5d3b69eec10")</f>
        <v>7315dca13e406894d8407cd6d050c5d3b69eec10</v>
      </c>
      <c r="B133" s="6" t="str">
        <f>IFERROR(__xludf.DUMMYFUNCTION("""COMPUTED_VALUE"""),"The Uncle Who Chose Me")</f>
        <v>The Uncle Who Chose Me</v>
      </c>
      <c r="C133" s="6" t="str">
        <f>IFERROR(__xludf.DUMMYFUNCTION("""COMPUTED_VALUE"""),"Romance")</f>
        <v>Romance</v>
      </c>
      <c r="D133" s="11">
        <f>IFERROR(__xludf.DUMMYFUNCTION("""COMPUTED_VALUE"""),545.0)</f>
        <v>545</v>
      </c>
      <c r="E133" s="8">
        <f>IFERROR(__xludf.DUMMYFUNCTION("""COMPUTED_VALUE"""),0.981651376146789)</f>
        <v>0.9816513761</v>
      </c>
      <c r="F133" s="8">
        <f>IFERROR(__xludf.DUMMYFUNCTION("""COMPUTED_VALUE"""),0.640366972477064)</f>
        <v>0.6403669725</v>
      </c>
      <c r="G133" s="8">
        <f>IFERROR(__xludf.DUMMYFUNCTION("""COMPUTED_VALUE"""),0.539449541284403)</f>
        <v>0.5394495413</v>
      </c>
      <c r="H133" s="8">
        <f>IFERROR(__xludf.DUMMYFUNCTION("""COMPUTED_VALUE"""),0.496323529411764)</f>
        <v>0.4963235294</v>
      </c>
      <c r="I133" s="8">
        <f>IFERROR(__xludf.DUMMYFUNCTION("""COMPUTED_VALUE"""),0.452205882352941)</f>
        <v>0.4522058824</v>
      </c>
      <c r="J133" s="8">
        <f>IFERROR(__xludf.DUMMYFUNCTION("""COMPUTED_VALUE"""),0.420955882352941)</f>
        <v>0.4209558824</v>
      </c>
      <c r="K133" s="8">
        <f>IFERROR(__xludf.DUMMYFUNCTION("""COMPUTED_VALUE"""),0.400735294117647)</f>
        <v>0.4007352941</v>
      </c>
      <c r="L133" s="8">
        <f>IFERROR(__xludf.DUMMYFUNCTION("""COMPUTED_VALUE"""),0.379373848987108)</f>
        <v>0.379373849</v>
      </c>
      <c r="M133" s="8">
        <f>IFERROR(__xludf.DUMMYFUNCTION("""COMPUTED_VALUE"""),0.368324125230202)</f>
        <v>0.3683241252</v>
      </c>
      <c r="N133" s="8">
        <f>IFERROR(__xludf.DUMMYFUNCTION("""COMPUTED_VALUE"""),0.338858195211786)</f>
        <v>0.3388581952</v>
      </c>
      <c r="O133" s="8">
        <f>IFERROR(__xludf.DUMMYFUNCTION("""COMPUTED_VALUE"""),0.278597785977859)</f>
        <v>0.278597786</v>
      </c>
      <c r="P133" s="8">
        <f>IFERROR(__xludf.DUMMYFUNCTION("""COMPUTED_VALUE"""),0.19172932330827)</f>
        <v>0.1917293233</v>
      </c>
      <c r="Q133" s="8">
        <f>IFERROR(__xludf.DUMMYFUNCTION("""COMPUTED_VALUE"""),0.0886319845857418)</f>
        <v>0.08863198459</v>
      </c>
      <c r="R133" s="8">
        <f>IFERROR(__xludf.DUMMYFUNCTION("""COMPUTED_VALUE"""),0.0)</f>
        <v>0</v>
      </c>
      <c r="S133" s="8">
        <f>IFERROR(__xludf.DUMMYFUNCTION("""COMPUTED_VALUE"""),0.0)</f>
        <v>0</v>
      </c>
      <c r="T133" s="8">
        <f>IFERROR(__xludf.DUMMYFUNCTION("""COMPUTED_VALUE"""),0.0)</f>
        <v>0</v>
      </c>
      <c r="U133" s="8">
        <f>IFERROR(__xludf.DUMMYFUNCTION("""COMPUTED_VALUE"""),0.0)</f>
        <v>0</v>
      </c>
      <c r="V133" s="8">
        <f>IFERROR(__xludf.DUMMYFUNCTION("""COMPUTED_VALUE"""),0.0)</f>
        <v>0</v>
      </c>
      <c r="W133" s="8">
        <f>IFERROR(__xludf.DUMMYFUNCTION("""COMPUTED_VALUE"""),0.0)</f>
        <v>0</v>
      </c>
      <c r="X133" s="8">
        <f>IFERROR(__xludf.DUMMYFUNCTION("""COMPUTED_VALUE"""),0.0)</f>
        <v>0</v>
      </c>
      <c r="Y133" s="8">
        <f>IFERROR(__xludf.DUMMYFUNCTION("""COMPUTED_VALUE"""),0.0)</f>
        <v>0</v>
      </c>
      <c r="Z133" s="8">
        <f>IFERROR(__xludf.DUMMYFUNCTION("""COMPUTED_VALUE"""),0.0)</f>
        <v>0</v>
      </c>
      <c r="AA133" s="8">
        <f>IFERROR(__xludf.DUMMYFUNCTION("""COMPUTED_VALUE"""),0.0)</f>
        <v>0</v>
      </c>
      <c r="AB133" s="8">
        <f>IFERROR(__xludf.DUMMYFUNCTION("""COMPUTED_VALUE"""),0.0)</f>
        <v>0</v>
      </c>
      <c r="AC133" s="8">
        <f>IFERROR(__xludf.DUMMYFUNCTION("""COMPUTED_VALUE"""),0.0)</f>
        <v>0</v>
      </c>
    </row>
    <row r="134" ht="15.75" customHeight="1">
      <c r="A134" s="6" t="str">
        <f>IFERROR(__xludf.DUMMYFUNCTION("""COMPUTED_VALUE"""),"749524eadbd429949b1a44242bd8fb3559f3626c")</f>
        <v>749524eadbd429949b1a44242bd8fb3559f3626c</v>
      </c>
      <c r="B134" s="6" t="str">
        <f>IFERROR(__xludf.DUMMYFUNCTION("""COMPUTED_VALUE"""),"Monarch of His Shadows")</f>
        <v>Monarch of His Shadows</v>
      </c>
      <c r="C134" s="6" t="str">
        <f>IFERROR(__xludf.DUMMYFUNCTION("""COMPUTED_VALUE"""),"Fantasy")</f>
        <v>Fantasy</v>
      </c>
      <c r="D134" s="11">
        <f>IFERROR(__xludf.DUMMYFUNCTION("""COMPUTED_VALUE"""),8.0)</f>
        <v>8</v>
      </c>
      <c r="E134" s="8">
        <f>IFERROR(__xludf.DUMMYFUNCTION("""COMPUTED_VALUE"""),1.0)</f>
        <v>1</v>
      </c>
      <c r="F134" s="8">
        <f>IFERROR(__xludf.DUMMYFUNCTION("""COMPUTED_VALUE"""),0.625)</f>
        <v>0.625</v>
      </c>
      <c r="G134" s="8">
        <f>IFERROR(__xludf.DUMMYFUNCTION("""COMPUTED_VALUE"""),0.5)</f>
        <v>0.5</v>
      </c>
      <c r="H134" s="8">
        <f>IFERROR(__xludf.DUMMYFUNCTION("""COMPUTED_VALUE"""),0.5)</f>
        <v>0.5</v>
      </c>
      <c r="I134" s="8">
        <f>IFERROR(__xludf.DUMMYFUNCTION("""COMPUTED_VALUE"""),0.5)</f>
        <v>0.5</v>
      </c>
      <c r="J134" s="8">
        <f>IFERROR(__xludf.DUMMYFUNCTION("""COMPUTED_VALUE"""),0.375)</f>
        <v>0.375</v>
      </c>
      <c r="K134" s="8">
        <f>IFERROR(__xludf.DUMMYFUNCTION("""COMPUTED_VALUE"""),0.375)</f>
        <v>0.375</v>
      </c>
      <c r="L134" s="8">
        <f>IFERROR(__xludf.DUMMYFUNCTION("""COMPUTED_VALUE"""),0.375)</f>
        <v>0.375</v>
      </c>
      <c r="M134" s="8">
        <f>IFERROR(__xludf.DUMMYFUNCTION("""COMPUTED_VALUE"""),0.375)</f>
        <v>0.375</v>
      </c>
      <c r="N134" s="8">
        <f>IFERROR(__xludf.DUMMYFUNCTION("""COMPUTED_VALUE"""),0.375)</f>
        <v>0.375</v>
      </c>
      <c r="O134" s="8">
        <f>IFERROR(__xludf.DUMMYFUNCTION("""COMPUTED_VALUE"""),0.125)</f>
        <v>0.125</v>
      </c>
      <c r="P134" s="8">
        <f>IFERROR(__xludf.DUMMYFUNCTION("""COMPUTED_VALUE"""),0.0)</f>
        <v>0</v>
      </c>
      <c r="Q134" s="8">
        <f>IFERROR(__xludf.DUMMYFUNCTION("""COMPUTED_VALUE"""),0.0)</f>
        <v>0</v>
      </c>
      <c r="R134" s="8">
        <f>IFERROR(__xludf.DUMMYFUNCTION("""COMPUTED_VALUE"""),0.0)</f>
        <v>0</v>
      </c>
      <c r="S134" s="8">
        <f>IFERROR(__xludf.DUMMYFUNCTION("""COMPUTED_VALUE"""),0.0)</f>
        <v>0</v>
      </c>
      <c r="T134" s="8">
        <f>IFERROR(__xludf.DUMMYFUNCTION("""COMPUTED_VALUE"""),0.0)</f>
        <v>0</v>
      </c>
      <c r="U134" s="8">
        <f>IFERROR(__xludf.DUMMYFUNCTION("""COMPUTED_VALUE"""),0.0)</f>
        <v>0</v>
      </c>
      <c r="V134" s="8">
        <f>IFERROR(__xludf.DUMMYFUNCTION("""COMPUTED_VALUE"""),0.0)</f>
        <v>0</v>
      </c>
      <c r="W134" s="8">
        <f>IFERROR(__xludf.DUMMYFUNCTION("""COMPUTED_VALUE"""),0.0)</f>
        <v>0</v>
      </c>
      <c r="X134" s="8">
        <f>IFERROR(__xludf.DUMMYFUNCTION("""COMPUTED_VALUE"""),0.0)</f>
        <v>0</v>
      </c>
      <c r="Y134" s="8">
        <f>IFERROR(__xludf.DUMMYFUNCTION("""COMPUTED_VALUE"""),0.0)</f>
        <v>0</v>
      </c>
      <c r="Z134" s="8">
        <f>IFERROR(__xludf.DUMMYFUNCTION("""COMPUTED_VALUE"""),0.0)</f>
        <v>0</v>
      </c>
      <c r="AA134" s="8">
        <f>IFERROR(__xludf.DUMMYFUNCTION("""COMPUTED_VALUE"""),0.0)</f>
        <v>0</v>
      </c>
      <c r="AB134" s="8">
        <f>IFERROR(__xludf.DUMMYFUNCTION("""COMPUTED_VALUE"""),0.0)</f>
        <v>0</v>
      </c>
      <c r="AC134" s="8">
        <f>IFERROR(__xludf.DUMMYFUNCTION("""COMPUTED_VALUE"""),0.0)</f>
        <v>0</v>
      </c>
    </row>
    <row r="135" ht="15.75" customHeight="1">
      <c r="A135" s="6" t="str">
        <f>IFERROR(__xludf.DUMMYFUNCTION("""COMPUTED_VALUE"""),"75537e31c1c79bdbb6ca1cd286c8e6bcb2697a51")</f>
        <v>75537e31c1c79bdbb6ca1cd286c8e6bcb2697a51</v>
      </c>
      <c r="B135" s="6" t="str">
        <f>IFERROR(__xludf.DUMMYFUNCTION("""COMPUTED_VALUE"""),"The Story of the CEO and the Heiress")</f>
        <v>The Story of the CEO and the Heiress</v>
      </c>
      <c r="C135" s="6" t="str">
        <f>IFERROR(__xludf.DUMMYFUNCTION("""COMPUTED_VALUE"""),"Romance")</f>
        <v>Romance</v>
      </c>
      <c r="D135" s="11">
        <f>IFERROR(__xludf.DUMMYFUNCTION("""COMPUTED_VALUE"""),4956.0)</f>
        <v>4956</v>
      </c>
      <c r="E135" s="8">
        <f>IFERROR(__xludf.DUMMYFUNCTION("""COMPUTED_VALUE"""),0.936642453591606)</f>
        <v>0.9366424536</v>
      </c>
      <c r="F135" s="8">
        <f>IFERROR(__xludf.DUMMYFUNCTION("""COMPUTED_VALUE"""),0.577481840193704)</f>
        <v>0.5774818402</v>
      </c>
      <c r="G135" s="8">
        <f>IFERROR(__xludf.DUMMYFUNCTION("""COMPUTED_VALUE"""),0.518966908797417)</f>
        <v>0.5189669088</v>
      </c>
      <c r="H135" s="8">
        <f>IFERROR(__xludf.DUMMYFUNCTION("""COMPUTED_VALUE"""),0.49151857835218)</f>
        <v>0.4915185784</v>
      </c>
      <c r="I135" s="8">
        <f>IFERROR(__xludf.DUMMYFUNCTION("""COMPUTED_VALUE"""),0.467165083855324)</f>
        <v>0.4671650839</v>
      </c>
      <c r="J135" s="8">
        <f>IFERROR(__xludf.DUMMYFUNCTION("""COMPUTED_VALUE"""),0.451162790697674)</f>
        <v>0.4511627907</v>
      </c>
      <c r="K135" s="8">
        <f>IFERROR(__xludf.DUMMYFUNCTION("""COMPUTED_VALUE"""),0.438220424671385)</f>
        <v>0.4382204247</v>
      </c>
      <c r="L135" s="8">
        <f>IFERROR(__xludf.DUMMYFUNCTION("""COMPUTED_VALUE"""),0.434791413527744)</f>
        <v>0.4347914135</v>
      </c>
      <c r="M135" s="8">
        <f>IFERROR(__xludf.DUMMYFUNCTION("""COMPUTED_VALUE"""),0.422609400324149)</f>
        <v>0.4226094003</v>
      </c>
      <c r="N135" s="8">
        <f>IFERROR(__xludf.DUMMYFUNCTION("""COMPUTED_VALUE"""),0.414792299898682)</f>
        <v>0.4147922999</v>
      </c>
      <c r="O135" s="8">
        <f>IFERROR(__xludf.DUMMYFUNCTION("""COMPUTED_VALUE"""),0.403822692151281)</f>
        <v>0.4038226922</v>
      </c>
      <c r="P135" s="8">
        <f>IFERROR(__xludf.DUMMYFUNCTION("""COMPUTED_VALUE"""),0.365510204081632)</f>
        <v>0.3655102041</v>
      </c>
      <c r="Q135" s="8">
        <f>IFERROR(__xludf.DUMMYFUNCTION("""COMPUTED_VALUE"""),0.307407407407407)</f>
        <v>0.3074074074</v>
      </c>
      <c r="R135" s="8">
        <f>IFERROR(__xludf.DUMMYFUNCTION("""COMPUTED_VALUE"""),0.258684863523573)</f>
        <v>0.2586848635</v>
      </c>
      <c r="S135" s="8">
        <f>IFERROR(__xludf.DUMMYFUNCTION("""COMPUTED_VALUE"""),0.224137931034482)</f>
        <v>0.224137931</v>
      </c>
      <c r="T135" s="8">
        <f>IFERROR(__xludf.DUMMYFUNCTION("""COMPUTED_VALUE"""),0.14820271066588)</f>
        <v>0.1482027107</v>
      </c>
      <c r="U135" s="8">
        <f>IFERROR(__xludf.DUMMYFUNCTION("""COMPUTED_VALUE"""),0.11751497005988)</f>
        <v>0.1175149701</v>
      </c>
      <c r="V135" s="8">
        <f>IFERROR(__xludf.DUMMYFUNCTION("""COMPUTED_VALUE"""),0.0866926744690073)</f>
        <v>0.08669267447</v>
      </c>
      <c r="W135" s="8">
        <f>IFERROR(__xludf.DUMMYFUNCTION("""COMPUTED_VALUE"""),0.0657705232837254)</f>
        <v>0.06577052328</v>
      </c>
      <c r="X135" s="8">
        <f>IFERROR(__xludf.DUMMYFUNCTION("""COMPUTED_VALUE"""),0.0)</f>
        <v>0</v>
      </c>
      <c r="Y135" s="8">
        <f>IFERROR(__xludf.DUMMYFUNCTION("""COMPUTED_VALUE"""),0.0)</f>
        <v>0</v>
      </c>
      <c r="Z135" s="8">
        <f>IFERROR(__xludf.DUMMYFUNCTION("""COMPUTED_VALUE"""),0.0)</f>
        <v>0</v>
      </c>
      <c r="AA135" s="8">
        <f>IFERROR(__xludf.DUMMYFUNCTION("""COMPUTED_VALUE"""),0.0)</f>
        <v>0</v>
      </c>
      <c r="AB135" s="8">
        <f>IFERROR(__xludf.DUMMYFUNCTION("""COMPUTED_VALUE"""),0.0)</f>
        <v>0</v>
      </c>
      <c r="AC135" s="8">
        <f>IFERROR(__xludf.DUMMYFUNCTION("""COMPUTED_VALUE"""),0.0)</f>
        <v>0</v>
      </c>
    </row>
    <row r="136" ht="15.75" customHeight="1">
      <c r="A136" s="6" t="str">
        <f>IFERROR(__xludf.DUMMYFUNCTION("""COMPUTED_VALUE"""),"767e135d338072c6a947db01691ead3f3174c6e1")</f>
        <v>767e135d338072c6a947db01691ead3f3174c6e1</v>
      </c>
      <c r="B136" s="6" t="str">
        <f>IFERROR(__xludf.DUMMYFUNCTION("""COMPUTED_VALUE"""),"The Hidden Heir Returns")</f>
        <v>The Hidden Heir Returns</v>
      </c>
      <c r="C136" s="6" t="str">
        <f>IFERROR(__xludf.DUMMYFUNCTION("""COMPUTED_VALUE"""),"Drama")</f>
        <v>Drama</v>
      </c>
      <c r="D136" s="11">
        <f>IFERROR(__xludf.DUMMYFUNCTION("""COMPUTED_VALUE"""),888.0)</f>
        <v>888</v>
      </c>
      <c r="E136" s="8">
        <f>IFERROR(__xludf.DUMMYFUNCTION("""COMPUTED_VALUE"""),0.868243243243243)</f>
        <v>0.8682432432</v>
      </c>
      <c r="F136" s="8">
        <f>IFERROR(__xludf.DUMMYFUNCTION("""COMPUTED_VALUE"""),0.420045045045045)</f>
        <v>0.420045045</v>
      </c>
      <c r="G136" s="8">
        <f>IFERROR(__xludf.DUMMYFUNCTION("""COMPUTED_VALUE"""),0.368243243243243)</f>
        <v>0.3682432432</v>
      </c>
      <c r="H136" s="8">
        <f>IFERROR(__xludf.DUMMYFUNCTION("""COMPUTED_VALUE"""),0.33710407239819)</f>
        <v>0.3371040724</v>
      </c>
      <c r="I136" s="8">
        <f>IFERROR(__xludf.DUMMYFUNCTION("""COMPUTED_VALUE"""),0.308740068104426)</f>
        <v>0.3087400681</v>
      </c>
      <c r="J136" s="8">
        <f>IFERROR(__xludf.DUMMYFUNCTION("""COMPUTED_VALUE"""),0.28310502283105)</f>
        <v>0.2831050228</v>
      </c>
      <c r="K136" s="8">
        <f>IFERROR(__xludf.DUMMYFUNCTION("""COMPUTED_VALUE"""),0.271167048054919)</f>
        <v>0.2711670481</v>
      </c>
      <c r="L136" s="8">
        <f>IFERROR(__xludf.DUMMYFUNCTION("""COMPUTED_VALUE"""),0.248275862068965)</f>
        <v>0.2482758621</v>
      </c>
      <c r="M136" s="8">
        <f>IFERROR(__xludf.DUMMYFUNCTION("""COMPUTED_VALUE"""),0.232718894009216)</f>
        <v>0.232718894</v>
      </c>
      <c r="N136" s="8">
        <f>IFERROR(__xludf.DUMMYFUNCTION("""COMPUTED_VALUE"""),0.216685979142526)</f>
        <v>0.2166859791</v>
      </c>
      <c r="O136" s="8">
        <f>IFERROR(__xludf.DUMMYFUNCTION("""COMPUTED_VALUE"""),0.179761904761904)</f>
        <v>0.1797619048</v>
      </c>
      <c r="P136" s="8">
        <f>IFERROR(__xludf.DUMMYFUNCTION("""COMPUTED_VALUE"""),0.160975609756097)</f>
        <v>0.1609756098</v>
      </c>
      <c r="Q136" s="8">
        <f>IFERROR(__xludf.DUMMYFUNCTION("""COMPUTED_VALUE"""),0.12664907651715)</f>
        <v>0.1266490765</v>
      </c>
      <c r="R136" s="8">
        <f>IFERROR(__xludf.DUMMYFUNCTION("""COMPUTED_VALUE"""),0.0748299319727891)</f>
        <v>0.07482993197</v>
      </c>
      <c r="S136" s="8">
        <f>IFERROR(__xludf.DUMMYFUNCTION("""COMPUTED_VALUE"""),0.0603085553997194)</f>
        <v>0.0603085554</v>
      </c>
      <c r="T136" s="8">
        <f>IFERROR(__xludf.DUMMYFUNCTION("""COMPUTED_VALUE"""),0.0488505747126436)</f>
        <v>0.04885057471</v>
      </c>
      <c r="U136" s="8">
        <f>IFERROR(__xludf.DUMMYFUNCTION("""COMPUTED_VALUE"""),0.0389805097451274)</f>
        <v>0.03898050975</v>
      </c>
      <c r="V136" s="8">
        <f>IFERROR(__xludf.DUMMYFUNCTION("""COMPUTED_VALUE"""),0.0380348652931854)</f>
        <v>0.03803486529</v>
      </c>
      <c r="W136" s="8">
        <f>IFERROR(__xludf.DUMMYFUNCTION("""COMPUTED_VALUE"""),0.0392491467576791)</f>
        <v>0.03924914676</v>
      </c>
      <c r="X136" s="8">
        <f>IFERROR(__xludf.DUMMYFUNCTION("""COMPUTED_VALUE"""),0.0350262697022767)</f>
        <v>0.0350262697</v>
      </c>
      <c r="Y136" s="8">
        <f>IFERROR(__xludf.DUMMYFUNCTION("""COMPUTED_VALUE"""),0.0326678765880217)</f>
        <v>0.03266787659</v>
      </c>
      <c r="Z136" s="8">
        <f>IFERROR(__xludf.DUMMYFUNCTION("""COMPUTED_VALUE"""),0.0345489443378119)</f>
        <v>0.03454894434</v>
      </c>
      <c r="AA136" s="8">
        <f>IFERROR(__xludf.DUMMYFUNCTION("""COMPUTED_VALUE"""),0.0256410256410256)</f>
        <v>0.02564102564</v>
      </c>
      <c r="AB136" s="8">
        <f>IFERROR(__xludf.DUMMYFUNCTION("""COMPUTED_VALUE"""),0.0138067061143984)</f>
        <v>0.01380670611</v>
      </c>
      <c r="AC136" s="8">
        <f>IFERROR(__xludf.DUMMYFUNCTION("""COMPUTED_VALUE"""),0.0)</f>
        <v>0</v>
      </c>
    </row>
    <row r="137" ht="15.75" customHeight="1">
      <c r="A137" s="6" t="str">
        <f>IFERROR(__xludf.DUMMYFUNCTION("""COMPUTED_VALUE"""),"778663539ccabc8ee781b66d2bf6ff6a7f527163")</f>
        <v>778663539ccabc8ee781b66d2bf6ff6a7f527163</v>
      </c>
      <c r="B137" s="6" t="str">
        <f>IFERROR(__xludf.DUMMYFUNCTION("""COMPUTED_VALUE"""),"The Lazuras Engine System")</f>
        <v>The Lazuras Engine System</v>
      </c>
      <c r="C137" s="6" t="str">
        <f>IFERROR(__xludf.DUMMYFUNCTION("""COMPUTED_VALUE"""),"System and Superpower")</f>
        <v>System and Superpower</v>
      </c>
      <c r="D137" s="11">
        <f>IFERROR(__xludf.DUMMYFUNCTION("""COMPUTED_VALUE"""),7.0)</f>
        <v>7</v>
      </c>
      <c r="E137" s="8">
        <f>IFERROR(__xludf.DUMMYFUNCTION("""COMPUTED_VALUE"""),1.0)</f>
        <v>1</v>
      </c>
      <c r="F137" s="8">
        <f>IFERROR(__xludf.DUMMYFUNCTION("""COMPUTED_VALUE"""),0.428571428571428)</f>
        <v>0.4285714286</v>
      </c>
      <c r="G137" s="8">
        <f>IFERROR(__xludf.DUMMYFUNCTION("""COMPUTED_VALUE"""),0.285714285714285)</f>
        <v>0.2857142857</v>
      </c>
      <c r="H137" s="8">
        <f>IFERROR(__xludf.DUMMYFUNCTION("""COMPUTED_VALUE"""),0.285714285714285)</f>
        <v>0.2857142857</v>
      </c>
      <c r="I137" s="8">
        <f>IFERROR(__xludf.DUMMYFUNCTION("""COMPUTED_VALUE"""),0.285714285714285)</f>
        <v>0.2857142857</v>
      </c>
      <c r="J137" s="8">
        <f>IFERROR(__xludf.DUMMYFUNCTION("""COMPUTED_VALUE"""),0.285714285714285)</f>
        <v>0.2857142857</v>
      </c>
      <c r="K137" s="8">
        <f>IFERROR(__xludf.DUMMYFUNCTION("""COMPUTED_VALUE"""),0.285714285714285)</f>
        <v>0.2857142857</v>
      </c>
      <c r="L137" s="8">
        <f>IFERROR(__xludf.DUMMYFUNCTION("""COMPUTED_VALUE"""),0.285714285714285)</f>
        <v>0.2857142857</v>
      </c>
      <c r="M137" s="8">
        <f>IFERROR(__xludf.DUMMYFUNCTION("""COMPUTED_VALUE"""),0.285714285714285)</f>
        <v>0.2857142857</v>
      </c>
      <c r="N137" s="8">
        <f>IFERROR(__xludf.DUMMYFUNCTION("""COMPUTED_VALUE"""),0.142857142857142)</f>
        <v>0.1428571429</v>
      </c>
      <c r="O137" s="8">
        <f>IFERROR(__xludf.DUMMYFUNCTION("""COMPUTED_VALUE"""),0.142857142857142)</f>
        <v>0.1428571429</v>
      </c>
      <c r="P137" s="8">
        <f>IFERROR(__xludf.DUMMYFUNCTION("""COMPUTED_VALUE"""),0.166666666666666)</f>
        <v>0.1666666667</v>
      </c>
      <c r="Q137" s="8">
        <f>IFERROR(__xludf.DUMMYFUNCTION("""COMPUTED_VALUE"""),0.25)</f>
        <v>0.25</v>
      </c>
      <c r="R137" s="8">
        <f>IFERROR(__xludf.DUMMYFUNCTION("""COMPUTED_VALUE"""),0.0)</f>
        <v>0</v>
      </c>
      <c r="S137" s="8">
        <f>IFERROR(__xludf.DUMMYFUNCTION("""COMPUTED_VALUE"""),0.0)</f>
        <v>0</v>
      </c>
      <c r="T137" s="8">
        <f>IFERROR(__xludf.DUMMYFUNCTION("""COMPUTED_VALUE"""),0.0)</f>
        <v>0</v>
      </c>
      <c r="U137" s="8">
        <f>IFERROR(__xludf.DUMMYFUNCTION("""COMPUTED_VALUE"""),0.0)</f>
        <v>0</v>
      </c>
      <c r="V137" s="8">
        <f>IFERROR(__xludf.DUMMYFUNCTION("""COMPUTED_VALUE"""),0.0)</f>
        <v>0</v>
      </c>
      <c r="W137" s="8">
        <f>IFERROR(__xludf.DUMMYFUNCTION("""COMPUTED_VALUE"""),0.0)</f>
        <v>0</v>
      </c>
      <c r="X137" s="8">
        <f>IFERROR(__xludf.DUMMYFUNCTION("""COMPUTED_VALUE"""),0.0)</f>
        <v>0</v>
      </c>
      <c r="Y137" s="8">
        <f>IFERROR(__xludf.DUMMYFUNCTION("""COMPUTED_VALUE"""),0.0)</f>
        <v>0</v>
      </c>
      <c r="Z137" s="8">
        <f>IFERROR(__xludf.DUMMYFUNCTION("""COMPUTED_VALUE"""),0.0)</f>
        <v>0</v>
      </c>
      <c r="AA137" s="8">
        <f>IFERROR(__xludf.DUMMYFUNCTION("""COMPUTED_VALUE"""),0.0)</f>
        <v>0</v>
      </c>
      <c r="AB137" s="8">
        <f>IFERROR(__xludf.DUMMYFUNCTION("""COMPUTED_VALUE"""),0.0)</f>
        <v>0</v>
      </c>
      <c r="AC137" s="8">
        <f>IFERROR(__xludf.DUMMYFUNCTION("""COMPUTED_VALUE"""),0.0)</f>
        <v>0</v>
      </c>
    </row>
    <row r="138" ht="15.75" customHeight="1">
      <c r="A138" s="6" t="str">
        <f>IFERROR(__xludf.DUMMYFUNCTION("""COMPUTED_VALUE"""),"7b3a625b0f5bbaa9080a6795b2d70e994716f8a5")</f>
        <v>7b3a625b0f5bbaa9080a6795b2d70e994716f8a5</v>
      </c>
      <c r="B138" s="6" t="str">
        <f>IFERROR(__xludf.DUMMYFUNCTION("""COMPUTED_VALUE"""),"Unexpectedly Yours")</f>
        <v>Unexpectedly Yours</v>
      </c>
      <c r="C138" s="6" t="str">
        <f>IFERROR(__xludf.DUMMYFUNCTION("""COMPUTED_VALUE"""),"Romance")</f>
        <v>Romance</v>
      </c>
      <c r="D138" s="11">
        <f>IFERROR(__xludf.DUMMYFUNCTION("""COMPUTED_VALUE"""),102.0)</f>
        <v>102</v>
      </c>
      <c r="E138" s="8">
        <f>IFERROR(__xludf.DUMMYFUNCTION("""COMPUTED_VALUE"""),0.931372549019607)</f>
        <v>0.931372549</v>
      </c>
      <c r="F138" s="8">
        <f>IFERROR(__xludf.DUMMYFUNCTION("""COMPUTED_VALUE"""),0.401960784313725)</f>
        <v>0.4019607843</v>
      </c>
      <c r="G138" s="8">
        <f>IFERROR(__xludf.DUMMYFUNCTION("""COMPUTED_VALUE"""),0.386138613861386)</f>
        <v>0.3861386139</v>
      </c>
      <c r="H138" s="8">
        <f>IFERROR(__xludf.DUMMYFUNCTION("""COMPUTED_VALUE"""),0.293103448275862)</f>
        <v>0.2931034483</v>
      </c>
      <c r="I138" s="8">
        <f>IFERROR(__xludf.DUMMYFUNCTION("""COMPUTED_VALUE"""),0.333333333333333)</f>
        <v>0.3333333333</v>
      </c>
      <c r="J138" s="8">
        <f>IFERROR(__xludf.DUMMYFUNCTION("""COMPUTED_VALUE"""),0.25)</f>
        <v>0.25</v>
      </c>
      <c r="K138" s="8">
        <f>IFERROR(__xludf.DUMMYFUNCTION("""COMPUTED_VALUE"""),0.23076923076923)</f>
        <v>0.2307692308</v>
      </c>
      <c r="L138" s="8">
        <f>IFERROR(__xludf.DUMMYFUNCTION("""COMPUTED_VALUE"""),0.23076923076923)</f>
        <v>0.2307692308</v>
      </c>
      <c r="M138" s="8">
        <f>IFERROR(__xludf.DUMMYFUNCTION("""COMPUTED_VALUE"""),0.205128205128205)</f>
        <v>0.2051282051</v>
      </c>
      <c r="N138" s="8">
        <f>IFERROR(__xludf.DUMMYFUNCTION("""COMPUTED_VALUE"""),0.184210526315789)</f>
        <v>0.1842105263</v>
      </c>
      <c r="O138" s="8">
        <f>IFERROR(__xludf.DUMMYFUNCTION("""COMPUTED_VALUE"""),0.0909090909090909)</f>
        <v>0.09090909091</v>
      </c>
      <c r="P138" s="8">
        <f>IFERROR(__xludf.DUMMYFUNCTION("""COMPUTED_VALUE"""),0.12)</f>
        <v>0.12</v>
      </c>
      <c r="Q138" s="8">
        <f>IFERROR(__xludf.DUMMYFUNCTION("""COMPUTED_VALUE"""),0.0)</f>
        <v>0</v>
      </c>
      <c r="R138" s="8">
        <f>IFERROR(__xludf.DUMMYFUNCTION("""COMPUTED_VALUE"""),0.0)</f>
        <v>0</v>
      </c>
      <c r="S138" s="8">
        <f>IFERROR(__xludf.DUMMYFUNCTION("""COMPUTED_VALUE"""),0.0)</f>
        <v>0</v>
      </c>
      <c r="T138" s="8">
        <f>IFERROR(__xludf.DUMMYFUNCTION("""COMPUTED_VALUE"""),0.0)</f>
        <v>0</v>
      </c>
      <c r="U138" s="8">
        <f>IFERROR(__xludf.DUMMYFUNCTION("""COMPUTED_VALUE"""),0.0)</f>
        <v>0</v>
      </c>
      <c r="V138" s="8">
        <f>IFERROR(__xludf.DUMMYFUNCTION("""COMPUTED_VALUE"""),0.0)</f>
        <v>0</v>
      </c>
      <c r="W138" s="8">
        <f>IFERROR(__xludf.DUMMYFUNCTION("""COMPUTED_VALUE"""),0.0)</f>
        <v>0</v>
      </c>
      <c r="X138" s="8">
        <f>IFERROR(__xludf.DUMMYFUNCTION("""COMPUTED_VALUE"""),0.0)</f>
        <v>0</v>
      </c>
      <c r="Y138" s="8">
        <f>IFERROR(__xludf.DUMMYFUNCTION("""COMPUTED_VALUE"""),0.0)</f>
        <v>0</v>
      </c>
      <c r="Z138" s="8">
        <f>IFERROR(__xludf.DUMMYFUNCTION("""COMPUTED_VALUE"""),0.0)</f>
        <v>0</v>
      </c>
      <c r="AA138" s="8">
        <f>IFERROR(__xludf.DUMMYFUNCTION("""COMPUTED_VALUE"""),0.0)</f>
        <v>0</v>
      </c>
      <c r="AB138" s="8">
        <f>IFERROR(__xludf.DUMMYFUNCTION("""COMPUTED_VALUE"""),0.0)</f>
        <v>0</v>
      </c>
      <c r="AC138" s="8">
        <f>IFERROR(__xludf.DUMMYFUNCTION("""COMPUTED_VALUE"""),0.0)</f>
        <v>0</v>
      </c>
    </row>
    <row r="139" ht="15.75" customHeight="1">
      <c r="A139" s="6" t="str">
        <f>IFERROR(__xludf.DUMMYFUNCTION("""COMPUTED_VALUE"""),"7c9e3c835e58a5ec8e21381910eaaf785ea5ddfc")</f>
        <v>7c9e3c835e58a5ec8e21381910eaaf785ea5ddfc</v>
      </c>
      <c r="B139" s="6" t="str">
        <f>IFERROR(__xludf.DUMMYFUNCTION("""COMPUTED_VALUE"""),"I Do ... Or Do I? ")</f>
        <v>I Do ... Or Do I? </v>
      </c>
      <c r="C139" s="6" t="str">
        <f>IFERROR(__xludf.DUMMYFUNCTION("""COMPUTED_VALUE"""),"Romance")</f>
        <v>Romance</v>
      </c>
      <c r="D139" s="11">
        <f>IFERROR(__xludf.DUMMYFUNCTION("""COMPUTED_VALUE"""),308.0)</f>
        <v>308</v>
      </c>
      <c r="E139" s="8">
        <f>IFERROR(__xludf.DUMMYFUNCTION("""COMPUTED_VALUE"""),0.974025974025974)</f>
        <v>0.974025974</v>
      </c>
      <c r="F139" s="8">
        <f>IFERROR(__xludf.DUMMYFUNCTION("""COMPUTED_VALUE"""),0.594155844155844)</f>
        <v>0.5941558442</v>
      </c>
      <c r="G139" s="8">
        <f>IFERROR(__xludf.DUMMYFUNCTION("""COMPUTED_VALUE"""),0.564935064935065)</f>
        <v>0.5649350649</v>
      </c>
      <c r="H139" s="8">
        <f>IFERROR(__xludf.DUMMYFUNCTION("""COMPUTED_VALUE"""),0.54421768707483)</f>
        <v>0.5442176871</v>
      </c>
      <c r="I139" s="8">
        <f>IFERROR(__xludf.DUMMYFUNCTION("""COMPUTED_VALUE"""),0.527972027972028)</f>
        <v>0.527972028</v>
      </c>
      <c r="J139" s="8">
        <f>IFERROR(__xludf.DUMMYFUNCTION("""COMPUTED_VALUE"""),0.498233215547703)</f>
        <v>0.4982332155</v>
      </c>
      <c r="K139" s="8">
        <f>IFERROR(__xludf.DUMMYFUNCTION("""COMPUTED_VALUE"""),0.469090909090909)</f>
        <v>0.4690909091</v>
      </c>
      <c r="L139" s="8">
        <f>IFERROR(__xludf.DUMMYFUNCTION("""COMPUTED_VALUE"""),0.419475655430711)</f>
        <v>0.4194756554</v>
      </c>
      <c r="M139" s="8">
        <f>IFERROR(__xludf.DUMMYFUNCTION("""COMPUTED_VALUE"""),0.367768595041322)</f>
        <v>0.367768595</v>
      </c>
      <c r="N139" s="8">
        <f>IFERROR(__xludf.DUMMYFUNCTION("""COMPUTED_VALUE"""),0.386597938144329)</f>
        <v>0.3865979381</v>
      </c>
      <c r="O139" s="8">
        <f>IFERROR(__xludf.DUMMYFUNCTION("""COMPUTED_VALUE"""),0.450980392156862)</f>
        <v>0.4509803922</v>
      </c>
      <c r="P139" s="8">
        <f>IFERROR(__xludf.DUMMYFUNCTION("""COMPUTED_VALUE"""),0.206349206349206)</f>
        <v>0.2063492063</v>
      </c>
      <c r="Q139" s="8">
        <f>IFERROR(__xludf.DUMMYFUNCTION("""COMPUTED_VALUE"""),0.111111111111111)</f>
        <v>0.1111111111</v>
      </c>
      <c r="R139" s="8">
        <f>IFERROR(__xludf.DUMMYFUNCTION("""COMPUTED_VALUE"""),0.0)</f>
        <v>0</v>
      </c>
      <c r="S139" s="8">
        <f>IFERROR(__xludf.DUMMYFUNCTION("""COMPUTED_VALUE"""),0.0)</f>
        <v>0</v>
      </c>
      <c r="T139" s="8">
        <f>IFERROR(__xludf.DUMMYFUNCTION("""COMPUTED_VALUE"""),0.0)</f>
        <v>0</v>
      </c>
      <c r="U139" s="8">
        <f>IFERROR(__xludf.DUMMYFUNCTION("""COMPUTED_VALUE"""),0.0)</f>
        <v>0</v>
      </c>
      <c r="V139" s="8">
        <f>IFERROR(__xludf.DUMMYFUNCTION("""COMPUTED_VALUE"""),0.0)</f>
        <v>0</v>
      </c>
      <c r="W139" s="8">
        <f>IFERROR(__xludf.DUMMYFUNCTION("""COMPUTED_VALUE"""),0.0)</f>
        <v>0</v>
      </c>
      <c r="X139" s="8">
        <f>IFERROR(__xludf.DUMMYFUNCTION("""COMPUTED_VALUE"""),0.0)</f>
        <v>0</v>
      </c>
      <c r="Y139" s="8">
        <f>IFERROR(__xludf.DUMMYFUNCTION("""COMPUTED_VALUE"""),0.0)</f>
        <v>0</v>
      </c>
      <c r="Z139" s="8">
        <f>IFERROR(__xludf.DUMMYFUNCTION("""COMPUTED_VALUE"""),0.0)</f>
        <v>0</v>
      </c>
      <c r="AA139" s="8">
        <f>IFERROR(__xludf.DUMMYFUNCTION("""COMPUTED_VALUE"""),0.0)</f>
        <v>0</v>
      </c>
      <c r="AB139" s="8">
        <f>IFERROR(__xludf.DUMMYFUNCTION("""COMPUTED_VALUE"""),0.0)</f>
        <v>0</v>
      </c>
      <c r="AC139" s="8">
        <f>IFERROR(__xludf.DUMMYFUNCTION("""COMPUTED_VALUE"""),0.0)</f>
        <v>0</v>
      </c>
    </row>
    <row r="140" ht="15.75" customHeight="1">
      <c r="A140" s="6" t="str">
        <f>IFERROR(__xludf.DUMMYFUNCTION("""COMPUTED_VALUE"""),"7d18c26c9a61af0d543d74280e7328e01a907988")</f>
        <v>7d18c26c9a61af0d543d74280e7328e01a907988</v>
      </c>
      <c r="B140" s="6" t="str">
        <f>IFERROR(__xludf.DUMMYFUNCTION("""COMPUTED_VALUE"""),"Empire of Love and War")</f>
        <v>Empire of Love and War</v>
      </c>
      <c r="C140" s="6" t="str">
        <f>IFERROR(__xludf.DUMMYFUNCTION("""COMPUTED_VALUE"""),"Romance")</f>
        <v>Romance</v>
      </c>
      <c r="D140" s="11">
        <f>IFERROR(__xludf.DUMMYFUNCTION("""COMPUTED_VALUE"""),428.0)</f>
        <v>428</v>
      </c>
      <c r="E140" s="8">
        <f>IFERROR(__xludf.DUMMYFUNCTION("""COMPUTED_VALUE"""),0.967289719626168)</f>
        <v>0.9672897196</v>
      </c>
      <c r="F140" s="8">
        <f>IFERROR(__xludf.DUMMYFUNCTION("""COMPUTED_VALUE"""),0.619158878504672)</f>
        <v>0.6191588785</v>
      </c>
      <c r="G140" s="8">
        <f>IFERROR(__xludf.DUMMYFUNCTION("""COMPUTED_VALUE"""),0.591121495327102)</f>
        <v>0.5911214953</v>
      </c>
      <c r="H140" s="8">
        <f>IFERROR(__xludf.DUMMYFUNCTION("""COMPUTED_VALUE"""),0.563549160671462)</f>
        <v>0.5635491607</v>
      </c>
      <c r="I140" s="8">
        <f>IFERROR(__xludf.DUMMYFUNCTION("""COMPUTED_VALUE"""),0.530413625304136)</f>
        <v>0.5304136253</v>
      </c>
      <c r="J140" s="8">
        <f>IFERROR(__xludf.DUMMYFUNCTION("""COMPUTED_VALUE"""),0.487562189054726)</f>
        <v>0.4875621891</v>
      </c>
      <c r="K140" s="8">
        <f>IFERROR(__xludf.DUMMYFUNCTION("""COMPUTED_VALUE"""),0.456410256410256)</f>
        <v>0.4564102564</v>
      </c>
      <c r="L140" s="8">
        <f>IFERROR(__xludf.DUMMYFUNCTION("""COMPUTED_VALUE"""),0.418300653594771)</f>
        <v>0.4183006536</v>
      </c>
      <c r="M140" s="8">
        <f>IFERROR(__xludf.DUMMYFUNCTION("""COMPUTED_VALUE"""),0.416030534351145)</f>
        <v>0.4160305344</v>
      </c>
      <c r="N140" s="8">
        <f>IFERROR(__xludf.DUMMYFUNCTION("""COMPUTED_VALUE"""),0.375634517766497)</f>
        <v>0.3756345178</v>
      </c>
      <c r="O140" s="8">
        <f>IFERROR(__xludf.DUMMYFUNCTION("""COMPUTED_VALUE"""),0.292207792207792)</f>
        <v>0.2922077922</v>
      </c>
      <c r="P140" s="8">
        <f>IFERROR(__xludf.DUMMYFUNCTION("""COMPUTED_VALUE"""),0.128712871287128)</f>
        <v>0.1287128713</v>
      </c>
      <c r="Q140" s="8">
        <f>IFERROR(__xludf.DUMMYFUNCTION("""COMPUTED_VALUE"""),0.0555555555555555)</f>
        <v>0.05555555556</v>
      </c>
      <c r="R140" s="8">
        <f>IFERROR(__xludf.DUMMYFUNCTION("""COMPUTED_VALUE"""),0.0)</f>
        <v>0</v>
      </c>
      <c r="S140" s="8">
        <f>IFERROR(__xludf.DUMMYFUNCTION("""COMPUTED_VALUE"""),0.0)</f>
        <v>0</v>
      </c>
      <c r="T140" s="8">
        <f>IFERROR(__xludf.DUMMYFUNCTION("""COMPUTED_VALUE"""),0.0)</f>
        <v>0</v>
      </c>
      <c r="U140" s="8">
        <f>IFERROR(__xludf.DUMMYFUNCTION("""COMPUTED_VALUE"""),0.0)</f>
        <v>0</v>
      </c>
      <c r="V140" s="8">
        <f>IFERROR(__xludf.DUMMYFUNCTION("""COMPUTED_VALUE"""),0.0)</f>
        <v>0</v>
      </c>
      <c r="W140" s="8">
        <f>IFERROR(__xludf.DUMMYFUNCTION("""COMPUTED_VALUE"""),0.0)</f>
        <v>0</v>
      </c>
      <c r="X140" s="8">
        <f>IFERROR(__xludf.DUMMYFUNCTION("""COMPUTED_VALUE"""),0.0)</f>
        <v>0</v>
      </c>
      <c r="Y140" s="8">
        <f>IFERROR(__xludf.DUMMYFUNCTION("""COMPUTED_VALUE"""),0.0)</f>
        <v>0</v>
      </c>
      <c r="Z140" s="8">
        <f>IFERROR(__xludf.DUMMYFUNCTION("""COMPUTED_VALUE"""),0.0)</f>
        <v>0</v>
      </c>
      <c r="AA140" s="8">
        <f>IFERROR(__xludf.DUMMYFUNCTION("""COMPUTED_VALUE"""),0.0)</f>
        <v>0</v>
      </c>
      <c r="AB140" s="8">
        <f>IFERROR(__xludf.DUMMYFUNCTION("""COMPUTED_VALUE"""),0.0)</f>
        <v>0</v>
      </c>
      <c r="AC140" s="8">
        <f>IFERROR(__xludf.DUMMYFUNCTION("""COMPUTED_VALUE"""),0.0)</f>
        <v>0</v>
      </c>
    </row>
    <row r="141" ht="15.75" customHeight="1">
      <c r="A141" s="6" t="str">
        <f>IFERROR(__xludf.DUMMYFUNCTION("""COMPUTED_VALUE"""),"7dcd0d4c632448440b17285c811990532a31efec")</f>
        <v>7dcd0d4c632448440b17285c811990532a31efec</v>
      </c>
      <c r="B141" s="6" t="str">
        <f>IFERROR(__xludf.DUMMYFUNCTION("""COMPUTED_VALUE"""),"The Scentless Luna")</f>
        <v>The Scentless Luna</v>
      </c>
      <c r="C141" s="6" t="str">
        <f>IFERROR(__xludf.DUMMYFUNCTION("""COMPUTED_VALUE"""),"Romantasy")</f>
        <v>Romantasy</v>
      </c>
      <c r="D141" s="11">
        <f>IFERROR(__xludf.DUMMYFUNCTION("""COMPUTED_VALUE"""),136.0)</f>
        <v>136</v>
      </c>
      <c r="E141" s="8">
        <f>IFERROR(__xludf.DUMMYFUNCTION("""COMPUTED_VALUE"""),0.977941176470588)</f>
        <v>0.9779411765</v>
      </c>
      <c r="F141" s="8">
        <f>IFERROR(__xludf.DUMMYFUNCTION("""COMPUTED_VALUE"""),0.602941176470588)</f>
        <v>0.6029411765</v>
      </c>
      <c r="G141" s="8">
        <f>IFERROR(__xludf.DUMMYFUNCTION("""COMPUTED_VALUE"""),0.522058823529411)</f>
        <v>0.5220588235</v>
      </c>
      <c r="H141" s="8">
        <f>IFERROR(__xludf.DUMMYFUNCTION("""COMPUTED_VALUE"""),0.443037974683544)</f>
        <v>0.4430379747</v>
      </c>
      <c r="I141" s="8">
        <f>IFERROR(__xludf.DUMMYFUNCTION("""COMPUTED_VALUE"""),0.40506329113924)</f>
        <v>0.4050632911</v>
      </c>
      <c r="J141" s="8">
        <f>IFERROR(__xludf.DUMMYFUNCTION("""COMPUTED_VALUE"""),0.392405063291139)</f>
        <v>0.3924050633</v>
      </c>
      <c r="K141" s="8">
        <f>IFERROR(__xludf.DUMMYFUNCTION("""COMPUTED_VALUE"""),0.341772151898734)</f>
        <v>0.3417721519</v>
      </c>
      <c r="L141" s="8">
        <f>IFERROR(__xludf.DUMMYFUNCTION("""COMPUTED_VALUE"""),0.30379746835443)</f>
        <v>0.3037974684</v>
      </c>
      <c r="M141" s="8">
        <f>IFERROR(__xludf.DUMMYFUNCTION("""COMPUTED_VALUE"""),0.278481012658227)</f>
        <v>0.2784810127</v>
      </c>
      <c r="N141" s="8">
        <f>IFERROR(__xludf.DUMMYFUNCTION("""COMPUTED_VALUE"""),0.282051282051282)</f>
        <v>0.2820512821</v>
      </c>
      <c r="O141" s="8">
        <f>IFERROR(__xludf.DUMMYFUNCTION("""COMPUTED_VALUE"""),0.226666666666666)</f>
        <v>0.2266666667</v>
      </c>
      <c r="P141" s="8">
        <f>IFERROR(__xludf.DUMMYFUNCTION("""COMPUTED_VALUE"""),0.136986301369863)</f>
        <v>0.1369863014</v>
      </c>
      <c r="Q141" s="8">
        <f>IFERROR(__xludf.DUMMYFUNCTION("""COMPUTED_VALUE"""),0.104166666666666)</f>
        <v>0.1041666667</v>
      </c>
      <c r="R141" s="8">
        <f>IFERROR(__xludf.DUMMYFUNCTION("""COMPUTED_VALUE"""),0.16)</f>
        <v>0.16</v>
      </c>
      <c r="S141" s="8">
        <f>IFERROR(__xludf.DUMMYFUNCTION("""COMPUTED_VALUE"""),0.0)</f>
        <v>0</v>
      </c>
      <c r="T141" s="8">
        <f>IFERROR(__xludf.DUMMYFUNCTION("""COMPUTED_VALUE"""),0.0)</f>
        <v>0</v>
      </c>
      <c r="U141" s="8">
        <f>IFERROR(__xludf.DUMMYFUNCTION("""COMPUTED_VALUE"""),0.0)</f>
        <v>0</v>
      </c>
      <c r="V141" s="8">
        <f>IFERROR(__xludf.DUMMYFUNCTION("""COMPUTED_VALUE"""),0.0)</f>
        <v>0</v>
      </c>
      <c r="W141" s="8">
        <f>IFERROR(__xludf.DUMMYFUNCTION("""COMPUTED_VALUE"""),0.0)</f>
        <v>0</v>
      </c>
      <c r="X141" s="8">
        <f>IFERROR(__xludf.DUMMYFUNCTION("""COMPUTED_VALUE"""),0.0)</f>
        <v>0</v>
      </c>
      <c r="Y141" s="8">
        <f>IFERROR(__xludf.DUMMYFUNCTION("""COMPUTED_VALUE"""),0.0)</f>
        <v>0</v>
      </c>
      <c r="Z141" s="8">
        <f>IFERROR(__xludf.DUMMYFUNCTION("""COMPUTED_VALUE"""),0.0)</f>
        <v>0</v>
      </c>
      <c r="AA141" s="8">
        <f>IFERROR(__xludf.DUMMYFUNCTION("""COMPUTED_VALUE"""),0.0)</f>
        <v>0</v>
      </c>
      <c r="AB141" s="8">
        <f>IFERROR(__xludf.DUMMYFUNCTION("""COMPUTED_VALUE"""),0.0)</f>
        <v>0</v>
      </c>
      <c r="AC141" s="8">
        <f>IFERROR(__xludf.DUMMYFUNCTION("""COMPUTED_VALUE"""),0.0)</f>
        <v>0</v>
      </c>
    </row>
    <row r="142" ht="15.75" customHeight="1">
      <c r="A142" s="6" t="str">
        <f>IFERROR(__xludf.DUMMYFUNCTION("""COMPUTED_VALUE"""),"7fb3b080b1ad8976195f7a18e1df497bc23037fa")</f>
        <v>7fb3b080b1ad8976195f7a18e1df497bc23037fa</v>
      </c>
      <c r="B142" s="6" t="str">
        <f>IFERROR(__xludf.DUMMYFUNCTION("""COMPUTED_VALUE"""),"The Ghostwalker")</f>
        <v>The Ghostwalker</v>
      </c>
      <c r="C142" s="6" t="str">
        <f>IFERROR(__xludf.DUMMYFUNCTION("""COMPUTED_VALUE"""),"Suspense or Thriller")</f>
        <v>Suspense or Thriller</v>
      </c>
      <c r="D142" s="11">
        <f>IFERROR(__xludf.DUMMYFUNCTION("""COMPUTED_VALUE"""),787.0)</f>
        <v>787</v>
      </c>
      <c r="E142" s="8">
        <f>IFERROR(__xludf.DUMMYFUNCTION("""COMPUTED_VALUE"""),0.986022871664548)</f>
        <v>0.9860228717</v>
      </c>
      <c r="F142" s="8">
        <f>IFERROR(__xludf.DUMMYFUNCTION("""COMPUTED_VALUE"""),0.419313850063532)</f>
        <v>0.4193138501</v>
      </c>
      <c r="G142" s="8">
        <f>IFERROR(__xludf.DUMMYFUNCTION("""COMPUTED_VALUE"""),0.332909783989834)</f>
        <v>0.332909784</v>
      </c>
      <c r="H142" s="8">
        <f>IFERROR(__xludf.DUMMYFUNCTION("""COMPUTED_VALUE"""),0.297331639135959)</f>
        <v>0.2973316391</v>
      </c>
      <c r="I142" s="8">
        <f>IFERROR(__xludf.DUMMYFUNCTION("""COMPUTED_VALUE"""),0.261753494282083)</f>
        <v>0.2617534943</v>
      </c>
      <c r="J142" s="8">
        <f>IFERROR(__xludf.DUMMYFUNCTION("""COMPUTED_VALUE"""),0.234096692111959)</f>
        <v>0.2340966921</v>
      </c>
      <c r="K142" s="8">
        <f>IFERROR(__xludf.DUMMYFUNCTION("""COMPUTED_VALUE"""),0.211734693877551)</f>
        <v>0.2117346939</v>
      </c>
      <c r="L142" s="8">
        <f>IFERROR(__xludf.DUMMYFUNCTION("""COMPUTED_VALUE"""),0.201540436456996)</f>
        <v>0.2015404365</v>
      </c>
      <c r="M142" s="8">
        <f>IFERROR(__xludf.DUMMYFUNCTION("""COMPUTED_VALUE"""),0.18018018018018)</f>
        <v>0.1801801802</v>
      </c>
      <c r="N142" s="8">
        <f>IFERROR(__xludf.DUMMYFUNCTION("""COMPUTED_VALUE"""),0.163849154746423)</f>
        <v>0.1638491547</v>
      </c>
      <c r="O142" s="8">
        <f>IFERROR(__xludf.DUMMYFUNCTION("""COMPUTED_VALUE"""),0.128843338213762)</f>
        <v>0.1288433382</v>
      </c>
      <c r="P142" s="8">
        <f>IFERROR(__xludf.DUMMYFUNCTION("""COMPUTED_VALUE"""),0.0691823899371069)</f>
        <v>0.06918238994</v>
      </c>
      <c r="Q142" s="8">
        <f>IFERROR(__xludf.DUMMYFUNCTION("""COMPUTED_VALUE"""),0.0)</f>
        <v>0</v>
      </c>
      <c r="R142" s="8">
        <f>IFERROR(__xludf.DUMMYFUNCTION("""COMPUTED_VALUE"""),0.0)</f>
        <v>0</v>
      </c>
      <c r="S142" s="8">
        <f>IFERROR(__xludf.DUMMYFUNCTION("""COMPUTED_VALUE"""),0.0)</f>
        <v>0</v>
      </c>
      <c r="T142" s="8">
        <f>IFERROR(__xludf.DUMMYFUNCTION("""COMPUTED_VALUE"""),0.0)</f>
        <v>0</v>
      </c>
      <c r="U142" s="8">
        <f>IFERROR(__xludf.DUMMYFUNCTION("""COMPUTED_VALUE"""),0.0)</f>
        <v>0</v>
      </c>
      <c r="V142" s="8">
        <f>IFERROR(__xludf.DUMMYFUNCTION("""COMPUTED_VALUE"""),0.0)</f>
        <v>0</v>
      </c>
      <c r="W142" s="8">
        <f>IFERROR(__xludf.DUMMYFUNCTION("""COMPUTED_VALUE"""),0.0)</f>
        <v>0</v>
      </c>
      <c r="X142" s="8">
        <f>IFERROR(__xludf.DUMMYFUNCTION("""COMPUTED_VALUE"""),0.0)</f>
        <v>0</v>
      </c>
      <c r="Y142" s="8">
        <f>IFERROR(__xludf.DUMMYFUNCTION("""COMPUTED_VALUE"""),0.0)</f>
        <v>0</v>
      </c>
      <c r="Z142" s="8">
        <f>IFERROR(__xludf.DUMMYFUNCTION("""COMPUTED_VALUE"""),0.0)</f>
        <v>0</v>
      </c>
      <c r="AA142" s="8">
        <f>IFERROR(__xludf.DUMMYFUNCTION("""COMPUTED_VALUE"""),0.0)</f>
        <v>0</v>
      </c>
      <c r="AB142" s="8">
        <f>IFERROR(__xludf.DUMMYFUNCTION("""COMPUTED_VALUE"""),0.0)</f>
        <v>0</v>
      </c>
      <c r="AC142" s="8">
        <f>IFERROR(__xludf.DUMMYFUNCTION("""COMPUTED_VALUE"""),0.0)</f>
        <v>0</v>
      </c>
    </row>
    <row r="143" ht="15.75" customHeight="1">
      <c r="A143" s="6" t="str">
        <f>IFERROR(__xludf.DUMMYFUNCTION("""COMPUTED_VALUE"""),"7fd747e6520471a8653824ad1a2ba2ad33b91835")</f>
        <v>7fd747e6520471a8653824ad1a2ba2ad33b91835</v>
      </c>
      <c r="B143" s="6" t="str">
        <f>IFERROR(__xludf.DUMMYFUNCTION("""COMPUTED_VALUE"""),"Evolution Online")</f>
        <v>Evolution Online</v>
      </c>
      <c r="C143" s="6" t="str">
        <f>IFERROR(__xludf.DUMMYFUNCTION("""COMPUTED_VALUE"""),"Fantasy")</f>
        <v>Fantasy</v>
      </c>
      <c r="D143" s="11">
        <f>IFERROR(__xludf.DUMMYFUNCTION("""COMPUTED_VALUE"""),7.0)</f>
        <v>7</v>
      </c>
      <c r="E143" s="8">
        <f>IFERROR(__xludf.DUMMYFUNCTION("""COMPUTED_VALUE"""),0.857142857142857)</f>
        <v>0.8571428571</v>
      </c>
      <c r="F143" s="8">
        <f>IFERROR(__xludf.DUMMYFUNCTION("""COMPUTED_VALUE"""),0.714285714285714)</f>
        <v>0.7142857143</v>
      </c>
      <c r="G143" s="8">
        <f>IFERROR(__xludf.DUMMYFUNCTION("""COMPUTED_VALUE"""),0.0)</f>
        <v>0</v>
      </c>
      <c r="H143" s="8">
        <f>IFERROR(__xludf.DUMMYFUNCTION("""COMPUTED_VALUE"""),0.0)</f>
        <v>0</v>
      </c>
      <c r="I143" s="8">
        <f>IFERROR(__xludf.DUMMYFUNCTION("""COMPUTED_VALUE"""),0.0)</f>
        <v>0</v>
      </c>
      <c r="J143" s="8">
        <f>IFERROR(__xludf.DUMMYFUNCTION("""COMPUTED_VALUE"""),0.166666666666666)</f>
        <v>0.1666666667</v>
      </c>
      <c r="K143" s="8">
        <f>IFERROR(__xludf.DUMMYFUNCTION("""COMPUTED_VALUE"""),0.0)</f>
        <v>0</v>
      </c>
      <c r="L143" s="8">
        <f>IFERROR(__xludf.DUMMYFUNCTION("""COMPUTED_VALUE"""),0.0)</f>
        <v>0</v>
      </c>
      <c r="M143" s="8">
        <f>IFERROR(__xludf.DUMMYFUNCTION("""COMPUTED_VALUE"""),0.0)</f>
        <v>0</v>
      </c>
      <c r="N143" s="8">
        <f>IFERROR(__xludf.DUMMYFUNCTION("""COMPUTED_VALUE"""),0.0)</f>
        <v>0</v>
      </c>
      <c r="O143" s="8">
        <f>IFERROR(__xludf.DUMMYFUNCTION("""COMPUTED_VALUE"""),0.0)</f>
        <v>0</v>
      </c>
      <c r="P143" s="8">
        <f>IFERROR(__xludf.DUMMYFUNCTION("""COMPUTED_VALUE"""),0.0)</f>
        <v>0</v>
      </c>
      <c r="Q143" s="8">
        <f>IFERROR(__xludf.DUMMYFUNCTION("""COMPUTED_VALUE"""),0.0)</f>
        <v>0</v>
      </c>
      <c r="R143" s="8">
        <f>IFERROR(__xludf.DUMMYFUNCTION("""COMPUTED_VALUE"""),0.0)</f>
        <v>0</v>
      </c>
      <c r="S143" s="8">
        <f>IFERROR(__xludf.DUMMYFUNCTION("""COMPUTED_VALUE"""),0.0)</f>
        <v>0</v>
      </c>
      <c r="T143" s="8">
        <f>IFERROR(__xludf.DUMMYFUNCTION("""COMPUTED_VALUE"""),0.0)</f>
        <v>0</v>
      </c>
      <c r="U143" s="8">
        <f>IFERROR(__xludf.DUMMYFUNCTION("""COMPUTED_VALUE"""),0.0)</f>
        <v>0</v>
      </c>
      <c r="V143" s="8">
        <f>IFERROR(__xludf.DUMMYFUNCTION("""COMPUTED_VALUE"""),0.0)</f>
        <v>0</v>
      </c>
      <c r="W143" s="8">
        <f>IFERROR(__xludf.DUMMYFUNCTION("""COMPUTED_VALUE"""),0.0)</f>
        <v>0</v>
      </c>
      <c r="X143" s="8">
        <f>IFERROR(__xludf.DUMMYFUNCTION("""COMPUTED_VALUE"""),0.0)</f>
        <v>0</v>
      </c>
      <c r="Y143" s="8">
        <f>IFERROR(__xludf.DUMMYFUNCTION("""COMPUTED_VALUE"""),0.0)</f>
        <v>0</v>
      </c>
      <c r="Z143" s="8">
        <f>IFERROR(__xludf.DUMMYFUNCTION("""COMPUTED_VALUE"""),0.0)</f>
        <v>0</v>
      </c>
      <c r="AA143" s="8">
        <f>IFERROR(__xludf.DUMMYFUNCTION("""COMPUTED_VALUE"""),0.0)</f>
        <v>0</v>
      </c>
      <c r="AB143" s="8">
        <f>IFERROR(__xludf.DUMMYFUNCTION("""COMPUTED_VALUE"""),0.0)</f>
        <v>0</v>
      </c>
      <c r="AC143" s="8">
        <f>IFERROR(__xludf.DUMMYFUNCTION("""COMPUTED_VALUE"""),0.0)</f>
        <v>0</v>
      </c>
    </row>
    <row r="144" ht="15.75" customHeight="1">
      <c r="A144" s="6" t="str">
        <f>IFERROR(__xludf.DUMMYFUNCTION("""COMPUTED_VALUE"""),"80e6be6f7d165552c60a2fc7cbf39746d2ab2466")</f>
        <v>80e6be6f7d165552c60a2fc7cbf39746d2ab2466</v>
      </c>
      <c r="B144" s="6" t="str">
        <f>IFERROR(__xludf.DUMMYFUNCTION("""COMPUTED_VALUE"""),"Marked by Him: True Mate")</f>
        <v>Marked by Him: True Mate</v>
      </c>
      <c r="C144" s="6" t="str">
        <f>IFERROR(__xludf.DUMMYFUNCTION("""COMPUTED_VALUE"""),"Romantasy")</f>
        <v>Romantasy</v>
      </c>
      <c r="D144" s="11">
        <f>IFERROR(__xludf.DUMMYFUNCTION("""COMPUTED_VALUE"""),1080.0)</f>
        <v>1080</v>
      </c>
      <c r="E144" s="8">
        <f>IFERROR(__xludf.DUMMYFUNCTION("""COMPUTED_VALUE"""),0.971296296296296)</f>
        <v>0.9712962963</v>
      </c>
      <c r="F144" s="8">
        <f>IFERROR(__xludf.DUMMYFUNCTION("""COMPUTED_VALUE"""),0.616666666666666)</f>
        <v>0.6166666667</v>
      </c>
      <c r="G144" s="8">
        <f>IFERROR(__xludf.DUMMYFUNCTION("""COMPUTED_VALUE"""),0.566666666666666)</f>
        <v>0.5666666667</v>
      </c>
      <c r="H144" s="8">
        <f>IFERROR(__xludf.DUMMYFUNCTION("""COMPUTED_VALUE"""),0.532407407407407)</f>
        <v>0.5324074074</v>
      </c>
      <c r="I144" s="8">
        <f>IFERROR(__xludf.DUMMYFUNCTION("""COMPUTED_VALUE"""),0.516697588126159)</f>
        <v>0.5166975881</v>
      </c>
      <c r="J144" s="8">
        <f>IFERROR(__xludf.DUMMYFUNCTION("""COMPUTED_VALUE"""),0.486536675951717)</f>
        <v>0.486536676</v>
      </c>
      <c r="K144" s="8">
        <f>IFERROR(__xludf.DUMMYFUNCTION("""COMPUTED_VALUE"""),0.470260223048327)</f>
        <v>0.470260223</v>
      </c>
      <c r="L144" s="8">
        <f>IFERROR(__xludf.DUMMYFUNCTION("""COMPUTED_VALUE"""),0.459888059701492)</f>
        <v>0.4598880597</v>
      </c>
      <c r="M144" s="8">
        <f>IFERROR(__xludf.DUMMYFUNCTION("""COMPUTED_VALUE"""),0.443298969072164)</f>
        <v>0.4432989691</v>
      </c>
      <c r="N144" s="8">
        <f>IFERROR(__xludf.DUMMYFUNCTION("""COMPUTED_VALUE"""),0.443682664054848)</f>
        <v>0.4436826641</v>
      </c>
      <c r="O144" s="8">
        <f>IFERROR(__xludf.DUMMYFUNCTION("""COMPUTED_VALUE"""),0.443425076452599)</f>
        <v>0.4434250765</v>
      </c>
      <c r="P144" s="8">
        <f>IFERROR(__xludf.DUMMYFUNCTION("""COMPUTED_VALUE"""),0.352395672333848)</f>
        <v>0.3523956723</v>
      </c>
      <c r="Q144" s="8">
        <f>IFERROR(__xludf.DUMMYFUNCTION("""COMPUTED_VALUE"""),0.218694885361552)</f>
        <v>0.2186948854</v>
      </c>
      <c r="R144" s="8">
        <f>IFERROR(__xludf.DUMMYFUNCTION("""COMPUTED_VALUE"""),0.142857142857142)</f>
        <v>0.1428571429</v>
      </c>
      <c r="S144" s="8">
        <f>IFERROR(__xludf.DUMMYFUNCTION("""COMPUTED_VALUE"""),0.0)</f>
        <v>0</v>
      </c>
      <c r="T144" s="8">
        <f>IFERROR(__xludf.DUMMYFUNCTION("""COMPUTED_VALUE"""),0.0)</f>
        <v>0</v>
      </c>
      <c r="U144" s="8">
        <f>IFERROR(__xludf.DUMMYFUNCTION("""COMPUTED_VALUE"""),0.0)</f>
        <v>0</v>
      </c>
      <c r="V144" s="8">
        <f>IFERROR(__xludf.DUMMYFUNCTION("""COMPUTED_VALUE"""),0.0)</f>
        <v>0</v>
      </c>
      <c r="W144" s="8">
        <f>IFERROR(__xludf.DUMMYFUNCTION("""COMPUTED_VALUE"""),0.0)</f>
        <v>0</v>
      </c>
      <c r="X144" s="8">
        <f>IFERROR(__xludf.DUMMYFUNCTION("""COMPUTED_VALUE"""),0.0)</f>
        <v>0</v>
      </c>
      <c r="Y144" s="8">
        <f>IFERROR(__xludf.DUMMYFUNCTION("""COMPUTED_VALUE"""),0.0)</f>
        <v>0</v>
      </c>
      <c r="Z144" s="8">
        <f>IFERROR(__xludf.DUMMYFUNCTION("""COMPUTED_VALUE"""),0.0)</f>
        <v>0</v>
      </c>
      <c r="AA144" s="8">
        <f>IFERROR(__xludf.DUMMYFUNCTION("""COMPUTED_VALUE"""),0.0)</f>
        <v>0</v>
      </c>
      <c r="AB144" s="8">
        <f>IFERROR(__xludf.DUMMYFUNCTION("""COMPUTED_VALUE"""),0.0)</f>
        <v>0</v>
      </c>
      <c r="AC144" s="8">
        <f>IFERROR(__xludf.DUMMYFUNCTION("""COMPUTED_VALUE"""),0.0)</f>
        <v>0</v>
      </c>
    </row>
    <row r="145" ht="15.75" customHeight="1">
      <c r="A145" s="6" t="str">
        <f>IFERROR(__xludf.DUMMYFUNCTION("""COMPUTED_VALUE"""),"820e3a2951adfcd3997c3ea5696cb62bc975f0a0")</f>
        <v>820e3a2951adfcd3997c3ea5696cb62bc975f0a0</v>
      </c>
      <c r="B145" s="6" t="str">
        <f>IFERROR(__xludf.DUMMYFUNCTION("""COMPUTED_VALUE"""),"The Return of Master ")</f>
        <v>The Return of Master </v>
      </c>
      <c r="C145" s="6" t="str">
        <f>IFERROR(__xludf.DUMMYFUNCTION("""COMPUTED_VALUE"""),"Fantasy")</f>
        <v>Fantasy</v>
      </c>
      <c r="D145" s="11">
        <f>IFERROR(__xludf.DUMMYFUNCTION("""COMPUTED_VALUE"""),5.0)</f>
        <v>5</v>
      </c>
      <c r="E145" s="8">
        <f>IFERROR(__xludf.DUMMYFUNCTION("""COMPUTED_VALUE"""),0.8)</f>
        <v>0.8</v>
      </c>
      <c r="F145" s="8">
        <f>IFERROR(__xludf.DUMMYFUNCTION("""COMPUTED_VALUE"""),0.8)</f>
        <v>0.8</v>
      </c>
      <c r="G145" s="8">
        <f>IFERROR(__xludf.DUMMYFUNCTION("""COMPUTED_VALUE"""),0.8)</f>
        <v>0.8</v>
      </c>
      <c r="H145" s="8">
        <f>IFERROR(__xludf.DUMMYFUNCTION("""COMPUTED_VALUE"""),0.8)</f>
        <v>0.8</v>
      </c>
      <c r="I145" s="8">
        <f>IFERROR(__xludf.DUMMYFUNCTION("""COMPUTED_VALUE"""),0.6)</f>
        <v>0.6</v>
      </c>
      <c r="J145" s="8">
        <f>IFERROR(__xludf.DUMMYFUNCTION("""COMPUTED_VALUE"""),0.6)</f>
        <v>0.6</v>
      </c>
      <c r="K145" s="8">
        <f>IFERROR(__xludf.DUMMYFUNCTION("""COMPUTED_VALUE"""),0.6)</f>
        <v>0.6</v>
      </c>
      <c r="L145" s="8">
        <f>IFERROR(__xludf.DUMMYFUNCTION("""COMPUTED_VALUE"""),0.4)</f>
        <v>0.4</v>
      </c>
      <c r="M145" s="8">
        <f>IFERROR(__xludf.DUMMYFUNCTION("""COMPUTED_VALUE"""),0.4)</f>
        <v>0.4</v>
      </c>
      <c r="N145" s="8">
        <f>IFERROR(__xludf.DUMMYFUNCTION("""COMPUTED_VALUE"""),0.4)</f>
        <v>0.4</v>
      </c>
      <c r="O145" s="8">
        <f>IFERROR(__xludf.DUMMYFUNCTION("""COMPUTED_VALUE"""),0.4)</f>
        <v>0.4</v>
      </c>
      <c r="P145" s="8">
        <f>IFERROR(__xludf.DUMMYFUNCTION("""COMPUTED_VALUE"""),0.0)</f>
        <v>0</v>
      </c>
      <c r="Q145" s="8">
        <f>IFERROR(__xludf.DUMMYFUNCTION("""COMPUTED_VALUE"""),0.0)</f>
        <v>0</v>
      </c>
      <c r="R145" s="8">
        <f>IFERROR(__xludf.DUMMYFUNCTION("""COMPUTED_VALUE"""),0.0)</f>
        <v>0</v>
      </c>
      <c r="S145" s="8">
        <f>IFERROR(__xludf.DUMMYFUNCTION("""COMPUTED_VALUE"""),0.0)</f>
        <v>0</v>
      </c>
      <c r="T145" s="8">
        <f>IFERROR(__xludf.DUMMYFUNCTION("""COMPUTED_VALUE"""),0.0)</f>
        <v>0</v>
      </c>
      <c r="U145" s="8">
        <f>IFERROR(__xludf.DUMMYFUNCTION("""COMPUTED_VALUE"""),0.0)</f>
        <v>0</v>
      </c>
      <c r="V145" s="8">
        <f>IFERROR(__xludf.DUMMYFUNCTION("""COMPUTED_VALUE"""),0.0)</f>
        <v>0</v>
      </c>
      <c r="W145" s="8">
        <f>IFERROR(__xludf.DUMMYFUNCTION("""COMPUTED_VALUE"""),0.0)</f>
        <v>0</v>
      </c>
      <c r="X145" s="8">
        <f>IFERROR(__xludf.DUMMYFUNCTION("""COMPUTED_VALUE"""),0.0)</f>
        <v>0</v>
      </c>
      <c r="Y145" s="8">
        <f>IFERROR(__xludf.DUMMYFUNCTION("""COMPUTED_VALUE"""),0.0)</f>
        <v>0</v>
      </c>
      <c r="Z145" s="8">
        <f>IFERROR(__xludf.DUMMYFUNCTION("""COMPUTED_VALUE"""),0.0)</f>
        <v>0</v>
      </c>
      <c r="AA145" s="8">
        <f>IFERROR(__xludf.DUMMYFUNCTION("""COMPUTED_VALUE"""),0.0)</f>
        <v>0</v>
      </c>
      <c r="AB145" s="8">
        <f>IFERROR(__xludf.DUMMYFUNCTION("""COMPUTED_VALUE"""),0.0)</f>
        <v>0</v>
      </c>
      <c r="AC145" s="8">
        <f>IFERROR(__xludf.DUMMYFUNCTION("""COMPUTED_VALUE"""),0.0)</f>
        <v>0</v>
      </c>
    </row>
    <row r="146" ht="15.75" customHeight="1">
      <c r="A146" s="6" t="str">
        <f>IFERROR(__xludf.DUMMYFUNCTION("""COMPUTED_VALUE"""),"82ff8ba01d1e1fbcea7c734b687b1a9ff858733d")</f>
        <v>82ff8ba01d1e1fbcea7c734b687b1a9ff858733d</v>
      </c>
      <c r="B146" s="6" t="str">
        <f>IFERROR(__xludf.DUMMYFUNCTION("""COMPUTED_VALUE"""),"Twin Realms Traveler")</f>
        <v>Twin Realms Traveler</v>
      </c>
      <c r="C146" s="6" t="str">
        <f>IFERROR(__xludf.DUMMYFUNCTION("""COMPUTED_VALUE"""),"System and Superpower")</f>
        <v>System and Superpower</v>
      </c>
      <c r="D146" s="11">
        <f>IFERROR(__xludf.DUMMYFUNCTION("""COMPUTED_VALUE"""),8.0)</f>
        <v>8</v>
      </c>
      <c r="E146" s="8">
        <f>IFERROR(__xludf.DUMMYFUNCTION("""COMPUTED_VALUE"""),1.0)</f>
        <v>1</v>
      </c>
      <c r="F146" s="8">
        <f>IFERROR(__xludf.DUMMYFUNCTION("""COMPUTED_VALUE"""),0.25)</f>
        <v>0.25</v>
      </c>
      <c r="G146" s="8">
        <f>IFERROR(__xludf.DUMMYFUNCTION("""COMPUTED_VALUE"""),0.0)</f>
        <v>0</v>
      </c>
      <c r="H146" s="8">
        <f>IFERROR(__xludf.DUMMYFUNCTION("""COMPUTED_VALUE"""),0.0)</f>
        <v>0</v>
      </c>
      <c r="I146" s="8">
        <f>IFERROR(__xludf.DUMMYFUNCTION("""COMPUTED_VALUE"""),0.0)</f>
        <v>0</v>
      </c>
      <c r="J146" s="8">
        <f>IFERROR(__xludf.DUMMYFUNCTION("""COMPUTED_VALUE"""),0.0)</f>
        <v>0</v>
      </c>
      <c r="K146" s="8">
        <f>IFERROR(__xludf.DUMMYFUNCTION("""COMPUTED_VALUE"""),0.0)</f>
        <v>0</v>
      </c>
      <c r="L146" s="8">
        <f>IFERROR(__xludf.DUMMYFUNCTION("""COMPUTED_VALUE"""),0.0)</f>
        <v>0</v>
      </c>
      <c r="M146" s="8">
        <f>IFERROR(__xludf.DUMMYFUNCTION("""COMPUTED_VALUE"""),0.0)</f>
        <v>0</v>
      </c>
      <c r="N146" s="8">
        <f>IFERROR(__xludf.DUMMYFUNCTION("""COMPUTED_VALUE"""),0.0)</f>
        <v>0</v>
      </c>
      <c r="O146" s="8">
        <f>IFERROR(__xludf.DUMMYFUNCTION("""COMPUTED_VALUE"""),0.0)</f>
        <v>0</v>
      </c>
      <c r="P146" s="8">
        <f>IFERROR(__xludf.DUMMYFUNCTION("""COMPUTED_VALUE"""),0.0)</f>
        <v>0</v>
      </c>
      <c r="Q146" s="8">
        <f>IFERROR(__xludf.DUMMYFUNCTION("""COMPUTED_VALUE"""),0.0)</f>
        <v>0</v>
      </c>
      <c r="R146" s="8">
        <f>IFERROR(__xludf.DUMMYFUNCTION("""COMPUTED_VALUE"""),0.0)</f>
        <v>0</v>
      </c>
      <c r="S146" s="8">
        <f>IFERROR(__xludf.DUMMYFUNCTION("""COMPUTED_VALUE"""),0.0)</f>
        <v>0</v>
      </c>
      <c r="T146" s="8">
        <f>IFERROR(__xludf.DUMMYFUNCTION("""COMPUTED_VALUE"""),0.0)</f>
        <v>0</v>
      </c>
      <c r="U146" s="8">
        <f>IFERROR(__xludf.DUMMYFUNCTION("""COMPUTED_VALUE"""),0.0)</f>
        <v>0</v>
      </c>
      <c r="V146" s="8">
        <f>IFERROR(__xludf.DUMMYFUNCTION("""COMPUTED_VALUE"""),0.0)</f>
        <v>0</v>
      </c>
      <c r="W146" s="8">
        <f>IFERROR(__xludf.DUMMYFUNCTION("""COMPUTED_VALUE"""),0.0)</f>
        <v>0</v>
      </c>
      <c r="X146" s="8">
        <f>IFERROR(__xludf.DUMMYFUNCTION("""COMPUTED_VALUE"""),0.0)</f>
        <v>0</v>
      </c>
      <c r="Y146" s="8">
        <f>IFERROR(__xludf.DUMMYFUNCTION("""COMPUTED_VALUE"""),0.0)</f>
        <v>0</v>
      </c>
      <c r="Z146" s="8">
        <f>IFERROR(__xludf.DUMMYFUNCTION("""COMPUTED_VALUE"""),0.0)</f>
        <v>0</v>
      </c>
      <c r="AA146" s="8">
        <f>IFERROR(__xludf.DUMMYFUNCTION("""COMPUTED_VALUE"""),0.0)</f>
        <v>0</v>
      </c>
      <c r="AB146" s="8">
        <f>IFERROR(__xludf.DUMMYFUNCTION("""COMPUTED_VALUE"""),0.0)</f>
        <v>0</v>
      </c>
      <c r="AC146" s="8">
        <f>IFERROR(__xludf.DUMMYFUNCTION("""COMPUTED_VALUE"""),0.0)</f>
        <v>0</v>
      </c>
    </row>
    <row r="147" ht="15.75" customHeight="1">
      <c r="A147" s="6" t="str">
        <f>IFERROR(__xludf.DUMMYFUNCTION("""COMPUTED_VALUE"""),"84289ce4a2b527c3aa47651760eaff877da6adad")</f>
        <v>84289ce4a2b527c3aa47651760eaff877da6adad</v>
      </c>
      <c r="B147" s="6" t="str">
        <f>IFERROR(__xludf.DUMMYFUNCTION("""COMPUTED_VALUE"""),"Contracted by Love")</f>
        <v>Contracted by Love</v>
      </c>
      <c r="C147" s="6" t="str">
        <f>IFERROR(__xludf.DUMMYFUNCTION("""COMPUTED_VALUE"""),"Romance")</f>
        <v>Romance</v>
      </c>
      <c r="D147" s="11">
        <f>IFERROR(__xludf.DUMMYFUNCTION("""COMPUTED_VALUE"""),661.0)</f>
        <v>661</v>
      </c>
      <c r="E147" s="8">
        <f>IFERROR(__xludf.DUMMYFUNCTION("""COMPUTED_VALUE"""),0.983358547655068)</f>
        <v>0.9833585477</v>
      </c>
      <c r="F147" s="8">
        <f>IFERROR(__xludf.DUMMYFUNCTION("""COMPUTED_VALUE"""),0.540090771558245)</f>
        <v>0.5400907716</v>
      </c>
      <c r="G147" s="8">
        <f>IFERROR(__xludf.DUMMYFUNCTION("""COMPUTED_VALUE"""),0.493192133131618)</f>
        <v>0.4931921331</v>
      </c>
      <c r="H147" s="8">
        <f>IFERROR(__xludf.DUMMYFUNCTION("""COMPUTED_VALUE"""),0.465960665658093)</f>
        <v>0.4659606657</v>
      </c>
      <c r="I147" s="8">
        <f>IFERROR(__xludf.DUMMYFUNCTION("""COMPUTED_VALUE"""),0.425113464447806)</f>
        <v>0.4251134644</v>
      </c>
      <c r="J147" s="8">
        <f>IFERROR(__xludf.DUMMYFUNCTION("""COMPUTED_VALUE"""),0.396969696969697)</f>
        <v>0.396969697</v>
      </c>
      <c r="K147" s="8">
        <f>IFERROR(__xludf.DUMMYFUNCTION("""COMPUTED_VALUE"""),0.372727272727272)</f>
        <v>0.3727272727</v>
      </c>
      <c r="L147" s="8">
        <f>IFERROR(__xludf.DUMMYFUNCTION("""COMPUTED_VALUE"""),0.348484848484848)</f>
        <v>0.3484848485</v>
      </c>
      <c r="M147" s="8">
        <f>IFERROR(__xludf.DUMMYFUNCTION("""COMPUTED_VALUE"""),0.322188449848024)</f>
        <v>0.3221884498</v>
      </c>
      <c r="N147" s="8">
        <f>IFERROR(__xludf.DUMMYFUNCTION("""COMPUTED_VALUE"""),0.314589665653495)</f>
        <v>0.3145896657</v>
      </c>
      <c r="O147" s="8">
        <f>IFERROR(__xludf.DUMMYFUNCTION("""COMPUTED_VALUE"""),0.261333333333333)</f>
        <v>0.2613333333</v>
      </c>
      <c r="P147" s="8">
        <f>IFERROR(__xludf.DUMMYFUNCTION("""COMPUTED_VALUE"""),0.25)</f>
        <v>0.25</v>
      </c>
      <c r="Q147" s="8">
        <f>IFERROR(__xludf.DUMMYFUNCTION("""COMPUTED_VALUE"""),0.0)</f>
        <v>0</v>
      </c>
      <c r="R147" s="8">
        <f>IFERROR(__xludf.DUMMYFUNCTION("""COMPUTED_VALUE"""),0.0)</f>
        <v>0</v>
      </c>
      <c r="S147" s="8">
        <f>IFERROR(__xludf.DUMMYFUNCTION("""COMPUTED_VALUE"""),0.0)</f>
        <v>0</v>
      </c>
      <c r="T147" s="8">
        <f>IFERROR(__xludf.DUMMYFUNCTION("""COMPUTED_VALUE"""),0.0)</f>
        <v>0</v>
      </c>
      <c r="U147" s="8">
        <f>IFERROR(__xludf.DUMMYFUNCTION("""COMPUTED_VALUE"""),0.0)</f>
        <v>0</v>
      </c>
      <c r="V147" s="8">
        <f>IFERROR(__xludf.DUMMYFUNCTION("""COMPUTED_VALUE"""),0.0)</f>
        <v>0</v>
      </c>
      <c r="W147" s="8">
        <f>IFERROR(__xludf.DUMMYFUNCTION("""COMPUTED_VALUE"""),0.0)</f>
        <v>0</v>
      </c>
      <c r="X147" s="8">
        <f>IFERROR(__xludf.DUMMYFUNCTION("""COMPUTED_VALUE"""),0.0)</f>
        <v>0</v>
      </c>
      <c r="Y147" s="8">
        <f>IFERROR(__xludf.DUMMYFUNCTION("""COMPUTED_VALUE"""),0.0)</f>
        <v>0</v>
      </c>
      <c r="Z147" s="8">
        <f>IFERROR(__xludf.DUMMYFUNCTION("""COMPUTED_VALUE"""),0.0)</f>
        <v>0</v>
      </c>
      <c r="AA147" s="8">
        <f>IFERROR(__xludf.DUMMYFUNCTION("""COMPUTED_VALUE"""),0.0)</f>
        <v>0</v>
      </c>
      <c r="AB147" s="8">
        <f>IFERROR(__xludf.DUMMYFUNCTION("""COMPUTED_VALUE"""),0.0)</f>
        <v>0</v>
      </c>
      <c r="AC147" s="8">
        <f>IFERROR(__xludf.DUMMYFUNCTION("""COMPUTED_VALUE"""),0.0)</f>
        <v>0</v>
      </c>
    </row>
    <row r="148" ht="15.75" customHeight="1">
      <c r="A148" s="6" t="str">
        <f>IFERROR(__xludf.DUMMYFUNCTION("""COMPUTED_VALUE"""),"87b65acb9b6fcd4bc45f30d46f017fa847a0ce3c")</f>
        <v>87b65acb9b6fcd4bc45f30d46f017fa847a0ce3c</v>
      </c>
      <c r="B148" s="6" t="str">
        <f>IFERROR(__xludf.DUMMYFUNCTION("""COMPUTED_VALUE"""),"The Wife's Sweet Revenge")</f>
        <v>The Wife's Sweet Revenge</v>
      </c>
      <c r="C148" s="6" t="str">
        <f>IFERROR(__xludf.DUMMYFUNCTION("""COMPUTED_VALUE"""),"Romance")</f>
        <v>Romance</v>
      </c>
      <c r="D148" s="11">
        <f>IFERROR(__xludf.DUMMYFUNCTION("""COMPUTED_VALUE"""),8.0)</f>
        <v>8</v>
      </c>
      <c r="E148" s="8">
        <f>IFERROR(__xludf.DUMMYFUNCTION("""COMPUTED_VALUE"""),0.875)</f>
        <v>0.875</v>
      </c>
      <c r="F148" s="8">
        <f>IFERROR(__xludf.DUMMYFUNCTION("""COMPUTED_VALUE"""),0.625)</f>
        <v>0.625</v>
      </c>
      <c r="G148" s="8">
        <f>IFERROR(__xludf.DUMMYFUNCTION("""COMPUTED_VALUE"""),0.625)</f>
        <v>0.625</v>
      </c>
      <c r="H148" s="8">
        <f>IFERROR(__xludf.DUMMYFUNCTION("""COMPUTED_VALUE"""),0.5)</f>
        <v>0.5</v>
      </c>
      <c r="I148" s="8">
        <f>IFERROR(__xludf.DUMMYFUNCTION("""COMPUTED_VALUE"""),0.375)</f>
        <v>0.375</v>
      </c>
      <c r="J148" s="8">
        <f>IFERROR(__xludf.DUMMYFUNCTION("""COMPUTED_VALUE"""),0.571428571428571)</f>
        <v>0.5714285714</v>
      </c>
      <c r="K148" s="8">
        <f>IFERROR(__xludf.DUMMYFUNCTION("""COMPUTED_VALUE"""),0.571428571428571)</f>
        <v>0.5714285714</v>
      </c>
      <c r="L148" s="8">
        <f>IFERROR(__xludf.DUMMYFUNCTION("""COMPUTED_VALUE"""),0.571428571428571)</f>
        <v>0.5714285714</v>
      </c>
      <c r="M148" s="8">
        <f>IFERROR(__xludf.DUMMYFUNCTION("""COMPUTED_VALUE"""),0.5)</f>
        <v>0.5</v>
      </c>
      <c r="N148" s="8">
        <f>IFERROR(__xludf.DUMMYFUNCTION("""COMPUTED_VALUE"""),0.5)</f>
        <v>0.5</v>
      </c>
      <c r="O148" s="8">
        <f>IFERROR(__xludf.DUMMYFUNCTION("""COMPUTED_VALUE"""),0.0)</f>
        <v>0</v>
      </c>
      <c r="P148" s="8">
        <f>IFERROR(__xludf.DUMMYFUNCTION("""COMPUTED_VALUE"""),0.0)</f>
        <v>0</v>
      </c>
      <c r="Q148" s="8">
        <f>IFERROR(__xludf.DUMMYFUNCTION("""COMPUTED_VALUE"""),0.0)</f>
        <v>0</v>
      </c>
      <c r="R148" s="8">
        <f>IFERROR(__xludf.DUMMYFUNCTION("""COMPUTED_VALUE"""),0.0)</f>
        <v>0</v>
      </c>
      <c r="S148" s="8">
        <f>IFERROR(__xludf.DUMMYFUNCTION("""COMPUTED_VALUE"""),0.0)</f>
        <v>0</v>
      </c>
      <c r="T148" s="8">
        <f>IFERROR(__xludf.DUMMYFUNCTION("""COMPUTED_VALUE"""),0.0)</f>
        <v>0</v>
      </c>
      <c r="U148" s="8">
        <f>IFERROR(__xludf.DUMMYFUNCTION("""COMPUTED_VALUE"""),0.0)</f>
        <v>0</v>
      </c>
      <c r="V148" s="8">
        <f>IFERROR(__xludf.DUMMYFUNCTION("""COMPUTED_VALUE"""),0.0)</f>
        <v>0</v>
      </c>
      <c r="W148" s="8">
        <f>IFERROR(__xludf.DUMMYFUNCTION("""COMPUTED_VALUE"""),0.0)</f>
        <v>0</v>
      </c>
      <c r="X148" s="8">
        <f>IFERROR(__xludf.DUMMYFUNCTION("""COMPUTED_VALUE"""),0.0)</f>
        <v>0</v>
      </c>
      <c r="Y148" s="8">
        <f>IFERROR(__xludf.DUMMYFUNCTION("""COMPUTED_VALUE"""),0.0)</f>
        <v>0</v>
      </c>
      <c r="Z148" s="8">
        <f>IFERROR(__xludf.DUMMYFUNCTION("""COMPUTED_VALUE"""),0.0)</f>
        <v>0</v>
      </c>
      <c r="AA148" s="8">
        <f>IFERROR(__xludf.DUMMYFUNCTION("""COMPUTED_VALUE"""),0.0)</f>
        <v>0</v>
      </c>
      <c r="AB148" s="8">
        <f>IFERROR(__xludf.DUMMYFUNCTION("""COMPUTED_VALUE"""),0.0)</f>
        <v>0</v>
      </c>
      <c r="AC148" s="8">
        <f>IFERROR(__xludf.DUMMYFUNCTION("""COMPUTED_VALUE"""),0.0)</f>
        <v>0</v>
      </c>
    </row>
    <row r="149" ht="15.75" customHeight="1">
      <c r="A149" s="6" t="str">
        <f>IFERROR(__xludf.DUMMYFUNCTION("""COMPUTED_VALUE"""),"8824fc43e4267c5a0e2b7acff644eae4b8b2222d")</f>
        <v>8824fc43e4267c5a0e2b7acff644eae4b8b2222d</v>
      </c>
      <c r="B149" s="6" t="str">
        <f>IFERROR(__xludf.DUMMYFUNCTION("""COMPUTED_VALUE"""),"Was It Only Lust?")</f>
        <v>Was It Only Lust?</v>
      </c>
      <c r="C149" s="6" t="str">
        <f>IFERROR(__xludf.DUMMYFUNCTION("""COMPUTED_VALUE"""),"Romance")</f>
        <v>Romance</v>
      </c>
      <c r="D149" s="11">
        <f>IFERROR(__xludf.DUMMYFUNCTION("""COMPUTED_VALUE"""),618.0)</f>
        <v>618</v>
      </c>
      <c r="E149" s="8">
        <f>IFERROR(__xludf.DUMMYFUNCTION("""COMPUTED_VALUE"""),0.970873786407767)</f>
        <v>0.9708737864</v>
      </c>
      <c r="F149" s="8">
        <f>IFERROR(__xludf.DUMMYFUNCTION("""COMPUTED_VALUE"""),0.572815533980582)</f>
        <v>0.572815534</v>
      </c>
      <c r="G149" s="8">
        <f>IFERROR(__xludf.DUMMYFUNCTION("""COMPUTED_VALUE"""),0.5)</f>
        <v>0.5</v>
      </c>
      <c r="H149" s="8">
        <f>IFERROR(__xludf.DUMMYFUNCTION("""COMPUTED_VALUE"""),0.470873786407767)</f>
        <v>0.4708737864</v>
      </c>
      <c r="I149" s="8">
        <f>IFERROR(__xludf.DUMMYFUNCTION("""COMPUTED_VALUE"""),0.444983818770226)</f>
        <v>0.4449838188</v>
      </c>
      <c r="J149" s="8">
        <f>IFERROR(__xludf.DUMMYFUNCTION("""COMPUTED_VALUE"""),0.440129449838187)</f>
        <v>0.4401294498</v>
      </c>
      <c r="K149" s="8">
        <f>IFERROR(__xludf.DUMMYFUNCTION("""COMPUTED_VALUE"""),0.415857605177993)</f>
        <v>0.4158576052</v>
      </c>
      <c r="L149" s="8">
        <f>IFERROR(__xludf.DUMMYFUNCTION("""COMPUTED_VALUE"""),0.359349593495935)</f>
        <v>0.3593495935</v>
      </c>
      <c r="M149" s="8">
        <f>IFERROR(__xludf.DUMMYFUNCTION("""COMPUTED_VALUE"""),0.337683523654159)</f>
        <v>0.3376835237</v>
      </c>
      <c r="N149" s="8">
        <f>IFERROR(__xludf.DUMMYFUNCTION("""COMPUTED_VALUE"""),0.3115823817292)</f>
        <v>0.3115823817</v>
      </c>
      <c r="O149" s="8">
        <f>IFERROR(__xludf.DUMMYFUNCTION("""COMPUTED_VALUE"""),0.199341021416803)</f>
        <v>0.1993410214</v>
      </c>
      <c r="P149" s="8">
        <f>IFERROR(__xludf.DUMMYFUNCTION("""COMPUTED_VALUE"""),0.105)</f>
        <v>0.105</v>
      </c>
      <c r="Q149" s="8">
        <f>IFERROR(__xludf.DUMMYFUNCTION("""COMPUTED_VALUE"""),0.0833333333333333)</f>
        <v>0.08333333333</v>
      </c>
      <c r="R149" s="8">
        <f>IFERROR(__xludf.DUMMYFUNCTION("""COMPUTED_VALUE"""),0.0)</f>
        <v>0</v>
      </c>
      <c r="S149" s="8">
        <f>IFERROR(__xludf.DUMMYFUNCTION("""COMPUTED_VALUE"""),0.0)</f>
        <v>0</v>
      </c>
      <c r="T149" s="8">
        <f>IFERROR(__xludf.DUMMYFUNCTION("""COMPUTED_VALUE"""),0.0)</f>
        <v>0</v>
      </c>
      <c r="U149" s="8">
        <f>IFERROR(__xludf.DUMMYFUNCTION("""COMPUTED_VALUE"""),0.0)</f>
        <v>0</v>
      </c>
      <c r="V149" s="8">
        <f>IFERROR(__xludf.DUMMYFUNCTION("""COMPUTED_VALUE"""),0.0)</f>
        <v>0</v>
      </c>
      <c r="W149" s="8">
        <f>IFERROR(__xludf.DUMMYFUNCTION("""COMPUTED_VALUE"""),0.0)</f>
        <v>0</v>
      </c>
      <c r="X149" s="8">
        <f>IFERROR(__xludf.DUMMYFUNCTION("""COMPUTED_VALUE"""),0.0)</f>
        <v>0</v>
      </c>
      <c r="Y149" s="8">
        <f>IFERROR(__xludf.DUMMYFUNCTION("""COMPUTED_VALUE"""),0.0)</f>
        <v>0</v>
      </c>
      <c r="Z149" s="8">
        <f>IFERROR(__xludf.DUMMYFUNCTION("""COMPUTED_VALUE"""),0.0)</f>
        <v>0</v>
      </c>
      <c r="AA149" s="8">
        <f>IFERROR(__xludf.DUMMYFUNCTION("""COMPUTED_VALUE"""),0.0)</f>
        <v>0</v>
      </c>
      <c r="AB149" s="8">
        <f>IFERROR(__xludf.DUMMYFUNCTION("""COMPUTED_VALUE"""),0.0)</f>
        <v>0</v>
      </c>
      <c r="AC149" s="8">
        <f>IFERROR(__xludf.DUMMYFUNCTION("""COMPUTED_VALUE"""),0.0)</f>
        <v>0</v>
      </c>
    </row>
    <row r="150" ht="15.75" customHeight="1">
      <c r="A150" s="6" t="str">
        <f>IFERROR(__xludf.DUMMYFUNCTION("""COMPUTED_VALUE"""),"8aab13cef66595bf85428c05007cefe16b733ba5")</f>
        <v>8aab13cef66595bf85428c05007cefe16b733ba5</v>
      </c>
      <c r="B150" s="6" t="str">
        <f>IFERROR(__xludf.DUMMYFUNCTION("""COMPUTED_VALUE"""),"Reborn Heartbeat")</f>
        <v>Reborn Heartbeat</v>
      </c>
      <c r="C150" s="6" t="str">
        <f>IFERROR(__xludf.DUMMYFUNCTION("""COMPUTED_VALUE"""),"Romance")</f>
        <v>Romance</v>
      </c>
      <c r="D150" s="11">
        <f>IFERROR(__xludf.DUMMYFUNCTION("""COMPUTED_VALUE"""),1075.0)</f>
        <v>1075</v>
      </c>
      <c r="E150" s="8">
        <f>IFERROR(__xludf.DUMMYFUNCTION("""COMPUTED_VALUE"""),0.93860465116279)</f>
        <v>0.9386046512</v>
      </c>
      <c r="F150" s="8">
        <f>IFERROR(__xludf.DUMMYFUNCTION("""COMPUTED_VALUE"""),0.634418604651162)</f>
        <v>0.6344186047</v>
      </c>
      <c r="G150" s="8">
        <f>IFERROR(__xludf.DUMMYFUNCTION("""COMPUTED_VALUE"""),0.586046511627907)</f>
        <v>0.5860465116</v>
      </c>
      <c r="H150" s="8">
        <f>IFERROR(__xludf.DUMMYFUNCTION("""COMPUTED_VALUE"""),0.56145251396648)</f>
        <v>0.561452514</v>
      </c>
      <c r="I150" s="8">
        <f>IFERROR(__xludf.DUMMYFUNCTION("""COMPUTED_VALUE"""),0.552141527001862)</f>
        <v>0.552141527</v>
      </c>
      <c r="J150" s="8">
        <f>IFERROR(__xludf.DUMMYFUNCTION("""COMPUTED_VALUE"""),0.524789522918615)</f>
        <v>0.5247895229</v>
      </c>
      <c r="K150" s="8">
        <f>IFERROR(__xludf.DUMMYFUNCTION("""COMPUTED_VALUE"""),0.521166509877704)</f>
        <v>0.5211665099</v>
      </c>
      <c r="L150" s="8">
        <f>IFERROR(__xludf.DUMMYFUNCTION("""COMPUTED_VALUE"""),0.511825922421948)</f>
        <v>0.5118259224</v>
      </c>
      <c r="M150" s="8">
        <f>IFERROR(__xludf.DUMMYFUNCTION("""COMPUTED_VALUE"""),0.497630331753554)</f>
        <v>0.4976303318</v>
      </c>
      <c r="N150" s="8">
        <f>IFERROR(__xludf.DUMMYFUNCTION("""COMPUTED_VALUE"""),0.503336510962821)</f>
        <v>0.503336511</v>
      </c>
      <c r="O150" s="8">
        <f>IFERROR(__xludf.DUMMYFUNCTION("""COMPUTED_VALUE"""),0.494634146341463)</f>
        <v>0.4946341463</v>
      </c>
      <c r="P150" s="8">
        <f>IFERROR(__xludf.DUMMYFUNCTION("""COMPUTED_VALUE"""),0.356164383561643)</f>
        <v>0.3561643836</v>
      </c>
      <c r="Q150" s="8">
        <f>IFERROR(__xludf.DUMMYFUNCTION("""COMPUTED_VALUE"""),0.272906403940886)</f>
        <v>0.2729064039</v>
      </c>
      <c r="R150" s="8">
        <f>IFERROR(__xludf.DUMMYFUNCTION("""COMPUTED_VALUE"""),0.0)</f>
        <v>0</v>
      </c>
      <c r="S150" s="8">
        <f>IFERROR(__xludf.DUMMYFUNCTION("""COMPUTED_VALUE"""),0.0)</f>
        <v>0</v>
      </c>
      <c r="T150" s="8">
        <f>IFERROR(__xludf.DUMMYFUNCTION("""COMPUTED_VALUE"""),0.0)</f>
        <v>0</v>
      </c>
      <c r="U150" s="8">
        <f>IFERROR(__xludf.DUMMYFUNCTION("""COMPUTED_VALUE"""),0.0)</f>
        <v>0</v>
      </c>
      <c r="V150" s="8">
        <f>IFERROR(__xludf.DUMMYFUNCTION("""COMPUTED_VALUE"""),0.0)</f>
        <v>0</v>
      </c>
      <c r="W150" s="8">
        <f>IFERROR(__xludf.DUMMYFUNCTION("""COMPUTED_VALUE"""),0.0)</f>
        <v>0</v>
      </c>
      <c r="X150" s="8">
        <f>IFERROR(__xludf.DUMMYFUNCTION("""COMPUTED_VALUE"""),0.0)</f>
        <v>0</v>
      </c>
      <c r="Y150" s="8">
        <f>IFERROR(__xludf.DUMMYFUNCTION("""COMPUTED_VALUE"""),0.0)</f>
        <v>0</v>
      </c>
      <c r="Z150" s="8">
        <f>IFERROR(__xludf.DUMMYFUNCTION("""COMPUTED_VALUE"""),0.0)</f>
        <v>0</v>
      </c>
      <c r="AA150" s="8">
        <f>IFERROR(__xludf.DUMMYFUNCTION("""COMPUTED_VALUE"""),0.0)</f>
        <v>0</v>
      </c>
      <c r="AB150" s="8">
        <f>IFERROR(__xludf.DUMMYFUNCTION("""COMPUTED_VALUE"""),0.0)</f>
        <v>0</v>
      </c>
      <c r="AC150" s="8">
        <f>IFERROR(__xludf.DUMMYFUNCTION("""COMPUTED_VALUE"""),0.0)</f>
        <v>0</v>
      </c>
    </row>
    <row r="151" ht="15.75" customHeight="1">
      <c r="A151" s="6" t="str">
        <f>IFERROR(__xludf.DUMMYFUNCTION("""COMPUTED_VALUE"""),"8b0fd7aa03d26e2de1586a0fe7c91505431575cc")</f>
        <v>8b0fd7aa03d26e2de1586a0fe7c91505431575cc</v>
      </c>
      <c r="B151" s="6" t="str">
        <f>IFERROR(__xludf.DUMMYFUNCTION("""COMPUTED_VALUE"""),"The Midnight Luna")</f>
        <v>The Midnight Luna</v>
      </c>
      <c r="C151" s="6" t="str">
        <f>IFERROR(__xludf.DUMMYFUNCTION("""COMPUTED_VALUE"""),"Romantasy")</f>
        <v>Romantasy</v>
      </c>
      <c r="D151" s="11">
        <f>IFERROR(__xludf.DUMMYFUNCTION("""COMPUTED_VALUE"""),1002.0)</f>
        <v>1002</v>
      </c>
      <c r="E151" s="8">
        <f>IFERROR(__xludf.DUMMYFUNCTION("""COMPUTED_VALUE"""),0.9750499001996)</f>
        <v>0.9750499002</v>
      </c>
      <c r="F151" s="8">
        <f>IFERROR(__xludf.DUMMYFUNCTION("""COMPUTED_VALUE"""),0.642714570858283)</f>
        <v>0.6427145709</v>
      </c>
      <c r="G151" s="8">
        <f>IFERROR(__xludf.DUMMYFUNCTION("""COMPUTED_VALUE"""),0.577844311377245)</f>
        <v>0.5778443114</v>
      </c>
      <c r="H151" s="8">
        <f>IFERROR(__xludf.DUMMYFUNCTION("""COMPUTED_VALUE"""),0.535535535535535)</f>
        <v>0.5355355355</v>
      </c>
      <c r="I151" s="8">
        <f>IFERROR(__xludf.DUMMYFUNCTION("""COMPUTED_VALUE"""),0.513513513513513)</f>
        <v>0.5135135135</v>
      </c>
      <c r="J151" s="8">
        <f>IFERROR(__xludf.DUMMYFUNCTION("""COMPUTED_VALUE"""),0.497995991983967)</f>
        <v>0.497995992</v>
      </c>
      <c r="K151" s="8">
        <f>IFERROR(__xludf.DUMMYFUNCTION("""COMPUTED_VALUE"""),0.48539778449144)</f>
        <v>0.4853977845</v>
      </c>
      <c r="L151" s="8">
        <f>IFERROR(__xludf.DUMMYFUNCTION("""COMPUTED_VALUE"""),0.459652706843718)</f>
        <v>0.4596527068</v>
      </c>
      <c r="M151" s="8">
        <f>IFERROR(__xludf.DUMMYFUNCTION("""COMPUTED_VALUE"""),0.445128205128205)</f>
        <v>0.4451282051</v>
      </c>
      <c r="N151" s="8">
        <f>IFERROR(__xludf.DUMMYFUNCTION("""COMPUTED_VALUE"""),0.435500515995872)</f>
        <v>0.435500516</v>
      </c>
      <c r="O151" s="8">
        <f>IFERROR(__xludf.DUMMYFUNCTION("""COMPUTED_VALUE"""),0.407342657342657)</f>
        <v>0.4073426573</v>
      </c>
      <c r="P151" s="8">
        <f>IFERROR(__xludf.DUMMYFUNCTION("""COMPUTED_VALUE"""),0.266666666666666)</f>
        <v>0.2666666667</v>
      </c>
      <c r="Q151" s="8">
        <f>IFERROR(__xludf.DUMMYFUNCTION("""COMPUTED_VALUE"""),0.0)</f>
        <v>0</v>
      </c>
      <c r="R151" s="8">
        <f>IFERROR(__xludf.DUMMYFUNCTION("""COMPUTED_VALUE"""),0.0)</f>
        <v>0</v>
      </c>
      <c r="S151" s="8">
        <f>IFERROR(__xludf.DUMMYFUNCTION("""COMPUTED_VALUE"""),0.0)</f>
        <v>0</v>
      </c>
      <c r="T151" s="8">
        <f>IFERROR(__xludf.DUMMYFUNCTION("""COMPUTED_VALUE"""),0.0)</f>
        <v>0</v>
      </c>
      <c r="U151" s="8">
        <f>IFERROR(__xludf.DUMMYFUNCTION("""COMPUTED_VALUE"""),0.0)</f>
        <v>0</v>
      </c>
      <c r="V151" s="8">
        <f>IFERROR(__xludf.DUMMYFUNCTION("""COMPUTED_VALUE"""),0.0)</f>
        <v>0</v>
      </c>
      <c r="W151" s="8">
        <f>IFERROR(__xludf.DUMMYFUNCTION("""COMPUTED_VALUE"""),0.0)</f>
        <v>0</v>
      </c>
      <c r="X151" s="8">
        <f>IFERROR(__xludf.DUMMYFUNCTION("""COMPUTED_VALUE"""),0.0)</f>
        <v>0</v>
      </c>
      <c r="Y151" s="8">
        <f>IFERROR(__xludf.DUMMYFUNCTION("""COMPUTED_VALUE"""),0.0)</f>
        <v>0</v>
      </c>
      <c r="Z151" s="8">
        <f>IFERROR(__xludf.DUMMYFUNCTION("""COMPUTED_VALUE"""),0.0)</f>
        <v>0</v>
      </c>
      <c r="AA151" s="8">
        <f>IFERROR(__xludf.DUMMYFUNCTION("""COMPUTED_VALUE"""),0.0)</f>
        <v>0</v>
      </c>
      <c r="AB151" s="8">
        <f>IFERROR(__xludf.DUMMYFUNCTION("""COMPUTED_VALUE"""),0.0)</f>
        <v>0</v>
      </c>
      <c r="AC151" s="8">
        <f>IFERROR(__xludf.DUMMYFUNCTION("""COMPUTED_VALUE"""),0.0)</f>
        <v>0</v>
      </c>
    </row>
    <row r="152" ht="15.75" customHeight="1">
      <c r="A152" s="6" t="str">
        <f>IFERROR(__xludf.DUMMYFUNCTION("""COMPUTED_VALUE"""),"8bba1c491698de2d4d33abe2f115e5d666e141b2")</f>
        <v>8bba1c491698de2d4d33abe2f115e5d666e141b2</v>
      </c>
      <c r="B152" s="6" t="str">
        <f>IFERROR(__xludf.DUMMYFUNCTION("""COMPUTED_VALUE"""),"Until He Remembers Me")</f>
        <v>Until He Remembers Me</v>
      </c>
      <c r="C152" s="6" t="str">
        <f>IFERROR(__xludf.DUMMYFUNCTION("""COMPUTED_VALUE"""),"Romance")</f>
        <v>Romance</v>
      </c>
      <c r="D152" s="11">
        <f>IFERROR(__xludf.DUMMYFUNCTION("""COMPUTED_VALUE"""),137.0)</f>
        <v>137</v>
      </c>
      <c r="E152" s="8">
        <f>IFERROR(__xludf.DUMMYFUNCTION("""COMPUTED_VALUE"""),0.956204379562043)</f>
        <v>0.9562043796</v>
      </c>
      <c r="F152" s="8">
        <f>IFERROR(__xludf.DUMMYFUNCTION("""COMPUTED_VALUE"""),0.635036496350365)</f>
        <v>0.6350364964</v>
      </c>
      <c r="G152" s="8">
        <f>IFERROR(__xludf.DUMMYFUNCTION("""COMPUTED_VALUE"""),0.562043795620437)</f>
        <v>0.5620437956</v>
      </c>
      <c r="H152" s="8">
        <f>IFERROR(__xludf.DUMMYFUNCTION("""COMPUTED_VALUE"""),0.522727272727272)</f>
        <v>0.5227272727</v>
      </c>
      <c r="I152" s="8">
        <f>IFERROR(__xludf.DUMMYFUNCTION("""COMPUTED_VALUE"""),0.5)</f>
        <v>0.5</v>
      </c>
      <c r="J152" s="8">
        <f>IFERROR(__xludf.DUMMYFUNCTION("""COMPUTED_VALUE"""),0.448818897637795)</f>
        <v>0.4488188976</v>
      </c>
      <c r="K152" s="8">
        <f>IFERROR(__xludf.DUMMYFUNCTION("""COMPUTED_VALUE"""),0.40650406504065)</f>
        <v>0.406504065</v>
      </c>
      <c r="L152" s="8">
        <f>IFERROR(__xludf.DUMMYFUNCTION("""COMPUTED_VALUE"""),0.394957983193277)</f>
        <v>0.3949579832</v>
      </c>
      <c r="M152" s="8">
        <f>IFERROR(__xludf.DUMMYFUNCTION("""COMPUTED_VALUE"""),0.362068965517241)</f>
        <v>0.3620689655</v>
      </c>
      <c r="N152" s="8">
        <f>IFERROR(__xludf.DUMMYFUNCTION("""COMPUTED_VALUE"""),0.363636363636363)</f>
        <v>0.3636363636</v>
      </c>
      <c r="O152" s="8">
        <f>IFERROR(__xludf.DUMMYFUNCTION("""COMPUTED_VALUE"""),0.320388349514563)</f>
        <v>0.3203883495</v>
      </c>
      <c r="P152" s="8">
        <f>IFERROR(__xludf.DUMMYFUNCTION("""COMPUTED_VALUE"""),0.195876288659793)</f>
        <v>0.1958762887</v>
      </c>
      <c r="Q152" s="8">
        <f>IFERROR(__xludf.DUMMYFUNCTION("""COMPUTED_VALUE"""),0.0)</f>
        <v>0</v>
      </c>
      <c r="R152" s="8">
        <f>IFERROR(__xludf.DUMMYFUNCTION("""COMPUTED_VALUE"""),0.0)</f>
        <v>0</v>
      </c>
      <c r="S152" s="8">
        <f>IFERROR(__xludf.DUMMYFUNCTION("""COMPUTED_VALUE"""),0.0)</f>
        <v>0</v>
      </c>
      <c r="T152" s="8">
        <f>IFERROR(__xludf.DUMMYFUNCTION("""COMPUTED_VALUE"""),0.0)</f>
        <v>0</v>
      </c>
      <c r="U152" s="8">
        <f>IFERROR(__xludf.DUMMYFUNCTION("""COMPUTED_VALUE"""),0.0)</f>
        <v>0</v>
      </c>
      <c r="V152" s="8">
        <f>IFERROR(__xludf.DUMMYFUNCTION("""COMPUTED_VALUE"""),0.0)</f>
        <v>0</v>
      </c>
      <c r="W152" s="8">
        <f>IFERROR(__xludf.DUMMYFUNCTION("""COMPUTED_VALUE"""),0.0)</f>
        <v>0</v>
      </c>
      <c r="X152" s="8">
        <f>IFERROR(__xludf.DUMMYFUNCTION("""COMPUTED_VALUE"""),0.0)</f>
        <v>0</v>
      </c>
      <c r="Y152" s="8">
        <f>IFERROR(__xludf.DUMMYFUNCTION("""COMPUTED_VALUE"""),0.0)</f>
        <v>0</v>
      </c>
      <c r="Z152" s="8">
        <f>IFERROR(__xludf.DUMMYFUNCTION("""COMPUTED_VALUE"""),0.0)</f>
        <v>0</v>
      </c>
      <c r="AA152" s="8">
        <f>IFERROR(__xludf.DUMMYFUNCTION("""COMPUTED_VALUE"""),0.0)</f>
        <v>0</v>
      </c>
      <c r="AB152" s="8">
        <f>IFERROR(__xludf.DUMMYFUNCTION("""COMPUTED_VALUE"""),0.0)</f>
        <v>0</v>
      </c>
      <c r="AC152" s="8">
        <f>IFERROR(__xludf.DUMMYFUNCTION("""COMPUTED_VALUE"""),0.0)</f>
        <v>0</v>
      </c>
    </row>
    <row r="153" ht="15.75" customHeight="1">
      <c r="A153" s="6" t="str">
        <f>IFERROR(__xludf.DUMMYFUNCTION("""COMPUTED_VALUE"""),"8bcd1b852cfa9d73ac3583317066946ad2b0abf7")</f>
        <v>8bcd1b852cfa9d73ac3583317066946ad2b0abf7</v>
      </c>
      <c r="B153" s="6" t="str">
        <f>IFERROR(__xludf.DUMMYFUNCTION("""COMPUTED_VALUE"""),"Heir to Draconic Dominion")</f>
        <v>Heir to Draconic Dominion</v>
      </c>
      <c r="C153" s="6" t="str">
        <f>IFERROR(__xludf.DUMMYFUNCTION("""COMPUTED_VALUE"""),"Fantasy")</f>
        <v>Fantasy</v>
      </c>
      <c r="D153" s="11">
        <f>IFERROR(__xludf.DUMMYFUNCTION("""COMPUTED_VALUE"""),124.0)</f>
        <v>124</v>
      </c>
      <c r="E153" s="8">
        <f>IFERROR(__xludf.DUMMYFUNCTION("""COMPUTED_VALUE"""),0.975806451612903)</f>
        <v>0.9758064516</v>
      </c>
      <c r="F153" s="8">
        <f>IFERROR(__xludf.DUMMYFUNCTION("""COMPUTED_VALUE"""),0.588709677419354)</f>
        <v>0.5887096774</v>
      </c>
      <c r="G153" s="8">
        <f>IFERROR(__xludf.DUMMYFUNCTION("""COMPUTED_VALUE"""),0.564516129032258)</f>
        <v>0.564516129</v>
      </c>
      <c r="H153" s="8">
        <f>IFERROR(__xludf.DUMMYFUNCTION("""COMPUTED_VALUE"""),0.540322580645161)</f>
        <v>0.5403225806</v>
      </c>
      <c r="I153" s="8">
        <f>IFERROR(__xludf.DUMMYFUNCTION("""COMPUTED_VALUE"""),0.520325203252032)</f>
        <v>0.5203252033</v>
      </c>
      <c r="J153" s="8">
        <f>IFERROR(__xludf.DUMMYFUNCTION("""COMPUTED_VALUE"""),0.512195121951219)</f>
        <v>0.512195122</v>
      </c>
      <c r="K153" s="8">
        <f>IFERROR(__xludf.DUMMYFUNCTION("""COMPUTED_VALUE"""),0.479674796747967)</f>
        <v>0.4796747967</v>
      </c>
      <c r="L153" s="8">
        <f>IFERROR(__xludf.DUMMYFUNCTION("""COMPUTED_VALUE"""),0.463414634146341)</f>
        <v>0.4634146341</v>
      </c>
      <c r="M153" s="8">
        <f>IFERROR(__xludf.DUMMYFUNCTION("""COMPUTED_VALUE"""),0.450819672131147)</f>
        <v>0.4508196721</v>
      </c>
      <c r="N153" s="8">
        <f>IFERROR(__xludf.DUMMYFUNCTION("""COMPUTED_VALUE"""),0.446280991735537)</f>
        <v>0.4462809917</v>
      </c>
      <c r="O153" s="8">
        <f>IFERROR(__xludf.DUMMYFUNCTION("""COMPUTED_VALUE"""),0.362068965517241)</f>
        <v>0.3620689655</v>
      </c>
      <c r="P153" s="8">
        <f>IFERROR(__xludf.DUMMYFUNCTION("""COMPUTED_VALUE"""),0.263636363636363)</f>
        <v>0.2636363636</v>
      </c>
      <c r="Q153" s="8">
        <f>IFERROR(__xludf.DUMMYFUNCTION("""COMPUTED_VALUE"""),0.141304347826086)</f>
        <v>0.1413043478</v>
      </c>
      <c r="R153" s="8">
        <f>IFERROR(__xludf.DUMMYFUNCTION("""COMPUTED_VALUE"""),1.0)</f>
        <v>1</v>
      </c>
      <c r="S153" s="8">
        <f>IFERROR(__xludf.DUMMYFUNCTION("""COMPUTED_VALUE"""),0.0)</f>
        <v>0</v>
      </c>
      <c r="T153" s="8">
        <f>IFERROR(__xludf.DUMMYFUNCTION("""COMPUTED_VALUE"""),0.0)</f>
        <v>0</v>
      </c>
      <c r="U153" s="8">
        <f>IFERROR(__xludf.DUMMYFUNCTION("""COMPUTED_VALUE"""),0.0)</f>
        <v>0</v>
      </c>
      <c r="V153" s="8">
        <f>IFERROR(__xludf.DUMMYFUNCTION("""COMPUTED_VALUE"""),0.0)</f>
        <v>0</v>
      </c>
      <c r="W153" s="8">
        <f>IFERROR(__xludf.DUMMYFUNCTION("""COMPUTED_VALUE"""),0.0)</f>
        <v>0</v>
      </c>
      <c r="X153" s="8">
        <f>IFERROR(__xludf.DUMMYFUNCTION("""COMPUTED_VALUE"""),0.0)</f>
        <v>0</v>
      </c>
      <c r="Y153" s="8">
        <f>IFERROR(__xludf.DUMMYFUNCTION("""COMPUTED_VALUE"""),0.0)</f>
        <v>0</v>
      </c>
      <c r="Z153" s="8">
        <f>IFERROR(__xludf.DUMMYFUNCTION("""COMPUTED_VALUE"""),0.0)</f>
        <v>0</v>
      </c>
      <c r="AA153" s="8">
        <f>IFERROR(__xludf.DUMMYFUNCTION("""COMPUTED_VALUE"""),0.0)</f>
        <v>0</v>
      </c>
      <c r="AB153" s="8">
        <f>IFERROR(__xludf.DUMMYFUNCTION("""COMPUTED_VALUE"""),0.0)</f>
        <v>0</v>
      </c>
      <c r="AC153" s="8">
        <f>IFERROR(__xludf.DUMMYFUNCTION("""COMPUTED_VALUE"""),0.0)</f>
        <v>0</v>
      </c>
    </row>
    <row r="154" ht="15.75" customHeight="1">
      <c r="A154" s="6" t="str">
        <f>IFERROR(__xludf.DUMMYFUNCTION("""COMPUTED_VALUE"""),"8e36a60de34dcee5a96156507eb902741b36cc77")</f>
        <v>8e36a60de34dcee5a96156507eb902741b36cc77</v>
      </c>
      <c r="B154" s="6" t="str">
        <f>IFERROR(__xludf.DUMMYFUNCTION("""COMPUTED_VALUE"""),"It's Crystal")</f>
        <v>It's Crystal</v>
      </c>
      <c r="C154" s="6" t="str">
        <f>IFERROR(__xludf.DUMMYFUNCTION("""COMPUTED_VALUE"""),"Romance")</f>
        <v>Romance</v>
      </c>
      <c r="D154" s="11">
        <f>IFERROR(__xludf.DUMMYFUNCTION("""COMPUTED_VALUE"""),538.0)</f>
        <v>538</v>
      </c>
      <c r="E154" s="8">
        <f>IFERROR(__xludf.DUMMYFUNCTION("""COMPUTED_VALUE"""),0.966542750929368)</f>
        <v>0.9665427509</v>
      </c>
      <c r="F154" s="8">
        <f>IFERROR(__xludf.DUMMYFUNCTION("""COMPUTED_VALUE"""),0.689591078066914)</f>
        <v>0.6895910781</v>
      </c>
      <c r="G154" s="8">
        <f>IFERROR(__xludf.DUMMYFUNCTION("""COMPUTED_VALUE"""),0.644981412639405)</f>
        <v>0.6449814126</v>
      </c>
      <c r="H154" s="8">
        <f>IFERROR(__xludf.DUMMYFUNCTION("""COMPUTED_VALUE"""),0.618959107806691)</f>
        <v>0.6189591078</v>
      </c>
      <c r="I154" s="8">
        <f>IFERROR(__xludf.DUMMYFUNCTION("""COMPUTED_VALUE"""),0.62267657992565)</f>
        <v>0.6226765799</v>
      </c>
      <c r="J154" s="8">
        <f>IFERROR(__xludf.DUMMYFUNCTION("""COMPUTED_VALUE"""),0.591078066914498)</f>
        <v>0.5910780669</v>
      </c>
      <c r="K154" s="8">
        <f>IFERROR(__xludf.DUMMYFUNCTION("""COMPUTED_VALUE"""),0.567970204841713)</f>
        <v>0.5679702048</v>
      </c>
      <c r="L154" s="8">
        <f>IFERROR(__xludf.DUMMYFUNCTION("""COMPUTED_VALUE"""),0.540037243947858)</f>
        <v>0.5400372439</v>
      </c>
      <c r="M154" s="8">
        <f>IFERROR(__xludf.DUMMYFUNCTION("""COMPUTED_VALUE"""),0.499068901303538)</f>
        <v>0.4990689013</v>
      </c>
      <c r="N154" s="8">
        <f>IFERROR(__xludf.DUMMYFUNCTION("""COMPUTED_VALUE"""),0.49534450651769)</f>
        <v>0.4953445065</v>
      </c>
      <c r="O154" s="8">
        <f>IFERROR(__xludf.DUMMYFUNCTION("""COMPUTED_VALUE"""),0.416510318949343)</f>
        <v>0.4165103189</v>
      </c>
      <c r="P154" s="8">
        <f>IFERROR(__xludf.DUMMYFUNCTION("""COMPUTED_VALUE"""),0.27306967984934)</f>
        <v>0.2730696798</v>
      </c>
      <c r="Q154" s="8">
        <f>IFERROR(__xludf.DUMMYFUNCTION("""COMPUTED_VALUE"""),0.157480314960629)</f>
        <v>0.157480315</v>
      </c>
      <c r="R154" s="8">
        <f>IFERROR(__xludf.DUMMYFUNCTION("""COMPUTED_VALUE"""),0.114503816793893)</f>
        <v>0.1145038168</v>
      </c>
      <c r="S154" s="8">
        <f>IFERROR(__xludf.DUMMYFUNCTION("""COMPUTED_VALUE"""),0.0)</f>
        <v>0</v>
      </c>
      <c r="T154" s="8">
        <f>IFERROR(__xludf.DUMMYFUNCTION("""COMPUTED_VALUE"""),0.0)</f>
        <v>0</v>
      </c>
      <c r="U154" s="8">
        <f>IFERROR(__xludf.DUMMYFUNCTION("""COMPUTED_VALUE"""),0.0)</f>
        <v>0</v>
      </c>
      <c r="V154" s="8">
        <f>IFERROR(__xludf.DUMMYFUNCTION("""COMPUTED_VALUE"""),0.0)</f>
        <v>0</v>
      </c>
      <c r="W154" s="8">
        <f>IFERROR(__xludf.DUMMYFUNCTION("""COMPUTED_VALUE"""),0.0)</f>
        <v>0</v>
      </c>
      <c r="X154" s="8">
        <f>IFERROR(__xludf.DUMMYFUNCTION("""COMPUTED_VALUE"""),0.0)</f>
        <v>0</v>
      </c>
      <c r="Y154" s="8">
        <f>IFERROR(__xludf.DUMMYFUNCTION("""COMPUTED_VALUE"""),0.0)</f>
        <v>0</v>
      </c>
      <c r="Z154" s="8">
        <f>IFERROR(__xludf.DUMMYFUNCTION("""COMPUTED_VALUE"""),0.0)</f>
        <v>0</v>
      </c>
      <c r="AA154" s="8">
        <f>IFERROR(__xludf.DUMMYFUNCTION("""COMPUTED_VALUE"""),0.0)</f>
        <v>0</v>
      </c>
      <c r="AB154" s="8">
        <f>IFERROR(__xludf.DUMMYFUNCTION("""COMPUTED_VALUE"""),0.0)</f>
        <v>0</v>
      </c>
      <c r="AC154" s="8">
        <f>IFERROR(__xludf.DUMMYFUNCTION("""COMPUTED_VALUE"""),0.0)</f>
        <v>0</v>
      </c>
    </row>
    <row r="155" ht="15.75" customHeight="1">
      <c r="A155" s="6" t="str">
        <f>IFERROR(__xludf.DUMMYFUNCTION("""COMPUTED_VALUE"""),"8e3c4698dede52f8548d10d283645c3e3f83c04a")</f>
        <v>8e3c4698dede52f8548d10d283645c3e3f83c04a</v>
      </c>
      <c r="B155" s="6" t="str">
        <f>IFERROR(__xludf.DUMMYFUNCTION("""COMPUTED_VALUE"""),"The Celestial God’s Heir")</f>
        <v>The Celestial God’s Heir</v>
      </c>
      <c r="C155" s="6" t="str">
        <f>IFERROR(__xludf.DUMMYFUNCTION("""COMPUTED_VALUE"""),"Fantasy")</f>
        <v>Fantasy</v>
      </c>
      <c r="D155" s="11">
        <f>IFERROR(__xludf.DUMMYFUNCTION("""COMPUTED_VALUE"""),2.0)</f>
        <v>2</v>
      </c>
      <c r="E155" s="8">
        <f>IFERROR(__xludf.DUMMYFUNCTION("""COMPUTED_VALUE"""),1.0)</f>
        <v>1</v>
      </c>
      <c r="F155" s="8">
        <f>IFERROR(__xludf.DUMMYFUNCTION("""COMPUTED_VALUE"""),1.0)</f>
        <v>1</v>
      </c>
      <c r="G155" s="8">
        <f>IFERROR(__xludf.DUMMYFUNCTION("""COMPUTED_VALUE"""),1.0)</f>
        <v>1</v>
      </c>
      <c r="H155" s="8">
        <f>IFERROR(__xludf.DUMMYFUNCTION("""COMPUTED_VALUE"""),1.0)</f>
        <v>1</v>
      </c>
      <c r="I155" s="8">
        <f>IFERROR(__xludf.DUMMYFUNCTION("""COMPUTED_VALUE"""),1.0)</f>
        <v>1</v>
      </c>
      <c r="J155" s="8">
        <f>IFERROR(__xludf.DUMMYFUNCTION("""COMPUTED_VALUE"""),1.0)</f>
        <v>1</v>
      </c>
      <c r="K155" s="8">
        <f>IFERROR(__xludf.DUMMYFUNCTION("""COMPUTED_VALUE"""),1.0)</f>
        <v>1</v>
      </c>
      <c r="L155" s="8">
        <f>IFERROR(__xludf.DUMMYFUNCTION("""COMPUTED_VALUE"""),1.0)</f>
        <v>1</v>
      </c>
      <c r="M155" s="8">
        <f>IFERROR(__xludf.DUMMYFUNCTION("""COMPUTED_VALUE"""),1.0)</f>
        <v>1</v>
      </c>
      <c r="N155" s="8">
        <f>IFERROR(__xludf.DUMMYFUNCTION("""COMPUTED_VALUE"""),1.0)</f>
        <v>1</v>
      </c>
      <c r="O155" s="8">
        <f>IFERROR(__xludf.DUMMYFUNCTION("""COMPUTED_VALUE"""),0.0)</f>
        <v>0</v>
      </c>
      <c r="P155" s="8">
        <f>IFERROR(__xludf.DUMMYFUNCTION("""COMPUTED_VALUE"""),0.0)</f>
        <v>0</v>
      </c>
      <c r="Q155" s="8">
        <f>IFERROR(__xludf.DUMMYFUNCTION("""COMPUTED_VALUE"""),0.0)</f>
        <v>0</v>
      </c>
      <c r="R155" s="8">
        <f>IFERROR(__xludf.DUMMYFUNCTION("""COMPUTED_VALUE"""),0.0)</f>
        <v>0</v>
      </c>
      <c r="S155" s="8">
        <f>IFERROR(__xludf.DUMMYFUNCTION("""COMPUTED_VALUE"""),0.0)</f>
        <v>0</v>
      </c>
      <c r="T155" s="8">
        <f>IFERROR(__xludf.DUMMYFUNCTION("""COMPUTED_VALUE"""),0.0)</f>
        <v>0</v>
      </c>
      <c r="U155" s="8">
        <f>IFERROR(__xludf.DUMMYFUNCTION("""COMPUTED_VALUE"""),0.0)</f>
        <v>0</v>
      </c>
      <c r="V155" s="8">
        <f>IFERROR(__xludf.DUMMYFUNCTION("""COMPUTED_VALUE"""),0.0)</f>
        <v>0</v>
      </c>
      <c r="W155" s="8">
        <f>IFERROR(__xludf.DUMMYFUNCTION("""COMPUTED_VALUE"""),0.0)</f>
        <v>0</v>
      </c>
      <c r="X155" s="8">
        <f>IFERROR(__xludf.DUMMYFUNCTION("""COMPUTED_VALUE"""),0.0)</f>
        <v>0</v>
      </c>
      <c r="Y155" s="8">
        <f>IFERROR(__xludf.DUMMYFUNCTION("""COMPUTED_VALUE"""),0.0)</f>
        <v>0</v>
      </c>
      <c r="Z155" s="8">
        <f>IFERROR(__xludf.DUMMYFUNCTION("""COMPUTED_VALUE"""),0.0)</f>
        <v>0</v>
      </c>
      <c r="AA155" s="8">
        <f>IFERROR(__xludf.DUMMYFUNCTION("""COMPUTED_VALUE"""),0.0)</f>
        <v>0</v>
      </c>
      <c r="AB155" s="8">
        <f>IFERROR(__xludf.DUMMYFUNCTION("""COMPUTED_VALUE"""),0.0)</f>
        <v>0</v>
      </c>
      <c r="AC155" s="8">
        <f>IFERROR(__xludf.DUMMYFUNCTION("""COMPUTED_VALUE"""),0.0)</f>
        <v>0</v>
      </c>
    </row>
    <row r="156" ht="15.75" customHeight="1">
      <c r="A156" s="6" t="str">
        <f>IFERROR(__xludf.DUMMYFUNCTION("""COMPUTED_VALUE"""),"8f0fa62650413483426bef0ac7d66ca7627ab11f")</f>
        <v>8f0fa62650413483426bef0ac7d66ca7627ab11f</v>
      </c>
      <c r="B156" s="6" t="str">
        <f>IFERROR(__xludf.DUMMYFUNCTION("""COMPUTED_VALUE"""),"The Mind Reader: A Son-in-Law’s Revenge")</f>
        <v>The Mind Reader: A Son-in-Law’s Revenge</v>
      </c>
      <c r="C156" s="6" t="str">
        <f>IFERROR(__xludf.DUMMYFUNCTION("""COMPUTED_VALUE"""),"Drama")</f>
        <v>Drama</v>
      </c>
      <c r="D156" s="11">
        <f>IFERROR(__xludf.DUMMYFUNCTION("""COMPUTED_VALUE"""),184.0)</f>
        <v>184</v>
      </c>
      <c r="E156" s="8">
        <f>IFERROR(__xludf.DUMMYFUNCTION("""COMPUTED_VALUE"""),0.96195652173913)</f>
        <v>0.9619565217</v>
      </c>
      <c r="F156" s="8">
        <f>IFERROR(__xludf.DUMMYFUNCTION("""COMPUTED_VALUE"""),0.635869565217391)</f>
        <v>0.6358695652</v>
      </c>
      <c r="G156" s="8">
        <f>IFERROR(__xludf.DUMMYFUNCTION("""COMPUTED_VALUE"""),0.483695652173913)</f>
        <v>0.4836956522</v>
      </c>
      <c r="H156" s="8">
        <f>IFERROR(__xludf.DUMMYFUNCTION("""COMPUTED_VALUE"""),0.441176470588235)</f>
        <v>0.4411764706</v>
      </c>
      <c r="I156" s="8">
        <f>IFERROR(__xludf.DUMMYFUNCTION("""COMPUTED_VALUE"""),0.376470588235294)</f>
        <v>0.3764705882</v>
      </c>
      <c r="J156" s="8">
        <f>IFERROR(__xludf.DUMMYFUNCTION("""COMPUTED_VALUE"""),0.347058823529411)</f>
        <v>0.3470588235</v>
      </c>
      <c r="K156" s="8">
        <f>IFERROR(__xludf.DUMMYFUNCTION("""COMPUTED_VALUE"""),0.311764705882352)</f>
        <v>0.3117647059</v>
      </c>
      <c r="L156" s="8">
        <f>IFERROR(__xludf.DUMMYFUNCTION("""COMPUTED_VALUE"""),0.28235294117647)</f>
        <v>0.2823529412</v>
      </c>
      <c r="M156" s="8">
        <f>IFERROR(__xludf.DUMMYFUNCTION("""COMPUTED_VALUE"""),0.28235294117647)</f>
        <v>0.2823529412</v>
      </c>
      <c r="N156" s="8">
        <f>IFERROR(__xludf.DUMMYFUNCTION("""COMPUTED_VALUE"""),0.241176470588235)</f>
        <v>0.2411764706</v>
      </c>
      <c r="O156" s="8">
        <f>IFERROR(__xludf.DUMMYFUNCTION("""COMPUTED_VALUE"""),0.247058823529411)</f>
        <v>0.2470588235</v>
      </c>
      <c r="P156" s="8">
        <f>IFERROR(__xludf.DUMMYFUNCTION("""COMPUTED_VALUE"""),0.18235294117647)</f>
        <v>0.1823529412</v>
      </c>
      <c r="Q156" s="8">
        <f>IFERROR(__xludf.DUMMYFUNCTION("""COMPUTED_VALUE"""),0.0416666666666666)</f>
        <v>0.04166666667</v>
      </c>
      <c r="R156" s="8">
        <f>IFERROR(__xludf.DUMMYFUNCTION("""COMPUTED_VALUE"""),0.0238095238095238)</f>
        <v>0.02380952381</v>
      </c>
      <c r="S156" s="8">
        <f>IFERROR(__xludf.DUMMYFUNCTION("""COMPUTED_VALUE"""),0.0)</f>
        <v>0</v>
      </c>
      <c r="T156" s="8">
        <f>IFERROR(__xludf.DUMMYFUNCTION("""COMPUTED_VALUE"""),0.0)</f>
        <v>0</v>
      </c>
      <c r="U156" s="8">
        <f>IFERROR(__xludf.DUMMYFUNCTION("""COMPUTED_VALUE"""),0.0)</f>
        <v>0</v>
      </c>
      <c r="V156" s="8">
        <f>IFERROR(__xludf.DUMMYFUNCTION("""COMPUTED_VALUE"""),0.0)</f>
        <v>0</v>
      </c>
      <c r="W156" s="8">
        <f>IFERROR(__xludf.DUMMYFUNCTION("""COMPUTED_VALUE"""),0.0)</f>
        <v>0</v>
      </c>
      <c r="X156" s="8">
        <f>IFERROR(__xludf.DUMMYFUNCTION("""COMPUTED_VALUE"""),0.0)</f>
        <v>0</v>
      </c>
      <c r="Y156" s="8">
        <f>IFERROR(__xludf.DUMMYFUNCTION("""COMPUTED_VALUE"""),0.0)</f>
        <v>0</v>
      </c>
      <c r="Z156" s="8">
        <f>IFERROR(__xludf.DUMMYFUNCTION("""COMPUTED_VALUE"""),0.0)</f>
        <v>0</v>
      </c>
      <c r="AA156" s="8">
        <f>IFERROR(__xludf.DUMMYFUNCTION("""COMPUTED_VALUE"""),0.0)</f>
        <v>0</v>
      </c>
      <c r="AB156" s="8">
        <f>IFERROR(__xludf.DUMMYFUNCTION("""COMPUTED_VALUE"""),0.0)</f>
        <v>0</v>
      </c>
      <c r="AC156" s="8">
        <f>IFERROR(__xludf.DUMMYFUNCTION("""COMPUTED_VALUE"""),0.0)</f>
        <v>0</v>
      </c>
    </row>
    <row r="157" ht="15.75" customHeight="1">
      <c r="A157" s="6" t="str">
        <f>IFERROR(__xludf.DUMMYFUNCTION("""COMPUTED_VALUE"""),"8f9097f70a41e0a3a637a3eb2b6551e036eb16b7")</f>
        <v>8f9097f70a41e0a3a637a3eb2b6551e036eb16b7</v>
      </c>
      <c r="B157" s="6" t="str">
        <f>IFERROR(__xludf.DUMMYFUNCTION("""COMPUTED_VALUE"""),"The Devine Root")</f>
        <v>The Devine Root</v>
      </c>
      <c r="C157" s="6" t="str">
        <f>IFERROR(__xludf.DUMMYFUNCTION("""COMPUTED_VALUE"""),"Fantasy")</f>
        <v>Fantasy</v>
      </c>
      <c r="D157" s="11">
        <f>IFERROR(__xludf.DUMMYFUNCTION("""COMPUTED_VALUE"""),1.0)</f>
        <v>1</v>
      </c>
      <c r="E157" s="8">
        <f>IFERROR(__xludf.DUMMYFUNCTION("""COMPUTED_VALUE"""),1.0)</f>
        <v>1</v>
      </c>
      <c r="F157" s="8">
        <f>IFERROR(__xludf.DUMMYFUNCTION("""COMPUTED_VALUE"""),0.0)</f>
        <v>0</v>
      </c>
      <c r="G157" s="8">
        <f>IFERROR(__xludf.DUMMYFUNCTION("""COMPUTED_VALUE"""),0.0)</f>
        <v>0</v>
      </c>
      <c r="H157" s="8">
        <f>IFERROR(__xludf.DUMMYFUNCTION("""COMPUTED_VALUE"""),0.0)</f>
        <v>0</v>
      </c>
      <c r="I157" s="8">
        <f>IFERROR(__xludf.DUMMYFUNCTION("""COMPUTED_VALUE"""),0.0)</f>
        <v>0</v>
      </c>
      <c r="J157" s="8">
        <f>IFERROR(__xludf.DUMMYFUNCTION("""COMPUTED_VALUE"""),0.0)</f>
        <v>0</v>
      </c>
      <c r="K157" s="8">
        <f>IFERROR(__xludf.DUMMYFUNCTION("""COMPUTED_VALUE"""),0.0)</f>
        <v>0</v>
      </c>
      <c r="L157" s="8">
        <f>IFERROR(__xludf.DUMMYFUNCTION("""COMPUTED_VALUE"""),0.0)</f>
        <v>0</v>
      </c>
      <c r="M157" s="8">
        <f>IFERROR(__xludf.DUMMYFUNCTION("""COMPUTED_VALUE"""),0.0)</f>
        <v>0</v>
      </c>
      <c r="N157" s="8">
        <f>IFERROR(__xludf.DUMMYFUNCTION("""COMPUTED_VALUE"""),0.0)</f>
        <v>0</v>
      </c>
      <c r="O157" s="8">
        <f>IFERROR(__xludf.DUMMYFUNCTION("""COMPUTED_VALUE"""),0.0)</f>
        <v>0</v>
      </c>
      <c r="P157" s="8">
        <f>IFERROR(__xludf.DUMMYFUNCTION("""COMPUTED_VALUE"""),0.0)</f>
        <v>0</v>
      </c>
      <c r="Q157" s="8">
        <f>IFERROR(__xludf.DUMMYFUNCTION("""COMPUTED_VALUE"""),0.0)</f>
        <v>0</v>
      </c>
      <c r="R157" s="8">
        <f>IFERROR(__xludf.DUMMYFUNCTION("""COMPUTED_VALUE"""),0.0)</f>
        <v>0</v>
      </c>
      <c r="S157" s="8">
        <f>IFERROR(__xludf.DUMMYFUNCTION("""COMPUTED_VALUE"""),0.0)</f>
        <v>0</v>
      </c>
      <c r="T157" s="8">
        <f>IFERROR(__xludf.DUMMYFUNCTION("""COMPUTED_VALUE"""),0.0)</f>
        <v>0</v>
      </c>
      <c r="U157" s="8">
        <f>IFERROR(__xludf.DUMMYFUNCTION("""COMPUTED_VALUE"""),0.0)</f>
        <v>0</v>
      </c>
      <c r="V157" s="8">
        <f>IFERROR(__xludf.DUMMYFUNCTION("""COMPUTED_VALUE"""),0.0)</f>
        <v>0</v>
      </c>
      <c r="W157" s="8">
        <f>IFERROR(__xludf.DUMMYFUNCTION("""COMPUTED_VALUE"""),0.0)</f>
        <v>0</v>
      </c>
      <c r="X157" s="8">
        <f>IFERROR(__xludf.DUMMYFUNCTION("""COMPUTED_VALUE"""),0.0)</f>
        <v>0</v>
      </c>
      <c r="Y157" s="8">
        <f>IFERROR(__xludf.DUMMYFUNCTION("""COMPUTED_VALUE"""),0.0)</f>
        <v>0</v>
      </c>
      <c r="Z157" s="8">
        <f>IFERROR(__xludf.DUMMYFUNCTION("""COMPUTED_VALUE"""),0.0)</f>
        <v>0</v>
      </c>
      <c r="AA157" s="8">
        <f>IFERROR(__xludf.DUMMYFUNCTION("""COMPUTED_VALUE"""),0.0)</f>
        <v>0</v>
      </c>
      <c r="AB157" s="8">
        <f>IFERROR(__xludf.DUMMYFUNCTION("""COMPUTED_VALUE"""),0.0)</f>
        <v>0</v>
      </c>
      <c r="AC157" s="8">
        <f>IFERROR(__xludf.DUMMYFUNCTION("""COMPUTED_VALUE"""),0.0)</f>
        <v>0</v>
      </c>
    </row>
    <row r="158" ht="15.75" customHeight="1">
      <c r="A158" s="6" t="str">
        <f>IFERROR(__xludf.DUMMYFUNCTION("""COMPUTED_VALUE"""),"8fc0fc1659f3b419e6fa13d9cb59b0e57bfec096")</f>
        <v>8fc0fc1659f3b419e6fa13d9cb59b0e57bfec096</v>
      </c>
      <c r="B158" s="6" t="str">
        <f>IFERROR(__xludf.DUMMYFUNCTION("""COMPUTED_VALUE"""),"The Exiled Heir")</f>
        <v>The Exiled Heir</v>
      </c>
      <c r="C158" s="6" t="str">
        <f>IFERROR(__xludf.DUMMYFUNCTION("""COMPUTED_VALUE"""),"Drama")</f>
        <v>Drama</v>
      </c>
      <c r="D158" s="11">
        <f>IFERROR(__xludf.DUMMYFUNCTION("""COMPUTED_VALUE"""),1191.0)</f>
        <v>1191</v>
      </c>
      <c r="E158" s="8">
        <f>IFERROR(__xludf.DUMMYFUNCTION("""COMPUTED_VALUE"""),0.949622166246851)</f>
        <v>0.9496221662</v>
      </c>
      <c r="F158" s="8">
        <f>IFERROR(__xludf.DUMMYFUNCTION("""COMPUTED_VALUE"""),0.656591099916036)</f>
        <v>0.6565910999</v>
      </c>
      <c r="G158" s="8">
        <f>IFERROR(__xludf.DUMMYFUNCTION("""COMPUTED_VALUE"""),0.580184718723761)</f>
        <v>0.5801847187</v>
      </c>
      <c r="H158" s="8">
        <f>IFERROR(__xludf.DUMMYFUNCTION("""COMPUTED_VALUE"""),0.534177215189873)</f>
        <v>0.5341772152</v>
      </c>
      <c r="I158" s="8">
        <f>IFERROR(__xludf.DUMMYFUNCTION("""COMPUTED_VALUE"""),0.486875529212531)</f>
        <v>0.4868755292</v>
      </c>
      <c r="J158" s="8">
        <f>IFERROR(__xludf.DUMMYFUNCTION("""COMPUTED_VALUE"""),0.460169491525423)</f>
        <v>0.4601694915</v>
      </c>
      <c r="K158" s="8">
        <f>IFERROR(__xludf.DUMMYFUNCTION("""COMPUTED_VALUE"""),0.432203389830508)</f>
        <v>0.4322033898</v>
      </c>
      <c r="L158" s="8">
        <f>IFERROR(__xludf.DUMMYFUNCTION("""COMPUTED_VALUE"""),0.414468085106383)</f>
        <v>0.4144680851</v>
      </c>
      <c r="M158" s="8">
        <f>IFERROR(__xludf.DUMMYFUNCTION("""COMPUTED_VALUE"""),0.399148936170212)</f>
        <v>0.3991489362</v>
      </c>
      <c r="N158" s="8">
        <f>IFERROR(__xludf.DUMMYFUNCTION("""COMPUTED_VALUE"""),0.387894288150042)</f>
        <v>0.3878942882</v>
      </c>
      <c r="O158" s="8">
        <f>IFERROR(__xludf.DUMMYFUNCTION("""COMPUTED_VALUE"""),0.344262295081967)</f>
        <v>0.3442622951</v>
      </c>
      <c r="P158" s="8">
        <f>IFERROR(__xludf.DUMMYFUNCTION("""COMPUTED_VALUE"""),0.258121158911325)</f>
        <v>0.2581211589</v>
      </c>
      <c r="Q158" s="8">
        <f>IFERROR(__xludf.DUMMYFUNCTION("""COMPUTED_VALUE"""),0.166212534059945)</f>
        <v>0.1662125341</v>
      </c>
      <c r="R158" s="8">
        <f>IFERROR(__xludf.DUMMYFUNCTION("""COMPUTED_VALUE"""),0.108653846153846)</f>
        <v>0.1086538462</v>
      </c>
      <c r="S158" s="8">
        <f>IFERROR(__xludf.DUMMYFUNCTION("""COMPUTED_VALUE"""),0.0824949698189134)</f>
        <v>0.08249496982</v>
      </c>
      <c r="T158" s="8">
        <f>IFERROR(__xludf.DUMMYFUNCTION("""COMPUTED_VALUE"""),0.0617977528089887)</f>
        <v>0.06179775281</v>
      </c>
      <c r="U158" s="8">
        <f>IFERROR(__xludf.DUMMYFUNCTION("""COMPUTED_VALUE"""),0.0)</f>
        <v>0</v>
      </c>
      <c r="V158" s="8">
        <f>IFERROR(__xludf.DUMMYFUNCTION("""COMPUTED_VALUE"""),0.0)</f>
        <v>0</v>
      </c>
      <c r="W158" s="8">
        <f>IFERROR(__xludf.DUMMYFUNCTION("""COMPUTED_VALUE"""),0.0)</f>
        <v>0</v>
      </c>
      <c r="X158" s="8">
        <f>IFERROR(__xludf.DUMMYFUNCTION("""COMPUTED_VALUE"""),0.0)</f>
        <v>0</v>
      </c>
      <c r="Y158" s="8">
        <f>IFERROR(__xludf.DUMMYFUNCTION("""COMPUTED_VALUE"""),0.0)</f>
        <v>0</v>
      </c>
      <c r="Z158" s="8">
        <f>IFERROR(__xludf.DUMMYFUNCTION("""COMPUTED_VALUE"""),0.0)</f>
        <v>0</v>
      </c>
      <c r="AA158" s="8">
        <f>IFERROR(__xludf.DUMMYFUNCTION("""COMPUTED_VALUE"""),0.0)</f>
        <v>0</v>
      </c>
      <c r="AB158" s="8">
        <f>IFERROR(__xludf.DUMMYFUNCTION("""COMPUTED_VALUE"""),0.0)</f>
        <v>0</v>
      </c>
      <c r="AC158" s="8">
        <f>IFERROR(__xludf.DUMMYFUNCTION("""COMPUTED_VALUE"""),0.0)</f>
        <v>0</v>
      </c>
    </row>
    <row r="159" ht="15.75" customHeight="1">
      <c r="A159" s="6" t="str">
        <f>IFERROR(__xludf.DUMMYFUNCTION("""COMPUTED_VALUE"""),"9187815245dbab381e06e99b89e34db3f811e066")</f>
        <v>9187815245dbab381e06e99b89e34db3f811e066</v>
      </c>
      <c r="B159" s="6" t="str">
        <f>IFERROR(__xludf.DUMMYFUNCTION("""COMPUTED_VALUE"""),"Billionaire's Pursuit")</f>
        <v>Billionaire's Pursuit</v>
      </c>
      <c r="C159" s="6" t="str">
        <f>IFERROR(__xludf.DUMMYFUNCTION("""COMPUTED_VALUE"""),"Romance")</f>
        <v>Romance</v>
      </c>
      <c r="D159" s="11">
        <f>IFERROR(__xludf.DUMMYFUNCTION("""COMPUTED_VALUE"""),103.0)</f>
        <v>103</v>
      </c>
      <c r="E159" s="8">
        <f>IFERROR(__xludf.DUMMYFUNCTION("""COMPUTED_VALUE"""),0.961165048543689)</f>
        <v>0.9611650485</v>
      </c>
      <c r="F159" s="8">
        <f>IFERROR(__xludf.DUMMYFUNCTION("""COMPUTED_VALUE"""),0.553398058252427)</f>
        <v>0.5533980583</v>
      </c>
      <c r="G159" s="8">
        <f>IFERROR(__xludf.DUMMYFUNCTION("""COMPUTED_VALUE"""),0.466019417475728)</f>
        <v>0.4660194175</v>
      </c>
      <c r="H159" s="8">
        <f>IFERROR(__xludf.DUMMYFUNCTION("""COMPUTED_VALUE"""),0.448275862068965)</f>
        <v>0.4482758621</v>
      </c>
      <c r="I159" s="8">
        <f>IFERROR(__xludf.DUMMYFUNCTION("""COMPUTED_VALUE"""),0.44047619047619)</f>
        <v>0.4404761905</v>
      </c>
      <c r="J159" s="8">
        <f>IFERROR(__xludf.DUMMYFUNCTION("""COMPUTED_VALUE"""),0.357142857142857)</f>
        <v>0.3571428571</v>
      </c>
      <c r="K159" s="8">
        <f>IFERROR(__xludf.DUMMYFUNCTION("""COMPUTED_VALUE"""),0.369047619047619)</f>
        <v>0.369047619</v>
      </c>
      <c r="L159" s="8">
        <f>IFERROR(__xludf.DUMMYFUNCTION("""COMPUTED_VALUE"""),0.392857142857142)</f>
        <v>0.3928571429</v>
      </c>
      <c r="M159" s="8">
        <f>IFERROR(__xludf.DUMMYFUNCTION("""COMPUTED_VALUE"""),0.297619047619047)</f>
        <v>0.2976190476</v>
      </c>
      <c r="N159" s="8">
        <f>IFERROR(__xludf.DUMMYFUNCTION("""COMPUTED_VALUE"""),0.285714285714285)</f>
        <v>0.2857142857</v>
      </c>
      <c r="O159" s="8">
        <f>IFERROR(__xludf.DUMMYFUNCTION("""COMPUTED_VALUE"""),0.273972602739726)</f>
        <v>0.2739726027</v>
      </c>
      <c r="P159" s="8">
        <f>IFERROR(__xludf.DUMMYFUNCTION("""COMPUTED_VALUE"""),0.0833333333333333)</f>
        <v>0.08333333333</v>
      </c>
      <c r="Q159" s="8">
        <f>IFERROR(__xludf.DUMMYFUNCTION("""COMPUTED_VALUE"""),0.0)</f>
        <v>0</v>
      </c>
      <c r="R159" s="8">
        <f>IFERROR(__xludf.DUMMYFUNCTION("""COMPUTED_VALUE"""),0.0)</f>
        <v>0</v>
      </c>
      <c r="S159" s="8">
        <f>IFERROR(__xludf.DUMMYFUNCTION("""COMPUTED_VALUE"""),0.0)</f>
        <v>0</v>
      </c>
      <c r="T159" s="8">
        <f>IFERROR(__xludf.DUMMYFUNCTION("""COMPUTED_VALUE"""),0.0)</f>
        <v>0</v>
      </c>
      <c r="U159" s="8">
        <f>IFERROR(__xludf.DUMMYFUNCTION("""COMPUTED_VALUE"""),0.0)</f>
        <v>0</v>
      </c>
      <c r="V159" s="8">
        <f>IFERROR(__xludf.DUMMYFUNCTION("""COMPUTED_VALUE"""),0.0)</f>
        <v>0</v>
      </c>
      <c r="W159" s="8">
        <f>IFERROR(__xludf.DUMMYFUNCTION("""COMPUTED_VALUE"""),0.0)</f>
        <v>0</v>
      </c>
      <c r="X159" s="8">
        <f>IFERROR(__xludf.DUMMYFUNCTION("""COMPUTED_VALUE"""),0.0)</f>
        <v>0</v>
      </c>
      <c r="Y159" s="8">
        <f>IFERROR(__xludf.DUMMYFUNCTION("""COMPUTED_VALUE"""),0.0)</f>
        <v>0</v>
      </c>
      <c r="Z159" s="8">
        <f>IFERROR(__xludf.DUMMYFUNCTION("""COMPUTED_VALUE"""),0.0)</f>
        <v>0</v>
      </c>
      <c r="AA159" s="8">
        <f>IFERROR(__xludf.DUMMYFUNCTION("""COMPUTED_VALUE"""),0.0)</f>
        <v>0</v>
      </c>
      <c r="AB159" s="8">
        <f>IFERROR(__xludf.DUMMYFUNCTION("""COMPUTED_VALUE"""),0.0)</f>
        <v>0</v>
      </c>
      <c r="AC159" s="8">
        <f>IFERROR(__xludf.DUMMYFUNCTION("""COMPUTED_VALUE"""),0.0)</f>
        <v>0</v>
      </c>
    </row>
    <row r="160" ht="15.75" customHeight="1">
      <c r="A160" s="6" t="str">
        <f>IFERROR(__xludf.DUMMYFUNCTION("""COMPUTED_VALUE"""),"91df72ab8ef7c2a2797ba2a98264b6e4037cebc4")</f>
        <v>91df72ab8ef7c2a2797ba2a98264b6e4037cebc4</v>
      </c>
      <c r="B160" s="6" t="str">
        <f>IFERROR(__xludf.DUMMYFUNCTION("""COMPUTED_VALUE"""),"The Upgrade Gamer")</f>
        <v>The Upgrade Gamer</v>
      </c>
      <c r="C160" s="6" t="str">
        <f>IFERROR(__xludf.DUMMYFUNCTION("""COMPUTED_VALUE"""),"System and Superpower")</f>
        <v>System and Superpower</v>
      </c>
      <c r="D160" s="11">
        <f>IFERROR(__xludf.DUMMYFUNCTION("""COMPUTED_VALUE"""),18.0)</f>
        <v>18</v>
      </c>
      <c r="E160" s="8">
        <f>IFERROR(__xludf.DUMMYFUNCTION("""COMPUTED_VALUE"""),1.0)</f>
        <v>1</v>
      </c>
      <c r="F160" s="8">
        <f>IFERROR(__xludf.DUMMYFUNCTION("""COMPUTED_VALUE"""),0.5)</f>
        <v>0.5</v>
      </c>
      <c r="G160" s="8">
        <f>IFERROR(__xludf.DUMMYFUNCTION("""COMPUTED_VALUE"""),0.5)</f>
        <v>0.5</v>
      </c>
      <c r="H160" s="8">
        <f>IFERROR(__xludf.DUMMYFUNCTION("""COMPUTED_VALUE"""),0.388888888888888)</f>
        <v>0.3888888889</v>
      </c>
      <c r="I160" s="8">
        <f>IFERROR(__xludf.DUMMYFUNCTION("""COMPUTED_VALUE"""),0.277777777777777)</f>
        <v>0.2777777778</v>
      </c>
      <c r="J160" s="8">
        <f>IFERROR(__xludf.DUMMYFUNCTION("""COMPUTED_VALUE"""),0.333333333333333)</f>
        <v>0.3333333333</v>
      </c>
      <c r="K160" s="8">
        <f>IFERROR(__xludf.DUMMYFUNCTION("""COMPUTED_VALUE"""),0.277777777777777)</f>
        <v>0.2777777778</v>
      </c>
      <c r="L160" s="8">
        <f>IFERROR(__xludf.DUMMYFUNCTION("""COMPUTED_VALUE"""),0.333333333333333)</f>
        <v>0.3333333333</v>
      </c>
      <c r="M160" s="8">
        <f>IFERROR(__xludf.DUMMYFUNCTION("""COMPUTED_VALUE"""),0.176470588235294)</f>
        <v>0.1764705882</v>
      </c>
      <c r="N160" s="8">
        <f>IFERROR(__xludf.DUMMYFUNCTION("""COMPUTED_VALUE"""),0.2)</f>
        <v>0.2</v>
      </c>
      <c r="O160" s="8">
        <f>IFERROR(__xludf.DUMMYFUNCTION("""COMPUTED_VALUE"""),0.0)</f>
        <v>0</v>
      </c>
      <c r="P160" s="8">
        <f>IFERROR(__xludf.DUMMYFUNCTION("""COMPUTED_VALUE"""),0.0)</f>
        <v>0</v>
      </c>
      <c r="Q160" s="8">
        <f>IFERROR(__xludf.DUMMYFUNCTION("""COMPUTED_VALUE"""),0.0)</f>
        <v>0</v>
      </c>
      <c r="R160" s="8">
        <f>IFERROR(__xludf.DUMMYFUNCTION("""COMPUTED_VALUE"""),0.0)</f>
        <v>0</v>
      </c>
      <c r="S160" s="8">
        <f>IFERROR(__xludf.DUMMYFUNCTION("""COMPUTED_VALUE"""),0.0)</f>
        <v>0</v>
      </c>
      <c r="T160" s="8">
        <f>IFERROR(__xludf.DUMMYFUNCTION("""COMPUTED_VALUE"""),0.0)</f>
        <v>0</v>
      </c>
      <c r="U160" s="8">
        <f>IFERROR(__xludf.DUMMYFUNCTION("""COMPUTED_VALUE"""),0.0)</f>
        <v>0</v>
      </c>
      <c r="V160" s="8">
        <f>IFERROR(__xludf.DUMMYFUNCTION("""COMPUTED_VALUE"""),0.0)</f>
        <v>0</v>
      </c>
      <c r="W160" s="8">
        <f>IFERROR(__xludf.DUMMYFUNCTION("""COMPUTED_VALUE"""),0.0)</f>
        <v>0</v>
      </c>
      <c r="X160" s="8">
        <f>IFERROR(__xludf.DUMMYFUNCTION("""COMPUTED_VALUE"""),0.0)</f>
        <v>0</v>
      </c>
      <c r="Y160" s="8">
        <f>IFERROR(__xludf.DUMMYFUNCTION("""COMPUTED_VALUE"""),0.0)</f>
        <v>0</v>
      </c>
      <c r="Z160" s="8">
        <f>IFERROR(__xludf.DUMMYFUNCTION("""COMPUTED_VALUE"""),0.0)</f>
        <v>0</v>
      </c>
      <c r="AA160" s="8">
        <f>IFERROR(__xludf.DUMMYFUNCTION("""COMPUTED_VALUE"""),0.0)</f>
        <v>0</v>
      </c>
      <c r="AB160" s="8">
        <f>IFERROR(__xludf.DUMMYFUNCTION("""COMPUTED_VALUE"""),0.0)</f>
        <v>0</v>
      </c>
      <c r="AC160" s="8">
        <f>IFERROR(__xludf.DUMMYFUNCTION("""COMPUTED_VALUE"""),0.0)</f>
        <v>0</v>
      </c>
    </row>
    <row r="161" ht="15.75" customHeight="1">
      <c r="A161" s="6" t="str">
        <f>IFERROR(__xludf.DUMMYFUNCTION("""COMPUTED_VALUE"""),"9236a79ea4f06488372a41ebcc7a4f0fbfc7b1c3")</f>
        <v>9236a79ea4f06488372a41ebcc7a4f0fbfc7b1c3</v>
      </c>
      <c r="B161" s="6" t="str">
        <f>IFERROR(__xludf.DUMMYFUNCTION("""COMPUTED_VALUE"""),"King of Mercenaries")</f>
        <v>King of Mercenaries</v>
      </c>
      <c r="C161" s="6" t="str">
        <f>IFERROR(__xludf.DUMMYFUNCTION("""COMPUTED_VALUE"""),"Suspense or Thriller")</f>
        <v>Suspense or Thriller</v>
      </c>
      <c r="D161" s="11">
        <f>IFERROR(__xludf.DUMMYFUNCTION("""COMPUTED_VALUE"""),12.0)</f>
        <v>12</v>
      </c>
      <c r="E161" s="8">
        <f>IFERROR(__xludf.DUMMYFUNCTION("""COMPUTED_VALUE"""),1.0)</f>
        <v>1</v>
      </c>
      <c r="F161" s="8">
        <f>IFERROR(__xludf.DUMMYFUNCTION("""COMPUTED_VALUE"""),0.25)</f>
        <v>0.25</v>
      </c>
      <c r="G161" s="8">
        <f>IFERROR(__xludf.DUMMYFUNCTION("""COMPUTED_VALUE"""),0.25)</f>
        <v>0.25</v>
      </c>
      <c r="H161" s="8">
        <f>IFERROR(__xludf.DUMMYFUNCTION("""COMPUTED_VALUE"""),0.125)</f>
        <v>0.125</v>
      </c>
      <c r="I161" s="8">
        <f>IFERROR(__xludf.DUMMYFUNCTION("""COMPUTED_VALUE"""),0.0)</f>
        <v>0</v>
      </c>
      <c r="J161" s="8">
        <f>IFERROR(__xludf.DUMMYFUNCTION("""COMPUTED_VALUE"""),0.0)</f>
        <v>0</v>
      </c>
      <c r="K161" s="8">
        <f>IFERROR(__xludf.DUMMYFUNCTION("""COMPUTED_VALUE"""),0.0)</f>
        <v>0</v>
      </c>
      <c r="L161" s="8">
        <f>IFERROR(__xludf.DUMMYFUNCTION("""COMPUTED_VALUE"""),0.0)</f>
        <v>0</v>
      </c>
      <c r="M161" s="8">
        <f>IFERROR(__xludf.DUMMYFUNCTION("""COMPUTED_VALUE"""),0.0)</f>
        <v>0</v>
      </c>
      <c r="N161" s="8">
        <f>IFERROR(__xludf.DUMMYFUNCTION("""COMPUTED_VALUE"""),0.0)</f>
        <v>0</v>
      </c>
      <c r="O161" s="8">
        <f>IFERROR(__xludf.DUMMYFUNCTION("""COMPUTED_VALUE"""),0.0)</f>
        <v>0</v>
      </c>
      <c r="P161" s="8">
        <f>IFERROR(__xludf.DUMMYFUNCTION("""COMPUTED_VALUE"""),0.0)</f>
        <v>0</v>
      </c>
      <c r="Q161" s="8">
        <f>IFERROR(__xludf.DUMMYFUNCTION("""COMPUTED_VALUE"""),0.0)</f>
        <v>0</v>
      </c>
      <c r="R161" s="8">
        <f>IFERROR(__xludf.DUMMYFUNCTION("""COMPUTED_VALUE"""),0.0)</f>
        <v>0</v>
      </c>
      <c r="S161" s="8">
        <f>IFERROR(__xludf.DUMMYFUNCTION("""COMPUTED_VALUE"""),0.0)</f>
        <v>0</v>
      </c>
      <c r="T161" s="8">
        <f>IFERROR(__xludf.DUMMYFUNCTION("""COMPUTED_VALUE"""),0.0)</f>
        <v>0</v>
      </c>
      <c r="U161" s="8">
        <f>IFERROR(__xludf.DUMMYFUNCTION("""COMPUTED_VALUE"""),0.0)</f>
        <v>0</v>
      </c>
      <c r="V161" s="8">
        <f>IFERROR(__xludf.DUMMYFUNCTION("""COMPUTED_VALUE"""),0.0)</f>
        <v>0</v>
      </c>
      <c r="W161" s="8">
        <f>IFERROR(__xludf.DUMMYFUNCTION("""COMPUTED_VALUE"""),0.0)</f>
        <v>0</v>
      </c>
      <c r="X161" s="8">
        <f>IFERROR(__xludf.DUMMYFUNCTION("""COMPUTED_VALUE"""),0.0)</f>
        <v>0</v>
      </c>
      <c r="Y161" s="8">
        <f>IFERROR(__xludf.DUMMYFUNCTION("""COMPUTED_VALUE"""),0.0)</f>
        <v>0</v>
      </c>
      <c r="Z161" s="8">
        <f>IFERROR(__xludf.DUMMYFUNCTION("""COMPUTED_VALUE"""),0.0)</f>
        <v>0</v>
      </c>
      <c r="AA161" s="8">
        <f>IFERROR(__xludf.DUMMYFUNCTION("""COMPUTED_VALUE"""),0.0)</f>
        <v>0</v>
      </c>
      <c r="AB161" s="8">
        <f>IFERROR(__xludf.DUMMYFUNCTION("""COMPUTED_VALUE"""),0.0)</f>
        <v>0</v>
      </c>
      <c r="AC161" s="8">
        <f>IFERROR(__xludf.DUMMYFUNCTION("""COMPUTED_VALUE"""),0.0)</f>
        <v>0</v>
      </c>
    </row>
    <row r="162" ht="15.75" customHeight="1">
      <c r="A162" s="6" t="str">
        <f>IFERROR(__xludf.DUMMYFUNCTION("""COMPUTED_VALUE"""),"94d808231f41a64988f80a2739e6a748f1278c28")</f>
        <v>94d808231f41a64988f80a2739e6a748f1278c28</v>
      </c>
      <c r="B162" s="6" t="str">
        <f>IFERROR(__xludf.DUMMYFUNCTION("""COMPUTED_VALUE"""),"My Amazing Husband's Life")</f>
        <v>My Amazing Husband's Life</v>
      </c>
      <c r="C162" s="6" t="str">
        <f>IFERROR(__xludf.DUMMYFUNCTION("""COMPUTED_VALUE"""),"Drama")</f>
        <v>Drama</v>
      </c>
      <c r="D162" s="11">
        <f>IFERROR(__xludf.DUMMYFUNCTION("""COMPUTED_VALUE"""),61.0)</f>
        <v>61</v>
      </c>
      <c r="E162" s="8">
        <f>IFERROR(__xludf.DUMMYFUNCTION("""COMPUTED_VALUE"""),0.950819672131147)</f>
        <v>0.9508196721</v>
      </c>
      <c r="F162" s="8">
        <f>IFERROR(__xludf.DUMMYFUNCTION("""COMPUTED_VALUE"""),0.557377049180327)</f>
        <v>0.5573770492</v>
      </c>
      <c r="G162" s="8">
        <f>IFERROR(__xludf.DUMMYFUNCTION("""COMPUTED_VALUE"""),0.426229508196721)</f>
        <v>0.4262295082</v>
      </c>
      <c r="H162" s="8">
        <f>IFERROR(__xludf.DUMMYFUNCTION("""COMPUTED_VALUE"""),0.254545454545454)</f>
        <v>0.2545454545</v>
      </c>
      <c r="I162" s="8">
        <f>IFERROR(__xludf.DUMMYFUNCTION("""COMPUTED_VALUE"""),0.22)</f>
        <v>0.22</v>
      </c>
      <c r="J162" s="8">
        <f>IFERROR(__xludf.DUMMYFUNCTION("""COMPUTED_VALUE"""),0.232558139534883)</f>
        <v>0.2325581395</v>
      </c>
      <c r="K162" s="8">
        <f>IFERROR(__xludf.DUMMYFUNCTION("""COMPUTED_VALUE"""),0.214285714285714)</f>
        <v>0.2142857143</v>
      </c>
      <c r="L162" s="8">
        <f>IFERROR(__xludf.DUMMYFUNCTION("""COMPUTED_VALUE"""),0.166666666666666)</f>
        <v>0.1666666667</v>
      </c>
      <c r="M162" s="8">
        <f>IFERROR(__xludf.DUMMYFUNCTION("""COMPUTED_VALUE"""),0.185185185185185)</f>
        <v>0.1851851852</v>
      </c>
      <c r="N162" s="8">
        <f>IFERROR(__xludf.DUMMYFUNCTION("""COMPUTED_VALUE"""),0.181818181818181)</f>
        <v>0.1818181818</v>
      </c>
      <c r="O162" s="8">
        <f>IFERROR(__xludf.DUMMYFUNCTION("""COMPUTED_VALUE"""),0.1)</f>
        <v>0.1</v>
      </c>
      <c r="P162" s="8">
        <f>IFERROR(__xludf.DUMMYFUNCTION("""COMPUTED_VALUE"""),0.1)</f>
        <v>0.1</v>
      </c>
      <c r="Q162" s="8">
        <f>IFERROR(__xludf.DUMMYFUNCTION("""COMPUTED_VALUE"""),0.0)</f>
        <v>0</v>
      </c>
      <c r="R162" s="8">
        <f>IFERROR(__xludf.DUMMYFUNCTION("""COMPUTED_VALUE"""),0.0)</f>
        <v>0</v>
      </c>
      <c r="S162" s="8">
        <f>IFERROR(__xludf.DUMMYFUNCTION("""COMPUTED_VALUE"""),0.0)</f>
        <v>0</v>
      </c>
      <c r="T162" s="8">
        <f>IFERROR(__xludf.DUMMYFUNCTION("""COMPUTED_VALUE"""),0.0)</f>
        <v>0</v>
      </c>
      <c r="U162" s="8">
        <f>IFERROR(__xludf.DUMMYFUNCTION("""COMPUTED_VALUE"""),0.0)</f>
        <v>0</v>
      </c>
      <c r="V162" s="8">
        <f>IFERROR(__xludf.DUMMYFUNCTION("""COMPUTED_VALUE"""),0.0)</f>
        <v>0</v>
      </c>
      <c r="W162" s="8">
        <f>IFERROR(__xludf.DUMMYFUNCTION("""COMPUTED_VALUE"""),0.0)</f>
        <v>0</v>
      </c>
      <c r="X162" s="8">
        <f>IFERROR(__xludf.DUMMYFUNCTION("""COMPUTED_VALUE"""),0.0)</f>
        <v>0</v>
      </c>
      <c r="Y162" s="8">
        <f>IFERROR(__xludf.DUMMYFUNCTION("""COMPUTED_VALUE"""),0.0)</f>
        <v>0</v>
      </c>
      <c r="Z162" s="8">
        <f>IFERROR(__xludf.DUMMYFUNCTION("""COMPUTED_VALUE"""),0.0)</f>
        <v>0</v>
      </c>
      <c r="AA162" s="8">
        <f>IFERROR(__xludf.DUMMYFUNCTION("""COMPUTED_VALUE"""),0.0)</f>
        <v>0</v>
      </c>
      <c r="AB162" s="8">
        <f>IFERROR(__xludf.DUMMYFUNCTION("""COMPUTED_VALUE"""),0.0)</f>
        <v>0</v>
      </c>
      <c r="AC162" s="8">
        <f>IFERROR(__xludf.DUMMYFUNCTION("""COMPUTED_VALUE"""),0.0)</f>
        <v>0</v>
      </c>
    </row>
    <row r="163" ht="15.75" customHeight="1">
      <c r="A163" s="6" t="str">
        <f>IFERROR(__xludf.DUMMYFUNCTION("""COMPUTED_VALUE"""),"95cfee76565a1eb0481e08f4f0da75fa4a0cdb74")</f>
        <v>95cfee76565a1eb0481e08f4f0da75fa4a0cdb74</v>
      </c>
      <c r="B163" s="6" t="str">
        <f>IFERROR(__xludf.DUMMYFUNCTION("""COMPUTED_VALUE"""),"Revenge Called Athena")</f>
        <v>Revenge Called Athena</v>
      </c>
      <c r="C163" s="6" t="str">
        <f>IFERROR(__xludf.DUMMYFUNCTION("""COMPUTED_VALUE"""),"Drama")</f>
        <v>Drama</v>
      </c>
      <c r="D163" s="11">
        <f>IFERROR(__xludf.DUMMYFUNCTION("""COMPUTED_VALUE"""),1019.0)</f>
        <v>1019</v>
      </c>
      <c r="E163" s="8">
        <f>IFERROR(__xludf.DUMMYFUNCTION("""COMPUTED_VALUE"""),0.95485770363101)</f>
        <v>0.9548577036</v>
      </c>
      <c r="F163" s="8">
        <f>IFERROR(__xludf.DUMMYFUNCTION("""COMPUTED_VALUE"""),0.717369970559371)</f>
        <v>0.7173699706</v>
      </c>
      <c r="G163" s="8">
        <f>IFERROR(__xludf.DUMMYFUNCTION("""COMPUTED_VALUE"""),0.673209028459273)</f>
        <v>0.6732090285</v>
      </c>
      <c r="H163" s="8">
        <f>IFERROR(__xludf.DUMMYFUNCTION("""COMPUTED_VALUE"""),0.643418467583497)</f>
        <v>0.6434184676</v>
      </c>
      <c r="I163" s="8">
        <f>IFERROR(__xludf.DUMMYFUNCTION("""COMPUTED_VALUE"""),0.62082514734774)</f>
        <v>0.6208251473</v>
      </c>
      <c r="J163" s="8">
        <f>IFERROR(__xludf.DUMMYFUNCTION("""COMPUTED_VALUE"""),0.592702169625246)</f>
        <v>0.5927021696</v>
      </c>
      <c r="K163" s="8">
        <f>IFERROR(__xludf.DUMMYFUNCTION("""COMPUTED_VALUE"""),0.56706114398422)</f>
        <v>0.567061144</v>
      </c>
      <c r="L163" s="8">
        <f>IFERROR(__xludf.DUMMYFUNCTION("""COMPUTED_VALUE"""),0.541129831516352)</f>
        <v>0.5411298315</v>
      </c>
      <c r="M163" s="8">
        <f>IFERROR(__xludf.DUMMYFUNCTION("""COMPUTED_VALUE"""),0.53227408142999)</f>
        <v>0.5322740814</v>
      </c>
      <c r="N163" s="8">
        <f>IFERROR(__xludf.DUMMYFUNCTION("""COMPUTED_VALUE"""),0.523665659617321)</f>
        <v>0.5236656596</v>
      </c>
      <c r="O163" s="8">
        <f>IFERROR(__xludf.DUMMYFUNCTION("""COMPUTED_VALUE"""),0.525121555915721)</f>
        <v>0.5251215559</v>
      </c>
      <c r="P163" s="8">
        <f>IFERROR(__xludf.DUMMYFUNCTION("""COMPUTED_VALUE"""),0.399668325041459)</f>
        <v>0.399668325</v>
      </c>
      <c r="Q163" s="8">
        <f>IFERROR(__xludf.DUMMYFUNCTION("""COMPUTED_VALUE"""),0.292436974789916)</f>
        <v>0.2924369748</v>
      </c>
      <c r="R163" s="8">
        <f>IFERROR(__xludf.DUMMYFUNCTION("""COMPUTED_VALUE"""),0.125)</f>
        <v>0.125</v>
      </c>
      <c r="S163" s="8">
        <f>IFERROR(__xludf.DUMMYFUNCTION("""COMPUTED_VALUE"""),0.25)</f>
        <v>0.25</v>
      </c>
      <c r="T163" s="8">
        <f>IFERROR(__xludf.DUMMYFUNCTION("""COMPUTED_VALUE"""),0.0)</f>
        <v>0</v>
      </c>
      <c r="U163" s="8">
        <f>IFERROR(__xludf.DUMMYFUNCTION("""COMPUTED_VALUE"""),0.0)</f>
        <v>0</v>
      </c>
      <c r="V163" s="8">
        <f>IFERROR(__xludf.DUMMYFUNCTION("""COMPUTED_VALUE"""),0.0)</f>
        <v>0</v>
      </c>
      <c r="W163" s="8">
        <f>IFERROR(__xludf.DUMMYFUNCTION("""COMPUTED_VALUE"""),0.0)</f>
        <v>0</v>
      </c>
      <c r="X163" s="8">
        <f>IFERROR(__xludf.DUMMYFUNCTION("""COMPUTED_VALUE"""),0.0)</f>
        <v>0</v>
      </c>
      <c r="Y163" s="8">
        <f>IFERROR(__xludf.DUMMYFUNCTION("""COMPUTED_VALUE"""),0.0)</f>
        <v>0</v>
      </c>
      <c r="Z163" s="8">
        <f>IFERROR(__xludf.DUMMYFUNCTION("""COMPUTED_VALUE"""),0.0)</f>
        <v>0</v>
      </c>
      <c r="AA163" s="8">
        <f>IFERROR(__xludf.DUMMYFUNCTION("""COMPUTED_VALUE"""),0.0)</f>
        <v>0</v>
      </c>
      <c r="AB163" s="8">
        <f>IFERROR(__xludf.DUMMYFUNCTION("""COMPUTED_VALUE"""),0.0)</f>
        <v>0</v>
      </c>
      <c r="AC163" s="8">
        <f>IFERROR(__xludf.DUMMYFUNCTION("""COMPUTED_VALUE"""),0.0)</f>
        <v>0</v>
      </c>
    </row>
    <row r="164" ht="15.75" customHeight="1">
      <c r="A164" s="6" t="str">
        <f>IFERROR(__xludf.DUMMYFUNCTION("""COMPUTED_VALUE"""),"964c4dbd3e851f0d215e0fc68b9c364303676665")</f>
        <v>964c4dbd3e851f0d215e0fc68b9c364303676665</v>
      </c>
      <c r="B164" s="6" t="str">
        <f>IFERROR(__xludf.DUMMYFUNCTION("""COMPUTED_VALUE"""),"The Governor's Wife")</f>
        <v>The Governor's Wife</v>
      </c>
      <c r="C164" s="6" t="str">
        <f>IFERROR(__xludf.DUMMYFUNCTION("""COMPUTED_VALUE"""),"Romance")</f>
        <v>Romance</v>
      </c>
      <c r="D164" s="11">
        <f>IFERROR(__xludf.DUMMYFUNCTION("""COMPUTED_VALUE"""),196.0)</f>
        <v>196</v>
      </c>
      <c r="E164" s="8">
        <f>IFERROR(__xludf.DUMMYFUNCTION("""COMPUTED_VALUE"""),0.959183673469387)</f>
        <v>0.9591836735</v>
      </c>
      <c r="F164" s="8">
        <f>IFERROR(__xludf.DUMMYFUNCTION("""COMPUTED_VALUE"""),0.831632653061224)</f>
        <v>0.8316326531</v>
      </c>
      <c r="G164" s="8">
        <f>IFERROR(__xludf.DUMMYFUNCTION("""COMPUTED_VALUE"""),0.806122448979591)</f>
        <v>0.806122449</v>
      </c>
      <c r="H164" s="8">
        <f>IFERROR(__xludf.DUMMYFUNCTION("""COMPUTED_VALUE"""),0.764044943820224)</f>
        <v>0.7640449438</v>
      </c>
      <c r="I164" s="8">
        <f>IFERROR(__xludf.DUMMYFUNCTION("""COMPUTED_VALUE"""),0.692307692307692)</f>
        <v>0.6923076923</v>
      </c>
      <c r="J164" s="8">
        <f>IFERROR(__xludf.DUMMYFUNCTION("""COMPUTED_VALUE"""),0.558620689655172)</f>
        <v>0.5586206897</v>
      </c>
      <c r="K164" s="8">
        <f>IFERROR(__xludf.DUMMYFUNCTION("""COMPUTED_VALUE"""),0.529411764705882)</f>
        <v>0.5294117647</v>
      </c>
      <c r="L164" s="8">
        <f>IFERROR(__xludf.DUMMYFUNCTION("""COMPUTED_VALUE"""),0.518181818181818)</f>
        <v>0.5181818182</v>
      </c>
      <c r="M164" s="8">
        <f>IFERROR(__xludf.DUMMYFUNCTION("""COMPUTED_VALUE"""),0.517241379310344)</f>
        <v>0.5172413793</v>
      </c>
      <c r="N164" s="8">
        <f>IFERROR(__xludf.DUMMYFUNCTION("""COMPUTED_VALUE"""),0.388888888888888)</f>
        <v>0.3888888889</v>
      </c>
      <c r="O164" s="8">
        <f>IFERROR(__xludf.DUMMYFUNCTION("""COMPUTED_VALUE"""),0.416666666666666)</f>
        <v>0.4166666667</v>
      </c>
      <c r="P164" s="8">
        <f>IFERROR(__xludf.DUMMYFUNCTION("""COMPUTED_VALUE"""),0.333333333333333)</f>
        <v>0.3333333333</v>
      </c>
      <c r="Q164" s="8">
        <f>IFERROR(__xludf.DUMMYFUNCTION("""COMPUTED_VALUE"""),0.0)</f>
        <v>0</v>
      </c>
      <c r="R164" s="8">
        <f>IFERROR(__xludf.DUMMYFUNCTION("""COMPUTED_VALUE"""),0.0)</f>
        <v>0</v>
      </c>
      <c r="S164" s="8">
        <f>IFERROR(__xludf.DUMMYFUNCTION("""COMPUTED_VALUE"""),0.0)</f>
        <v>0</v>
      </c>
      <c r="T164" s="8">
        <f>IFERROR(__xludf.DUMMYFUNCTION("""COMPUTED_VALUE"""),0.0)</f>
        <v>0</v>
      </c>
      <c r="U164" s="8">
        <f>IFERROR(__xludf.DUMMYFUNCTION("""COMPUTED_VALUE"""),0.0)</f>
        <v>0</v>
      </c>
      <c r="V164" s="8">
        <f>IFERROR(__xludf.DUMMYFUNCTION("""COMPUTED_VALUE"""),0.0)</f>
        <v>0</v>
      </c>
      <c r="W164" s="8">
        <f>IFERROR(__xludf.DUMMYFUNCTION("""COMPUTED_VALUE"""),0.0)</f>
        <v>0</v>
      </c>
      <c r="X164" s="8">
        <f>IFERROR(__xludf.DUMMYFUNCTION("""COMPUTED_VALUE"""),0.0)</f>
        <v>0</v>
      </c>
      <c r="Y164" s="8">
        <f>IFERROR(__xludf.DUMMYFUNCTION("""COMPUTED_VALUE"""),0.0)</f>
        <v>0</v>
      </c>
      <c r="Z164" s="8">
        <f>IFERROR(__xludf.DUMMYFUNCTION("""COMPUTED_VALUE"""),0.0)</f>
        <v>0</v>
      </c>
      <c r="AA164" s="8">
        <f>IFERROR(__xludf.DUMMYFUNCTION("""COMPUTED_VALUE"""),0.0)</f>
        <v>0</v>
      </c>
      <c r="AB164" s="8">
        <f>IFERROR(__xludf.DUMMYFUNCTION("""COMPUTED_VALUE"""),0.0)</f>
        <v>0</v>
      </c>
      <c r="AC164" s="8">
        <f>IFERROR(__xludf.DUMMYFUNCTION("""COMPUTED_VALUE"""),0.0)</f>
        <v>0</v>
      </c>
    </row>
    <row r="165" ht="15.75" customHeight="1">
      <c r="A165" s="6" t="str">
        <f>IFERROR(__xludf.DUMMYFUNCTION("""COMPUTED_VALUE"""),"96f6721dc499b730f42b02d86e640d682f4f665d")</f>
        <v>96f6721dc499b730f42b02d86e640d682f4f665d</v>
      </c>
      <c r="B165" s="6" t="str">
        <f>IFERROR(__xludf.DUMMYFUNCTION("""COMPUTED_VALUE"""),"Last Witch of Swendel")</f>
        <v>Last Witch of Swendel</v>
      </c>
      <c r="C165" s="6" t="str">
        <f>IFERROR(__xludf.DUMMYFUNCTION("""COMPUTED_VALUE"""),"Romantasy")</f>
        <v>Romantasy</v>
      </c>
      <c r="D165" s="11">
        <f>IFERROR(__xludf.DUMMYFUNCTION("""COMPUTED_VALUE"""),1807.0)</f>
        <v>1807</v>
      </c>
      <c r="E165" s="8">
        <f>IFERROR(__xludf.DUMMYFUNCTION("""COMPUTED_VALUE"""),0.968456004427227)</f>
        <v>0.9684560044</v>
      </c>
      <c r="F165" s="8">
        <f>IFERROR(__xludf.DUMMYFUNCTION("""COMPUTED_VALUE"""),0.546209186496956)</f>
        <v>0.5462091865</v>
      </c>
      <c r="G165" s="8">
        <f>IFERROR(__xludf.DUMMYFUNCTION("""COMPUTED_VALUE"""),0.494189263973436)</f>
        <v>0.494189264</v>
      </c>
      <c r="H165" s="8">
        <f>IFERROR(__xludf.DUMMYFUNCTION("""COMPUTED_VALUE"""),0.454042081949058)</f>
        <v>0.4540420819</v>
      </c>
      <c r="I165" s="8">
        <f>IFERROR(__xludf.DUMMYFUNCTION("""COMPUTED_VALUE"""),0.42469545957918)</f>
        <v>0.4246954596</v>
      </c>
      <c r="J165" s="8">
        <f>IFERROR(__xludf.DUMMYFUNCTION("""COMPUTED_VALUE"""),0.409972299168975)</f>
        <v>0.4099722992</v>
      </c>
      <c r="K165" s="8">
        <f>IFERROR(__xludf.DUMMYFUNCTION("""COMPUTED_VALUE"""),0.392797783933518)</f>
        <v>0.3927977839</v>
      </c>
      <c r="L165" s="8">
        <f>IFERROR(__xludf.DUMMYFUNCTION("""COMPUTED_VALUE"""),0.37860310421286)</f>
        <v>0.3786031042</v>
      </c>
      <c r="M165" s="8">
        <f>IFERROR(__xludf.DUMMYFUNCTION("""COMPUTED_VALUE"""),0.369179600886918)</f>
        <v>0.3691796009</v>
      </c>
      <c r="N165" s="8">
        <f>IFERROR(__xludf.DUMMYFUNCTION("""COMPUTED_VALUE"""),0.362174154187465)</f>
        <v>0.3621741542</v>
      </c>
      <c r="O165" s="8">
        <f>IFERROR(__xludf.DUMMYFUNCTION("""COMPUTED_VALUE"""),0.338153503893214)</f>
        <v>0.3381535039</v>
      </c>
      <c r="P165" s="8">
        <f>IFERROR(__xludf.DUMMYFUNCTION("""COMPUTED_VALUE"""),0.273896031302403)</f>
        <v>0.2738960313</v>
      </c>
      <c r="Q165" s="8">
        <f>IFERROR(__xludf.DUMMYFUNCTION("""COMPUTED_VALUE"""),0.230285714285714)</f>
        <v>0.2302857143</v>
      </c>
      <c r="R165" s="8">
        <f>IFERROR(__xludf.DUMMYFUNCTION("""COMPUTED_VALUE"""),0.169660678642714)</f>
        <v>0.1696606786</v>
      </c>
      <c r="S165" s="8">
        <f>IFERROR(__xludf.DUMMYFUNCTION("""COMPUTED_VALUE"""),0.114241001564945)</f>
        <v>0.1142410016</v>
      </c>
      <c r="T165" s="8">
        <f>IFERROR(__xludf.DUMMYFUNCTION("""COMPUTED_VALUE"""),0.085)</f>
        <v>0.085</v>
      </c>
      <c r="U165" s="8">
        <f>IFERROR(__xludf.DUMMYFUNCTION("""COMPUTED_VALUE"""),0.0677083333333333)</f>
        <v>0.06770833333</v>
      </c>
      <c r="V165" s="8">
        <f>IFERROR(__xludf.DUMMYFUNCTION("""COMPUTED_VALUE"""),0.055813953488372)</f>
        <v>0.05581395349</v>
      </c>
      <c r="W165" s="8">
        <f>IFERROR(__xludf.DUMMYFUNCTION("""COMPUTED_VALUE"""),0.0677966101694915)</f>
        <v>0.06779661017</v>
      </c>
      <c r="X165" s="8">
        <f>IFERROR(__xludf.DUMMYFUNCTION("""COMPUTED_VALUE"""),0.0)</f>
        <v>0</v>
      </c>
      <c r="Y165" s="8">
        <f>IFERROR(__xludf.DUMMYFUNCTION("""COMPUTED_VALUE"""),0.0)</f>
        <v>0</v>
      </c>
      <c r="Z165" s="8">
        <f>IFERROR(__xludf.DUMMYFUNCTION("""COMPUTED_VALUE"""),0.0)</f>
        <v>0</v>
      </c>
      <c r="AA165" s="8">
        <f>IFERROR(__xludf.DUMMYFUNCTION("""COMPUTED_VALUE"""),0.0)</f>
        <v>0</v>
      </c>
      <c r="AB165" s="8">
        <f>IFERROR(__xludf.DUMMYFUNCTION("""COMPUTED_VALUE"""),0.0)</f>
        <v>0</v>
      </c>
      <c r="AC165" s="8">
        <f>IFERROR(__xludf.DUMMYFUNCTION("""COMPUTED_VALUE"""),0.0)</f>
        <v>0</v>
      </c>
    </row>
    <row r="166" ht="15.75" customHeight="1">
      <c r="A166" s="6" t="str">
        <f>IFERROR(__xludf.DUMMYFUNCTION("""COMPUTED_VALUE"""),"97bf3d3427830d8b1bc0c5929b0c0832cbf02a25")</f>
        <v>97bf3d3427830d8b1bc0c5929b0c0832cbf02a25</v>
      </c>
      <c r="B166" s="6" t="str">
        <f>IFERROR(__xludf.DUMMYFUNCTION("""COMPUTED_VALUE"""),"The Miraculous Physician")</f>
        <v>The Miraculous Physician</v>
      </c>
      <c r="C166" s="6" t="str">
        <f>IFERROR(__xludf.DUMMYFUNCTION("""COMPUTED_VALUE"""),"System and Superpower")</f>
        <v>System and Superpower</v>
      </c>
      <c r="D166" s="11">
        <f>IFERROR(__xludf.DUMMYFUNCTION("""COMPUTED_VALUE"""),61.0)</f>
        <v>61</v>
      </c>
      <c r="E166" s="8">
        <f>IFERROR(__xludf.DUMMYFUNCTION("""COMPUTED_VALUE"""),0.950819672131147)</f>
        <v>0.9508196721</v>
      </c>
      <c r="F166" s="8">
        <f>IFERROR(__xludf.DUMMYFUNCTION("""COMPUTED_VALUE"""),0.508196721311475)</f>
        <v>0.5081967213</v>
      </c>
      <c r="G166" s="8">
        <f>IFERROR(__xludf.DUMMYFUNCTION("""COMPUTED_VALUE"""),0.344262295081967)</f>
        <v>0.3442622951</v>
      </c>
      <c r="H166" s="8">
        <f>IFERROR(__xludf.DUMMYFUNCTION("""COMPUTED_VALUE"""),0.322033898305084)</f>
        <v>0.3220338983</v>
      </c>
      <c r="I166" s="8">
        <f>IFERROR(__xludf.DUMMYFUNCTION("""COMPUTED_VALUE"""),0.31578947368421)</f>
        <v>0.3157894737</v>
      </c>
      <c r="J166" s="8">
        <f>IFERROR(__xludf.DUMMYFUNCTION("""COMPUTED_VALUE"""),0.30188679245283)</f>
        <v>0.3018867925</v>
      </c>
      <c r="K166" s="8">
        <f>IFERROR(__xludf.DUMMYFUNCTION("""COMPUTED_VALUE"""),0.245283018867924)</f>
        <v>0.2452830189</v>
      </c>
      <c r="L166" s="8">
        <f>IFERROR(__xludf.DUMMYFUNCTION("""COMPUTED_VALUE"""),0.217391304347826)</f>
        <v>0.2173913043</v>
      </c>
      <c r="M166" s="8">
        <f>IFERROR(__xludf.DUMMYFUNCTION("""COMPUTED_VALUE"""),0.175)</f>
        <v>0.175</v>
      </c>
      <c r="N166" s="8">
        <f>IFERROR(__xludf.DUMMYFUNCTION("""COMPUTED_VALUE"""),0.16)</f>
        <v>0.16</v>
      </c>
      <c r="O166" s="8">
        <f>IFERROR(__xludf.DUMMYFUNCTION("""COMPUTED_VALUE"""),0.5)</f>
        <v>0.5</v>
      </c>
      <c r="P166" s="8">
        <f>IFERROR(__xludf.DUMMYFUNCTION("""COMPUTED_VALUE"""),0.0)</f>
        <v>0</v>
      </c>
      <c r="Q166" s="8">
        <f>IFERROR(__xludf.DUMMYFUNCTION("""COMPUTED_VALUE"""),0.0)</f>
        <v>0</v>
      </c>
      <c r="R166" s="8">
        <f>IFERROR(__xludf.DUMMYFUNCTION("""COMPUTED_VALUE"""),0.0)</f>
        <v>0</v>
      </c>
      <c r="S166" s="8">
        <f>IFERROR(__xludf.DUMMYFUNCTION("""COMPUTED_VALUE"""),0.0)</f>
        <v>0</v>
      </c>
      <c r="T166" s="8">
        <f>IFERROR(__xludf.DUMMYFUNCTION("""COMPUTED_VALUE"""),0.0)</f>
        <v>0</v>
      </c>
      <c r="U166" s="8">
        <f>IFERROR(__xludf.DUMMYFUNCTION("""COMPUTED_VALUE"""),0.0)</f>
        <v>0</v>
      </c>
      <c r="V166" s="8">
        <f>IFERROR(__xludf.DUMMYFUNCTION("""COMPUTED_VALUE"""),0.0)</f>
        <v>0</v>
      </c>
      <c r="W166" s="8">
        <f>IFERROR(__xludf.DUMMYFUNCTION("""COMPUTED_VALUE"""),0.0)</f>
        <v>0</v>
      </c>
      <c r="X166" s="8">
        <f>IFERROR(__xludf.DUMMYFUNCTION("""COMPUTED_VALUE"""),0.0)</f>
        <v>0</v>
      </c>
      <c r="Y166" s="8">
        <f>IFERROR(__xludf.DUMMYFUNCTION("""COMPUTED_VALUE"""),0.0)</f>
        <v>0</v>
      </c>
      <c r="Z166" s="8">
        <f>IFERROR(__xludf.DUMMYFUNCTION("""COMPUTED_VALUE"""),0.0)</f>
        <v>0</v>
      </c>
      <c r="AA166" s="8">
        <f>IFERROR(__xludf.DUMMYFUNCTION("""COMPUTED_VALUE"""),0.0)</f>
        <v>0</v>
      </c>
      <c r="AB166" s="8">
        <f>IFERROR(__xludf.DUMMYFUNCTION("""COMPUTED_VALUE"""),0.0)</f>
        <v>0</v>
      </c>
      <c r="AC166" s="8">
        <f>IFERROR(__xludf.DUMMYFUNCTION("""COMPUTED_VALUE"""),0.0)</f>
        <v>0</v>
      </c>
    </row>
    <row r="167" ht="15.75" customHeight="1">
      <c r="A167" s="6" t="str">
        <f>IFERROR(__xludf.DUMMYFUNCTION("""COMPUTED_VALUE"""),"97d2593a35303e42da5da630e9d8848fa086fc93")</f>
        <v>97d2593a35303e42da5da630e9d8848fa086fc93</v>
      </c>
      <c r="B167" s="6" t="str">
        <f>IFERROR(__xludf.DUMMYFUNCTION("""COMPUTED_VALUE"""),"Spying on My Rebel Alpha")</f>
        <v>Spying on My Rebel Alpha</v>
      </c>
      <c r="C167" s="6" t="str">
        <f>IFERROR(__xludf.DUMMYFUNCTION("""COMPUTED_VALUE"""),"Romantasy")</f>
        <v>Romantasy</v>
      </c>
      <c r="D167" s="11">
        <f>IFERROR(__xludf.DUMMYFUNCTION("""COMPUTED_VALUE"""),1341.0)</f>
        <v>1341</v>
      </c>
      <c r="E167" s="8">
        <f>IFERROR(__xludf.DUMMYFUNCTION("""COMPUTED_VALUE"""),0.976137211036539)</f>
        <v>0.976137211</v>
      </c>
      <c r="F167" s="8">
        <f>IFERROR(__xludf.DUMMYFUNCTION("""COMPUTED_VALUE"""),0.543624161073825)</f>
        <v>0.5436241611</v>
      </c>
      <c r="G167" s="8">
        <f>IFERROR(__xludf.DUMMYFUNCTION("""COMPUTED_VALUE"""),0.472035794183445)</f>
        <v>0.4720357942</v>
      </c>
      <c r="H167" s="8">
        <f>IFERROR(__xludf.DUMMYFUNCTION("""COMPUTED_VALUE"""),0.428678117998506)</f>
        <v>0.428678118</v>
      </c>
      <c r="I167" s="8">
        <f>IFERROR(__xludf.DUMMYFUNCTION("""COMPUTED_VALUE"""),0.394324122479462)</f>
        <v>0.3943241225</v>
      </c>
      <c r="J167" s="8">
        <f>IFERROR(__xludf.DUMMYFUNCTION("""COMPUTED_VALUE"""),0.368185212845407)</f>
        <v>0.3681852128</v>
      </c>
      <c r="K167" s="8">
        <f>IFERROR(__xludf.DUMMYFUNCTION("""COMPUTED_VALUE"""),0.354742345033607)</f>
        <v>0.354742345</v>
      </c>
      <c r="L167" s="8">
        <f>IFERROR(__xludf.DUMMYFUNCTION("""COMPUTED_VALUE"""),0.340329835082458)</f>
        <v>0.3403298351</v>
      </c>
      <c r="M167" s="8">
        <f>IFERROR(__xludf.DUMMYFUNCTION("""COMPUTED_VALUE"""),0.328787878787878)</f>
        <v>0.3287878788</v>
      </c>
      <c r="N167" s="8">
        <f>IFERROR(__xludf.DUMMYFUNCTION("""COMPUTED_VALUE"""),0.32593726090283)</f>
        <v>0.3259372609</v>
      </c>
      <c r="O167" s="8">
        <f>IFERROR(__xludf.DUMMYFUNCTION("""COMPUTED_VALUE"""),0.283003300330033)</f>
        <v>0.2830033003</v>
      </c>
      <c r="P167" s="8">
        <f>IFERROR(__xludf.DUMMYFUNCTION("""COMPUTED_VALUE"""),0.231829573934837)</f>
        <v>0.2318295739</v>
      </c>
      <c r="Q167" s="8">
        <f>IFERROR(__xludf.DUMMYFUNCTION("""COMPUTED_VALUE"""),0.127516778523489)</f>
        <v>0.1275167785</v>
      </c>
      <c r="R167" s="8">
        <f>IFERROR(__xludf.DUMMYFUNCTION("""COMPUTED_VALUE"""),0.0)</f>
        <v>0</v>
      </c>
      <c r="S167" s="8">
        <f>IFERROR(__xludf.DUMMYFUNCTION("""COMPUTED_VALUE"""),0.0)</f>
        <v>0</v>
      </c>
      <c r="T167" s="8">
        <f>IFERROR(__xludf.DUMMYFUNCTION("""COMPUTED_VALUE"""),0.0)</f>
        <v>0</v>
      </c>
      <c r="U167" s="8">
        <f>IFERROR(__xludf.DUMMYFUNCTION("""COMPUTED_VALUE"""),0.0)</f>
        <v>0</v>
      </c>
      <c r="V167" s="8">
        <f>IFERROR(__xludf.DUMMYFUNCTION("""COMPUTED_VALUE"""),0.0)</f>
        <v>0</v>
      </c>
      <c r="W167" s="8">
        <f>IFERROR(__xludf.DUMMYFUNCTION("""COMPUTED_VALUE"""),0.0)</f>
        <v>0</v>
      </c>
      <c r="X167" s="8">
        <f>IFERROR(__xludf.DUMMYFUNCTION("""COMPUTED_VALUE"""),0.0)</f>
        <v>0</v>
      </c>
      <c r="Y167" s="8">
        <f>IFERROR(__xludf.DUMMYFUNCTION("""COMPUTED_VALUE"""),0.0)</f>
        <v>0</v>
      </c>
      <c r="Z167" s="8">
        <f>IFERROR(__xludf.DUMMYFUNCTION("""COMPUTED_VALUE"""),0.0)</f>
        <v>0</v>
      </c>
      <c r="AA167" s="8">
        <f>IFERROR(__xludf.DUMMYFUNCTION("""COMPUTED_VALUE"""),0.0)</f>
        <v>0</v>
      </c>
      <c r="AB167" s="8">
        <f>IFERROR(__xludf.DUMMYFUNCTION("""COMPUTED_VALUE"""),0.0)</f>
        <v>0</v>
      </c>
      <c r="AC167" s="8">
        <f>IFERROR(__xludf.DUMMYFUNCTION("""COMPUTED_VALUE"""),0.0)</f>
        <v>0</v>
      </c>
    </row>
    <row r="168" ht="15.75" customHeight="1">
      <c r="A168" s="6" t="str">
        <f>IFERROR(__xludf.DUMMYFUNCTION("""COMPUTED_VALUE"""),"9897c34ca7143cb319fd56943504e8f8be1550c2")</f>
        <v>9897c34ca7143cb319fd56943504e8f8be1550c2</v>
      </c>
      <c r="B168" s="6" t="str">
        <f>IFERROR(__xludf.DUMMYFUNCTION("""COMPUTED_VALUE"""),"Priced Royal Kiss")</f>
        <v>Priced Royal Kiss</v>
      </c>
      <c r="C168" s="6" t="str">
        <f>IFERROR(__xludf.DUMMYFUNCTION("""COMPUTED_VALUE"""),"Drama")</f>
        <v>Drama</v>
      </c>
      <c r="D168" s="11">
        <f>IFERROR(__xludf.DUMMYFUNCTION("""COMPUTED_VALUE"""),130.0)</f>
        <v>130</v>
      </c>
      <c r="E168" s="8">
        <f>IFERROR(__xludf.DUMMYFUNCTION("""COMPUTED_VALUE"""),0.953846153846153)</f>
        <v>0.9538461538</v>
      </c>
      <c r="F168" s="8">
        <f>IFERROR(__xludf.DUMMYFUNCTION("""COMPUTED_VALUE"""),0.546153846153846)</f>
        <v>0.5461538462</v>
      </c>
      <c r="G168" s="8">
        <f>IFERROR(__xludf.DUMMYFUNCTION("""COMPUTED_VALUE"""),0.484615384615384)</f>
        <v>0.4846153846</v>
      </c>
      <c r="H168" s="8">
        <f>IFERROR(__xludf.DUMMYFUNCTION("""COMPUTED_VALUE"""),0.46875)</f>
        <v>0.46875</v>
      </c>
      <c r="I168" s="8">
        <f>IFERROR(__xludf.DUMMYFUNCTION("""COMPUTED_VALUE"""),0.451612903225806)</f>
        <v>0.4516129032</v>
      </c>
      <c r="J168" s="8">
        <f>IFERROR(__xludf.DUMMYFUNCTION("""COMPUTED_VALUE"""),0.376068376068376)</f>
        <v>0.3760683761</v>
      </c>
      <c r="K168" s="8">
        <f>IFERROR(__xludf.DUMMYFUNCTION("""COMPUTED_VALUE"""),0.421052631578947)</f>
        <v>0.4210526316</v>
      </c>
      <c r="L168" s="8">
        <f>IFERROR(__xludf.DUMMYFUNCTION("""COMPUTED_VALUE"""),0.420560747663551)</f>
        <v>0.4205607477</v>
      </c>
      <c r="M168" s="8">
        <f>IFERROR(__xludf.DUMMYFUNCTION("""COMPUTED_VALUE"""),0.424528301886792)</f>
        <v>0.4245283019</v>
      </c>
      <c r="N168" s="8">
        <f>IFERROR(__xludf.DUMMYFUNCTION("""COMPUTED_VALUE"""),0.434343434343434)</f>
        <v>0.4343434343</v>
      </c>
      <c r="O168" s="8">
        <f>IFERROR(__xludf.DUMMYFUNCTION("""COMPUTED_VALUE"""),0.407894736842105)</f>
        <v>0.4078947368</v>
      </c>
      <c r="P168" s="8">
        <f>IFERROR(__xludf.DUMMYFUNCTION("""COMPUTED_VALUE"""),0.319444444444444)</f>
        <v>0.3194444444</v>
      </c>
      <c r="Q168" s="8">
        <f>IFERROR(__xludf.DUMMYFUNCTION("""COMPUTED_VALUE"""),0.188405797101449)</f>
        <v>0.1884057971</v>
      </c>
      <c r="R168" s="8">
        <f>IFERROR(__xludf.DUMMYFUNCTION("""COMPUTED_VALUE"""),0.183333333333333)</f>
        <v>0.1833333333</v>
      </c>
      <c r="S168" s="8">
        <f>IFERROR(__xludf.DUMMYFUNCTION("""COMPUTED_VALUE"""),0.150943396226415)</f>
        <v>0.1509433962</v>
      </c>
      <c r="T168" s="8">
        <f>IFERROR(__xludf.DUMMYFUNCTION("""COMPUTED_VALUE"""),0.111111111111111)</f>
        <v>0.1111111111</v>
      </c>
      <c r="U168" s="8">
        <f>IFERROR(__xludf.DUMMYFUNCTION("""COMPUTED_VALUE"""),0.0256410256410256)</f>
        <v>0.02564102564</v>
      </c>
      <c r="V168" s="8">
        <f>IFERROR(__xludf.DUMMYFUNCTION("""COMPUTED_VALUE"""),0.0)</f>
        <v>0</v>
      </c>
      <c r="W168" s="8">
        <f>IFERROR(__xludf.DUMMYFUNCTION("""COMPUTED_VALUE"""),0.0)</f>
        <v>0</v>
      </c>
      <c r="X168" s="8">
        <f>IFERROR(__xludf.DUMMYFUNCTION("""COMPUTED_VALUE"""),0.0)</f>
        <v>0</v>
      </c>
      <c r="Y168" s="8">
        <f>IFERROR(__xludf.DUMMYFUNCTION("""COMPUTED_VALUE"""),0.0)</f>
        <v>0</v>
      </c>
      <c r="Z168" s="8">
        <f>IFERROR(__xludf.DUMMYFUNCTION("""COMPUTED_VALUE"""),0.0)</f>
        <v>0</v>
      </c>
      <c r="AA168" s="8">
        <f>IFERROR(__xludf.DUMMYFUNCTION("""COMPUTED_VALUE"""),0.0)</f>
        <v>0</v>
      </c>
      <c r="AB168" s="8">
        <f>IFERROR(__xludf.DUMMYFUNCTION("""COMPUTED_VALUE"""),0.0)</f>
        <v>0</v>
      </c>
      <c r="AC168" s="8">
        <f>IFERROR(__xludf.DUMMYFUNCTION("""COMPUTED_VALUE"""),0.0)</f>
        <v>0</v>
      </c>
    </row>
    <row r="169" ht="15.75" customHeight="1">
      <c r="A169" s="6" t="str">
        <f>IFERROR(__xludf.DUMMYFUNCTION("""COMPUTED_VALUE"""),"9b25cb8fec3919f6398cf69f6cec44382a44749e")</f>
        <v>9b25cb8fec3919f6398cf69f6cec44382a44749e</v>
      </c>
      <c r="B169" s="6" t="str">
        <f>IFERROR(__xludf.DUMMYFUNCTION("""COMPUTED_VALUE"""),"The Immortal's Mark")</f>
        <v>The Immortal's Mark</v>
      </c>
      <c r="C169" s="6" t="str">
        <f>IFERROR(__xludf.DUMMYFUNCTION("""COMPUTED_VALUE"""),"Romantasy")</f>
        <v>Romantasy</v>
      </c>
      <c r="D169" s="11">
        <f>IFERROR(__xludf.DUMMYFUNCTION("""COMPUTED_VALUE"""),1262.0)</f>
        <v>1262</v>
      </c>
      <c r="E169" s="8">
        <f>IFERROR(__xludf.DUMMYFUNCTION("""COMPUTED_VALUE"""),0.972266244057052)</f>
        <v>0.9722662441</v>
      </c>
      <c r="F169" s="8">
        <f>IFERROR(__xludf.DUMMYFUNCTION("""COMPUTED_VALUE"""),0.621236133122028)</f>
        <v>0.6212361331</v>
      </c>
      <c r="G169" s="8">
        <f>IFERROR(__xludf.DUMMYFUNCTION("""COMPUTED_VALUE"""),0.52931854199683)</f>
        <v>0.529318542</v>
      </c>
      <c r="H169" s="8">
        <f>IFERROR(__xludf.DUMMYFUNCTION("""COMPUTED_VALUE"""),0.455635491606714)</f>
        <v>0.4556354916</v>
      </c>
      <c r="I169" s="8">
        <f>IFERROR(__xludf.DUMMYFUNCTION("""COMPUTED_VALUE"""),0.413987138263665)</f>
        <v>0.4139871383</v>
      </c>
      <c r="J169" s="8">
        <f>IFERROR(__xludf.DUMMYFUNCTION("""COMPUTED_VALUE"""),0.382806163828061)</f>
        <v>0.3828061638</v>
      </c>
      <c r="K169" s="8">
        <f>IFERROR(__xludf.DUMMYFUNCTION("""COMPUTED_VALUE"""),0.349918433931484)</f>
        <v>0.3499184339</v>
      </c>
      <c r="L169" s="8">
        <f>IFERROR(__xludf.DUMMYFUNCTION("""COMPUTED_VALUE"""),0.329489291598023)</f>
        <v>0.3294892916</v>
      </c>
      <c r="M169" s="8">
        <f>IFERROR(__xludf.DUMMYFUNCTION("""COMPUTED_VALUE"""),0.323140495867768)</f>
        <v>0.3231404959</v>
      </c>
      <c r="N169" s="8">
        <f>IFERROR(__xludf.DUMMYFUNCTION("""COMPUTED_VALUE"""),0.306276150627615)</f>
        <v>0.3062761506</v>
      </c>
      <c r="O169" s="8">
        <f>IFERROR(__xludf.DUMMYFUNCTION("""COMPUTED_VALUE"""),0.263203463203463)</f>
        <v>0.2632034632</v>
      </c>
      <c r="P169" s="8">
        <f>IFERROR(__xludf.DUMMYFUNCTION("""COMPUTED_VALUE"""),0.203311867525298)</f>
        <v>0.2033118675</v>
      </c>
      <c r="Q169" s="8">
        <f>IFERROR(__xludf.DUMMYFUNCTION("""COMPUTED_VALUE"""),0.139484978540772)</f>
        <v>0.1394849785</v>
      </c>
      <c r="R169" s="8">
        <f>IFERROR(__xludf.DUMMYFUNCTION("""COMPUTED_VALUE"""),0.114970059880239)</f>
        <v>0.1149700599</v>
      </c>
      <c r="S169" s="8">
        <f>IFERROR(__xludf.DUMMYFUNCTION("""COMPUTED_VALUE"""),0.0755735492577597)</f>
        <v>0.07557354926</v>
      </c>
      <c r="T169" s="8">
        <f>IFERROR(__xludf.DUMMYFUNCTION("""COMPUTED_VALUE"""),0.0719424460431654)</f>
        <v>0.07194244604</v>
      </c>
      <c r="U169" s="8">
        <f>IFERROR(__xludf.DUMMYFUNCTION("""COMPUTED_VALUE"""),0.0689655172413793)</f>
        <v>0.06896551724</v>
      </c>
      <c r="V169" s="8">
        <f>IFERROR(__xludf.DUMMYFUNCTION("""COMPUTED_VALUE"""),0.0)</f>
        <v>0</v>
      </c>
      <c r="W169" s="8">
        <f>IFERROR(__xludf.DUMMYFUNCTION("""COMPUTED_VALUE"""),0.0)</f>
        <v>0</v>
      </c>
      <c r="X169" s="8">
        <f>IFERROR(__xludf.DUMMYFUNCTION("""COMPUTED_VALUE"""),0.0)</f>
        <v>0</v>
      </c>
      <c r="Y169" s="8">
        <f>IFERROR(__xludf.DUMMYFUNCTION("""COMPUTED_VALUE"""),0.0)</f>
        <v>0</v>
      </c>
      <c r="Z169" s="8">
        <f>IFERROR(__xludf.DUMMYFUNCTION("""COMPUTED_VALUE"""),0.0)</f>
        <v>0</v>
      </c>
      <c r="AA169" s="8">
        <f>IFERROR(__xludf.DUMMYFUNCTION("""COMPUTED_VALUE"""),0.0)</f>
        <v>0</v>
      </c>
      <c r="AB169" s="8">
        <f>IFERROR(__xludf.DUMMYFUNCTION("""COMPUTED_VALUE"""),0.0)</f>
        <v>0</v>
      </c>
      <c r="AC169" s="8">
        <f>IFERROR(__xludf.DUMMYFUNCTION("""COMPUTED_VALUE"""),0.0)</f>
        <v>0</v>
      </c>
    </row>
    <row r="170" ht="15.75" customHeight="1">
      <c r="A170" s="6" t="str">
        <f>IFERROR(__xludf.DUMMYFUNCTION("""COMPUTED_VALUE"""),"9c5a320e8591b0aad996347bc17f53479097ac00")</f>
        <v>9c5a320e8591b0aad996347bc17f53479097ac00</v>
      </c>
      <c r="B170" s="6" t="str">
        <f>IFERROR(__xludf.DUMMYFUNCTION("""COMPUTED_VALUE"""),"Dad's a Billionaire")</f>
        <v>Dad's a Billionaire</v>
      </c>
      <c r="C170" s="6" t="str">
        <f>IFERROR(__xludf.DUMMYFUNCTION("""COMPUTED_VALUE"""),"Romance")</f>
        <v>Romance</v>
      </c>
      <c r="D170" s="11">
        <f>IFERROR(__xludf.DUMMYFUNCTION("""COMPUTED_VALUE"""),79.0)</f>
        <v>79</v>
      </c>
      <c r="E170" s="8">
        <f>IFERROR(__xludf.DUMMYFUNCTION("""COMPUTED_VALUE"""),0.974683544303797)</f>
        <v>0.9746835443</v>
      </c>
      <c r="F170" s="8">
        <f>IFERROR(__xludf.DUMMYFUNCTION("""COMPUTED_VALUE"""),0.658227848101265)</f>
        <v>0.6582278481</v>
      </c>
      <c r="G170" s="8">
        <f>IFERROR(__xludf.DUMMYFUNCTION("""COMPUTED_VALUE"""),0.556962025316455)</f>
        <v>0.5569620253</v>
      </c>
      <c r="H170" s="8">
        <f>IFERROR(__xludf.DUMMYFUNCTION("""COMPUTED_VALUE"""),0.596774193548387)</f>
        <v>0.5967741935</v>
      </c>
      <c r="I170" s="8">
        <f>IFERROR(__xludf.DUMMYFUNCTION("""COMPUTED_VALUE"""),0.542372881355932)</f>
        <v>0.5423728814</v>
      </c>
      <c r="J170" s="8">
        <f>IFERROR(__xludf.DUMMYFUNCTION("""COMPUTED_VALUE"""),0.51063829787234)</f>
        <v>0.5106382979</v>
      </c>
      <c r="K170" s="8">
        <f>IFERROR(__xludf.DUMMYFUNCTION("""COMPUTED_VALUE"""),0.454545454545454)</f>
        <v>0.4545454545</v>
      </c>
      <c r="L170" s="8">
        <f>IFERROR(__xludf.DUMMYFUNCTION("""COMPUTED_VALUE"""),0.545454545454545)</f>
        <v>0.5454545455</v>
      </c>
      <c r="M170" s="8">
        <f>IFERROR(__xludf.DUMMYFUNCTION("""COMPUTED_VALUE"""),0.5)</f>
        <v>0.5</v>
      </c>
      <c r="N170" s="8">
        <f>IFERROR(__xludf.DUMMYFUNCTION("""COMPUTED_VALUE"""),0.431818181818181)</f>
        <v>0.4318181818</v>
      </c>
      <c r="O170" s="8">
        <f>IFERROR(__xludf.DUMMYFUNCTION("""COMPUTED_VALUE"""),0.428571428571428)</f>
        <v>0.4285714286</v>
      </c>
      <c r="P170" s="8">
        <f>IFERROR(__xludf.DUMMYFUNCTION("""COMPUTED_VALUE"""),0.28125)</f>
        <v>0.28125</v>
      </c>
      <c r="Q170" s="8">
        <f>IFERROR(__xludf.DUMMYFUNCTION("""COMPUTED_VALUE"""),0.0)</f>
        <v>0</v>
      </c>
      <c r="R170" s="8">
        <f>IFERROR(__xludf.DUMMYFUNCTION("""COMPUTED_VALUE"""),0.0)</f>
        <v>0</v>
      </c>
      <c r="S170" s="8">
        <f>IFERROR(__xludf.DUMMYFUNCTION("""COMPUTED_VALUE"""),0.0)</f>
        <v>0</v>
      </c>
      <c r="T170" s="8">
        <f>IFERROR(__xludf.DUMMYFUNCTION("""COMPUTED_VALUE"""),0.0)</f>
        <v>0</v>
      </c>
      <c r="U170" s="8">
        <f>IFERROR(__xludf.DUMMYFUNCTION("""COMPUTED_VALUE"""),0.0)</f>
        <v>0</v>
      </c>
      <c r="V170" s="8">
        <f>IFERROR(__xludf.DUMMYFUNCTION("""COMPUTED_VALUE"""),0.0)</f>
        <v>0</v>
      </c>
      <c r="W170" s="8">
        <f>IFERROR(__xludf.DUMMYFUNCTION("""COMPUTED_VALUE"""),0.0)</f>
        <v>0</v>
      </c>
      <c r="X170" s="8">
        <f>IFERROR(__xludf.DUMMYFUNCTION("""COMPUTED_VALUE"""),0.0)</f>
        <v>0</v>
      </c>
      <c r="Y170" s="8">
        <f>IFERROR(__xludf.DUMMYFUNCTION("""COMPUTED_VALUE"""),0.0)</f>
        <v>0</v>
      </c>
      <c r="Z170" s="8">
        <f>IFERROR(__xludf.DUMMYFUNCTION("""COMPUTED_VALUE"""),0.0)</f>
        <v>0</v>
      </c>
      <c r="AA170" s="8">
        <f>IFERROR(__xludf.DUMMYFUNCTION("""COMPUTED_VALUE"""),0.0)</f>
        <v>0</v>
      </c>
      <c r="AB170" s="8">
        <f>IFERROR(__xludf.DUMMYFUNCTION("""COMPUTED_VALUE"""),0.0)</f>
        <v>0</v>
      </c>
      <c r="AC170" s="8">
        <f>IFERROR(__xludf.DUMMYFUNCTION("""COMPUTED_VALUE"""),0.0)</f>
        <v>0</v>
      </c>
    </row>
    <row r="171" ht="15.75" customHeight="1">
      <c r="A171" s="6" t="str">
        <f>IFERROR(__xludf.DUMMYFUNCTION("""COMPUTED_VALUE"""),"9d3f3024e967ac2c104ada98aa10c481cd0f9e38")</f>
        <v>9d3f3024e967ac2c104ada98aa10c481cd0f9e38</v>
      </c>
      <c r="B171" s="6" t="str">
        <f>IFERROR(__xludf.DUMMYFUNCTION("""COMPUTED_VALUE"""),"The Wrong Mrs. Carter")</f>
        <v>The Wrong Mrs. Carter</v>
      </c>
      <c r="C171" s="6" t="str">
        <f>IFERROR(__xludf.DUMMYFUNCTION("""COMPUTED_VALUE"""),"Romance")</f>
        <v>Romance</v>
      </c>
      <c r="D171" s="11">
        <f>IFERROR(__xludf.DUMMYFUNCTION("""COMPUTED_VALUE"""),78.0)</f>
        <v>78</v>
      </c>
      <c r="E171" s="8">
        <f>IFERROR(__xludf.DUMMYFUNCTION("""COMPUTED_VALUE"""),0.91025641025641)</f>
        <v>0.9102564103</v>
      </c>
      <c r="F171" s="8">
        <f>IFERROR(__xludf.DUMMYFUNCTION("""COMPUTED_VALUE"""),0.653846153846153)</f>
        <v>0.6538461538</v>
      </c>
      <c r="G171" s="8">
        <f>IFERROR(__xludf.DUMMYFUNCTION("""COMPUTED_VALUE"""),0.615384615384615)</f>
        <v>0.6153846154</v>
      </c>
      <c r="H171" s="8">
        <f>IFERROR(__xludf.DUMMYFUNCTION("""COMPUTED_VALUE"""),0.576923076923076)</f>
        <v>0.5769230769</v>
      </c>
      <c r="I171" s="8">
        <f>IFERROR(__xludf.DUMMYFUNCTION("""COMPUTED_VALUE"""),0.5)</f>
        <v>0.5</v>
      </c>
      <c r="J171" s="8">
        <f>IFERROR(__xludf.DUMMYFUNCTION("""COMPUTED_VALUE"""),0.442307692307692)</f>
        <v>0.4423076923</v>
      </c>
      <c r="K171" s="8">
        <f>IFERROR(__xludf.DUMMYFUNCTION("""COMPUTED_VALUE"""),0.423076923076923)</f>
        <v>0.4230769231</v>
      </c>
      <c r="L171" s="8">
        <f>IFERROR(__xludf.DUMMYFUNCTION("""COMPUTED_VALUE"""),0.384615384615384)</f>
        <v>0.3846153846</v>
      </c>
      <c r="M171" s="8">
        <f>IFERROR(__xludf.DUMMYFUNCTION("""COMPUTED_VALUE"""),0.340425531914893)</f>
        <v>0.3404255319</v>
      </c>
      <c r="N171" s="8">
        <f>IFERROR(__xludf.DUMMYFUNCTION("""COMPUTED_VALUE"""),0.404255319148936)</f>
        <v>0.4042553191</v>
      </c>
      <c r="O171" s="8">
        <f>IFERROR(__xludf.DUMMYFUNCTION("""COMPUTED_VALUE"""),0.17391304347826)</f>
        <v>0.1739130435</v>
      </c>
      <c r="P171" s="8">
        <f>IFERROR(__xludf.DUMMYFUNCTION("""COMPUTED_VALUE"""),0.111111111111111)</f>
        <v>0.1111111111</v>
      </c>
      <c r="Q171" s="8">
        <f>IFERROR(__xludf.DUMMYFUNCTION("""COMPUTED_VALUE"""),0.0232558139534883)</f>
        <v>0.02325581395</v>
      </c>
      <c r="R171" s="8">
        <f>IFERROR(__xludf.DUMMYFUNCTION("""COMPUTED_VALUE"""),0.0)</f>
        <v>0</v>
      </c>
      <c r="S171" s="8">
        <f>IFERROR(__xludf.DUMMYFUNCTION("""COMPUTED_VALUE"""),0.0)</f>
        <v>0</v>
      </c>
      <c r="T171" s="8">
        <f>IFERROR(__xludf.DUMMYFUNCTION("""COMPUTED_VALUE"""),0.0)</f>
        <v>0</v>
      </c>
      <c r="U171" s="8">
        <f>IFERROR(__xludf.DUMMYFUNCTION("""COMPUTED_VALUE"""),0.0)</f>
        <v>0</v>
      </c>
      <c r="V171" s="8">
        <f>IFERROR(__xludf.DUMMYFUNCTION("""COMPUTED_VALUE"""),0.0)</f>
        <v>0</v>
      </c>
      <c r="W171" s="8">
        <f>IFERROR(__xludf.DUMMYFUNCTION("""COMPUTED_VALUE"""),0.0)</f>
        <v>0</v>
      </c>
      <c r="X171" s="8">
        <f>IFERROR(__xludf.DUMMYFUNCTION("""COMPUTED_VALUE"""),0.0)</f>
        <v>0</v>
      </c>
      <c r="Y171" s="8">
        <f>IFERROR(__xludf.DUMMYFUNCTION("""COMPUTED_VALUE"""),0.0)</f>
        <v>0</v>
      </c>
      <c r="Z171" s="8">
        <f>IFERROR(__xludf.DUMMYFUNCTION("""COMPUTED_VALUE"""),0.0)</f>
        <v>0</v>
      </c>
      <c r="AA171" s="8">
        <f>IFERROR(__xludf.DUMMYFUNCTION("""COMPUTED_VALUE"""),0.0)</f>
        <v>0</v>
      </c>
      <c r="AB171" s="8">
        <f>IFERROR(__xludf.DUMMYFUNCTION("""COMPUTED_VALUE"""),0.0)</f>
        <v>0</v>
      </c>
      <c r="AC171" s="8">
        <f>IFERROR(__xludf.DUMMYFUNCTION("""COMPUTED_VALUE"""),0.0)</f>
        <v>0</v>
      </c>
    </row>
    <row r="172" ht="15.75" customHeight="1">
      <c r="A172" s="6" t="str">
        <f>IFERROR(__xludf.DUMMYFUNCTION("""COMPUTED_VALUE"""),"9eb4932b6e7663416bee5ea2d2dd1b2ced5727be")</f>
        <v>9eb4932b6e7663416bee5ea2d2dd1b2ced5727be</v>
      </c>
      <c r="B172" s="6" t="str">
        <f>IFERROR(__xludf.DUMMYFUNCTION("""COMPUTED_VALUE"""),"Rise of the God Mage")</f>
        <v>Rise of the God Mage</v>
      </c>
      <c r="C172" s="6" t="str">
        <f>IFERROR(__xludf.DUMMYFUNCTION("""COMPUTED_VALUE"""),"Fantasy")</f>
        <v>Fantasy</v>
      </c>
      <c r="D172" s="11">
        <f>IFERROR(__xludf.DUMMYFUNCTION("""COMPUTED_VALUE"""),45.0)</f>
        <v>45</v>
      </c>
      <c r="E172" s="8">
        <f>IFERROR(__xludf.DUMMYFUNCTION("""COMPUTED_VALUE"""),0.977777777777777)</f>
        <v>0.9777777778</v>
      </c>
      <c r="F172" s="8">
        <f>IFERROR(__xludf.DUMMYFUNCTION("""COMPUTED_VALUE"""),0.666666666666666)</f>
        <v>0.6666666667</v>
      </c>
      <c r="G172" s="8">
        <f>IFERROR(__xludf.DUMMYFUNCTION("""COMPUTED_VALUE"""),0.555555555555555)</f>
        <v>0.5555555556</v>
      </c>
      <c r="H172" s="8">
        <f>IFERROR(__xludf.DUMMYFUNCTION("""COMPUTED_VALUE"""),0.511111111111111)</f>
        <v>0.5111111111</v>
      </c>
      <c r="I172" s="8">
        <f>IFERROR(__xludf.DUMMYFUNCTION("""COMPUTED_VALUE"""),0.444444444444444)</f>
        <v>0.4444444444</v>
      </c>
      <c r="J172" s="8">
        <f>IFERROR(__xludf.DUMMYFUNCTION("""COMPUTED_VALUE"""),0.348837209302325)</f>
        <v>0.3488372093</v>
      </c>
      <c r="K172" s="8">
        <f>IFERROR(__xludf.DUMMYFUNCTION("""COMPUTED_VALUE"""),0.342105263157894)</f>
        <v>0.3421052632</v>
      </c>
      <c r="L172" s="8">
        <f>IFERROR(__xludf.DUMMYFUNCTION("""COMPUTED_VALUE"""),0.290322580645161)</f>
        <v>0.2903225806</v>
      </c>
      <c r="M172" s="8">
        <f>IFERROR(__xludf.DUMMYFUNCTION("""COMPUTED_VALUE"""),0.290322580645161)</f>
        <v>0.2903225806</v>
      </c>
      <c r="N172" s="8">
        <f>IFERROR(__xludf.DUMMYFUNCTION("""COMPUTED_VALUE"""),0.333333333333333)</f>
        <v>0.3333333333</v>
      </c>
      <c r="O172" s="8">
        <f>IFERROR(__xludf.DUMMYFUNCTION("""COMPUTED_VALUE"""),0.166666666666666)</f>
        <v>0.1666666667</v>
      </c>
      <c r="P172" s="8">
        <f>IFERROR(__xludf.DUMMYFUNCTION("""COMPUTED_VALUE"""),0.166666666666666)</f>
        <v>0.1666666667</v>
      </c>
      <c r="Q172" s="8">
        <f>IFERROR(__xludf.DUMMYFUNCTION("""COMPUTED_VALUE"""),0.0)</f>
        <v>0</v>
      </c>
      <c r="R172" s="8">
        <f>IFERROR(__xludf.DUMMYFUNCTION("""COMPUTED_VALUE"""),0.0)</f>
        <v>0</v>
      </c>
      <c r="S172" s="8">
        <f>IFERROR(__xludf.DUMMYFUNCTION("""COMPUTED_VALUE"""),0.0)</f>
        <v>0</v>
      </c>
      <c r="T172" s="8">
        <f>IFERROR(__xludf.DUMMYFUNCTION("""COMPUTED_VALUE"""),0.0)</f>
        <v>0</v>
      </c>
      <c r="U172" s="8">
        <f>IFERROR(__xludf.DUMMYFUNCTION("""COMPUTED_VALUE"""),0.0)</f>
        <v>0</v>
      </c>
      <c r="V172" s="8">
        <f>IFERROR(__xludf.DUMMYFUNCTION("""COMPUTED_VALUE"""),0.0)</f>
        <v>0</v>
      </c>
      <c r="W172" s="8">
        <f>IFERROR(__xludf.DUMMYFUNCTION("""COMPUTED_VALUE"""),0.0)</f>
        <v>0</v>
      </c>
      <c r="X172" s="8">
        <f>IFERROR(__xludf.DUMMYFUNCTION("""COMPUTED_VALUE"""),0.0)</f>
        <v>0</v>
      </c>
      <c r="Y172" s="8">
        <f>IFERROR(__xludf.DUMMYFUNCTION("""COMPUTED_VALUE"""),0.0)</f>
        <v>0</v>
      </c>
      <c r="Z172" s="8">
        <f>IFERROR(__xludf.DUMMYFUNCTION("""COMPUTED_VALUE"""),0.0)</f>
        <v>0</v>
      </c>
      <c r="AA172" s="8">
        <f>IFERROR(__xludf.DUMMYFUNCTION("""COMPUTED_VALUE"""),0.0)</f>
        <v>0</v>
      </c>
      <c r="AB172" s="8">
        <f>IFERROR(__xludf.DUMMYFUNCTION("""COMPUTED_VALUE"""),0.0)</f>
        <v>0</v>
      </c>
      <c r="AC172" s="8">
        <f>IFERROR(__xludf.DUMMYFUNCTION("""COMPUTED_VALUE"""),0.0)</f>
        <v>0</v>
      </c>
    </row>
    <row r="173" ht="15.75" customHeight="1">
      <c r="A173" s="6" t="str">
        <f>IFERROR(__xludf.DUMMYFUNCTION("""COMPUTED_VALUE"""),"9f288c1b7bcd6e6181338579ca44a178a5b21573")</f>
        <v>9f288c1b7bcd6e6181338579ca44a178a5b21573</v>
      </c>
      <c r="B173" s="6" t="str">
        <f>IFERROR(__xludf.DUMMYFUNCTION("""COMPUTED_VALUE"""),"Vows of Blood &amp; Diamonds")</f>
        <v>Vows of Blood &amp; Diamonds</v>
      </c>
      <c r="C173" s="6" t="str">
        <f>IFERROR(__xludf.DUMMYFUNCTION("""COMPUTED_VALUE"""),"Romance")</f>
        <v>Romance</v>
      </c>
      <c r="D173" s="11">
        <f>IFERROR(__xludf.DUMMYFUNCTION("""COMPUTED_VALUE"""),71.0)</f>
        <v>71</v>
      </c>
      <c r="E173" s="8">
        <f>IFERROR(__xludf.DUMMYFUNCTION("""COMPUTED_VALUE"""),0.985915492957746)</f>
        <v>0.985915493</v>
      </c>
      <c r="F173" s="8">
        <f>IFERROR(__xludf.DUMMYFUNCTION("""COMPUTED_VALUE"""),0.338028169014084)</f>
        <v>0.338028169</v>
      </c>
      <c r="G173" s="8">
        <f>IFERROR(__xludf.DUMMYFUNCTION("""COMPUTED_VALUE"""),0.295774647887323)</f>
        <v>0.2957746479</v>
      </c>
      <c r="H173" s="8">
        <f>IFERROR(__xludf.DUMMYFUNCTION("""COMPUTED_VALUE"""),0.28125)</f>
        <v>0.28125</v>
      </c>
      <c r="I173" s="8">
        <f>IFERROR(__xludf.DUMMYFUNCTION("""COMPUTED_VALUE"""),0.266666666666666)</f>
        <v>0.2666666667</v>
      </c>
      <c r="J173" s="8">
        <f>IFERROR(__xludf.DUMMYFUNCTION("""COMPUTED_VALUE"""),0.214285714285714)</f>
        <v>0.2142857143</v>
      </c>
      <c r="K173" s="8">
        <f>IFERROR(__xludf.DUMMYFUNCTION("""COMPUTED_VALUE"""),0.211538461538461)</f>
        <v>0.2115384615</v>
      </c>
      <c r="L173" s="8">
        <f>IFERROR(__xludf.DUMMYFUNCTION("""COMPUTED_VALUE"""),0.17391304347826)</f>
        <v>0.1739130435</v>
      </c>
      <c r="M173" s="8">
        <f>IFERROR(__xludf.DUMMYFUNCTION("""COMPUTED_VALUE"""),0.13953488372093)</f>
        <v>0.1395348837</v>
      </c>
      <c r="N173" s="8">
        <f>IFERROR(__xludf.DUMMYFUNCTION("""COMPUTED_VALUE"""),0.088235294117647)</f>
        <v>0.08823529412</v>
      </c>
      <c r="O173" s="8">
        <f>IFERROR(__xludf.DUMMYFUNCTION("""COMPUTED_VALUE"""),0.1)</f>
        <v>0.1</v>
      </c>
      <c r="P173" s="8">
        <f>IFERROR(__xludf.DUMMYFUNCTION("""COMPUTED_VALUE"""),0.1)</f>
        <v>0.1</v>
      </c>
      <c r="Q173" s="8">
        <f>IFERROR(__xludf.DUMMYFUNCTION("""COMPUTED_VALUE"""),0.25)</f>
        <v>0.25</v>
      </c>
      <c r="R173" s="8">
        <f>IFERROR(__xludf.DUMMYFUNCTION("""COMPUTED_VALUE"""),0.166666666666666)</f>
        <v>0.1666666667</v>
      </c>
      <c r="S173" s="8">
        <f>IFERROR(__xludf.DUMMYFUNCTION("""COMPUTED_VALUE"""),0.0)</f>
        <v>0</v>
      </c>
      <c r="T173" s="8">
        <f>IFERROR(__xludf.DUMMYFUNCTION("""COMPUTED_VALUE"""),0.0)</f>
        <v>0</v>
      </c>
      <c r="U173" s="8">
        <f>IFERROR(__xludf.DUMMYFUNCTION("""COMPUTED_VALUE"""),0.0)</f>
        <v>0</v>
      </c>
      <c r="V173" s="8">
        <f>IFERROR(__xludf.DUMMYFUNCTION("""COMPUTED_VALUE"""),0.0)</f>
        <v>0</v>
      </c>
      <c r="W173" s="8">
        <f>IFERROR(__xludf.DUMMYFUNCTION("""COMPUTED_VALUE"""),0.0)</f>
        <v>0</v>
      </c>
      <c r="X173" s="8">
        <f>IFERROR(__xludf.DUMMYFUNCTION("""COMPUTED_VALUE"""),0.0)</f>
        <v>0</v>
      </c>
      <c r="Y173" s="8">
        <f>IFERROR(__xludf.DUMMYFUNCTION("""COMPUTED_VALUE"""),0.0)</f>
        <v>0</v>
      </c>
      <c r="Z173" s="8">
        <f>IFERROR(__xludf.DUMMYFUNCTION("""COMPUTED_VALUE"""),0.0)</f>
        <v>0</v>
      </c>
      <c r="AA173" s="8">
        <f>IFERROR(__xludf.DUMMYFUNCTION("""COMPUTED_VALUE"""),0.0)</f>
        <v>0</v>
      </c>
      <c r="AB173" s="8">
        <f>IFERROR(__xludf.DUMMYFUNCTION("""COMPUTED_VALUE"""),0.0)</f>
        <v>0</v>
      </c>
      <c r="AC173" s="8">
        <f>IFERROR(__xludf.DUMMYFUNCTION("""COMPUTED_VALUE"""),0.0)</f>
        <v>0</v>
      </c>
    </row>
    <row r="174" ht="15.75" customHeight="1">
      <c r="A174" s="6" t="str">
        <f>IFERROR(__xludf.DUMMYFUNCTION("""COMPUTED_VALUE"""),"a028c06a528d6bc1425340cbedd71880abd4ad2b")</f>
        <v>a028c06a528d6bc1425340cbedd71880abd4ad2b</v>
      </c>
      <c r="B174" s="6" t="str">
        <f>IFERROR(__xludf.DUMMYFUNCTION("""COMPUTED_VALUE"""),"Rejected Luna's Secret")</f>
        <v>Rejected Luna's Secret</v>
      </c>
      <c r="C174" s="6" t="str">
        <f>IFERROR(__xludf.DUMMYFUNCTION("""COMPUTED_VALUE"""),"Romantasy")</f>
        <v>Romantasy</v>
      </c>
      <c r="D174" s="11">
        <f>IFERROR(__xludf.DUMMYFUNCTION("""COMPUTED_VALUE"""),46.0)</f>
        <v>46</v>
      </c>
      <c r="E174" s="8">
        <f>IFERROR(__xludf.DUMMYFUNCTION("""COMPUTED_VALUE"""),1.0)</f>
        <v>1</v>
      </c>
      <c r="F174" s="8">
        <f>IFERROR(__xludf.DUMMYFUNCTION("""COMPUTED_VALUE"""),0.630434782608695)</f>
        <v>0.6304347826</v>
      </c>
      <c r="G174" s="8">
        <f>IFERROR(__xludf.DUMMYFUNCTION("""COMPUTED_VALUE"""),0.543478260869565)</f>
        <v>0.5434782609</v>
      </c>
      <c r="H174" s="8">
        <f>IFERROR(__xludf.DUMMYFUNCTION("""COMPUTED_VALUE"""),0.0)</f>
        <v>0</v>
      </c>
      <c r="I174" s="8">
        <f>IFERROR(__xludf.DUMMYFUNCTION("""COMPUTED_VALUE"""),0.0)</f>
        <v>0</v>
      </c>
      <c r="J174" s="8">
        <f>IFERROR(__xludf.DUMMYFUNCTION("""COMPUTED_VALUE"""),0.0)</f>
        <v>0</v>
      </c>
      <c r="K174" s="8">
        <f>IFERROR(__xludf.DUMMYFUNCTION("""COMPUTED_VALUE"""),0.0)</f>
        <v>0</v>
      </c>
      <c r="L174" s="8">
        <f>IFERROR(__xludf.DUMMYFUNCTION("""COMPUTED_VALUE"""),0.0)</f>
        <v>0</v>
      </c>
      <c r="M174" s="8">
        <f>IFERROR(__xludf.DUMMYFUNCTION("""COMPUTED_VALUE"""),0.0)</f>
        <v>0</v>
      </c>
      <c r="N174" s="8">
        <f>IFERROR(__xludf.DUMMYFUNCTION("""COMPUTED_VALUE"""),0.0)</f>
        <v>0</v>
      </c>
      <c r="O174" s="8">
        <f>IFERROR(__xludf.DUMMYFUNCTION("""COMPUTED_VALUE"""),0.0)</f>
        <v>0</v>
      </c>
      <c r="P174" s="8">
        <f>IFERROR(__xludf.DUMMYFUNCTION("""COMPUTED_VALUE"""),0.0)</f>
        <v>0</v>
      </c>
      <c r="Q174" s="8">
        <f>IFERROR(__xludf.DUMMYFUNCTION("""COMPUTED_VALUE"""),0.0)</f>
        <v>0</v>
      </c>
      <c r="R174" s="8">
        <f>IFERROR(__xludf.DUMMYFUNCTION("""COMPUTED_VALUE"""),0.0)</f>
        <v>0</v>
      </c>
      <c r="S174" s="8">
        <f>IFERROR(__xludf.DUMMYFUNCTION("""COMPUTED_VALUE"""),0.0)</f>
        <v>0</v>
      </c>
      <c r="T174" s="8">
        <f>IFERROR(__xludf.DUMMYFUNCTION("""COMPUTED_VALUE"""),0.0)</f>
        <v>0</v>
      </c>
      <c r="U174" s="8">
        <f>IFERROR(__xludf.DUMMYFUNCTION("""COMPUTED_VALUE"""),0.0)</f>
        <v>0</v>
      </c>
      <c r="V174" s="8">
        <f>IFERROR(__xludf.DUMMYFUNCTION("""COMPUTED_VALUE"""),0.0)</f>
        <v>0</v>
      </c>
      <c r="W174" s="8">
        <f>IFERROR(__xludf.DUMMYFUNCTION("""COMPUTED_VALUE"""),0.0)</f>
        <v>0</v>
      </c>
      <c r="X174" s="8">
        <f>IFERROR(__xludf.DUMMYFUNCTION("""COMPUTED_VALUE"""),0.0)</f>
        <v>0</v>
      </c>
      <c r="Y174" s="8">
        <f>IFERROR(__xludf.DUMMYFUNCTION("""COMPUTED_VALUE"""),0.0)</f>
        <v>0</v>
      </c>
      <c r="Z174" s="8">
        <f>IFERROR(__xludf.DUMMYFUNCTION("""COMPUTED_VALUE"""),0.0)</f>
        <v>0</v>
      </c>
      <c r="AA174" s="8">
        <f>IFERROR(__xludf.DUMMYFUNCTION("""COMPUTED_VALUE"""),0.0)</f>
        <v>0</v>
      </c>
      <c r="AB174" s="8">
        <f>IFERROR(__xludf.DUMMYFUNCTION("""COMPUTED_VALUE"""),0.0)</f>
        <v>0</v>
      </c>
      <c r="AC174" s="8">
        <f>IFERROR(__xludf.DUMMYFUNCTION("""COMPUTED_VALUE"""),0.0)</f>
        <v>0</v>
      </c>
    </row>
    <row r="175" ht="15.75" customHeight="1">
      <c r="A175" s="6" t="str">
        <f>IFERROR(__xludf.DUMMYFUNCTION("""COMPUTED_VALUE"""),"a09fd281233c0dee7a45d32647f68bb0142a3b96")</f>
        <v>a09fd281233c0dee7a45d32647f68bb0142a3b96</v>
      </c>
      <c r="B175" s="6" t="str">
        <f>IFERROR(__xludf.DUMMYFUNCTION("""COMPUTED_VALUE"""),"The Comatose Billionaire")</f>
        <v>The Comatose Billionaire</v>
      </c>
      <c r="C175" s="6" t="str">
        <f>IFERROR(__xludf.DUMMYFUNCTION("""COMPUTED_VALUE"""),"Romance")</f>
        <v>Romance</v>
      </c>
      <c r="D175" s="11">
        <f>IFERROR(__xludf.DUMMYFUNCTION("""COMPUTED_VALUE"""),574.0)</f>
        <v>574</v>
      </c>
      <c r="E175" s="8">
        <f>IFERROR(__xludf.DUMMYFUNCTION("""COMPUTED_VALUE"""),0.951219512195121)</f>
        <v>0.9512195122</v>
      </c>
      <c r="F175" s="8">
        <f>IFERROR(__xludf.DUMMYFUNCTION("""COMPUTED_VALUE"""),0.656794425087108)</f>
        <v>0.6567944251</v>
      </c>
      <c r="G175" s="8">
        <f>IFERROR(__xludf.DUMMYFUNCTION("""COMPUTED_VALUE"""),0.611498257839721)</f>
        <v>0.6114982578</v>
      </c>
      <c r="H175" s="8">
        <f>IFERROR(__xludf.DUMMYFUNCTION("""COMPUTED_VALUE"""),0.578671328671328)</f>
        <v>0.5786713287</v>
      </c>
      <c r="I175" s="8">
        <f>IFERROR(__xludf.DUMMYFUNCTION("""COMPUTED_VALUE"""),0.555944055944055)</f>
        <v>0.5559440559</v>
      </c>
      <c r="J175" s="8">
        <f>IFERROR(__xludf.DUMMYFUNCTION("""COMPUTED_VALUE"""),0.548951048951049)</f>
        <v>0.548951049</v>
      </c>
      <c r="K175" s="8">
        <f>IFERROR(__xludf.DUMMYFUNCTION("""COMPUTED_VALUE"""),0.52097902097902)</f>
        <v>0.520979021</v>
      </c>
      <c r="L175" s="8">
        <f>IFERROR(__xludf.DUMMYFUNCTION("""COMPUTED_VALUE"""),0.473776223776223)</f>
        <v>0.4737762238</v>
      </c>
      <c r="M175" s="8">
        <f>IFERROR(__xludf.DUMMYFUNCTION("""COMPUTED_VALUE"""),0.447552447552447)</f>
        <v>0.4475524476</v>
      </c>
      <c r="N175" s="8">
        <f>IFERROR(__xludf.DUMMYFUNCTION("""COMPUTED_VALUE"""),0.386363636363636)</f>
        <v>0.3863636364</v>
      </c>
      <c r="O175" s="8">
        <f>IFERROR(__xludf.DUMMYFUNCTION("""COMPUTED_VALUE"""),0.322183098591549)</f>
        <v>0.3221830986</v>
      </c>
      <c r="P175" s="8">
        <f>IFERROR(__xludf.DUMMYFUNCTION("""COMPUTED_VALUE"""),0.2)</f>
        <v>0.2</v>
      </c>
      <c r="Q175" s="8">
        <f>IFERROR(__xludf.DUMMYFUNCTION("""COMPUTED_VALUE"""),0.0994475138121546)</f>
        <v>0.09944751381</v>
      </c>
      <c r="R175" s="8">
        <f>IFERROR(__xludf.DUMMYFUNCTION("""COMPUTED_VALUE"""),0.0566448801742919)</f>
        <v>0.05664488017</v>
      </c>
      <c r="S175" s="8">
        <f>IFERROR(__xludf.DUMMYFUNCTION("""COMPUTED_VALUE"""),0.0)</f>
        <v>0</v>
      </c>
      <c r="T175" s="8">
        <f>IFERROR(__xludf.DUMMYFUNCTION("""COMPUTED_VALUE"""),0.0)</f>
        <v>0</v>
      </c>
      <c r="U175" s="8">
        <f>IFERROR(__xludf.DUMMYFUNCTION("""COMPUTED_VALUE"""),0.0)</f>
        <v>0</v>
      </c>
      <c r="V175" s="8">
        <f>IFERROR(__xludf.DUMMYFUNCTION("""COMPUTED_VALUE"""),0.0)</f>
        <v>0</v>
      </c>
      <c r="W175" s="8">
        <f>IFERROR(__xludf.DUMMYFUNCTION("""COMPUTED_VALUE"""),0.0)</f>
        <v>0</v>
      </c>
      <c r="X175" s="8">
        <f>IFERROR(__xludf.DUMMYFUNCTION("""COMPUTED_VALUE"""),0.0)</f>
        <v>0</v>
      </c>
      <c r="Y175" s="8">
        <f>IFERROR(__xludf.DUMMYFUNCTION("""COMPUTED_VALUE"""),0.0)</f>
        <v>0</v>
      </c>
      <c r="Z175" s="8">
        <f>IFERROR(__xludf.DUMMYFUNCTION("""COMPUTED_VALUE"""),0.0)</f>
        <v>0</v>
      </c>
      <c r="AA175" s="8">
        <f>IFERROR(__xludf.DUMMYFUNCTION("""COMPUTED_VALUE"""),0.0)</f>
        <v>0</v>
      </c>
      <c r="AB175" s="8">
        <f>IFERROR(__xludf.DUMMYFUNCTION("""COMPUTED_VALUE"""),0.0)</f>
        <v>0</v>
      </c>
      <c r="AC175" s="8">
        <f>IFERROR(__xludf.DUMMYFUNCTION("""COMPUTED_VALUE"""),0.0)</f>
        <v>0</v>
      </c>
    </row>
    <row r="176" ht="15.75" customHeight="1">
      <c r="A176" s="6" t="str">
        <f>IFERROR(__xludf.DUMMYFUNCTION("""COMPUTED_VALUE"""),"a0f8c5bd5bdb02bdaa499febc39e36611127769b")</f>
        <v>a0f8c5bd5bdb02bdaa499febc39e36611127769b</v>
      </c>
      <c r="B176" s="6" t="str">
        <f>IFERROR(__xludf.DUMMYFUNCTION("""COMPUTED_VALUE"""),"The Wedding He Stole")</f>
        <v>The Wedding He Stole</v>
      </c>
      <c r="C176" s="6" t="str">
        <f>IFERROR(__xludf.DUMMYFUNCTION("""COMPUTED_VALUE"""),"Romance")</f>
        <v>Romance</v>
      </c>
      <c r="D176" s="11">
        <f>IFERROR(__xludf.DUMMYFUNCTION("""COMPUTED_VALUE"""),587.0)</f>
        <v>587</v>
      </c>
      <c r="E176" s="8">
        <f>IFERROR(__xludf.DUMMYFUNCTION("""COMPUTED_VALUE"""),0.960817717206132)</f>
        <v>0.9608177172</v>
      </c>
      <c r="F176" s="8">
        <f>IFERROR(__xludf.DUMMYFUNCTION("""COMPUTED_VALUE"""),0.672913117546848)</f>
        <v>0.6729131175</v>
      </c>
      <c r="G176" s="8">
        <f>IFERROR(__xludf.DUMMYFUNCTION("""COMPUTED_VALUE"""),0.649063032367972)</f>
        <v>0.6490630324</v>
      </c>
      <c r="H176" s="8">
        <f>IFERROR(__xludf.DUMMYFUNCTION("""COMPUTED_VALUE"""),0.615384615384615)</f>
        <v>0.6153846154</v>
      </c>
      <c r="I176" s="8">
        <f>IFERROR(__xludf.DUMMYFUNCTION("""COMPUTED_VALUE"""),0.558974358974359)</f>
        <v>0.558974359</v>
      </c>
      <c r="J176" s="8">
        <f>IFERROR(__xludf.DUMMYFUNCTION("""COMPUTED_VALUE"""),0.459829059829059)</f>
        <v>0.4598290598</v>
      </c>
      <c r="K176" s="8">
        <f>IFERROR(__xludf.DUMMYFUNCTION("""COMPUTED_VALUE"""),0.412671232876712)</f>
        <v>0.4126712329</v>
      </c>
      <c r="L176" s="8">
        <f>IFERROR(__xludf.DUMMYFUNCTION("""COMPUTED_VALUE"""),0.399656946826758)</f>
        <v>0.3996569468</v>
      </c>
      <c r="M176" s="8">
        <f>IFERROR(__xludf.DUMMYFUNCTION("""COMPUTED_VALUE"""),0.333333333333333)</f>
        <v>0.3333333333</v>
      </c>
      <c r="N176" s="8">
        <f>IFERROR(__xludf.DUMMYFUNCTION("""COMPUTED_VALUE"""),0.304647160068846)</f>
        <v>0.3046471601</v>
      </c>
      <c r="O176" s="8">
        <f>IFERROR(__xludf.DUMMYFUNCTION("""COMPUTED_VALUE"""),0.218914185639229)</f>
        <v>0.2189141856</v>
      </c>
      <c r="P176" s="8">
        <f>IFERROR(__xludf.DUMMYFUNCTION("""COMPUTED_VALUE"""),0.106430155210643)</f>
        <v>0.1064301552</v>
      </c>
      <c r="Q176" s="8">
        <f>IFERROR(__xludf.DUMMYFUNCTION("""COMPUTED_VALUE"""),0.0)</f>
        <v>0</v>
      </c>
      <c r="R176" s="8">
        <f>IFERROR(__xludf.DUMMYFUNCTION("""COMPUTED_VALUE"""),0.0)</f>
        <v>0</v>
      </c>
      <c r="S176" s="8">
        <f>IFERROR(__xludf.DUMMYFUNCTION("""COMPUTED_VALUE"""),0.0)</f>
        <v>0</v>
      </c>
      <c r="T176" s="8">
        <f>IFERROR(__xludf.DUMMYFUNCTION("""COMPUTED_VALUE"""),0.0)</f>
        <v>0</v>
      </c>
      <c r="U176" s="8">
        <f>IFERROR(__xludf.DUMMYFUNCTION("""COMPUTED_VALUE"""),0.0)</f>
        <v>0</v>
      </c>
      <c r="V176" s="8">
        <f>IFERROR(__xludf.DUMMYFUNCTION("""COMPUTED_VALUE"""),0.0)</f>
        <v>0</v>
      </c>
      <c r="W176" s="8">
        <f>IFERROR(__xludf.DUMMYFUNCTION("""COMPUTED_VALUE"""),0.0)</f>
        <v>0</v>
      </c>
      <c r="X176" s="8">
        <f>IFERROR(__xludf.DUMMYFUNCTION("""COMPUTED_VALUE"""),0.0)</f>
        <v>0</v>
      </c>
      <c r="Y176" s="8">
        <f>IFERROR(__xludf.DUMMYFUNCTION("""COMPUTED_VALUE"""),0.0)</f>
        <v>0</v>
      </c>
      <c r="Z176" s="8">
        <f>IFERROR(__xludf.DUMMYFUNCTION("""COMPUTED_VALUE"""),0.0)</f>
        <v>0</v>
      </c>
      <c r="AA176" s="8">
        <f>IFERROR(__xludf.DUMMYFUNCTION("""COMPUTED_VALUE"""),0.0)</f>
        <v>0</v>
      </c>
      <c r="AB176" s="8">
        <f>IFERROR(__xludf.DUMMYFUNCTION("""COMPUTED_VALUE"""),0.0)</f>
        <v>0</v>
      </c>
      <c r="AC176" s="8">
        <f>IFERROR(__xludf.DUMMYFUNCTION("""COMPUTED_VALUE"""),0.0)</f>
        <v>0</v>
      </c>
    </row>
    <row r="177" ht="15.75" customHeight="1">
      <c r="A177" s="6" t="str">
        <f>IFERROR(__xludf.DUMMYFUNCTION("""COMPUTED_VALUE"""),"a20d15b2c087672afecf4c46baa7e9368a4cbb9f")</f>
        <v>a20d15b2c087672afecf4c46baa7e9368a4cbb9f</v>
      </c>
      <c r="B177" s="6" t="str">
        <f>IFERROR(__xludf.DUMMYFUNCTION("""COMPUTED_VALUE"""),"Secrets and Bloodline")</f>
        <v>Secrets and Bloodline</v>
      </c>
      <c r="C177" s="6" t="str">
        <f>IFERROR(__xludf.DUMMYFUNCTION("""COMPUTED_VALUE"""),"Romance")</f>
        <v>Romance</v>
      </c>
      <c r="D177" s="11">
        <f>IFERROR(__xludf.DUMMYFUNCTION("""COMPUTED_VALUE"""),106.0)</f>
        <v>106</v>
      </c>
      <c r="E177" s="8">
        <f>IFERROR(__xludf.DUMMYFUNCTION("""COMPUTED_VALUE"""),0.952830188679245)</f>
        <v>0.9528301887</v>
      </c>
      <c r="F177" s="8">
        <f>IFERROR(__xludf.DUMMYFUNCTION("""COMPUTED_VALUE"""),0.537735849056603)</f>
        <v>0.5377358491</v>
      </c>
      <c r="G177" s="8">
        <f>IFERROR(__xludf.DUMMYFUNCTION("""COMPUTED_VALUE"""),0.5)</f>
        <v>0.5</v>
      </c>
      <c r="H177" s="8">
        <f>IFERROR(__xludf.DUMMYFUNCTION("""COMPUTED_VALUE"""),0.44)</f>
        <v>0.44</v>
      </c>
      <c r="I177" s="8">
        <f>IFERROR(__xludf.DUMMYFUNCTION("""COMPUTED_VALUE"""),0.448979591836734)</f>
        <v>0.4489795918</v>
      </c>
      <c r="J177" s="8">
        <f>IFERROR(__xludf.DUMMYFUNCTION("""COMPUTED_VALUE"""),0.355555555555555)</f>
        <v>0.3555555556</v>
      </c>
      <c r="K177" s="8">
        <f>IFERROR(__xludf.DUMMYFUNCTION("""COMPUTED_VALUE"""),0.360465116279069)</f>
        <v>0.3604651163</v>
      </c>
      <c r="L177" s="8">
        <f>IFERROR(__xludf.DUMMYFUNCTION("""COMPUTED_VALUE"""),0.341772151898734)</f>
        <v>0.3417721519</v>
      </c>
      <c r="M177" s="8">
        <f>IFERROR(__xludf.DUMMYFUNCTION("""COMPUTED_VALUE"""),0.368421052631578)</f>
        <v>0.3684210526</v>
      </c>
      <c r="N177" s="8">
        <f>IFERROR(__xludf.DUMMYFUNCTION("""COMPUTED_VALUE"""),0.342465753424657)</f>
        <v>0.3424657534</v>
      </c>
      <c r="O177" s="8">
        <f>IFERROR(__xludf.DUMMYFUNCTION("""COMPUTED_VALUE"""),0.384615384615384)</f>
        <v>0.3846153846</v>
      </c>
      <c r="P177" s="8">
        <f>IFERROR(__xludf.DUMMYFUNCTION("""COMPUTED_VALUE"""),0.294117647058823)</f>
        <v>0.2941176471</v>
      </c>
      <c r="Q177" s="8">
        <f>IFERROR(__xludf.DUMMYFUNCTION("""COMPUTED_VALUE"""),0.12)</f>
        <v>0.12</v>
      </c>
      <c r="R177" s="8">
        <f>IFERROR(__xludf.DUMMYFUNCTION("""COMPUTED_VALUE"""),0.0)</f>
        <v>0</v>
      </c>
      <c r="S177" s="8">
        <f>IFERROR(__xludf.DUMMYFUNCTION("""COMPUTED_VALUE"""),0.0)</f>
        <v>0</v>
      </c>
      <c r="T177" s="8">
        <f>IFERROR(__xludf.DUMMYFUNCTION("""COMPUTED_VALUE"""),0.0)</f>
        <v>0</v>
      </c>
      <c r="U177" s="8">
        <f>IFERROR(__xludf.DUMMYFUNCTION("""COMPUTED_VALUE"""),0.0)</f>
        <v>0</v>
      </c>
      <c r="V177" s="8">
        <f>IFERROR(__xludf.DUMMYFUNCTION("""COMPUTED_VALUE"""),0.0)</f>
        <v>0</v>
      </c>
      <c r="W177" s="8">
        <f>IFERROR(__xludf.DUMMYFUNCTION("""COMPUTED_VALUE"""),0.0)</f>
        <v>0</v>
      </c>
      <c r="X177" s="8">
        <f>IFERROR(__xludf.DUMMYFUNCTION("""COMPUTED_VALUE"""),0.0)</f>
        <v>0</v>
      </c>
      <c r="Y177" s="8">
        <f>IFERROR(__xludf.DUMMYFUNCTION("""COMPUTED_VALUE"""),0.0)</f>
        <v>0</v>
      </c>
      <c r="Z177" s="8">
        <f>IFERROR(__xludf.DUMMYFUNCTION("""COMPUTED_VALUE"""),0.0)</f>
        <v>0</v>
      </c>
      <c r="AA177" s="8">
        <f>IFERROR(__xludf.DUMMYFUNCTION("""COMPUTED_VALUE"""),0.0)</f>
        <v>0</v>
      </c>
      <c r="AB177" s="8">
        <f>IFERROR(__xludf.DUMMYFUNCTION("""COMPUTED_VALUE"""),0.0)</f>
        <v>0</v>
      </c>
      <c r="AC177" s="8">
        <f>IFERROR(__xludf.DUMMYFUNCTION("""COMPUTED_VALUE"""),0.0)</f>
        <v>0</v>
      </c>
    </row>
    <row r="178" ht="15.75" customHeight="1">
      <c r="A178" s="6" t="str">
        <f>IFERROR(__xludf.DUMMYFUNCTION("""COMPUTED_VALUE"""),"a3d40a3745a853e245e802a317e3934318836a28")</f>
        <v>a3d40a3745a853e245e802a317e3934318836a28</v>
      </c>
      <c r="B178" s="6" t="str">
        <f>IFERROR(__xludf.DUMMYFUNCTION("""COMPUTED_VALUE"""),"The Amazing Idiot Man")</f>
        <v>The Amazing Idiot Man</v>
      </c>
      <c r="C178" s="6" t="str">
        <f>IFERROR(__xludf.DUMMYFUNCTION("""COMPUTED_VALUE"""),"Drama")</f>
        <v>Drama</v>
      </c>
      <c r="D178" s="11">
        <f>IFERROR(__xludf.DUMMYFUNCTION("""COMPUTED_VALUE"""),136.0)</f>
        <v>136</v>
      </c>
      <c r="E178" s="8">
        <f>IFERROR(__xludf.DUMMYFUNCTION("""COMPUTED_VALUE"""),0.963235294117647)</f>
        <v>0.9632352941</v>
      </c>
      <c r="F178" s="8">
        <f>IFERROR(__xludf.DUMMYFUNCTION("""COMPUTED_VALUE"""),0.477941176470588)</f>
        <v>0.4779411765</v>
      </c>
      <c r="G178" s="8">
        <f>IFERROR(__xludf.DUMMYFUNCTION("""COMPUTED_VALUE"""),0.433823529411764)</f>
        <v>0.4338235294</v>
      </c>
      <c r="H178" s="8">
        <f>IFERROR(__xludf.DUMMYFUNCTION("""COMPUTED_VALUE"""),0.375)</f>
        <v>0.375</v>
      </c>
      <c r="I178" s="8">
        <f>IFERROR(__xludf.DUMMYFUNCTION("""COMPUTED_VALUE"""),0.352941176470588)</f>
        <v>0.3529411765</v>
      </c>
      <c r="J178" s="8">
        <f>IFERROR(__xludf.DUMMYFUNCTION("""COMPUTED_VALUE"""),0.325925925925925)</f>
        <v>0.3259259259</v>
      </c>
      <c r="K178" s="8">
        <f>IFERROR(__xludf.DUMMYFUNCTION("""COMPUTED_VALUE"""),0.318518518518518)</f>
        <v>0.3185185185</v>
      </c>
      <c r="L178" s="8">
        <f>IFERROR(__xludf.DUMMYFUNCTION("""COMPUTED_VALUE"""),0.303703703703703)</f>
        <v>0.3037037037</v>
      </c>
      <c r="M178" s="8">
        <f>IFERROR(__xludf.DUMMYFUNCTION("""COMPUTED_VALUE"""),0.281481481481481)</f>
        <v>0.2814814815</v>
      </c>
      <c r="N178" s="8">
        <f>IFERROR(__xludf.DUMMYFUNCTION("""COMPUTED_VALUE"""),0.261194029850746)</f>
        <v>0.2611940299</v>
      </c>
      <c r="O178" s="8">
        <f>IFERROR(__xludf.DUMMYFUNCTION("""COMPUTED_VALUE"""),0.186567164179104)</f>
        <v>0.1865671642</v>
      </c>
      <c r="P178" s="8">
        <f>IFERROR(__xludf.DUMMYFUNCTION("""COMPUTED_VALUE"""),0.119402985074626)</f>
        <v>0.1194029851</v>
      </c>
      <c r="Q178" s="8">
        <f>IFERROR(__xludf.DUMMYFUNCTION("""COMPUTED_VALUE"""),0.0)</f>
        <v>0</v>
      </c>
      <c r="R178" s="8">
        <f>IFERROR(__xludf.DUMMYFUNCTION("""COMPUTED_VALUE"""),0.0)</f>
        <v>0</v>
      </c>
      <c r="S178" s="8">
        <f>IFERROR(__xludf.DUMMYFUNCTION("""COMPUTED_VALUE"""),0.0)</f>
        <v>0</v>
      </c>
      <c r="T178" s="8">
        <f>IFERROR(__xludf.DUMMYFUNCTION("""COMPUTED_VALUE"""),0.0)</f>
        <v>0</v>
      </c>
      <c r="U178" s="8">
        <f>IFERROR(__xludf.DUMMYFUNCTION("""COMPUTED_VALUE"""),0.0)</f>
        <v>0</v>
      </c>
      <c r="V178" s="8">
        <f>IFERROR(__xludf.DUMMYFUNCTION("""COMPUTED_VALUE"""),0.0)</f>
        <v>0</v>
      </c>
      <c r="W178" s="8">
        <f>IFERROR(__xludf.DUMMYFUNCTION("""COMPUTED_VALUE"""),0.0)</f>
        <v>0</v>
      </c>
      <c r="X178" s="8">
        <f>IFERROR(__xludf.DUMMYFUNCTION("""COMPUTED_VALUE"""),0.0)</f>
        <v>0</v>
      </c>
      <c r="Y178" s="8">
        <f>IFERROR(__xludf.DUMMYFUNCTION("""COMPUTED_VALUE"""),0.0)</f>
        <v>0</v>
      </c>
      <c r="Z178" s="8">
        <f>IFERROR(__xludf.DUMMYFUNCTION("""COMPUTED_VALUE"""),0.0)</f>
        <v>0</v>
      </c>
      <c r="AA178" s="8">
        <f>IFERROR(__xludf.DUMMYFUNCTION("""COMPUTED_VALUE"""),0.0)</f>
        <v>0</v>
      </c>
      <c r="AB178" s="8">
        <f>IFERROR(__xludf.DUMMYFUNCTION("""COMPUTED_VALUE"""),0.0)</f>
        <v>0</v>
      </c>
      <c r="AC178" s="8">
        <f>IFERROR(__xludf.DUMMYFUNCTION("""COMPUTED_VALUE"""),0.0)</f>
        <v>0</v>
      </c>
    </row>
    <row r="179" ht="15.75" customHeight="1">
      <c r="A179" s="6" t="str">
        <f>IFERROR(__xludf.DUMMYFUNCTION("""COMPUTED_VALUE"""),"a48f5e77f994307c8a39968302f28c62b0c654af")</f>
        <v>a48f5e77f994307c8a39968302f28c62b0c654af</v>
      </c>
      <c r="B179" s="6" t="str">
        <f>IFERROR(__xludf.DUMMYFUNCTION("""COMPUTED_VALUE"""),"Battle Master")</f>
        <v>Battle Master</v>
      </c>
      <c r="C179" s="6" t="str">
        <f>IFERROR(__xludf.DUMMYFUNCTION("""COMPUTED_VALUE"""),"Fantasy")</f>
        <v>Fantasy</v>
      </c>
      <c r="D179" s="11">
        <f>IFERROR(__xludf.DUMMYFUNCTION("""COMPUTED_VALUE"""),24.0)</f>
        <v>24</v>
      </c>
      <c r="E179" s="8">
        <f>IFERROR(__xludf.DUMMYFUNCTION("""COMPUTED_VALUE"""),1.0)</f>
        <v>1</v>
      </c>
      <c r="F179" s="8">
        <f>IFERROR(__xludf.DUMMYFUNCTION("""COMPUTED_VALUE"""),0.458333333333333)</f>
        <v>0.4583333333</v>
      </c>
      <c r="G179" s="8">
        <f>IFERROR(__xludf.DUMMYFUNCTION("""COMPUTED_VALUE"""),0.416666666666666)</f>
        <v>0.4166666667</v>
      </c>
      <c r="H179" s="8">
        <f>IFERROR(__xludf.DUMMYFUNCTION("""COMPUTED_VALUE"""),0.333333333333333)</f>
        <v>0.3333333333</v>
      </c>
      <c r="I179" s="8">
        <f>IFERROR(__xludf.DUMMYFUNCTION("""COMPUTED_VALUE"""),0.285714285714285)</f>
        <v>0.2857142857</v>
      </c>
      <c r="J179" s="8">
        <f>IFERROR(__xludf.DUMMYFUNCTION("""COMPUTED_VALUE"""),0.0)</f>
        <v>0</v>
      </c>
      <c r="K179" s="8">
        <f>IFERROR(__xludf.DUMMYFUNCTION("""COMPUTED_VALUE"""),0.0)</f>
        <v>0</v>
      </c>
      <c r="L179" s="8">
        <f>IFERROR(__xludf.DUMMYFUNCTION("""COMPUTED_VALUE"""),0.0)</f>
        <v>0</v>
      </c>
      <c r="M179" s="8">
        <f>IFERROR(__xludf.DUMMYFUNCTION("""COMPUTED_VALUE"""),0.0)</f>
        <v>0</v>
      </c>
      <c r="N179" s="8">
        <f>IFERROR(__xludf.DUMMYFUNCTION("""COMPUTED_VALUE"""),0.0)</f>
        <v>0</v>
      </c>
      <c r="O179" s="8">
        <f>IFERROR(__xludf.DUMMYFUNCTION("""COMPUTED_VALUE"""),0.0)</f>
        <v>0</v>
      </c>
      <c r="P179" s="8">
        <f>IFERROR(__xludf.DUMMYFUNCTION("""COMPUTED_VALUE"""),0.0)</f>
        <v>0</v>
      </c>
      <c r="Q179" s="8">
        <f>IFERROR(__xludf.DUMMYFUNCTION("""COMPUTED_VALUE"""),0.0)</f>
        <v>0</v>
      </c>
      <c r="R179" s="8">
        <f>IFERROR(__xludf.DUMMYFUNCTION("""COMPUTED_VALUE"""),0.0)</f>
        <v>0</v>
      </c>
      <c r="S179" s="8">
        <f>IFERROR(__xludf.DUMMYFUNCTION("""COMPUTED_VALUE"""),0.0)</f>
        <v>0</v>
      </c>
      <c r="T179" s="8">
        <f>IFERROR(__xludf.DUMMYFUNCTION("""COMPUTED_VALUE"""),0.0)</f>
        <v>0</v>
      </c>
      <c r="U179" s="8">
        <f>IFERROR(__xludf.DUMMYFUNCTION("""COMPUTED_VALUE"""),0.0)</f>
        <v>0</v>
      </c>
      <c r="V179" s="8">
        <f>IFERROR(__xludf.DUMMYFUNCTION("""COMPUTED_VALUE"""),0.0)</f>
        <v>0</v>
      </c>
      <c r="W179" s="8">
        <f>IFERROR(__xludf.DUMMYFUNCTION("""COMPUTED_VALUE"""),0.0)</f>
        <v>0</v>
      </c>
      <c r="X179" s="8">
        <f>IFERROR(__xludf.DUMMYFUNCTION("""COMPUTED_VALUE"""),0.0)</f>
        <v>0</v>
      </c>
      <c r="Y179" s="8">
        <f>IFERROR(__xludf.DUMMYFUNCTION("""COMPUTED_VALUE"""),0.0)</f>
        <v>0</v>
      </c>
      <c r="Z179" s="8">
        <f>IFERROR(__xludf.DUMMYFUNCTION("""COMPUTED_VALUE"""),0.0)</f>
        <v>0</v>
      </c>
      <c r="AA179" s="8">
        <f>IFERROR(__xludf.DUMMYFUNCTION("""COMPUTED_VALUE"""),0.0)</f>
        <v>0</v>
      </c>
      <c r="AB179" s="8">
        <f>IFERROR(__xludf.DUMMYFUNCTION("""COMPUTED_VALUE"""),0.0)</f>
        <v>0</v>
      </c>
      <c r="AC179" s="8">
        <f>IFERROR(__xludf.DUMMYFUNCTION("""COMPUTED_VALUE"""),0.0)</f>
        <v>0</v>
      </c>
    </row>
    <row r="180" ht="15.75" customHeight="1">
      <c r="A180" s="6" t="str">
        <f>IFERROR(__xludf.DUMMYFUNCTION("""COMPUTED_VALUE"""),"a4dd4053a025d38e2c0410dbcf348862c41c4c5b")</f>
        <v>a4dd4053a025d38e2c0410dbcf348862c41c4c5b</v>
      </c>
      <c r="B180" s="6" t="str">
        <f>IFERROR(__xludf.DUMMYFUNCTION("""COMPUTED_VALUE"""),"Twin Betrayal, Enemy Love")</f>
        <v>Twin Betrayal, Enemy Love</v>
      </c>
      <c r="C180" s="6" t="str">
        <f>IFERROR(__xludf.DUMMYFUNCTION("""COMPUTED_VALUE"""),"Romance")</f>
        <v>Romance</v>
      </c>
      <c r="D180" s="11">
        <f>IFERROR(__xludf.DUMMYFUNCTION("""COMPUTED_VALUE"""),583.0)</f>
        <v>583</v>
      </c>
      <c r="E180" s="8">
        <f>IFERROR(__xludf.DUMMYFUNCTION("""COMPUTED_VALUE"""),0.950257289879931)</f>
        <v>0.9502572899</v>
      </c>
      <c r="F180" s="8">
        <f>IFERROR(__xludf.DUMMYFUNCTION("""COMPUTED_VALUE"""),0.583190394511149)</f>
        <v>0.5831903945</v>
      </c>
      <c r="G180" s="8">
        <f>IFERROR(__xludf.DUMMYFUNCTION("""COMPUTED_VALUE"""),0.506003430531732)</f>
        <v>0.5060034305</v>
      </c>
      <c r="H180" s="8">
        <f>IFERROR(__xludf.DUMMYFUNCTION("""COMPUTED_VALUE"""),0.485420240137221)</f>
        <v>0.4854202401</v>
      </c>
      <c r="I180" s="8">
        <f>IFERROR(__xludf.DUMMYFUNCTION("""COMPUTED_VALUE"""),0.486254295532646)</f>
        <v>0.4862542955</v>
      </c>
      <c r="J180" s="8">
        <f>IFERROR(__xludf.DUMMYFUNCTION("""COMPUTED_VALUE"""),0.42955326460481)</f>
        <v>0.4295532646</v>
      </c>
      <c r="K180" s="8">
        <f>IFERROR(__xludf.DUMMYFUNCTION("""COMPUTED_VALUE"""),0.402061855670103)</f>
        <v>0.4020618557</v>
      </c>
      <c r="L180" s="8">
        <f>IFERROR(__xludf.DUMMYFUNCTION("""COMPUTED_VALUE"""),0.387263339070568)</f>
        <v>0.3872633391</v>
      </c>
      <c r="M180" s="8">
        <f>IFERROR(__xludf.DUMMYFUNCTION("""COMPUTED_VALUE"""),0.363166953528399)</f>
        <v>0.3631669535</v>
      </c>
      <c r="N180" s="8">
        <f>IFERROR(__xludf.DUMMYFUNCTION("""COMPUTED_VALUE"""),0.335628227194492)</f>
        <v>0.3356282272</v>
      </c>
      <c r="O180" s="8">
        <f>IFERROR(__xludf.DUMMYFUNCTION("""COMPUTED_VALUE"""),0.299483648881239)</f>
        <v>0.2994836489</v>
      </c>
      <c r="P180" s="8">
        <f>IFERROR(__xludf.DUMMYFUNCTION("""COMPUTED_VALUE"""),0.224525043177892)</f>
        <v>0.2245250432</v>
      </c>
      <c r="Q180" s="8">
        <f>IFERROR(__xludf.DUMMYFUNCTION("""COMPUTED_VALUE"""),0.170175438596491)</f>
        <v>0.1701754386</v>
      </c>
      <c r="R180" s="8">
        <f>IFERROR(__xludf.DUMMYFUNCTION("""COMPUTED_VALUE"""),0.1)</f>
        <v>0.1</v>
      </c>
      <c r="S180" s="8">
        <f>IFERROR(__xludf.DUMMYFUNCTION("""COMPUTED_VALUE"""),0.0662251655629139)</f>
        <v>0.06622516556</v>
      </c>
      <c r="T180" s="8">
        <f>IFERROR(__xludf.DUMMYFUNCTION("""COMPUTED_VALUE"""),0.0)</f>
        <v>0</v>
      </c>
      <c r="U180" s="8">
        <f>IFERROR(__xludf.DUMMYFUNCTION("""COMPUTED_VALUE"""),0.0)</f>
        <v>0</v>
      </c>
      <c r="V180" s="8">
        <f>IFERROR(__xludf.DUMMYFUNCTION("""COMPUTED_VALUE"""),0.0)</f>
        <v>0</v>
      </c>
      <c r="W180" s="8">
        <f>IFERROR(__xludf.DUMMYFUNCTION("""COMPUTED_VALUE"""),0.0)</f>
        <v>0</v>
      </c>
      <c r="X180" s="8">
        <f>IFERROR(__xludf.DUMMYFUNCTION("""COMPUTED_VALUE"""),0.0)</f>
        <v>0</v>
      </c>
      <c r="Y180" s="8">
        <f>IFERROR(__xludf.DUMMYFUNCTION("""COMPUTED_VALUE"""),0.0)</f>
        <v>0</v>
      </c>
      <c r="Z180" s="8">
        <f>IFERROR(__xludf.DUMMYFUNCTION("""COMPUTED_VALUE"""),0.0)</f>
        <v>0</v>
      </c>
      <c r="AA180" s="8">
        <f>IFERROR(__xludf.DUMMYFUNCTION("""COMPUTED_VALUE"""),0.0)</f>
        <v>0</v>
      </c>
      <c r="AB180" s="8">
        <f>IFERROR(__xludf.DUMMYFUNCTION("""COMPUTED_VALUE"""),0.0)</f>
        <v>0</v>
      </c>
      <c r="AC180" s="8">
        <f>IFERROR(__xludf.DUMMYFUNCTION("""COMPUTED_VALUE"""),0.0)</f>
        <v>0</v>
      </c>
    </row>
    <row r="181" ht="15.75" customHeight="1">
      <c r="A181" s="6" t="str">
        <f>IFERROR(__xludf.DUMMYFUNCTION("""COMPUTED_VALUE"""),"a58a0944241952550b248f5ed8bc3d2647482fe5")</f>
        <v>a58a0944241952550b248f5ed8bc3d2647482fe5</v>
      </c>
      <c r="B181" s="6" t="str">
        <f>IFERROR(__xludf.DUMMYFUNCTION("""COMPUTED_VALUE"""),"Miraculous Eyes")</f>
        <v>Miraculous Eyes</v>
      </c>
      <c r="C181" s="6" t="str">
        <f>IFERROR(__xludf.DUMMYFUNCTION("""COMPUTED_VALUE"""),"Drama")</f>
        <v>Drama</v>
      </c>
      <c r="D181" s="11">
        <f>IFERROR(__xludf.DUMMYFUNCTION("""COMPUTED_VALUE"""),111.0)</f>
        <v>111</v>
      </c>
      <c r="E181" s="8">
        <f>IFERROR(__xludf.DUMMYFUNCTION("""COMPUTED_VALUE"""),0.981981981981981)</f>
        <v>0.981981982</v>
      </c>
      <c r="F181" s="8">
        <f>IFERROR(__xludf.DUMMYFUNCTION("""COMPUTED_VALUE"""),0.657657657657657)</f>
        <v>0.6576576577</v>
      </c>
      <c r="G181" s="8">
        <f>IFERROR(__xludf.DUMMYFUNCTION("""COMPUTED_VALUE"""),0.567567567567567)</f>
        <v>0.5675675676</v>
      </c>
      <c r="H181" s="8">
        <f>IFERROR(__xludf.DUMMYFUNCTION("""COMPUTED_VALUE"""),0.531531531531531)</f>
        <v>0.5315315315</v>
      </c>
      <c r="I181" s="8">
        <f>IFERROR(__xludf.DUMMYFUNCTION("""COMPUTED_VALUE"""),0.459459459459459)</f>
        <v>0.4594594595</v>
      </c>
      <c r="J181" s="8">
        <f>IFERROR(__xludf.DUMMYFUNCTION("""COMPUTED_VALUE"""),0.396396396396396)</f>
        <v>0.3963963964</v>
      </c>
      <c r="K181" s="8">
        <f>IFERROR(__xludf.DUMMYFUNCTION("""COMPUTED_VALUE"""),0.369369369369369)</f>
        <v>0.3693693694</v>
      </c>
      <c r="L181" s="8">
        <f>IFERROR(__xludf.DUMMYFUNCTION("""COMPUTED_VALUE"""),0.333333333333333)</f>
        <v>0.3333333333</v>
      </c>
      <c r="M181" s="8">
        <f>IFERROR(__xludf.DUMMYFUNCTION("""COMPUTED_VALUE"""),0.306306306306306)</f>
        <v>0.3063063063</v>
      </c>
      <c r="N181" s="8">
        <f>IFERROR(__xludf.DUMMYFUNCTION("""COMPUTED_VALUE"""),0.3)</f>
        <v>0.3</v>
      </c>
      <c r="O181" s="8">
        <f>IFERROR(__xludf.DUMMYFUNCTION("""COMPUTED_VALUE"""),0.163636363636363)</f>
        <v>0.1636363636</v>
      </c>
      <c r="P181" s="8">
        <f>IFERROR(__xludf.DUMMYFUNCTION("""COMPUTED_VALUE"""),0.073394495412844)</f>
        <v>0.07339449541</v>
      </c>
      <c r="Q181" s="8">
        <f>IFERROR(__xludf.DUMMYFUNCTION("""COMPUTED_VALUE"""),0.0526315789473684)</f>
        <v>0.05263157895</v>
      </c>
      <c r="R181" s="8">
        <f>IFERROR(__xludf.DUMMYFUNCTION("""COMPUTED_VALUE"""),0.0)</f>
        <v>0</v>
      </c>
      <c r="S181" s="8">
        <f>IFERROR(__xludf.DUMMYFUNCTION("""COMPUTED_VALUE"""),0.0)</f>
        <v>0</v>
      </c>
      <c r="T181" s="8">
        <f>IFERROR(__xludf.DUMMYFUNCTION("""COMPUTED_VALUE"""),0.0)</f>
        <v>0</v>
      </c>
      <c r="U181" s="8">
        <f>IFERROR(__xludf.DUMMYFUNCTION("""COMPUTED_VALUE"""),0.0)</f>
        <v>0</v>
      </c>
      <c r="V181" s="8">
        <f>IFERROR(__xludf.DUMMYFUNCTION("""COMPUTED_VALUE"""),0.0)</f>
        <v>0</v>
      </c>
      <c r="W181" s="8">
        <f>IFERROR(__xludf.DUMMYFUNCTION("""COMPUTED_VALUE"""),0.0)</f>
        <v>0</v>
      </c>
      <c r="X181" s="8">
        <f>IFERROR(__xludf.DUMMYFUNCTION("""COMPUTED_VALUE"""),0.0)</f>
        <v>0</v>
      </c>
      <c r="Y181" s="8">
        <f>IFERROR(__xludf.DUMMYFUNCTION("""COMPUTED_VALUE"""),0.0)</f>
        <v>0</v>
      </c>
      <c r="Z181" s="8">
        <f>IFERROR(__xludf.DUMMYFUNCTION("""COMPUTED_VALUE"""),0.0)</f>
        <v>0</v>
      </c>
      <c r="AA181" s="8">
        <f>IFERROR(__xludf.DUMMYFUNCTION("""COMPUTED_VALUE"""),0.0)</f>
        <v>0</v>
      </c>
      <c r="AB181" s="8">
        <f>IFERROR(__xludf.DUMMYFUNCTION("""COMPUTED_VALUE"""),0.0)</f>
        <v>0</v>
      </c>
      <c r="AC181" s="8">
        <f>IFERROR(__xludf.DUMMYFUNCTION("""COMPUTED_VALUE"""),0.0)</f>
        <v>0</v>
      </c>
    </row>
    <row r="182" ht="15.75" customHeight="1">
      <c r="A182" s="6" t="str">
        <f>IFERROR(__xludf.DUMMYFUNCTION("""COMPUTED_VALUE"""),"a6268ee1800866a09bab6b47c61f885556992b45")</f>
        <v>a6268ee1800866a09bab6b47c61f885556992b45</v>
      </c>
      <c r="B182" s="6" t="str">
        <f>IFERROR(__xludf.DUMMYFUNCTION("""COMPUTED_VALUE"""),"The System Creation: Intergalactic Entry")</f>
        <v>The System Creation: Intergalactic Entry</v>
      </c>
      <c r="C182" s="6" t="str">
        <f>IFERROR(__xludf.DUMMYFUNCTION("""COMPUTED_VALUE"""),"System and Superpower")</f>
        <v>System and Superpower</v>
      </c>
      <c r="D182" s="11">
        <f>IFERROR(__xludf.DUMMYFUNCTION("""COMPUTED_VALUE"""),1237.0)</f>
        <v>1237</v>
      </c>
      <c r="E182" s="8">
        <f>IFERROR(__xludf.DUMMYFUNCTION("""COMPUTED_VALUE"""),0.944219886822958)</f>
        <v>0.9442198868</v>
      </c>
      <c r="F182" s="8">
        <f>IFERROR(__xludf.DUMMYFUNCTION("""COMPUTED_VALUE"""),0.426839126919967)</f>
        <v>0.4268391269</v>
      </c>
      <c r="G182" s="8">
        <f>IFERROR(__xludf.DUMMYFUNCTION("""COMPUTED_VALUE"""),0.356507679870654)</f>
        <v>0.3565076799</v>
      </c>
      <c r="H182" s="8">
        <f>IFERROR(__xludf.DUMMYFUNCTION("""COMPUTED_VALUE"""),0.313915857605178)</f>
        <v>0.3139158576</v>
      </c>
      <c r="I182" s="8">
        <f>IFERROR(__xludf.DUMMYFUNCTION("""COMPUTED_VALUE"""),0.290453074433657)</f>
        <v>0.2904530744</v>
      </c>
      <c r="J182" s="8">
        <f>IFERROR(__xludf.DUMMYFUNCTION("""COMPUTED_VALUE"""),0.273684210526315)</f>
        <v>0.2736842105</v>
      </c>
      <c r="K182" s="8">
        <f>IFERROR(__xludf.DUMMYFUNCTION("""COMPUTED_VALUE"""),0.255267423014586)</f>
        <v>0.255267423</v>
      </c>
      <c r="L182" s="8">
        <f>IFERROR(__xludf.DUMMYFUNCTION("""COMPUTED_VALUE"""),0.232142857142857)</f>
        <v>0.2321428571</v>
      </c>
      <c r="M182" s="8">
        <f>IFERROR(__xludf.DUMMYFUNCTION("""COMPUTED_VALUE"""),0.224837662337662)</f>
        <v>0.2248376623</v>
      </c>
      <c r="N182" s="8">
        <f>IFERROR(__xludf.DUMMYFUNCTION("""COMPUTED_VALUE"""),0.211038961038961)</f>
        <v>0.211038961</v>
      </c>
      <c r="O182" s="8">
        <f>IFERROR(__xludf.DUMMYFUNCTION("""COMPUTED_VALUE"""),0.191836734693877)</f>
        <v>0.1918367347</v>
      </c>
      <c r="P182" s="8">
        <f>IFERROR(__xludf.DUMMYFUNCTION("""COMPUTED_VALUE"""),0.152334152334152)</f>
        <v>0.1523341523</v>
      </c>
      <c r="Q182" s="8">
        <f>IFERROR(__xludf.DUMMYFUNCTION("""COMPUTED_VALUE"""),0.122633744855967)</f>
        <v>0.1226337449</v>
      </c>
      <c r="R182" s="8">
        <f>IFERROR(__xludf.DUMMYFUNCTION("""COMPUTED_VALUE"""),0.100993377483443)</f>
        <v>0.1009933775</v>
      </c>
      <c r="S182" s="8">
        <f>IFERROR(__xludf.DUMMYFUNCTION("""COMPUTED_VALUE"""),0.0894780447390223)</f>
        <v>0.08947804474</v>
      </c>
      <c r="T182" s="8">
        <f>IFERROR(__xludf.DUMMYFUNCTION("""COMPUTED_VALUE"""),0.0762852404643449)</f>
        <v>0.07628524046</v>
      </c>
      <c r="U182" s="8">
        <f>IFERROR(__xludf.DUMMYFUNCTION("""COMPUTED_VALUE"""),0.0733333333333333)</f>
        <v>0.07333333333</v>
      </c>
      <c r="V182" s="8">
        <f>IFERROR(__xludf.DUMMYFUNCTION("""COMPUTED_VALUE"""),0.0653813914501257)</f>
        <v>0.06538139145</v>
      </c>
      <c r="W182" s="8">
        <f>IFERROR(__xludf.DUMMYFUNCTION("""COMPUTED_VALUE"""),0.0615514333895446)</f>
        <v>0.06155143339</v>
      </c>
      <c r="X182" s="8">
        <f>IFERROR(__xludf.DUMMYFUNCTION("""COMPUTED_VALUE"""),0.0601694915254237)</f>
        <v>0.06016949153</v>
      </c>
      <c r="Y182" s="8">
        <f>IFERROR(__xludf.DUMMYFUNCTION("""COMPUTED_VALUE"""),0.0472659870250231)</f>
        <v>0.04726598703</v>
      </c>
      <c r="Z182" s="8">
        <f>IFERROR(__xludf.DUMMYFUNCTION("""COMPUTED_VALUE"""),0.0466269841269841)</f>
        <v>0.04662698413</v>
      </c>
      <c r="AA182" s="8">
        <f>IFERROR(__xludf.DUMMYFUNCTION("""COMPUTED_VALUE"""),0.0372398685651697)</f>
        <v>0.03723986857</v>
      </c>
      <c r="AB182" s="8">
        <f>IFERROR(__xludf.DUMMYFUNCTION("""COMPUTED_VALUE"""),0.0304568527918781)</f>
        <v>0.03045685279</v>
      </c>
      <c r="AC182" s="8">
        <f>IFERROR(__xludf.DUMMYFUNCTION("""COMPUTED_VALUE"""),0.0230547550432276)</f>
        <v>0.02305475504</v>
      </c>
    </row>
    <row r="183" ht="15.75" customHeight="1">
      <c r="A183" s="6" t="str">
        <f>IFERROR(__xludf.DUMMYFUNCTION("""COMPUTED_VALUE"""),"a6f94887cb30090252bc97e34a7a53c7a6555b8d")</f>
        <v>a6f94887cb30090252bc97e34a7a53c7a6555b8d</v>
      </c>
      <c r="B183" s="6" t="str">
        <f>IFERROR(__xludf.DUMMYFUNCTION("""COMPUTED_VALUE"""),"A Surrogate Bride for a Paralyzed Ceo")</f>
        <v>A Surrogate Bride for a Paralyzed Ceo</v>
      </c>
      <c r="C183" s="6" t="str">
        <f>IFERROR(__xludf.DUMMYFUNCTION("""COMPUTED_VALUE"""),"Drama")</f>
        <v>Drama</v>
      </c>
      <c r="D183" s="11">
        <f>IFERROR(__xludf.DUMMYFUNCTION("""COMPUTED_VALUE"""),4715.0)</f>
        <v>4715</v>
      </c>
      <c r="E183" s="8">
        <f>IFERROR(__xludf.DUMMYFUNCTION("""COMPUTED_VALUE"""),0.899257688229056)</f>
        <v>0.8992576882</v>
      </c>
      <c r="F183" s="8">
        <f>IFERROR(__xludf.DUMMYFUNCTION("""COMPUTED_VALUE"""),0.597667020148462)</f>
        <v>0.5976670201</v>
      </c>
      <c r="G183" s="8">
        <f>IFERROR(__xludf.DUMMYFUNCTION("""COMPUTED_VALUE"""),0.541251325556733)</f>
        <v>0.5412513256</v>
      </c>
      <c r="H183" s="8">
        <f>IFERROR(__xludf.DUMMYFUNCTION("""COMPUTED_VALUE"""),0.500636672325976)</f>
        <v>0.5006366723</v>
      </c>
      <c r="I183" s="8">
        <f>IFERROR(__xludf.DUMMYFUNCTION("""COMPUTED_VALUE"""),0.480263157894736)</f>
        <v>0.4802631579</v>
      </c>
      <c r="J183" s="8">
        <f>IFERROR(__xludf.DUMMYFUNCTION("""COMPUTED_VALUE"""),0.464217455935442)</f>
        <v>0.4642174559</v>
      </c>
      <c r="K183" s="8">
        <f>IFERROR(__xludf.DUMMYFUNCTION("""COMPUTED_VALUE"""),0.448927585474623)</f>
        <v>0.4489275855</v>
      </c>
      <c r="L183" s="8">
        <f>IFERROR(__xludf.DUMMYFUNCTION("""COMPUTED_VALUE"""),0.430635224134268)</f>
        <v>0.4306352241</v>
      </c>
      <c r="M183" s="8">
        <f>IFERROR(__xludf.DUMMYFUNCTION("""COMPUTED_VALUE"""),0.41755206119847)</f>
        <v>0.4175520612</v>
      </c>
      <c r="N183" s="8">
        <f>IFERROR(__xludf.DUMMYFUNCTION("""COMPUTED_VALUE"""),0.402848639455782)</f>
        <v>0.4028486395</v>
      </c>
      <c r="O183" s="8">
        <f>IFERROR(__xludf.DUMMYFUNCTION("""COMPUTED_VALUE"""),0.370954003407155)</f>
        <v>0.3709540034</v>
      </c>
      <c r="P183" s="8">
        <f>IFERROR(__xludf.DUMMYFUNCTION("""COMPUTED_VALUE"""),0.33411513859275)</f>
        <v>0.3341151386</v>
      </c>
      <c r="Q183" s="8">
        <f>IFERROR(__xludf.DUMMYFUNCTION("""COMPUTED_VALUE"""),0.292031617175817)</f>
        <v>0.2920316172</v>
      </c>
      <c r="R183" s="8">
        <f>IFERROR(__xludf.DUMMYFUNCTION("""COMPUTED_VALUE"""),0.252462526766595)</f>
        <v>0.2524625268</v>
      </c>
      <c r="S183" s="8">
        <f>IFERROR(__xludf.DUMMYFUNCTION("""COMPUTED_VALUE"""),0.221983683984542)</f>
        <v>0.221983684</v>
      </c>
      <c r="T183" s="8">
        <f>IFERROR(__xludf.DUMMYFUNCTION("""COMPUTED_VALUE"""),0.184165232358003)</f>
        <v>0.1841652324</v>
      </c>
      <c r="U183" s="8">
        <f>IFERROR(__xludf.DUMMYFUNCTION("""COMPUTED_VALUE"""),0.164188752424046)</f>
        <v>0.1641887524</v>
      </c>
      <c r="V183" s="8">
        <f>IFERROR(__xludf.DUMMYFUNCTION("""COMPUTED_VALUE"""),0.14479537366548)</f>
        <v>0.1447953737</v>
      </c>
      <c r="W183" s="8">
        <f>IFERROR(__xludf.DUMMYFUNCTION("""COMPUTED_VALUE"""),0.134963076139546)</f>
        <v>0.1349630761</v>
      </c>
      <c r="X183" s="8">
        <f>IFERROR(__xludf.DUMMYFUNCTION("""COMPUTED_VALUE"""),0.126619870410367)</f>
        <v>0.1266198704</v>
      </c>
      <c r="Y183" s="8">
        <f>IFERROR(__xludf.DUMMYFUNCTION("""COMPUTED_VALUE"""),0.0849529780564263)</f>
        <v>0.08495297806</v>
      </c>
      <c r="Z183" s="8">
        <f>IFERROR(__xludf.DUMMYFUNCTION("""COMPUTED_VALUE"""),0.0631540959942259)</f>
        <v>0.06315409599</v>
      </c>
      <c r="AA183" s="8">
        <f>IFERROR(__xludf.DUMMYFUNCTION("""COMPUTED_VALUE"""),0.0447347585114806)</f>
        <v>0.04473475851</v>
      </c>
      <c r="AB183" s="8">
        <f>IFERROR(__xludf.DUMMYFUNCTION("""COMPUTED_VALUE"""),0.0354951796669588)</f>
        <v>0.03549517967</v>
      </c>
      <c r="AC183" s="8">
        <f>IFERROR(__xludf.DUMMYFUNCTION("""COMPUTED_VALUE"""),0.0210643015521064)</f>
        <v>0.02106430155</v>
      </c>
    </row>
    <row r="184" ht="15.75" customHeight="1">
      <c r="A184" s="6" t="str">
        <f>IFERROR(__xludf.DUMMYFUNCTION("""COMPUTED_VALUE"""),"a830c3a71510f0594792edb43a5e99b9da02d7e7")</f>
        <v>a830c3a71510f0594792edb43a5e99b9da02d7e7</v>
      </c>
      <c r="B184" s="6" t="str">
        <f>IFERROR(__xludf.DUMMYFUNCTION("""COMPUTED_VALUE"""),"Married to a Dying Prince")</f>
        <v>Married to a Dying Prince</v>
      </c>
      <c r="C184" s="6" t="str">
        <f>IFERROR(__xludf.DUMMYFUNCTION("""COMPUTED_VALUE"""),"Romantasy")</f>
        <v>Romantasy</v>
      </c>
      <c r="D184" s="11">
        <f>IFERROR(__xludf.DUMMYFUNCTION("""COMPUTED_VALUE"""),503.0)</f>
        <v>503</v>
      </c>
      <c r="E184" s="8">
        <f>IFERROR(__xludf.DUMMYFUNCTION("""COMPUTED_VALUE"""),0.968190854870775)</f>
        <v>0.9681908549</v>
      </c>
      <c r="F184" s="8">
        <f>IFERROR(__xludf.DUMMYFUNCTION("""COMPUTED_VALUE"""),0.546719681908548)</f>
        <v>0.5467196819</v>
      </c>
      <c r="G184" s="8">
        <f>IFERROR(__xludf.DUMMYFUNCTION("""COMPUTED_VALUE"""),0.499005964214711)</f>
        <v>0.4990059642</v>
      </c>
      <c r="H184" s="8">
        <f>IFERROR(__xludf.DUMMYFUNCTION("""COMPUTED_VALUE"""),0.429423459244532)</f>
        <v>0.4294234592</v>
      </c>
      <c r="I184" s="8">
        <f>IFERROR(__xludf.DUMMYFUNCTION("""COMPUTED_VALUE"""),0.437125748502994)</f>
        <v>0.4371257485</v>
      </c>
      <c r="J184" s="8">
        <f>IFERROR(__xludf.DUMMYFUNCTION("""COMPUTED_VALUE"""),0.418)</f>
        <v>0.418</v>
      </c>
      <c r="K184" s="8">
        <f>IFERROR(__xludf.DUMMYFUNCTION("""COMPUTED_VALUE"""),0.404)</f>
        <v>0.404</v>
      </c>
      <c r="L184" s="8">
        <f>IFERROR(__xludf.DUMMYFUNCTION("""COMPUTED_VALUE"""),0.397590361445783)</f>
        <v>0.3975903614</v>
      </c>
      <c r="M184" s="8">
        <f>IFERROR(__xludf.DUMMYFUNCTION("""COMPUTED_VALUE"""),0.390342052313883)</f>
        <v>0.3903420523</v>
      </c>
      <c r="N184" s="8">
        <f>IFERROR(__xludf.DUMMYFUNCTION("""COMPUTED_VALUE"""),0.381048387096774)</f>
        <v>0.3810483871</v>
      </c>
      <c r="O184" s="8">
        <f>IFERROR(__xludf.DUMMYFUNCTION("""COMPUTED_VALUE"""),0.346938775510204)</f>
        <v>0.3469387755</v>
      </c>
      <c r="P184" s="8">
        <f>IFERROR(__xludf.DUMMYFUNCTION("""COMPUTED_VALUE"""),0.285714285714285)</f>
        <v>0.2857142857</v>
      </c>
      <c r="Q184" s="8">
        <f>IFERROR(__xludf.DUMMYFUNCTION("""COMPUTED_VALUE"""),0.231601731601731)</f>
        <v>0.2316017316</v>
      </c>
      <c r="R184" s="8">
        <f>IFERROR(__xludf.DUMMYFUNCTION("""COMPUTED_VALUE"""),0.0)</f>
        <v>0</v>
      </c>
      <c r="S184" s="8">
        <f>IFERROR(__xludf.DUMMYFUNCTION("""COMPUTED_VALUE"""),0.0)</f>
        <v>0</v>
      </c>
      <c r="T184" s="8">
        <f>IFERROR(__xludf.DUMMYFUNCTION("""COMPUTED_VALUE"""),0.0)</f>
        <v>0</v>
      </c>
      <c r="U184" s="8">
        <f>IFERROR(__xludf.DUMMYFUNCTION("""COMPUTED_VALUE"""),0.0)</f>
        <v>0</v>
      </c>
      <c r="V184" s="8">
        <f>IFERROR(__xludf.DUMMYFUNCTION("""COMPUTED_VALUE"""),0.0)</f>
        <v>0</v>
      </c>
      <c r="W184" s="8">
        <f>IFERROR(__xludf.DUMMYFUNCTION("""COMPUTED_VALUE"""),0.0)</f>
        <v>0</v>
      </c>
      <c r="X184" s="8">
        <f>IFERROR(__xludf.DUMMYFUNCTION("""COMPUTED_VALUE"""),0.0)</f>
        <v>0</v>
      </c>
      <c r="Y184" s="8">
        <f>IFERROR(__xludf.DUMMYFUNCTION("""COMPUTED_VALUE"""),0.0)</f>
        <v>0</v>
      </c>
      <c r="Z184" s="8">
        <f>IFERROR(__xludf.DUMMYFUNCTION("""COMPUTED_VALUE"""),0.0)</f>
        <v>0</v>
      </c>
      <c r="AA184" s="8">
        <f>IFERROR(__xludf.DUMMYFUNCTION("""COMPUTED_VALUE"""),0.0)</f>
        <v>0</v>
      </c>
      <c r="AB184" s="8">
        <f>IFERROR(__xludf.DUMMYFUNCTION("""COMPUTED_VALUE"""),0.0)</f>
        <v>0</v>
      </c>
      <c r="AC184" s="8">
        <f>IFERROR(__xludf.DUMMYFUNCTION("""COMPUTED_VALUE"""),0.0)</f>
        <v>0</v>
      </c>
    </row>
    <row r="185" ht="15.75" customHeight="1">
      <c r="A185" s="6" t="str">
        <f>IFERROR(__xludf.DUMMYFUNCTION("""COMPUTED_VALUE"""),"a877c7bd8a3facfb24f79b876674d1437dd52fb5")</f>
        <v>a877c7bd8a3facfb24f79b876674d1437dd52fb5</v>
      </c>
      <c r="B185" s="6" t="str">
        <f>IFERROR(__xludf.DUMMYFUNCTION("""COMPUTED_VALUE"""),"Dragon System Awakening")</f>
        <v>Dragon System Awakening</v>
      </c>
      <c r="C185" s="6" t="str">
        <f>IFERROR(__xludf.DUMMYFUNCTION("""COMPUTED_VALUE"""),"System and Superpower")</f>
        <v>System and Superpower</v>
      </c>
      <c r="D185" s="11">
        <f>IFERROR(__xludf.DUMMYFUNCTION("""COMPUTED_VALUE"""),2036.0)</f>
        <v>2036</v>
      </c>
      <c r="E185" s="8">
        <f>IFERROR(__xludf.DUMMYFUNCTION("""COMPUTED_VALUE"""),0.954813359528487)</f>
        <v>0.9548133595</v>
      </c>
      <c r="F185" s="8">
        <f>IFERROR(__xludf.DUMMYFUNCTION("""COMPUTED_VALUE"""),0.659626719056974)</f>
        <v>0.6596267191</v>
      </c>
      <c r="G185" s="8">
        <f>IFERROR(__xludf.DUMMYFUNCTION("""COMPUTED_VALUE"""),0.593320235756385)</f>
        <v>0.5933202358</v>
      </c>
      <c r="H185" s="8">
        <f>IFERROR(__xludf.DUMMYFUNCTION("""COMPUTED_VALUE"""),0.557030481809242)</f>
        <v>0.5570304818</v>
      </c>
      <c r="I185" s="8">
        <f>IFERROR(__xludf.DUMMYFUNCTION("""COMPUTED_VALUE"""),0.521418020679468)</f>
        <v>0.5214180207</v>
      </c>
      <c r="J185" s="8">
        <f>IFERROR(__xludf.DUMMYFUNCTION("""COMPUTED_VALUE"""),0.498029556650246)</f>
        <v>0.4980295567</v>
      </c>
      <c r="K185" s="8">
        <f>IFERROR(__xludf.DUMMYFUNCTION("""COMPUTED_VALUE"""),0.475814412635735)</f>
        <v>0.4758144126</v>
      </c>
      <c r="L185" s="8">
        <f>IFERROR(__xludf.DUMMYFUNCTION("""COMPUTED_VALUE"""),0.465150766188828)</f>
        <v>0.4651507662</v>
      </c>
      <c r="M185" s="8">
        <f>IFERROR(__xludf.DUMMYFUNCTION("""COMPUTED_VALUE"""),0.447576656775469)</f>
        <v>0.4475766568</v>
      </c>
      <c r="N185" s="8">
        <f>IFERROR(__xludf.DUMMYFUNCTION("""COMPUTED_VALUE"""),0.437345220406141)</f>
        <v>0.4373452204</v>
      </c>
      <c r="O185" s="8">
        <f>IFERROR(__xludf.DUMMYFUNCTION("""COMPUTED_VALUE"""),0.382968127490039)</f>
        <v>0.3829681275</v>
      </c>
      <c r="P185" s="8">
        <f>IFERROR(__xludf.DUMMYFUNCTION("""COMPUTED_VALUE"""),0.314814814814814)</f>
        <v>0.3148148148</v>
      </c>
      <c r="Q185" s="8">
        <f>IFERROR(__xludf.DUMMYFUNCTION("""COMPUTED_VALUE"""),0.228600717580727)</f>
        <v>0.2286007176</v>
      </c>
      <c r="R185" s="8">
        <f>IFERROR(__xludf.DUMMYFUNCTION("""COMPUTED_VALUE"""),0.200934579439252)</f>
        <v>0.2009345794</v>
      </c>
      <c r="S185" s="8">
        <f>IFERROR(__xludf.DUMMYFUNCTION("""COMPUTED_VALUE"""),0.174205378973105)</f>
        <v>0.174205379</v>
      </c>
      <c r="T185" s="8">
        <f>IFERROR(__xludf.DUMMYFUNCTION("""COMPUTED_VALUE"""),0.157090909090909)</f>
        <v>0.1570909091</v>
      </c>
      <c r="U185" s="8">
        <f>IFERROR(__xludf.DUMMYFUNCTION("""COMPUTED_VALUE"""),0.133606557377049)</f>
        <v>0.1336065574</v>
      </c>
      <c r="V185" s="8">
        <f>IFERROR(__xludf.DUMMYFUNCTION("""COMPUTED_VALUE"""),0.118207816968541)</f>
        <v>0.118207817</v>
      </c>
      <c r="W185" s="8">
        <f>IFERROR(__xludf.DUMMYFUNCTION("""COMPUTED_VALUE"""),0.100849256900212)</f>
        <v>0.1008492569</v>
      </c>
      <c r="X185" s="8">
        <f>IFERROR(__xludf.DUMMYFUNCTION("""COMPUTED_VALUE"""),0.0880195599022004)</f>
        <v>0.0880195599</v>
      </c>
      <c r="Y185" s="8">
        <f>IFERROR(__xludf.DUMMYFUNCTION("""COMPUTED_VALUE"""),0.0480225988700565)</f>
        <v>0.04802259887</v>
      </c>
      <c r="Z185" s="8">
        <f>IFERROR(__xludf.DUMMYFUNCTION("""COMPUTED_VALUE"""),0.0)</f>
        <v>0</v>
      </c>
      <c r="AA185" s="8">
        <f>IFERROR(__xludf.DUMMYFUNCTION("""COMPUTED_VALUE"""),0.0)</f>
        <v>0</v>
      </c>
      <c r="AB185" s="8">
        <f>IFERROR(__xludf.DUMMYFUNCTION("""COMPUTED_VALUE"""),0.0)</f>
        <v>0</v>
      </c>
      <c r="AC185" s="8">
        <f>IFERROR(__xludf.DUMMYFUNCTION("""COMPUTED_VALUE"""),0.0)</f>
        <v>0</v>
      </c>
    </row>
    <row r="186" ht="15.75" customHeight="1">
      <c r="A186" s="6" t="str">
        <f>IFERROR(__xludf.DUMMYFUNCTION("""COMPUTED_VALUE"""),"a901618b218023453e7ca53e9fa1d9940b094e69")</f>
        <v>a901618b218023453e7ca53e9fa1d9940b094e69</v>
      </c>
      <c r="B186" s="6" t="str">
        <f>IFERROR(__xludf.DUMMYFUNCTION("""COMPUTED_VALUE"""),"The Devil's New Assistant")</f>
        <v>The Devil's New Assistant</v>
      </c>
      <c r="C186" s="6" t="str">
        <f>IFERROR(__xludf.DUMMYFUNCTION("""COMPUTED_VALUE"""),"Romance")</f>
        <v>Romance</v>
      </c>
      <c r="D186" s="11">
        <f>IFERROR(__xludf.DUMMYFUNCTION("""COMPUTED_VALUE"""),56.0)</f>
        <v>56</v>
      </c>
      <c r="E186" s="8">
        <f>IFERROR(__xludf.DUMMYFUNCTION("""COMPUTED_VALUE"""),0.946428571428571)</f>
        <v>0.9464285714</v>
      </c>
      <c r="F186" s="8">
        <f>IFERROR(__xludf.DUMMYFUNCTION("""COMPUTED_VALUE"""),0.49090909090909)</f>
        <v>0.4909090909</v>
      </c>
      <c r="G186" s="8">
        <f>IFERROR(__xludf.DUMMYFUNCTION("""COMPUTED_VALUE"""),0.454545454545454)</f>
        <v>0.4545454545</v>
      </c>
      <c r="H186" s="8">
        <f>IFERROR(__xludf.DUMMYFUNCTION("""COMPUTED_VALUE"""),0.269230769230769)</f>
        <v>0.2692307692</v>
      </c>
      <c r="I186" s="8">
        <f>IFERROR(__xludf.DUMMYFUNCTION("""COMPUTED_VALUE"""),0.291666666666666)</f>
        <v>0.2916666667</v>
      </c>
      <c r="J186" s="8">
        <f>IFERROR(__xludf.DUMMYFUNCTION("""COMPUTED_VALUE"""),0.3125)</f>
        <v>0.3125</v>
      </c>
      <c r="K186" s="8">
        <f>IFERROR(__xludf.DUMMYFUNCTION("""COMPUTED_VALUE"""),0.357142857142857)</f>
        <v>0.3571428571</v>
      </c>
      <c r="L186" s="8">
        <f>IFERROR(__xludf.DUMMYFUNCTION("""COMPUTED_VALUE"""),0.428571428571428)</f>
        <v>0.4285714286</v>
      </c>
      <c r="M186" s="8">
        <f>IFERROR(__xludf.DUMMYFUNCTION("""COMPUTED_VALUE"""),0.428571428571428)</f>
        <v>0.4285714286</v>
      </c>
      <c r="N186" s="8">
        <f>IFERROR(__xludf.DUMMYFUNCTION("""COMPUTED_VALUE"""),0.428571428571428)</f>
        <v>0.4285714286</v>
      </c>
      <c r="O186" s="8">
        <f>IFERROR(__xludf.DUMMYFUNCTION("""COMPUTED_VALUE"""),0.428571428571428)</f>
        <v>0.4285714286</v>
      </c>
      <c r="P186" s="8">
        <f>IFERROR(__xludf.DUMMYFUNCTION("""COMPUTED_VALUE"""),0.454545454545454)</f>
        <v>0.4545454545</v>
      </c>
      <c r="Q186" s="8">
        <f>IFERROR(__xludf.DUMMYFUNCTION("""COMPUTED_VALUE"""),0.0)</f>
        <v>0</v>
      </c>
      <c r="R186" s="8">
        <f>IFERROR(__xludf.DUMMYFUNCTION("""COMPUTED_VALUE"""),0.0)</f>
        <v>0</v>
      </c>
      <c r="S186" s="8">
        <f>IFERROR(__xludf.DUMMYFUNCTION("""COMPUTED_VALUE"""),0.0)</f>
        <v>0</v>
      </c>
      <c r="T186" s="8">
        <f>IFERROR(__xludf.DUMMYFUNCTION("""COMPUTED_VALUE"""),0.0)</f>
        <v>0</v>
      </c>
      <c r="U186" s="8">
        <f>IFERROR(__xludf.DUMMYFUNCTION("""COMPUTED_VALUE"""),0.0)</f>
        <v>0</v>
      </c>
      <c r="V186" s="8">
        <f>IFERROR(__xludf.DUMMYFUNCTION("""COMPUTED_VALUE"""),0.0)</f>
        <v>0</v>
      </c>
      <c r="W186" s="8">
        <f>IFERROR(__xludf.DUMMYFUNCTION("""COMPUTED_VALUE"""),0.0)</f>
        <v>0</v>
      </c>
      <c r="X186" s="8">
        <f>IFERROR(__xludf.DUMMYFUNCTION("""COMPUTED_VALUE"""),0.0)</f>
        <v>0</v>
      </c>
      <c r="Y186" s="8">
        <f>IFERROR(__xludf.DUMMYFUNCTION("""COMPUTED_VALUE"""),0.0)</f>
        <v>0</v>
      </c>
      <c r="Z186" s="8">
        <f>IFERROR(__xludf.DUMMYFUNCTION("""COMPUTED_VALUE"""),0.0)</f>
        <v>0</v>
      </c>
      <c r="AA186" s="8">
        <f>IFERROR(__xludf.DUMMYFUNCTION("""COMPUTED_VALUE"""),0.0)</f>
        <v>0</v>
      </c>
      <c r="AB186" s="8">
        <f>IFERROR(__xludf.DUMMYFUNCTION("""COMPUTED_VALUE"""),0.0)</f>
        <v>0</v>
      </c>
      <c r="AC186" s="8">
        <f>IFERROR(__xludf.DUMMYFUNCTION("""COMPUTED_VALUE"""),0.0)</f>
        <v>0</v>
      </c>
    </row>
    <row r="187" ht="15.75" customHeight="1">
      <c r="A187" s="6" t="str">
        <f>IFERROR(__xludf.DUMMYFUNCTION("""COMPUTED_VALUE"""),"a92aaf29dca1833b578f42a2abbcdab8db2ff12e")</f>
        <v>a92aaf29dca1833b578f42a2abbcdab8db2ff12e</v>
      </c>
      <c r="B187" s="6" t="str">
        <f>IFERROR(__xludf.DUMMYFUNCTION("""COMPUTED_VALUE"""),"Bought for the Ice Ceo")</f>
        <v>Bought for the Ice Ceo</v>
      </c>
      <c r="C187" s="6" t="str">
        <f>IFERROR(__xludf.DUMMYFUNCTION("""COMPUTED_VALUE"""),"Romance")</f>
        <v>Romance</v>
      </c>
      <c r="D187" s="11">
        <f>IFERROR(__xludf.DUMMYFUNCTION("""COMPUTED_VALUE"""),640.0)</f>
        <v>640</v>
      </c>
      <c r="E187" s="8">
        <f>IFERROR(__xludf.DUMMYFUNCTION("""COMPUTED_VALUE"""),0.971875)</f>
        <v>0.971875</v>
      </c>
      <c r="F187" s="8">
        <f>IFERROR(__xludf.DUMMYFUNCTION("""COMPUTED_VALUE"""),0.696875)</f>
        <v>0.696875</v>
      </c>
      <c r="G187" s="8">
        <f>IFERROR(__xludf.DUMMYFUNCTION("""COMPUTED_VALUE"""),0.63125)</f>
        <v>0.63125</v>
      </c>
      <c r="H187" s="8">
        <f>IFERROR(__xludf.DUMMYFUNCTION("""COMPUTED_VALUE"""),0.583724569640062)</f>
        <v>0.5837245696</v>
      </c>
      <c r="I187" s="8">
        <f>IFERROR(__xludf.DUMMYFUNCTION("""COMPUTED_VALUE"""),0.546165884194053)</f>
        <v>0.5461658842</v>
      </c>
      <c r="J187" s="8">
        <f>IFERROR(__xludf.DUMMYFUNCTION("""COMPUTED_VALUE"""),0.518808777429467)</f>
        <v>0.5188087774</v>
      </c>
      <c r="K187" s="8">
        <f>IFERROR(__xludf.DUMMYFUNCTION("""COMPUTED_VALUE"""),0.5)</f>
        <v>0.5</v>
      </c>
      <c r="L187" s="8">
        <f>IFERROR(__xludf.DUMMYFUNCTION("""COMPUTED_VALUE"""),0.474921630094043)</f>
        <v>0.4749216301</v>
      </c>
      <c r="M187" s="8">
        <f>IFERROR(__xludf.DUMMYFUNCTION("""COMPUTED_VALUE"""),0.467084639498432)</f>
        <v>0.4670846395</v>
      </c>
      <c r="N187" s="8">
        <f>IFERROR(__xludf.DUMMYFUNCTION("""COMPUTED_VALUE"""),0.435736677115987)</f>
        <v>0.4357366771</v>
      </c>
      <c r="O187" s="8">
        <f>IFERROR(__xludf.DUMMYFUNCTION("""COMPUTED_VALUE"""),0.379527559055118)</f>
        <v>0.3795275591</v>
      </c>
      <c r="P187" s="8">
        <f>IFERROR(__xludf.DUMMYFUNCTION("""COMPUTED_VALUE"""),0.229299363057324)</f>
        <v>0.2292993631</v>
      </c>
      <c r="Q187" s="8">
        <f>IFERROR(__xludf.DUMMYFUNCTION("""COMPUTED_VALUE"""),0.0892561983471074)</f>
        <v>0.08925619835</v>
      </c>
      <c r="R187" s="8">
        <f>IFERROR(__xludf.DUMMYFUNCTION("""COMPUTED_VALUE"""),0.0)</f>
        <v>0</v>
      </c>
      <c r="S187" s="8">
        <f>IFERROR(__xludf.DUMMYFUNCTION("""COMPUTED_VALUE"""),0.0)</f>
        <v>0</v>
      </c>
      <c r="T187" s="8">
        <f>IFERROR(__xludf.DUMMYFUNCTION("""COMPUTED_VALUE"""),0.0)</f>
        <v>0</v>
      </c>
      <c r="U187" s="8">
        <f>IFERROR(__xludf.DUMMYFUNCTION("""COMPUTED_VALUE"""),0.0)</f>
        <v>0</v>
      </c>
      <c r="V187" s="8">
        <f>IFERROR(__xludf.DUMMYFUNCTION("""COMPUTED_VALUE"""),0.0)</f>
        <v>0</v>
      </c>
      <c r="W187" s="8">
        <f>IFERROR(__xludf.DUMMYFUNCTION("""COMPUTED_VALUE"""),0.0)</f>
        <v>0</v>
      </c>
      <c r="X187" s="8">
        <f>IFERROR(__xludf.DUMMYFUNCTION("""COMPUTED_VALUE"""),0.0)</f>
        <v>0</v>
      </c>
      <c r="Y187" s="8">
        <f>IFERROR(__xludf.DUMMYFUNCTION("""COMPUTED_VALUE"""),0.0)</f>
        <v>0</v>
      </c>
      <c r="Z187" s="8">
        <f>IFERROR(__xludf.DUMMYFUNCTION("""COMPUTED_VALUE"""),0.0)</f>
        <v>0</v>
      </c>
      <c r="AA187" s="8">
        <f>IFERROR(__xludf.DUMMYFUNCTION("""COMPUTED_VALUE"""),0.0)</f>
        <v>0</v>
      </c>
      <c r="AB187" s="8">
        <f>IFERROR(__xludf.DUMMYFUNCTION("""COMPUTED_VALUE"""),0.0)</f>
        <v>0</v>
      </c>
      <c r="AC187" s="8">
        <f>IFERROR(__xludf.DUMMYFUNCTION("""COMPUTED_VALUE"""),0.0)</f>
        <v>0</v>
      </c>
    </row>
    <row r="188" ht="15.75" customHeight="1">
      <c r="A188" s="6" t="str">
        <f>IFERROR(__xludf.DUMMYFUNCTION("""COMPUTED_VALUE"""),"a978831eb87b7d63024465fa4df9a779feeaaf5a")</f>
        <v>a978831eb87b7d63024465fa4df9a779feeaaf5a</v>
      </c>
      <c r="B188" s="6" t="str">
        <f>IFERROR(__xludf.DUMMYFUNCTION("""COMPUTED_VALUE"""),"Extreme Medical Sage")</f>
        <v>Extreme Medical Sage</v>
      </c>
      <c r="C188" s="6" t="str">
        <f>IFERROR(__xludf.DUMMYFUNCTION("""COMPUTED_VALUE"""),"Fantasy")</f>
        <v>Fantasy</v>
      </c>
      <c r="D188" s="11">
        <f>IFERROR(__xludf.DUMMYFUNCTION("""COMPUTED_VALUE"""),123.0)</f>
        <v>123</v>
      </c>
      <c r="E188" s="8">
        <f>IFERROR(__xludf.DUMMYFUNCTION("""COMPUTED_VALUE"""),0.959349593495935)</f>
        <v>0.9593495935</v>
      </c>
      <c r="F188" s="8">
        <f>IFERROR(__xludf.DUMMYFUNCTION("""COMPUTED_VALUE"""),0.585365853658536)</f>
        <v>0.5853658537</v>
      </c>
      <c r="G188" s="8">
        <f>IFERROR(__xludf.DUMMYFUNCTION("""COMPUTED_VALUE"""),0.520325203252032)</f>
        <v>0.5203252033</v>
      </c>
      <c r="H188" s="8">
        <f>IFERROR(__xludf.DUMMYFUNCTION("""COMPUTED_VALUE"""),0.495652173913043)</f>
        <v>0.4956521739</v>
      </c>
      <c r="I188" s="8">
        <f>IFERROR(__xludf.DUMMYFUNCTION("""COMPUTED_VALUE"""),0.486238532110091)</f>
        <v>0.4862385321</v>
      </c>
      <c r="J188" s="8">
        <f>IFERROR(__xludf.DUMMYFUNCTION("""COMPUTED_VALUE"""),0.48)</f>
        <v>0.48</v>
      </c>
      <c r="K188" s="8">
        <f>IFERROR(__xludf.DUMMYFUNCTION("""COMPUTED_VALUE"""),0.4375)</f>
        <v>0.4375</v>
      </c>
      <c r="L188" s="8">
        <f>IFERROR(__xludf.DUMMYFUNCTION("""COMPUTED_VALUE"""),0.397849462365591)</f>
        <v>0.3978494624</v>
      </c>
      <c r="M188" s="8">
        <f>IFERROR(__xludf.DUMMYFUNCTION("""COMPUTED_VALUE"""),0.391304347826087)</f>
        <v>0.3913043478</v>
      </c>
      <c r="N188" s="8">
        <f>IFERROR(__xludf.DUMMYFUNCTION("""COMPUTED_VALUE"""),0.375)</f>
        <v>0.375</v>
      </c>
      <c r="O188" s="8">
        <f>IFERROR(__xludf.DUMMYFUNCTION("""COMPUTED_VALUE"""),0.324324324324324)</f>
        <v>0.3243243243</v>
      </c>
      <c r="P188" s="8">
        <f>IFERROR(__xludf.DUMMYFUNCTION("""COMPUTED_VALUE"""),0.220588235294117)</f>
        <v>0.2205882353</v>
      </c>
      <c r="Q188" s="8">
        <f>IFERROR(__xludf.DUMMYFUNCTION("""COMPUTED_VALUE"""),0.0869565217391304)</f>
        <v>0.08695652174</v>
      </c>
      <c r="R188" s="8">
        <f>IFERROR(__xludf.DUMMYFUNCTION("""COMPUTED_VALUE"""),0.0909090909090909)</f>
        <v>0.09090909091</v>
      </c>
      <c r="S188" s="8">
        <f>IFERROR(__xludf.DUMMYFUNCTION("""COMPUTED_VALUE"""),0.05)</f>
        <v>0.05</v>
      </c>
      <c r="T188" s="8">
        <f>IFERROR(__xludf.DUMMYFUNCTION("""COMPUTED_VALUE"""),0.05)</f>
        <v>0.05</v>
      </c>
      <c r="U188" s="8">
        <f>IFERROR(__xludf.DUMMYFUNCTION("""COMPUTED_VALUE"""),0.0555555555555555)</f>
        <v>0.05555555556</v>
      </c>
      <c r="V188" s="8">
        <f>IFERROR(__xludf.DUMMYFUNCTION("""COMPUTED_VALUE"""),0.0588235294117647)</f>
        <v>0.05882352941</v>
      </c>
      <c r="W188" s="8">
        <f>IFERROR(__xludf.DUMMYFUNCTION("""COMPUTED_VALUE"""),0.0714285714285714)</f>
        <v>0.07142857143</v>
      </c>
      <c r="X188" s="8">
        <f>IFERROR(__xludf.DUMMYFUNCTION("""COMPUTED_VALUE"""),0.0714285714285714)</f>
        <v>0.07142857143</v>
      </c>
      <c r="Y188" s="8">
        <f>IFERROR(__xludf.DUMMYFUNCTION("""COMPUTED_VALUE"""),0.0769230769230769)</f>
        <v>0.07692307692</v>
      </c>
      <c r="Z188" s="8">
        <f>IFERROR(__xludf.DUMMYFUNCTION("""COMPUTED_VALUE"""),0.0909090909090909)</f>
        <v>0.09090909091</v>
      </c>
      <c r="AA188" s="8">
        <f>IFERROR(__xludf.DUMMYFUNCTION("""COMPUTED_VALUE"""),0.142857142857142)</f>
        <v>0.1428571429</v>
      </c>
      <c r="AB188" s="8">
        <f>IFERROR(__xludf.DUMMYFUNCTION("""COMPUTED_VALUE"""),0.142857142857142)</f>
        <v>0.1428571429</v>
      </c>
      <c r="AC188" s="8">
        <f>IFERROR(__xludf.DUMMYFUNCTION("""COMPUTED_VALUE"""),0.142857142857142)</f>
        <v>0.1428571429</v>
      </c>
    </row>
    <row r="189" ht="15.75" customHeight="1">
      <c r="A189" s="6" t="str">
        <f>IFERROR(__xludf.DUMMYFUNCTION("""COMPUTED_VALUE"""),"a9dd2d51d9347ce1a50ee64d1a38a6c33539ebc1")</f>
        <v>a9dd2d51d9347ce1a50ee64d1a38a6c33539ebc1</v>
      </c>
      <c r="B189" s="6" t="str">
        <f>IFERROR(__xludf.DUMMYFUNCTION("""COMPUTED_VALUE"""),"Billionaires Love Me")</f>
        <v>Billionaires Love Me</v>
      </c>
      <c r="C189" s="6" t="str">
        <f>IFERROR(__xludf.DUMMYFUNCTION("""COMPUTED_VALUE"""),"Romance")</f>
        <v>Romance</v>
      </c>
      <c r="D189" s="11">
        <f>IFERROR(__xludf.DUMMYFUNCTION("""COMPUTED_VALUE"""),240.0)</f>
        <v>240</v>
      </c>
      <c r="E189" s="8">
        <f>IFERROR(__xludf.DUMMYFUNCTION("""COMPUTED_VALUE"""),0.983333333333333)</f>
        <v>0.9833333333</v>
      </c>
      <c r="F189" s="8">
        <f>IFERROR(__xludf.DUMMYFUNCTION("""COMPUTED_VALUE"""),0.604166666666666)</f>
        <v>0.6041666667</v>
      </c>
      <c r="G189" s="8">
        <f>IFERROR(__xludf.DUMMYFUNCTION("""COMPUTED_VALUE"""),0.475)</f>
        <v>0.475</v>
      </c>
      <c r="H189" s="8">
        <f>IFERROR(__xludf.DUMMYFUNCTION("""COMPUTED_VALUE"""),0.416666666666666)</f>
        <v>0.4166666667</v>
      </c>
      <c r="I189" s="8">
        <f>IFERROR(__xludf.DUMMYFUNCTION("""COMPUTED_VALUE"""),0.402061855670103)</f>
        <v>0.4020618557</v>
      </c>
      <c r="J189" s="8">
        <f>IFERROR(__xludf.DUMMYFUNCTION("""COMPUTED_VALUE"""),0.402061855670103)</f>
        <v>0.4020618557</v>
      </c>
      <c r="K189" s="8">
        <f>IFERROR(__xludf.DUMMYFUNCTION("""COMPUTED_VALUE"""),0.371134020618556)</f>
        <v>0.3711340206</v>
      </c>
      <c r="L189" s="8">
        <f>IFERROR(__xludf.DUMMYFUNCTION("""COMPUTED_VALUE"""),0.309278350515463)</f>
        <v>0.3092783505</v>
      </c>
      <c r="M189" s="8">
        <f>IFERROR(__xludf.DUMMYFUNCTION("""COMPUTED_VALUE"""),0.288659793814432)</f>
        <v>0.2886597938</v>
      </c>
      <c r="N189" s="8">
        <f>IFERROR(__xludf.DUMMYFUNCTION("""COMPUTED_VALUE"""),0.257731958762886)</f>
        <v>0.2577319588</v>
      </c>
      <c r="O189" s="8">
        <f>IFERROR(__xludf.DUMMYFUNCTION("""COMPUTED_VALUE"""),0.255555555555555)</f>
        <v>0.2555555556</v>
      </c>
      <c r="P189" s="8">
        <f>IFERROR(__xludf.DUMMYFUNCTION("""COMPUTED_VALUE"""),0.180722891566265)</f>
        <v>0.1807228916</v>
      </c>
      <c r="Q189" s="8">
        <f>IFERROR(__xludf.DUMMYFUNCTION("""COMPUTED_VALUE"""),0.161764705882352)</f>
        <v>0.1617647059</v>
      </c>
      <c r="R189" s="8">
        <f>IFERROR(__xludf.DUMMYFUNCTION("""COMPUTED_VALUE"""),0.117647058823529)</f>
        <v>0.1176470588</v>
      </c>
      <c r="S189" s="8">
        <f>IFERROR(__xludf.DUMMYFUNCTION("""COMPUTED_VALUE"""),0.0)</f>
        <v>0</v>
      </c>
      <c r="T189" s="8">
        <f>IFERROR(__xludf.DUMMYFUNCTION("""COMPUTED_VALUE"""),0.0)</f>
        <v>0</v>
      </c>
      <c r="U189" s="8">
        <f>IFERROR(__xludf.DUMMYFUNCTION("""COMPUTED_VALUE"""),0.0)</f>
        <v>0</v>
      </c>
      <c r="V189" s="8">
        <f>IFERROR(__xludf.DUMMYFUNCTION("""COMPUTED_VALUE"""),0.0)</f>
        <v>0</v>
      </c>
      <c r="W189" s="8">
        <f>IFERROR(__xludf.DUMMYFUNCTION("""COMPUTED_VALUE"""),0.0)</f>
        <v>0</v>
      </c>
      <c r="X189" s="8">
        <f>IFERROR(__xludf.DUMMYFUNCTION("""COMPUTED_VALUE"""),0.0)</f>
        <v>0</v>
      </c>
      <c r="Y189" s="8">
        <f>IFERROR(__xludf.DUMMYFUNCTION("""COMPUTED_VALUE"""),0.0)</f>
        <v>0</v>
      </c>
      <c r="Z189" s="8">
        <f>IFERROR(__xludf.DUMMYFUNCTION("""COMPUTED_VALUE"""),0.0)</f>
        <v>0</v>
      </c>
      <c r="AA189" s="8">
        <f>IFERROR(__xludf.DUMMYFUNCTION("""COMPUTED_VALUE"""),0.0)</f>
        <v>0</v>
      </c>
      <c r="AB189" s="8">
        <f>IFERROR(__xludf.DUMMYFUNCTION("""COMPUTED_VALUE"""),0.0)</f>
        <v>0</v>
      </c>
      <c r="AC189" s="8">
        <f>IFERROR(__xludf.DUMMYFUNCTION("""COMPUTED_VALUE"""),0.0)</f>
        <v>0</v>
      </c>
    </row>
    <row r="190" ht="15.75" customHeight="1">
      <c r="A190" s="6" t="str">
        <f>IFERROR(__xludf.DUMMYFUNCTION("""COMPUTED_VALUE"""),"aaa698f296d8b031a8ae9b94897fb07edda92f97")</f>
        <v>aaa698f296d8b031a8ae9b94897fb07edda92f97</v>
      </c>
      <c r="B190" s="6" t="str">
        <f>IFERROR(__xludf.DUMMYFUNCTION("""COMPUTED_VALUE"""),"A Heart Divided")</f>
        <v>A Heart Divided</v>
      </c>
      <c r="C190" s="6" t="str">
        <f>IFERROR(__xludf.DUMMYFUNCTION("""COMPUTED_VALUE"""),"Romance")</f>
        <v>Romance</v>
      </c>
      <c r="D190" s="11">
        <f>IFERROR(__xludf.DUMMYFUNCTION("""COMPUTED_VALUE"""),170.0)</f>
        <v>170</v>
      </c>
      <c r="E190" s="8">
        <f>IFERROR(__xludf.DUMMYFUNCTION("""COMPUTED_VALUE"""),0.917647058823529)</f>
        <v>0.9176470588</v>
      </c>
      <c r="F190" s="8">
        <f>IFERROR(__xludf.DUMMYFUNCTION("""COMPUTED_VALUE"""),0.729411764705882)</f>
        <v>0.7294117647</v>
      </c>
      <c r="G190" s="8">
        <f>IFERROR(__xludf.DUMMYFUNCTION("""COMPUTED_VALUE"""),0.670588235294117)</f>
        <v>0.6705882353</v>
      </c>
      <c r="H190" s="8">
        <f>IFERROR(__xludf.DUMMYFUNCTION("""COMPUTED_VALUE"""),0.623529411764705)</f>
        <v>0.6235294118</v>
      </c>
      <c r="I190" s="8">
        <f>IFERROR(__xludf.DUMMYFUNCTION("""COMPUTED_VALUE"""),0.588235294117647)</f>
        <v>0.5882352941</v>
      </c>
      <c r="J190" s="8">
        <f>IFERROR(__xludf.DUMMYFUNCTION("""COMPUTED_VALUE"""),0.564705882352941)</f>
        <v>0.5647058824</v>
      </c>
      <c r="K190" s="8">
        <f>IFERROR(__xludf.DUMMYFUNCTION("""COMPUTED_VALUE"""),0.529411764705882)</f>
        <v>0.5294117647</v>
      </c>
      <c r="L190" s="8">
        <f>IFERROR(__xludf.DUMMYFUNCTION("""COMPUTED_VALUE"""),0.494117647058823)</f>
        <v>0.4941176471</v>
      </c>
      <c r="M190" s="8">
        <f>IFERROR(__xludf.DUMMYFUNCTION("""COMPUTED_VALUE"""),0.447058823529411)</f>
        <v>0.4470588235</v>
      </c>
      <c r="N190" s="8">
        <f>IFERROR(__xludf.DUMMYFUNCTION("""COMPUTED_VALUE"""),0.4)</f>
        <v>0.4</v>
      </c>
      <c r="O190" s="8">
        <f>IFERROR(__xludf.DUMMYFUNCTION("""COMPUTED_VALUE"""),0.329411764705882)</f>
        <v>0.3294117647</v>
      </c>
      <c r="P190" s="8">
        <f>IFERROR(__xludf.DUMMYFUNCTION("""COMPUTED_VALUE"""),0.213017751479289)</f>
        <v>0.2130177515</v>
      </c>
      <c r="Q190" s="8">
        <f>IFERROR(__xludf.DUMMYFUNCTION("""COMPUTED_VALUE"""),0.0778443113772455)</f>
        <v>0.07784431138</v>
      </c>
      <c r="R190" s="8">
        <f>IFERROR(__xludf.DUMMYFUNCTION("""COMPUTED_VALUE"""),0.0658682634730539)</f>
        <v>0.06586826347</v>
      </c>
      <c r="S190" s="8">
        <f>IFERROR(__xludf.DUMMYFUNCTION("""COMPUTED_VALUE"""),0.0)</f>
        <v>0</v>
      </c>
      <c r="T190" s="8">
        <f>IFERROR(__xludf.DUMMYFUNCTION("""COMPUTED_VALUE"""),0.0)</f>
        <v>0</v>
      </c>
      <c r="U190" s="8">
        <f>IFERROR(__xludf.DUMMYFUNCTION("""COMPUTED_VALUE"""),0.0)</f>
        <v>0</v>
      </c>
      <c r="V190" s="8">
        <f>IFERROR(__xludf.DUMMYFUNCTION("""COMPUTED_VALUE"""),0.0)</f>
        <v>0</v>
      </c>
      <c r="W190" s="8">
        <f>IFERROR(__xludf.DUMMYFUNCTION("""COMPUTED_VALUE"""),0.0)</f>
        <v>0</v>
      </c>
      <c r="X190" s="8">
        <f>IFERROR(__xludf.DUMMYFUNCTION("""COMPUTED_VALUE"""),0.0)</f>
        <v>0</v>
      </c>
      <c r="Y190" s="8">
        <f>IFERROR(__xludf.DUMMYFUNCTION("""COMPUTED_VALUE"""),0.0)</f>
        <v>0</v>
      </c>
      <c r="Z190" s="8">
        <f>IFERROR(__xludf.DUMMYFUNCTION("""COMPUTED_VALUE"""),0.0)</f>
        <v>0</v>
      </c>
      <c r="AA190" s="8">
        <f>IFERROR(__xludf.DUMMYFUNCTION("""COMPUTED_VALUE"""),0.0)</f>
        <v>0</v>
      </c>
      <c r="AB190" s="8">
        <f>IFERROR(__xludf.DUMMYFUNCTION("""COMPUTED_VALUE"""),0.0)</f>
        <v>0</v>
      </c>
      <c r="AC190" s="8">
        <f>IFERROR(__xludf.DUMMYFUNCTION("""COMPUTED_VALUE"""),0.0)</f>
        <v>0</v>
      </c>
    </row>
    <row r="191" ht="15.75" customHeight="1">
      <c r="A191" s="6" t="str">
        <f>IFERROR(__xludf.DUMMYFUNCTION("""COMPUTED_VALUE"""),"aab4996493c32f1ec5e010a7e9b25c3e280e1445")</f>
        <v>aab4996493c32f1ec5e010a7e9b25c3e280e1445</v>
      </c>
      <c r="B191" s="6" t="str">
        <f>IFERROR(__xludf.DUMMYFUNCTION("""COMPUTED_VALUE"""),"Love Forever")</f>
        <v>Love Forever</v>
      </c>
      <c r="C191" s="6" t="str">
        <f>IFERROR(__xludf.DUMMYFUNCTION("""COMPUTED_VALUE"""),"Romance")</f>
        <v>Romance</v>
      </c>
      <c r="D191" s="11">
        <f>IFERROR(__xludf.DUMMYFUNCTION("""COMPUTED_VALUE"""),89.0)</f>
        <v>89</v>
      </c>
      <c r="E191" s="8">
        <f>IFERROR(__xludf.DUMMYFUNCTION("""COMPUTED_VALUE"""),0.97752808988764)</f>
        <v>0.9775280899</v>
      </c>
      <c r="F191" s="8">
        <f>IFERROR(__xludf.DUMMYFUNCTION("""COMPUTED_VALUE"""),0.606741573033707)</f>
        <v>0.606741573</v>
      </c>
      <c r="G191" s="8">
        <f>IFERROR(__xludf.DUMMYFUNCTION("""COMPUTED_VALUE"""),0.539325842696629)</f>
        <v>0.5393258427</v>
      </c>
      <c r="H191" s="8">
        <f>IFERROR(__xludf.DUMMYFUNCTION("""COMPUTED_VALUE"""),0.47191011235955)</f>
        <v>0.4719101124</v>
      </c>
      <c r="I191" s="8">
        <f>IFERROR(__xludf.DUMMYFUNCTION("""COMPUTED_VALUE"""),0.415730337078651)</f>
        <v>0.4157303371</v>
      </c>
      <c r="J191" s="8">
        <f>IFERROR(__xludf.DUMMYFUNCTION("""COMPUTED_VALUE"""),0.438202247191011)</f>
        <v>0.4382022472</v>
      </c>
      <c r="K191" s="8">
        <f>IFERROR(__xludf.DUMMYFUNCTION("""COMPUTED_VALUE"""),0.404494382022471)</f>
        <v>0.404494382</v>
      </c>
      <c r="L191" s="8">
        <f>IFERROR(__xludf.DUMMYFUNCTION("""COMPUTED_VALUE"""),0.393258426966292)</f>
        <v>0.393258427</v>
      </c>
      <c r="M191" s="8">
        <f>IFERROR(__xludf.DUMMYFUNCTION("""COMPUTED_VALUE"""),0.443181818181818)</f>
        <v>0.4431818182</v>
      </c>
      <c r="N191" s="8">
        <f>IFERROR(__xludf.DUMMYFUNCTION("""COMPUTED_VALUE"""),0.329545454545454)</f>
        <v>0.3295454545</v>
      </c>
      <c r="O191" s="8">
        <f>IFERROR(__xludf.DUMMYFUNCTION("""COMPUTED_VALUE"""),0.363636363636363)</f>
        <v>0.3636363636</v>
      </c>
      <c r="P191" s="8">
        <f>IFERROR(__xludf.DUMMYFUNCTION("""COMPUTED_VALUE"""),0.170454545454545)</f>
        <v>0.1704545455</v>
      </c>
      <c r="Q191" s="8">
        <f>IFERROR(__xludf.DUMMYFUNCTION("""COMPUTED_VALUE"""),0.103448275862068)</f>
        <v>0.1034482759</v>
      </c>
      <c r="R191" s="8">
        <f>IFERROR(__xludf.DUMMYFUNCTION("""COMPUTED_VALUE"""),0.0804597701149425)</f>
        <v>0.08045977011</v>
      </c>
      <c r="S191" s="8">
        <f>IFERROR(__xludf.DUMMYFUNCTION("""COMPUTED_VALUE"""),0.0)</f>
        <v>0</v>
      </c>
      <c r="T191" s="8">
        <f>IFERROR(__xludf.DUMMYFUNCTION("""COMPUTED_VALUE"""),0.0)</f>
        <v>0</v>
      </c>
      <c r="U191" s="8">
        <f>IFERROR(__xludf.DUMMYFUNCTION("""COMPUTED_VALUE"""),0.0)</f>
        <v>0</v>
      </c>
      <c r="V191" s="8">
        <f>IFERROR(__xludf.DUMMYFUNCTION("""COMPUTED_VALUE"""),0.0)</f>
        <v>0</v>
      </c>
      <c r="W191" s="8">
        <f>IFERROR(__xludf.DUMMYFUNCTION("""COMPUTED_VALUE"""),0.0)</f>
        <v>0</v>
      </c>
      <c r="X191" s="8">
        <f>IFERROR(__xludf.DUMMYFUNCTION("""COMPUTED_VALUE"""),0.0)</f>
        <v>0</v>
      </c>
      <c r="Y191" s="8">
        <f>IFERROR(__xludf.DUMMYFUNCTION("""COMPUTED_VALUE"""),0.0)</f>
        <v>0</v>
      </c>
      <c r="Z191" s="8">
        <f>IFERROR(__xludf.DUMMYFUNCTION("""COMPUTED_VALUE"""),0.0)</f>
        <v>0</v>
      </c>
      <c r="AA191" s="8">
        <f>IFERROR(__xludf.DUMMYFUNCTION("""COMPUTED_VALUE"""),0.0)</f>
        <v>0</v>
      </c>
      <c r="AB191" s="8">
        <f>IFERROR(__xludf.DUMMYFUNCTION("""COMPUTED_VALUE"""),0.0)</f>
        <v>0</v>
      </c>
      <c r="AC191" s="8">
        <f>IFERROR(__xludf.DUMMYFUNCTION("""COMPUTED_VALUE"""),0.0)</f>
        <v>0</v>
      </c>
    </row>
    <row r="192" ht="15.75" customHeight="1">
      <c r="A192" s="6" t="str">
        <f>IFERROR(__xludf.DUMMYFUNCTION("""COMPUTED_VALUE"""),"ab0abb1b032efe35c0bd9be9cb6f80f8738dc1c9")</f>
        <v>ab0abb1b032efe35c0bd9be9cb6f80f8738dc1c9</v>
      </c>
      <c r="B192" s="6" t="str">
        <f>IFERROR(__xludf.DUMMYFUNCTION("""COMPUTED_VALUE"""),"Kaizen Aritoku Rise")</f>
        <v>Kaizen Aritoku Rise</v>
      </c>
      <c r="C192" s="6" t="str">
        <f>IFERROR(__xludf.DUMMYFUNCTION("""COMPUTED_VALUE"""),"System and Superpower")</f>
        <v>System and Superpower</v>
      </c>
      <c r="D192" s="11">
        <f>IFERROR(__xludf.DUMMYFUNCTION("""COMPUTED_VALUE"""),7.0)</f>
        <v>7</v>
      </c>
      <c r="E192" s="8">
        <f>IFERROR(__xludf.DUMMYFUNCTION("""COMPUTED_VALUE"""),1.0)</f>
        <v>1</v>
      </c>
      <c r="F192" s="8">
        <f>IFERROR(__xludf.DUMMYFUNCTION("""COMPUTED_VALUE"""),0.428571428571428)</f>
        <v>0.4285714286</v>
      </c>
      <c r="G192" s="8">
        <f>IFERROR(__xludf.DUMMYFUNCTION("""COMPUTED_VALUE"""),0.285714285714285)</f>
        <v>0.2857142857</v>
      </c>
      <c r="H192" s="8">
        <f>IFERROR(__xludf.DUMMYFUNCTION("""COMPUTED_VALUE"""),0.285714285714285)</f>
        <v>0.2857142857</v>
      </c>
      <c r="I192" s="8">
        <f>IFERROR(__xludf.DUMMYFUNCTION("""COMPUTED_VALUE"""),0.285714285714285)</f>
        <v>0.2857142857</v>
      </c>
      <c r="J192" s="8">
        <f>IFERROR(__xludf.DUMMYFUNCTION("""COMPUTED_VALUE"""),0.285714285714285)</f>
        <v>0.2857142857</v>
      </c>
      <c r="K192" s="8">
        <f>IFERROR(__xludf.DUMMYFUNCTION("""COMPUTED_VALUE"""),0.285714285714285)</f>
        <v>0.2857142857</v>
      </c>
      <c r="L192" s="8">
        <f>IFERROR(__xludf.DUMMYFUNCTION("""COMPUTED_VALUE"""),0.285714285714285)</f>
        <v>0.2857142857</v>
      </c>
      <c r="M192" s="8">
        <f>IFERROR(__xludf.DUMMYFUNCTION("""COMPUTED_VALUE"""),0.285714285714285)</f>
        <v>0.2857142857</v>
      </c>
      <c r="N192" s="8">
        <f>IFERROR(__xludf.DUMMYFUNCTION("""COMPUTED_VALUE"""),0.285714285714285)</f>
        <v>0.2857142857</v>
      </c>
      <c r="O192" s="8">
        <f>IFERROR(__xludf.DUMMYFUNCTION("""COMPUTED_VALUE"""),0.0)</f>
        <v>0</v>
      </c>
      <c r="P192" s="8">
        <f>IFERROR(__xludf.DUMMYFUNCTION("""COMPUTED_VALUE"""),0.0)</f>
        <v>0</v>
      </c>
      <c r="Q192" s="8">
        <f>IFERROR(__xludf.DUMMYFUNCTION("""COMPUTED_VALUE"""),0.0)</f>
        <v>0</v>
      </c>
      <c r="R192" s="8">
        <f>IFERROR(__xludf.DUMMYFUNCTION("""COMPUTED_VALUE"""),0.0)</f>
        <v>0</v>
      </c>
      <c r="S192" s="8">
        <f>IFERROR(__xludf.DUMMYFUNCTION("""COMPUTED_VALUE"""),0.0)</f>
        <v>0</v>
      </c>
      <c r="T192" s="8">
        <f>IFERROR(__xludf.DUMMYFUNCTION("""COMPUTED_VALUE"""),0.0)</f>
        <v>0</v>
      </c>
      <c r="U192" s="8">
        <f>IFERROR(__xludf.DUMMYFUNCTION("""COMPUTED_VALUE"""),0.0)</f>
        <v>0</v>
      </c>
      <c r="V192" s="8">
        <f>IFERROR(__xludf.DUMMYFUNCTION("""COMPUTED_VALUE"""),0.0)</f>
        <v>0</v>
      </c>
      <c r="W192" s="8">
        <f>IFERROR(__xludf.DUMMYFUNCTION("""COMPUTED_VALUE"""),0.0)</f>
        <v>0</v>
      </c>
      <c r="X192" s="8">
        <f>IFERROR(__xludf.DUMMYFUNCTION("""COMPUTED_VALUE"""),0.0)</f>
        <v>0</v>
      </c>
      <c r="Y192" s="8">
        <f>IFERROR(__xludf.DUMMYFUNCTION("""COMPUTED_VALUE"""),0.0)</f>
        <v>0</v>
      </c>
      <c r="Z192" s="8">
        <f>IFERROR(__xludf.DUMMYFUNCTION("""COMPUTED_VALUE"""),0.0)</f>
        <v>0</v>
      </c>
      <c r="AA192" s="8">
        <f>IFERROR(__xludf.DUMMYFUNCTION("""COMPUTED_VALUE"""),0.0)</f>
        <v>0</v>
      </c>
      <c r="AB192" s="8">
        <f>IFERROR(__xludf.DUMMYFUNCTION("""COMPUTED_VALUE"""),0.0)</f>
        <v>0</v>
      </c>
      <c r="AC192" s="8">
        <f>IFERROR(__xludf.DUMMYFUNCTION("""COMPUTED_VALUE"""),0.0)</f>
        <v>0</v>
      </c>
    </row>
    <row r="193" ht="15.75" customHeight="1">
      <c r="A193" s="6" t="str">
        <f>IFERROR(__xludf.DUMMYFUNCTION("""COMPUTED_VALUE"""),"abe99e0d615e9d7ebbf5d941810842cf64a74c6c")</f>
        <v>abe99e0d615e9d7ebbf5d941810842cf64a74c6c</v>
      </c>
      <c r="B193" s="6" t="str">
        <f>IFERROR(__xludf.DUMMYFUNCTION("""COMPUTED_VALUE"""),"Forgetting You, Lily")</f>
        <v>Forgetting You, Lily</v>
      </c>
      <c r="C193" s="6" t="str">
        <f>IFERROR(__xludf.DUMMYFUNCTION("""COMPUTED_VALUE"""),"Romance")</f>
        <v>Romance</v>
      </c>
      <c r="D193" s="11">
        <f>IFERROR(__xludf.DUMMYFUNCTION("""COMPUTED_VALUE"""),62.0)</f>
        <v>62</v>
      </c>
      <c r="E193" s="8">
        <f>IFERROR(__xludf.DUMMYFUNCTION("""COMPUTED_VALUE"""),0.983870967741935)</f>
        <v>0.9838709677</v>
      </c>
      <c r="F193" s="8">
        <f>IFERROR(__xludf.DUMMYFUNCTION("""COMPUTED_VALUE"""),0.403225806451612)</f>
        <v>0.4032258065</v>
      </c>
      <c r="G193" s="8">
        <f>IFERROR(__xludf.DUMMYFUNCTION("""COMPUTED_VALUE"""),0.306451612903225)</f>
        <v>0.3064516129</v>
      </c>
      <c r="H193" s="8">
        <f>IFERROR(__xludf.DUMMYFUNCTION("""COMPUTED_VALUE"""),0.254545454545454)</f>
        <v>0.2545454545</v>
      </c>
      <c r="I193" s="8">
        <f>IFERROR(__xludf.DUMMYFUNCTION("""COMPUTED_VALUE"""),0.211538461538461)</f>
        <v>0.2115384615</v>
      </c>
      <c r="J193" s="8">
        <f>IFERROR(__xludf.DUMMYFUNCTION("""COMPUTED_VALUE"""),0.2)</f>
        <v>0.2</v>
      </c>
      <c r="K193" s="8">
        <f>IFERROR(__xludf.DUMMYFUNCTION("""COMPUTED_VALUE"""),0.145833333333333)</f>
        <v>0.1458333333</v>
      </c>
      <c r="L193" s="8">
        <f>IFERROR(__xludf.DUMMYFUNCTION("""COMPUTED_VALUE"""),0.170731707317073)</f>
        <v>0.1707317073</v>
      </c>
      <c r="M193" s="8">
        <f>IFERROR(__xludf.DUMMYFUNCTION("""COMPUTED_VALUE"""),0.171428571428571)</f>
        <v>0.1714285714</v>
      </c>
      <c r="N193" s="8">
        <f>IFERROR(__xludf.DUMMYFUNCTION("""COMPUTED_VALUE"""),0.107142857142857)</f>
        <v>0.1071428571</v>
      </c>
      <c r="O193" s="8">
        <f>IFERROR(__xludf.DUMMYFUNCTION("""COMPUTED_VALUE"""),0.0)</f>
        <v>0</v>
      </c>
      <c r="P193" s="8">
        <f>IFERROR(__xludf.DUMMYFUNCTION("""COMPUTED_VALUE"""),0.0555555555555555)</f>
        <v>0.05555555556</v>
      </c>
      <c r="Q193" s="8">
        <f>IFERROR(__xludf.DUMMYFUNCTION("""COMPUTED_VALUE"""),0.0)</f>
        <v>0</v>
      </c>
      <c r="R193" s="8">
        <f>IFERROR(__xludf.DUMMYFUNCTION("""COMPUTED_VALUE"""),0.0)</f>
        <v>0</v>
      </c>
      <c r="S193" s="8">
        <f>IFERROR(__xludf.DUMMYFUNCTION("""COMPUTED_VALUE"""),0.0)</f>
        <v>0</v>
      </c>
      <c r="T193" s="8">
        <f>IFERROR(__xludf.DUMMYFUNCTION("""COMPUTED_VALUE"""),0.0)</f>
        <v>0</v>
      </c>
      <c r="U193" s="8">
        <f>IFERROR(__xludf.DUMMYFUNCTION("""COMPUTED_VALUE"""),0.0)</f>
        <v>0</v>
      </c>
      <c r="V193" s="8">
        <f>IFERROR(__xludf.DUMMYFUNCTION("""COMPUTED_VALUE"""),0.0)</f>
        <v>0</v>
      </c>
      <c r="W193" s="8">
        <f>IFERROR(__xludf.DUMMYFUNCTION("""COMPUTED_VALUE"""),0.0)</f>
        <v>0</v>
      </c>
      <c r="X193" s="8">
        <f>IFERROR(__xludf.DUMMYFUNCTION("""COMPUTED_VALUE"""),0.0)</f>
        <v>0</v>
      </c>
      <c r="Y193" s="8">
        <f>IFERROR(__xludf.DUMMYFUNCTION("""COMPUTED_VALUE"""),0.0)</f>
        <v>0</v>
      </c>
      <c r="Z193" s="8">
        <f>IFERROR(__xludf.DUMMYFUNCTION("""COMPUTED_VALUE"""),0.0)</f>
        <v>0</v>
      </c>
      <c r="AA193" s="8">
        <f>IFERROR(__xludf.DUMMYFUNCTION("""COMPUTED_VALUE"""),0.0)</f>
        <v>0</v>
      </c>
      <c r="AB193" s="8">
        <f>IFERROR(__xludf.DUMMYFUNCTION("""COMPUTED_VALUE"""),0.0)</f>
        <v>0</v>
      </c>
      <c r="AC193" s="8">
        <f>IFERROR(__xludf.DUMMYFUNCTION("""COMPUTED_VALUE"""),0.0)</f>
        <v>0</v>
      </c>
    </row>
    <row r="194" ht="15.75" customHeight="1">
      <c r="A194" s="6" t="str">
        <f>IFERROR(__xludf.DUMMYFUNCTION("""COMPUTED_VALUE"""),"ac20da1af1ee60dd2020e8ff294c8c9dcf5be7ba")</f>
        <v>ac20da1af1ee60dd2020e8ff294c8c9dcf5be7ba</v>
      </c>
      <c r="B194" s="6" t="str">
        <f>IFERROR(__xludf.DUMMYFUNCTION("""COMPUTED_VALUE"""),"General Drake")</f>
        <v>General Drake</v>
      </c>
      <c r="C194" s="6" t="str">
        <f>IFERROR(__xludf.DUMMYFUNCTION("""COMPUTED_VALUE"""),"Suspense or Thriller")</f>
        <v>Suspense or Thriller</v>
      </c>
      <c r="D194" s="11">
        <f>IFERROR(__xludf.DUMMYFUNCTION("""COMPUTED_VALUE"""),36.0)</f>
        <v>36</v>
      </c>
      <c r="E194" s="8">
        <f>IFERROR(__xludf.DUMMYFUNCTION("""COMPUTED_VALUE"""),0.972222222222222)</f>
        <v>0.9722222222</v>
      </c>
      <c r="F194" s="8">
        <f>IFERROR(__xludf.DUMMYFUNCTION("""COMPUTED_VALUE"""),0.805555555555555)</f>
        <v>0.8055555556</v>
      </c>
      <c r="G194" s="8">
        <f>IFERROR(__xludf.DUMMYFUNCTION("""COMPUTED_VALUE"""),0.583333333333333)</f>
        <v>0.5833333333</v>
      </c>
      <c r="H194" s="8">
        <f>IFERROR(__xludf.DUMMYFUNCTION("""COMPUTED_VALUE"""),0.527777777777777)</f>
        <v>0.5277777778</v>
      </c>
      <c r="I194" s="8">
        <f>IFERROR(__xludf.DUMMYFUNCTION("""COMPUTED_VALUE"""),0.472222222222222)</f>
        <v>0.4722222222</v>
      </c>
      <c r="J194" s="8">
        <f>IFERROR(__xludf.DUMMYFUNCTION("""COMPUTED_VALUE"""),0.444444444444444)</f>
        <v>0.4444444444</v>
      </c>
      <c r="K194" s="8">
        <f>IFERROR(__xludf.DUMMYFUNCTION("""COMPUTED_VALUE"""),0.472222222222222)</f>
        <v>0.4722222222</v>
      </c>
      <c r="L194" s="8">
        <f>IFERROR(__xludf.DUMMYFUNCTION("""COMPUTED_VALUE"""),0.416666666666666)</f>
        <v>0.4166666667</v>
      </c>
      <c r="M194" s="8">
        <f>IFERROR(__xludf.DUMMYFUNCTION("""COMPUTED_VALUE"""),0.388888888888888)</f>
        <v>0.3888888889</v>
      </c>
      <c r="N194" s="8">
        <f>IFERROR(__xludf.DUMMYFUNCTION("""COMPUTED_VALUE"""),0.388888888888888)</f>
        <v>0.3888888889</v>
      </c>
      <c r="O194" s="8">
        <f>IFERROR(__xludf.DUMMYFUNCTION("""COMPUTED_VALUE"""),0.371428571428571)</f>
        <v>0.3714285714</v>
      </c>
      <c r="P194" s="8">
        <f>IFERROR(__xludf.DUMMYFUNCTION("""COMPUTED_VALUE"""),0.129032258064516)</f>
        <v>0.1290322581</v>
      </c>
      <c r="Q194" s="8">
        <f>IFERROR(__xludf.DUMMYFUNCTION("""COMPUTED_VALUE"""),0.166666666666666)</f>
        <v>0.1666666667</v>
      </c>
      <c r="R194" s="8">
        <f>IFERROR(__xludf.DUMMYFUNCTION("""COMPUTED_VALUE"""),0.0)</f>
        <v>0</v>
      </c>
      <c r="S194" s="8">
        <f>IFERROR(__xludf.DUMMYFUNCTION("""COMPUTED_VALUE"""),0.0)</f>
        <v>0</v>
      </c>
      <c r="T194" s="8">
        <f>IFERROR(__xludf.DUMMYFUNCTION("""COMPUTED_VALUE"""),0.0)</f>
        <v>0</v>
      </c>
      <c r="U194" s="8">
        <f>IFERROR(__xludf.DUMMYFUNCTION("""COMPUTED_VALUE"""),0.0)</f>
        <v>0</v>
      </c>
      <c r="V194" s="8">
        <f>IFERROR(__xludf.DUMMYFUNCTION("""COMPUTED_VALUE"""),0.0)</f>
        <v>0</v>
      </c>
      <c r="W194" s="8">
        <f>IFERROR(__xludf.DUMMYFUNCTION("""COMPUTED_VALUE"""),0.0)</f>
        <v>0</v>
      </c>
      <c r="X194" s="8">
        <f>IFERROR(__xludf.DUMMYFUNCTION("""COMPUTED_VALUE"""),0.0)</f>
        <v>0</v>
      </c>
      <c r="Y194" s="8">
        <f>IFERROR(__xludf.DUMMYFUNCTION("""COMPUTED_VALUE"""),0.0)</f>
        <v>0</v>
      </c>
      <c r="Z194" s="8">
        <f>IFERROR(__xludf.DUMMYFUNCTION("""COMPUTED_VALUE"""),0.0)</f>
        <v>0</v>
      </c>
      <c r="AA194" s="8">
        <f>IFERROR(__xludf.DUMMYFUNCTION("""COMPUTED_VALUE"""),0.0)</f>
        <v>0</v>
      </c>
      <c r="AB194" s="8">
        <f>IFERROR(__xludf.DUMMYFUNCTION("""COMPUTED_VALUE"""),0.0)</f>
        <v>0</v>
      </c>
      <c r="AC194" s="8">
        <f>IFERROR(__xludf.DUMMYFUNCTION("""COMPUTED_VALUE"""),0.0)</f>
        <v>0</v>
      </c>
    </row>
    <row r="195" ht="15.75" customHeight="1">
      <c r="A195" s="6" t="str">
        <f>IFERROR(__xludf.DUMMYFUNCTION("""COMPUTED_VALUE"""),"ad2e8d85f798bb8f66e9add56b1e29d7018e06fb")</f>
        <v>ad2e8d85f798bb8f66e9add56b1e29d7018e06fb</v>
      </c>
      <c r="B195" s="6" t="str">
        <f>IFERROR(__xludf.DUMMYFUNCTION("""COMPUTED_VALUE"""),"Embezzling Simp Funds")</f>
        <v>Embezzling Simp Funds</v>
      </c>
      <c r="C195" s="6" t="str">
        <f>IFERROR(__xludf.DUMMYFUNCTION("""COMPUTED_VALUE"""),"System and Superpower")</f>
        <v>System and Superpower</v>
      </c>
      <c r="D195" s="11">
        <f>IFERROR(__xludf.DUMMYFUNCTION("""COMPUTED_VALUE"""),86.0)</f>
        <v>86</v>
      </c>
      <c r="E195" s="8">
        <f>IFERROR(__xludf.DUMMYFUNCTION("""COMPUTED_VALUE"""),0.988372093023255)</f>
        <v>0.988372093</v>
      </c>
      <c r="F195" s="8">
        <f>IFERROR(__xludf.DUMMYFUNCTION("""COMPUTED_VALUE"""),0.41860465116279)</f>
        <v>0.4186046512</v>
      </c>
      <c r="G195" s="8">
        <f>IFERROR(__xludf.DUMMYFUNCTION("""COMPUTED_VALUE"""),0.360465116279069)</f>
        <v>0.3604651163</v>
      </c>
      <c r="H195" s="8">
        <f>IFERROR(__xludf.DUMMYFUNCTION("""COMPUTED_VALUE"""),0.302325581395348)</f>
        <v>0.3023255814</v>
      </c>
      <c r="I195" s="8">
        <f>IFERROR(__xludf.DUMMYFUNCTION("""COMPUTED_VALUE"""),0.290697674418604)</f>
        <v>0.2906976744</v>
      </c>
      <c r="J195" s="8">
        <f>IFERROR(__xludf.DUMMYFUNCTION("""COMPUTED_VALUE"""),0.267441860465116)</f>
        <v>0.2674418605</v>
      </c>
      <c r="K195" s="8">
        <f>IFERROR(__xludf.DUMMYFUNCTION("""COMPUTED_VALUE"""),0.244186046511627)</f>
        <v>0.2441860465</v>
      </c>
      <c r="L195" s="8">
        <f>IFERROR(__xludf.DUMMYFUNCTION("""COMPUTED_VALUE"""),0.220930232558139)</f>
        <v>0.2209302326</v>
      </c>
      <c r="M195" s="8">
        <f>IFERROR(__xludf.DUMMYFUNCTION("""COMPUTED_VALUE"""),0.223529411764705)</f>
        <v>0.2235294118</v>
      </c>
      <c r="N195" s="8">
        <f>IFERROR(__xludf.DUMMYFUNCTION("""COMPUTED_VALUE"""),0.211764705882352)</f>
        <v>0.2117647059</v>
      </c>
      <c r="O195" s="8">
        <f>IFERROR(__xludf.DUMMYFUNCTION("""COMPUTED_VALUE"""),0.115384615384615)</f>
        <v>0.1153846154</v>
      </c>
      <c r="P195" s="8">
        <f>IFERROR(__xludf.DUMMYFUNCTION("""COMPUTED_VALUE"""),0.0689655172413793)</f>
        <v>0.06896551724</v>
      </c>
      <c r="Q195" s="8">
        <f>IFERROR(__xludf.DUMMYFUNCTION("""COMPUTED_VALUE"""),0.0)</f>
        <v>0</v>
      </c>
      <c r="R195" s="8">
        <f>IFERROR(__xludf.DUMMYFUNCTION("""COMPUTED_VALUE"""),0.0)</f>
        <v>0</v>
      </c>
      <c r="S195" s="8">
        <f>IFERROR(__xludf.DUMMYFUNCTION("""COMPUTED_VALUE"""),0.0)</f>
        <v>0</v>
      </c>
      <c r="T195" s="8">
        <f>IFERROR(__xludf.DUMMYFUNCTION("""COMPUTED_VALUE"""),0.0)</f>
        <v>0</v>
      </c>
      <c r="U195" s="8">
        <f>IFERROR(__xludf.DUMMYFUNCTION("""COMPUTED_VALUE"""),0.0)</f>
        <v>0</v>
      </c>
      <c r="V195" s="8">
        <f>IFERROR(__xludf.DUMMYFUNCTION("""COMPUTED_VALUE"""),0.0)</f>
        <v>0</v>
      </c>
      <c r="W195" s="8">
        <f>IFERROR(__xludf.DUMMYFUNCTION("""COMPUTED_VALUE"""),0.0)</f>
        <v>0</v>
      </c>
      <c r="X195" s="8">
        <f>IFERROR(__xludf.DUMMYFUNCTION("""COMPUTED_VALUE"""),0.0)</f>
        <v>0</v>
      </c>
      <c r="Y195" s="8">
        <f>IFERROR(__xludf.DUMMYFUNCTION("""COMPUTED_VALUE"""),0.0)</f>
        <v>0</v>
      </c>
      <c r="Z195" s="8">
        <f>IFERROR(__xludf.DUMMYFUNCTION("""COMPUTED_VALUE"""),0.0)</f>
        <v>0</v>
      </c>
      <c r="AA195" s="8">
        <f>IFERROR(__xludf.DUMMYFUNCTION("""COMPUTED_VALUE"""),0.0)</f>
        <v>0</v>
      </c>
      <c r="AB195" s="8">
        <f>IFERROR(__xludf.DUMMYFUNCTION("""COMPUTED_VALUE"""),0.0)</f>
        <v>0</v>
      </c>
      <c r="AC195" s="8">
        <f>IFERROR(__xludf.DUMMYFUNCTION("""COMPUTED_VALUE"""),0.0)</f>
        <v>0</v>
      </c>
    </row>
    <row r="196" ht="15.75" customHeight="1">
      <c r="A196" s="6" t="str">
        <f>IFERROR(__xludf.DUMMYFUNCTION("""COMPUTED_VALUE"""),"ad877b024bb7b2c30b52737ab2d9d8d49cc89f77")</f>
        <v>ad877b024bb7b2c30b52737ab2d9d8d49cc89f77</v>
      </c>
      <c r="B196" s="6" t="str">
        <f>IFERROR(__xludf.DUMMYFUNCTION("""COMPUTED_VALUE"""),"The Master at Heart Work ")</f>
        <v>The Master at Heart Work </v>
      </c>
      <c r="C196" s="6" t="str">
        <f>IFERROR(__xludf.DUMMYFUNCTION("""COMPUTED_VALUE"""),"System and Superpower")</f>
        <v>System and Superpower</v>
      </c>
      <c r="D196" s="11">
        <f>IFERROR(__xludf.DUMMYFUNCTION("""COMPUTED_VALUE"""),34.0)</f>
        <v>34</v>
      </c>
      <c r="E196" s="8">
        <f>IFERROR(__xludf.DUMMYFUNCTION("""COMPUTED_VALUE"""),0.970588235294117)</f>
        <v>0.9705882353</v>
      </c>
      <c r="F196" s="8">
        <f>IFERROR(__xludf.DUMMYFUNCTION("""COMPUTED_VALUE"""),0.647058823529411)</f>
        <v>0.6470588235</v>
      </c>
      <c r="G196" s="8">
        <f>IFERROR(__xludf.DUMMYFUNCTION("""COMPUTED_VALUE"""),0.588235294117647)</f>
        <v>0.5882352941</v>
      </c>
      <c r="H196" s="8">
        <f>IFERROR(__xludf.DUMMYFUNCTION("""COMPUTED_VALUE"""),0.588235294117647)</f>
        <v>0.5882352941</v>
      </c>
      <c r="I196" s="8">
        <f>IFERROR(__xludf.DUMMYFUNCTION("""COMPUTED_VALUE"""),0.558823529411764)</f>
        <v>0.5588235294</v>
      </c>
      <c r="J196" s="8">
        <f>IFERROR(__xludf.DUMMYFUNCTION("""COMPUTED_VALUE"""),0.441176470588235)</f>
        <v>0.4411764706</v>
      </c>
      <c r="K196" s="8">
        <f>IFERROR(__xludf.DUMMYFUNCTION("""COMPUTED_VALUE"""),0.411764705882352)</f>
        <v>0.4117647059</v>
      </c>
      <c r="L196" s="8">
        <f>IFERROR(__xludf.DUMMYFUNCTION("""COMPUTED_VALUE"""),0.470588235294117)</f>
        <v>0.4705882353</v>
      </c>
      <c r="M196" s="8">
        <f>IFERROR(__xludf.DUMMYFUNCTION("""COMPUTED_VALUE"""),0.411764705882352)</f>
        <v>0.4117647059</v>
      </c>
      <c r="N196" s="8">
        <f>IFERROR(__xludf.DUMMYFUNCTION("""COMPUTED_VALUE"""),0.352941176470588)</f>
        <v>0.3529411765</v>
      </c>
      <c r="O196" s="8">
        <f>IFERROR(__xludf.DUMMYFUNCTION("""COMPUTED_VALUE"""),0.242424242424242)</f>
        <v>0.2424242424</v>
      </c>
      <c r="P196" s="8">
        <f>IFERROR(__xludf.DUMMYFUNCTION("""COMPUTED_VALUE"""),0.181818181818181)</f>
        <v>0.1818181818</v>
      </c>
      <c r="Q196" s="8">
        <f>IFERROR(__xludf.DUMMYFUNCTION("""COMPUTED_VALUE"""),0.172413793103448)</f>
        <v>0.1724137931</v>
      </c>
      <c r="R196" s="8">
        <f>IFERROR(__xludf.DUMMYFUNCTION("""COMPUTED_VALUE"""),0.107142857142857)</f>
        <v>0.1071428571</v>
      </c>
      <c r="S196" s="8">
        <f>IFERROR(__xludf.DUMMYFUNCTION("""COMPUTED_VALUE"""),0.136363636363636)</f>
        <v>0.1363636364</v>
      </c>
      <c r="T196" s="8">
        <f>IFERROR(__xludf.DUMMYFUNCTION("""COMPUTED_VALUE"""),0.0909090909090909)</f>
        <v>0.09090909091</v>
      </c>
      <c r="U196" s="8">
        <f>IFERROR(__xludf.DUMMYFUNCTION("""COMPUTED_VALUE"""),0.105263157894736)</f>
        <v>0.1052631579</v>
      </c>
      <c r="V196" s="8">
        <f>IFERROR(__xludf.DUMMYFUNCTION("""COMPUTED_VALUE"""),0.142857142857142)</f>
        <v>0.1428571429</v>
      </c>
      <c r="W196" s="8">
        <f>IFERROR(__xludf.DUMMYFUNCTION("""COMPUTED_VALUE"""),0.0714285714285714)</f>
        <v>0.07142857143</v>
      </c>
      <c r="X196" s="8">
        <f>IFERROR(__xludf.DUMMYFUNCTION("""COMPUTED_VALUE"""),0.0)</f>
        <v>0</v>
      </c>
      <c r="Y196" s="8">
        <f>IFERROR(__xludf.DUMMYFUNCTION("""COMPUTED_VALUE"""),0.0)</f>
        <v>0</v>
      </c>
      <c r="Z196" s="8">
        <f>IFERROR(__xludf.DUMMYFUNCTION("""COMPUTED_VALUE"""),0.0)</f>
        <v>0</v>
      </c>
      <c r="AA196" s="8">
        <f>IFERROR(__xludf.DUMMYFUNCTION("""COMPUTED_VALUE"""),0.0)</f>
        <v>0</v>
      </c>
      <c r="AB196" s="8">
        <f>IFERROR(__xludf.DUMMYFUNCTION("""COMPUTED_VALUE"""),0.0)</f>
        <v>0</v>
      </c>
      <c r="AC196" s="8">
        <f>IFERROR(__xludf.DUMMYFUNCTION("""COMPUTED_VALUE"""),0.0)</f>
        <v>0</v>
      </c>
    </row>
    <row r="197" ht="15.75" customHeight="1">
      <c r="A197" s="6" t="str">
        <f>IFERROR(__xludf.DUMMYFUNCTION("""COMPUTED_VALUE"""),"afc4914ba536580c6c21a79231a73b9e6dc67e1a")</f>
        <v>afc4914ba536580c6c21a79231a73b9e6dc67e1a</v>
      </c>
      <c r="B197" s="6" t="str">
        <f>IFERROR(__xludf.DUMMYFUNCTION("""COMPUTED_VALUE"""),"Her Cupid Curse")</f>
        <v>Her Cupid Curse</v>
      </c>
      <c r="C197" s="6" t="str">
        <f>IFERROR(__xludf.DUMMYFUNCTION("""COMPUTED_VALUE"""),"Romance")</f>
        <v>Romance</v>
      </c>
      <c r="D197" s="11">
        <f>IFERROR(__xludf.DUMMYFUNCTION("""COMPUTED_VALUE"""),459.0)</f>
        <v>459</v>
      </c>
      <c r="E197" s="8">
        <f>IFERROR(__xludf.DUMMYFUNCTION("""COMPUTED_VALUE"""),0.980392156862745)</f>
        <v>0.9803921569</v>
      </c>
      <c r="F197" s="8">
        <f>IFERROR(__xludf.DUMMYFUNCTION("""COMPUTED_VALUE"""),0.671023965141612)</f>
        <v>0.6710239651</v>
      </c>
      <c r="G197" s="8">
        <f>IFERROR(__xludf.DUMMYFUNCTION("""COMPUTED_VALUE"""),0.61437908496732)</f>
        <v>0.614379085</v>
      </c>
      <c r="H197" s="8">
        <f>IFERROR(__xludf.DUMMYFUNCTION("""COMPUTED_VALUE"""),0.558685446009389)</f>
        <v>0.558685446</v>
      </c>
      <c r="I197" s="8">
        <f>IFERROR(__xludf.DUMMYFUNCTION("""COMPUTED_VALUE"""),0.511688311688311)</f>
        <v>0.5116883117</v>
      </c>
      <c r="J197" s="8">
        <f>IFERROR(__xludf.DUMMYFUNCTION("""COMPUTED_VALUE"""),0.461318051575931)</f>
        <v>0.4613180516</v>
      </c>
      <c r="K197" s="8">
        <f>IFERROR(__xludf.DUMMYFUNCTION("""COMPUTED_VALUE"""),0.444827586206896)</f>
        <v>0.4448275862</v>
      </c>
      <c r="L197" s="8">
        <f>IFERROR(__xludf.DUMMYFUNCTION("""COMPUTED_VALUE"""),0.446540880503144)</f>
        <v>0.4465408805</v>
      </c>
      <c r="M197" s="8">
        <f>IFERROR(__xludf.DUMMYFUNCTION("""COMPUTED_VALUE"""),0.404255319148936)</f>
        <v>0.4042553191</v>
      </c>
      <c r="N197" s="8">
        <f>IFERROR(__xludf.DUMMYFUNCTION("""COMPUTED_VALUE"""),0.257142857142857)</f>
        <v>0.2571428571</v>
      </c>
      <c r="O197" s="8">
        <f>IFERROR(__xludf.DUMMYFUNCTION("""COMPUTED_VALUE"""),0.416666666666666)</f>
        <v>0.4166666667</v>
      </c>
      <c r="P197" s="8">
        <f>IFERROR(__xludf.DUMMYFUNCTION("""COMPUTED_VALUE"""),0.0)</f>
        <v>0</v>
      </c>
      <c r="Q197" s="8">
        <f>IFERROR(__xludf.DUMMYFUNCTION("""COMPUTED_VALUE"""),0.0)</f>
        <v>0</v>
      </c>
      <c r="R197" s="8">
        <f>IFERROR(__xludf.DUMMYFUNCTION("""COMPUTED_VALUE"""),0.0)</f>
        <v>0</v>
      </c>
      <c r="S197" s="8">
        <f>IFERROR(__xludf.DUMMYFUNCTION("""COMPUTED_VALUE"""),0.0)</f>
        <v>0</v>
      </c>
      <c r="T197" s="8">
        <f>IFERROR(__xludf.DUMMYFUNCTION("""COMPUTED_VALUE"""),0.0)</f>
        <v>0</v>
      </c>
      <c r="U197" s="8">
        <f>IFERROR(__xludf.DUMMYFUNCTION("""COMPUTED_VALUE"""),0.0)</f>
        <v>0</v>
      </c>
      <c r="V197" s="8">
        <f>IFERROR(__xludf.DUMMYFUNCTION("""COMPUTED_VALUE"""),0.0)</f>
        <v>0</v>
      </c>
      <c r="W197" s="8">
        <f>IFERROR(__xludf.DUMMYFUNCTION("""COMPUTED_VALUE"""),0.0)</f>
        <v>0</v>
      </c>
      <c r="X197" s="8">
        <f>IFERROR(__xludf.DUMMYFUNCTION("""COMPUTED_VALUE"""),0.0)</f>
        <v>0</v>
      </c>
      <c r="Y197" s="8">
        <f>IFERROR(__xludf.DUMMYFUNCTION("""COMPUTED_VALUE"""),0.0)</f>
        <v>0</v>
      </c>
      <c r="Z197" s="8">
        <f>IFERROR(__xludf.DUMMYFUNCTION("""COMPUTED_VALUE"""),0.0)</f>
        <v>0</v>
      </c>
      <c r="AA197" s="8">
        <f>IFERROR(__xludf.DUMMYFUNCTION("""COMPUTED_VALUE"""),0.0)</f>
        <v>0</v>
      </c>
      <c r="AB197" s="8">
        <f>IFERROR(__xludf.DUMMYFUNCTION("""COMPUTED_VALUE"""),0.0)</f>
        <v>0</v>
      </c>
      <c r="AC197" s="8">
        <f>IFERROR(__xludf.DUMMYFUNCTION("""COMPUTED_VALUE"""),0.0)</f>
        <v>0</v>
      </c>
    </row>
    <row r="198" ht="15.75" customHeight="1">
      <c r="A198" s="6" t="str">
        <f>IFERROR(__xludf.DUMMYFUNCTION("""COMPUTED_VALUE"""),"b035f182bb6d36439bba21081e89b0cb80ad7d57")</f>
        <v>b035f182bb6d36439bba21081e89b0cb80ad7d57</v>
      </c>
      <c r="B198" s="6" t="str">
        <f>IFERROR(__xludf.DUMMYFUNCTION("""COMPUTED_VALUE"""),"Glory After Loss")</f>
        <v>Glory After Loss</v>
      </c>
      <c r="C198" s="6" t="str">
        <f>IFERROR(__xludf.DUMMYFUNCTION("""COMPUTED_VALUE"""),"System and Superpower")</f>
        <v>System and Superpower</v>
      </c>
      <c r="D198" s="11">
        <f>IFERROR(__xludf.DUMMYFUNCTION("""COMPUTED_VALUE"""),68.0)</f>
        <v>68</v>
      </c>
      <c r="E198" s="8">
        <f>IFERROR(__xludf.DUMMYFUNCTION("""COMPUTED_VALUE"""),0.985294117647058)</f>
        <v>0.9852941176</v>
      </c>
      <c r="F198" s="8">
        <f>IFERROR(__xludf.DUMMYFUNCTION("""COMPUTED_VALUE"""),0.720588235294117)</f>
        <v>0.7205882353</v>
      </c>
      <c r="G198" s="8">
        <f>IFERROR(__xludf.DUMMYFUNCTION("""COMPUTED_VALUE"""),0.602941176470588)</f>
        <v>0.6029411765</v>
      </c>
      <c r="H198" s="8">
        <f>IFERROR(__xludf.DUMMYFUNCTION("""COMPUTED_VALUE"""),0.529411764705882)</f>
        <v>0.5294117647</v>
      </c>
      <c r="I198" s="8">
        <f>IFERROR(__xludf.DUMMYFUNCTION("""COMPUTED_VALUE"""),0.455882352941176)</f>
        <v>0.4558823529</v>
      </c>
      <c r="J198" s="8">
        <f>IFERROR(__xludf.DUMMYFUNCTION("""COMPUTED_VALUE"""),0.441176470588235)</f>
        <v>0.4411764706</v>
      </c>
      <c r="K198" s="8">
        <f>IFERROR(__xludf.DUMMYFUNCTION("""COMPUTED_VALUE"""),0.38235294117647)</f>
        <v>0.3823529412</v>
      </c>
      <c r="L198" s="8">
        <f>IFERROR(__xludf.DUMMYFUNCTION("""COMPUTED_VALUE"""),0.373134328358209)</f>
        <v>0.3731343284</v>
      </c>
      <c r="M198" s="8">
        <f>IFERROR(__xludf.DUMMYFUNCTION("""COMPUTED_VALUE"""),0.373134328358209)</f>
        <v>0.3731343284</v>
      </c>
      <c r="N198" s="8">
        <f>IFERROR(__xludf.DUMMYFUNCTION("""COMPUTED_VALUE"""),0.328358208955223)</f>
        <v>0.328358209</v>
      </c>
      <c r="O198" s="8">
        <f>IFERROR(__xludf.DUMMYFUNCTION("""COMPUTED_VALUE"""),0.238805970149253)</f>
        <v>0.2388059701</v>
      </c>
      <c r="P198" s="8">
        <f>IFERROR(__xludf.DUMMYFUNCTION("""COMPUTED_VALUE"""),0.196969696969696)</f>
        <v>0.196969697</v>
      </c>
      <c r="Q198" s="8">
        <f>IFERROR(__xludf.DUMMYFUNCTION("""COMPUTED_VALUE"""),0.142857142857142)</f>
        <v>0.1428571429</v>
      </c>
      <c r="R198" s="8">
        <f>IFERROR(__xludf.DUMMYFUNCTION("""COMPUTED_VALUE"""),0.0)</f>
        <v>0</v>
      </c>
      <c r="S198" s="8">
        <f>IFERROR(__xludf.DUMMYFUNCTION("""COMPUTED_VALUE"""),0.0)</f>
        <v>0</v>
      </c>
      <c r="T198" s="8">
        <f>IFERROR(__xludf.DUMMYFUNCTION("""COMPUTED_VALUE"""),0.0)</f>
        <v>0</v>
      </c>
      <c r="U198" s="8">
        <f>IFERROR(__xludf.DUMMYFUNCTION("""COMPUTED_VALUE"""),0.0)</f>
        <v>0</v>
      </c>
      <c r="V198" s="8">
        <f>IFERROR(__xludf.DUMMYFUNCTION("""COMPUTED_VALUE"""),0.0)</f>
        <v>0</v>
      </c>
      <c r="W198" s="8">
        <f>IFERROR(__xludf.DUMMYFUNCTION("""COMPUTED_VALUE"""),0.0)</f>
        <v>0</v>
      </c>
      <c r="X198" s="8">
        <f>IFERROR(__xludf.DUMMYFUNCTION("""COMPUTED_VALUE"""),0.0)</f>
        <v>0</v>
      </c>
      <c r="Y198" s="8">
        <f>IFERROR(__xludf.DUMMYFUNCTION("""COMPUTED_VALUE"""),0.0)</f>
        <v>0</v>
      </c>
      <c r="Z198" s="8">
        <f>IFERROR(__xludf.DUMMYFUNCTION("""COMPUTED_VALUE"""),0.0)</f>
        <v>0</v>
      </c>
      <c r="AA198" s="8">
        <f>IFERROR(__xludf.DUMMYFUNCTION("""COMPUTED_VALUE"""),0.0)</f>
        <v>0</v>
      </c>
      <c r="AB198" s="8">
        <f>IFERROR(__xludf.DUMMYFUNCTION("""COMPUTED_VALUE"""),0.0)</f>
        <v>0</v>
      </c>
      <c r="AC198" s="8">
        <f>IFERROR(__xludf.DUMMYFUNCTION("""COMPUTED_VALUE"""),0.0)</f>
        <v>0</v>
      </c>
    </row>
    <row r="199" ht="15.75" customHeight="1">
      <c r="A199" s="6" t="str">
        <f>IFERROR(__xludf.DUMMYFUNCTION("""COMPUTED_VALUE"""),"b0cb1a15751b32389e6dc5643df14e64f65a78e6")</f>
        <v>b0cb1a15751b32389e6dc5643df14e64f65a78e6</v>
      </c>
      <c r="B199" s="6" t="str">
        <f>IFERROR(__xludf.DUMMYFUNCTION("""COMPUTED_VALUE"""),"Desire of the Billionaire")</f>
        <v>Desire of the Billionaire</v>
      </c>
      <c r="C199" s="6" t="str">
        <f>IFERROR(__xludf.DUMMYFUNCTION("""COMPUTED_VALUE"""),"Romance")</f>
        <v>Romance</v>
      </c>
      <c r="D199" s="11">
        <f>IFERROR(__xludf.DUMMYFUNCTION("""COMPUTED_VALUE"""),18.0)</f>
        <v>18</v>
      </c>
      <c r="E199" s="8">
        <f>IFERROR(__xludf.DUMMYFUNCTION("""COMPUTED_VALUE"""),1.0)</f>
        <v>1</v>
      </c>
      <c r="F199" s="8">
        <f>IFERROR(__xludf.DUMMYFUNCTION("""COMPUTED_VALUE"""),0.611111111111111)</f>
        <v>0.6111111111</v>
      </c>
      <c r="G199" s="8">
        <f>IFERROR(__xludf.DUMMYFUNCTION("""COMPUTED_VALUE"""),0.666666666666666)</f>
        <v>0.6666666667</v>
      </c>
      <c r="H199" s="8">
        <f>IFERROR(__xludf.DUMMYFUNCTION("""COMPUTED_VALUE"""),0.444444444444444)</f>
        <v>0.4444444444</v>
      </c>
      <c r="I199" s="8">
        <f>IFERROR(__xludf.DUMMYFUNCTION("""COMPUTED_VALUE"""),0.529411764705882)</f>
        <v>0.5294117647</v>
      </c>
      <c r="J199" s="8">
        <f>IFERROR(__xludf.DUMMYFUNCTION("""COMPUTED_VALUE"""),0.529411764705882)</f>
        <v>0.5294117647</v>
      </c>
      <c r="K199" s="8">
        <f>IFERROR(__xludf.DUMMYFUNCTION("""COMPUTED_VALUE"""),0.411764705882352)</f>
        <v>0.4117647059</v>
      </c>
      <c r="L199" s="8">
        <f>IFERROR(__xludf.DUMMYFUNCTION("""COMPUTED_VALUE"""),0.411764705882352)</f>
        <v>0.4117647059</v>
      </c>
      <c r="M199" s="8">
        <f>IFERROR(__xludf.DUMMYFUNCTION("""COMPUTED_VALUE"""),0.470588235294117)</f>
        <v>0.4705882353</v>
      </c>
      <c r="N199" s="8">
        <f>IFERROR(__xludf.DUMMYFUNCTION("""COMPUTED_VALUE"""),0.411764705882352)</f>
        <v>0.4117647059</v>
      </c>
      <c r="O199" s="8">
        <f>IFERROR(__xludf.DUMMYFUNCTION("""COMPUTED_VALUE"""),0.25)</f>
        <v>0.25</v>
      </c>
      <c r="P199" s="8">
        <f>IFERROR(__xludf.DUMMYFUNCTION("""COMPUTED_VALUE"""),0.214285714285714)</f>
        <v>0.2142857143</v>
      </c>
      <c r="Q199" s="8">
        <f>IFERROR(__xludf.DUMMYFUNCTION("""COMPUTED_VALUE"""),0.0)</f>
        <v>0</v>
      </c>
      <c r="R199" s="8">
        <f>IFERROR(__xludf.DUMMYFUNCTION("""COMPUTED_VALUE"""),0.0)</f>
        <v>0</v>
      </c>
      <c r="S199" s="8">
        <f>IFERROR(__xludf.DUMMYFUNCTION("""COMPUTED_VALUE"""),0.0)</f>
        <v>0</v>
      </c>
      <c r="T199" s="8">
        <f>IFERROR(__xludf.DUMMYFUNCTION("""COMPUTED_VALUE"""),0.0)</f>
        <v>0</v>
      </c>
      <c r="U199" s="8">
        <f>IFERROR(__xludf.DUMMYFUNCTION("""COMPUTED_VALUE"""),0.0)</f>
        <v>0</v>
      </c>
      <c r="V199" s="8">
        <f>IFERROR(__xludf.DUMMYFUNCTION("""COMPUTED_VALUE"""),0.0)</f>
        <v>0</v>
      </c>
      <c r="W199" s="8">
        <f>IFERROR(__xludf.DUMMYFUNCTION("""COMPUTED_VALUE"""),0.0)</f>
        <v>0</v>
      </c>
      <c r="X199" s="8">
        <f>IFERROR(__xludf.DUMMYFUNCTION("""COMPUTED_VALUE"""),0.0)</f>
        <v>0</v>
      </c>
      <c r="Y199" s="8">
        <f>IFERROR(__xludf.DUMMYFUNCTION("""COMPUTED_VALUE"""),0.0)</f>
        <v>0</v>
      </c>
      <c r="Z199" s="8">
        <f>IFERROR(__xludf.DUMMYFUNCTION("""COMPUTED_VALUE"""),0.0)</f>
        <v>0</v>
      </c>
      <c r="AA199" s="8">
        <f>IFERROR(__xludf.DUMMYFUNCTION("""COMPUTED_VALUE"""),0.0)</f>
        <v>0</v>
      </c>
      <c r="AB199" s="8">
        <f>IFERROR(__xludf.DUMMYFUNCTION("""COMPUTED_VALUE"""),0.0)</f>
        <v>0</v>
      </c>
      <c r="AC199" s="8">
        <f>IFERROR(__xludf.DUMMYFUNCTION("""COMPUTED_VALUE"""),0.0)</f>
        <v>0</v>
      </c>
    </row>
    <row r="200" ht="15.75" customHeight="1">
      <c r="A200" s="6" t="str">
        <f>IFERROR(__xludf.DUMMYFUNCTION("""COMPUTED_VALUE"""),"b164057dc6b8df1ba1289d383220147f237b7dfa")</f>
        <v>b164057dc6b8df1ba1289d383220147f237b7dfa</v>
      </c>
      <c r="B200" s="6" t="str">
        <f>IFERROR(__xludf.DUMMYFUNCTION("""COMPUTED_VALUE"""),"Rush Marriage")</f>
        <v>Rush Marriage</v>
      </c>
      <c r="C200" s="6" t="str">
        <f>IFERROR(__xludf.DUMMYFUNCTION("""COMPUTED_VALUE"""),"Romance")</f>
        <v>Romance</v>
      </c>
      <c r="D200" s="11">
        <f>IFERROR(__xludf.DUMMYFUNCTION("""COMPUTED_VALUE"""),631.0)</f>
        <v>631</v>
      </c>
      <c r="E200" s="8">
        <f>IFERROR(__xludf.DUMMYFUNCTION("""COMPUTED_VALUE"""),0.976228209191759)</f>
        <v>0.9762282092</v>
      </c>
      <c r="F200" s="8">
        <f>IFERROR(__xludf.DUMMYFUNCTION("""COMPUTED_VALUE"""),0.671949286846275)</f>
        <v>0.6719492868</v>
      </c>
      <c r="G200" s="8">
        <f>IFERROR(__xludf.DUMMYFUNCTION("""COMPUTED_VALUE"""),0.54675118858954)</f>
        <v>0.5467511886</v>
      </c>
      <c r="H200" s="8">
        <f>IFERROR(__xludf.DUMMYFUNCTION("""COMPUTED_VALUE"""),0.496025437201907)</f>
        <v>0.4960254372</v>
      </c>
      <c r="I200" s="8">
        <f>IFERROR(__xludf.DUMMYFUNCTION("""COMPUTED_VALUE"""),0.461049284578696)</f>
        <v>0.4610492846</v>
      </c>
      <c r="J200" s="8">
        <f>IFERROR(__xludf.DUMMYFUNCTION("""COMPUTED_VALUE"""),0.455414012738853)</f>
        <v>0.4554140127</v>
      </c>
      <c r="K200" s="8">
        <f>IFERROR(__xludf.DUMMYFUNCTION("""COMPUTED_VALUE"""),0.39968152866242)</f>
        <v>0.3996815287</v>
      </c>
      <c r="L200" s="8">
        <f>IFERROR(__xludf.DUMMYFUNCTION("""COMPUTED_VALUE"""),0.355095541401273)</f>
        <v>0.3550955414</v>
      </c>
      <c r="M200" s="8">
        <f>IFERROR(__xludf.DUMMYFUNCTION("""COMPUTED_VALUE"""),0.33652312599681)</f>
        <v>0.336523126</v>
      </c>
      <c r="N200" s="8">
        <f>IFERROR(__xludf.DUMMYFUNCTION("""COMPUTED_VALUE"""),0.323763955342902)</f>
        <v>0.3237639553</v>
      </c>
      <c r="O200" s="8">
        <f>IFERROR(__xludf.DUMMYFUNCTION("""COMPUTED_VALUE"""),0.320450885668276)</f>
        <v>0.3204508857</v>
      </c>
      <c r="P200" s="8">
        <f>IFERROR(__xludf.DUMMYFUNCTION("""COMPUTED_VALUE"""),0.195758564437194)</f>
        <v>0.1957585644</v>
      </c>
      <c r="Q200" s="8">
        <f>IFERROR(__xludf.DUMMYFUNCTION("""COMPUTED_VALUE"""),0.166666666666666)</f>
        <v>0.1666666667</v>
      </c>
      <c r="R200" s="8">
        <f>IFERROR(__xludf.DUMMYFUNCTION("""COMPUTED_VALUE"""),0.108108108108108)</f>
        <v>0.1081081081</v>
      </c>
      <c r="S200" s="8">
        <f>IFERROR(__xludf.DUMMYFUNCTION("""COMPUTED_VALUE"""),0.0684931506849315)</f>
        <v>0.06849315068</v>
      </c>
      <c r="T200" s="8">
        <f>IFERROR(__xludf.DUMMYFUNCTION("""COMPUTED_VALUE"""),0.0857142857142857)</f>
        <v>0.08571428571</v>
      </c>
      <c r="U200" s="8">
        <f>IFERROR(__xludf.DUMMYFUNCTION("""COMPUTED_VALUE"""),0.0476190476190476)</f>
        <v>0.04761904762</v>
      </c>
      <c r="V200" s="8">
        <f>IFERROR(__xludf.DUMMYFUNCTION("""COMPUTED_VALUE"""),0.0172413793103448)</f>
        <v>0.01724137931</v>
      </c>
      <c r="W200" s="8">
        <f>IFERROR(__xludf.DUMMYFUNCTION("""COMPUTED_VALUE"""),0.0)</f>
        <v>0</v>
      </c>
      <c r="X200" s="8">
        <f>IFERROR(__xludf.DUMMYFUNCTION("""COMPUTED_VALUE"""),0.0)</f>
        <v>0</v>
      </c>
      <c r="Y200" s="8">
        <f>IFERROR(__xludf.DUMMYFUNCTION("""COMPUTED_VALUE"""),0.0)</f>
        <v>0</v>
      </c>
      <c r="Z200" s="8">
        <f>IFERROR(__xludf.DUMMYFUNCTION("""COMPUTED_VALUE"""),0.0)</f>
        <v>0</v>
      </c>
      <c r="AA200" s="8">
        <f>IFERROR(__xludf.DUMMYFUNCTION("""COMPUTED_VALUE"""),0.0)</f>
        <v>0</v>
      </c>
      <c r="AB200" s="8">
        <f>IFERROR(__xludf.DUMMYFUNCTION("""COMPUTED_VALUE"""),0.0)</f>
        <v>0</v>
      </c>
      <c r="AC200" s="8">
        <f>IFERROR(__xludf.DUMMYFUNCTION("""COMPUTED_VALUE"""),0.0)</f>
        <v>0</v>
      </c>
    </row>
    <row r="201" ht="15.75" customHeight="1">
      <c r="A201" s="6" t="str">
        <f>IFERROR(__xludf.DUMMYFUNCTION("""COMPUTED_VALUE"""),"b26d8e5052a2beb1af4ffc462d31141bb635a5b5")</f>
        <v>b26d8e5052a2beb1af4ffc462d31141bb635a5b5</v>
      </c>
      <c r="B201" s="6" t="str">
        <f>IFERROR(__xludf.DUMMYFUNCTION("""COMPUTED_VALUE"""),"The Revenge Marriage")</f>
        <v>The Revenge Marriage</v>
      </c>
      <c r="C201" s="6" t="str">
        <f>IFERROR(__xludf.DUMMYFUNCTION("""COMPUTED_VALUE"""),"Romance")</f>
        <v>Romance</v>
      </c>
      <c r="D201" s="11">
        <f>IFERROR(__xludf.DUMMYFUNCTION("""COMPUTED_VALUE"""),727.0)</f>
        <v>727</v>
      </c>
      <c r="E201" s="8">
        <f>IFERROR(__xludf.DUMMYFUNCTION("""COMPUTED_VALUE"""),0.965612104539202)</f>
        <v>0.9656121045</v>
      </c>
      <c r="F201" s="8">
        <f>IFERROR(__xludf.DUMMYFUNCTION("""COMPUTED_VALUE"""),0.679504814305364)</f>
        <v>0.6795048143</v>
      </c>
      <c r="G201" s="8">
        <f>IFERROR(__xludf.DUMMYFUNCTION("""COMPUTED_VALUE"""),0.616231086657496)</f>
        <v>0.6162310867</v>
      </c>
      <c r="H201" s="8">
        <f>IFERROR(__xludf.DUMMYFUNCTION("""COMPUTED_VALUE"""),0.545454545454545)</f>
        <v>0.5454545455</v>
      </c>
      <c r="I201" s="8">
        <f>IFERROR(__xludf.DUMMYFUNCTION("""COMPUTED_VALUE"""),0.505509641873278)</f>
        <v>0.5055096419</v>
      </c>
      <c r="J201" s="8">
        <f>IFERROR(__xludf.DUMMYFUNCTION("""COMPUTED_VALUE"""),0.493112947658402)</f>
        <v>0.4931129477</v>
      </c>
      <c r="K201" s="8">
        <f>IFERROR(__xludf.DUMMYFUNCTION("""COMPUTED_VALUE"""),0.457182320441989)</f>
        <v>0.4571823204</v>
      </c>
      <c r="L201" s="8">
        <f>IFERROR(__xludf.DUMMYFUNCTION("""COMPUTED_VALUE"""),0.43646408839779)</f>
        <v>0.4364640884</v>
      </c>
      <c r="M201" s="8">
        <f>IFERROR(__xludf.DUMMYFUNCTION("""COMPUTED_VALUE"""),0.414364640883977)</f>
        <v>0.4143646409</v>
      </c>
      <c r="N201" s="8">
        <f>IFERROR(__xludf.DUMMYFUNCTION("""COMPUTED_VALUE"""),0.401933701657458)</f>
        <v>0.4019337017</v>
      </c>
      <c r="O201" s="8">
        <f>IFERROR(__xludf.DUMMYFUNCTION("""COMPUTED_VALUE"""),0.317991631799163)</f>
        <v>0.3179916318</v>
      </c>
      <c r="P201" s="8">
        <f>IFERROR(__xludf.DUMMYFUNCTION("""COMPUTED_VALUE"""),0.221590909090909)</f>
        <v>0.2215909091</v>
      </c>
      <c r="Q201" s="8">
        <f>IFERROR(__xludf.DUMMYFUNCTION("""COMPUTED_VALUE"""),0.146666666666666)</f>
        <v>0.1466666667</v>
      </c>
      <c r="R201" s="8">
        <f>IFERROR(__xludf.DUMMYFUNCTION("""COMPUTED_VALUE"""),0.0746268656716417)</f>
        <v>0.07462686567</v>
      </c>
      <c r="S201" s="8">
        <f>IFERROR(__xludf.DUMMYFUNCTION("""COMPUTED_VALUE"""),0.0674846625766871)</f>
        <v>0.06748466258</v>
      </c>
      <c r="T201" s="8">
        <f>IFERROR(__xludf.DUMMYFUNCTION("""COMPUTED_VALUE"""),0.0)</f>
        <v>0</v>
      </c>
      <c r="U201" s="8">
        <f>IFERROR(__xludf.DUMMYFUNCTION("""COMPUTED_VALUE"""),0.0)</f>
        <v>0</v>
      </c>
      <c r="V201" s="8">
        <f>IFERROR(__xludf.DUMMYFUNCTION("""COMPUTED_VALUE"""),0.0)</f>
        <v>0</v>
      </c>
      <c r="W201" s="8">
        <f>IFERROR(__xludf.DUMMYFUNCTION("""COMPUTED_VALUE"""),0.0)</f>
        <v>0</v>
      </c>
      <c r="X201" s="8">
        <f>IFERROR(__xludf.DUMMYFUNCTION("""COMPUTED_VALUE"""),0.0)</f>
        <v>0</v>
      </c>
      <c r="Y201" s="8">
        <f>IFERROR(__xludf.DUMMYFUNCTION("""COMPUTED_VALUE"""),0.0)</f>
        <v>0</v>
      </c>
      <c r="Z201" s="8">
        <f>IFERROR(__xludf.DUMMYFUNCTION("""COMPUTED_VALUE"""),0.0)</f>
        <v>0</v>
      </c>
      <c r="AA201" s="8">
        <f>IFERROR(__xludf.DUMMYFUNCTION("""COMPUTED_VALUE"""),0.0)</f>
        <v>0</v>
      </c>
      <c r="AB201" s="8">
        <f>IFERROR(__xludf.DUMMYFUNCTION("""COMPUTED_VALUE"""),0.0)</f>
        <v>0</v>
      </c>
      <c r="AC201" s="8">
        <f>IFERROR(__xludf.DUMMYFUNCTION("""COMPUTED_VALUE"""),0.0)</f>
        <v>0</v>
      </c>
    </row>
    <row r="202" ht="15.75" customHeight="1">
      <c r="A202" s="6" t="str">
        <f>IFERROR(__xludf.DUMMYFUNCTION("""COMPUTED_VALUE"""),"b2e0e008665e30068057a1556346d5473a8ed579")</f>
        <v>b2e0e008665e30068057a1556346d5473a8ed579</v>
      </c>
      <c r="B202" s="6" t="str">
        <f>IFERROR(__xludf.DUMMYFUNCTION("""COMPUTED_VALUE"""),"Legend of Cursed Blood ")</f>
        <v>Legend of Cursed Blood </v>
      </c>
      <c r="C202" s="6" t="str">
        <f>IFERROR(__xludf.DUMMYFUNCTION("""COMPUTED_VALUE"""),"Fantasy")</f>
        <v>Fantasy</v>
      </c>
      <c r="D202" s="11">
        <f>IFERROR(__xludf.DUMMYFUNCTION("""COMPUTED_VALUE"""),89.0)</f>
        <v>89</v>
      </c>
      <c r="E202" s="8">
        <f>IFERROR(__xludf.DUMMYFUNCTION("""COMPUTED_VALUE"""),0.98876404494382)</f>
        <v>0.9887640449</v>
      </c>
      <c r="F202" s="8">
        <f>IFERROR(__xludf.DUMMYFUNCTION("""COMPUTED_VALUE"""),0.426966292134831)</f>
        <v>0.4269662921</v>
      </c>
      <c r="G202" s="8">
        <f>IFERROR(__xludf.DUMMYFUNCTION("""COMPUTED_VALUE"""),0.325842696629213)</f>
        <v>0.3258426966</v>
      </c>
      <c r="H202" s="8">
        <f>IFERROR(__xludf.DUMMYFUNCTION("""COMPUTED_VALUE"""),0.275862068965517)</f>
        <v>0.275862069</v>
      </c>
      <c r="I202" s="8">
        <f>IFERROR(__xludf.DUMMYFUNCTION("""COMPUTED_VALUE"""),0.267441860465116)</f>
        <v>0.2674418605</v>
      </c>
      <c r="J202" s="8">
        <f>IFERROR(__xludf.DUMMYFUNCTION("""COMPUTED_VALUE"""),0.214285714285714)</f>
        <v>0.2142857143</v>
      </c>
      <c r="K202" s="8">
        <f>IFERROR(__xludf.DUMMYFUNCTION("""COMPUTED_VALUE"""),0.182926829268292)</f>
        <v>0.1829268293</v>
      </c>
      <c r="L202" s="8">
        <f>IFERROR(__xludf.DUMMYFUNCTION("""COMPUTED_VALUE"""),0.217948717948717)</f>
        <v>0.2179487179</v>
      </c>
      <c r="M202" s="8">
        <f>IFERROR(__xludf.DUMMYFUNCTION("""COMPUTED_VALUE"""),0.2)</f>
        <v>0.2</v>
      </c>
      <c r="N202" s="8">
        <f>IFERROR(__xludf.DUMMYFUNCTION("""COMPUTED_VALUE"""),0.208333333333333)</f>
        <v>0.2083333333</v>
      </c>
      <c r="O202" s="8">
        <f>IFERROR(__xludf.DUMMYFUNCTION("""COMPUTED_VALUE"""),0.133333333333333)</f>
        <v>0.1333333333</v>
      </c>
      <c r="P202" s="8">
        <f>IFERROR(__xludf.DUMMYFUNCTION("""COMPUTED_VALUE"""),0.0892857142857142)</f>
        <v>0.08928571429</v>
      </c>
      <c r="Q202" s="8">
        <f>IFERROR(__xludf.DUMMYFUNCTION("""COMPUTED_VALUE"""),0.0576923076923076)</f>
        <v>0.05769230769</v>
      </c>
      <c r="R202" s="8">
        <f>IFERROR(__xludf.DUMMYFUNCTION("""COMPUTED_VALUE"""),0.0444444444444444)</f>
        <v>0.04444444444</v>
      </c>
      <c r="S202" s="8">
        <f>IFERROR(__xludf.DUMMYFUNCTION("""COMPUTED_VALUE"""),0.048780487804878)</f>
        <v>0.0487804878</v>
      </c>
      <c r="T202" s="8">
        <f>IFERROR(__xludf.DUMMYFUNCTION("""COMPUTED_VALUE"""),0.0)</f>
        <v>0</v>
      </c>
      <c r="U202" s="8">
        <f>IFERROR(__xludf.DUMMYFUNCTION("""COMPUTED_VALUE"""),0.0)</f>
        <v>0</v>
      </c>
      <c r="V202" s="8">
        <f>IFERROR(__xludf.DUMMYFUNCTION("""COMPUTED_VALUE"""),0.0)</f>
        <v>0</v>
      </c>
      <c r="W202" s="8">
        <f>IFERROR(__xludf.DUMMYFUNCTION("""COMPUTED_VALUE"""),0.0)</f>
        <v>0</v>
      </c>
      <c r="X202" s="8">
        <f>IFERROR(__xludf.DUMMYFUNCTION("""COMPUTED_VALUE"""),0.0)</f>
        <v>0</v>
      </c>
      <c r="Y202" s="8">
        <f>IFERROR(__xludf.DUMMYFUNCTION("""COMPUTED_VALUE"""),0.0)</f>
        <v>0</v>
      </c>
      <c r="Z202" s="8">
        <f>IFERROR(__xludf.DUMMYFUNCTION("""COMPUTED_VALUE"""),0.0)</f>
        <v>0</v>
      </c>
      <c r="AA202" s="8">
        <f>IFERROR(__xludf.DUMMYFUNCTION("""COMPUTED_VALUE"""),0.0)</f>
        <v>0</v>
      </c>
      <c r="AB202" s="8">
        <f>IFERROR(__xludf.DUMMYFUNCTION("""COMPUTED_VALUE"""),0.0)</f>
        <v>0</v>
      </c>
      <c r="AC202" s="8">
        <f>IFERROR(__xludf.DUMMYFUNCTION("""COMPUTED_VALUE"""),0.0)</f>
        <v>0</v>
      </c>
    </row>
    <row r="203" ht="15.75" customHeight="1">
      <c r="A203" s="6" t="str">
        <f>IFERROR(__xludf.DUMMYFUNCTION("""COMPUTED_VALUE"""),"b4357a596922bd37b47ec2573cd92ac18997c713")</f>
        <v>b4357a596922bd37b47ec2573cd92ac18997c713</v>
      </c>
      <c r="B203" s="6" t="str">
        <f>IFERROR(__xludf.DUMMYFUNCTION("""COMPUTED_VALUE"""),"Immortal Ascension")</f>
        <v>Immortal Ascension</v>
      </c>
      <c r="C203" s="6" t="str">
        <f>IFERROR(__xludf.DUMMYFUNCTION("""COMPUTED_VALUE"""),"System and Superpower")</f>
        <v>System and Superpower</v>
      </c>
      <c r="D203" s="11">
        <f>IFERROR(__xludf.DUMMYFUNCTION("""COMPUTED_VALUE"""),45.0)</f>
        <v>45</v>
      </c>
      <c r="E203" s="8">
        <f>IFERROR(__xludf.DUMMYFUNCTION("""COMPUTED_VALUE"""),1.0)</f>
        <v>1</v>
      </c>
      <c r="F203" s="8">
        <f>IFERROR(__xludf.DUMMYFUNCTION("""COMPUTED_VALUE"""),0.488888888888888)</f>
        <v>0.4888888889</v>
      </c>
      <c r="G203" s="8">
        <f>IFERROR(__xludf.DUMMYFUNCTION("""COMPUTED_VALUE"""),0.4)</f>
        <v>0.4</v>
      </c>
      <c r="H203" s="8">
        <f>IFERROR(__xludf.DUMMYFUNCTION("""COMPUTED_VALUE"""),0.355555555555555)</f>
        <v>0.3555555556</v>
      </c>
      <c r="I203" s="8">
        <f>IFERROR(__xludf.DUMMYFUNCTION("""COMPUTED_VALUE"""),0.355555555555555)</f>
        <v>0.3555555556</v>
      </c>
      <c r="J203" s="8">
        <f>IFERROR(__xludf.DUMMYFUNCTION("""COMPUTED_VALUE"""),0.333333333333333)</f>
        <v>0.3333333333</v>
      </c>
      <c r="K203" s="8">
        <f>IFERROR(__xludf.DUMMYFUNCTION("""COMPUTED_VALUE"""),0.311111111111111)</f>
        <v>0.3111111111</v>
      </c>
      <c r="L203" s="8">
        <f>IFERROR(__xludf.DUMMYFUNCTION("""COMPUTED_VALUE"""),0.244444444444444)</f>
        <v>0.2444444444</v>
      </c>
      <c r="M203" s="8">
        <f>IFERROR(__xludf.DUMMYFUNCTION("""COMPUTED_VALUE"""),0.244444444444444)</f>
        <v>0.2444444444</v>
      </c>
      <c r="N203" s="8">
        <f>IFERROR(__xludf.DUMMYFUNCTION("""COMPUTED_VALUE"""),0.222222222222222)</f>
        <v>0.2222222222</v>
      </c>
      <c r="O203" s="8">
        <f>IFERROR(__xludf.DUMMYFUNCTION("""COMPUTED_VALUE"""),0.177777777777777)</f>
        <v>0.1777777778</v>
      </c>
      <c r="P203" s="8">
        <f>IFERROR(__xludf.DUMMYFUNCTION("""COMPUTED_VALUE"""),0.0454545454545454)</f>
        <v>0.04545454545</v>
      </c>
      <c r="Q203" s="8">
        <f>IFERROR(__xludf.DUMMYFUNCTION("""COMPUTED_VALUE"""),0.0)</f>
        <v>0</v>
      </c>
      <c r="R203" s="8">
        <f>IFERROR(__xludf.DUMMYFUNCTION("""COMPUTED_VALUE"""),0.0)</f>
        <v>0</v>
      </c>
      <c r="S203" s="8">
        <f>IFERROR(__xludf.DUMMYFUNCTION("""COMPUTED_VALUE"""),0.0)</f>
        <v>0</v>
      </c>
      <c r="T203" s="8">
        <f>IFERROR(__xludf.DUMMYFUNCTION("""COMPUTED_VALUE"""),0.0)</f>
        <v>0</v>
      </c>
      <c r="U203" s="8">
        <f>IFERROR(__xludf.DUMMYFUNCTION("""COMPUTED_VALUE"""),0.0)</f>
        <v>0</v>
      </c>
      <c r="V203" s="8">
        <f>IFERROR(__xludf.DUMMYFUNCTION("""COMPUTED_VALUE"""),0.0)</f>
        <v>0</v>
      </c>
      <c r="W203" s="8">
        <f>IFERROR(__xludf.DUMMYFUNCTION("""COMPUTED_VALUE"""),0.0)</f>
        <v>0</v>
      </c>
      <c r="X203" s="8">
        <f>IFERROR(__xludf.DUMMYFUNCTION("""COMPUTED_VALUE"""),0.0)</f>
        <v>0</v>
      </c>
      <c r="Y203" s="8">
        <f>IFERROR(__xludf.DUMMYFUNCTION("""COMPUTED_VALUE"""),0.0)</f>
        <v>0</v>
      </c>
      <c r="Z203" s="8">
        <f>IFERROR(__xludf.DUMMYFUNCTION("""COMPUTED_VALUE"""),0.0)</f>
        <v>0</v>
      </c>
      <c r="AA203" s="8">
        <f>IFERROR(__xludf.DUMMYFUNCTION("""COMPUTED_VALUE"""),0.0)</f>
        <v>0</v>
      </c>
      <c r="AB203" s="8">
        <f>IFERROR(__xludf.DUMMYFUNCTION("""COMPUTED_VALUE"""),0.0)</f>
        <v>0</v>
      </c>
      <c r="AC203" s="8">
        <f>IFERROR(__xludf.DUMMYFUNCTION("""COMPUTED_VALUE"""),0.0)</f>
        <v>0</v>
      </c>
    </row>
    <row r="204" ht="15.75" customHeight="1">
      <c r="A204" s="6" t="str">
        <f>IFERROR(__xludf.DUMMYFUNCTION("""COMPUTED_VALUE"""),"b4ba67822e15bf23c0044676b09f1aeb405d154f")</f>
        <v>b4ba67822e15bf23c0044676b09f1aeb405d154f</v>
      </c>
      <c r="B204" s="6" t="str">
        <f>IFERROR(__xludf.DUMMYFUNCTION("""COMPUTED_VALUE"""),"The Twin Affair")</f>
        <v>The Twin Affair</v>
      </c>
      <c r="C204" s="6" t="str">
        <f>IFERROR(__xludf.DUMMYFUNCTION("""COMPUTED_VALUE"""),"Romantasy")</f>
        <v>Romantasy</v>
      </c>
      <c r="D204" s="11">
        <f>IFERROR(__xludf.DUMMYFUNCTION("""COMPUTED_VALUE"""),1399.0)</f>
        <v>1399</v>
      </c>
      <c r="E204" s="8">
        <f>IFERROR(__xludf.DUMMYFUNCTION("""COMPUTED_VALUE"""),0.938527519656897)</f>
        <v>0.9385275197</v>
      </c>
      <c r="F204" s="8">
        <f>IFERROR(__xludf.DUMMYFUNCTION("""COMPUTED_VALUE"""),0.687634024303073)</f>
        <v>0.6876340243</v>
      </c>
      <c r="G204" s="8">
        <f>IFERROR(__xludf.DUMMYFUNCTION("""COMPUTED_VALUE"""),0.650464617583988)</f>
        <v>0.6504646176</v>
      </c>
      <c r="H204" s="8">
        <f>IFERROR(__xludf.DUMMYFUNCTION("""COMPUTED_VALUE"""),0.620443173695496)</f>
        <v>0.6204431737</v>
      </c>
      <c r="I204" s="8">
        <f>IFERROR(__xludf.DUMMYFUNCTION("""COMPUTED_VALUE"""),0.593995711222301)</f>
        <v>0.5939957112</v>
      </c>
      <c r="J204" s="8">
        <f>IFERROR(__xludf.DUMMYFUNCTION("""COMPUTED_VALUE"""),0.572551822730521)</f>
        <v>0.5725518227</v>
      </c>
      <c r="K204" s="8">
        <f>IFERROR(__xludf.DUMMYFUNCTION("""COMPUTED_VALUE"""),0.562544674767691)</f>
        <v>0.5625446748</v>
      </c>
      <c r="L204" s="8">
        <f>IFERROR(__xludf.DUMMYFUNCTION("""COMPUTED_VALUE"""),0.534667619728377)</f>
        <v>0.5346676197</v>
      </c>
      <c r="M204" s="8">
        <f>IFERROR(__xludf.DUMMYFUNCTION("""COMPUTED_VALUE"""),0.519656897784131)</f>
        <v>0.5196568978</v>
      </c>
      <c r="N204" s="8">
        <f>IFERROR(__xludf.DUMMYFUNCTION("""COMPUTED_VALUE"""),0.501786990707648)</f>
        <v>0.5017869907</v>
      </c>
      <c r="O204" s="8">
        <f>IFERROR(__xludf.DUMMYFUNCTION("""COMPUTED_VALUE"""),0.482487491065046)</f>
        <v>0.4824874911</v>
      </c>
      <c r="P204" s="8">
        <f>IFERROR(__xludf.DUMMYFUNCTION("""COMPUTED_VALUE"""),0.445955619183965)</f>
        <v>0.4459556192</v>
      </c>
      <c r="Q204" s="8">
        <f>IFERROR(__xludf.DUMMYFUNCTION("""COMPUTED_VALUE"""),0.273578113750899)</f>
        <v>0.2735781138</v>
      </c>
      <c r="R204" s="8">
        <f>IFERROR(__xludf.DUMMYFUNCTION("""COMPUTED_VALUE"""),0.138888888888888)</f>
        <v>0.1388888889</v>
      </c>
      <c r="S204" s="8">
        <f>IFERROR(__xludf.DUMMYFUNCTION("""COMPUTED_VALUE"""),0.0)</f>
        <v>0</v>
      </c>
      <c r="T204" s="8">
        <f>IFERROR(__xludf.DUMMYFUNCTION("""COMPUTED_VALUE"""),0.0)</f>
        <v>0</v>
      </c>
      <c r="U204" s="8">
        <f>IFERROR(__xludf.DUMMYFUNCTION("""COMPUTED_VALUE"""),0.0)</f>
        <v>0</v>
      </c>
      <c r="V204" s="8">
        <f>IFERROR(__xludf.DUMMYFUNCTION("""COMPUTED_VALUE"""),0.0)</f>
        <v>0</v>
      </c>
      <c r="W204" s="8">
        <f>IFERROR(__xludf.DUMMYFUNCTION("""COMPUTED_VALUE"""),0.0)</f>
        <v>0</v>
      </c>
      <c r="X204" s="8">
        <f>IFERROR(__xludf.DUMMYFUNCTION("""COMPUTED_VALUE"""),0.0)</f>
        <v>0</v>
      </c>
      <c r="Y204" s="8">
        <f>IFERROR(__xludf.DUMMYFUNCTION("""COMPUTED_VALUE"""),0.0)</f>
        <v>0</v>
      </c>
      <c r="Z204" s="8">
        <f>IFERROR(__xludf.DUMMYFUNCTION("""COMPUTED_VALUE"""),0.0)</f>
        <v>0</v>
      </c>
      <c r="AA204" s="8">
        <f>IFERROR(__xludf.DUMMYFUNCTION("""COMPUTED_VALUE"""),0.0)</f>
        <v>0</v>
      </c>
      <c r="AB204" s="8">
        <f>IFERROR(__xludf.DUMMYFUNCTION("""COMPUTED_VALUE"""),0.0)</f>
        <v>0</v>
      </c>
      <c r="AC204" s="8">
        <f>IFERROR(__xludf.DUMMYFUNCTION("""COMPUTED_VALUE"""),0.0)</f>
        <v>0</v>
      </c>
    </row>
    <row r="205" ht="15.75" customHeight="1">
      <c r="A205" s="6" t="str">
        <f>IFERROR(__xludf.DUMMYFUNCTION("""COMPUTED_VALUE"""),"b6ceacf9ec08a19cb30826c8277260c2339da0b3")</f>
        <v>b6ceacf9ec08a19cb30826c8277260c2339da0b3</v>
      </c>
      <c r="B205" s="6" t="str">
        <f>IFERROR(__xludf.DUMMYFUNCTION("""COMPUTED_VALUE"""),"Ruthless Betrayal ")</f>
        <v>Ruthless Betrayal </v>
      </c>
      <c r="C205" s="6" t="str">
        <f>IFERROR(__xludf.DUMMYFUNCTION("""COMPUTED_VALUE"""),"Romance")</f>
        <v>Romance</v>
      </c>
      <c r="D205" s="11">
        <f>IFERROR(__xludf.DUMMYFUNCTION("""COMPUTED_VALUE"""),261.0)</f>
        <v>261</v>
      </c>
      <c r="E205" s="8">
        <f>IFERROR(__xludf.DUMMYFUNCTION("""COMPUTED_VALUE"""),0.957854406130268)</f>
        <v>0.9578544061</v>
      </c>
      <c r="F205" s="8">
        <f>IFERROR(__xludf.DUMMYFUNCTION("""COMPUTED_VALUE"""),0.486590038314176)</f>
        <v>0.4865900383</v>
      </c>
      <c r="G205" s="8">
        <f>IFERROR(__xludf.DUMMYFUNCTION("""COMPUTED_VALUE"""),0.39463601532567)</f>
        <v>0.3946360153</v>
      </c>
      <c r="H205" s="8">
        <f>IFERROR(__xludf.DUMMYFUNCTION("""COMPUTED_VALUE"""),0.373540856031128)</f>
        <v>0.373540856</v>
      </c>
      <c r="I205" s="8">
        <f>IFERROR(__xludf.DUMMYFUNCTION("""COMPUTED_VALUE"""),0.365758754863813)</f>
        <v>0.3657587549</v>
      </c>
      <c r="J205" s="8">
        <f>IFERROR(__xludf.DUMMYFUNCTION("""COMPUTED_VALUE"""),0.329411764705882)</f>
        <v>0.3294117647</v>
      </c>
      <c r="K205" s="8">
        <f>IFERROR(__xludf.DUMMYFUNCTION("""COMPUTED_VALUE"""),0.285714285714285)</f>
        <v>0.2857142857</v>
      </c>
      <c r="L205" s="8">
        <f>IFERROR(__xludf.DUMMYFUNCTION("""COMPUTED_VALUE"""),0.236734693877551)</f>
        <v>0.2367346939</v>
      </c>
      <c r="M205" s="8">
        <f>IFERROR(__xludf.DUMMYFUNCTION("""COMPUTED_VALUE"""),0.269709543568464)</f>
        <v>0.2697095436</v>
      </c>
      <c r="N205" s="8">
        <f>IFERROR(__xludf.DUMMYFUNCTION("""COMPUTED_VALUE"""),0.22077922077922)</f>
        <v>0.2207792208</v>
      </c>
      <c r="O205" s="8">
        <f>IFERROR(__xludf.DUMMYFUNCTION("""COMPUTED_VALUE"""),0.201970443349753)</f>
        <v>0.2019704433</v>
      </c>
      <c r="P205" s="8">
        <f>IFERROR(__xludf.DUMMYFUNCTION("""COMPUTED_VALUE"""),0.0808080808080808)</f>
        <v>0.08080808081</v>
      </c>
      <c r="Q205" s="8">
        <f>IFERROR(__xludf.DUMMYFUNCTION("""COMPUTED_VALUE"""),0.0380434782608695)</f>
        <v>0.03804347826</v>
      </c>
      <c r="R205" s="8">
        <f>IFERROR(__xludf.DUMMYFUNCTION("""COMPUTED_VALUE"""),0.0)</f>
        <v>0</v>
      </c>
      <c r="S205" s="8">
        <f>IFERROR(__xludf.DUMMYFUNCTION("""COMPUTED_VALUE"""),0.0)</f>
        <v>0</v>
      </c>
      <c r="T205" s="8">
        <f>IFERROR(__xludf.DUMMYFUNCTION("""COMPUTED_VALUE"""),0.0)</f>
        <v>0</v>
      </c>
      <c r="U205" s="8">
        <f>IFERROR(__xludf.DUMMYFUNCTION("""COMPUTED_VALUE"""),0.0)</f>
        <v>0</v>
      </c>
      <c r="V205" s="8">
        <f>IFERROR(__xludf.DUMMYFUNCTION("""COMPUTED_VALUE"""),0.0)</f>
        <v>0</v>
      </c>
      <c r="W205" s="8">
        <f>IFERROR(__xludf.DUMMYFUNCTION("""COMPUTED_VALUE"""),0.0)</f>
        <v>0</v>
      </c>
      <c r="X205" s="8">
        <f>IFERROR(__xludf.DUMMYFUNCTION("""COMPUTED_VALUE"""),0.0)</f>
        <v>0</v>
      </c>
      <c r="Y205" s="8">
        <f>IFERROR(__xludf.DUMMYFUNCTION("""COMPUTED_VALUE"""),0.0)</f>
        <v>0</v>
      </c>
      <c r="Z205" s="8">
        <f>IFERROR(__xludf.DUMMYFUNCTION("""COMPUTED_VALUE"""),0.0)</f>
        <v>0</v>
      </c>
      <c r="AA205" s="8">
        <f>IFERROR(__xludf.DUMMYFUNCTION("""COMPUTED_VALUE"""),0.0)</f>
        <v>0</v>
      </c>
      <c r="AB205" s="8">
        <f>IFERROR(__xludf.DUMMYFUNCTION("""COMPUTED_VALUE"""),0.0)</f>
        <v>0</v>
      </c>
      <c r="AC205" s="8">
        <f>IFERROR(__xludf.DUMMYFUNCTION("""COMPUTED_VALUE"""),0.0)</f>
        <v>0</v>
      </c>
    </row>
    <row r="206" ht="15.75" customHeight="1">
      <c r="A206" s="6" t="str">
        <f>IFERROR(__xludf.DUMMYFUNCTION("""COMPUTED_VALUE"""),"b6dcffd8fcb56899f1036740aa43dcb9b648ffe5")</f>
        <v>b6dcffd8fcb56899f1036740aa43dcb9b648ffe5</v>
      </c>
      <c r="B206" s="6" t="str">
        <f>IFERROR(__xludf.DUMMYFUNCTION("""COMPUTED_VALUE"""),"His Zealous Years Ahead")</f>
        <v>His Zealous Years Ahead</v>
      </c>
      <c r="C206" s="6" t="str">
        <f>IFERROR(__xludf.DUMMYFUNCTION("""COMPUTED_VALUE"""),"Fantasy")</f>
        <v>Fantasy</v>
      </c>
      <c r="D206" s="11">
        <f>IFERROR(__xludf.DUMMYFUNCTION("""COMPUTED_VALUE"""),32.0)</f>
        <v>32</v>
      </c>
      <c r="E206" s="8">
        <f>IFERROR(__xludf.DUMMYFUNCTION("""COMPUTED_VALUE"""),1.0)</f>
        <v>1</v>
      </c>
      <c r="F206" s="8">
        <f>IFERROR(__xludf.DUMMYFUNCTION("""COMPUTED_VALUE"""),0.40625)</f>
        <v>0.40625</v>
      </c>
      <c r="G206" s="8">
        <f>IFERROR(__xludf.DUMMYFUNCTION("""COMPUTED_VALUE"""),0.34375)</f>
        <v>0.34375</v>
      </c>
      <c r="H206" s="8">
        <f>IFERROR(__xludf.DUMMYFUNCTION("""COMPUTED_VALUE"""),0.275862068965517)</f>
        <v>0.275862069</v>
      </c>
      <c r="I206" s="8">
        <f>IFERROR(__xludf.DUMMYFUNCTION("""COMPUTED_VALUE"""),0.185185185185185)</f>
        <v>0.1851851852</v>
      </c>
      <c r="J206" s="8">
        <f>IFERROR(__xludf.DUMMYFUNCTION("""COMPUTED_VALUE"""),0.227272727272727)</f>
        <v>0.2272727273</v>
      </c>
      <c r="K206" s="8">
        <f>IFERROR(__xludf.DUMMYFUNCTION("""COMPUTED_VALUE"""),0.227272727272727)</f>
        <v>0.2272727273</v>
      </c>
      <c r="L206" s="8">
        <f>IFERROR(__xludf.DUMMYFUNCTION("""COMPUTED_VALUE"""),0.105263157894736)</f>
        <v>0.1052631579</v>
      </c>
      <c r="M206" s="8">
        <f>IFERROR(__xludf.DUMMYFUNCTION("""COMPUTED_VALUE"""),0.0526315789473684)</f>
        <v>0.05263157895</v>
      </c>
      <c r="N206" s="8">
        <f>IFERROR(__xludf.DUMMYFUNCTION("""COMPUTED_VALUE"""),0.0625)</f>
        <v>0.0625</v>
      </c>
      <c r="O206" s="8">
        <f>IFERROR(__xludf.DUMMYFUNCTION("""COMPUTED_VALUE"""),0.1)</f>
        <v>0.1</v>
      </c>
      <c r="P206" s="8">
        <f>IFERROR(__xludf.DUMMYFUNCTION("""COMPUTED_VALUE"""),0.0)</f>
        <v>0</v>
      </c>
      <c r="Q206" s="8">
        <f>IFERROR(__xludf.DUMMYFUNCTION("""COMPUTED_VALUE"""),0.0)</f>
        <v>0</v>
      </c>
      <c r="R206" s="8">
        <f>IFERROR(__xludf.DUMMYFUNCTION("""COMPUTED_VALUE"""),0.0)</f>
        <v>0</v>
      </c>
      <c r="S206" s="8">
        <f>IFERROR(__xludf.DUMMYFUNCTION("""COMPUTED_VALUE"""),0.0)</f>
        <v>0</v>
      </c>
      <c r="T206" s="8">
        <f>IFERROR(__xludf.DUMMYFUNCTION("""COMPUTED_VALUE"""),0.0)</f>
        <v>0</v>
      </c>
      <c r="U206" s="8">
        <f>IFERROR(__xludf.DUMMYFUNCTION("""COMPUTED_VALUE"""),0.0)</f>
        <v>0</v>
      </c>
      <c r="V206" s="8">
        <f>IFERROR(__xludf.DUMMYFUNCTION("""COMPUTED_VALUE"""),0.0)</f>
        <v>0</v>
      </c>
      <c r="W206" s="8">
        <f>IFERROR(__xludf.DUMMYFUNCTION("""COMPUTED_VALUE"""),0.0)</f>
        <v>0</v>
      </c>
      <c r="X206" s="8">
        <f>IFERROR(__xludf.DUMMYFUNCTION("""COMPUTED_VALUE"""),0.0)</f>
        <v>0</v>
      </c>
      <c r="Y206" s="8">
        <f>IFERROR(__xludf.DUMMYFUNCTION("""COMPUTED_VALUE"""),0.0)</f>
        <v>0</v>
      </c>
      <c r="Z206" s="8">
        <f>IFERROR(__xludf.DUMMYFUNCTION("""COMPUTED_VALUE"""),0.0)</f>
        <v>0</v>
      </c>
      <c r="AA206" s="8">
        <f>IFERROR(__xludf.DUMMYFUNCTION("""COMPUTED_VALUE"""),0.0)</f>
        <v>0</v>
      </c>
      <c r="AB206" s="8">
        <f>IFERROR(__xludf.DUMMYFUNCTION("""COMPUTED_VALUE"""),0.0)</f>
        <v>0</v>
      </c>
      <c r="AC206" s="8">
        <f>IFERROR(__xludf.DUMMYFUNCTION("""COMPUTED_VALUE"""),0.0)</f>
        <v>0</v>
      </c>
    </row>
    <row r="207" ht="15.75" customHeight="1">
      <c r="A207" s="6" t="str">
        <f>IFERROR(__xludf.DUMMYFUNCTION("""COMPUTED_VALUE"""),"b7410aeb19f92f7df4ccab821b5a28bfd7d73027")</f>
        <v>b7410aeb19f92f7df4ccab821b5a28bfd7d73027</v>
      </c>
      <c r="B207" s="6" t="str">
        <f>IFERROR(__xludf.DUMMYFUNCTION("""COMPUTED_VALUE"""),"Alpha Regulus")</f>
        <v>Alpha Regulus</v>
      </c>
      <c r="C207" s="6" t="str">
        <f>IFERROR(__xludf.DUMMYFUNCTION("""COMPUTED_VALUE"""),"Romantasy")</f>
        <v>Romantasy</v>
      </c>
      <c r="D207" s="11">
        <f>IFERROR(__xludf.DUMMYFUNCTION("""COMPUTED_VALUE"""),819.0)</f>
        <v>819</v>
      </c>
      <c r="E207" s="8">
        <f>IFERROR(__xludf.DUMMYFUNCTION("""COMPUTED_VALUE"""),0.979242979242979)</f>
        <v>0.9792429792</v>
      </c>
      <c r="F207" s="8">
        <f>IFERROR(__xludf.DUMMYFUNCTION("""COMPUTED_VALUE"""),0.532356532356532)</f>
        <v>0.5323565324</v>
      </c>
      <c r="G207" s="8">
        <f>IFERROR(__xludf.DUMMYFUNCTION("""COMPUTED_VALUE"""),0.415140415140415)</f>
        <v>0.4151404151</v>
      </c>
      <c r="H207" s="8">
        <f>IFERROR(__xludf.DUMMYFUNCTION("""COMPUTED_VALUE"""),0.34963325183374)</f>
        <v>0.3496332518</v>
      </c>
      <c r="I207" s="8">
        <f>IFERROR(__xludf.DUMMYFUNCTION("""COMPUTED_VALUE"""),0.284841075794621)</f>
        <v>0.2848410758</v>
      </c>
      <c r="J207" s="8">
        <f>IFERROR(__xludf.DUMMYFUNCTION("""COMPUTED_VALUE"""),0.257946210268948)</f>
        <v>0.2579462103</v>
      </c>
      <c r="K207" s="8">
        <f>IFERROR(__xludf.DUMMYFUNCTION("""COMPUTED_VALUE"""),0.234718826405867)</f>
        <v>0.2347188264</v>
      </c>
      <c r="L207" s="8">
        <f>IFERROR(__xludf.DUMMYFUNCTION("""COMPUTED_VALUE"""),0.199266503667481)</f>
        <v>0.1992665037</v>
      </c>
      <c r="M207" s="8">
        <f>IFERROR(__xludf.DUMMYFUNCTION("""COMPUTED_VALUE"""),0.184596577017114)</f>
        <v>0.184596577</v>
      </c>
      <c r="N207" s="8">
        <f>IFERROR(__xludf.DUMMYFUNCTION("""COMPUTED_VALUE"""),0.172582619339045)</f>
        <v>0.1725826193</v>
      </c>
      <c r="O207" s="8">
        <f>IFERROR(__xludf.DUMMYFUNCTION("""COMPUTED_VALUE"""),0.122981366459627)</f>
        <v>0.1229813665</v>
      </c>
      <c r="P207" s="8">
        <f>IFERROR(__xludf.DUMMYFUNCTION("""COMPUTED_VALUE"""),0.130755064456721)</f>
        <v>0.1307550645</v>
      </c>
      <c r="Q207" s="8">
        <f>IFERROR(__xludf.DUMMYFUNCTION("""COMPUTED_VALUE"""),0.0846325167037861)</f>
        <v>0.0846325167</v>
      </c>
      <c r="R207" s="8">
        <f>IFERROR(__xludf.DUMMYFUNCTION("""COMPUTED_VALUE"""),0.0647321428571428)</f>
        <v>0.06473214286</v>
      </c>
      <c r="S207" s="8">
        <f>IFERROR(__xludf.DUMMYFUNCTION("""COMPUTED_VALUE"""),0.0520361990950226)</f>
        <v>0.0520361991</v>
      </c>
      <c r="T207" s="8">
        <f>IFERROR(__xludf.DUMMYFUNCTION("""COMPUTED_VALUE"""),0.0482758620689655)</f>
        <v>0.04827586207</v>
      </c>
      <c r="U207" s="8">
        <f>IFERROR(__xludf.DUMMYFUNCTION("""COMPUTED_VALUE"""),0.0413793103448275)</f>
        <v>0.04137931034</v>
      </c>
      <c r="V207" s="8">
        <f>IFERROR(__xludf.DUMMYFUNCTION("""COMPUTED_VALUE"""),0.0344827586206896)</f>
        <v>0.03448275862</v>
      </c>
      <c r="W207" s="8">
        <f>IFERROR(__xludf.DUMMYFUNCTION("""COMPUTED_VALUE"""),0.0352112676056338)</f>
        <v>0.03521126761</v>
      </c>
      <c r="X207" s="8">
        <f>IFERROR(__xludf.DUMMYFUNCTION("""COMPUTED_VALUE"""),0.0285714285714285)</f>
        <v>0.02857142857</v>
      </c>
      <c r="Y207" s="8">
        <f>IFERROR(__xludf.DUMMYFUNCTION("""COMPUTED_VALUE"""),0.0)</f>
        <v>0</v>
      </c>
      <c r="Z207" s="8">
        <f>IFERROR(__xludf.DUMMYFUNCTION("""COMPUTED_VALUE"""),0.0)</f>
        <v>0</v>
      </c>
      <c r="AA207" s="8">
        <f>IFERROR(__xludf.DUMMYFUNCTION("""COMPUTED_VALUE"""),0.0)</f>
        <v>0</v>
      </c>
      <c r="AB207" s="8">
        <f>IFERROR(__xludf.DUMMYFUNCTION("""COMPUTED_VALUE"""),0.0)</f>
        <v>0</v>
      </c>
      <c r="AC207" s="8">
        <f>IFERROR(__xludf.DUMMYFUNCTION("""COMPUTED_VALUE"""),0.0)</f>
        <v>0</v>
      </c>
    </row>
    <row r="208" ht="15.75" customHeight="1">
      <c r="A208" s="6" t="str">
        <f>IFERROR(__xludf.DUMMYFUNCTION("""COMPUTED_VALUE"""),"b7e62e1ec65efcef334c2161afd00edf7b5a2b09")</f>
        <v>b7e62e1ec65efcef334c2161afd00edf7b5a2b09</v>
      </c>
      <c r="B208" s="6" t="str">
        <f>IFERROR(__xludf.DUMMYFUNCTION("""COMPUTED_VALUE"""),"Thrones and Passion")</f>
        <v>Thrones and Passion</v>
      </c>
      <c r="C208" s="6" t="str">
        <f>IFERROR(__xludf.DUMMYFUNCTION("""COMPUTED_VALUE"""),"Romance")</f>
        <v>Romance</v>
      </c>
      <c r="D208" s="11">
        <f>IFERROR(__xludf.DUMMYFUNCTION("""COMPUTED_VALUE"""),372.0)</f>
        <v>372</v>
      </c>
      <c r="E208" s="8">
        <f>IFERROR(__xludf.DUMMYFUNCTION("""COMPUTED_VALUE"""),0.989247311827957)</f>
        <v>0.9892473118</v>
      </c>
      <c r="F208" s="8">
        <f>IFERROR(__xludf.DUMMYFUNCTION("""COMPUTED_VALUE"""),0.456989247311827)</f>
        <v>0.4569892473</v>
      </c>
      <c r="G208" s="8">
        <f>IFERROR(__xludf.DUMMYFUNCTION("""COMPUTED_VALUE"""),0.370967741935483)</f>
        <v>0.3709677419</v>
      </c>
      <c r="H208" s="8">
        <f>IFERROR(__xludf.DUMMYFUNCTION("""COMPUTED_VALUE"""),0.327683615819209)</f>
        <v>0.3276836158</v>
      </c>
      <c r="I208" s="8">
        <f>IFERROR(__xludf.DUMMYFUNCTION("""COMPUTED_VALUE"""),0.312138728323699)</f>
        <v>0.3121387283</v>
      </c>
      <c r="J208" s="8">
        <f>IFERROR(__xludf.DUMMYFUNCTION("""COMPUTED_VALUE"""),0.290419161676646)</f>
        <v>0.2904191617</v>
      </c>
      <c r="K208" s="8">
        <f>IFERROR(__xludf.DUMMYFUNCTION("""COMPUTED_VALUE"""),0.285714285714285)</f>
        <v>0.2857142857</v>
      </c>
      <c r="L208" s="8">
        <f>IFERROR(__xludf.DUMMYFUNCTION("""COMPUTED_VALUE"""),0.267326732673267)</f>
        <v>0.2673267327</v>
      </c>
      <c r="M208" s="8">
        <f>IFERROR(__xludf.DUMMYFUNCTION("""COMPUTED_VALUE"""),0.236162361623616)</f>
        <v>0.2361623616</v>
      </c>
      <c r="N208" s="8">
        <f>IFERROR(__xludf.DUMMYFUNCTION("""COMPUTED_VALUE"""),0.189320388349514)</f>
        <v>0.1893203883</v>
      </c>
      <c r="O208" s="8">
        <f>IFERROR(__xludf.DUMMYFUNCTION("""COMPUTED_VALUE"""),0.260869565217391)</f>
        <v>0.2608695652</v>
      </c>
      <c r="P208" s="8">
        <f>IFERROR(__xludf.DUMMYFUNCTION("""COMPUTED_VALUE"""),0.136363636363636)</f>
        <v>0.1363636364</v>
      </c>
      <c r="Q208" s="8">
        <f>IFERROR(__xludf.DUMMYFUNCTION("""COMPUTED_VALUE"""),0.142857142857142)</f>
        <v>0.1428571429</v>
      </c>
      <c r="R208" s="8">
        <f>IFERROR(__xludf.DUMMYFUNCTION("""COMPUTED_VALUE"""),0.0)</f>
        <v>0</v>
      </c>
      <c r="S208" s="8">
        <f>IFERROR(__xludf.DUMMYFUNCTION("""COMPUTED_VALUE"""),0.0)</f>
        <v>0</v>
      </c>
      <c r="T208" s="8">
        <f>IFERROR(__xludf.DUMMYFUNCTION("""COMPUTED_VALUE"""),0.0)</f>
        <v>0</v>
      </c>
      <c r="U208" s="8">
        <f>IFERROR(__xludf.DUMMYFUNCTION("""COMPUTED_VALUE"""),0.0)</f>
        <v>0</v>
      </c>
      <c r="V208" s="8">
        <f>IFERROR(__xludf.DUMMYFUNCTION("""COMPUTED_VALUE"""),0.0)</f>
        <v>0</v>
      </c>
      <c r="W208" s="8">
        <f>IFERROR(__xludf.DUMMYFUNCTION("""COMPUTED_VALUE"""),0.0)</f>
        <v>0</v>
      </c>
      <c r="X208" s="8">
        <f>IFERROR(__xludf.DUMMYFUNCTION("""COMPUTED_VALUE"""),0.0)</f>
        <v>0</v>
      </c>
      <c r="Y208" s="8">
        <f>IFERROR(__xludf.DUMMYFUNCTION("""COMPUTED_VALUE"""),0.0)</f>
        <v>0</v>
      </c>
      <c r="Z208" s="8">
        <f>IFERROR(__xludf.DUMMYFUNCTION("""COMPUTED_VALUE"""),0.0)</f>
        <v>0</v>
      </c>
      <c r="AA208" s="8">
        <f>IFERROR(__xludf.DUMMYFUNCTION("""COMPUTED_VALUE"""),0.0)</f>
        <v>0</v>
      </c>
      <c r="AB208" s="8">
        <f>IFERROR(__xludf.DUMMYFUNCTION("""COMPUTED_VALUE"""),0.0)</f>
        <v>0</v>
      </c>
      <c r="AC208" s="8">
        <f>IFERROR(__xludf.DUMMYFUNCTION("""COMPUTED_VALUE"""),0.0)</f>
        <v>0</v>
      </c>
    </row>
    <row r="209" ht="15.75" customHeight="1">
      <c r="A209" s="6" t="str">
        <f>IFERROR(__xludf.DUMMYFUNCTION("""COMPUTED_VALUE"""),"ba0633322d2e3b1f5dc385fdef11110ad663eca3")</f>
        <v>ba0633322d2e3b1f5dc385fdef11110ad663eca3</v>
      </c>
      <c r="B209" s="6" t="str">
        <f>IFERROR(__xludf.DUMMYFUNCTION("""COMPUTED_VALUE"""),"Fated Billionaire Love")</f>
        <v>Fated Billionaire Love</v>
      </c>
      <c r="C209" s="6" t="str">
        <f>IFERROR(__xludf.DUMMYFUNCTION("""COMPUTED_VALUE"""),"Romance")</f>
        <v>Romance</v>
      </c>
      <c r="D209" s="11">
        <f>IFERROR(__xludf.DUMMYFUNCTION("""COMPUTED_VALUE"""),283.0)</f>
        <v>283</v>
      </c>
      <c r="E209" s="8">
        <f>IFERROR(__xludf.DUMMYFUNCTION("""COMPUTED_VALUE"""),0.957597173144876)</f>
        <v>0.9575971731</v>
      </c>
      <c r="F209" s="8">
        <f>IFERROR(__xludf.DUMMYFUNCTION("""COMPUTED_VALUE"""),0.692579505300353)</f>
        <v>0.6925795053</v>
      </c>
      <c r="G209" s="8">
        <f>IFERROR(__xludf.DUMMYFUNCTION("""COMPUTED_VALUE"""),0.554770318021201)</f>
        <v>0.554770318</v>
      </c>
      <c r="H209" s="8">
        <f>IFERROR(__xludf.DUMMYFUNCTION("""COMPUTED_VALUE"""),0.462897526501766)</f>
        <v>0.4628975265</v>
      </c>
      <c r="I209" s="8">
        <f>IFERROR(__xludf.DUMMYFUNCTION("""COMPUTED_VALUE"""),0.399293286219081)</f>
        <v>0.3992932862</v>
      </c>
      <c r="J209" s="8">
        <f>IFERROR(__xludf.DUMMYFUNCTION("""COMPUTED_VALUE"""),0.360424028268551)</f>
        <v>0.3604240283</v>
      </c>
      <c r="K209" s="8">
        <f>IFERROR(__xludf.DUMMYFUNCTION("""COMPUTED_VALUE"""),0.342756183745583)</f>
        <v>0.3427561837</v>
      </c>
      <c r="L209" s="8">
        <f>IFERROR(__xludf.DUMMYFUNCTION("""COMPUTED_VALUE"""),0.320284697508896)</f>
        <v>0.3202846975</v>
      </c>
      <c r="M209" s="8">
        <f>IFERROR(__xludf.DUMMYFUNCTION("""COMPUTED_VALUE"""),0.316725978647686)</f>
        <v>0.3167259786</v>
      </c>
      <c r="N209" s="8">
        <f>IFERROR(__xludf.DUMMYFUNCTION("""COMPUTED_VALUE"""),0.307142857142857)</f>
        <v>0.3071428571</v>
      </c>
      <c r="O209" s="8">
        <f>IFERROR(__xludf.DUMMYFUNCTION("""COMPUTED_VALUE"""),0.255395683453237)</f>
        <v>0.2553956835</v>
      </c>
      <c r="P209" s="8">
        <f>IFERROR(__xludf.DUMMYFUNCTION("""COMPUTED_VALUE"""),0.18978102189781)</f>
        <v>0.1897810219</v>
      </c>
      <c r="Q209" s="8">
        <f>IFERROR(__xludf.DUMMYFUNCTION("""COMPUTED_VALUE"""),0.118320610687022)</f>
        <v>0.1183206107</v>
      </c>
      <c r="R209" s="8">
        <f>IFERROR(__xludf.DUMMYFUNCTION("""COMPUTED_VALUE"""),0.0)</f>
        <v>0</v>
      </c>
      <c r="S209" s="8">
        <f>IFERROR(__xludf.DUMMYFUNCTION("""COMPUTED_VALUE"""),0.0)</f>
        <v>0</v>
      </c>
      <c r="T209" s="8">
        <f>IFERROR(__xludf.DUMMYFUNCTION("""COMPUTED_VALUE"""),0.0)</f>
        <v>0</v>
      </c>
      <c r="U209" s="8">
        <f>IFERROR(__xludf.DUMMYFUNCTION("""COMPUTED_VALUE"""),0.0)</f>
        <v>0</v>
      </c>
      <c r="V209" s="8">
        <f>IFERROR(__xludf.DUMMYFUNCTION("""COMPUTED_VALUE"""),0.0)</f>
        <v>0</v>
      </c>
      <c r="W209" s="8">
        <f>IFERROR(__xludf.DUMMYFUNCTION("""COMPUTED_VALUE"""),0.0)</f>
        <v>0</v>
      </c>
      <c r="X209" s="8">
        <f>IFERROR(__xludf.DUMMYFUNCTION("""COMPUTED_VALUE"""),0.0)</f>
        <v>0</v>
      </c>
      <c r="Y209" s="8">
        <f>IFERROR(__xludf.DUMMYFUNCTION("""COMPUTED_VALUE"""),0.0)</f>
        <v>0</v>
      </c>
      <c r="Z209" s="8">
        <f>IFERROR(__xludf.DUMMYFUNCTION("""COMPUTED_VALUE"""),0.0)</f>
        <v>0</v>
      </c>
      <c r="AA209" s="8">
        <f>IFERROR(__xludf.DUMMYFUNCTION("""COMPUTED_VALUE"""),0.0)</f>
        <v>0</v>
      </c>
      <c r="AB209" s="8">
        <f>IFERROR(__xludf.DUMMYFUNCTION("""COMPUTED_VALUE"""),0.0)</f>
        <v>0</v>
      </c>
      <c r="AC209" s="8">
        <f>IFERROR(__xludf.DUMMYFUNCTION("""COMPUTED_VALUE"""),0.0)</f>
        <v>0</v>
      </c>
    </row>
    <row r="210" ht="15.75" customHeight="1">
      <c r="A210" s="6" t="str">
        <f>IFERROR(__xludf.DUMMYFUNCTION("""COMPUTED_VALUE"""),"ba1065d04424754ef65327a97989402f6a123e5a")</f>
        <v>ba1065d04424754ef65327a97989402f6a123e5a</v>
      </c>
      <c r="B210" s="6" t="str">
        <f>IFERROR(__xludf.DUMMYFUNCTION("""COMPUTED_VALUE"""),"Yours by Accident")</f>
        <v>Yours by Accident</v>
      </c>
      <c r="C210" s="6" t="str">
        <f>IFERROR(__xludf.DUMMYFUNCTION("""COMPUTED_VALUE"""),"Romance")</f>
        <v>Romance</v>
      </c>
      <c r="D210" s="11">
        <f>IFERROR(__xludf.DUMMYFUNCTION("""COMPUTED_VALUE"""),152.0)</f>
        <v>152</v>
      </c>
      <c r="E210" s="8">
        <f>IFERROR(__xludf.DUMMYFUNCTION("""COMPUTED_VALUE"""),0.980263157894736)</f>
        <v>0.9802631579</v>
      </c>
      <c r="F210" s="8">
        <f>IFERROR(__xludf.DUMMYFUNCTION("""COMPUTED_VALUE"""),0.526315789473684)</f>
        <v>0.5263157895</v>
      </c>
      <c r="G210" s="8">
        <f>IFERROR(__xludf.DUMMYFUNCTION("""COMPUTED_VALUE"""),0.453947368421052)</f>
        <v>0.4539473684</v>
      </c>
      <c r="H210" s="8">
        <f>IFERROR(__xludf.DUMMYFUNCTION("""COMPUTED_VALUE"""),0.395973154362416)</f>
        <v>0.3959731544</v>
      </c>
      <c r="I210" s="8">
        <f>IFERROR(__xludf.DUMMYFUNCTION("""COMPUTED_VALUE"""),0.297297297297297)</f>
        <v>0.2972972973</v>
      </c>
      <c r="J210" s="8">
        <f>IFERROR(__xludf.DUMMYFUNCTION("""COMPUTED_VALUE"""),0.27891156462585)</f>
        <v>0.2789115646</v>
      </c>
      <c r="K210" s="8">
        <f>IFERROR(__xludf.DUMMYFUNCTION("""COMPUTED_VALUE"""),0.258503401360544)</f>
        <v>0.2585034014</v>
      </c>
      <c r="L210" s="8">
        <f>IFERROR(__xludf.DUMMYFUNCTION("""COMPUTED_VALUE"""),0.244604316546762)</f>
        <v>0.2446043165</v>
      </c>
      <c r="M210" s="8">
        <f>IFERROR(__xludf.DUMMYFUNCTION("""COMPUTED_VALUE"""),0.240875912408759)</f>
        <v>0.2408759124</v>
      </c>
      <c r="N210" s="8">
        <f>IFERROR(__xludf.DUMMYFUNCTION("""COMPUTED_VALUE"""),0.1953125)</f>
        <v>0.1953125</v>
      </c>
      <c r="O210" s="8">
        <f>IFERROR(__xludf.DUMMYFUNCTION("""COMPUTED_VALUE"""),0.163636363636363)</f>
        <v>0.1636363636</v>
      </c>
      <c r="P210" s="8">
        <f>IFERROR(__xludf.DUMMYFUNCTION("""COMPUTED_VALUE"""),0.0970873786407767)</f>
        <v>0.09708737864</v>
      </c>
      <c r="Q210" s="8">
        <f>IFERROR(__xludf.DUMMYFUNCTION("""COMPUTED_VALUE"""),0.0618556701030927)</f>
        <v>0.0618556701</v>
      </c>
      <c r="R210" s="8">
        <f>IFERROR(__xludf.DUMMYFUNCTION("""COMPUTED_VALUE"""),0.0309278350515463)</f>
        <v>0.03092783505</v>
      </c>
      <c r="S210" s="8">
        <f>IFERROR(__xludf.DUMMYFUNCTION("""COMPUTED_VALUE"""),0.0108695652173913)</f>
        <v>0.01086956522</v>
      </c>
      <c r="T210" s="8">
        <f>IFERROR(__xludf.DUMMYFUNCTION("""COMPUTED_VALUE"""),0.0)</f>
        <v>0</v>
      </c>
      <c r="U210" s="8">
        <f>IFERROR(__xludf.DUMMYFUNCTION("""COMPUTED_VALUE"""),0.0)</f>
        <v>0</v>
      </c>
      <c r="V210" s="8">
        <f>IFERROR(__xludf.DUMMYFUNCTION("""COMPUTED_VALUE"""),0.0)</f>
        <v>0</v>
      </c>
      <c r="W210" s="8">
        <f>IFERROR(__xludf.DUMMYFUNCTION("""COMPUTED_VALUE"""),0.0)</f>
        <v>0</v>
      </c>
      <c r="X210" s="8">
        <f>IFERROR(__xludf.DUMMYFUNCTION("""COMPUTED_VALUE"""),0.0)</f>
        <v>0</v>
      </c>
      <c r="Y210" s="8">
        <f>IFERROR(__xludf.DUMMYFUNCTION("""COMPUTED_VALUE"""),0.0)</f>
        <v>0</v>
      </c>
      <c r="Z210" s="8">
        <f>IFERROR(__xludf.DUMMYFUNCTION("""COMPUTED_VALUE"""),0.0)</f>
        <v>0</v>
      </c>
      <c r="AA210" s="8">
        <f>IFERROR(__xludf.DUMMYFUNCTION("""COMPUTED_VALUE"""),0.0)</f>
        <v>0</v>
      </c>
      <c r="AB210" s="8">
        <f>IFERROR(__xludf.DUMMYFUNCTION("""COMPUTED_VALUE"""),0.0)</f>
        <v>0</v>
      </c>
      <c r="AC210" s="8">
        <f>IFERROR(__xludf.DUMMYFUNCTION("""COMPUTED_VALUE"""),0.0)</f>
        <v>0</v>
      </c>
    </row>
    <row r="211" ht="15.75" customHeight="1">
      <c r="A211" s="6" t="str">
        <f>IFERROR(__xludf.DUMMYFUNCTION("""COMPUTED_VALUE"""),"bb2f281964ff5fb7528074b3b2b73409bbf91d2a")</f>
        <v>bb2f281964ff5fb7528074b3b2b73409bbf91d2a</v>
      </c>
      <c r="B211" s="6" t="str">
        <f>IFERROR(__xludf.DUMMYFUNCTION("""COMPUTED_VALUE"""),"My Money Minting System")</f>
        <v>My Money Minting System</v>
      </c>
      <c r="C211" s="6" t="str">
        <f>IFERROR(__xludf.DUMMYFUNCTION("""COMPUTED_VALUE"""),"System and Superpower")</f>
        <v>System and Superpower</v>
      </c>
      <c r="D211" s="11">
        <f>IFERROR(__xludf.DUMMYFUNCTION("""COMPUTED_VALUE"""),72.0)</f>
        <v>72</v>
      </c>
      <c r="E211" s="8">
        <f>IFERROR(__xludf.DUMMYFUNCTION("""COMPUTED_VALUE"""),0.972222222222222)</f>
        <v>0.9722222222</v>
      </c>
      <c r="F211" s="8">
        <f>IFERROR(__xludf.DUMMYFUNCTION("""COMPUTED_VALUE"""),0.666666666666666)</f>
        <v>0.6666666667</v>
      </c>
      <c r="G211" s="8">
        <f>IFERROR(__xludf.DUMMYFUNCTION("""COMPUTED_VALUE"""),0.513888888888888)</f>
        <v>0.5138888889</v>
      </c>
      <c r="H211" s="8">
        <f>IFERROR(__xludf.DUMMYFUNCTION("""COMPUTED_VALUE"""),0.454545454545454)</f>
        <v>0.4545454545</v>
      </c>
      <c r="I211" s="8">
        <f>IFERROR(__xludf.DUMMYFUNCTION("""COMPUTED_VALUE"""),0.395833333333333)</f>
        <v>0.3958333333</v>
      </c>
      <c r="J211" s="8">
        <f>IFERROR(__xludf.DUMMYFUNCTION("""COMPUTED_VALUE"""),0.358974358974359)</f>
        <v>0.358974359</v>
      </c>
      <c r="K211" s="8">
        <f>IFERROR(__xludf.DUMMYFUNCTION("""COMPUTED_VALUE"""),0.256410256410256)</f>
        <v>0.2564102564</v>
      </c>
      <c r="L211" s="8">
        <f>IFERROR(__xludf.DUMMYFUNCTION("""COMPUTED_VALUE"""),0.205128205128205)</f>
        <v>0.2051282051</v>
      </c>
      <c r="M211" s="8">
        <f>IFERROR(__xludf.DUMMYFUNCTION("""COMPUTED_VALUE"""),0.23076923076923)</f>
        <v>0.2307692308</v>
      </c>
      <c r="N211" s="8">
        <f>IFERROR(__xludf.DUMMYFUNCTION("""COMPUTED_VALUE"""),0.297297297297297)</f>
        <v>0.2972972973</v>
      </c>
      <c r="O211" s="8">
        <f>IFERROR(__xludf.DUMMYFUNCTION("""COMPUTED_VALUE"""),0.0833333333333333)</f>
        <v>0.08333333333</v>
      </c>
      <c r="P211" s="8">
        <f>IFERROR(__xludf.DUMMYFUNCTION("""COMPUTED_VALUE"""),0.0606060606060606)</f>
        <v>0.06060606061</v>
      </c>
      <c r="Q211" s="8">
        <f>IFERROR(__xludf.DUMMYFUNCTION("""COMPUTED_VALUE"""),0.0)</f>
        <v>0</v>
      </c>
      <c r="R211" s="8">
        <f>IFERROR(__xludf.DUMMYFUNCTION("""COMPUTED_VALUE"""),0.0)</f>
        <v>0</v>
      </c>
      <c r="S211" s="8">
        <f>IFERROR(__xludf.DUMMYFUNCTION("""COMPUTED_VALUE"""),0.0)</f>
        <v>0</v>
      </c>
      <c r="T211" s="8">
        <f>IFERROR(__xludf.DUMMYFUNCTION("""COMPUTED_VALUE"""),0.0)</f>
        <v>0</v>
      </c>
      <c r="U211" s="8">
        <f>IFERROR(__xludf.DUMMYFUNCTION("""COMPUTED_VALUE"""),0.0)</f>
        <v>0</v>
      </c>
      <c r="V211" s="8">
        <f>IFERROR(__xludf.DUMMYFUNCTION("""COMPUTED_VALUE"""),0.0)</f>
        <v>0</v>
      </c>
      <c r="W211" s="8">
        <f>IFERROR(__xludf.DUMMYFUNCTION("""COMPUTED_VALUE"""),0.0)</f>
        <v>0</v>
      </c>
      <c r="X211" s="8">
        <f>IFERROR(__xludf.DUMMYFUNCTION("""COMPUTED_VALUE"""),0.0)</f>
        <v>0</v>
      </c>
      <c r="Y211" s="8">
        <f>IFERROR(__xludf.DUMMYFUNCTION("""COMPUTED_VALUE"""),0.0)</f>
        <v>0</v>
      </c>
      <c r="Z211" s="8">
        <f>IFERROR(__xludf.DUMMYFUNCTION("""COMPUTED_VALUE"""),0.0)</f>
        <v>0</v>
      </c>
      <c r="AA211" s="8">
        <f>IFERROR(__xludf.DUMMYFUNCTION("""COMPUTED_VALUE"""),0.0)</f>
        <v>0</v>
      </c>
      <c r="AB211" s="8">
        <f>IFERROR(__xludf.DUMMYFUNCTION("""COMPUTED_VALUE"""),0.0)</f>
        <v>0</v>
      </c>
      <c r="AC211" s="8">
        <f>IFERROR(__xludf.DUMMYFUNCTION("""COMPUTED_VALUE"""),0.0)</f>
        <v>0</v>
      </c>
    </row>
    <row r="212" ht="15.75" customHeight="1">
      <c r="A212" s="6" t="str">
        <f>IFERROR(__xludf.DUMMYFUNCTION("""COMPUTED_VALUE"""),"bb8bdc13e3c19f2845f457b91284273ad6ddf8f2")</f>
        <v>bb8bdc13e3c19f2845f457b91284273ad6ddf8f2</v>
      </c>
      <c r="B212" s="6" t="str">
        <f>IFERROR(__xludf.DUMMYFUNCTION("""COMPUTED_VALUE"""),"His Four Little Rascals")</f>
        <v>His Four Little Rascals</v>
      </c>
      <c r="C212" s="6" t="str">
        <f>IFERROR(__xludf.DUMMYFUNCTION("""COMPUTED_VALUE"""),"Romance")</f>
        <v>Romance</v>
      </c>
      <c r="D212" s="11">
        <f>IFERROR(__xludf.DUMMYFUNCTION("""COMPUTED_VALUE"""),6482.0)</f>
        <v>6482</v>
      </c>
      <c r="E212" s="8">
        <f>IFERROR(__xludf.DUMMYFUNCTION("""COMPUTED_VALUE"""),0.944615859302684)</f>
        <v>0.9446158593</v>
      </c>
      <c r="F212" s="8">
        <f>IFERROR(__xludf.DUMMYFUNCTION("""COMPUTED_VALUE"""),0.633446467139771)</f>
        <v>0.6334464671</v>
      </c>
      <c r="G212" s="8">
        <f>IFERROR(__xludf.DUMMYFUNCTION("""COMPUTED_VALUE"""),0.544276457883369)</f>
        <v>0.5442764579</v>
      </c>
      <c r="H212" s="8">
        <f>IFERROR(__xludf.DUMMYFUNCTION("""COMPUTED_VALUE"""),0.524537037037037)</f>
        <v>0.524537037</v>
      </c>
      <c r="I212" s="8">
        <f>IFERROR(__xludf.DUMMYFUNCTION("""COMPUTED_VALUE"""),0.510418274425065)</f>
        <v>0.5104182744</v>
      </c>
      <c r="J212" s="8">
        <f>IFERROR(__xludf.DUMMYFUNCTION("""COMPUTED_VALUE"""),0.494519067469507)</f>
        <v>0.4945190675</v>
      </c>
      <c r="K212" s="8">
        <f>IFERROR(__xludf.DUMMYFUNCTION("""COMPUTED_VALUE"""),0.481613102595797)</f>
        <v>0.4816131026</v>
      </c>
      <c r="L212" s="8">
        <f>IFERROR(__xludf.DUMMYFUNCTION("""COMPUTED_VALUE"""),0.480760315252665)</f>
        <v>0.4807603153</v>
      </c>
      <c r="M212" s="8">
        <f>IFERROR(__xludf.DUMMYFUNCTION("""COMPUTED_VALUE"""),0.466532694388622)</f>
        <v>0.4665326944</v>
      </c>
      <c r="N212" s="8">
        <f>IFERROR(__xludf.DUMMYFUNCTION("""COMPUTED_VALUE"""),0.458410636982065)</f>
        <v>0.458410637</v>
      </c>
      <c r="O212" s="8">
        <f>IFERROR(__xludf.DUMMYFUNCTION("""COMPUTED_VALUE"""),0.438585607940446)</f>
        <v>0.4385856079</v>
      </c>
      <c r="P212" s="8">
        <f>IFERROR(__xludf.DUMMYFUNCTION("""COMPUTED_VALUE"""),0.38955386289445)</f>
        <v>0.3895538629</v>
      </c>
      <c r="Q212" s="8">
        <f>IFERROR(__xludf.DUMMYFUNCTION("""COMPUTED_VALUE"""),0.31704260651629)</f>
        <v>0.3170426065</v>
      </c>
      <c r="R212" s="8">
        <f>IFERROR(__xludf.DUMMYFUNCTION("""COMPUTED_VALUE"""),0.232709519934906)</f>
        <v>0.2327095199</v>
      </c>
      <c r="S212" s="8">
        <f>IFERROR(__xludf.DUMMYFUNCTION("""COMPUTED_VALUE"""),0.192227488151658)</f>
        <v>0.1922274882</v>
      </c>
      <c r="T212" s="8">
        <f>IFERROR(__xludf.DUMMYFUNCTION("""COMPUTED_VALUE"""),0.150993969175787)</f>
        <v>0.1509939692</v>
      </c>
      <c r="U212" s="8">
        <f>IFERROR(__xludf.DUMMYFUNCTION("""COMPUTED_VALUE"""),0.102348249889233)</f>
        <v>0.1023482499</v>
      </c>
      <c r="V212" s="8">
        <f>IFERROR(__xludf.DUMMYFUNCTION("""COMPUTED_VALUE"""),0.0851880276285495)</f>
        <v>0.08518802763</v>
      </c>
      <c r="W212" s="8">
        <f>IFERROR(__xludf.DUMMYFUNCTION("""COMPUTED_VALUE"""),0.0654582074521651)</f>
        <v>0.06545820745</v>
      </c>
      <c r="X212" s="8">
        <f>IFERROR(__xludf.DUMMYFUNCTION("""COMPUTED_VALUE"""),0.0563002680965147)</f>
        <v>0.0563002681</v>
      </c>
      <c r="Y212" s="8">
        <f>IFERROR(__xludf.DUMMYFUNCTION("""COMPUTED_VALUE"""),0.0384615384615384)</f>
        <v>0.03846153846</v>
      </c>
      <c r="Z212" s="8">
        <f>IFERROR(__xludf.DUMMYFUNCTION("""COMPUTED_VALUE"""),0.0659340659340659)</f>
        <v>0.06593406593</v>
      </c>
      <c r="AA212" s="8">
        <f>IFERROR(__xludf.DUMMYFUNCTION("""COMPUTED_VALUE"""),0.0)</f>
        <v>0</v>
      </c>
      <c r="AB212" s="8">
        <f>IFERROR(__xludf.DUMMYFUNCTION("""COMPUTED_VALUE"""),0.0)</f>
        <v>0</v>
      </c>
      <c r="AC212" s="8">
        <f>IFERROR(__xludf.DUMMYFUNCTION("""COMPUTED_VALUE"""),0.0)</f>
        <v>0</v>
      </c>
    </row>
    <row r="213" ht="15.75" customHeight="1">
      <c r="A213" s="6" t="str">
        <f>IFERROR(__xludf.DUMMYFUNCTION("""COMPUTED_VALUE"""),"bbaf98e4e43fc8963698d00c4a338957fb765b85")</f>
        <v>bbaf98e4e43fc8963698d00c4a338957fb765b85</v>
      </c>
      <c r="B213" s="6" t="str">
        <f>IFERROR(__xludf.DUMMYFUNCTION("""COMPUTED_VALUE"""),"Artifact Spirit System")</f>
        <v>Artifact Spirit System</v>
      </c>
      <c r="C213" s="6" t="str">
        <f>IFERROR(__xludf.DUMMYFUNCTION("""COMPUTED_VALUE"""),"System and Superpower")</f>
        <v>System and Superpower</v>
      </c>
      <c r="D213" s="11">
        <f>IFERROR(__xludf.DUMMYFUNCTION("""COMPUTED_VALUE"""),423.0)</f>
        <v>423</v>
      </c>
      <c r="E213" s="8">
        <f>IFERROR(__xludf.DUMMYFUNCTION("""COMPUTED_VALUE"""),0.983451536643026)</f>
        <v>0.9834515366</v>
      </c>
      <c r="F213" s="8">
        <f>IFERROR(__xludf.DUMMYFUNCTION("""COMPUTED_VALUE"""),0.539007092198581)</f>
        <v>0.5390070922</v>
      </c>
      <c r="G213" s="8">
        <f>IFERROR(__xludf.DUMMYFUNCTION("""COMPUTED_VALUE"""),0.460992907801418)</f>
        <v>0.4609929078</v>
      </c>
      <c r="H213" s="8">
        <f>IFERROR(__xludf.DUMMYFUNCTION("""COMPUTED_VALUE"""),0.419431279620853)</f>
        <v>0.4194312796</v>
      </c>
      <c r="I213" s="8">
        <f>IFERROR(__xludf.DUMMYFUNCTION("""COMPUTED_VALUE"""),0.389021479713603)</f>
        <v>0.3890214797</v>
      </c>
      <c r="J213" s="8">
        <f>IFERROR(__xludf.DUMMYFUNCTION("""COMPUTED_VALUE"""),0.356626506024096)</f>
        <v>0.356626506</v>
      </c>
      <c r="K213" s="8">
        <f>IFERROR(__xludf.DUMMYFUNCTION("""COMPUTED_VALUE"""),0.326086956521739)</f>
        <v>0.3260869565</v>
      </c>
      <c r="L213" s="8">
        <f>IFERROR(__xludf.DUMMYFUNCTION("""COMPUTED_VALUE"""),0.30562347188264)</f>
        <v>0.3056234719</v>
      </c>
      <c r="M213" s="8">
        <f>IFERROR(__xludf.DUMMYFUNCTION("""COMPUTED_VALUE"""),0.298288508557457)</f>
        <v>0.2982885086</v>
      </c>
      <c r="N213" s="8">
        <f>IFERROR(__xludf.DUMMYFUNCTION("""COMPUTED_VALUE"""),0.289215686274509)</f>
        <v>0.2892156863</v>
      </c>
      <c r="O213" s="8">
        <f>IFERROR(__xludf.DUMMYFUNCTION("""COMPUTED_VALUE"""),0.246851385390428)</f>
        <v>0.2468513854</v>
      </c>
      <c r="P213" s="8">
        <f>IFERROR(__xludf.DUMMYFUNCTION("""COMPUTED_VALUE"""),0.265822784810126)</f>
        <v>0.2658227848</v>
      </c>
      <c r="Q213" s="8">
        <f>IFERROR(__xludf.DUMMYFUNCTION("""COMPUTED_VALUE"""),0.17391304347826)</f>
        <v>0.1739130435</v>
      </c>
      <c r="R213" s="8">
        <f>IFERROR(__xludf.DUMMYFUNCTION("""COMPUTED_VALUE"""),0.152173913043478)</f>
        <v>0.152173913</v>
      </c>
      <c r="S213" s="8">
        <f>IFERROR(__xludf.DUMMYFUNCTION("""COMPUTED_VALUE"""),0.0)</f>
        <v>0</v>
      </c>
      <c r="T213" s="8">
        <f>IFERROR(__xludf.DUMMYFUNCTION("""COMPUTED_VALUE"""),0.0)</f>
        <v>0</v>
      </c>
      <c r="U213" s="8">
        <f>IFERROR(__xludf.DUMMYFUNCTION("""COMPUTED_VALUE"""),0.0)</f>
        <v>0</v>
      </c>
      <c r="V213" s="8">
        <f>IFERROR(__xludf.DUMMYFUNCTION("""COMPUTED_VALUE"""),0.0)</f>
        <v>0</v>
      </c>
      <c r="W213" s="8">
        <f>IFERROR(__xludf.DUMMYFUNCTION("""COMPUTED_VALUE"""),0.0)</f>
        <v>0</v>
      </c>
      <c r="X213" s="8">
        <f>IFERROR(__xludf.DUMMYFUNCTION("""COMPUTED_VALUE"""),0.0)</f>
        <v>0</v>
      </c>
      <c r="Y213" s="8">
        <f>IFERROR(__xludf.DUMMYFUNCTION("""COMPUTED_VALUE"""),0.0)</f>
        <v>0</v>
      </c>
      <c r="Z213" s="8">
        <f>IFERROR(__xludf.DUMMYFUNCTION("""COMPUTED_VALUE"""),0.0)</f>
        <v>0</v>
      </c>
      <c r="AA213" s="8">
        <f>IFERROR(__xludf.DUMMYFUNCTION("""COMPUTED_VALUE"""),0.0)</f>
        <v>0</v>
      </c>
      <c r="AB213" s="8">
        <f>IFERROR(__xludf.DUMMYFUNCTION("""COMPUTED_VALUE"""),0.0)</f>
        <v>0</v>
      </c>
      <c r="AC213" s="8">
        <f>IFERROR(__xludf.DUMMYFUNCTION("""COMPUTED_VALUE"""),0.0)</f>
        <v>0</v>
      </c>
    </row>
    <row r="214" ht="15.75" customHeight="1">
      <c r="A214" s="6" t="str">
        <f>IFERROR(__xludf.DUMMYFUNCTION("""COMPUTED_VALUE"""),"bbfdf49252139aecaf606478dbe29039803604ae")</f>
        <v>bbfdf49252139aecaf606478dbe29039803604ae</v>
      </c>
      <c r="B214" s="6" t="str">
        <f>IFERROR(__xludf.DUMMYFUNCTION("""COMPUTED_VALUE"""),"Alchemist of HARRY POTTER")</f>
        <v>Alchemist of HARRY POTTER</v>
      </c>
      <c r="C214" s="6" t="str">
        <f>IFERROR(__xludf.DUMMYFUNCTION("""COMPUTED_VALUE"""),"Fantasy")</f>
        <v>Fantasy</v>
      </c>
      <c r="D214" s="11">
        <f>IFERROR(__xludf.DUMMYFUNCTION("""COMPUTED_VALUE"""),12.0)</f>
        <v>12</v>
      </c>
      <c r="E214" s="8">
        <f>IFERROR(__xludf.DUMMYFUNCTION("""COMPUTED_VALUE"""),1.0)</f>
        <v>1</v>
      </c>
      <c r="F214" s="8">
        <f>IFERROR(__xludf.DUMMYFUNCTION("""COMPUTED_VALUE"""),0.583333333333333)</f>
        <v>0.5833333333</v>
      </c>
      <c r="G214" s="8">
        <f>IFERROR(__xludf.DUMMYFUNCTION("""COMPUTED_VALUE"""),0.583333333333333)</f>
        <v>0.5833333333</v>
      </c>
      <c r="H214" s="8">
        <f>IFERROR(__xludf.DUMMYFUNCTION("""COMPUTED_VALUE"""),0.5)</f>
        <v>0.5</v>
      </c>
      <c r="I214" s="8">
        <f>IFERROR(__xludf.DUMMYFUNCTION("""COMPUTED_VALUE"""),0.5)</f>
        <v>0.5</v>
      </c>
      <c r="J214" s="8">
        <f>IFERROR(__xludf.DUMMYFUNCTION("""COMPUTED_VALUE"""),0.5)</f>
        <v>0.5</v>
      </c>
      <c r="K214" s="8">
        <f>IFERROR(__xludf.DUMMYFUNCTION("""COMPUTED_VALUE"""),1.0)</f>
        <v>1</v>
      </c>
      <c r="L214" s="8">
        <f>IFERROR(__xludf.DUMMYFUNCTION("""COMPUTED_VALUE"""),0.5)</f>
        <v>0.5</v>
      </c>
      <c r="M214" s="8">
        <f>IFERROR(__xludf.DUMMYFUNCTION("""COMPUTED_VALUE"""),0.0)</f>
        <v>0</v>
      </c>
      <c r="N214" s="8">
        <f>IFERROR(__xludf.DUMMYFUNCTION("""COMPUTED_VALUE"""),0.0)</f>
        <v>0</v>
      </c>
      <c r="O214" s="8">
        <f>IFERROR(__xludf.DUMMYFUNCTION("""COMPUTED_VALUE"""),0.0)</f>
        <v>0</v>
      </c>
      <c r="P214" s="8">
        <f>IFERROR(__xludf.DUMMYFUNCTION("""COMPUTED_VALUE"""),0.0)</f>
        <v>0</v>
      </c>
      <c r="Q214" s="8">
        <f>IFERROR(__xludf.DUMMYFUNCTION("""COMPUTED_VALUE"""),0.0)</f>
        <v>0</v>
      </c>
      <c r="R214" s="8">
        <f>IFERROR(__xludf.DUMMYFUNCTION("""COMPUTED_VALUE"""),0.0)</f>
        <v>0</v>
      </c>
      <c r="S214" s="8">
        <f>IFERROR(__xludf.DUMMYFUNCTION("""COMPUTED_VALUE"""),0.0)</f>
        <v>0</v>
      </c>
      <c r="T214" s="8">
        <f>IFERROR(__xludf.DUMMYFUNCTION("""COMPUTED_VALUE"""),0.0)</f>
        <v>0</v>
      </c>
      <c r="U214" s="8">
        <f>IFERROR(__xludf.DUMMYFUNCTION("""COMPUTED_VALUE"""),0.0)</f>
        <v>0</v>
      </c>
      <c r="V214" s="8">
        <f>IFERROR(__xludf.DUMMYFUNCTION("""COMPUTED_VALUE"""),0.0)</f>
        <v>0</v>
      </c>
      <c r="W214" s="8">
        <f>IFERROR(__xludf.DUMMYFUNCTION("""COMPUTED_VALUE"""),0.0)</f>
        <v>0</v>
      </c>
      <c r="X214" s="8">
        <f>IFERROR(__xludf.DUMMYFUNCTION("""COMPUTED_VALUE"""),0.0)</f>
        <v>0</v>
      </c>
      <c r="Y214" s="8">
        <f>IFERROR(__xludf.DUMMYFUNCTION("""COMPUTED_VALUE"""),0.0)</f>
        <v>0</v>
      </c>
      <c r="Z214" s="8">
        <f>IFERROR(__xludf.DUMMYFUNCTION("""COMPUTED_VALUE"""),0.0)</f>
        <v>0</v>
      </c>
      <c r="AA214" s="8">
        <f>IFERROR(__xludf.DUMMYFUNCTION("""COMPUTED_VALUE"""),0.0)</f>
        <v>0</v>
      </c>
      <c r="AB214" s="8">
        <f>IFERROR(__xludf.DUMMYFUNCTION("""COMPUTED_VALUE"""),0.0)</f>
        <v>0</v>
      </c>
      <c r="AC214" s="8">
        <f>IFERROR(__xludf.DUMMYFUNCTION("""COMPUTED_VALUE"""),0.0)</f>
        <v>0</v>
      </c>
    </row>
    <row r="215" ht="15.75" customHeight="1">
      <c r="A215" s="6" t="str">
        <f>IFERROR(__xludf.DUMMYFUNCTION("""COMPUTED_VALUE"""),"be6caef02859b458c7e726aab639c65f41c8e1be")</f>
        <v>be6caef02859b458c7e726aab639c65f41c8e1be</v>
      </c>
      <c r="B215" s="6" t="str">
        <f>IFERROR(__xludf.DUMMYFUNCTION("""COMPUTED_VALUE"""),"Natural Godly Martial Art")</f>
        <v>Natural Godly Martial Art</v>
      </c>
      <c r="C215" s="6" t="str">
        <f>IFERROR(__xludf.DUMMYFUNCTION("""COMPUTED_VALUE"""),"Fantasy")</f>
        <v>Fantasy</v>
      </c>
      <c r="D215" s="11">
        <f>IFERROR(__xludf.DUMMYFUNCTION("""COMPUTED_VALUE"""),53.0)</f>
        <v>53</v>
      </c>
      <c r="E215" s="8">
        <f>IFERROR(__xludf.DUMMYFUNCTION("""COMPUTED_VALUE"""),0.981132075471698)</f>
        <v>0.9811320755</v>
      </c>
      <c r="F215" s="8">
        <f>IFERROR(__xludf.DUMMYFUNCTION("""COMPUTED_VALUE"""),0.471698113207547)</f>
        <v>0.4716981132</v>
      </c>
      <c r="G215" s="8">
        <f>IFERROR(__xludf.DUMMYFUNCTION("""COMPUTED_VALUE"""),0.339622641509433)</f>
        <v>0.3396226415</v>
      </c>
      <c r="H215" s="8">
        <f>IFERROR(__xludf.DUMMYFUNCTION("""COMPUTED_VALUE"""),0.294117647058823)</f>
        <v>0.2941176471</v>
      </c>
      <c r="I215" s="8">
        <f>IFERROR(__xludf.DUMMYFUNCTION("""COMPUTED_VALUE"""),0.195652173913043)</f>
        <v>0.1956521739</v>
      </c>
      <c r="J215" s="8">
        <f>IFERROR(__xludf.DUMMYFUNCTION("""COMPUTED_VALUE"""),0.179487179487179)</f>
        <v>0.1794871795</v>
      </c>
      <c r="K215" s="8">
        <f>IFERROR(__xludf.DUMMYFUNCTION("""COMPUTED_VALUE"""),0.179487179487179)</f>
        <v>0.1794871795</v>
      </c>
      <c r="L215" s="8">
        <f>IFERROR(__xludf.DUMMYFUNCTION("""COMPUTED_VALUE"""),0.151515151515151)</f>
        <v>0.1515151515</v>
      </c>
      <c r="M215" s="8">
        <f>IFERROR(__xludf.DUMMYFUNCTION("""COMPUTED_VALUE"""),0.133333333333333)</f>
        <v>0.1333333333</v>
      </c>
      <c r="N215" s="8">
        <f>IFERROR(__xludf.DUMMYFUNCTION("""COMPUTED_VALUE"""),0.08)</f>
        <v>0.08</v>
      </c>
      <c r="O215" s="8">
        <f>IFERROR(__xludf.DUMMYFUNCTION("""COMPUTED_VALUE"""),0.0)</f>
        <v>0</v>
      </c>
      <c r="P215" s="8">
        <f>IFERROR(__xludf.DUMMYFUNCTION("""COMPUTED_VALUE"""),0.0)</f>
        <v>0</v>
      </c>
      <c r="Q215" s="8">
        <f>IFERROR(__xludf.DUMMYFUNCTION("""COMPUTED_VALUE"""),0.0)</f>
        <v>0</v>
      </c>
      <c r="R215" s="8">
        <f>IFERROR(__xludf.DUMMYFUNCTION("""COMPUTED_VALUE"""),0.0)</f>
        <v>0</v>
      </c>
      <c r="S215" s="8">
        <f>IFERROR(__xludf.DUMMYFUNCTION("""COMPUTED_VALUE"""),0.0)</f>
        <v>0</v>
      </c>
      <c r="T215" s="8">
        <f>IFERROR(__xludf.DUMMYFUNCTION("""COMPUTED_VALUE"""),0.0)</f>
        <v>0</v>
      </c>
      <c r="U215" s="8">
        <f>IFERROR(__xludf.DUMMYFUNCTION("""COMPUTED_VALUE"""),0.0)</f>
        <v>0</v>
      </c>
      <c r="V215" s="8">
        <f>IFERROR(__xludf.DUMMYFUNCTION("""COMPUTED_VALUE"""),0.0)</f>
        <v>0</v>
      </c>
      <c r="W215" s="8">
        <f>IFERROR(__xludf.DUMMYFUNCTION("""COMPUTED_VALUE"""),0.0)</f>
        <v>0</v>
      </c>
      <c r="X215" s="8">
        <f>IFERROR(__xludf.DUMMYFUNCTION("""COMPUTED_VALUE"""),0.0)</f>
        <v>0</v>
      </c>
      <c r="Y215" s="8">
        <f>IFERROR(__xludf.DUMMYFUNCTION("""COMPUTED_VALUE"""),0.0)</f>
        <v>0</v>
      </c>
      <c r="Z215" s="8">
        <f>IFERROR(__xludf.DUMMYFUNCTION("""COMPUTED_VALUE"""),0.0)</f>
        <v>0</v>
      </c>
      <c r="AA215" s="8">
        <f>IFERROR(__xludf.DUMMYFUNCTION("""COMPUTED_VALUE"""),0.0)</f>
        <v>0</v>
      </c>
      <c r="AB215" s="8">
        <f>IFERROR(__xludf.DUMMYFUNCTION("""COMPUTED_VALUE"""),0.0)</f>
        <v>0</v>
      </c>
      <c r="AC215" s="8">
        <f>IFERROR(__xludf.DUMMYFUNCTION("""COMPUTED_VALUE"""),0.0)</f>
        <v>0</v>
      </c>
    </row>
    <row r="216" ht="15.75" customHeight="1">
      <c r="A216" s="6" t="str">
        <f>IFERROR(__xludf.DUMMYFUNCTION("""COMPUTED_VALUE"""),"bf3632f1f9e1f3a7b864a989bb8f495a629a43cb")</f>
        <v>bf3632f1f9e1f3a7b864a989bb8f495a629a43cb</v>
      </c>
      <c r="B216" s="6" t="str">
        <f>IFERROR(__xludf.DUMMYFUNCTION("""COMPUTED_VALUE"""),"Her Secret Twins")</f>
        <v>Her Secret Twins</v>
      </c>
      <c r="C216" s="6" t="str">
        <f>IFERROR(__xludf.DUMMYFUNCTION("""COMPUTED_VALUE"""),"Romance")</f>
        <v>Romance</v>
      </c>
      <c r="D216" s="11">
        <f>IFERROR(__xludf.DUMMYFUNCTION("""COMPUTED_VALUE"""),2607.0)</f>
        <v>2607</v>
      </c>
      <c r="E216" s="8">
        <f>IFERROR(__xludf.DUMMYFUNCTION("""COMPUTED_VALUE"""),0.937476026083621)</f>
        <v>0.9374760261</v>
      </c>
      <c r="F216" s="8">
        <f>IFERROR(__xludf.DUMMYFUNCTION("""COMPUTED_VALUE"""),0.790180283851169)</f>
        <v>0.7901802839</v>
      </c>
      <c r="G216" s="8">
        <f>IFERROR(__xludf.DUMMYFUNCTION("""COMPUTED_VALUE"""),0.742999616417337)</f>
        <v>0.7429996164</v>
      </c>
      <c r="H216" s="8">
        <f>IFERROR(__xludf.DUMMYFUNCTION("""COMPUTED_VALUE"""),0.705024932873034)</f>
        <v>0.7050249329</v>
      </c>
      <c r="I216" s="8">
        <f>IFERROR(__xludf.DUMMYFUNCTION("""COMPUTED_VALUE"""),0.682271680736761)</f>
        <v>0.6822716807</v>
      </c>
      <c r="J216" s="8">
        <f>IFERROR(__xludf.DUMMYFUNCTION("""COMPUTED_VALUE"""),0.668202764976958)</f>
        <v>0.668202765</v>
      </c>
      <c r="K216" s="8">
        <f>IFERROR(__xludf.DUMMYFUNCTION("""COMPUTED_VALUE"""),0.653225806451612)</f>
        <v>0.6532258065</v>
      </c>
      <c r="L216" s="8">
        <f>IFERROR(__xludf.DUMMYFUNCTION("""COMPUTED_VALUE"""),0.63863287250384)</f>
        <v>0.6386328725</v>
      </c>
      <c r="M216" s="8">
        <f>IFERROR(__xludf.DUMMYFUNCTION("""COMPUTED_VALUE"""),0.631194775259316)</f>
        <v>0.6311947753</v>
      </c>
      <c r="N216" s="8">
        <f>IFERROR(__xludf.DUMMYFUNCTION("""COMPUTED_VALUE"""),0.62370142362447)</f>
        <v>0.6237014236</v>
      </c>
      <c r="O216" s="8">
        <f>IFERROR(__xludf.DUMMYFUNCTION("""COMPUTED_VALUE"""),0.575009641342074)</f>
        <v>0.5750096413</v>
      </c>
      <c r="P216" s="8">
        <f>IFERROR(__xludf.DUMMYFUNCTION("""COMPUTED_VALUE"""),0.555211158465711)</f>
        <v>0.5552111585</v>
      </c>
      <c r="Q216" s="8">
        <f>IFERROR(__xludf.DUMMYFUNCTION("""COMPUTED_VALUE"""),0.437818752451941)</f>
        <v>0.4378187525</v>
      </c>
      <c r="R216" s="8">
        <f>IFERROR(__xludf.DUMMYFUNCTION("""COMPUTED_VALUE"""),0.367672413793103)</f>
        <v>0.3676724138</v>
      </c>
      <c r="S216" s="8">
        <f>IFERROR(__xludf.DUMMYFUNCTION("""COMPUTED_VALUE"""),0.297235023041474)</f>
        <v>0.297235023</v>
      </c>
      <c r="T216" s="8">
        <f>IFERROR(__xludf.DUMMYFUNCTION("""COMPUTED_VALUE"""),0.207988980716253)</f>
        <v>0.2079889807</v>
      </c>
      <c r="U216" s="8">
        <f>IFERROR(__xludf.DUMMYFUNCTION("""COMPUTED_VALUE"""),0.156305506216696)</f>
        <v>0.1563055062</v>
      </c>
      <c r="V216" s="8">
        <f>IFERROR(__xludf.DUMMYFUNCTION("""COMPUTED_VALUE"""),0.135306553911205)</f>
        <v>0.1353065539</v>
      </c>
      <c r="W216" s="8">
        <f>IFERROR(__xludf.DUMMYFUNCTION("""COMPUTED_VALUE"""),0.0982800982800982)</f>
        <v>0.09828009828</v>
      </c>
      <c r="X216" s="8">
        <f>IFERROR(__xludf.DUMMYFUNCTION("""COMPUTED_VALUE"""),0.0769230769230769)</f>
        <v>0.07692307692</v>
      </c>
      <c r="Y216" s="8">
        <f>IFERROR(__xludf.DUMMYFUNCTION("""COMPUTED_VALUE"""),0.0553191489361702)</f>
        <v>0.05531914894</v>
      </c>
      <c r="Z216" s="8">
        <f>IFERROR(__xludf.DUMMYFUNCTION("""COMPUTED_VALUE"""),0.0298507462686567)</f>
        <v>0.02985074627</v>
      </c>
      <c r="AA216" s="8">
        <f>IFERROR(__xludf.DUMMYFUNCTION("""COMPUTED_VALUE"""),0.0526315789473684)</f>
        <v>0.05263157895</v>
      </c>
      <c r="AB216" s="8">
        <f>IFERROR(__xludf.DUMMYFUNCTION("""COMPUTED_VALUE"""),0.0)</f>
        <v>0</v>
      </c>
      <c r="AC216" s="8">
        <f>IFERROR(__xludf.DUMMYFUNCTION("""COMPUTED_VALUE"""),0.0)</f>
        <v>0</v>
      </c>
    </row>
    <row r="217" ht="15.75" customHeight="1">
      <c r="A217" s="6" t="str">
        <f>IFERROR(__xludf.DUMMYFUNCTION("""COMPUTED_VALUE"""),"c04c6d5eb020135b9855b7b2290092294bd33d99")</f>
        <v>c04c6d5eb020135b9855b7b2290092294bd33d99</v>
      </c>
      <c r="B217" s="6" t="str">
        <f>IFERROR(__xludf.DUMMYFUNCTION("""COMPUTED_VALUE"""),"My Crimson Bite")</f>
        <v>My Crimson Bite</v>
      </c>
      <c r="C217" s="6" t="str">
        <f>IFERROR(__xludf.DUMMYFUNCTION("""COMPUTED_VALUE"""),"Romantasy")</f>
        <v>Romantasy</v>
      </c>
      <c r="D217" s="11">
        <f>IFERROR(__xludf.DUMMYFUNCTION("""COMPUTED_VALUE"""),78.0)</f>
        <v>78</v>
      </c>
      <c r="E217" s="8">
        <f>IFERROR(__xludf.DUMMYFUNCTION("""COMPUTED_VALUE"""),0.974358974358974)</f>
        <v>0.9743589744</v>
      </c>
      <c r="F217" s="8">
        <f>IFERROR(__xludf.DUMMYFUNCTION("""COMPUTED_VALUE"""),0.448717948717948)</f>
        <v>0.4487179487</v>
      </c>
      <c r="G217" s="8">
        <f>IFERROR(__xludf.DUMMYFUNCTION("""COMPUTED_VALUE"""),0.358974358974359)</f>
        <v>0.358974359</v>
      </c>
      <c r="H217" s="8">
        <f>IFERROR(__xludf.DUMMYFUNCTION("""COMPUTED_VALUE"""),0.338028169014084)</f>
        <v>0.338028169</v>
      </c>
      <c r="I217" s="8">
        <f>IFERROR(__xludf.DUMMYFUNCTION("""COMPUTED_VALUE"""),0.308823529411764)</f>
        <v>0.3088235294</v>
      </c>
      <c r="J217" s="8">
        <f>IFERROR(__xludf.DUMMYFUNCTION("""COMPUTED_VALUE"""),0.388888888888888)</f>
        <v>0.3888888889</v>
      </c>
      <c r="K217" s="8">
        <f>IFERROR(__xludf.DUMMYFUNCTION("""COMPUTED_VALUE"""),0.361111111111111)</f>
        <v>0.3611111111</v>
      </c>
      <c r="L217" s="8">
        <f>IFERROR(__xludf.DUMMYFUNCTION("""COMPUTED_VALUE"""),0.333333333333333)</f>
        <v>0.3333333333</v>
      </c>
      <c r="M217" s="8">
        <f>IFERROR(__xludf.DUMMYFUNCTION("""COMPUTED_VALUE"""),0.305555555555555)</f>
        <v>0.3055555556</v>
      </c>
      <c r="N217" s="8">
        <f>IFERROR(__xludf.DUMMYFUNCTION("""COMPUTED_VALUE"""),0.305555555555555)</f>
        <v>0.3055555556</v>
      </c>
      <c r="O217" s="8">
        <f>IFERROR(__xludf.DUMMYFUNCTION("""COMPUTED_VALUE"""),0.314285714285714)</f>
        <v>0.3142857143</v>
      </c>
      <c r="P217" s="8">
        <f>IFERROR(__xludf.DUMMYFUNCTION("""COMPUTED_VALUE"""),0.25)</f>
        <v>0.25</v>
      </c>
      <c r="Q217" s="8">
        <f>IFERROR(__xludf.DUMMYFUNCTION("""COMPUTED_VALUE"""),0.17391304347826)</f>
        <v>0.1739130435</v>
      </c>
      <c r="R217" s="8">
        <f>IFERROR(__xludf.DUMMYFUNCTION("""COMPUTED_VALUE"""),0.0)</f>
        <v>0</v>
      </c>
      <c r="S217" s="8">
        <f>IFERROR(__xludf.DUMMYFUNCTION("""COMPUTED_VALUE"""),0.0)</f>
        <v>0</v>
      </c>
      <c r="T217" s="8">
        <f>IFERROR(__xludf.DUMMYFUNCTION("""COMPUTED_VALUE"""),0.0)</f>
        <v>0</v>
      </c>
      <c r="U217" s="8">
        <f>IFERROR(__xludf.DUMMYFUNCTION("""COMPUTED_VALUE"""),0.0)</f>
        <v>0</v>
      </c>
      <c r="V217" s="8">
        <f>IFERROR(__xludf.DUMMYFUNCTION("""COMPUTED_VALUE"""),0.0)</f>
        <v>0</v>
      </c>
      <c r="W217" s="8">
        <f>IFERROR(__xludf.DUMMYFUNCTION("""COMPUTED_VALUE"""),0.0)</f>
        <v>0</v>
      </c>
      <c r="X217" s="8">
        <f>IFERROR(__xludf.DUMMYFUNCTION("""COMPUTED_VALUE"""),0.0)</f>
        <v>0</v>
      </c>
      <c r="Y217" s="8">
        <f>IFERROR(__xludf.DUMMYFUNCTION("""COMPUTED_VALUE"""),0.0)</f>
        <v>0</v>
      </c>
      <c r="Z217" s="8">
        <f>IFERROR(__xludf.DUMMYFUNCTION("""COMPUTED_VALUE"""),0.0)</f>
        <v>0</v>
      </c>
      <c r="AA217" s="8">
        <f>IFERROR(__xludf.DUMMYFUNCTION("""COMPUTED_VALUE"""),0.0)</f>
        <v>0</v>
      </c>
      <c r="AB217" s="8">
        <f>IFERROR(__xludf.DUMMYFUNCTION("""COMPUTED_VALUE"""),0.0)</f>
        <v>0</v>
      </c>
      <c r="AC217" s="8">
        <f>IFERROR(__xludf.DUMMYFUNCTION("""COMPUTED_VALUE"""),0.0)</f>
        <v>0</v>
      </c>
    </row>
    <row r="218" ht="15.75" customHeight="1">
      <c r="A218" s="6" t="str">
        <f>IFERROR(__xludf.DUMMYFUNCTION("""COMPUTED_VALUE"""),"c2045ffb46d0538ca44af5ee011be0b36e81c395")</f>
        <v>c2045ffb46d0538ca44af5ee011be0b36e81c395</v>
      </c>
      <c r="B218" s="6" t="str">
        <f>IFERROR(__xludf.DUMMYFUNCTION("""COMPUTED_VALUE"""),"A Marriage of Ashes")</f>
        <v>A Marriage of Ashes</v>
      </c>
      <c r="C218" s="6" t="str">
        <f>IFERROR(__xludf.DUMMYFUNCTION("""COMPUTED_VALUE"""),"Romance")</f>
        <v>Romance</v>
      </c>
      <c r="D218" s="11">
        <f>IFERROR(__xludf.DUMMYFUNCTION("""COMPUTED_VALUE"""),431.0)</f>
        <v>431</v>
      </c>
      <c r="E218" s="8">
        <f>IFERROR(__xludf.DUMMYFUNCTION("""COMPUTED_VALUE"""),0.983758700696055)</f>
        <v>0.9837587007</v>
      </c>
      <c r="F218" s="8">
        <f>IFERROR(__xludf.DUMMYFUNCTION("""COMPUTED_VALUE"""),0.234338747099767)</f>
        <v>0.2343387471</v>
      </c>
      <c r="G218" s="8">
        <f>IFERROR(__xludf.DUMMYFUNCTION("""COMPUTED_VALUE"""),0.134570765661252)</f>
        <v>0.1345707657</v>
      </c>
      <c r="H218" s="8">
        <f>IFERROR(__xludf.DUMMYFUNCTION("""COMPUTED_VALUE"""),0.102325581395348)</f>
        <v>0.1023255814</v>
      </c>
      <c r="I218" s="8">
        <f>IFERROR(__xludf.DUMMYFUNCTION("""COMPUTED_VALUE"""),0.0906976744186046)</f>
        <v>0.09069767442</v>
      </c>
      <c r="J218" s="8">
        <f>IFERROR(__xludf.DUMMYFUNCTION("""COMPUTED_VALUE"""),0.0744186046511627)</f>
        <v>0.07441860465</v>
      </c>
      <c r="K218" s="8">
        <f>IFERROR(__xludf.DUMMYFUNCTION("""COMPUTED_VALUE"""),0.0627906976744186)</f>
        <v>0.06279069767</v>
      </c>
      <c r="L218" s="8">
        <f>IFERROR(__xludf.DUMMYFUNCTION("""COMPUTED_VALUE"""),0.055813953488372)</f>
        <v>0.05581395349</v>
      </c>
      <c r="M218" s="8">
        <f>IFERROR(__xludf.DUMMYFUNCTION("""COMPUTED_VALUE"""),0.0488372093023255)</f>
        <v>0.0488372093</v>
      </c>
      <c r="N218" s="8">
        <f>IFERROR(__xludf.DUMMYFUNCTION("""COMPUTED_VALUE"""),0.0348837209302325)</f>
        <v>0.03488372093</v>
      </c>
      <c r="O218" s="8">
        <f>IFERROR(__xludf.DUMMYFUNCTION("""COMPUTED_VALUE"""),0.00945626477541371)</f>
        <v>0.009456264775</v>
      </c>
      <c r="P218" s="8">
        <f>IFERROR(__xludf.DUMMYFUNCTION("""COMPUTED_VALUE"""),0.0)</f>
        <v>0</v>
      </c>
      <c r="Q218" s="8">
        <f>IFERROR(__xludf.DUMMYFUNCTION("""COMPUTED_VALUE"""),0.0)</f>
        <v>0</v>
      </c>
      <c r="R218" s="8">
        <f>IFERROR(__xludf.DUMMYFUNCTION("""COMPUTED_VALUE"""),0.0)</f>
        <v>0</v>
      </c>
      <c r="S218" s="8">
        <f>IFERROR(__xludf.DUMMYFUNCTION("""COMPUTED_VALUE"""),0.0)</f>
        <v>0</v>
      </c>
      <c r="T218" s="8">
        <f>IFERROR(__xludf.DUMMYFUNCTION("""COMPUTED_VALUE"""),0.0)</f>
        <v>0</v>
      </c>
      <c r="U218" s="8">
        <f>IFERROR(__xludf.DUMMYFUNCTION("""COMPUTED_VALUE"""),0.0)</f>
        <v>0</v>
      </c>
      <c r="V218" s="8">
        <f>IFERROR(__xludf.DUMMYFUNCTION("""COMPUTED_VALUE"""),0.0)</f>
        <v>0</v>
      </c>
      <c r="W218" s="8">
        <f>IFERROR(__xludf.DUMMYFUNCTION("""COMPUTED_VALUE"""),0.0)</f>
        <v>0</v>
      </c>
      <c r="X218" s="8">
        <f>IFERROR(__xludf.DUMMYFUNCTION("""COMPUTED_VALUE"""),0.0)</f>
        <v>0</v>
      </c>
      <c r="Y218" s="8">
        <f>IFERROR(__xludf.DUMMYFUNCTION("""COMPUTED_VALUE"""),0.0)</f>
        <v>0</v>
      </c>
      <c r="Z218" s="8">
        <f>IFERROR(__xludf.DUMMYFUNCTION("""COMPUTED_VALUE"""),0.0)</f>
        <v>0</v>
      </c>
      <c r="AA218" s="8">
        <f>IFERROR(__xludf.DUMMYFUNCTION("""COMPUTED_VALUE"""),0.0)</f>
        <v>0</v>
      </c>
      <c r="AB218" s="8">
        <f>IFERROR(__xludf.DUMMYFUNCTION("""COMPUTED_VALUE"""),0.0)</f>
        <v>0</v>
      </c>
      <c r="AC218" s="8">
        <f>IFERROR(__xludf.DUMMYFUNCTION("""COMPUTED_VALUE"""),0.0)</f>
        <v>0</v>
      </c>
    </row>
    <row r="219" ht="15.75" customHeight="1">
      <c r="A219" s="6" t="str">
        <f>IFERROR(__xludf.DUMMYFUNCTION("""COMPUTED_VALUE"""),"c4463ba00f6c126612324139644418680a50dd75")</f>
        <v>c4463ba00f6c126612324139644418680a50dd75</v>
      </c>
      <c r="B219" s="6" t="str">
        <f>IFERROR(__xludf.DUMMYFUNCTION("""COMPUTED_VALUE"""),"Bloodstar")</f>
        <v>Bloodstar</v>
      </c>
      <c r="C219" s="6" t="str">
        <f>IFERROR(__xludf.DUMMYFUNCTION("""COMPUTED_VALUE"""),"System and Superpower")</f>
        <v>System and Superpower</v>
      </c>
      <c r="D219" s="11">
        <f>IFERROR(__xludf.DUMMYFUNCTION("""COMPUTED_VALUE"""),19.0)</f>
        <v>19</v>
      </c>
      <c r="E219" s="8">
        <f>IFERROR(__xludf.DUMMYFUNCTION("""COMPUTED_VALUE"""),1.0)</f>
        <v>1</v>
      </c>
      <c r="F219" s="8">
        <f>IFERROR(__xludf.DUMMYFUNCTION("""COMPUTED_VALUE"""),0.947368421052631)</f>
        <v>0.9473684211</v>
      </c>
      <c r="G219" s="8">
        <f>IFERROR(__xludf.DUMMYFUNCTION("""COMPUTED_VALUE"""),0.736842105263157)</f>
        <v>0.7368421053</v>
      </c>
      <c r="H219" s="8">
        <f>IFERROR(__xludf.DUMMYFUNCTION("""COMPUTED_VALUE"""),0.526315789473684)</f>
        <v>0.5263157895</v>
      </c>
      <c r="I219" s="8">
        <f>IFERROR(__xludf.DUMMYFUNCTION("""COMPUTED_VALUE"""),0.473684210526315)</f>
        <v>0.4736842105</v>
      </c>
      <c r="J219" s="8">
        <f>IFERROR(__xludf.DUMMYFUNCTION("""COMPUTED_VALUE"""),0.473684210526315)</f>
        <v>0.4736842105</v>
      </c>
      <c r="K219" s="8">
        <f>IFERROR(__xludf.DUMMYFUNCTION("""COMPUTED_VALUE"""),0.421052631578947)</f>
        <v>0.4210526316</v>
      </c>
      <c r="L219" s="8">
        <f>IFERROR(__xludf.DUMMYFUNCTION("""COMPUTED_VALUE"""),0.368421052631578)</f>
        <v>0.3684210526</v>
      </c>
      <c r="M219" s="8">
        <f>IFERROR(__xludf.DUMMYFUNCTION("""COMPUTED_VALUE"""),0.333333333333333)</f>
        <v>0.3333333333</v>
      </c>
      <c r="N219" s="8">
        <f>IFERROR(__xludf.DUMMYFUNCTION("""COMPUTED_VALUE"""),0.388888888888888)</f>
        <v>0.3888888889</v>
      </c>
      <c r="O219" s="8">
        <f>IFERROR(__xludf.DUMMYFUNCTION("""COMPUTED_VALUE"""),0.25)</f>
        <v>0.25</v>
      </c>
      <c r="P219" s="8">
        <f>IFERROR(__xludf.DUMMYFUNCTION("""COMPUTED_VALUE"""),0.0)</f>
        <v>0</v>
      </c>
      <c r="Q219" s="8">
        <f>IFERROR(__xludf.DUMMYFUNCTION("""COMPUTED_VALUE"""),0.0)</f>
        <v>0</v>
      </c>
      <c r="R219" s="8">
        <f>IFERROR(__xludf.DUMMYFUNCTION("""COMPUTED_VALUE"""),0.0)</f>
        <v>0</v>
      </c>
      <c r="S219" s="8">
        <f>IFERROR(__xludf.DUMMYFUNCTION("""COMPUTED_VALUE"""),0.0)</f>
        <v>0</v>
      </c>
      <c r="T219" s="8">
        <f>IFERROR(__xludf.DUMMYFUNCTION("""COMPUTED_VALUE"""),0.0)</f>
        <v>0</v>
      </c>
      <c r="U219" s="8">
        <f>IFERROR(__xludf.DUMMYFUNCTION("""COMPUTED_VALUE"""),0.0)</f>
        <v>0</v>
      </c>
      <c r="V219" s="8">
        <f>IFERROR(__xludf.DUMMYFUNCTION("""COMPUTED_VALUE"""),0.0)</f>
        <v>0</v>
      </c>
      <c r="W219" s="8">
        <f>IFERROR(__xludf.DUMMYFUNCTION("""COMPUTED_VALUE"""),0.0)</f>
        <v>0</v>
      </c>
      <c r="X219" s="8">
        <f>IFERROR(__xludf.DUMMYFUNCTION("""COMPUTED_VALUE"""),0.0)</f>
        <v>0</v>
      </c>
      <c r="Y219" s="8">
        <f>IFERROR(__xludf.DUMMYFUNCTION("""COMPUTED_VALUE"""),0.0)</f>
        <v>0</v>
      </c>
      <c r="Z219" s="8">
        <f>IFERROR(__xludf.DUMMYFUNCTION("""COMPUTED_VALUE"""),0.0)</f>
        <v>0</v>
      </c>
      <c r="AA219" s="8">
        <f>IFERROR(__xludf.DUMMYFUNCTION("""COMPUTED_VALUE"""),0.0)</f>
        <v>0</v>
      </c>
      <c r="AB219" s="8">
        <f>IFERROR(__xludf.DUMMYFUNCTION("""COMPUTED_VALUE"""),0.0)</f>
        <v>0</v>
      </c>
      <c r="AC219" s="8">
        <f>IFERROR(__xludf.DUMMYFUNCTION("""COMPUTED_VALUE"""),0.0)</f>
        <v>0</v>
      </c>
    </row>
    <row r="220" ht="15.75" customHeight="1">
      <c r="A220" s="6" t="str">
        <f>IFERROR(__xludf.DUMMYFUNCTION("""COMPUTED_VALUE"""),"c6590012d529ed8d9e5750565fe5d91ddd1144d5")</f>
        <v>c6590012d529ed8d9e5750565fe5d91ddd1144d5</v>
      </c>
      <c r="B220" s="6" t="str">
        <f>IFERROR(__xludf.DUMMYFUNCTION("""COMPUTED_VALUE"""),"Rise of Charles Atticus")</f>
        <v>Rise of Charles Atticus</v>
      </c>
      <c r="C220" s="6" t="str">
        <f>IFERROR(__xludf.DUMMYFUNCTION("""COMPUTED_VALUE"""),"Fantasy")</f>
        <v>Fantasy</v>
      </c>
      <c r="D220" s="11">
        <f>IFERROR(__xludf.DUMMYFUNCTION("""COMPUTED_VALUE"""),75.0)</f>
        <v>75</v>
      </c>
      <c r="E220" s="8">
        <f>IFERROR(__xludf.DUMMYFUNCTION("""COMPUTED_VALUE"""),0.986666666666666)</f>
        <v>0.9866666667</v>
      </c>
      <c r="F220" s="8">
        <f>IFERROR(__xludf.DUMMYFUNCTION("""COMPUTED_VALUE"""),0.693333333333333)</f>
        <v>0.6933333333</v>
      </c>
      <c r="G220" s="8">
        <f>IFERROR(__xludf.DUMMYFUNCTION("""COMPUTED_VALUE"""),0.546666666666666)</f>
        <v>0.5466666667</v>
      </c>
      <c r="H220" s="8">
        <f>IFERROR(__xludf.DUMMYFUNCTION("""COMPUTED_VALUE"""),0.539682539682539)</f>
        <v>0.5396825397</v>
      </c>
      <c r="I220" s="8">
        <f>IFERROR(__xludf.DUMMYFUNCTION("""COMPUTED_VALUE"""),0.56)</f>
        <v>0.56</v>
      </c>
      <c r="J220" s="8">
        <f>IFERROR(__xludf.DUMMYFUNCTION("""COMPUTED_VALUE"""),0.5)</f>
        <v>0.5</v>
      </c>
      <c r="K220" s="8">
        <f>IFERROR(__xludf.DUMMYFUNCTION("""COMPUTED_VALUE"""),1.0)</f>
        <v>1</v>
      </c>
      <c r="L220" s="8">
        <f>IFERROR(__xludf.DUMMYFUNCTION("""COMPUTED_VALUE"""),1.0)</f>
        <v>1</v>
      </c>
      <c r="M220" s="8">
        <f>IFERROR(__xludf.DUMMYFUNCTION("""COMPUTED_VALUE"""),1.0)</f>
        <v>1</v>
      </c>
      <c r="N220" s="8">
        <f>IFERROR(__xludf.DUMMYFUNCTION("""COMPUTED_VALUE"""),1.0)</f>
        <v>1</v>
      </c>
      <c r="O220" s="8">
        <f>IFERROR(__xludf.DUMMYFUNCTION("""COMPUTED_VALUE"""),1.0)</f>
        <v>1</v>
      </c>
      <c r="P220" s="8">
        <f>IFERROR(__xludf.DUMMYFUNCTION("""COMPUTED_VALUE"""),1.0)</f>
        <v>1</v>
      </c>
      <c r="Q220" s="8">
        <f>IFERROR(__xludf.DUMMYFUNCTION("""COMPUTED_VALUE"""),0.0)</f>
        <v>0</v>
      </c>
      <c r="R220" s="8">
        <f>IFERROR(__xludf.DUMMYFUNCTION("""COMPUTED_VALUE"""),0.0)</f>
        <v>0</v>
      </c>
      <c r="S220" s="8">
        <f>IFERROR(__xludf.DUMMYFUNCTION("""COMPUTED_VALUE"""),0.0)</f>
        <v>0</v>
      </c>
      <c r="T220" s="8">
        <f>IFERROR(__xludf.DUMMYFUNCTION("""COMPUTED_VALUE"""),0.0)</f>
        <v>0</v>
      </c>
      <c r="U220" s="8">
        <f>IFERROR(__xludf.DUMMYFUNCTION("""COMPUTED_VALUE"""),0.0)</f>
        <v>0</v>
      </c>
      <c r="V220" s="8">
        <f>IFERROR(__xludf.DUMMYFUNCTION("""COMPUTED_VALUE"""),0.0)</f>
        <v>0</v>
      </c>
      <c r="W220" s="8">
        <f>IFERROR(__xludf.DUMMYFUNCTION("""COMPUTED_VALUE"""),0.0)</f>
        <v>0</v>
      </c>
      <c r="X220" s="8">
        <f>IFERROR(__xludf.DUMMYFUNCTION("""COMPUTED_VALUE"""),0.0)</f>
        <v>0</v>
      </c>
      <c r="Y220" s="8">
        <f>IFERROR(__xludf.DUMMYFUNCTION("""COMPUTED_VALUE"""),0.0)</f>
        <v>0</v>
      </c>
      <c r="Z220" s="8">
        <f>IFERROR(__xludf.DUMMYFUNCTION("""COMPUTED_VALUE"""),0.0)</f>
        <v>0</v>
      </c>
      <c r="AA220" s="8">
        <f>IFERROR(__xludf.DUMMYFUNCTION("""COMPUTED_VALUE"""),0.0)</f>
        <v>0</v>
      </c>
      <c r="AB220" s="8">
        <f>IFERROR(__xludf.DUMMYFUNCTION("""COMPUTED_VALUE"""),0.0)</f>
        <v>0</v>
      </c>
      <c r="AC220" s="8">
        <f>IFERROR(__xludf.DUMMYFUNCTION("""COMPUTED_VALUE"""),0.0)</f>
        <v>0</v>
      </c>
    </row>
    <row r="221" ht="15.75" customHeight="1">
      <c r="A221" s="6" t="str">
        <f>IFERROR(__xludf.DUMMYFUNCTION("""COMPUTED_VALUE"""),"c66d5521f195754d722c7e3daab2da20a027dd0c")</f>
        <v>c66d5521f195754d722c7e3daab2da20a027dd0c</v>
      </c>
      <c r="B221" s="6" t="str">
        <f>IFERROR(__xludf.DUMMYFUNCTION("""COMPUTED_VALUE"""),"Ceo's Heartbreaker")</f>
        <v>Ceo's Heartbreaker</v>
      </c>
      <c r="C221" s="6" t="str">
        <f>IFERROR(__xludf.DUMMYFUNCTION("""COMPUTED_VALUE"""),"Romance")</f>
        <v>Romance</v>
      </c>
      <c r="D221" s="11">
        <f>IFERROR(__xludf.DUMMYFUNCTION("""COMPUTED_VALUE"""),181.0)</f>
        <v>181</v>
      </c>
      <c r="E221" s="8">
        <f>IFERROR(__xludf.DUMMYFUNCTION("""COMPUTED_VALUE"""),0.950276243093922)</f>
        <v>0.9502762431</v>
      </c>
      <c r="F221" s="8">
        <f>IFERROR(__xludf.DUMMYFUNCTION("""COMPUTED_VALUE"""),0.646408839779005)</f>
        <v>0.6464088398</v>
      </c>
      <c r="G221" s="8">
        <f>IFERROR(__xludf.DUMMYFUNCTION("""COMPUTED_VALUE"""),0.524861878453038)</f>
        <v>0.5248618785</v>
      </c>
      <c r="H221" s="8">
        <f>IFERROR(__xludf.DUMMYFUNCTION("""COMPUTED_VALUE"""),0.482954545454545)</f>
        <v>0.4829545455</v>
      </c>
      <c r="I221" s="8">
        <f>IFERROR(__xludf.DUMMYFUNCTION("""COMPUTED_VALUE"""),0.385057471264367)</f>
        <v>0.3850574713</v>
      </c>
      <c r="J221" s="8">
        <f>IFERROR(__xludf.DUMMYFUNCTION("""COMPUTED_VALUE"""),0.395348837209302)</f>
        <v>0.3953488372</v>
      </c>
      <c r="K221" s="8">
        <f>IFERROR(__xludf.DUMMYFUNCTION("""COMPUTED_VALUE"""),0.350877192982456)</f>
        <v>0.350877193</v>
      </c>
      <c r="L221" s="8">
        <f>IFERROR(__xludf.DUMMYFUNCTION("""COMPUTED_VALUE"""),0.339506172839506)</f>
        <v>0.3395061728</v>
      </c>
      <c r="M221" s="8">
        <f>IFERROR(__xludf.DUMMYFUNCTION("""COMPUTED_VALUE"""),0.335570469798657)</f>
        <v>0.3355704698</v>
      </c>
      <c r="N221" s="8">
        <f>IFERROR(__xludf.DUMMYFUNCTION("""COMPUTED_VALUE"""),0.357142857142857)</f>
        <v>0.3571428571</v>
      </c>
      <c r="O221" s="8">
        <f>IFERROR(__xludf.DUMMYFUNCTION("""COMPUTED_VALUE"""),0.390243902439024)</f>
        <v>0.3902439024</v>
      </c>
      <c r="P221" s="8">
        <f>IFERROR(__xludf.DUMMYFUNCTION("""COMPUTED_VALUE"""),0.2875)</f>
        <v>0.2875</v>
      </c>
      <c r="Q221" s="8">
        <f>IFERROR(__xludf.DUMMYFUNCTION("""COMPUTED_VALUE"""),0.125)</f>
        <v>0.125</v>
      </c>
      <c r="R221" s="8">
        <f>IFERROR(__xludf.DUMMYFUNCTION("""COMPUTED_VALUE"""),0.0)</f>
        <v>0</v>
      </c>
      <c r="S221" s="8">
        <f>IFERROR(__xludf.DUMMYFUNCTION("""COMPUTED_VALUE"""),0.0)</f>
        <v>0</v>
      </c>
      <c r="T221" s="8">
        <f>IFERROR(__xludf.DUMMYFUNCTION("""COMPUTED_VALUE"""),0.0)</f>
        <v>0</v>
      </c>
      <c r="U221" s="8">
        <f>IFERROR(__xludf.DUMMYFUNCTION("""COMPUTED_VALUE"""),0.0)</f>
        <v>0</v>
      </c>
      <c r="V221" s="8">
        <f>IFERROR(__xludf.DUMMYFUNCTION("""COMPUTED_VALUE"""),0.0)</f>
        <v>0</v>
      </c>
      <c r="W221" s="8">
        <f>IFERROR(__xludf.DUMMYFUNCTION("""COMPUTED_VALUE"""),0.0)</f>
        <v>0</v>
      </c>
      <c r="X221" s="8">
        <f>IFERROR(__xludf.DUMMYFUNCTION("""COMPUTED_VALUE"""),0.0)</f>
        <v>0</v>
      </c>
      <c r="Y221" s="8">
        <f>IFERROR(__xludf.DUMMYFUNCTION("""COMPUTED_VALUE"""),0.0)</f>
        <v>0</v>
      </c>
      <c r="Z221" s="8">
        <f>IFERROR(__xludf.DUMMYFUNCTION("""COMPUTED_VALUE"""),0.0)</f>
        <v>0</v>
      </c>
      <c r="AA221" s="8">
        <f>IFERROR(__xludf.DUMMYFUNCTION("""COMPUTED_VALUE"""),0.0)</f>
        <v>0</v>
      </c>
      <c r="AB221" s="8">
        <f>IFERROR(__xludf.DUMMYFUNCTION("""COMPUTED_VALUE"""),0.0)</f>
        <v>0</v>
      </c>
      <c r="AC221" s="8">
        <f>IFERROR(__xludf.DUMMYFUNCTION("""COMPUTED_VALUE"""),0.0)</f>
        <v>0</v>
      </c>
    </row>
    <row r="222" ht="15.75" customHeight="1">
      <c r="A222" s="6" t="str">
        <f>IFERROR(__xludf.DUMMYFUNCTION("""COMPUTED_VALUE"""),"c6786de3c05a64c2f4c13acbe0e61d8d4e111aad")</f>
        <v>c6786de3c05a64c2f4c13acbe0e61d8d4e111aad</v>
      </c>
      <c r="B222" s="6" t="str">
        <f>IFERROR(__xludf.DUMMYFUNCTION("""COMPUTED_VALUE"""),"Mr. Kane's Reluctant Wife")</f>
        <v>Mr. Kane's Reluctant Wife</v>
      </c>
      <c r="C222" s="6" t="str">
        <f>IFERROR(__xludf.DUMMYFUNCTION("""COMPUTED_VALUE"""),"Romance")</f>
        <v>Romance</v>
      </c>
      <c r="D222" s="11">
        <f>IFERROR(__xludf.DUMMYFUNCTION("""COMPUTED_VALUE"""),594.0)</f>
        <v>594</v>
      </c>
      <c r="E222" s="8">
        <f>IFERROR(__xludf.DUMMYFUNCTION("""COMPUTED_VALUE"""),0.959595959595959)</f>
        <v>0.9595959596</v>
      </c>
      <c r="F222" s="8">
        <f>IFERROR(__xludf.DUMMYFUNCTION("""COMPUTED_VALUE"""),0.585858585858585)</f>
        <v>0.5858585859</v>
      </c>
      <c r="G222" s="8">
        <f>IFERROR(__xludf.DUMMYFUNCTION("""COMPUTED_VALUE"""),0.537037037037037)</f>
        <v>0.537037037</v>
      </c>
      <c r="H222" s="8">
        <f>IFERROR(__xludf.DUMMYFUNCTION("""COMPUTED_VALUE"""),0.508417508417508)</f>
        <v>0.5084175084</v>
      </c>
      <c r="I222" s="8">
        <f>IFERROR(__xludf.DUMMYFUNCTION("""COMPUTED_VALUE"""),0.476430976430976)</f>
        <v>0.4764309764</v>
      </c>
      <c r="J222" s="8">
        <f>IFERROR(__xludf.DUMMYFUNCTION("""COMPUTED_VALUE"""),0.464646464646464)</f>
        <v>0.4646464646</v>
      </c>
      <c r="K222" s="8">
        <f>IFERROR(__xludf.DUMMYFUNCTION("""COMPUTED_VALUE"""),0.442567567567567)</f>
        <v>0.4425675676</v>
      </c>
      <c r="L222" s="8">
        <f>IFERROR(__xludf.DUMMYFUNCTION("""COMPUTED_VALUE"""),0.447635135135135)</f>
        <v>0.4476351351</v>
      </c>
      <c r="M222" s="8">
        <f>IFERROR(__xludf.DUMMYFUNCTION("""COMPUTED_VALUE"""),0.440878378378378)</f>
        <v>0.4408783784</v>
      </c>
      <c r="N222" s="8">
        <f>IFERROR(__xludf.DUMMYFUNCTION("""COMPUTED_VALUE"""),0.429054054054054)</f>
        <v>0.4290540541</v>
      </c>
      <c r="O222" s="8">
        <f>IFERROR(__xludf.DUMMYFUNCTION("""COMPUTED_VALUE"""),0.410169491525423)</f>
        <v>0.4101694915</v>
      </c>
      <c r="P222" s="8">
        <f>IFERROR(__xludf.DUMMYFUNCTION("""COMPUTED_VALUE"""),0.284946236559139)</f>
        <v>0.2849462366</v>
      </c>
      <c r="Q222" s="8">
        <f>IFERROR(__xludf.DUMMYFUNCTION("""COMPUTED_VALUE"""),0.1875)</f>
        <v>0.1875</v>
      </c>
      <c r="R222" s="8">
        <f>IFERROR(__xludf.DUMMYFUNCTION("""COMPUTED_VALUE"""),0.0)</f>
        <v>0</v>
      </c>
      <c r="S222" s="8">
        <f>IFERROR(__xludf.DUMMYFUNCTION("""COMPUTED_VALUE"""),0.0)</f>
        <v>0</v>
      </c>
      <c r="T222" s="8">
        <f>IFERROR(__xludf.DUMMYFUNCTION("""COMPUTED_VALUE"""),0.0)</f>
        <v>0</v>
      </c>
      <c r="U222" s="8">
        <f>IFERROR(__xludf.DUMMYFUNCTION("""COMPUTED_VALUE"""),0.0)</f>
        <v>0</v>
      </c>
      <c r="V222" s="8">
        <f>IFERROR(__xludf.DUMMYFUNCTION("""COMPUTED_VALUE"""),0.0)</f>
        <v>0</v>
      </c>
      <c r="W222" s="8">
        <f>IFERROR(__xludf.DUMMYFUNCTION("""COMPUTED_VALUE"""),0.0)</f>
        <v>0</v>
      </c>
      <c r="X222" s="8">
        <f>IFERROR(__xludf.DUMMYFUNCTION("""COMPUTED_VALUE"""),0.0)</f>
        <v>0</v>
      </c>
      <c r="Y222" s="8">
        <f>IFERROR(__xludf.DUMMYFUNCTION("""COMPUTED_VALUE"""),0.0)</f>
        <v>0</v>
      </c>
      <c r="Z222" s="8">
        <f>IFERROR(__xludf.DUMMYFUNCTION("""COMPUTED_VALUE"""),0.0)</f>
        <v>0</v>
      </c>
      <c r="AA222" s="8">
        <f>IFERROR(__xludf.DUMMYFUNCTION("""COMPUTED_VALUE"""),0.0)</f>
        <v>0</v>
      </c>
      <c r="AB222" s="8">
        <f>IFERROR(__xludf.DUMMYFUNCTION("""COMPUTED_VALUE"""),0.0)</f>
        <v>0</v>
      </c>
      <c r="AC222" s="8">
        <f>IFERROR(__xludf.DUMMYFUNCTION("""COMPUTED_VALUE"""),0.0)</f>
        <v>0</v>
      </c>
    </row>
    <row r="223" ht="15.75" customHeight="1">
      <c r="A223" s="6" t="str">
        <f>IFERROR(__xludf.DUMMYFUNCTION("""COMPUTED_VALUE"""),"c8219b2f9d80ce631da27b15849041dbb194dc76")</f>
        <v>c8219b2f9d80ce631da27b15849041dbb194dc76</v>
      </c>
      <c r="B223" s="6" t="str">
        <f>IFERROR(__xludf.DUMMYFUNCTION("""COMPUTED_VALUE"""),"The Fire God's Heir")</f>
        <v>The Fire God's Heir</v>
      </c>
      <c r="C223" s="6" t="str">
        <f>IFERROR(__xludf.DUMMYFUNCTION("""COMPUTED_VALUE"""),"Romantasy")</f>
        <v>Romantasy</v>
      </c>
      <c r="D223" s="11">
        <f>IFERROR(__xludf.DUMMYFUNCTION("""COMPUTED_VALUE"""),101.0)</f>
        <v>101</v>
      </c>
      <c r="E223" s="8">
        <f>IFERROR(__xludf.DUMMYFUNCTION("""COMPUTED_VALUE"""),0.98019801980198)</f>
        <v>0.9801980198</v>
      </c>
      <c r="F223" s="8">
        <f>IFERROR(__xludf.DUMMYFUNCTION("""COMPUTED_VALUE"""),0.574257425742574)</f>
        <v>0.5742574257</v>
      </c>
      <c r="G223" s="8">
        <f>IFERROR(__xludf.DUMMYFUNCTION("""COMPUTED_VALUE"""),0.514851485148514)</f>
        <v>0.5148514851</v>
      </c>
      <c r="H223" s="8">
        <f>IFERROR(__xludf.DUMMYFUNCTION("""COMPUTED_VALUE"""),0.368421052631578)</f>
        <v>0.3684210526</v>
      </c>
      <c r="I223" s="8">
        <f>IFERROR(__xludf.DUMMYFUNCTION("""COMPUTED_VALUE"""),0.290322580645161)</f>
        <v>0.2903225806</v>
      </c>
      <c r="J223" s="8">
        <f>IFERROR(__xludf.DUMMYFUNCTION("""COMPUTED_VALUE"""),0.306818181818181)</f>
        <v>0.3068181818</v>
      </c>
      <c r="K223" s="8">
        <f>IFERROR(__xludf.DUMMYFUNCTION("""COMPUTED_VALUE"""),0.27906976744186)</f>
        <v>0.2790697674</v>
      </c>
      <c r="L223" s="8">
        <f>IFERROR(__xludf.DUMMYFUNCTION("""COMPUTED_VALUE"""),0.273809523809523)</f>
        <v>0.2738095238</v>
      </c>
      <c r="M223" s="8">
        <f>IFERROR(__xludf.DUMMYFUNCTION("""COMPUTED_VALUE"""),0.2375)</f>
        <v>0.2375</v>
      </c>
      <c r="N223" s="8">
        <f>IFERROR(__xludf.DUMMYFUNCTION("""COMPUTED_VALUE"""),0.210526315789473)</f>
        <v>0.2105263158</v>
      </c>
      <c r="O223" s="8">
        <f>IFERROR(__xludf.DUMMYFUNCTION("""COMPUTED_VALUE"""),0.180327868852459)</f>
        <v>0.1803278689</v>
      </c>
      <c r="P223" s="8">
        <f>IFERROR(__xludf.DUMMYFUNCTION("""COMPUTED_VALUE"""),0.0655737704918032)</f>
        <v>0.06557377049</v>
      </c>
      <c r="Q223" s="8">
        <f>IFERROR(__xludf.DUMMYFUNCTION("""COMPUTED_VALUE"""),0.0227272727272727)</f>
        <v>0.02272727273</v>
      </c>
      <c r="R223" s="8">
        <f>IFERROR(__xludf.DUMMYFUNCTION("""COMPUTED_VALUE"""),0.0)</f>
        <v>0</v>
      </c>
      <c r="S223" s="8">
        <f>IFERROR(__xludf.DUMMYFUNCTION("""COMPUTED_VALUE"""),0.0)</f>
        <v>0</v>
      </c>
      <c r="T223" s="8">
        <f>IFERROR(__xludf.DUMMYFUNCTION("""COMPUTED_VALUE"""),0.0)</f>
        <v>0</v>
      </c>
      <c r="U223" s="8">
        <f>IFERROR(__xludf.DUMMYFUNCTION("""COMPUTED_VALUE"""),0.0)</f>
        <v>0</v>
      </c>
      <c r="V223" s="8">
        <f>IFERROR(__xludf.DUMMYFUNCTION("""COMPUTED_VALUE"""),0.0)</f>
        <v>0</v>
      </c>
      <c r="W223" s="8">
        <f>IFERROR(__xludf.DUMMYFUNCTION("""COMPUTED_VALUE"""),0.0)</f>
        <v>0</v>
      </c>
      <c r="X223" s="8">
        <f>IFERROR(__xludf.DUMMYFUNCTION("""COMPUTED_VALUE"""),0.0)</f>
        <v>0</v>
      </c>
      <c r="Y223" s="8">
        <f>IFERROR(__xludf.DUMMYFUNCTION("""COMPUTED_VALUE"""),0.0)</f>
        <v>0</v>
      </c>
      <c r="Z223" s="8">
        <f>IFERROR(__xludf.DUMMYFUNCTION("""COMPUTED_VALUE"""),0.0)</f>
        <v>0</v>
      </c>
      <c r="AA223" s="8">
        <f>IFERROR(__xludf.DUMMYFUNCTION("""COMPUTED_VALUE"""),0.0)</f>
        <v>0</v>
      </c>
      <c r="AB223" s="8">
        <f>IFERROR(__xludf.DUMMYFUNCTION("""COMPUTED_VALUE"""),0.0)</f>
        <v>0</v>
      </c>
      <c r="AC223" s="8">
        <f>IFERROR(__xludf.DUMMYFUNCTION("""COMPUTED_VALUE"""),0.0)</f>
        <v>0</v>
      </c>
    </row>
    <row r="224" ht="15.75" customHeight="1">
      <c r="A224" s="6" t="str">
        <f>IFERROR(__xludf.DUMMYFUNCTION("""COMPUTED_VALUE"""),"c9fd6d447c06b151ec4563d30a1e1685e71bd29d")</f>
        <v>c9fd6d447c06b151ec4563d30a1e1685e71bd29d</v>
      </c>
      <c r="B224" s="6" t="str">
        <f>IFERROR(__xludf.DUMMYFUNCTION("""COMPUTED_VALUE"""),"Void Evolution System")</f>
        <v>Void Evolution System</v>
      </c>
      <c r="C224" s="6" t="str">
        <f>IFERROR(__xludf.DUMMYFUNCTION("""COMPUTED_VALUE"""),"Fantasy")</f>
        <v>Fantasy</v>
      </c>
      <c r="D224" s="11">
        <f>IFERROR(__xludf.DUMMYFUNCTION("""COMPUTED_VALUE"""),37.0)</f>
        <v>37</v>
      </c>
      <c r="E224" s="8">
        <f>IFERROR(__xludf.DUMMYFUNCTION("""COMPUTED_VALUE"""),1.0)</f>
        <v>1</v>
      </c>
      <c r="F224" s="8">
        <f>IFERROR(__xludf.DUMMYFUNCTION("""COMPUTED_VALUE"""),0.756756756756756)</f>
        <v>0.7567567568</v>
      </c>
      <c r="G224" s="8">
        <f>IFERROR(__xludf.DUMMYFUNCTION("""COMPUTED_VALUE"""),0.702702702702702)</f>
        <v>0.7027027027</v>
      </c>
      <c r="H224" s="8">
        <f>IFERROR(__xludf.DUMMYFUNCTION("""COMPUTED_VALUE"""),0.594594594594594)</f>
        <v>0.5945945946</v>
      </c>
      <c r="I224" s="8">
        <f>IFERROR(__xludf.DUMMYFUNCTION("""COMPUTED_VALUE"""),0.594594594594594)</f>
        <v>0.5945945946</v>
      </c>
      <c r="J224" s="8">
        <f>IFERROR(__xludf.DUMMYFUNCTION("""COMPUTED_VALUE"""),0.54054054054054)</f>
        <v>0.5405405405</v>
      </c>
      <c r="K224" s="8">
        <f>IFERROR(__xludf.DUMMYFUNCTION("""COMPUTED_VALUE"""),0.5)</f>
        <v>0.5</v>
      </c>
      <c r="L224" s="8">
        <f>IFERROR(__xludf.DUMMYFUNCTION("""COMPUTED_VALUE"""),0.5)</f>
        <v>0.5</v>
      </c>
      <c r="M224" s="8">
        <f>IFERROR(__xludf.DUMMYFUNCTION("""COMPUTED_VALUE"""),0.470588235294117)</f>
        <v>0.4705882353</v>
      </c>
      <c r="N224" s="8">
        <f>IFERROR(__xludf.DUMMYFUNCTION("""COMPUTED_VALUE"""),0.454545454545454)</f>
        <v>0.4545454545</v>
      </c>
      <c r="O224" s="8">
        <f>IFERROR(__xludf.DUMMYFUNCTION("""COMPUTED_VALUE"""),0.0)</f>
        <v>0</v>
      </c>
      <c r="P224" s="8">
        <f>IFERROR(__xludf.DUMMYFUNCTION("""COMPUTED_VALUE"""),0.0)</f>
        <v>0</v>
      </c>
      <c r="Q224" s="8">
        <f>IFERROR(__xludf.DUMMYFUNCTION("""COMPUTED_VALUE"""),0.0)</f>
        <v>0</v>
      </c>
      <c r="R224" s="8">
        <f>IFERROR(__xludf.DUMMYFUNCTION("""COMPUTED_VALUE"""),0.0)</f>
        <v>0</v>
      </c>
      <c r="S224" s="8">
        <f>IFERROR(__xludf.DUMMYFUNCTION("""COMPUTED_VALUE"""),0.0)</f>
        <v>0</v>
      </c>
      <c r="T224" s="8">
        <f>IFERROR(__xludf.DUMMYFUNCTION("""COMPUTED_VALUE"""),0.0)</f>
        <v>0</v>
      </c>
      <c r="U224" s="8">
        <f>IFERROR(__xludf.DUMMYFUNCTION("""COMPUTED_VALUE"""),0.0)</f>
        <v>0</v>
      </c>
      <c r="V224" s="8">
        <f>IFERROR(__xludf.DUMMYFUNCTION("""COMPUTED_VALUE"""),0.0)</f>
        <v>0</v>
      </c>
      <c r="W224" s="8">
        <f>IFERROR(__xludf.DUMMYFUNCTION("""COMPUTED_VALUE"""),0.0)</f>
        <v>0</v>
      </c>
      <c r="X224" s="8">
        <f>IFERROR(__xludf.DUMMYFUNCTION("""COMPUTED_VALUE"""),0.0)</f>
        <v>0</v>
      </c>
      <c r="Y224" s="8">
        <f>IFERROR(__xludf.DUMMYFUNCTION("""COMPUTED_VALUE"""),0.0)</f>
        <v>0</v>
      </c>
      <c r="Z224" s="8">
        <f>IFERROR(__xludf.DUMMYFUNCTION("""COMPUTED_VALUE"""),0.0)</f>
        <v>0</v>
      </c>
      <c r="AA224" s="8">
        <f>IFERROR(__xludf.DUMMYFUNCTION("""COMPUTED_VALUE"""),0.0)</f>
        <v>0</v>
      </c>
      <c r="AB224" s="8">
        <f>IFERROR(__xludf.DUMMYFUNCTION("""COMPUTED_VALUE"""),0.0)</f>
        <v>0</v>
      </c>
      <c r="AC224" s="8">
        <f>IFERROR(__xludf.DUMMYFUNCTION("""COMPUTED_VALUE"""),0.0)</f>
        <v>0</v>
      </c>
    </row>
    <row r="225" ht="15.75" customHeight="1">
      <c r="A225" s="6" t="str">
        <f>IFERROR(__xludf.DUMMYFUNCTION("""COMPUTED_VALUE"""),"cae77d999ed2205a1ab04a54470de972ddd8bc69")</f>
        <v>cae77d999ed2205a1ab04a54470de972ddd8bc69</v>
      </c>
      <c r="B225" s="6" t="str">
        <f>IFERROR(__xludf.DUMMYFUNCTION("""COMPUTED_VALUE"""),"Atlas of My Heart")</f>
        <v>Atlas of My Heart</v>
      </c>
      <c r="C225" s="6" t="str">
        <f>IFERROR(__xludf.DUMMYFUNCTION("""COMPUTED_VALUE"""),"Romance")</f>
        <v>Romance</v>
      </c>
      <c r="D225" s="11">
        <f>IFERROR(__xludf.DUMMYFUNCTION("""COMPUTED_VALUE"""),778.0)</f>
        <v>778</v>
      </c>
      <c r="E225" s="8">
        <f>IFERROR(__xludf.DUMMYFUNCTION("""COMPUTED_VALUE"""),0.969151670951156)</f>
        <v>0.969151671</v>
      </c>
      <c r="F225" s="8">
        <f>IFERROR(__xludf.DUMMYFUNCTION("""COMPUTED_VALUE"""),0.677377892030848)</f>
        <v>0.677377892</v>
      </c>
      <c r="G225" s="8">
        <f>IFERROR(__xludf.DUMMYFUNCTION("""COMPUTED_VALUE"""),0.591259640102827)</f>
        <v>0.5912596401</v>
      </c>
      <c r="H225" s="8">
        <f>IFERROR(__xludf.DUMMYFUNCTION("""COMPUTED_VALUE"""),0.528350515463917)</f>
        <v>0.5283505155</v>
      </c>
      <c r="I225" s="8">
        <f>IFERROR(__xludf.DUMMYFUNCTION("""COMPUTED_VALUE"""),0.453367875647668)</f>
        <v>0.4533678756</v>
      </c>
      <c r="J225" s="8">
        <f>IFERROR(__xludf.DUMMYFUNCTION("""COMPUTED_VALUE"""),0.40234375)</f>
        <v>0.40234375</v>
      </c>
      <c r="K225" s="8">
        <f>IFERROR(__xludf.DUMMYFUNCTION("""COMPUTED_VALUE"""),0.388235294117647)</f>
        <v>0.3882352941</v>
      </c>
      <c r="L225" s="8">
        <f>IFERROR(__xludf.DUMMYFUNCTION("""COMPUTED_VALUE"""),0.359683794466403)</f>
        <v>0.3596837945</v>
      </c>
      <c r="M225" s="8">
        <f>IFERROR(__xludf.DUMMYFUNCTION("""COMPUTED_VALUE"""),0.339050131926121)</f>
        <v>0.3390501319</v>
      </c>
      <c r="N225" s="8">
        <f>IFERROR(__xludf.DUMMYFUNCTION("""COMPUTED_VALUE"""),0.324468085106383)</f>
        <v>0.3244680851</v>
      </c>
      <c r="O225" s="8">
        <f>IFERROR(__xludf.DUMMYFUNCTION("""COMPUTED_VALUE"""),0.286885245901639)</f>
        <v>0.2868852459</v>
      </c>
      <c r="P225" s="8">
        <f>IFERROR(__xludf.DUMMYFUNCTION("""COMPUTED_VALUE"""),0.258953168044077)</f>
        <v>0.258953168</v>
      </c>
      <c r="Q225" s="8">
        <f>IFERROR(__xludf.DUMMYFUNCTION("""COMPUTED_VALUE"""),0.217391304347826)</f>
        <v>0.2173913043</v>
      </c>
      <c r="R225" s="8">
        <f>IFERROR(__xludf.DUMMYFUNCTION("""COMPUTED_VALUE"""),0.0)</f>
        <v>0</v>
      </c>
      <c r="S225" s="8">
        <f>IFERROR(__xludf.DUMMYFUNCTION("""COMPUTED_VALUE"""),0.0)</f>
        <v>0</v>
      </c>
      <c r="T225" s="8">
        <f>IFERROR(__xludf.DUMMYFUNCTION("""COMPUTED_VALUE"""),0.0)</f>
        <v>0</v>
      </c>
      <c r="U225" s="8">
        <f>IFERROR(__xludf.DUMMYFUNCTION("""COMPUTED_VALUE"""),0.0)</f>
        <v>0</v>
      </c>
      <c r="V225" s="8">
        <f>IFERROR(__xludf.DUMMYFUNCTION("""COMPUTED_VALUE"""),0.0)</f>
        <v>0</v>
      </c>
      <c r="W225" s="8">
        <f>IFERROR(__xludf.DUMMYFUNCTION("""COMPUTED_VALUE"""),0.0)</f>
        <v>0</v>
      </c>
      <c r="X225" s="8">
        <f>IFERROR(__xludf.DUMMYFUNCTION("""COMPUTED_VALUE"""),0.0)</f>
        <v>0</v>
      </c>
      <c r="Y225" s="8">
        <f>IFERROR(__xludf.DUMMYFUNCTION("""COMPUTED_VALUE"""),0.0)</f>
        <v>0</v>
      </c>
      <c r="Z225" s="8">
        <f>IFERROR(__xludf.DUMMYFUNCTION("""COMPUTED_VALUE"""),0.0)</f>
        <v>0</v>
      </c>
      <c r="AA225" s="8">
        <f>IFERROR(__xludf.DUMMYFUNCTION("""COMPUTED_VALUE"""),0.0)</f>
        <v>0</v>
      </c>
      <c r="AB225" s="8">
        <f>IFERROR(__xludf.DUMMYFUNCTION("""COMPUTED_VALUE"""),0.0)</f>
        <v>0</v>
      </c>
      <c r="AC225" s="8">
        <f>IFERROR(__xludf.DUMMYFUNCTION("""COMPUTED_VALUE"""),0.0)</f>
        <v>0</v>
      </c>
    </row>
    <row r="226" ht="15.75" customHeight="1">
      <c r="A226" s="6" t="str">
        <f>IFERROR(__xludf.DUMMYFUNCTION("""COMPUTED_VALUE"""),"cc5ecb3fc21c174557bddcfbc36d821c915d89ed")</f>
        <v>cc5ecb3fc21c174557bddcfbc36d821c915d89ed</v>
      </c>
      <c r="B226" s="6" t="str">
        <f>IFERROR(__xludf.DUMMYFUNCTION("""COMPUTED_VALUE"""),"My Lovely Intruder")</f>
        <v>My Lovely Intruder</v>
      </c>
      <c r="C226" s="6" t="str">
        <f>IFERROR(__xludf.DUMMYFUNCTION("""COMPUTED_VALUE"""),"Romantasy")</f>
        <v>Romantasy</v>
      </c>
      <c r="D226" s="11">
        <f>IFERROR(__xludf.DUMMYFUNCTION("""COMPUTED_VALUE"""),94.0)</f>
        <v>94</v>
      </c>
      <c r="E226" s="8">
        <f>IFERROR(__xludf.DUMMYFUNCTION("""COMPUTED_VALUE"""),0.989361702127659)</f>
        <v>0.9893617021</v>
      </c>
      <c r="F226" s="8">
        <f>IFERROR(__xludf.DUMMYFUNCTION("""COMPUTED_VALUE"""),0.52127659574468)</f>
        <v>0.5212765957</v>
      </c>
      <c r="G226" s="8">
        <f>IFERROR(__xludf.DUMMYFUNCTION("""COMPUTED_VALUE"""),0.393617021276595)</f>
        <v>0.3936170213</v>
      </c>
      <c r="H226" s="8">
        <f>IFERROR(__xludf.DUMMYFUNCTION("""COMPUTED_VALUE"""),0.277777777777777)</f>
        <v>0.2777777778</v>
      </c>
      <c r="I226" s="8">
        <f>IFERROR(__xludf.DUMMYFUNCTION("""COMPUTED_VALUE"""),0.267441860465116)</f>
        <v>0.2674418605</v>
      </c>
      <c r="J226" s="8">
        <f>IFERROR(__xludf.DUMMYFUNCTION("""COMPUTED_VALUE"""),0.2625)</f>
        <v>0.2625</v>
      </c>
      <c r="K226" s="8">
        <f>IFERROR(__xludf.DUMMYFUNCTION("""COMPUTED_VALUE"""),0.272727272727272)</f>
        <v>0.2727272727</v>
      </c>
      <c r="L226" s="8">
        <f>IFERROR(__xludf.DUMMYFUNCTION("""COMPUTED_VALUE"""),0.214285714285714)</f>
        <v>0.2142857143</v>
      </c>
      <c r="M226" s="8">
        <f>IFERROR(__xludf.DUMMYFUNCTION("""COMPUTED_VALUE"""),0.196969696969696)</f>
        <v>0.196969697</v>
      </c>
      <c r="N226" s="8">
        <f>IFERROR(__xludf.DUMMYFUNCTION("""COMPUTED_VALUE"""),0.218181818181818)</f>
        <v>0.2181818182</v>
      </c>
      <c r="O226" s="8">
        <f>IFERROR(__xludf.DUMMYFUNCTION("""COMPUTED_VALUE"""),0.166666666666666)</f>
        <v>0.1666666667</v>
      </c>
      <c r="P226" s="8">
        <f>IFERROR(__xludf.DUMMYFUNCTION("""COMPUTED_VALUE"""),0.2)</f>
        <v>0.2</v>
      </c>
      <c r="Q226" s="8">
        <f>IFERROR(__xludf.DUMMYFUNCTION("""COMPUTED_VALUE"""),0.0)</f>
        <v>0</v>
      </c>
      <c r="R226" s="8">
        <f>IFERROR(__xludf.DUMMYFUNCTION("""COMPUTED_VALUE"""),0.0)</f>
        <v>0</v>
      </c>
      <c r="S226" s="8">
        <f>IFERROR(__xludf.DUMMYFUNCTION("""COMPUTED_VALUE"""),0.0)</f>
        <v>0</v>
      </c>
      <c r="T226" s="8">
        <f>IFERROR(__xludf.DUMMYFUNCTION("""COMPUTED_VALUE"""),0.0)</f>
        <v>0</v>
      </c>
      <c r="U226" s="8">
        <f>IFERROR(__xludf.DUMMYFUNCTION("""COMPUTED_VALUE"""),0.0)</f>
        <v>0</v>
      </c>
      <c r="V226" s="8">
        <f>IFERROR(__xludf.DUMMYFUNCTION("""COMPUTED_VALUE"""),0.0)</f>
        <v>0</v>
      </c>
      <c r="W226" s="8">
        <f>IFERROR(__xludf.DUMMYFUNCTION("""COMPUTED_VALUE"""),0.0)</f>
        <v>0</v>
      </c>
      <c r="X226" s="8">
        <f>IFERROR(__xludf.DUMMYFUNCTION("""COMPUTED_VALUE"""),0.0)</f>
        <v>0</v>
      </c>
      <c r="Y226" s="8">
        <f>IFERROR(__xludf.DUMMYFUNCTION("""COMPUTED_VALUE"""),0.0)</f>
        <v>0</v>
      </c>
      <c r="Z226" s="8">
        <f>IFERROR(__xludf.DUMMYFUNCTION("""COMPUTED_VALUE"""),0.0)</f>
        <v>0</v>
      </c>
      <c r="AA226" s="8">
        <f>IFERROR(__xludf.DUMMYFUNCTION("""COMPUTED_VALUE"""),0.0)</f>
        <v>0</v>
      </c>
      <c r="AB226" s="8">
        <f>IFERROR(__xludf.DUMMYFUNCTION("""COMPUTED_VALUE"""),0.0)</f>
        <v>0</v>
      </c>
      <c r="AC226" s="8">
        <f>IFERROR(__xludf.DUMMYFUNCTION("""COMPUTED_VALUE"""),0.0)</f>
        <v>0</v>
      </c>
    </row>
    <row r="227" ht="15.75" customHeight="1">
      <c r="A227" s="6" t="str">
        <f>IFERROR(__xludf.DUMMYFUNCTION("""COMPUTED_VALUE"""),"cce017649e6098a735e72b5dbfed27f3c95bad78")</f>
        <v>cce017649e6098a735e72b5dbfed27f3c95bad78</v>
      </c>
      <c r="B227" s="6" t="str">
        <f>IFERROR(__xludf.DUMMYFUNCTION("""COMPUTED_VALUE"""),"Between Love and Betrayal")</f>
        <v>Between Love and Betrayal</v>
      </c>
      <c r="C227" s="6" t="str">
        <f>IFERROR(__xludf.DUMMYFUNCTION("""COMPUTED_VALUE"""),"Romance")</f>
        <v>Romance</v>
      </c>
      <c r="D227" s="11">
        <f>IFERROR(__xludf.DUMMYFUNCTION("""COMPUTED_VALUE"""),567.0)</f>
        <v>567</v>
      </c>
      <c r="E227" s="8">
        <f>IFERROR(__xludf.DUMMYFUNCTION("""COMPUTED_VALUE"""),0.982363315696649)</f>
        <v>0.9823633157</v>
      </c>
      <c r="F227" s="8">
        <f>IFERROR(__xludf.DUMMYFUNCTION("""COMPUTED_VALUE"""),0.539682539682539)</f>
        <v>0.5396825397</v>
      </c>
      <c r="G227" s="8">
        <f>IFERROR(__xludf.DUMMYFUNCTION("""COMPUTED_VALUE"""),0.492063492063492)</f>
        <v>0.4920634921</v>
      </c>
      <c r="H227" s="8">
        <f>IFERROR(__xludf.DUMMYFUNCTION("""COMPUTED_VALUE"""),0.449735449735449)</f>
        <v>0.4497354497</v>
      </c>
      <c r="I227" s="8">
        <f>IFERROR(__xludf.DUMMYFUNCTION("""COMPUTED_VALUE"""),0.405309734513274)</f>
        <v>0.4053097345</v>
      </c>
      <c r="J227" s="8">
        <f>IFERROR(__xludf.DUMMYFUNCTION("""COMPUTED_VALUE"""),0.382978723404255)</f>
        <v>0.3829787234</v>
      </c>
      <c r="K227" s="8">
        <f>IFERROR(__xludf.DUMMYFUNCTION("""COMPUTED_VALUE"""),0.370567375886524)</f>
        <v>0.3705673759</v>
      </c>
      <c r="L227" s="8">
        <f>IFERROR(__xludf.DUMMYFUNCTION("""COMPUTED_VALUE"""),0.349290780141843)</f>
        <v>0.3492907801</v>
      </c>
      <c r="M227" s="8">
        <f>IFERROR(__xludf.DUMMYFUNCTION("""COMPUTED_VALUE"""),0.339253996447602)</f>
        <v>0.3392539964</v>
      </c>
      <c r="N227" s="8">
        <f>IFERROR(__xludf.DUMMYFUNCTION("""COMPUTED_VALUE"""),0.337477797513321)</f>
        <v>0.3374777975</v>
      </c>
      <c r="O227" s="8">
        <f>IFERROR(__xludf.DUMMYFUNCTION("""COMPUTED_VALUE"""),0.305755395683453)</f>
        <v>0.3057553957</v>
      </c>
      <c r="P227" s="8">
        <f>IFERROR(__xludf.DUMMYFUNCTION("""COMPUTED_VALUE"""),0.436781609195402)</f>
        <v>0.4367816092</v>
      </c>
      <c r="Q227" s="8">
        <f>IFERROR(__xludf.DUMMYFUNCTION("""COMPUTED_VALUE"""),0.270833333333333)</f>
        <v>0.2708333333</v>
      </c>
      <c r="R227" s="8">
        <f>IFERROR(__xludf.DUMMYFUNCTION("""COMPUTED_VALUE"""),0.2)</f>
        <v>0.2</v>
      </c>
      <c r="S227" s="8">
        <f>IFERROR(__xludf.DUMMYFUNCTION("""COMPUTED_VALUE"""),0.0)</f>
        <v>0</v>
      </c>
      <c r="T227" s="8">
        <f>IFERROR(__xludf.DUMMYFUNCTION("""COMPUTED_VALUE"""),0.0)</f>
        <v>0</v>
      </c>
      <c r="U227" s="8">
        <f>IFERROR(__xludf.DUMMYFUNCTION("""COMPUTED_VALUE"""),0.0)</f>
        <v>0</v>
      </c>
      <c r="V227" s="8">
        <f>IFERROR(__xludf.DUMMYFUNCTION("""COMPUTED_VALUE"""),0.0)</f>
        <v>0</v>
      </c>
      <c r="W227" s="8">
        <f>IFERROR(__xludf.DUMMYFUNCTION("""COMPUTED_VALUE"""),0.0)</f>
        <v>0</v>
      </c>
      <c r="X227" s="8">
        <f>IFERROR(__xludf.DUMMYFUNCTION("""COMPUTED_VALUE"""),0.0)</f>
        <v>0</v>
      </c>
      <c r="Y227" s="8">
        <f>IFERROR(__xludf.DUMMYFUNCTION("""COMPUTED_VALUE"""),0.0)</f>
        <v>0</v>
      </c>
      <c r="Z227" s="8">
        <f>IFERROR(__xludf.DUMMYFUNCTION("""COMPUTED_VALUE"""),0.0)</f>
        <v>0</v>
      </c>
      <c r="AA227" s="8">
        <f>IFERROR(__xludf.DUMMYFUNCTION("""COMPUTED_VALUE"""),0.0)</f>
        <v>0</v>
      </c>
      <c r="AB227" s="8">
        <f>IFERROR(__xludf.DUMMYFUNCTION("""COMPUTED_VALUE"""),0.0)</f>
        <v>0</v>
      </c>
      <c r="AC227" s="8">
        <f>IFERROR(__xludf.DUMMYFUNCTION("""COMPUTED_VALUE"""),0.0)</f>
        <v>0</v>
      </c>
    </row>
    <row r="228" ht="15.75" customHeight="1">
      <c r="A228" s="6" t="str">
        <f>IFERROR(__xludf.DUMMYFUNCTION("""COMPUTED_VALUE"""),"cdb3a84d505dbefdca86cae60d3db90f949368f1")</f>
        <v>cdb3a84d505dbefdca86cae60d3db90f949368f1</v>
      </c>
      <c r="B228" s="6" t="str">
        <f>IFERROR(__xludf.DUMMYFUNCTION("""COMPUTED_VALUE"""),"Amulet of the Gods")</f>
        <v>Amulet of the Gods</v>
      </c>
      <c r="C228" s="6" t="str">
        <f>IFERROR(__xludf.DUMMYFUNCTION("""COMPUTED_VALUE"""),"System and Superpower")</f>
        <v>System and Superpower</v>
      </c>
      <c r="D228" s="11">
        <f>IFERROR(__xludf.DUMMYFUNCTION("""COMPUTED_VALUE"""),1332.0)</f>
        <v>1332</v>
      </c>
      <c r="E228" s="8">
        <f>IFERROR(__xludf.DUMMYFUNCTION("""COMPUTED_VALUE"""),0.963963963963964)</f>
        <v>0.963963964</v>
      </c>
      <c r="F228" s="8">
        <f>IFERROR(__xludf.DUMMYFUNCTION("""COMPUTED_VALUE"""),0.554054054054054)</f>
        <v>0.5540540541</v>
      </c>
      <c r="G228" s="8">
        <f>IFERROR(__xludf.DUMMYFUNCTION("""COMPUTED_VALUE"""),0.493993993993994)</f>
        <v>0.493993994</v>
      </c>
      <c r="H228" s="8">
        <f>IFERROR(__xludf.DUMMYFUNCTION("""COMPUTED_VALUE"""),0.44360902255639)</f>
        <v>0.4436090226</v>
      </c>
      <c r="I228" s="8">
        <f>IFERROR(__xludf.DUMMYFUNCTION("""COMPUTED_VALUE"""),0.418990203466465)</f>
        <v>0.4189902035</v>
      </c>
      <c r="J228" s="8">
        <f>IFERROR(__xludf.DUMMYFUNCTION("""COMPUTED_VALUE"""),0.386243386243386)</f>
        <v>0.3862433862</v>
      </c>
      <c r="K228" s="8">
        <f>IFERROR(__xludf.DUMMYFUNCTION("""COMPUTED_VALUE"""),0.366666666666666)</f>
        <v>0.3666666667</v>
      </c>
      <c r="L228" s="8">
        <f>IFERROR(__xludf.DUMMYFUNCTION("""COMPUTED_VALUE"""),0.350265352539802)</f>
        <v>0.3502653525</v>
      </c>
      <c r="M228" s="8">
        <f>IFERROR(__xludf.DUMMYFUNCTION("""COMPUTED_VALUE"""),0.341685649202733)</f>
        <v>0.3416856492</v>
      </c>
      <c r="N228" s="8">
        <f>IFERROR(__xludf.DUMMYFUNCTION("""COMPUTED_VALUE"""),0.329268292682926)</f>
        <v>0.3292682927</v>
      </c>
      <c r="O228" s="8">
        <f>IFERROR(__xludf.DUMMYFUNCTION("""COMPUTED_VALUE"""),0.303777949113338)</f>
        <v>0.3037779491</v>
      </c>
      <c r="P228" s="8">
        <f>IFERROR(__xludf.DUMMYFUNCTION("""COMPUTED_VALUE"""),0.253115264797507)</f>
        <v>0.2531152648</v>
      </c>
      <c r="Q228" s="8">
        <f>IFERROR(__xludf.DUMMYFUNCTION("""COMPUTED_VALUE"""),0.156151419558359)</f>
        <v>0.1561514196</v>
      </c>
      <c r="R228" s="8">
        <f>IFERROR(__xludf.DUMMYFUNCTION("""COMPUTED_VALUE"""),0.10650329877474)</f>
        <v>0.1065032988</v>
      </c>
      <c r="S228" s="8">
        <f>IFERROR(__xludf.DUMMYFUNCTION("""COMPUTED_VALUE"""),0.0663101604278074)</f>
        <v>0.06631016043</v>
      </c>
      <c r="T228" s="8">
        <f>IFERROR(__xludf.DUMMYFUNCTION("""COMPUTED_VALUE"""),0.0683229813664596)</f>
        <v>0.06832298137</v>
      </c>
      <c r="U228" s="8">
        <f>IFERROR(__xludf.DUMMYFUNCTION("""COMPUTED_VALUE"""),0.0654911838790932)</f>
        <v>0.06549118388</v>
      </c>
      <c r="V228" s="8">
        <f>IFERROR(__xludf.DUMMYFUNCTION("""COMPUTED_VALUE"""),0.0384615384615384)</f>
        <v>0.03846153846</v>
      </c>
      <c r="W228" s="8">
        <f>IFERROR(__xludf.DUMMYFUNCTION("""COMPUTED_VALUE"""),0.0458715596330275)</f>
        <v>0.04587155963</v>
      </c>
      <c r="X228" s="8">
        <f>IFERROR(__xludf.DUMMYFUNCTION("""COMPUTED_VALUE"""),0.0352941176470588)</f>
        <v>0.03529411765</v>
      </c>
      <c r="Y228" s="8">
        <f>IFERROR(__xludf.DUMMYFUNCTION("""COMPUTED_VALUE"""),0.0)</f>
        <v>0</v>
      </c>
      <c r="Z228" s="8">
        <f>IFERROR(__xludf.DUMMYFUNCTION("""COMPUTED_VALUE"""),0.0)</f>
        <v>0</v>
      </c>
      <c r="AA228" s="8">
        <f>IFERROR(__xludf.DUMMYFUNCTION("""COMPUTED_VALUE"""),0.0)</f>
        <v>0</v>
      </c>
      <c r="AB228" s="8">
        <f>IFERROR(__xludf.DUMMYFUNCTION("""COMPUTED_VALUE"""),0.0)</f>
        <v>0</v>
      </c>
      <c r="AC228" s="8">
        <f>IFERROR(__xludf.DUMMYFUNCTION("""COMPUTED_VALUE"""),0.0)</f>
        <v>0</v>
      </c>
    </row>
    <row r="229" ht="15.75" customHeight="1">
      <c r="A229" s="6" t="str">
        <f>IFERROR(__xludf.DUMMYFUNCTION("""COMPUTED_VALUE"""),"cec33b3e9f3607e7d8ae32858f0e715a91e937c4")</f>
        <v>cec33b3e9f3607e7d8ae32858f0e715a91e937c4</v>
      </c>
      <c r="B229" s="6" t="str">
        <f>IFERROR(__xludf.DUMMYFUNCTION("""COMPUTED_VALUE"""),"From Squalor to Moneybag")</f>
        <v>From Squalor to Moneybag</v>
      </c>
      <c r="C229" s="6" t="str">
        <f>IFERROR(__xludf.DUMMYFUNCTION("""COMPUTED_VALUE"""),"Drama")</f>
        <v>Drama</v>
      </c>
      <c r="D229" s="11">
        <f>IFERROR(__xludf.DUMMYFUNCTION("""COMPUTED_VALUE"""),113.0)</f>
        <v>113</v>
      </c>
      <c r="E229" s="8">
        <f>IFERROR(__xludf.DUMMYFUNCTION("""COMPUTED_VALUE"""),0.938053097345132)</f>
        <v>0.9380530973</v>
      </c>
      <c r="F229" s="8">
        <f>IFERROR(__xludf.DUMMYFUNCTION("""COMPUTED_VALUE"""),0.63716814159292)</f>
        <v>0.6371681416</v>
      </c>
      <c r="G229" s="8">
        <f>IFERROR(__xludf.DUMMYFUNCTION("""COMPUTED_VALUE"""),0.619469026548672)</f>
        <v>0.6194690265</v>
      </c>
      <c r="H229" s="8">
        <f>IFERROR(__xludf.DUMMYFUNCTION("""COMPUTED_VALUE"""),0.596153846153846)</f>
        <v>0.5961538462</v>
      </c>
      <c r="I229" s="8">
        <f>IFERROR(__xludf.DUMMYFUNCTION("""COMPUTED_VALUE"""),0.530612244897959)</f>
        <v>0.5306122449</v>
      </c>
      <c r="J229" s="8">
        <f>IFERROR(__xludf.DUMMYFUNCTION("""COMPUTED_VALUE"""),0.472527472527472)</f>
        <v>0.4725274725</v>
      </c>
      <c r="K229" s="8">
        <f>IFERROR(__xludf.DUMMYFUNCTION("""COMPUTED_VALUE"""),0.363636363636363)</f>
        <v>0.3636363636</v>
      </c>
      <c r="L229" s="8">
        <f>IFERROR(__xludf.DUMMYFUNCTION("""COMPUTED_VALUE"""),0.321428571428571)</f>
        <v>0.3214285714</v>
      </c>
      <c r="M229" s="8">
        <f>IFERROR(__xludf.DUMMYFUNCTION("""COMPUTED_VALUE"""),0.308641975308641)</f>
        <v>0.3086419753</v>
      </c>
      <c r="N229" s="8">
        <f>IFERROR(__xludf.DUMMYFUNCTION("""COMPUTED_VALUE"""),0.297297297297297)</f>
        <v>0.2972972973</v>
      </c>
      <c r="O229" s="8">
        <f>IFERROR(__xludf.DUMMYFUNCTION("""COMPUTED_VALUE"""),0.208955223880597)</f>
        <v>0.2089552239</v>
      </c>
      <c r="P229" s="8">
        <f>IFERROR(__xludf.DUMMYFUNCTION("""COMPUTED_VALUE"""),0.0597014925373134)</f>
        <v>0.05970149254</v>
      </c>
      <c r="Q229" s="8">
        <f>IFERROR(__xludf.DUMMYFUNCTION("""COMPUTED_VALUE"""),0.0151515151515151)</f>
        <v>0.01515151515</v>
      </c>
      <c r="R229" s="8">
        <f>IFERROR(__xludf.DUMMYFUNCTION("""COMPUTED_VALUE"""),0.015625)</f>
        <v>0.015625</v>
      </c>
      <c r="S229" s="8">
        <f>IFERROR(__xludf.DUMMYFUNCTION("""COMPUTED_VALUE"""),0.0)</f>
        <v>0</v>
      </c>
      <c r="T229" s="8">
        <f>IFERROR(__xludf.DUMMYFUNCTION("""COMPUTED_VALUE"""),0.0)</f>
        <v>0</v>
      </c>
      <c r="U229" s="8">
        <f>IFERROR(__xludf.DUMMYFUNCTION("""COMPUTED_VALUE"""),0.0)</f>
        <v>0</v>
      </c>
      <c r="V229" s="8">
        <f>IFERROR(__xludf.DUMMYFUNCTION("""COMPUTED_VALUE"""),0.0)</f>
        <v>0</v>
      </c>
      <c r="W229" s="8">
        <f>IFERROR(__xludf.DUMMYFUNCTION("""COMPUTED_VALUE"""),0.0)</f>
        <v>0</v>
      </c>
      <c r="X229" s="8">
        <f>IFERROR(__xludf.DUMMYFUNCTION("""COMPUTED_VALUE"""),0.0)</f>
        <v>0</v>
      </c>
      <c r="Y229" s="8">
        <f>IFERROR(__xludf.DUMMYFUNCTION("""COMPUTED_VALUE"""),0.0)</f>
        <v>0</v>
      </c>
      <c r="Z229" s="8">
        <f>IFERROR(__xludf.DUMMYFUNCTION("""COMPUTED_VALUE"""),0.0)</f>
        <v>0</v>
      </c>
      <c r="AA229" s="8">
        <f>IFERROR(__xludf.DUMMYFUNCTION("""COMPUTED_VALUE"""),0.0)</f>
        <v>0</v>
      </c>
      <c r="AB229" s="8">
        <f>IFERROR(__xludf.DUMMYFUNCTION("""COMPUTED_VALUE"""),0.0)</f>
        <v>0</v>
      </c>
      <c r="AC229" s="8">
        <f>IFERROR(__xludf.DUMMYFUNCTION("""COMPUTED_VALUE"""),0.0)</f>
        <v>0</v>
      </c>
    </row>
    <row r="230" ht="15.75" customHeight="1">
      <c r="A230" s="6" t="str">
        <f>IFERROR(__xludf.DUMMYFUNCTION("""COMPUTED_VALUE"""),"d2aaef61d998c9f90c2df15eafe1acd784549269")</f>
        <v>d2aaef61d998c9f90c2df15eafe1acd784549269</v>
      </c>
      <c r="B230" s="6" t="str">
        <f>IFERROR(__xludf.DUMMYFUNCTION("""COMPUTED_VALUE"""),"Alpha Braxton")</f>
        <v>Alpha Braxton</v>
      </c>
      <c r="C230" s="6" t="str">
        <f>IFERROR(__xludf.DUMMYFUNCTION("""COMPUTED_VALUE"""),"Romantasy")</f>
        <v>Romantasy</v>
      </c>
      <c r="D230" s="11">
        <f>IFERROR(__xludf.DUMMYFUNCTION("""COMPUTED_VALUE"""),2763.0)</f>
        <v>2763</v>
      </c>
      <c r="E230" s="8">
        <f>IFERROR(__xludf.DUMMYFUNCTION("""COMPUTED_VALUE"""),0.969236337314513)</f>
        <v>0.9692363373</v>
      </c>
      <c r="F230" s="8">
        <f>IFERROR(__xludf.DUMMYFUNCTION("""COMPUTED_VALUE"""),0.685848715164676)</f>
        <v>0.6858487152</v>
      </c>
      <c r="G230" s="8">
        <f>IFERROR(__xludf.DUMMYFUNCTION("""COMPUTED_VALUE"""),0.619616359030039)</f>
        <v>0.619616359</v>
      </c>
      <c r="H230" s="8">
        <f>IFERROR(__xludf.DUMMYFUNCTION("""COMPUTED_VALUE"""),0.582186821144098)</f>
        <v>0.5821868211</v>
      </c>
      <c r="I230" s="8">
        <f>IFERROR(__xludf.DUMMYFUNCTION("""COMPUTED_VALUE"""),0.54798985874683)</f>
        <v>0.5479898587</v>
      </c>
      <c r="J230" s="8">
        <f>IFERROR(__xludf.DUMMYFUNCTION("""COMPUTED_VALUE"""),0.513052936910804)</f>
        <v>0.5130529369</v>
      </c>
      <c r="K230" s="8">
        <f>IFERROR(__xludf.DUMMYFUNCTION("""COMPUTED_VALUE"""),0.493652520856002)</f>
        <v>0.4936525209</v>
      </c>
      <c r="L230" s="8">
        <f>IFERROR(__xludf.DUMMYFUNCTION("""COMPUTED_VALUE"""),0.482946298984034)</f>
        <v>0.482946299</v>
      </c>
      <c r="M230" s="8">
        <f>IFERROR(__xludf.DUMMYFUNCTION("""COMPUTED_VALUE"""),0.46497277676951)</f>
        <v>0.4649727768</v>
      </c>
      <c r="N230" s="8">
        <f>IFERROR(__xludf.DUMMYFUNCTION("""COMPUTED_VALUE"""),0.462236746550472)</f>
        <v>0.4622367466</v>
      </c>
      <c r="O230" s="8">
        <f>IFERROR(__xludf.DUMMYFUNCTION("""COMPUTED_VALUE"""),0.394495412844036)</f>
        <v>0.3944954128</v>
      </c>
      <c r="P230" s="8">
        <f>IFERROR(__xludf.DUMMYFUNCTION("""COMPUTED_VALUE"""),0.393407534246575)</f>
        <v>0.3934075342</v>
      </c>
      <c r="Q230" s="8">
        <f>IFERROR(__xludf.DUMMYFUNCTION("""COMPUTED_VALUE"""),0.248520710059171)</f>
        <v>0.2485207101</v>
      </c>
      <c r="R230" s="8">
        <f>IFERROR(__xludf.DUMMYFUNCTION("""COMPUTED_VALUE"""),0.1875)</f>
        <v>0.1875</v>
      </c>
      <c r="S230" s="8">
        <f>IFERROR(__xludf.DUMMYFUNCTION("""COMPUTED_VALUE"""),0.162162162162162)</f>
        <v>0.1621621622</v>
      </c>
      <c r="T230" s="8">
        <f>IFERROR(__xludf.DUMMYFUNCTION("""COMPUTED_VALUE"""),0.0)</f>
        <v>0</v>
      </c>
      <c r="U230" s="8">
        <f>IFERROR(__xludf.DUMMYFUNCTION("""COMPUTED_VALUE"""),0.0)</f>
        <v>0</v>
      </c>
      <c r="V230" s="8">
        <f>IFERROR(__xludf.DUMMYFUNCTION("""COMPUTED_VALUE"""),0.0)</f>
        <v>0</v>
      </c>
      <c r="W230" s="8">
        <f>IFERROR(__xludf.DUMMYFUNCTION("""COMPUTED_VALUE"""),0.0)</f>
        <v>0</v>
      </c>
      <c r="X230" s="8">
        <f>IFERROR(__xludf.DUMMYFUNCTION("""COMPUTED_VALUE"""),0.0)</f>
        <v>0</v>
      </c>
      <c r="Y230" s="8">
        <f>IFERROR(__xludf.DUMMYFUNCTION("""COMPUTED_VALUE"""),0.0)</f>
        <v>0</v>
      </c>
      <c r="Z230" s="8">
        <f>IFERROR(__xludf.DUMMYFUNCTION("""COMPUTED_VALUE"""),0.0)</f>
        <v>0</v>
      </c>
      <c r="AA230" s="8">
        <f>IFERROR(__xludf.DUMMYFUNCTION("""COMPUTED_VALUE"""),0.0)</f>
        <v>0</v>
      </c>
      <c r="AB230" s="8">
        <f>IFERROR(__xludf.DUMMYFUNCTION("""COMPUTED_VALUE"""),0.0)</f>
        <v>0</v>
      </c>
      <c r="AC230" s="8">
        <f>IFERROR(__xludf.DUMMYFUNCTION("""COMPUTED_VALUE"""),0.0)</f>
        <v>0</v>
      </c>
    </row>
    <row r="231" ht="15.75" customHeight="1">
      <c r="A231" s="6" t="str">
        <f>IFERROR(__xludf.DUMMYFUNCTION("""COMPUTED_VALUE"""),"d3866fc3c89b4f6e7425ea92decf796ef97098db")</f>
        <v>d3866fc3c89b4f6e7425ea92decf796ef97098db</v>
      </c>
      <c r="B231" s="6" t="str">
        <f>IFERROR(__xludf.DUMMYFUNCTION("""COMPUTED_VALUE"""),"The Billionaire's Twins")</f>
        <v>The Billionaire's Twins</v>
      </c>
      <c r="C231" s="6" t="str">
        <f>IFERROR(__xludf.DUMMYFUNCTION("""COMPUTED_VALUE"""),"Romance")</f>
        <v>Romance</v>
      </c>
      <c r="D231" s="11">
        <f>IFERROR(__xludf.DUMMYFUNCTION("""COMPUTED_VALUE"""),510.0)</f>
        <v>510</v>
      </c>
      <c r="E231" s="8">
        <f>IFERROR(__xludf.DUMMYFUNCTION("""COMPUTED_VALUE"""),0.96078431372549)</f>
        <v>0.9607843137</v>
      </c>
      <c r="F231" s="8">
        <f>IFERROR(__xludf.DUMMYFUNCTION("""COMPUTED_VALUE"""),0.696078431372549)</f>
        <v>0.6960784314</v>
      </c>
      <c r="G231" s="8">
        <f>IFERROR(__xludf.DUMMYFUNCTION("""COMPUTED_VALUE"""),0.672549019607843)</f>
        <v>0.6725490196</v>
      </c>
      <c r="H231" s="8">
        <f>IFERROR(__xludf.DUMMYFUNCTION("""COMPUTED_VALUE"""),0.60515873015873)</f>
        <v>0.6051587302</v>
      </c>
      <c r="I231" s="8">
        <f>IFERROR(__xludf.DUMMYFUNCTION("""COMPUTED_VALUE"""),0.575452716297786)</f>
        <v>0.5754527163</v>
      </c>
      <c r="J231" s="8">
        <f>IFERROR(__xludf.DUMMYFUNCTION("""COMPUTED_VALUE"""),0.55193482688391)</f>
        <v>0.5519348269</v>
      </c>
      <c r="K231" s="8">
        <f>IFERROR(__xludf.DUMMYFUNCTION("""COMPUTED_VALUE"""),0.510288065843621)</f>
        <v>0.5102880658</v>
      </c>
      <c r="L231" s="8">
        <f>IFERROR(__xludf.DUMMYFUNCTION("""COMPUTED_VALUE"""),0.495798319327731)</f>
        <v>0.4957983193</v>
      </c>
      <c r="M231" s="8">
        <f>IFERROR(__xludf.DUMMYFUNCTION("""COMPUTED_VALUE"""),0.471264367816091)</f>
        <v>0.4712643678</v>
      </c>
      <c r="N231" s="8">
        <f>IFERROR(__xludf.DUMMYFUNCTION("""COMPUTED_VALUE"""),0.414790996784565)</f>
        <v>0.4147909968</v>
      </c>
      <c r="O231" s="8">
        <f>IFERROR(__xludf.DUMMYFUNCTION("""COMPUTED_VALUE"""),0.313559322033898)</f>
        <v>0.313559322</v>
      </c>
      <c r="P231" s="8">
        <f>IFERROR(__xludf.DUMMYFUNCTION("""COMPUTED_VALUE"""),0.168141592920354)</f>
        <v>0.1681415929</v>
      </c>
      <c r="Q231" s="8">
        <f>IFERROR(__xludf.DUMMYFUNCTION("""COMPUTED_VALUE"""),0.0428571428571428)</f>
        <v>0.04285714286</v>
      </c>
      <c r="R231" s="8">
        <f>IFERROR(__xludf.DUMMYFUNCTION("""COMPUTED_VALUE"""),0.0465116279069767)</f>
        <v>0.04651162791</v>
      </c>
      <c r="S231" s="8">
        <f>IFERROR(__xludf.DUMMYFUNCTION("""COMPUTED_VALUE"""),0.04)</f>
        <v>0.04</v>
      </c>
      <c r="T231" s="8">
        <f>IFERROR(__xludf.DUMMYFUNCTION("""COMPUTED_VALUE"""),0.0)</f>
        <v>0</v>
      </c>
      <c r="U231" s="8">
        <f>IFERROR(__xludf.DUMMYFUNCTION("""COMPUTED_VALUE"""),0.0)</f>
        <v>0</v>
      </c>
      <c r="V231" s="8">
        <f>IFERROR(__xludf.DUMMYFUNCTION("""COMPUTED_VALUE"""),0.0)</f>
        <v>0</v>
      </c>
      <c r="W231" s="8">
        <f>IFERROR(__xludf.DUMMYFUNCTION("""COMPUTED_VALUE"""),0.0)</f>
        <v>0</v>
      </c>
      <c r="X231" s="8">
        <f>IFERROR(__xludf.DUMMYFUNCTION("""COMPUTED_VALUE"""),0.0)</f>
        <v>0</v>
      </c>
      <c r="Y231" s="8">
        <f>IFERROR(__xludf.DUMMYFUNCTION("""COMPUTED_VALUE"""),0.0)</f>
        <v>0</v>
      </c>
      <c r="Z231" s="8">
        <f>IFERROR(__xludf.DUMMYFUNCTION("""COMPUTED_VALUE"""),0.0)</f>
        <v>0</v>
      </c>
      <c r="AA231" s="8">
        <f>IFERROR(__xludf.DUMMYFUNCTION("""COMPUTED_VALUE"""),0.0)</f>
        <v>0</v>
      </c>
      <c r="AB231" s="8">
        <f>IFERROR(__xludf.DUMMYFUNCTION("""COMPUTED_VALUE"""),0.0)</f>
        <v>0</v>
      </c>
      <c r="AC231" s="8">
        <f>IFERROR(__xludf.DUMMYFUNCTION("""COMPUTED_VALUE"""),0.0)</f>
        <v>0</v>
      </c>
    </row>
    <row r="232" ht="15.75" customHeight="1">
      <c r="A232" s="6" t="str">
        <f>IFERROR(__xludf.DUMMYFUNCTION("""COMPUTED_VALUE"""),"d419897471d8bc8312abf495d27412e669ccf6d0")</f>
        <v>d419897471d8bc8312abf495d27412e669ccf6d0</v>
      </c>
      <c r="B232" s="6" t="str">
        <f>IFERROR(__xludf.DUMMYFUNCTION("""COMPUTED_VALUE"""),"His Borrowed Wife")</f>
        <v>His Borrowed Wife</v>
      </c>
      <c r="C232" s="6" t="str">
        <f>IFERROR(__xludf.DUMMYFUNCTION("""COMPUTED_VALUE"""),"Romance")</f>
        <v>Romance</v>
      </c>
      <c r="D232" s="11">
        <f>IFERROR(__xludf.DUMMYFUNCTION("""COMPUTED_VALUE"""),2339.0)</f>
        <v>2339</v>
      </c>
      <c r="E232" s="8">
        <f>IFERROR(__xludf.DUMMYFUNCTION("""COMPUTED_VALUE"""),0.964514749893116)</f>
        <v>0.9645147499</v>
      </c>
      <c r="F232" s="8">
        <f>IFERROR(__xludf.DUMMYFUNCTION("""COMPUTED_VALUE"""),0.555793073963232)</f>
        <v>0.555793074</v>
      </c>
      <c r="G232" s="8">
        <f>IFERROR(__xludf.DUMMYFUNCTION("""COMPUTED_VALUE"""),0.503206498503634)</f>
        <v>0.5032064985</v>
      </c>
      <c r="H232" s="8">
        <f>IFERROR(__xludf.DUMMYFUNCTION("""COMPUTED_VALUE"""),0.465918895599654)</f>
        <v>0.4659188956</v>
      </c>
      <c r="I232" s="8">
        <f>IFERROR(__xludf.DUMMYFUNCTION("""COMPUTED_VALUE"""),0.441648590021692)</f>
        <v>0.44164859</v>
      </c>
      <c r="J232" s="8">
        <f>IFERROR(__xludf.DUMMYFUNCTION("""COMPUTED_VALUE"""),0.424268878219118)</f>
        <v>0.4242688782</v>
      </c>
      <c r="K232" s="8">
        <f>IFERROR(__xludf.DUMMYFUNCTION("""COMPUTED_VALUE"""),0.410761154855643)</f>
        <v>0.4107611549</v>
      </c>
      <c r="L232" s="8">
        <f>IFERROR(__xludf.DUMMYFUNCTION("""COMPUTED_VALUE"""),0.405550581915846)</f>
        <v>0.4055505819</v>
      </c>
      <c r="M232" s="8">
        <f>IFERROR(__xludf.DUMMYFUNCTION("""COMPUTED_VALUE"""),0.395957740009186)</f>
        <v>0.39595774</v>
      </c>
      <c r="N232" s="8">
        <f>IFERROR(__xludf.DUMMYFUNCTION("""COMPUTED_VALUE"""),0.387541607227769)</f>
        <v>0.3875416072</v>
      </c>
      <c r="O232" s="8">
        <f>IFERROR(__xludf.DUMMYFUNCTION("""COMPUTED_VALUE"""),0.372661122661122)</f>
        <v>0.3726611227</v>
      </c>
      <c r="P232" s="8">
        <f>IFERROR(__xludf.DUMMYFUNCTION("""COMPUTED_VALUE"""),0.35201793721973)</f>
        <v>0.3520179372</v>
      </c>
      <c r="Q232" s="8">
        <f>IFERROR(__xludf.DUMMYFUNCTION("""COMPUTED_VALUE"""),0.318840579710144)</f>
        <v>0.3188405797</v>
      </c>
      <c r="R232" s="8">
        <f>IFERROR(__xludf.DUMMYFUNCTION("""COMPUTED_VALUE"""),0.0)</f>
        <v>0</v>
      </c>
      <c r="S232" s="8">
        <f>IFERROR(__xludf.DUMMYFUNCTION("""COMPUTED_VALUE"""),0.0)</f>
        <v>0</v>
      </c>
      <c r="T232" s="8">
        <f>IFERROR(__xludf.DUMMYFUNCTION("""COMPUTED_VALUE"""),0.0)</f>
        <v>0</v>
      </c>
      <c r="U232" s="8">
        <f>IFERROR(__xludf.DUMMYFUNCTION("""COMPUTED_VALUE"""),0.0)</f>
        <v>0</v>
      </c>
      <c r="V232" s="8">
        <f>IFERROR(__xludf.DUMMYFUNCTION("""COMPUTED_VALUE"""),0.0)</f>
        <v>0</v>
      </c>
      <c r="W232" s="8">
        <f>IFERROR(__xludf.DUMMYFUNCTION("""COMPUTED_VALUE"""),0.0)</f>
        <v>0</v>
      </c>
      <c r="X232" s="8">
        <f>IFERROR(__xludf.DUMMYFUNCTION("""COMPUTED_VALUE"""),0.0)</f>
        <v>0</v>
      </c>
      <c r="Y232" s="8">
        <f>IFERROR(__xludf.DUMMYFUNCTION("""COMPUTED_VALUE"""),0.0)</f>
        <v>0</v>
      </c>
      <c r="Z232" s="8">
        <f>IFERROR(__xludf.DUMMYFUNCTION("""COMPUTED_VALUE"""),0.0)</f>
        <v>0</v>
      </c>
      <c r="AA232" s="8">
        <f>IFERROR(__xludf.DUMMYFUNCTION("""COMPUTED_VALUE"""),0.0)</f>
        <v>0</v>
      </c>
      <c r="AB232" s="8">
        <f>IFERROR(__xludf.DUMMYFUNCTION("""COMPUTED_VALUE"""),0.0)</f>
        <v>0</v>
      </c>
      <c r="AC232" s="8">
        <f>IFERROR(__xludf.DUMMYFUNCTION("""COMPUTED_VALUE"""),0.0)</f>
        <v>0</v>
      </c>
    </row>
    <row r="233" ht="15.75" customHeight="1">
      <c r="A233" s="6" t="str">
        <f>IFERROR(__xludf.DUMMYFUNCTION("""COMPUTED_VALUE"""),"d4bf13e8bbfcd2fa5b75aa042e47479d3a06188b")</f>
        <v>d4bf13e8bbfcd2fa5b75aa042e47479d3a06188b</v>
      </c>
      <c r="B233" s="6" t="str">
        <f>IFERROR(__xludf.DUMMYFUNCTION("""COMPUTED_VALUE"""),"Undead Tamer's Necro Pets")</f>
        <v>Undead Tamer's Necro Pets</v>
      </c>
      <c r="C233" s="6" t="str">
        <f>IFERROR(__xludf.DUMMYFUNCTION("""COMPUTED_VALUE"""),"Fantasy")</f>
        <v>Fantasy</v>
      </c>
      <c r="D233" s="11">
        <f>IFERROR(__xludf.DUMMYFUNCTION("""COMPUTED_VALUE"""),103.0)</f>
        <v>103</v>
      </c>
      <c r="E233" s="8">
        <f>IFERROR(__xludf.DUMMYFUNCTION("""COMPUTED_VALUE"""),0.980582524271844)</f>
        <v>0.9805825243</v>
      </c>
      <c r="F233" s="8">
        <f>IFERROR(__xludf.DUMMYFUNCTION("""COMPUTED_VALUE"""),0.436893203883495)</f>
        <v>0.4368932039</v>
      </c>
      <c r="G233" s="8">
        <f>IFERROR(__xludf.DUMMYFUNCTION("""COMPUTED_VALUE"""),0.378640776699029)</f>
        <v>0.3786407767</v>
      </c>
      <c r="H233" s="8">
        <f>IFERROR(__xludf.DUMMYFUNCTION("""COMPUTED_VALUE"""),0.320388349514563)</f>
        <v>0.3203883495</v>
      </c>
      <c r="I233" s="8">
        <f>IFERROR(__xludf.DUMMYFUNCTION("""COMPUTED_VALUE"""),0.29126213592233)</f>
        <v>0.2912621359</v>
      </c>
      <c r="J233" s="8">
        <f>IFERROR(__xludf.DUMMYFUNCTION("""COMPUTED_VALUE"""),0.29126213592233)</f>
        <v>0.2912621359</v>
      </c>
      <c r="K233" s="8">
        <f>IFERROR(__xludf.DUMMYFUNCTION("""COMPUTED_VALUE"""),0.262135922330097)</f>
        <v>0.2621359223</v>
      </c>
      <c r="L233" s="8">
        <f>IFERROR(__xludf.DUMMYFUNCTION("""COMPUTED_VALUE"""),0.265306122448979)</f>
        <v>0.2653061224</v>
      </c>
      <c r="M233" s="8">
        <f>IFERROR(__xludf.DUMMYFUNCTION("""COMPUTED_VALUE"""),0.268041237113402)</f>
        <v>0.2680412371</v>
      </c>
      <c r="N233" s="8">
        <f>IFERROR(__xludf.DUMMYFUNCTION("""COMPUTED_VALUE"""),0.263157894736842)</f>
        <v>0.2631578947</v>
      </c>
      <c r="O233" s="8">
        <f>IFERROR(__xludf.DUMMYFUNCTION("""COMPUTED_VALUE"""),0.228915662650602)</f>
        <v>0.2289156627</v>
      </c>
      <c r="P233" s="8">
        <f>IFERROR(__xludf.DUMMYFUNCTION("""COMPUTED_VALUE"""),0.125)</f>
        <v>0.125</v>
      </c>
      <c r="Q233" s="8">
        <f>IFERROR(__xludf.DUMMYFUNCTION("""COMPUTED_VALUE"""),0.0)</f>
        <v>0</v>
      </c>
      <c r="R233" s="8">
        <f>IFERROR(__xludf.DUMMYFUNCTION("""COMPUTED_VALUE"""),0.0)</f>
        <v>0</v>
      </c>
      <c r="S233" s="8">
        <f>IFERROR(__xludf.DUMMYFUNCTION("""COMPUTED_VALUE"""),0.0)</f>
        <v>0</v>
      </c>
      <c r="T233" s="8">
        <f>IFERROR(__xludf.DUMMYFUNCTION("""COMPUTED_VALUE"""),0.0)</f>
        <v>0</v>
      </c>
      <c r="U233" s="8">
        <f>IFERROR(__xludf.DUMMYFUNCTION("""COMPUTED_VALUE"""),0.0)</f>
        <v>0</v>
      </c>
      <c r="V233" s="8">
        <f>IFERROR(__xludf.DUMMYFUNCTION("""COMPUTED_VALUE"""),0.0)</f>
        <v>0</v>
      </c>
      <c r="W233" s="8">
        <f>IFERROR(__xludf.DUMMYFUNCTION("""COMPUTED_VALUE"""),0.0)</f>
        <v>0</v>
      </c>
      <c r="X233" s="8">
        <f>IFERROR(__xludf.DUMMYFUNCTION("""COMPUTED_VALUE"""),0.0)</f>
        <v>0</v>
      </c>
      <c r="Y233" s="8">
        <f>IFERROR(__xludf.DUMMYFUNCTION("""COMPUTED_VALUE"""),0.0)</f>
        <v>0</v>
      </c>
      <c r="Z233" s="8">
        <f>IFERROR(__xludf.DUMMYFUNCTION("""COMPUTED_VALUE"""),0.0)</f>
        <v>0</v>
      </c>
      <c r="AA233" s="8">
        <f>IFERROR(__xludf.DUMMYFUNCTION("""COMPUTED_VALUE"""),0.0)</f>
        <v>0</v>
      </c>
      <c r="AB233" s="8">
        <f>IFERROR(__xludf.DUMMYFUNCTION("""COMPUTED_VALUE"""),0.0)</f>
        <v>0</v>
      </c>
      <c r="AC233" s="8">
        <f>IFERROR(__xludf.DUMMYFUNCTION("""COMPUTED_VALUE"""),0.0)</f>
        <v>0</v>
      </c>
    </row>
    <row r="234" ht="15.75" customHeight="1">
      <c r="A234" s="6" t="str">
        <f>IFERROR(__xludf.DUMMYFUNCTION("""COMPUTED_VALUE"""),"d687598bacfd959af85400d722a39d5e62aad513")</f>
        <v>d687598bacfd959af85400d722a39d5e62aad513</v>
      </c>
      <c r="B234" s="6" t="str">
        <f>IFERROR(__xludf.DUMMYFUNCTION("""COMPUTED_VALUE"""),"Unexpectedly Mine")</f>
        <v>Unexpectedly Mine</v>
      </c>
      <c r="C234" s="6" t="str">
        <f>IFERROR(__xludf.DUMMYFUNCTION("""COMPUTED_VALUE"""),"Romance")</f>
        <v>Romance</v>
      </c>
      <c r="D234" s="11">
        <f>IFERROR(__xludf.DUMMYFUNCTION("""COMPUTED_VALUE"""),8555.0)</f>
        <v>8555</v>
      </c>
      <c r="E234" s="8">
        <f>IFERROR(__xludf.DUMMYFUNCTION("""COMPUTED_VALUE"""),0.950672121566335)</f>
        <v>0.9506721216</v>
      </c>
      <c r="F234" s="8">
        <f>IFERROR(__xludf.DUMMYFUNCTION("""COMPUTED_VALUE"""),0.624196376388077)</f>
        <v>0.6241963764</v>
      </c>
      <c r="G234" s="8">
        <f>IFERROR(__xludf.DUMMYFUNCTION("""COMPUTED_VALUE"""),0.575569842197545)</f>
        <v>0.5755698422</v>
      </c>
      <c r="H234" s="8">
        <f>IFERROR(__xludf.DUMMYFUNCTION("""COMPUTED_VALUE"""),0.547176429323044)</f>
        <v>0.5471764293</v>
      </c>
      <c r="I234" s="8">
        <f>IFERROR(__xludf.DUMMYFUNCTION("""COMPUTED_VALUE"""),0.527712815715622)</f>
        <v>0.5277128157</v>
      </c>
      <c r="J234" s="8">
        <f>IFERROR(__xludf.DUMMYFUNCTION("""COMPUTED_VALUE"""),0.506315789473684)</f>
        <v>0.5063157895</v>
      </c>
      <c r="K234" s="8">
        <f>IFERROR(__xludf.DUMMYFUNCTION("""COMPUTED_VALUE"""),0.488070175438596)</f>
        <v>0.4880701754</v>
      </c>
      <c r="L234" s="8">
        <f>IFERROR(__xludf.DUMMYFUNCTION("""COMPUTED_VALUE"""),0.464661830095951)</f>
        <v>0.4646618301</v>
      </c>
      <c r="M234" s="8">
        <f>IFERROR(__xludf.DUMMYFUNCTION("""COMPUTED_VALUE"""),0.455822118197776)</f>
        <v>0.4558221182</v>
      </c>
      <c r="N234" s="8">
        <f>IFERROR(__xludf.DUMMYFUNCTION("""COMPUTED_VALUE"""),0.44703265831675)</f>
        <v>0.4470326583</v>
      </c>
      <c r="O234" s="8">
        <f>IFERROR(__xludf.DUMMYFUNCTION("""COMPUTED_VALUE"""),0.392924086223055)</f>
        <v>0.3929240862</v>
      </c>
      <c r="P234" s="8">
        <f>IFERROR(__xludf.DUMMYFUNCTION("""COMPUTED_VALUE"""),0.352796341892367)</f>
        <v>0.3527963419</v>
      </c>
      <c r="Q234" s="8">
        <f>IFERROR(__xludf.DUMMYFUNCTION("""COMPUTED_VALUE"""),0.288350769954155)</f>
        <v>0.28835077</v>
      </c>
      <c r="R234" s="8">
        <f>IFERROR(__xludf.DUMMYFUNCTION("""COMPUTED_VALUE"""),0.250559020830881)</f>
        <v>0.2505590208</v>
      </c>
      <c r="S234" s="8">
        <f>IFERROR(__xludf.DUMMYFUNCTION("""COMPUTED_VALUE"""),0.196086771586558)</f>
        <v>0.1960867716</v>
      </c>
      <c r="T234" s="8">
        <f>IFERROR(__xludf.DUMMYFUNCTION("""COMPUTED_VALUE"""),0.169046259280411)</f>
        <v>0.1690462593</v>
      </c>
      <c r="U234" s="8">
        <f>IFERROR(__xludf.DUMMYFUNCTION("""COMPUTED_VALUE"""),0.152308984047019)</f>
        <v>0.152308984</v>
      </c>
      <c r="V234" s="8">
        <f>IFERROR(__xludf.DUMMYFUNCTION("""COMPUTED_VALUE"""),0.129418064976794)</f>
        <v>0.129418065</v>
      </c>
      <c r="W234" s="8">
        <f>IFERROR(__xludf.DUMMYFUNCTION("""COMPUTED_VALUE"""),0.0943212757681835)</f>
        <v>0.09432127577</v>
      </c>
      <c r="X234" s="8">
        <f>IFERROR(__xludf.DUMMYFUNCTION("""COMPUTED_VALUE"""),0.0722941055658246)</f>
        <v>0.07229410557</v>
      </c>
      <c r="Y234" s="8">
        <f>IFERROR(__xludf.DUMMYFUNCTION("""COMPUTED_VALUE"""),0.0459476707083599)</f>
        <v>0.04594767071</v>
      </c>
      <c r="Z234" s="8">
        <f>IFERROR(__xludf.DUMMYFUNCTION("""COMPUTED_VALUE"""),0.0346320346320346)</f>
        <v>0.03463203463</v>
      </c>
      <c r="AA234" s="8">
        <f>IFERROR(__xludf.DUMMYFUNCTION("""COMPUTED_VALUE"""),0.0)</f>
        <v>0</v>
      </c>
      <c r="AB234" s="8">
        <f>IFERROR(__xludf.DUMMYFUNCTION("""COMPUTED_VALUE"""),0.0)</f>
        <v>0</v>
      </c>
      <c r="AC234" s="8">
        <f>IFERROR(__xludf.DUMMYFUNCTION("""COMPUTED_VALUE"""),0.0)</f>
        <v>0</v>
      </c>
    </row>
    <row r="235" ht="15.75" customHeight="1">
      <c r="A235" s="6" t="str">
        <f>IFERROR(__xludf.DUMMYFUNCTION("""COMPUTED_VALUE"""),"d6ecb3540b1fdba82ccfa1fa9d0dbaa8fe59424c")</f>
        <v>d6ecb3540b1fdba82ccfa1fa9d0dbaa8fe59424c</v>
      </c>
      <c r="B235" s="6" t="str">
        <f>IFERROR(__xludf.DUMMYFUNCTION("""COMPUTED_VALUE"""),"Among the Undead")</f>
        <v>Among the Undead</v>
      </c>
      <c r="C235" s="6" t="str">
        <f>IFERROR(__xludf.DUMMYFUNCTION("""COMPUTED_VALUE"""),"Suspense or Thriller")</f>
        <v>Suspense or Thriller</v>
      </c>
      <c r="D235" s="11">
        <f>IFERROR(__xludf.DUMMYFUNCTION("""COMPUTED_VALUE"""),94.0)</f>
        <v>94</v>
      </c>
      <c r="E235" s="8">
        <f>IFERROR(__xludf.DUMMYFUNCTION("""COMPUTED_VALUE"""),0.946808510638297)</f>
        <v>0.9468085106</v>
      </c>
      <c r="F235" s="8">
        <f>IFERROR(__xludf.DUMMYFUNCTION("""COMPUTED_VALUE"""),0.478723404255319)</f>
        <v>0.4787234043</v>
      </c>
      <c r="G235" s="8">
        <f>IFERROR(__xludf.DUMMYFUNCTION("""COMPUTED_VALUE"""),0.372340425531914)</f>
        <v>0.3723404255</v>
      </c>
      <c r="H235" s="8">
        <f>IFERROR(__xludf.DUMMYFUNCTION("""COMPUTED_VALUE"""),0.23076923076923)</f>
        <v>0.2307692308</v>
      </c>
      <c r="I235" s="8">
        <f>IFERROR(__xludf.DUMMYFUNCTION("""COMPUTED_VALUE"""),0.197802197802197)</f>
        <v>0.1978021978</v>
      </c>
      <c r="J235" s="8">
        <f>IFERROR(__xludf.DUMMYFUNCTION("""COMPUTED_VALUE"""),0.197802197802197)</f>
        <v>0.1978021978</v>
      </c>
      <c r="K235" s="8">
        <f>IFERROR(__xludf.DUMMYFUNCTION("""COMPUTED_VALUE"""),0.134831460674157)</f>
        <v>0.1348314607</v>
      </c>
      <c r="L235" s="8">
        <f>IFERROR(__xludf.DUMMYFUNCTION("""COMPUTED_VALUE"""),0.126436781609195)</f>
        <v>0.1264367816</v>
      </c>
      <c r="M235" s="8">
        <f>IFERROR(__xludf.DUMMYFUNCTION("""COMPUTED_VALUE"""),0.117647058823529)</f>
        <v>0.1176470588</v>
      </c>
      <c r="N235" s="8">
        <f>IFERROR(__xludf.DUMMYFUNCTION("""COMPUTED_VALUE"""),0.142857142857142)</f>
        <v>0.1428571429</v>
      </c>
      <c r="O235" s="8">
        <f>IFERROR(__xludf.DUMMYFUNCTION("""COMPUTED_VALUE"""),0.137254901960784)</f>
        <v>0.137254902</v>
      </c>
      <c r="P235" s="8">
        <f>IFERROR(__xludf.DUMMYFUNCTION("""COMPUTED_VALUE"""),0.133333333333333)</f>
        <v>0.1333333333</v>
      </c>
      <c r="Q235" s="8">
        <f>IFERROR(__xludf.DUMMYFUNCTION("""COMPUTED_VALUE"""),0.115384615384615)</f>
        <v>0.1153846154</v>
      </c>
      <c r="R235" s="8">
        <f>IFERROR(__xludf.DUMMYFUNCTION("""COMPUTED_VALUE"""),0.04)</f>
        <v>0.04</v>
      </c>
      <c r="S235" s="8">
        <f>IFERROR(__xludf.DUMMYFUNCTION("""COMPUTED_VALUE"""),0.0)</f>
        <v>0</v>
      </c>
      <c r="T235" s="8">
        <f>IFERROR(__xludf.DUMMYFUNCTION("""COMPUTED_VALUE"""),0.0476190476190476)</f>
        <v>0.04761904762</v>
      </c>
      <c r="U235" s="8">
        <f>IFERROR(__xludf.DUMMYFUNCTION("""COMPUTED_VALUE"""),0.0)</f>
        <v>0</v>
      </c>
      <c r="V235" s="8">
        <f>IFERROR(__xludf.DUMMYFUNCTION("""COMPUTED_VALUE"""),0.0)</f>
        <v>0</v>
      </c>
      <c r="W235" s="8">
        <f>IFERROR(__xludf.DUMMYFUNCTION("""COMPUTED_VALUE"""),0.0)</f>
        <v>0</v>
      </c>
      <c r="X235" s="8">
        <f>IFERROR(__xludf.DUMMYFUNCTION("""COMPUTED_VALUE"""),0.0)</f>
        <v>0</v>
      </c>
      <c r="Y235" s="8">
        <f>IFERROR(__xludf.DUMMYFUNCTION("""COMPUTED_VALUE"""),0.0)</f>
        <v>0</v>
      </c>
      <c r="Z235" s="8">
        <f>IFERROR(__xludf.DUMMYFUNCTION("""COMPUTED_VALUE"""),0.0)</f>
        <v>0</v>
      </c>
      <c r="AA235" s="8">
        <f>IFERROR(__xludf.DUMMYFUNCTION("""COMPUTED_VALUE"""),0.0)</f>
        <v>0</v>
      </c>
      <c r="AB235" s="8">
        <f>IFERROR(__xludf.DUMMYFUNCTION("""COMPUTED_VALUE"""),0.0)</f>
        <v>0</v>
      </c>
      <c r="AC235" s="8">
        <f>IFERROR(__xludf.DUMMYFUNCTION("""COMPUTED_VALUE"""),0.0)</f>
        <v>0</v>
      </c>
    </row>
    <row r="236" ht="15.75" customHeight="1">
      <c r="A236" s="6" t="str">
        <f>IFERROR(__xludf.DUMMYFUNCTION("""COMPUTED_VALUE"""),"d71fc923d0820825aefcf4bf75b7743891f7feac")</f>
        <v>d71fc923d0820825aefcf4bf75b7743891f7feac</v>
      </c>
      <c r="B236" s="6" t="str">
        <f>IFERROR(__xludf.DUMMYFUNCTION("""COMPUTED_VALUE"""),"Only One Race")</f>
        <v>Only One Race</v>
      </c>
      <c r="C236" s="6" t="str">
        <f>IFERROR(__xludf.DUMMYFUNCTION("""COMPUTED_VALUE"""),"Fantasy")</f>
        <v>Fantasy</v>
      </c>
      <c r="D236" s="11">
        <f>IFERROR(__xludf.DUMMYFUNCTION("""COMPUTED_VALUE"""),106.0)</f>
        <v>106</v>
      </c>
      <c r="E236" s="8">
        <f>IFERROR(__xludf.DUMMYFUNCTION("""COMPUTED_VALUE"""),0.971698113207547)</f>
        <v>0.9716981132</v>
      </c>
      <c r="F236" s="8">
        <f>IFERROR(__xludf.DUMMYFUNCTION("""COMPUTED_VALUE"""),0.396226415094339)</f>
        <v>0.3962264151</v>
      </c>
      <c r="G236" s="8">
        <f>IFERROR(__xludf.DUMMYFUNCTION("""COMPUTED_VALUE"""),0.358490566037735)</f>
        <v>0.358490566</v>
      </c>
      <c r="H236" s="8">
        <f>IFERROR(__xludf.DUMMYFUNCTION("""COMPUTED_VALUE"""),0.333333333333333)</f>
        <v>0.3333333333</v>
      </c>
      <c r="I236" s="8">
        <f>IFERROR(__xludf.DUMMYFUNCTION("""COMPUTED_VALUE"""),0.34313725490196)</f>
        <v>0.3431372549</v>
      </c>
      <c r="J236" s="8">
        <f>IFERROR(__xludf.DUMMYFUNCTION("""COMPUTED_VALUE"""),0.31578947368421)</f>
        <v>0.3157894737</v>
      </c>
      <c r="K236" s="8">
        <f>IFERROR(__xludf.DUMMYFUNCTION("""COMPUTED_VALUE"""),0.32258064516129)</f>
        <v>0.3225806452</v>
      </c>
      <c r="L236" s="8">
        <f>IFERROR(__xludf.DUMMYFUNCTION("""COMPUTED_VALUE"""),0.337078651685393)</f>
        <v>0.3370786517</v>
      </c>
      <c r="M236" s="8">
        <f>IFERROR(__xludf.DUMMYFUNCTION("""COMPUTED_VALUE"""),0.313953488372093)</f>
        <v>0.3139534884</v>
      </c>
      <c r="N236" s="8">
        <f>IFERROR(__xludf.DUMMYFUNCTION("""COMPUTED_VALUE"""),0.246376811594202)</f>
        <v>0.2463768116</v>
      </c>
      <c r="O236" s="8">
        <f>IFERROR(__xludf.DUMMYFUNCTION("""COMPUTED_VALUE"""),0.081081081081081)</f>
        <v>0.08108108108</v>
      </c>
      <c r="P236" s="8">
        <f>IFERROR(__xludf.DUMMYFUNCTION("""COMPUTED_VALUE"""),0.0571428571428571)</f>
        <v>0.05714285714</v>
      </c>
      <c r="Q236" s="8">
        <f>IFERROR(__xludf.DUMMYFUNCTION("""COMPUTED_VALUE"""),0.0384615384615384)</f>
        <v>0.03846153846</v>
      </c>
      <c r="R236" s="8">
        <f>IFERROR(__xludf.DUMMYFUNCTION("""COMPUTED_VALUE"""),0.0)</f>
        <v>0</v>
      </c>
      <c r="S236" s="8">
        <f>IFERROR(__xludf.DUMMYFUNCTION("""COMPUTED_VALUE"""),0.0)</f>
        <v>0</v>
      </c>
      <c r="T236" s="8">
        <f>IFERROR(__xludf.DUMMYFUNCTION("""COMPUTED_VALUE"""),0.0)</f>
        <v>0</v>
      </c>
      <c r="U236" s="8">
        <f>IFERROR(__xludf.DUMMYFUNCTION("""COMPUTED_VALUE"""),0.0)</f>
        <v>0</v>
      </c>
      <c r="V236" s="8">
        <f>IFERROR(__xludf.DUMMYFUNCTION("""COMPUTED_VALUE"""),0.0)</f>
        <v>0</v>
      </c>
      <c r="W236" s="8">
        <f>IFERROR(__xludf.DUMMYFUNCTION("""COMPUTED_VALUE"""),0.0)</f>
        <v>0</v>
      </c>
      <c r="X236" s="8">
        <f>IFERROR(__xludf.DUMMYFUNCTION("""COMPUTED_VALUE"""),0.0)</f>
        <v>0</v>
      </c>
      <c r="Y236" s="8">
        <f>IFERROR(__xludf.DUMMYFUNCTION("""COMPUTED_VALUE"""),0.0)</f>
        <v>0</v>
      </c>
      <c r="Z236" s="8">
        <f>IFERROR(__xludf.DUMMYFUNCTION("""COMPUTED_VALUE"""),0.0)</f>
        <v>0</v>
      </c>
      <c r="AA236" s="8">
        <f>IFERROR(__xludf.DUMMYFUNCTION("""COMPUTED_VALUE"""),0.0)</f>
        <v>0</v>
      </c>
      <c r="AB236" s="8">
        <f>IFERROR(__xludf.DUMMYFUNCTION("""COMPUTED_VALUE"""),0.0)</f>
        <v>0</v>
      </c>
      <c r="AC236" s="8">
        <f>IFERROR(__xludf.DUMMYFUNCTION("""COMPUTED_VALUE"""),0.0)</f>
        <v>0</v>
      </c>
    </row>
    <row r="237" ht="15.75" customHeight="1">
      <c r="A237" s="6" t="str">
        <f>IFERROR(__xludf.DUMMYFUNCTION("""COMPUTED_VALUE"""),"da2b63280d328cd78ef9102ea4f7f131a3ff6369")</f>
        <v>da2b63280d328cd78ef9102ea4f7f131a3ff6369</v>
      </c>
      <c r="B237" s="6" t="str">
        <f>IFERROR(__xludf.DUMMYFUNCTION("""COMPUTED_VALUE"""),"I Returned for Revenge")</f>
        <v>I Returned for Revenge</v>
      </c>
      <c r="C237" s="6" t="str">
        <f>IFERROR(__xludf.DUMMYFUNCTION("""COMPUTED_VALUE"""),"Romance")</f>
        <v>Romance</v>
      </c>
      <c r="D237" s="11">
        <f>IFERROR(__xludf.DUMMYFUNCTION("""COMPUTED_VALUE"""),419.0)</f>
        <v>419</v>
      </c>
      <c r="E237" s="8">
        <f>IFERROR(__xludf.DUMMYFUNCTION("""COMPUTED_VALUE"""),0.966587112171837)</f>
        <v>0.9665871122</v>
      </c>
      <c r="F237" s="8">
        <f>IFERROR(__xludf.DUMMYFUNCTION("""COMPUTED_VALUE"""),0.682577565632458)</f>
        <v>0.6825775656</v>
      </c>
      <c r="G237" s="8">
        <f>IFERROR(__xludf.DUMMYFUNCTION("""COMPUTED_VALUE"""),0.591885441527446)</f>
        <v>0.5918854415</v>
      </c>
      <c r="H237" s="8">
        <f>IFERROR(__xludf.DUMMYFUNCTION("""COMPUTED_VALUE"""),0.574162679425837)</f>
        <v>0.5741626794</v>
      </c>
      <c r="I237" s="8">
        <f>IFERROR(__xludf.DUMMYFUNCTION("""COMPUTED_VALUE"""),0.555555555555555)</f>
        <v>0.5555555556</v>
      </c>
      <c r="J237" s="8">
        <f>IFERROR(__xludf.DUMMYFUNCTION("""COMPUTED_VALUE"""),0.535452322738386)</f>
        <v>0.5354523227</v>
      </c>
      <c r="K237" s="8">
        <f>IFERROR(__xludf.DUMMYFUNCTION("""COMPUTED_VALUE"""),0.493827160493827)</f>
        <v>0.4938271605</v>
      </c>
      <c r="L237" s="8">
        <f>IFERROR(__xludf.DUMMYFUNCTION("""COMPUTED_VALUE"""),0.447300771208226)</f>
        <v>0.4473007712</v>
      </c>
      <c r="M237" s="8">
        <f>IFERROR(__xludf.DUMMYFUNCTION("""COMPUTED_VALUE"""),0.455040871934604)</f>
        <v>0.4550408719</v>
      </c>
      <c r="N237" s="8">
        <f>IFERROR(__xludf.DUMMYFUNCTION("""COMPUTED_VALUE"""),0.404411764705882)</f>
        <v>0.4044117647</v>
      </c>
      <c r="O237" s="8">
        <f>IFERROR(__xludf.DUMMYFUNCTION("""COMPUTED_VALUE"""),0.288461538461538)</f>
        <v>0.2884615385</v>
      </c>
      <c r="P237" s="8">
        <f>IFERROR(__xludf.DUMMYFUNCTION("""COMPUTED_VALUE"""),0.0588235294117647)</f>
        <v>0.05882352941</v>
      </c>
      <c r="Q237" s="8">
        <f>IFERROR(__xludf.DUMMYFUNCTION("""COMPUTED_VALUE"""),0.0227272727272727)</f>
        <v>0.02272727273</v>
      </c>
      <c r="R237" s="8">
        <f>IFERROR(__xludf.DUMMYFUNCTION("""COMPUTED_VALUE"""),0.0238095238095238)</f>
        <v>0.02380952381</v>
      </c>
      <c r="S237" s="8">
        <f>IFERROR(__xludf.DUMMYFUNCTION("""COMPUTED_VALUE"""),0.0)</f>
        <v>0</v>
      </c>
      <c r="T237" s="8">
        <f>IFERROR(__xludf.DUMMYFUNCTION("""COMPUTED_VALUE"""),0.0)</f>
        <v>0</v>
      </c>
      <c r="U237" s="8">
        <f>IFERROR(__xludf.DUMMYFUNCTION("""COMPUTED_VALUE"""),0.0)</f>
        <v>0</v>
      </c>
      <c r="V237" s="8">
        <f>IFERROR(__xludf.DUMMYFUNCTION("""COMPUTED_VALUE"""),0.0)</f>
        <v>0</v>
      </c>
      <c r="W237" s="8">
        <f>IFERROR(__xludf.DUMMYFUNCTION("""COMPUTED_VALUE"""),0.0)</f>
        <v>0</v>
      </c>
      <c r="X237" s="8">
        <f>IFERROR(__xludf.DUMMYFUNCTION("""COMPUTED_VALUE"""),0.0)</f>
        <v>0</v>
      </c>
      <c r="Y237" s="8">
        <f>IFERROR(__xludf.DUMMYFUNCTION("""COMPUTED_VALUE"""),0.0)</f>
        <v>0</v>
      </c>
      <c r="Z237" s="8">
        <f>IFERROR(__xludf.DUMMYFUNCTION("""COMPUTED_VALUE"""),0.0)</f>
        <v>0</v>
      </c>
      <c r="AA237" s="8">
        <f>IFERROR(__xludf.DUMMYFUNCTION("""COMPUTED_VALUE"""),0.0)</f>
        <v>0</v>
      </c>
      <c r="AB237" s="8">
        <f>IFERROR(__xludf.DUMMYFUNCTION("""COMPUTED_VALUE"""),0.0)</f>
        <v>0</v>
      </c>
      <c r="AC237" s="8">
        <f>IFERROR(__xludf.DUMMYFUNCTION("""COMPUTED_VALUE"""),0.0)</f>
        <v>0</v>
      </c>
    </row>
    <row r="238" ht="15.75" customHeight="1">
      <c r="A238" s="6" t="str">
        <f>IFERROR(__xludf.DUMMYFUNCTION("""COMPUTED_VALUE"""),"da5271db73c1f23560f26da633ebffb91df9abd6")</f>
        <v>da5271db73c1f23560f26da633ebffb91df9abd6</v>
      </c>
      <c r="B238" s="6" t="str">
        <f>IFERROR(__xludf.DUMMYFUNCTION("""COMPUTED_VALUE"""),"Sold to the Alpha King")</f>
        <v>Sold to the Alpha King</v>
      </c>
      <c r="C238" s="6" t="str">
        <f>IFERROR(__xludf.DUMMYFUNCTION("""COMPUTED_VALUE"""),"Romance")</f>
        <v>Romance</v>
      </c>
      <c r="D238" s="11">
        <f>IFERROR(__xludf.DUMMYFUNCTION("""COMPUTED_VALUE"""),182.0)</f>
        <v>182</v>
      </c>
      <c r="E238" s="8">
        <f>IFERROR(__xludf.DUMMYFUNCTION("""COMPUTED_VALUE"""),0.978021978021978)</f>
        <v>0.978021978</v>
      </c>
      <c r="F238" s="8">
        <f>IFERROR(__xludf.DUMMYFUNCTION("""COMPUTED_VALUE"""),0.615384615384615)</f>
        <v>0.6153846154</v>
      </c>
      <c r="G238" s="8">
        <f>IFERROR(__xludf.DUMMYFUNCTION("""COMPUTED_VALUE"""),0.510989010989011)</f>
        <v>0.510989011</v>
      </c>
      <c r="H238" s="8">
        <f>IFERROR(__xludf.DUMMYFUNCTION("""COMPUTED_VALUE"""),0.451807228915662)</f>
        <v>0.4518072289</v>
      </c>
      <c r="I238" s="8">
        <f>IFERROR(__xludf.DUMMYFUNCTION("""COMPUTED_VALUE"""),0.382716049382716)</f>
        <v>0.3827160494</v>
      </c>
      <c r="J238" s="8">
        <f>IFERROR(__xludf.DUMMYFUNCTION("""COMPUTED_VALUE"""),0.317567567567567)</f>
        <v>0.3175675676</v>
      </c>
      <c r="K238" s="8">
        <f>IFERROR(__xludf.DUMMYFUNCTION("""COMPUTED_VALUE"""),0.288732394366197)</f>
        <v>0.2887323944</v>
      </c>
      <c r="L238" s="8">
        <f>IFERROR(__xludf.DUMMYFUNCTION("""COMPUTED_VALUE"""),0.254716981132075)</f>
        <v>0.2547169811</v>
      </c>
      <c r="M238" s="8">
        <f>IFERROR(__xludf.DUMMYFUNCTION("""COMPUTED_VALUE"""),0.266666666666666)</f>
        <v>0.2666666667</v>
      </c>
      <c r="N238" s="8">
        <f>IFERROR(__xludf.DUMMYFUNCTION("""COMPUTED_VALUE"""),0.294117647058823)</f>
        <v>0.2941176471</v>
      </c>
      <c r="O238" s="8">
        <f>IFERROR(__xludf.DUMMYFUNCTION("""COMPUTED_VALUE"""),0.2)</f>
        <v>0.2</v>
      </c>
      <c r="P238" s="8">
        <f>IFERROR(__xludf.DUMMYFUNCTION("""COMPUTED_VALUE"""),0.222222222222222)</f>
        <v>0.2222222222</v>
      </c>
      <c r="Q238" s="8">
        <f>IFERROR(__xludf.DUMMYFUNCTION("""COMPUTED_VALUE"""),0.0)</f>
        <v>0</v>
      </c>
      <c r="R238" s="8">
        <f>IFERROR(__xludf.DUMMYFUNCTION("""COMPUTED_VALUE"""),0.0)</f>
        <v>0</v>
      </c>
      <c r="S238" s="8">
        <f>IFERROR(__xludf.DUMMYFUNCTION("""COMPUTED_VALUE"""),0.0)</f>
        <v>0</v>
      </c>
      <c r="T238" s="8">
        <f>IFERROR(__xludf.DUMMYFUNCTION("""COMPUTED_VALUE"""),0.0)</f>
        <v>0</v>
      </c>
      <c r="U238" s="8">
        <f>IFERROR(__xludf.DUMMYFUNCTION("""COMPUTED_VALUE"""),0.0)</f>
        <v>0</v>
      </c>
      <c r="V238" s="8">
        <f>IFERROR(__xludf.DUMMYFUNCTION("""COMPUTED_VALUE"""),0.0)</f>
        <v>0</v>
      </c>
      <c r="W238" s="8">
        <f>IFERROR(__xludf.DUMMYFUNCTION("""COMPUTED_VALUE"""),0.0)</f>
        <v>0</v>
      </c>
      <c r="X238" s="8">
        <f>IFERROR(__xludf.DUMMYFUNCTION("""COMPUTED_VALUE"""),0.0)</f>
        <v>0</v>
      </c>
      <c r="Y238" s="8">
        <f>IFERROR(__xludf.DUMMYFUNCTION("""COMPUTED_VALUE"""),0.0)</f>
        <v>0</v>
      </c>
      <c r="Z238" s="8">
        <f>IFERROR(__xludf.DUMMYFUNCTION("""COMPUTED_VALUE"""),0.0)</f>
        <v>0</v>
      </c>
      <c r="AA238" s="8">
        <f>IFERROR(__xludf.DUMMYFUNCTION("""COMPUTED_VALUE"""),0.0)</f>
        <v>0</v>
      </c>
      <c r="AB238" s="8">
        <f>IFERROR(__xludf.DUMMYFUNCTION("""COMPUTED_VALUE"""),0.0)</f>
        <v>0</v>
      </c>
      <c r="AC238" s="8">
        <f>IFERROR(__xludf.DUMMYFUNCTION("""COMPUTED_VALUE"""),0.0)</f>
        <v>0</v>
      </c>
    </row>
    <row r="239" ht="15.75" customHeight="1">
      <c r="A239" s="6" t="str">
        <f>IFERROR(__xludf.DUMMYFUNCTION("""COMPUTED_VALUE"""),"da8d32c5473daa3dc16575cdcd79a118bb445ffb")</f>
        <v>da8d32c5473daa3dc16575cdcd79a118bb445ffb</v>
      </c>
      <c r="B239" s="6" t="str">
        <f>IFERROR(__xludf.DUMMYFUNCTION("""COMPUTED_VALUE"""),"Bold Step Against Hoffman")</f>
        <v>Bold Step Against Hoffman</v>
      </c>
      <c r="C239" s="6" t="str">
        <f>IFERROR(__xludf.DUMMYFUNCTION("""COMPUTED_VALUE"""),"Romance")</f>
        <v>Romance</v>
      </c>
      <c r="D239" s="11">
        <f>IFERROR(__xludf.DUMMYFUNCTION("""COMPUTED_VALUE"""),353.0)</f>
        <v>353</v>
      </c>
      <c r="E239" s="8">
        <f>IFERROR(__xludf.DUMMYFUNCTION("""COMPUTED_VALUE"""),0.974504249291784)</f>
        <v>0.9745042493</v>
      </c>
      <c r="F239" s="8">
        <f>IFERROR(__xludf.DUMMYFUNCTION("""COMPUTED_VALUE"""),0.546742209631728)</f>
        <v>0.5467422096</v>
      </c>
      <c r="G239" s="8">
        <f>IFERROR(__xludf.DUMMYFUNCTION("""COMPUTED_VALUE"""),0.436260623229461)</f>
        <v>0.4362606232</v>
      </c>
      <c r="H239" s="8">
        <f>IFERROR(__xludf.DUMMYFUNCTION("""COMPUTED_VALUE"""),0.355685131195335)</f>
        <v>0.3556851312</v>
      </c>
      <c r="I239" s="8">
        <f>IFERROR(__xludf.DUMMYFUNCTION("""COMPUTED_VALUE"""),0.317784256559766)</f>
        <v>0.3177842566</v>
      </c>
      <c r="J239" s="8">
        <f>IFERROR(__xludf.DUMMYFUNCTION("""COMPUTED_VALUE"""),0.285714285714285)</f>
        <v>0.2857142857</v>
      </c>
      <c r="K239" s="8">
        <f>IFERROR(__xludf.DUMMYFUNCTION("""COMPUTED_VALUE"""),0.282798833819242)</f>
        <v>0.2827988338</v>
      </c>
      <c r="L239" s="8">
        <f>IFERROR(__xludf.DUMMYFUNCTION("""COMPUTED_VALUE"""),0.252199413489736)</f>
        <v>0.2521994135</v>
      </c>
      <c r="M239" s="8">
        <f>IFERROR(__xludf.DUMMYFUNCTION("""COMPUTED_VALUE"""),0.244117647058823)</f>
        <v>0.2441176471</v>
      </c>
      <c r="N239" s="8">
        <f>IFERROR(__xludf.DUMMYFUNCTION("""COMPUTED_VALUE"""),0.244837758112094)</f>
        <v>0.2448377581</v>
      </c>
      <c r="O239" s="8">
        <f>IFERROR(__xludf.DUMMYFUNCTION("""COMPUTED_VALUE"""),0.172205438066465)</f>
        <v>0.1722054381</v>
      </c>
      <c r="P239" s="8">
        <f>IFERROR(__xludf.DUMMYFUNCTION("""COMPUTED_VALUE"""),0.156626506024096)</f>
        <v>0.156626506</v>
      </c>
      <c r="Q239" s="8">
        <f>IFERROR(__xludf.DUMMYFUNCTION("""COMPUTED_VALUE"""),0.1375)</f>
        <v>0.1375</v>
      </c>
      <c r="R239" s="8">
        <f>IFERROR(__xludf.DUMMYFUNCTION("""COMPUTED_VALUE"""),0.118421052631578)</f>
        <v>0.1184210526</v>
      </c>
      <c r="S239" s="8">
        <f>IFERROR(__xludf.DUMMYFUNCTION("""COMPUTED_VALUE"""),0.127272727272727)</f>
        <v>0.1272727273</v>
      </c>
      <c r="T239" s="8">
        <f>IFERROR(__xludf.DUMMYFUNCTION("""COMPUTED_VALUE"""),0.024390243902439)</f>
        <v>0.0243902439</v>
      </c>
      <c r="U239" s="8">
        <f>IFERROR(__xludf.DUMMYFUNCTION("""COMPUTED_VALUE"""),0.032258064516129)</f>
        <v>0.03225806452</v>
      </c>
      <c r="V239" s="8">
        <f>IFERROR(__xludf.DUMMYFUNCTION("""COMPUTED_VALUE"""),0.0)</f>
        <v>0</v>
      </c>
      <c r="W239" s="8">
        <f>IFERROR(__xludf.DUMMYFUNCTION("""COMPUTED_VALUE"""),0.0)</f>
        <v>0</v>
      </c>
      <c r="X239" s="8">
        <f>IFERROR(__xludf.DUMMYFUNCTION("""COMPUTED_VALUE"""),0.0)</f>
        <v>0</v>
      </c>
      <c r="Y239" s="8">
        <f>IFERROR(__xludf.DUMMYFUNCTION("""COMPUTED_VALUE"""),0.0)</f>
        <v>0</v>
      </c>
      <c r="Z239" s="8">
        <f>IFERROR(__xludf.DUMMYFUNCTION("""COMPUTED_VALUE"""),0.0)</f>
        <v>0</v>
      </c>
      <c r="AA239" s="8">
        <f>IFERROR(__xludf.DUMMYFUNCTION("""COMPUTED_VALUE"""),0.0)</f>
        <v>0</v>
      </c>
      <c r="AB239" s="8">
        <f>IFERROR(__xludf.DUMMYFUNCTION("""COMPUTED_VALUE"""),0.0)</f>
        <v>0</v>
      </c>
      <c r="AC239" s="8">
        <f>IFERROR(__xludf.DUMMYFUNCTION("""COMPUTED_VALUE"""),0.0)</f>
        <v>0</v>
      </c>
    </row>
    <row r="240" ht="15.75" customHeight="1">
      <c r="A240" s="6" t="str">
        <f>IFERROR(__xludf.DUMMYFUNCTION("""COMPUTED_VALUE"""),"daa40d9ff542ace7e27440803ddf4307bbd54bdd")</f>
        <v>daa40d9ff542ace7e27440803ddf4307bbd54bdd</v>
      </c>
      <c r="B240" s="6" t="str">
        <f>IFERROR(__xludf.DUMMYFUNCTION("""COMPUTED_VALUE"""),"Villain's Harem")</f>
        <v>Villain's Harem</v>
      </c>
      <c r="C240" s="6" t="str">
        <f>IFERROR(__xludf.DUMMYFUNCTION("""COMPUTED_VALUE"""),"Romantasy")</f>
        <v>Romantasy</v>
      </c>
      <c r="D240" s="11">
        <f>IFERROR(__xludf.DUMMYFUNCTION("""COMPUTED_VALUE"""),80.0)</f>
        <v>80</v>
      </c>
      <c r="E240" s="8">
        <f>IFERROR(__xludf.DUMMYFUNCTION("""COMPUTED_VALUE"""),0.95)</f>
        <v>0.95</v>
      </c>
      <c r="F240" s="8">
        <f>IFERROR(__xludf.DUMMYFUNCTION("""COMPUTED_VALUE"""),0.575)</f>
        <v>0.575</v>
      </c>
      <c r="G240" s="8">
        <f>IFERROR(__xludf.DUMMYFUNCTION("""COMPUTED_VALUE"""),0.55)</f>
        <v>0.55</v>
      </c>
      <c r="H240" s="8">
        <f>IFERROR(__xludf.DUMMYFUNCTION("""COMPUTED_VALUE"""),0.4875)</f>
        <v>0.4875</v>
      </c>
      <c r="I240" s="8">
        <f>IFERROR(__xludf.DUMMYFUNCTION("""COMPUTED_VALUE"""),0.35)</f>
        <v>0.35</v>
      </c>
      <c r="J240" s="8">
        <f>IFERROR(__xludf.DUMMYFUNCTION("""COMPUTED_VALUE"""),0.375)</f>
        <v>0.375</v>
      </c>
      <c r="K240" s="8">
        <f>IFERROR(__xludf.DUMMYFUNCTION("""COMPUTED_VALUE"""),0.35)</f>
        <v>0.35</v>
      </c>
      <c r="L240" s="8">
        <f>IFERROR(__xludf.DUMMYFUNCTION("""COMPUTED_VALUE"""),0.269230769230769)</f>
        <v>0.2692307692</v>
      </c>
      <c r="M240" s="8">
        <f>IFERROR(__xludf.DUMMYFUNCTION("""COMPUTED_VALUE"""),0.282051282051282)</f>
        <v>0.2820512821</v>
      </c>
      <c r="N240" s="8">
        <f>IFERROR(__xludf.DUMMYFUNCTION("""COMPUTED_VALUE"""),0.257142857142857)</f>
        <v>0.2571428571</v>
      </c>
      <c r="O240" s="8">
        <f>IFERROR(__xludf.DUMMYFUNCTION("""COMPUTED_VALUE"""),0.28)</f>
        <v>0.28</v>
      </c>
      <c r="P240" s="8">
        <f>IFERROR(__xludf.DUMMYFUNCTION("""COMPUTED_VALUE"""),0.2)</f>
        <v>0.2</v>
      </c>
      <c r="Q240" s="8">
        <f>IFERROR(__xludf.DUMMYFUNCTION("""COMPUTED_VALUE"""),0.0)</f>
        <v>0</v>
      </c>
      <c r="R240" s="8">
        <f>IFERROR(__xludf.DUMMYFUNCTION("""COMPUTED_VALUE"""),0.0)</f>
        <v>0</v>
      </c>
      <c r="S240" s="8">
        <f>IFERROR(__xludf.DUMMYFUNCTION("""COMPUTED_VALUE"""),0.0)</f>
        <v>0</v>
      </c>
      <c r="T240" s="8">
        <f>IFERROR(__xludf.DUMMYFUNCTION("""COMPUTED_VALUE"""),0.0)</f>
        <v>0</v>
      </c>
      <c r="U240" s="8">
        <f>IFERROR(__xludf.DUMMYFUNCTION("""COMPUTED_VALUE"""),0.0)</f>
        <v>0</v>
      </c>
      <c r="V240" s="8">
        <f>IFERROR(__xludf.DUMMYFUNCTION("""COMPUTED_VALUE"""),0.0)</f>
        <v>0</v>
      </c>
      <c r="W240" s="8">
        <f>IFERROR(__xludf.DUMMYFUNCTION("""COMPUTED_VALUE"""),0.0)</f>
        <v>0</v>
      </c>
      <c r="X240" s="8">
        <f>IFERROR(__xludf.DUMMYFUNCTION("""COMPUTED_VALUE"""),0.0)</f>
        <v>0</v>
      </c>
      <c r="Y240" s="8">
        <f>IFERROR(__xludf.DUMMYFUNCTION("""COMPUTED_VALUE"""),0.0)</f>
        <v>0</v>
      </c>
      <c r="Z240" s="8">
        <f>IFERROR(__xludf.DUMMYFUNCTION("""COMPUTED_VALUE"""),0.0)</f>
        <v>0</v>
      </c>
      <c r="AA240" s="8">
        <f>IFERROR(__xludf.DUMMYFUNCTION("""COMPUTED_VALUE"""),0.0)</f>
        <v>0</v>
      </c>
      <c r="AB240" s="8">
        <f>IFERROR(__xludf.DUMMYFUNCTION("""COMPUTED_VALUE"""),0.0)</f>
        <v>0</v>
      </c>
      <c r="AC240" s="8">
        <f>IFERROR(__xludf.DUMMYFUNCTION("""COMPUTED_VALUE"""),0.0)</f>
        <v>0</v>
      </c>
    </row>
    <row r="241" ht="15.75" customHeight="1">
      <c r="A241" s="6" t="str">
        <f>IFERROR(__xludf.DUMMYFUNCTION("""COMPUTED_VALUE"""),"db982055d0205f85b154941a9a5fdcae32a88a7c")</f>
        <v>db982055d0205f85b154941a9a5fdcae32a88a7c</v>
      </c>
      <c r="B241" s="6" t="str">
        <f>IFERROR(__xludf.DUMMYFUNCTION("""COMPUTED_VALUE"""),"Re:system - Rebooted")</f>
        <v>Re:system - Rebooted</v>
      </c>
      <c r="C241" s="6" t="str">
        <f>IFERROR(__xludf.DUMMYFUNCTION("""COMPUTED_VALUE"""),"Fantasy")</f>
        <v>Fantasy</v>
      </c>
      <c r="D241" s="11">
        <f>IFERROR(__xludf.DUMMYFUNCTION("""COMPUTED_VALUE"""),35.0)</f>
        <v>35</v>
      </c>
      <c r="E241" s="8">
        <f>IFERROR(__xludf.DUMMYFUNCTION("""COMPUTED_VALUE"""),0.971428571428571)</f>
        <v>0.9714285714</v>
      </c>
      <c r="F241" s="8">
        <f>IFERROR(__xludf.DUMMYFUNCTION("""COMPUTED_VALUE"""),0.657142857142857)</f>
        <v>0.6571428571</v>
      </c>
      <c r="G241" s="8">
        <f>IFERROR(__xludf.DUMMYFUNCTION("""COMPUTED_VALUE"""),0.571428571428571)</f>
        <v>0.5714285714</v>
      </c>
      <c r="H241" s="8">
        <f>IFERROR(__xludf.DUMMYFUNCTION("""COMPUTED_VALUE"""),0.542857142857142)</f>
        <v>0.5428571429</v>
      </c>
      <c r="I241" s="8">
        <f>IFERROR(__xludf.DUMMYFUNCTION("""COMPUTED_VALUE"""),0.542857142857142)</f>
        <v>0.5428571429</v>
      </c>
      <c r="J241" s="8">
        <f>IFERROR(__xludf.DUMMYFUNCTION("""COMPUTED_VALUE"""),0.5)</f>
        <v>0.5</v>
      </c>
      <c r="K241" s="8">
        <f>IFERROR(__xludf.DUMMYFUNCTION("""COMPUTED_VALUE"""),0.441176470588235)</f>
        <v>0.4411764706</v>
      </c>
      <c r="L241" s="8">
        <f>IFERROR(__xludf.DUMMYFUNCTION("""COMPUTED_VALUE"""),0.441176470588235)</f>
        <v>0.4411764706</v>
      </c>
      <c r="M241" s="8">
        <f>IFERROR(__xludf.DUMMYFUNCTION("""COMPUTED_VALUE"""),0.392857142857142)</f>
        <v>0.3928571429</v>
      </c>
      <c r="N241" s="8">
        <f>IFERROR(__xludf.DUMMYFUNCTION("""COMPUTED_VALUE"""),0.25)</f>
        <v>0.25</v>
      </c>
      <c r="O241" s="8">
        <f>IFERROR(__xludf.DUMMYFUNCTION("""COMPUTED_VALUE"""),0.0)</f>
        <v>0</v>
      </c>
      <c r="P241" s="8">
        <f>IFERROR(__xludf.DUMMYFUNCTION("""COMPUTED_VALUE"""),0.0)</f>
        <v>0</v>
      </c>
      <c r="Q241" s="8">
        <f>IFERROR(__xludf.DUMMYFUNCTION("""COMPUTED_VALUE"""),0.0)</f>
        <v>0</v>
      </c>
      <c r="R241" s="8">
        <f>IFERROR(__xludf.DUMMYFUNCTION("""COMPUTED_VALUE"""),0.0)</f>
        <v>0</v>
      </c>
      <c r="S241" s="8">
        <f>IFERROR(__xludf.DUMMYFUNCTION("""COMPUTED_VALUE"""),0.0)</f>
        <v>0</v>
      </c>
      <c r="T241" s="8">
        <f>IFERROR(__xludf.DUMMYFUNCTION("""COMPUTED_VALUE"""),0.0)</f>
        <v>0</v>
      </c>
      <c r="U241" s="8">
        <f>IFERROR(__xludf.DUMMYFUNCTION("""COMPUTED_VALUE"""),0.0)</f>
        <v>0</v>
      </c>
      <c r="V241" s="8">
        <f>IFERROR(__xludf.DUMMYFUNCTION("""COMPUTED_VALUE"""),0.0)</f>
        <v>0</v>
      </c>
      <c r="W241" s="8">
        <f>IFERROR(__xludf.DUMMYFUNCTION("""COMPUTED_VALUE"""),0.0)</f>
        <v>0</v>
      </c>
      <c r="X241" s="8">
        <f>IFERROR(__xludf.DUMMYFUNCTION("""COMPUTED_VALUE"""),0.0)</f>
        <v>0</v>
      </c>
      <c r="Y241" s="8">
        <f>IFERROR(__xludf.DUMMYFUNCTION("""COMPUTED_VALUE"""),0.0)</f>
        <v>0</v>
      </c>
      <c r="Z241" s="8">
        <f>IFERROR(__xludf.DUMMYFUNCTION("""COMPUTED_VALUE"""),0.0)</f>
        <v>0</v>
      </c>
      <c r="AA241" s="8">
        <f>IFERROR(__xludf.DUMMYFUNCTION("""COMPUTED_VALUE"""),0.0)</f>
        <v>0</v>
      </c>
      <c r="AB241" s="8">
        <f>IFERROR(__xludf.DUMMYFUNCTION("""COMPUTED_VALUE"""),0.0)</f>
        <v>0</v>
      </c>
      <c r="AC241" s="8">
        <f>IFERROR(__xludf.DUMMYFUNCTION("""COMPUTED_VALUE"""),0.0)</f>
        <v>0</v>
      </c>
    </row>
    <row r="242" ht="15.75" customHeight="1">
      <c r="A242" s="6" t="str">
        <f>IFERROR(__xludf.DUMMYFUNCTION("""COMPUTED_VALUE"""),"ddcfd794c1c386caa644e2b1d2379bfcd4efb154")</f>
        <v>ddcfd794c1c386caa644e2b1d2379bfcd4efb154</v>
      </c>
      <c r="B242" s="6" t="str">
        <f>IFERROR(__xludf.DUMMYFUNCTION("""COMPUTED_VALUE"""),"Tycoons Love Swindled")</f>
        <v>Tycoons Love Swindled</v>
      </c>
      <c r="C242" s="6" t="str">
        <f>IFERROR(__xludf.DUMMYFUNCTION("""COMPUTED_VALUE"""),"Drama")</f>
        <v>Drama</v>
      </c>
      <c r="D242" s="11">
        <f>IFERROR(__xludf.DUMMYFUNCTION("""COMPUTED_VALUE"""),79.0)</f>
        <v>79</v>
      </c>
      <c r="E242" s="8">
        <f>IFERROR(__xludf.DUMMYFUNCTION("""COMPUTED_VALUE"""),0.911392405063291)</f>
        <v>0.9113924051</v>
      </c>
      <c r="F242" s="8">
        <f>IFERROR(__xludf.DUMMYFUNCTION("""COMPUTED_VALUE"""),0.481012658227848)</f>
        <v>0.4810126582</v>
      </c>
      <c r="G242" s="8">
        <f>IFERROR(__xludf.DUMMYFUNCTION("""COMPUTED_VALUE"""),0.392405063291139)</f>
        <v>0.3924050633</v>
      </c>
      <c r="H242" s="8">
        <f>IFERROR(__xludf.DUMMYFUNCTION("""COMPUTED_VALUE"""),0.381578947368421)</f>
        <v>0.3815789474</v>
      </c>
      <c r="I242" s="8">
        <f>IFERROR(__xludf.DUMMYFUNCTION("""COMPUTED_VALUE"""),0.373333333333333)</f>
        <v>0.3733333333</v>
      </c>
      <c r="J242" s="8">
        <f>IFERROR(__xludf.DUMMYFUNCTION("""COMPUTED_VALUE"""),0.361111111111111)</f>
        <v>0.3611111111</v>
      </c>
      <c r="K242" s="8">
        <f>IFERROR(__xludf.DUMMYFUNCTION("""COMPUTED_VALUE"""),0.28169014084507)</f>
        <v>0.2816901408</v>
      </c>
      <c r="L242" s="8">
        <f>IFERROR(__xludf.DUMMYFUNCTION("""COMPUTED_VALUE"""),0.371428571428571)</f>
        <v>0.3714285714</v>
      </c>
      <c r="M242" s="8">
        <f>IFERROR(__xludf.DUMMYFUNCTION("""COMPUTED_VALUE"""),0.26865671641791)</f>
        <v>0.2686567164</v>
      </c>
      <c r="N242" s="8">
        <f>IFERROR(__xludf.DUMMYFUNCTION("""COMPUTED_VALUE"""),0.3125)</f>
        <v>0.3125</v>
      </c>
      <c r="O242" s="8">
        <f>IFERROR(__xludf.DUMMYFUNCTION("""COMPUTED_VALUE"""),0.416666666666666)</f>
        <v>0.4166666667</v>
      </c>
      <c r="P242" s="8">
        <f>IFERROR(__xludf.DUMMYFUNCTION("""COMPUTED_VALUE"""),0.148936170212765)</f>
        <v>0.1489361702</v>
      </c>
      <c r="Q242" s="8">
        <f>IFERROR(__xludf.DUMMYFUNCTION("""COMPUTED_VALUE"""),0.025)</f>
        <v>0.025</v>
      </c>
      <c r="R242" s="8">
        <f>IFERROR(__xludf.DUMMYFUNCTION("""COMPUTED_VALUE"""),0.03125)</f>
        <v>0.03125</v>
      </c>
      <c r="S242" s="8">
        <f>IFERROR(__xludf.DUMMYFUNCTION("""COMPUTED_VALUE"""),0.0)</f>
        <v>0</v>
      </c>
      <c r="T242" s="8">
        <f>IFERROR(__xludf.DUMMYFUNCTION("""COMPUTED_VALUE"""),0.0)</f>
        <v>0</v>
      </c>
      <c r="U242" s="8">
        <f>IFERROR(__xludf.DUMMYFUNCTION("""COMPUTED_VALUE"""),0.0)</f>
        <v>0</v>
      </c>
      <c r="V242" s="8">
        <f>IFERROR(__xludf.DUMMYFUNCTION("""COMPUTED_VALUE"""),0.0)</f>
        <v>0</v>
      </c>
      <c r="W242" s="8">
        <f>IFERROR(__xludf.DUMMYFUNCTION("""COMPUTED_VALUE"""),0.0)</f>
        <v>0</v>
      </c>
      <c r="X242" s="8">
        <f>IFERROR(__xludf.DUMMYFUNCTION("""COMPUTED_VALUE"""),0.0)</f>
        <v>0</v>
      </c>
      <c r="Y242" s="8">
        <f>IFERROR(__xludf.DUMMYFUNCTION("""COMPUTED_VALUE"""),0.0)</f>
        <v>0</v>
      </c>
      <c r="Z242" s="8">
        <f>IFERROR(__xludf.DUMMYFUNCTION("""COMPUTED_VALUE"""),0.0)</f>
        <v>0</v>
      </c>
      <c r="AA242" s="8">
        <f>IFERROR(__xludf.DUMMYFUNCTION("""COMPUTED_VALUE"""),0.0)</f>
        <v>0</v>
      </c>
      <c r="AB242" s="8">
        <f>IFERROR(__xludf.DUMMYFUNCTION("""COMPUTED_VALUE"""),0.0)</f>
        <v>0</v>
      </c>
      <c r="AC242" s="8">
        <f>IFERROR(__xludf.DUMMYFUNCTION("""COMPUTED_VALUE"""),0.0)</f>
        <v>0</v>
      </c>
    </row>
    <row r="243" ht="15.75" customHeight="1">
      <c r="A243" s="6" t="str">
        <f>IFERROR(__xludf.DUMMYFUNCTION("""COMPUTED_VALUE"""),"de862851ca66c0ec5a982ecfe58d14472093a185")</f>
        <v>de862851ca66c0ec5a982ecfe58d14472093a185</v>
      </c>
      <c r="B243" s="6" t="str">
        <f>IFERROR(__xludf.DUMMYFUNCTION("""COMPUTED_VALUE"""),"From Trash to a Legend")</f>
        <v>From Trash to a Legend</v>
      </c>
      <c r="C243" s="6" t="str">
        <f>IFERROR(__xludf.DUMMYFUNCTION("""COMPUTED_VALUE"""),"System and Superpower")</f>
        <v>System and Superpower</v>
      </c>
      <c r="D243" s="11">
        <f>IFERROR(__xludf.DUMMYFUNCTION("""COMPUTED_VALUE"""),61.0)</f>
        <v>61</v>
      </c>
      <c r="E243" s="8">
        <f>IFERROR(__xludf.DUMMYFUNCTION("""COMPUTED_VALUE"""),0.934426229508196)</f>
        <v>0.9344262295</v>
      </c>
      <c r="F243" s="8">
        <f>IFERROR(__xludf.DUMMYFUNCTION("""COMPUTED_VALUE"""),0.655737704918032)</f>
        <v>0.6557377049</v>
      </c>
      <c r="G243" s="8">
        <f>IFERROR(__xludf.DUMMYFUNCTION("""COMPUTED_VALUE"""),0.60655737704918)</f>
        <v>0.606557377</v>
      </c>
      <c r="H243" s="8">
        <f>IFERROR(__xludf.DUMMYFUNCTION("""COMPUTED_VALUE"""),0.573770491803278)</f>
        <v>0.5737704918</v>
      </c>
      <c r="I243" s="8">
        <f>IFERROR(__xludf.DUMMYFUNCTION("""COMPUTED_VALUE"""),0.525423728813559)</f>
        <v>0.5254237288</v>
      </c>
      <c r="J243" s="8">
        <f>IFERROR(__xludf.DUMMYFUNCTION("""COMPUTED_VALUE"""),0.525423728813559)</f>
        <v>0.5254237288</v>
      </c>
      <c r="K243" s="8">
        <f>IFERROR(__xludf.DUMMYFUNCTION("""COMPUTED_VALUE"""),0.47457627118644)</f>
        <v>0.4745762712</v>
      </c>
      <c r="L243" s="8">
        <f>IFERROR(__xludf.DUMMYFUNCTION("""COMPUTED_VALUE"""),0.444444444444444)</f>
        <v>0.4444444444</v>
      </c>
      <c r="M243" s="8">
        <f>IFERROR(__xludf.DUMMYFUNCTION("""COMPUTED_VALUE"""),0.423076923076923)</f>
        <v>0.4230769231</v>
      </c>
      <c r="N243" s="8">
        <f>IFERROR(__xludf.DUMMYFUNCTION("""COMPUTED_VALUE"""),0.441860465116279)</f>
        <v>0.4418604651</v>
      </c>
      <c r="O243" s="8">
        <f>IFERROR(__xludf.DUMMYFUNCTION("""COMPUTED_VALUE"""),0.166666666666666)</f>
        <v>0.1666666667</v>
      </c>
      <c r="P243" s="8">
        <f>IFERROR(__xludf.DUMMYFUNCTION("""COMPUTED_VALUE"""),0.333333333333333)</f>
        <v>0.3333333333</v>
      </c>
      <c r="Q243" s="8">
        <f>IFERROR(__xludf.DUMMYFUNCTION("""COMPUTED_VALUE"""),0.0)</f>
        <v>0</v>
      </c>
      <c r="R243" s="8">
        <f>IFERROR(__xludf.DUMMYFUNCTION("""COMPUTED_VALUE"""),0.0)</f>
        <v>0</v>
      </c>
      <c r="S243" s="8">
        <f>IFERROR(__xludf.DUMMYFUNCTION("""COMPUTED_VALUE"""),0.0)</f>
        <v>0</v>
      </c>
      <c r="T243" s="8">
        <f>IFERROR(__xludf.DUMMYFUNCTION("""COMPUTED_VALUE"""),0.0)</f>
        <v>0</v>
      </c>
      <c r="U243" s="8">
        <f>IFERROR(__xludf.DUMMYFUNCTION("""COMPUTED_VALUE"""),0.0)</f>
        <v>0</v>
      </c>
      <c r="V243" s="8">
        <f>IFERROR(__xludf.DUMMYFUNCTION("""COMPUTED_VALUE"""),0.0)</f>
        <v>0</v>
      </c>
      <c r="W243" s="8">
        <f>IFERROR(__xludf.DUMMYFUNCTION("""COMPUTED_VALUE"""),0.0)</f>
        <v>0</v>
      </c>
      <c r="X243" s="8">
        <f>IFERROR(__xludf.DUMMYFUNCTION("""COMPUTED_VALUE"""),0.0)</f>
        <v>0</v>
      </c>
      <c r="Y243" s="8">
        <f>IFERROR(__xludf.DUMMYFUNCTION("""COMPUTED_VALUE"""),0.0)</f>
        <v>0</v>
      </c>
      <c r="Z243" s="8">
        <f>IFERROR(__xludf.DUMMYFUNCTION("""COMPUTED_VALUE"""),0.0)</f>
        <v>0</v>
      </c>
      <c r="AA243" s="8">
        <f>IFERROR(__xludf.DUMMYFUNCTION("""COMPUTED_VALUE"""),0.0)</f>
        <v>0</v>
      </c>
      <c r="AB243" s="8">
        <f>IFERROR(__xludf.DUMMYFUNCTION("""COMPUTED_VALUE"""),0.0)</f>
        <v>0</v>
      </c>
      <c r="AC243" s="8">
        <f>IFERROR(__xludf.DUMMYFUNCTION("""COMPUTED_VALUE"""),0.0)</f>
        <v>0</v>
      </c>
    </row>
    <row r="244" ht="15.75" customHeight="1">
      <c r="A244" s="6" t="str">
        <f>IFERROR(__xludf.DUMMYFUNCTION("""COMPUTED_VALUE"""),"df497806d02c2dcc2e8f8e790fcc3fb9e72f8166")</f>
        <v>df497806d02c2dcc2e8f8e790fcc3fb9e72f8166</v>
      </c>
      <c r="B244" s="6" t="str">
        <f>IFERROR(__xludf.DUMMYFUNCTION("""COMPUTED_VALUE"""),"Never Letting You Go")</f>
        <v>Never Letting You Go</v>
      </c>
      <c r="C244" s="6" t="str">
        <f>IFERROR(__xludf.DUMMYFUNCTION("""COMPUTED_VALUE"""),"Romance")</f>
        <v>Romance</v>
      </c>
      <c r="D244" s="11">
        <f>IFERROR(__xludf.DUMMYFUNCTION("""COMPUTED_VALUE"""),231.0)</f>
        <v>231</v>
      </c>
      <c r="E244" s="8">
        <f>IFERROR(__xludf.DUMMYFUNCTION("""COMPUTED_VALUE"""),0.974025974025974)</f>
        <v>0.974025974</v>
      </c>
      <c r="F244" s="8">
        <f>IFERROR(__xludf.DUMMYFUNCTION("""COMPUTED_VALUE"""),0.489177489177489)</f>
        <v>0.4891774892</v>
      </c>
      <c r="G244" s="8">
        <f>IFERROR(__xludf.DUMMYFUNCTION("""COMPUTED_VALUE"""),0.419913419913419)</f>
        <v>0.4199134199</v>
      </c>
      <c r="H244" s="8">
        <f>IFERROR(__xludf.DUMMYFUNCTION("""COMPUTED_VALUE"""),0.367713004484304)</f>
        <v>0.3677130045</v>
      </c>
      <c r="I244" s="8">
        <f>IFERROR(__xludf.DUMMYFUNCTION("""COMPUTED_VALUE"""),0.316513761467889)</f>
        <v>0.3165137615</v>
      </c>
      <c r="J244" s="8">
        <f>IFERROR(__xludf.DUMMYFUNCTION("""COMPUTED_VALUE"""),0.300925925925925)</f>
        <v>0.3009259259</v>
      </c>
      <c r="K244" s="8">
        <f>IFERROR(__xludf.DUMMYFUNCTION("""COMPUTED_VALUE"""),0.264705882352941)</f>
        <v>0.2647058824</v>
      </c>
      <c r="L244" s="8">
        <f>IFERROR(__xludf.DUMMYFUNCTION("""COMPUTED_VALUE"""),0.269230769230769)</f>
        <v>0.2692307692</v>
      </c>
      <c r="M244" s="8">
        <f>IFERROR(__xludf.DUMMYFUNCTION("""COMPUTED_VALUE"""),0.223684210526315)</f>
        <v>0.2236842105</v>
      </c>
      <c r="N244" s="8">
        <f>IFERROR(__xludf.DUMMYFUNCTION("""COMPUTED_VALUE"""),0.22680412371134)</f>
        <v>0.2268041237</v>
      </c>
      <c r="O244" s="8">
        <f>IFERROR(__xludf.DUMMYFUNCTION("""COMPUTED_VALUE"""),0.222222222222222)</f>
        <v>0.2222222222</v>
      </c>
      <c r="P244" s="8">
        <f>IFERROR(__xludf.DUMMYFUNCTION("""COMPUTED_VALUE"""),0.2)</f>
        <v>0.2</v>
      </c>
      <c r="Q244" s="8">
        <f>IFERROR(__xludf.DUMMYFUNCTION("""COMPUTED_VALUE"""),0.111111111111111)</f>
        <v>0.1111111111</v>
      </c>
      <c r="R244" s="8">
        <f>IFERROR(__xludf.DUMMYFUNCTION("""COMPUTED_VALUE"""),0.0)</f>
        <v>0</v>
      </c>
      <c r="S244" s="8">
        <f>IFERROR(__xludf.DUMMYFUNCTION("""COMPUTED_VALUE"""),0.0)</f>
        <v>0</v>
      </c>
      <c r="T244" s="8">
        <f>IFERROR(__xludf.DUMMYFUNCTION("""COMPUTED_VALUE"""),0.0)</f>
        <v>0</v>
      </c>
      <c r="U244" s="8">
        <f>IFERROR(__xludf.DUMMYFUNCTION("""COMPUTED_VALUE"""),0.0)</f>
        <v>0</v>
      </c>
      <c r="V244" s="8">
        <f>IFERROR(__xludf.DUMMYFUNCTION("""COMPUTED_VALUE"""),0.0)</f>
        <v>0</v>
      </c>
      <c r="W244" s="8">
        <f>IFERROR(__xludf.DUMMYFUNCTION("""COMPUTED_VALUE"""),0.0)</f>
        <v>0</v>
      </c>
      <c r="X244" s="8">
        <f>IFERROR(__xludf.DUMMYFUNCTION("""COMPUTED_VALUE"""),0.0)</f>
        <v>0</v>
      </c>
      <c r="Y244" s="8">
        <f>IFERROR(__xludf.DUMMYFUNCTION("""COMPUTED_VALUE"""),0.0)</f>
        <v>0</v>
      </c>
      <c r="Z244" s="8">
        <f>IFERROR(__xludf.DUMMYFUNCTION("""COMPUTED_VALUE"""),0.0)</f>
        <v>0</v>
      </c>
      <c r="AA244" s="8">
        <f>IFERROR(__xludf.DUMMYFUNCTION("""COMPUTED_VALUE"""),0.0)</f>
        <v>0</v>
      </c>
      <c r="AB244" s="8">
        <f>IFERROR(__xludf.DUMMYFUNCTION("""COMPUTED_VALUE"""),0.0)</f>
        <v>0</v>
      </c>
      <c r="AC244" s="8">
        <f>IFERROR(__xludf.DUMMYFUNCTION("""COMPUTED_VALUE"""),0.0)</f>
        <v>0</v>
      </c>
    </row>
    <row r="245" ht="15.75" customHeight="1">
      <c r="A245" s="6" t="str">
        <f>IFERROR(__xludf.DUMMYFUNCTION("""COMPUTED_VALUE"""),"e0cc4d535444616635b899b0d8d7d34e8dde5fa7")</f>
        <v>e0cc4d535444616635b899b0d8d7d34e8dde5fa7</v>
      </c>
      <c r="B245" s="6" t="str">
        <f>IFERROR(__xludf.DUMMYFUNCTION("""COMPUTED_VALUE"""),"Fated Bond")</f>
        <v>Fated Bond</v>
      </c>
      <c r="C245" s="6" t="str">
        <f>IFERROR(__xludf.DUMMYFUNCTION("""COMPUTED_VALUE"""),"Romantasy")</f>
        <v>Romantasy</v>
      </c>
      <c r="D245" s="11">
        <f>IFERROR(__xludf.DUMMYFUNCTION("""COMPUTED_VALUE"""),2554.0)</f>
        <v>2554</v>
      </c>
      <c r="E245" s="8">
        <f>IFERROR(__xludf.DUMMYFUNCTION("""COMPUTED_VALUE"""),0.962411902897415)</f>
        <v>0.9624119029</v>
      </c>
      <c r="F245" s="8">
        <f>IFERROR(__xludf.DUMMYFUNCTION("""COMPUTED_VALUE"""),0.55520751761942)</f>
        <v>0.5552075176</v>
      </c>
      <c r="G245" s="8">
        <f>IFERROR(__xludf.DUMMYFUNCTION("""COMPUTED_VALUE"""),0.496867658574784)</f>
        <v>0.4968676586</v>
      </c>
      <c r="H245" s="8">
        <f>IFERROR(__xludf.DUMMYFUNCTION("""COMPUTED_VALUE"""),0.45180250783699)</f>
        <v>0.4518025078</v>
      </c>
      <c r="I245" s="8">
        <f>IFERROR(__xludf.DUMMYFUNCTION("""COMPUTED_VALUE"""),0.43103448275862)</f>
        <v>0.4310344828</v>
      </c>
      <c r="J245" s="8">
        <f>IFERROR(__xludf.DUMMYFUNCTION("""COMPUTED_VALUE"""),0.415915327322618)</f>
        <v>0.4159153273</v>
      </c>
      <c r="K245" s="8">
        <f>IFERROR(__xludf.DUMMYFUNCTION("""COMPUTED_VALUE"""),0.402903099254609)</f>
        <v>0.4029030993</v>
      </c>
      <c r="L245" s="8">
        <f>IFERROR(__xludf.DUMMYFUNCTION("""COMPUTED_VALUE"""),0.395440251572327)</f>
        <v>0.3954402516</v>
      </c>
      <c r="M245" s="8">
        <f>IFERROR(__xludf.DUMMYFUNCTION("""COMPUTED_VALUE"""),0.385826771653543)</f>
        <v>0.3858267717</v>
      </c>
      <c r="N245" s="8">
        <f>IFERROR(__xludf.DUMMYFUNCTION("""COMPUTED_VALUE"""),0.376828786081455)</f>
        <v>0.3768287861</v>
      </c>
      <c r="O245" s="8">
        <f>IFERROR(__xludf.DUMMYFUNCTION("""COMPUTED_VALUE"""),0.36389223964616)</f>
        <v>0.3638922396</v>
      </c>
      <c r="P245" s="8">
        <f>IFERROR(__xludf.DUMMYFUNCTION("""COMPUTED_VALUE"""),0.309602649006622)</f>
        <v>0.309602649</v>
      </c>
      <c r="Q245" s="8">
        <f>IFERROR(__xludf.DUMMYFUNCTION("""COMPUTED_VALUE"""),0.267723469837076)</f>
        <v>0.2677234698</v>
      </c>
      <c r="R245" s="8">
        <f>IFERROR(__xludf.DUMMYFUNCTION("""COMPUTED_VALUE"""),0.20958819913952)</f>
        <v>0.2095881991</v>
      </c>
      <c r="S245" s="8">
        <f>IFERROR(__xludf.DUMMYFUNCTION("""COMPUTED_VALUE"""),0.169398907103825)</f>
        <v>0.1693989071</v>
      </c>
      <c r="T245" s="8">
        <f>IFERROR(__xludf.DUMMYFUNCTION("""COMPUTED_VALUE"""),0.129496402877697)</f>
        <v>0.1294964029</v>
      </c>
      <c r="U245" s="8">
        <f>IFERROR(__xludf.DUMMYFUNCTION("""COMPUTED_VALUE"""),0.081081081081081)</f>
        <v>0.08108108108</v>
      </c>
      <c r="V245" s="8">
        <f>IFERROR(__xludf.DUMMYFUNCTION("""COMPUTED_VALUE"""),0.0596707818930041)</f>
        <v>0.05967078189</v>
      </c>
      <c r="W245" s="8">
        <f>IFERROR(__xludf.DUMMYFUNCTION("""COMPUTED_VALUE"""),0.0476190476190476)</f>
        <v>0.04761904762</v>
      </c>
      <c r="X245" s="8">
        <f>IFERROR(__xludf.DUMMYFUNCTION("""COMPUTED_VALUE"""),0.00955414012738853)</f>
        <v>0.009554140127</v>
      </c>
      <c r="Y245" s="8">
        <f>IFERROR(__xludf.DUMMYFUNCTION("""COMPUTED_VALUE"""),0.0)</f>
        <v>0</v>
      </c>
      <c r="Z245" s="8">
        <f>IFERROR(__xludf.DUMMYFUNCTION("""COMPUTED_VALUE"""),0.0)</f>
        <v>0</v>
      </c>
      <c r="AA245" s="8">
        <f>IFERROR(__xludf.DUMMYFUNCTION("""COMPUTED_VALUE"""),0.0)</f>
        <v>0</v>
      </c>
      <c r="AB245" s="8">
        <f>IFERROR(__xludf.DUMMYFUNCTION("""COMPUTED_VALUE"""),0.0)</f>
        <v>0</v>
      </c>
      <c r="AC245" s="8">
        <f>IFERROR(__xludf.DUMMYFUNCTION("""COMPUTED_VALUE"""),0.0)</f>
        <v>0</v>
      </c>
    </row>
    <row r="246" ht="15.75" customHeight="1">
      <c r="A246" s="6" t="str">
        <f>IFERROR(__xludf.DUMMYFUNCTION("""COMPUTED_VALUE"""),"e0df7c51c42acc2ebb07fef0853244b617b34a0a")</f>
        <v>e0df7c51c42acc2ebb07fef0853244b617b34a0a</v>
      </c>
      <c r="B246" s="6" t="str">
        <f>IFERROR(__xludf.DUMMYFUNCTION("""COMPUTED_VALUE"""),"Hunted by the Alpha")</f>
        <v>Hunted by the Alpha</v>
      </c>
      <c r="C246" s="6" t="str">
        <f>IFERROR(__xludf.DUMMYFUNCTION("""COMPUTED_VALUE"""),"Romantasy")</f>
        <v>Romantasy</v>
      </c>
      <c r="D246" s="11">
        <f>IFERROR(__xludf.DUMMYFUNCTION("""COMPUTED_VALUE"""),2666.0)</f>
        <v>2666</v>
      </c>
      <c r="E246" s="8">
        <f>IFERROR(__xludf.DUMMYFUNCTION("""COMPUTED_VALUE"""),0.981620405101275)</f>
        <v>0.9816204051</v>
      </c>
      <c r="F246" s="8">
        <f>IFERROR(__xludf.DUMMYFUNCTION("""COMPUTED_VALUE"""),0.471867966991747)</f>
        <v>0.471867967</v>
      </c>
      <c r="G246" s="8">
        <f>IFERROR(__xludf.DUMMYFUNCTION("""COMPUTED_VALUE"""),0.407351837959489)</f>
        <v>0.407351838</v>
      </c>
      <c r="H246" s="8">
        <f>IFERROR(__xludf.DUMMYFUNCTION("""COMPUTED_VALUE"""),0.378753753753753)</f>
        <v>0.3787537538</v>
      </c>
      <c r="I246" s="8">
        <f>IFERROR(__xludf.DUMMYFUNCTION("""COMPUTED_VALUE"""),0.358646616541353)</f>
        <v>0.3586466165</v>
      </c>
      <c r="J246" s="8">
        <f>IFERROR(__xludf.DUMMYFUNCTION("""COMPUTED_VALUE"""),0.338849191425347)</f>
        <v>0.3388491914</v>
      </c>
      <c r="K246" s="8">
        <f>IFERROR(__xludf.DUMMYFUNCTION("""COMPUTED_VALUE"""),0.315016936394429)</f>
        <v>0.3150169364</v>
      </c>
      <c r="L246" s="8">
        <f>IFERROR(__xludf.DUMMYFUNCTION("""COMPUTED_VALUE"""),0.292986425339366)</f>
        <v>0.2929864253</v>
      </c>
      <c r="M246" s="8">
        <f>IFERROR(__xludf.DUMMYFUNCTION("""COMPUTED_VALUE"""),0.296353166986564)</f>
        <v>0.296353167</v>
      </c>
      <c r="N246" s="8">
        <f>IFERROR(__xludf.DUMMYFUNCTION("""COMPUTED_VALUE"""),0.283839212469237)</f>
        <v>0.2838392125</v>
      </c>
      <c r="O246" s="8">
        <f>IFERROR(__xludf.DUMMYFUNCTION("""COMPUTED_VALUE"""),0.25367231638418)</f>
        <v>0.2536723164</v>
      </c>
      <c r="P246" s="8">
        <f>IFERROR(__xludf.DUMMYFUNCTION("""COMPUTED_VALUE"""),0.243181818181818)</f>
        <v>0.2431818182</v>
      </c>
      <c r="Q246" s="8">
        <f>IFERROR(__xludf.DUMMYFUNCTION("""COMPUTED_VALUE"""),0.3)</f>
        <v>0.3</v>
      </c>
      <c r="R246" s="8">
        <f>IFERROR(__xludf.DUMMYFUNCTION("""COMPUTED_VALUE"""),0.0)</f>
        <v>0</v>
      </c>
      <c r="S246" s="8">
        <f>IFERROR(__xludf.DUMMYFUNCTION("""COMPUTED_VALUE"""),0.0)</f>
        <v>0</v>
      </c>
      <c r="T246" s="8">
        <f>IFERROR(__xludf.DUMMYFUNCTION("""COMPUTED_VALUE"""),0.0)</f>
        <v>0</v>
      </c>
      <c r="U246" s="8">
        <f>IFERROR(__xludf.DUMMYFUNCTION("""COMPUTED_VALUE"""),0.0)</f>
        <v>0</v>
      </c>
      <c r="V246" s="8">
        <f>IFERROR(__xludf.DUMMYFUNCTION("""COMPUTED_VALUE"""),0.0)</f>
        <v>0</v>
      </c>
      <c r="W246" s="8">
        <f>IFERROR(__xludf.DUMMYFUNCTION("""COMPUTED_VALUE"""),0.0)</f>
        <v>0</v>
      </c>
      <c r="X246" s="8">
        <f>IFERROR(__xludf.DUMMYFUNCTION("""COMPUTED_VALUE"""),0.0)</f>
        <v>0</v>
      </c>
      <c r="Y246" s="8">
        <f>IFERROR(__xludf.DUMMYFUNCTION("""COMPUTED_VALUE"""),0.0)</f>
        <v>0</v>
      </c>
      <c r="Z246" s="8">
        <f>IFERROR(__xludf.DUMMYFUNCTION("""COMPUTED_VALUE"""),0.0)</f>
        <v>0</v>
      </c>
      <c r="AA246" s="8">
        <f>IFERROR(__xludf.DUMMYFUNCTION("""COMPUTED_VALUE"""),0.0)</f>
        <v>0</v>
      </c>
      <c r="AB246" s="8">
        <f>IFERROR(__xludf.DUMMYFUNCTION("""COMPUTED_VALUE"""),0.0)</f>
        <v>0</v>
      </c>
      <c r="AC246" s="8">
        <f>IFERROR(__xludf.DUMMYFUNCTION("""COMPUTED_VALUE"""),0.0)</f>
        <v>0</v>
      </c>
    </row>
    <row r="247" ht="15.75" customHeight="1">
      <c r="A247" s="6" t="str">
        <f>IFERROR(__xludf.DUMMYFUNCTION("""COMPUTED_VALUE"""),"e168f716089521f9d1fe95769f273458c64e2ba9")</f>
        <v>e168f716089521f9d1fe95769f273458c64e2ba9</v>
      </c>
      <c r="B247" s="6" t="str">
        <f>IFERROR(__xludf.DUMMYFUNCTION("""COMPUTED_VALUE"""),"My Young Bodyguard")</f>
        <v>My Young Bodyguard</v>
      </c>
      <c r="C247" s="6" t="str">
        <f>IFERROR(__xludf.DUMMYFUNCTION("""COMPUTED_VALUE"""),"Drama")</f>
        <v>Drama</v>
      </c>
      <c r="D247" s="11">
        <f>IFERROR(__xludf.DUMMYFUNCTION("""COMPUTED_VALUE"""),57.0)</f>
        <v>57</v>
      </c>
      <c r="E247" s="8">
        <f>IFERROR(__xludf.DUMMYFUNCTION("""COMPUTED_VALUE"""),0.982456140350877)</f>
        <v>0.9824561404</v>
      </c>
      <c r="F247" s="8">
        <f>IFERROR(__xludf.DUMMYFUNCTION("""COMPUTED_VALUE"""),0.473684210526315)</f>
        <v>0.4736842105</v>
      </c>
      <c r="G247" s="8">
        <f>IFERROR(__xludf.DUMMYFUNCTION("""COMPUTED_VALUE"""),0.368421052631578)</f>
        <v>0.3684210526</v>
      </c>
      <c r="H247" s="8">
        <f>IFERROR(__xludf.DUMMYFUNCTION("""COMPUTED_VALUE"""),0.339285714285714)</f>
        <v>0.3392857143</v>
      </c>
      <c r="I247" s="8">
        <f>IFERROR(__xludf.DUMMYFUNCTION("""COMPUTED_VALUE"""),0.320754716981132)</f>
        <v>0.320754717</v>
      </c>
      <c r="J247" s="8">
        <f>IFERROR(__xludf.DUMMYFUNCTION("""COMPUTED_VALUE"""),0.3)</f>
        <v>0.3</v>
      </c>
      <c r="K247" s="8">
        <f>IFERROR(__xludf.DUMMYFUNCTION("""COMPUTED_VALUE"""),0.285714285714285)</f>
        <v>0.2857142857</v>
      </c>
      <c r="L247" s="8">
        <f>IFERROR(__xludf.DUMMYFUNCTION("""COMPUTED_VALUE"""),0.288888888888888)</f>
        <v>0.2888888889</v>
      </c>
      <c r="M247" s="8">
        <f>IFERROR(__xludf.DUMMYFUNCTION("""COMPUTED_VALUE"""),0.272727272727272)</f>
        <v>0.2727272727</v>
      </c>
      <c r="N247" s="8">
        <f>IFERROR(__xludf.DUMMYFUNCTION("""COMPUTED_VALUE"""),0.268292682926829)</f>
        <v>0.2682926829</v>
      </c>
      <c r="O247" s="8">
        <f>IFERROR(__xludf.DUMMYFUNCTION("""COMPUTED_VALUE"""),0.0952380952380952)</f>
        <v>0.09523809524</v>
      </c>
      <c r="P247" s="8">
        <f>IFERROR(__xludf.DUMMYFUNCTION("""COMPUTED_VALUE"""),0.105263157894736)</f>
        <v>0.1052631579</v>
      </c>
      <c r="Q247" s="8">
        <f>IFERROR(__xludf.DUMMYFUNCTION("""COMPUTED_VALUE"""),0.133333333333333)</f>
        <v>0.1333333333</v>
      </c>
      <c r="R247" s="8">
        <f>IFERROR(__xludf.DUMMYFUNCTION("""COMPUTED_VALUE"""),0.0)</f>
        <v>0</v>
      </c>
      <c r="S247" s="8">
        <f>IFERROR(__xludf.DUMMYFUNCTION("""COMPUTED_VALUE"""),0.0)</f>
        <v>0</v>
      </c>
      <c r="T247" s="8">
        <f>IFERROR(__xludf.DUMMYFUNCTION("""COMPUTED_VALUE"""),0.0)</f>
        <v>0</v>
      </c>
      <c r="U247" s="8">
        <f>IFERROR(__xludf.DUMMYFUNCTION("""COMPUTED_VALUE"""),0.0)</f>
        <v>0</v>
      </c>
      <c r="V247" s="8">
        <f>IFERROR(__xludf.DUMMYFUNCTION("""COMPUTED_VALUE"""),0.0)</f>
        <v>0</v>
      </c>
      <c r="W247" s="8">
        <f>IFERROR(__xludf.DUMMYFUNCTION("""COMPUTED_VALUE"""),0.0)</f>
        <v>0</v>
      </c>
      <c r="X247" s="8">
        <f>IFERROR(__xludf.DUMMYFUNCTION("""COMPUTED_VALUE"""),0.0)</f>
        <v>0</v>
      </c>
      <c r="Y247" s="8">
        <f>IFERROR(__xludf.DUMMYFUNCTION("""COMPUTED_VALUE"""),0.0)</f>
        <v>0</v>
      </c>
      <c r="Z247" s="8">
        <f>IFERROR(__xludf.DUMMYFUNCTION("""COMPUTED_VALUE"""),0.0)</f>
        <v>0</v>
      </c>
      <c r="AA247" s="8">
        <f>IFERROR(__xludf.DUMMYFUNCTION("""COMPUTED_VALUE"""),0.0)</f>
        <v>0</v>
      </c>
      <c r="AB247" s="8">
        <f>IFERROR(__xludf.DUMMYFUNCTION("""COMPUTED_VALUE"""),0.0)</f>
        <v>0</v>
      </c>
      <c r="AC247" s="8">
        <f>IFERROR(__xludf.DUMMYFUNCTION("""COMPUTED_VALUE"""),0.0)</f>
        <v>0</v>
      </c>
    </row>
    <row r="248" ht="15.75" customHeight="1">
      <c r="A248" s="6" t="str">
        <f>IFERROR(__xludf.DUMMYFUNCTION("""COMPUTED_VALUE"""),"e1e025613df0bb24a28711b19cbefdbc254e0c21")</f>
        <v>e1e025613df0bb24a28711b19cbefdbc254e0c21</v>
      </c>
      <c r="B248" s="6" t="str">
        <f>IFERROR(__xludf.DUMMYFUNCTION("""COMPUTED_VALUE"""),"The Ceo Hidden Bride")</f>
        <v>The Ceo Hidden Bride</v>
      </c>
      <c r="C248" s="6" t="str">
        <f>IFERROR(__xludf.DUMMYFUNCTION("""COMPUTED_VALUE"""),"Romance")</f>
        <v>Romance</v>
      </c>
      <c r="D248" s="11">
        <f>IFERROR(__xludf.DUMMYFUNCTION("""COMPUTED_VALUE"""),386.0)</f>
        <v>386</v>
      </c>
      <c r="E248" s="8">
        <f>IFERROR(__xludf.DUMMYFUNCTION("""COMPUTED_VALUE"""),0.974093264248704)</f>
        <v>0.9740932642</v>
      </c>
      <c r="F248" s="8">
        <f>IFERROR(__xludf.DUMMYFUNCTION("""COMPUTED_VALUE"""),0.60880829015544)</f>
        <v>0.6088082902</v>
      </c>
      <c r="G248" s="8">
        <f>IFERROR(__xludf.DUMMYFUNCTION("""COMPUTED_VALUE"""),0.489637305699481)</f>
        <v>0.4896373057</v>
      </c>
      <c r="H248" s="8">
        <f>IFERROR(__xludf.DUMMYFUNCTION("""COMPUTED_VALUE"""),0.465968586387434)</f>
        <v>0.4659685864</v>
      </c>
      <c r="I248" s="8">
        <f>IFERROR(__xludf.DUMMYFUNCTION("""COMPUTED_VALUE"""),0.428571428571428)</f>
        <v>0.4285714286</v>
      </c>
      <c r="J248" s="8">
        <f>IFERROR(__xludf.DUMMYFUNCTION("""COMPUTED_VALUE"""),0.384196185286103)</f>
        <v>0.3841961853</v>
      </c>
      <c r="K248" s="8">
        <f>IFERROR(__xludf.DUMMYFUNCTION("""COMPUTED_VALUE"""),0.377777777777777)</f>
        <v>0.3777777778</v>
      </c>
      <c r="L248" s="8">
        <f>IFERROR(__xludf.DUMMYFUNCTION("""COMPUTED_VALUE"""),0.36060606060606)</f>
        <v>0.3606060606</v>
      </c>
      <c r="M248" s="8">
        <f>IFERROR(__xludf.DUMMYFUNCTION("""COMPUTED_VALUE"""),0.352750809061488)</f>
        <v>0.3527508091</v>
      </c>
      <c r="N248" s="8">
        <f>IFERROR(__xludf.DUMMYFUNCTION("""COMPUTED_VALUE"""),0.359848484848484)</f>
        <v>0.3598484848</v>
      </c>
      <c r="O248" s="8">
        <f>IFERROR(__xludf.DUMMYFUNCTION("""COMPUTED_VALUE"""),0.296875)</f>
        <v>0.296875</v>
      </c>
      <c r="P248" s="8">
        <f>IFERROR(__xludf.DUMMYFUNCTION("""COMPUTED_VALUE"""),0.295081967213114)</f>
        <v>0.2950819672</v>
      </c>
      <c r="Q248" s="8">
        <f>IFERROR(__xludf.DUMMYFUNCTION("""COMPUTED_VALUE"""),0.0)</f>
        <v>0</v>
      </c>
      <c r="R248" s="8">
        <f>IFERROR(__xludf.DUMMYFUNCTION("""COMPUTED_VALUE"""),0.0)</f>
        <v>0</v>
      </c>
      <c r="S248" s="8">
        <f>IFERROR(__xludf.DUMMYFUNCTION("""COMPUTED_VALUE"""),0.0)</f>
        <v>0</v>
      </c>
      <c r="T248" s="8">
        <f>IFERROR(__xludf.DUMMYFUNCTION("""COMPUTED_VALUE"""),0.0)</f>
        <v>0</v>
      </c>
      <c r="U248" s="8">
        <f>IFERROR(__xludf.DUMMYFUNCTION("""COMPUTED_VALUE"""),0.0)</f>
        <v>0</v>
      </c>
      <c r="V248" s="8">
        <f>IFERROR(__xludf.DUMMYFUNCTION("""COMPUTED_VALUE"""),0.0)</f>
        <v>0</v>
      </c>
      <c r="W248" s="8">
        <f>IFERROR(__xludf.DUMMYFUNCTION("""COMPUTED_VALUE"""),0.0)</f>
        <v>0</v>
      </c>
      <c r="X248" s="8">
        <f>IFERROR(__xludf.DUMMYFUNCTION("""COMPUTED_VALUE"""),0.0)</f>
        <v>0</v>
      </c>
      <c r="Y248" s="8">
        <f>IFERROR(__xludf.DUMMYFUNCTION("""COMPUTED_VALUE"""),0.0)</f>
        <v>0</v>
      </c>
      <c r="Z248" s="8">
        <f>IFERROR(__xludf.DUMMYFUNCTION("""COMPUTED_VALUE"""),0.0)</f>
        <v>0</v>
      </c>
      <c r="AA248" s="8">
        <f>IFERROR(__xludf.DUMMYFUNCTION("""COMPUTED_VALUE"""),0.0)</f>
        <v>0</v>
      </c>
      <c r="AB248" s="8">
        <f>IFERROR(__xludf.DUMMYFUNCTION("""COMPUTED_VALUE"""),0.0)</f>
        <v>0</v>
      </c>
      <c r="AC248" s="8">
        <f>IFERROR(__xludf.DUMMYFUNCTION("""COMPUTED_VALUE"""),0.0)</f>
        <v>0</v>
      </c>
    </row>
    <row r="249" ht="15.75" customHeight="1">
      <c r="A249" s="6" t="str">
        <f>IFERROR(__xludf.DUMMYFUNCTION("""COMPUTED_VALUE"""),"e2f077e58449b7e3e415bd16eb5bb755606936b6")</f>
        <v>e2f077e58449b7e3e415bd16eb5bb755606936b6</v>
      </c>
      <c r="B249" s="6" t="str">
        <f>IFERROR(__xludf.DUMMYFUNCTION("""COMPUTED_VALUE"""),"Powerless Heir to Throne")</f>
        <v>Powerless Heir to Throne</v>
      </c>
      <c r="C249" s="6" t="str">
        <f>IFERROR(__xludf.DUMMYFUNCTION("""COMPUTED_VALUE"""),"System and Superpower")</f>
        <v>System and Superpower</v>
      </c>
      <c r="D249" s="11">
        <f>IFERROR(__xludf.DUMMYFUNCTION("""COMPUTED_VALUE"""),116.0)</f>
        <v>116</v>
      </c>
      <c r="E249" s="8">
        <f>IFERROR(__xludf.DUMMYFUNCTION("""COMPUTED_VALUE"""),0.991379310344827)</f>
        <v>0.9913793103</v>
      </c>
      <c r="F249" s="8">
        <f>IFERROR(__xludf.DUMMYFUNCTION("""COMPUTED_VALUE"""),0.612068965517241)</f>
        <v>0.6120689655</v>
      </c>
      <c r="G249" s="8">
        <f>IFERROR(__xludf.DUMMYFUNCTION("""COMPUTED_VALUE"""),0.560344827586206)</f>
        <v>0.5603448276</v>
      </c>
      <c r="H249" s="8">
        <f>IFERROR(__xludf.DUMMYFUNCTION("""COMPUTED_VALUE"""),0.525862068965517)</f>
        <v>0.525862069</v>
      </c>
      <c r="I249" s="8">
        <f>IFERROR(__xludf.DUMMYFUNCTION("""COMPUTED_VALUE"""),0.482758620689655)</f>
        <v>0.4827586207</v>
      </c>
      <c r="J249" s="8">
        <f>IFERROR(__xludf.DUMMYFUNCTION("""COMPUTED_VALUE"""),0.426086956521739)</f>
        <v>0.4260869565</v>
      </c>
      <c r="K249" s="8">
        <f>IFERROR(__xludf.DUMMYFUNCTION("""COMPUTED_VALUE"""),0.4)</f>
        <v>0.4</v>
      </c>
      <c r="L249" s="8">
        <f>IFERROR(__xludf.DUMMYFUNCTION("""COMPUTED_VALUE"""),0.362831858407079)</f>
        <v>0.3628318584</v>
      </c>
      <c r="M249" s="8">
        <f>IFERROR(__xludf.DUMMYFUNCTION("""COMPUTED_VALUE"""),0.353982300884955)</f>
        <v>0.3539823009</v>
      </c>
      <c r="N249" s="8">
        <f>IFERROR(__xludf.DUMMYFUNCTION("""COMPUTED_VALUE"""),0.345132743362831)</f>
        <v>0.3451327434</v>
      </c>
      <c r="O249" s="8">
        <f>IFERROR(__xludf.DUMMYFUNCTION("""COMPUTED_VALUE"""),0.309734513274336)</f>
        <v>0.3097345133</v>
      </c>
      <c r="P249" s="8">
        <f>IFERROR(__xludf.DUMMYFUNCTION("""COMPUTED_VALUE"""),0.227272727272727)</f>
        <v>0.2272727273</v>
      </c>
      <c r="Q249" s="8">
        <f>IFERROR(__xludf.DUMMYFUNCTION("""COMPUTED_VALUE"""),0.10377358490566)</f>
        <v>0.1037735849</v>
      </c>
      <c r="R249" s="8">
        <f>IFERROR(__xludf.DUMMYFUNCTION("""COMPUTED_VALUE"""),0.0980392156862745)</f>
        <v>0.09803921569</v>
      </c>
      <c r="S249" s="8">
        <f>IFERROR(__xludf.DUMMYFUNCTION("""COMPUTED_VALUE"""),0.25)</f>
        <v>0.25</v>
      </c>
      <c r="T249" s="8">
        <f>IFERROR(__xludf.DUMMYFUNCTION("""COMPUTED_VALUE"""),0.0)</f>
        <v>0</v>
      </c>
      <c r="U249" s="8">
        <f>IFERROR(__xludf.DUMMYFUNCTION("""COMPUTED_VALUE"""),0.0)</f>
        <v>0</v>
      </c>
      <c r="V249" s="8">
        <f>IFERROR(__xludf.DUMMYFUNCTION("""COMPUTED_VALUE"""),0.0)</f>
        <v>0</v>
      </c>
      <c r="W249" s="8">
        <f>IFERROR(__xludf.DUMMYFUNCTION("""COMPUTED_VALUE"""),0.0)</f>
        <v>0</v>
      </c>
      <c r="X249" s="8">
        <f>IFERROR(__xludf.DUMMYFUNCTION("""COMPUTED_VALUE"""),0.0)</f>
        <v>0</v>
      </c>
      <c r="Y249" s="8">
        <f>IFERROR(__xludf.DUMMYFUNCTION("""COMPUTED_VALUE"""),0.0)</f>
        <v>0</v>
      </c>
      <c r="Z249" s="8">
        <f>IFERROR(__xludf.DUMMYFUNCTION("""COMPUTED_VALUE"""),0.0)</f>
        <v>0</v>
      </c>
      <c r="AA249" s="8">
        <f>IFERROR(__xludf.DUMMYFUNCTION("""COMPUTED_VALUE"""),0.0)</f>
        <v>0</v>
      </c>
      <c r="AB249" s="8">
        <f>IFERROR(__xludf.DUMMYFUNCTION("""COMPUTED_VALUE"""),0.0)</f>
        <v>0</v>
      </c>
      <c r="AC249" s="8">
        <f>IFERROR(__xludf.DUMMYFUNCTION("""COMPUTED_VALUE"""),0.0)</f>
        <v>0</v>
      </c>
    </row>
    <row r="250" ht="15.75" customHeight="1">
      <c r="A250" s="6" t="str">
        <f>IFERROR(__xludf.DUMMYFUNCTION("""COMPUTED_VALUE"""),"e3ea22ad9a736918a7619bfed3abf1f862c9bdb2")</f>
        <v>e3ea22ad9a736918a7619bfed3abf1f862c9bdb2</v>
      </c>
      <c r="B250" s="6" t="str">
        <f>IFERROR(__xludf.DUMMYFUNCTION("""COMPUTED_VALUE"""),"The Empress's Cold Return")</f>
        <v>The Empress's Cold Return</v>
      </c>
      <c r="C250" s="6" t="str">
        <f>IFERROR(__xludf.DUMMYFUNCTION("""COMPUTED_VALUE"""),"Drama")</f>
        <v>Drama</v>
      </c>
      <c r="D250" s="11">
        <f>IFERROR(__xludf.DUMMYFUNCTION("""COMPUTED_VALUE"""),586.0)</f>
        <v>586</v>
      </c>
      <c r="E250" s="8">
        <f>IFERROR(__xludf.DUMMYFUNCTION("""COMPUTED_VALUE"""),0.97098976109215)</f>
        <v>0.9709897611</v>
      </c>
      <c r="F250" s="8">
        <f>IFERROR(__xludf.DUMMYFUNCTION("""COMPUTED_VALUE"""),0.580204778156996)</f>
        <v>0.5802047782</v>
      </c>
      <c r="G250" s="8">
        <f>IFERROR(__xludf.DUMMYFUNCTION("""COMPUTED_VALUE"""),0.481228668941979)</f>
        <v>0.4812286689</v>
      </c>
      <c r="H250" s="8">
        <f>IFERROR(__xludf.DUMMYFUNCTION("""COMPUTED_VALUE"""),0.436860068259385)</f>
        <v>0.4368600683</v>
      </c>
      <c r="I250" s="8">
        <f>IFERROR(__xludf.DUMMYFUNCTION("""COMPUTED_VALUE"""),0.41296928327645)</f>
        <v>0.4129692833</v>
      </c>
      <c r="J250" s="8">
        <f>IFERROR(__xludf.DUMMYFUNCTION("""COMPUTED_VALUE"""),0.395904436860068)</f>
        <v>0.3959044369</v>
      </c>
      <c r="K250" s="8">
        <f>IFERROR(__xludf.DUMMYFUNCTION("""COMPUTED_VALUE"""),0.361774744027303)</f>
        <v>0.361774744</v>
      </c>
      <c r="L250" s="8">
        <f>IFERROR(__xludf.DUMMYFUNCTION("""COMPUTED_VALUE"""),0.363481228668942)</f>
        <v>0.3634812287</v>
      </c>
      <c r="M250" s="8">
        <f>IFERROR(__xludf.DUMMYFUNCTION("""COMPUTED_VALUE"""),0.319658119658119)</f>
        <v>0.3196581197</v>
      </c>
      <c r="N250" s="8">
        <f>IFERROR(__xludf.DUMMYFUNCTION("""COMPUTED_VALUE"""),0.317948717948717)</f>
        <v>0.3179487179</v>
      </c>
      <c r="O250" s="8">
        <f>IFERROR(__xludf.DUMMYFUNCTION("""COMPUTED_VALUE"""),0.261168384879725)</f>
        <v>0.2611683849</v>
      </c>
      <c r="P250" s="8">
        <f>IFERROR(__xludf.DUMMYFUNCTION("""COMPUTED_VALUE"""),0.183566433566433)</f>
        <v>0.1835664336</v>
      </c>
      <c r="Q250" s="8">
        <f>IFERROR(__xludf.DUMMYFUNCTION("""COMPUTED_VALUE"""),0.0831792975970425)</f>
        <v>0.0831792976</v>
      </c>
      <c r="R250" s="8">
        <f>IFERROR(__xludf.DUMMYFUNCTION("""COMPUTED_VALUE"""),0.039039039039039)</f>
        <v>0.03903903904</v>
      </c>
      <c r="S250" s="8">
        <f>IFERROR(__xludf.DUMMYFUNCTION("""COMPUTED_VALUE"""),0.0)</f>
        <v>0</v>
      </c>
      <c r="T250" s="8">
        <f>IFERROR(__xludf.DUMMYFUNCTION("""COMPUTED_VALUE"""),0.0)</f>
        <v>0</v>
      </c>
      <c r="U250" s="8">
        <f>IFERROR(__xludf.DUMMYFUNCTION("""COMPUTED_VALUE"""),0.0)</f>
        <v>0</v>
      </c>
      <c r="V250" s="8">
        <f>IFERROR(__xludf.DUMMYFUNCTION("""COMPUTED_VALUE"""),0.0)</f>
        <v>0</v>
      </c>
      <c r="W250" s="8">
        <f>IFERROR(__xludf.DUMMYFUNCTION("""COMPUTED_VALUE"""),0.0)</f>
        <v>0</v>
      </c>
      <c r="X250" s="8">
        <f>IFERROR(__xludf.DUMMYFUNCTION("""COMPUTED_VALUE"""),0.0)</f>
        <v>0</v>
      </c>
      <c r="Y250" s="8">
        <f>IFERROR(__xludf.DUMMYFUNCTION("""COMPUTED_VALUE"""),0.0)</f>
        <v>0</v>
      </c>
      <c r="Z250" s="8">
        <f>IFERROR(__xludf.DUMMYFUNCTION("""COMPUTED_VALUE"""),0.0)</f>
        <v>0</v>
      </c>
      <c r="AA250" s="8">
        <f>IFERROR(__xludf.DUMMYFUNCTION("""COMPUTED_VALUE"""),0.0)</f>
        <v>0</v>
      </c>
      <c r="AB250" s="8">
        <f>IFERROR(__xludf.DUMMYFUNCTION("""COMPUTED_VALUE"""),0.0)</f>
        <v>0</v>
      </c>
      <c r="AC250" s="8">
        <f>IFERROR(__xludf.DUMMYFUNCTION("""COMPUTED_VALUE"""),0.0)</f>
        <v>0</v>
      </c>
    </row>
    <row r="251" ht="15.75" customHeight="1">
      <c r="A251" s="6" t="str">
        <f>IFERROR(__xludf.DUMMYFUNCTION("""COMPUTED_VALUE"""),"e40505b31ca87f2f6b736e3f18b3e9f46e21cd04")</f>
        <v>e40505b31ca87f2f6b736e3f18b3e9f46e21cd04</v>
      </c>
      <c r="B251" s="6" t="str">
        <f>IFERROR(__xludf.DUMMYFUNCTION("""COMPUTED_VALUE"""),"My Dragonic System")</f>
        <v>My Dragonic System</v>
      </c>
      <c r="C251" s="6" t="str">
        <f>IFERROR(__xludf.DUMMYFUNCTION("""COMPUTED_VALUE"""),"System and Superpower")</f>
        <v>System and Superpower</v>
      </c>
      <c r="D251" s="11">
        <f>IFERROR(__xludf.DUMMYFUNCTION("""COMPUTED_VALUE"""),2105.0)</f>
        <v>2105</v>
      </c>
      <c r="E251" s="8">
        <f>IFERROR(__xludf.DUMMYFUNCTION("""COMPUTED_VALUE"""),0.962470308788598)</f>
        <v>0.9624703088</v>
      </c>
      <c r="F251" s="8">
        <f>IFERROR(__xludf.DUMMYFUNCTION("""COMPUTED_VALUE"""),0.609026128266033)</f>
        <v>0.6090261283</v>
      </c>
      <c r="G251" s="8">
        <f>IFERROR(__xludf.DUMMYFUNCTION("""COMPUTED_VALUE"""),0.562945368171021)</f>
        <v>0.5629453682</v>
      </c>
      <c r="H251" s="8">
        <f>IFERROR(__xludf.DUMMYFUNCTION("""COMPUTED_VALUE"""),0.521448999046711)</f>
        <v>0.521448999</v>
      </c>
      <c r="I251" s="8">
        <f>IFERROR(__xludf.DUMMYFUNCTION("""COMPUTED_VALUE"""),0.498093422306959)</f>
        <v>0.4980934223</v>
      </c>
      <c r="J251" s="8">
        <f>IFERROR(__xludf.DUMMYFUNCTION("""COMPUTED_VALUE"""),0.475190839694656)</f>
        <v>0.4751908397</v>
      </c>
      <c r="K251" s="8">
        <f>IFERROR(__xludf.DUMMYFUNCTION("""COMPUTED_VALUE"""),0.45054945054945)</f>
        <v>0.4505494505</v>
      </c>
      <c r="L251" s="8">
        <f>IFERROR(__xludf.DUMMYFUNCTION("""COMPUTED_VALUE"""),0.435615126854954)</f>
        <v>0.4356151269</v>
      </c>
      <c r="M251" s="8">
        <f>IFERROR(__xludf.DUMMYFUNCTION("""COMPUTED_VALUE"""),0.419509851033157)</f>
        <v>0.419509851</v>
      </c>
      <c r="N251" s="8">
        <f>IFERROR(__xludf.DUMMYFUNCTION("""COMPUTED_VALUE"""),0.40279114533205)</f>
        <v>0.4027911453</v>
      </c>
      <c r="O251" s="8">
        <f>IFERROR(__xludf.DUMMYFUNCTION("""COMPUTED_VALUE"""),0.377376889322281)</f>
        <v>0.3773768893</v>
      </c>
      <c r="P251" s="8">
        <f>IFERROR(__xludf.DUMMYFUNCTION("""COMPUTED_VALUE"""),0.308278313864906)</f>
        <v>0.3082783139</v>
      </c>
      <c r="Q251" s="8">
        <f>IFERROR(__xludf.DUMMYFUNCTION("""COMPUTED_VALUE"""),0.235294117647058)</f>
        <v>0.2352941176</v>
      </c>
      <c r="R251" s="8">
        <f>IFERROR(__xludf.DUMMYFUNCTION("""COMPUTED_VALUE"""),0.195862960568842)</f>
        <v>0.1958629606</v>
      </c>
      <c r="S251" s="8">
        <f>IFERROR(__xludf.DUMMYFUNCTION("""COMPUTED_VALUE"""),0.155450236966824)</f>
        <v>0.155450237</v>
      </c>
      <c r="T251" s="8">
        <f>IFERROR(__xludf.DUMMYFUNCTION("""COMPUTED_VALUE"""),0.114110429447852)</f>
        <v>0.1141104294</v>
      </c>
      <c r="U251" s="8">
        <f>IFERROR(__xludf.DUMMYFUNCTION("""COMPUTED_VALUE"""),0.0700389105058365)</f>
        <v>0.07003891051</v>
      </c>
      <c r="V251" s="8">
        <f>IFERROR(__xludf.DUMMYFUNCTION("""COMPUTED_VALUE"""),0.0)</f>
        <v>0</v>
      </c>
      <c r="W251" s="8">
        <f>IFERROR(__xludf.DUMMYFUNCTION("""COMPUTED_VALUE"""),0.0)</f>
        <v>0</v>
      </c>
      <c r="X251" s="8">
        <f>IFERROR(__xludf.DUMMYFUNCTION("""COMPUTED_VALUE"""),0.0)</f>
        <v>0</v>
      </c>
      <c r="Y251" s="8">
        <f>IFERROR(__xludf.DUMMYFUNCTION("""COMPUTED_VALUE"""),0.0)</f>
        <v>0</v>
      </c>
      <c r="Z251" s="8">
        <f>IFERROR(__xludf.DUMMYFUNCTION("""COMPUTED_VALUE"""),0.0)</f>
        <v>0</v>
      </c>
      <c r="AA251" s="8">
        <f>IFERROR(__xludf.DUMMYFUNCTION("""COMPUTED_VALUE"""),0.0)</f>
        <v>0</v>
      </c>
      <c r="AB251" s="8">
        <f>IFERROR(__xludf.DUMMYFUNCTION("""COMPUTED_VALUE"""),0.0)</f>
        <v>0</v>
      </c>
      <c r="AC251" s="8">
        <f>IFERROR(__xludf.DUMMYFUNCTION("""COMPUTED_VALUE"""),0.0)</f>
        <v>0</v>
      </c>
    </row>
    <row r="252" ht="15.75" customHeight="1">
      <c r="A252" s="6" t="str">
        <f>IFERROR(__xludf.DUMMYFUNCTION("""COMPUTED_VALUE"""),"e5b71f4b40481cb15ce33532df56be566352534e")</f>
        <v>e5b71f4b40481cb15ce33532df56be566352534e</v>
      </c>
      <c r="B252" s="6" t="str">
        <f>IFERROR(__xludf.DUMMYFUNCTION("""COMPUTED_VALUE"""),"Rewind and Rise")</f>
        <v>Rewind and Rise</v>
      </c>
      <c r="C252" s="6" t="str">
        <f>IFERROR(__xludf.DUMMYFUNCTION("""COMPUTED_VALUE"""),"Romantasy")</f>
        <v>Romantasy</v>
      </c>
      <c r="D252" s="11">
        <f>IFERROR(__xludf.DUMMYFUNCTION("""COMPUTED_VALUE"""),38.0)</f>
        <v>38</v>
      </c>
      <c r="E252" s="8">
        <f>IFERROR(__xludf.DUMMYFUNCTION("""COMPUTED_VALUE"""),1.0)</f>
        <v>1</v>
      </c>
      <c r="F252" s="8">
        <f>IFERROR(__xludf.DUMMYFUNCTION("""COMPUTED_VALUE"""),0.763157894736842)</f>
        <v>0.7631578947</v>
      </c>
      <c r="G252" s="8">
        <f>IFERROR(__xludf.DUMMYFUNCTION("""COMPUTED_VALUE"""),0.631578947368421)</f>
        <v>0.6315789474</v>
      </c>
      <c r="H252" s="8">
        <f>IFERROR(__xludf.DUMMYFUNCTION("""COMPUTED_VALUE"""),0.555555555555555)</f>
        <v>0.5555555556</v>
      </c>
      <c r="I252" s="8">
        <f>IFERROR(__xludf.DUMMYFUNCTION("""COMPUTED_VALUE"""),0.588235294117647)</f>
        <v>0.5882352941</v>
      </c>
      <c r="J252" s="8">
        <f>IFERROR(__xludf.DUMMYFUNCTION("""COMPUTED_VALUE"""),0.515151515151515)</f>
        <v>0.5151515152</v>
      </c>
      <c r="K252" s="8">
        <f>IFERROR(__xludf.DUMMYFUNCTION("""COMPUTED_VALUE"""),0.548387096774193)</f>
        <v>0.5483870968</v>
      </c>
      <c r="L252" s="8">
        <f>IFERROR(__xludf.DUMMYFUNCTION("""COMPUTED_VALUE"""),0.5)</f>
        <v>0.5</v>
      </c>
      <c r="M252" s="8">
        <f>IFERROR(__xludf.DUMMYFUNCTION("""COMPUTED_VALUE"""),0.481481481481481)</f>
        <v>0.4814814815</v>
      </c>
      <c r="N252" s="8">
        <f>IFERROR(__xludf.DUMMYFUNCTION("""COMPUTED_VALUE"""),0.5)</f>
        <v>0.5</v>
      </c>
      <c r="O252" s="8">
        <f>IFERROR(__xludf.DUMMYFUNCTION("""COMPUTED_VALUE"""),0.4)</f>
        <v>0.4</v>
      </c>
      <c r="P252" s="8">
        <f>IFERROR(__xludf.DUMMYFUNCTION("""COMPUTED_VALUE"""),0.0)</f>
        <v>0</v>
      </c>
      <c r="Q252" s="8">
        <f>IFERROR(__xludf.DUMMYFUNCTION("""COMPUTED_VALUE"""),0.0)</f>
        <v>0</v>
      </c>
      <c r="R252" s="8">
        <f>IFERROR(__xludf.DUMMYFUNCTION("""COMPUTED_VALUE"""),0.0)</f>
        <v>0</v>
      </c>
      <c r="S252" s="8">
        <f>IFERROR(__xludf.DUMMYFUNCTION("""COMPUTED_VALUE"""),0.0)</f>
        <v>0</v>
      </c>
      <c r="T252" s="8">
        <f>IFERROR(__xludf.DUMMYFUNCTION("""COMPUTED_VALUE"""),0.0)</f>
        <v>0</v>
      </c>
      <c r="U252" s="8">
        <f>IFERROR(__xludf.DUMMYFUNCTION("""COMPUTED_VALUE"""),0.0)</f>
        <v>0</v>
      </c>
      <c r="V252" s="8">
        <f>IFERROR(__xludf.DUMMYFUNCTION("""COMPUTED_VALUE"""),0.0)</f>
        <v>0</v>
      </c>
      <c r="W252" s="8">
        <f>IFERROR(__xludf.DUMMYFUNCTION("""COMPUTED_VALUE"""),0.0)</f>
        <v>0</v>
      </c>
      <c r="X252" s="8">
        <f>IFERROR(__xludf.DUMMYFUNCTION("""COMPUTED_VALUE"""),0.0)</f>
        <v>0</v>
      </c>
      <c r="Y252" s="8">
        <f>IFERROR(__xludf.DUMMYFUNCTION("""COMPUTED_VALUE"""),0.0)</f>
        <v>0</v>
      </c>
      <c r="Z252" s="8">
        <f>IFERROR(__xludf.DUMMYFUNCTION("""COMPUTED_VALUE"""),0.0)</f>
        <v>0</v>
      </c>
      <c r="AA252" s="8">
        <f>IFERROR(__xludf.DUMMYFUNCTION("""COMPUTED_VALUE"""),0.0)</f>
        <v>0</v>
      </c>
      <c r="AB252" s="8">
        <f>IFERROR(__xludf.DUMMYFUNCTION("""COMPUTED_VALUE"""),0.0)</f>
        <v>0</v>
      </c>
      <c r="AC252" s="8">
        <f>IFERROR(__xludf.DUMMYFUNCTION("""COMPUTED_VALUE"""),0.0)</f>
        <v>0</v>
      </c>
    </row>
    <row r="253" ht="15.75" customHeight="1">
      <c r="A253" s="6" t="str">
        <f>IFERROR(__xludf.DUMMYFUNCTION("""COMPUTED_VALUE"""),"e79ceb682265a42fb44c988f861c20672776f19d")</f>
        <v>e79ceb682265a42fb44c988f861c20672776f19d</v>
      </c>
      <c r="B253" s="6" t="str">
        <f>IFERROR(__xludf.DUMMYFUNCTION("""COMPUTED_VALUE"""),"Faction of Unity: Wyrmara")</f>
        <v>Faction of Unity: Wyrmara</v>
      </c>
      <c r="C253" s="6" t="str">
        <f>IFERROR(__xludf.DUMMYFUNCTION("""COMPUTED_VALUE"""),"Fantasy")</f>
        <v>Fantasy</v>
      </c>
      <c r="D253" s="11">
        <f>IFERROR(__xludf.DUMMYFUNCTION("""COMPUTED_VALUE"""),10.0)</f>
        <v>10</v>
      </c>
      <c r="E253" s="8">
        <f>IFERROR(__xludf.DUMMYFUNCTION("""COMPUTED_VALUE"""),1.0)</f>
        <v>1</v>
      </c>
      <c r="F253" s="8">
        <f>IFERROR(__xludf.DUMMYFUNCTION("""COMPUTED_VALUE"""),0.5)</f>
        <v>0.5</v>
      </c>
      <c r="G253" s="8">
        <f>IFERROR(__xludf.DUMMYFUNCTION("""COMPUTED_VALUE"""),0.4)</f>
        <v>0.4</v>
      </c>
      <c r="H253" s="8">
        <f>IFERROR(__xludf.DUMMYFUNCTION("""COMPUTED_VALUE"""),0.4)</f>
        <v>0.4</v>
      </c>
      <c r="I253" s="8">
        <f>IFERROR(__xludf.DUMMYFUNCTION("""COMPUTED_VALUE"""),0.4)</f>
        <v>0.4</v>
      </c>
      <c r="J253" s="8">
        <f>IFERROR(__xludf.DUMMYFUNCTION("""COMPUTED_VALUE"""),0.4)</f>
        <v>0.4</v>
      </c>
      <c r="K253" s="8">
        <f>IFERROR(__xludf.DUMMYFUNCTION("""COMPUTED_VALUE"""),0.3)</f>
        <v>0.3</v>
      </c>
      <c r="L253" s="8">
        <f>IFERROR(__xludf.DUMMYFUNCTION("""COMPUTED_VALUE"""),0.3)</f>
        <v>0.3</v>
      </c>
      <c r="M253" s="8">
        <f>IFERROR(__xludf.DUMMYFUNCTION("""COMPUTED_VALUE"""),0.1)</f>
        <v>0.1</v>
      </c>
      <c r="N253" s="8">
        <f>IFERROR(__xludf.DUMMYFUNCTION("""COMPUTED_VALUE"""),0.1)</f>
        <v>0.1</v>
      </c>
      <c r="O253" s="8">
        <f>IFERROR(__xludf.DUMMYFUNCTION("""COMPUTED_VALUE"""),0.111111111111111)</f>
        <v>0.1111111111</v>
      </c>
      <c r="P253" s="8">
        <f>IFERROR(__xludf.DUMMYFUNCTION("""COMPUTED_VALUE"""),0.142857142857142)</f>
        <v>0.1428571429</v>
      </c>
      <c r="Q253" s="8">
        <f>IFERROR(__xludf.DUMMYFUNCTION("""COMPUTED_VALUE"""),0.0)</f>
        <v>0</v>
      </c>
      <c r="R253" s="8">
        <f>IFERROR(__xludf.DUMMYFUNCTION("""COMPUTED_VALUE"""),0.0)</f>
        <v>0</v>
      </c>
      <c r="S253" s="8">
        <f>IFERROR(__xludf.DUMMYFUNCTION("""COMPUTED_VALUE"""),0.0)</f>
        <v>0</v>
      </c>
      <c r="T253" s="8">
        <f>IFERROR(__xludf.DUMMYFUNCTION("""COMPUTED_VALUE"""),0.0)</f>
        <v>0</v>
      </c>
      <c r="U253" s="8">
        <f>IFERROR(__xludf.DUMMYFUNCTION("""COMPUTED_VALUE"""),0.0)</f>
        <v>0</v>
      </c>
      <c r="V253" s="8">
        <f>IFERROR(__xludf.DUMMYFUNCTION("""COMPUTED_VALUE"""),0.0)</f>
        <v>0</v>
      </c>
      <c r="W253" s="8">
        <f>IFERROR(__xludf.DUMMYFUNCTION("""COMPUTED_VALUE"""),0.0)</f>
        <v>0</v>
      </c>
      <c r="X253" s="8">
        <f>IFERROR(__xludf.DUMMYFUNCTION("""COMPUTED_VALUE"""),0.0)</f>
        <v>0</v>
      </c>
      <c r="Y253" s="8">
        <f>IFERROR(__xludf.DUMMYFUNCTION("""COMPUTED_VALUE"""),0.0)</f>
        <v>0</v>
      </c>
      <c r="Z253" s="8">
        <f>IFERROR(__xludf.DUMMYFUNCTION("""COMPUTED_VALUE"""),0.0)</f>
        <v>0</v>
      </c>
      <c r="AA253" s="8">
        <f>IFERROR(__xludf.DUMMYFUNCTION("""COMPUTED_VALUE"""),0.0)</f>
        <v>0</v>
      </c>
      <c r="AB253" s="8">
        <f>IFERROR(__xludf.DUMMYFUNCTION("""COMPUTED_VALUE"""),0.0)</f>
        <v>0</v>
      </c>
      <c r="AC253" s="8">
        <f>IFERROR(__xludf.DUMMYFUNCTION("""COMPUTED_VALUE"""),0.0)</f>
        <v>0</v>
      </c>
    </row>
    <row r="254" ht="15.75" customHeight="1">
      <c r="A254" s="6" t="str">
        <f>IFERROR(__xludf.DUMMYFUNCTION("""COMPUTED_VALUE"""),"e7a3ee79841762542e0eb645666b039c707001f5")</f>
        <v>e7a3ee79841762542e0eb645666b039c707001f5</v>
      </c>
      <c r="B254" s="6" t="str">
        <f>IFERROR(__xludf.DUMMYFUNCTION("""COMPUTED_VALUE"""),"Masked Prince's Princess")</f>
        <v>Masked Prince's Princess</v>
      </c>
      <c r="C254" s="6" t="str">
        <f>IFERROR(__xludf.DUMMYFUNCTION("""COMPUTED_VALUE"""),"Romance")</f>
        <v>Romance</v>
      </c>
      <c r="D254" s="11">
        <f>IFERROR(__xludf.DUMMYFUNCTION("""COMPUTED_VALUE"""),685.0)</f>
        <v>685</v>
      </c>
      <c r="E254" s="8">
        <f>IFERROR(__xludf.DUMMYFUNCTION("""COMPUTED_VALUE"""),0.966423357664233)</f>
        <v>0.9664233577</v>
      </c>
      <c r="F254" s="8">
        <f>IFERROR(__xludf.DUMMYFUNCTION("""COMPUTED_VALUE"""),0.610218978102189)</f>
        <v>0.6102189781</v>
      </c>
      <c r="G254" s="8">
        <f>IFERROR(__xludf.DUMMYFUNCTION("""COMPUTED_VALUE"""),0.556204379562043)</f>
        <v>0.5562043796</v>
      </c>
      <c r="H254" s="8">
        <f>IFERROR(__xludf.DUMMYFUNCTION("""COMPUTED_VALUE"""),0.505882352941176)</f>
        <v>0.5058823529</v>
      </c>
      <c r="I254" s="8">
        <f>IFERROR(__xludf.DUMMYFUNCTION("""COMPUTED_VALUE"""),0.474150664697193)</f>
        <v>0.4741506647</v>
      </c>
      <c r="J254" s="8">
        <f>IFERROR(__xludf.DUMMYFUNCTION("""COMPUTED_VALUE"""),0.460624071322436)</f>
        <v>0.4606240713</v>
      </c>
      <c r="K254" s="8">
        <f>IFERROR(__xludf.DUMMYFUNCTION("""COMPUTED_VALUE"""),0.454954954954954)</f>
        <v>0.454954955</v>
      </c>
      <c r="L254" s="8">
        <f>IFERROR(__xludf.DUMMYFUNCTION("""COMPUTED_VALUE"""),0.431372549019607)</f>
        <v>0.431372549</v>
      </c>
      <c r="M254" s="8">
        <f>IFERROR(__xludf.DUMMYFUNCTION("""COMPUTED_VALUE"""),0.415407854984894)</f>
        <v>0.415407855</v>
      </c>
      <c r="N254" s="8">
        <f>IFERROR(__xludf.DUMMYFUNCTION("""COMPUTED_VALUE"""),0.396656534954407)</f>
        <v>0.396656535</v>
      </c>
      <c r="O254" s="8">
        <f>IFERROR(__xludf.DUMMYFUNCTION("""COMPUTED_VALUE"""),0.378716744913928)</f>
        <v>0.3787167449</v>
      </c>
      <c r="P254" s="8">
        <f>IFERROR(__xludf.DUMMYFUNCTION("""COMPUTED_VALUE"""),0.3232)</f>
        <v>0.3232</v>
      </c>
      <c r="Q254" s="8">
        <f>IFERROR(__xludf.DUMMYFUNCTION("""COMPUTED_VALUE"""),0.249586776859504)</f>
        <v>0.2495867769</v>
      </c>
      <c r="R254" s="8">
        <f>IFERROR(__xludf.DUMMYFUNCTION("""COMPUTED_VALUE"""),0.218018018018018)</f>
        <v>0.218018018</v>
      </c>
      <c r="S254" s="8">
        <f>IFERROR(__xludf.DUMMYFUNCTION("""COMPUTED_VALUE"""),0.101694915254237)</f>
        <v>0.1016949153</v>
      </c>
      <c r="T254" s="8">
        <f>IFERROR(__xludf.DUMMYFUNCTION("""COMPUTED_VALUE"""),0.0)</f>
        <v>0</v>
      </c>
      <c r="U254" s="8">
        <f>IFERROR(__xludf.DUMMYFUNCTION("""COMPUTED_VALUE"""),0.0)</f>
        <v>0</v>
      </c>
      <c r="V254" s="8">
        <f>IFERROR(__xludf.DUMMYFUNCTION("""COMPUTED_VALUE"""),0.0)</f>
        <v>0</v>
      </c>
      <c r="W254" s="8">
        <f>IFERROR(__xludf.DUMMYFUNCTION("""COMPUTED_VALUE"""),0.0)</f>
        <v>0</v>
      </c>
      <c r="X254" s="8">
        <f>IFERROR(__xludf.DUMMYFUNCTION("""COMPUTED_VALUE"""),0.0)</f>
        <v>0</v>
      </c>
      <c r="Y254" s="8">
        <f>IFERROR(__xludf.DUMMYFUNCTION("""COMPUTED_VALUE"""),0.0)</f>
        <v>0</v>
      </c>
      <c r="Z254" s="8">
        <f>IFERROR(__xludf.DUMMYFUNCTION("""COMPUTED_VALUE"""),0.0)</f>
        <v>0</v>
      </c>
      <c r="AA254" s="8">
        <f>IFERROR(__xludf.DUMMYFUNCTION("""COMPUTED_VALUE"""),0.0)</f>
        <v>0</v>
      </c>
      <c r="AB254" s="8">
        <f>IFERROR(__xludf.DUMMYFUNCTION("""COMPUTED_VALUE"""),0.0)</f>
        <v>0</v>
      </c>
      <c r="AC254" s="8">
        <f>IFERROR(__xludf.DUMMYFUNCTION("""COMPUTED_VALUE"""),0.0)</f>
        <v>0</v>
      </c>
    </row>
    <row r="255" ht="15.75" customHeight="1">
      <c r="A255" s="6" t="str">
        <f>IFERROR(__xludf.DUMMYFUNCTION("""COMPUTED_VALUE"""),"e835267a1c9909e759d530cea3d17b5999d86761")</f>
        <v>e835267a1c9909e759d530cea3d17b5999d86761</v>
      </c>
      <c r="B255" s="6" t="str">
        <f>IFERROR(__xludf.DUMMYFUNCTION("""COMPUTED_VALUE"""),"Her Lightness System")</f>
        <v>Her Lightness System</v>
      </c>
      <c r="C255" s="6" t="str">
        <f>IFERROR(__xludf.DUMMYFUNCTION("""COMPUTED_VALUE"""),"System and Superpower")</f>
        <v>System and Superpower</v>
      </c>
      <c r="D255" s="11">
        <f>IFERROR(__xludf.DUMMYFUNCTION("""COMPUTED_VALUE"""),127.0)</f>
        <v>127</v>
      </c>
      <c r="E255" s="8">
        <f>IFERROR(__xludf.DUMMYFUNCTION("""COMPUTED_VALUE"""),0.944881889763779)</f>
        <v>0.9448818898</v>
      </c>
      <c r="F255" s="8">
        <f>IFERROR(__xludf.DUMMYFUNCTION("""COMPUTED_VALUE"""),0.645669291338582)</f>
        <v>0.6456692913</v>
      </c>
      <c r="G255" s="8">
        <f>IFERROR(__xludf.DUMMYFUNCTION("""COMPUTED_VALUE"""),0.622047244094488)</f>
        <v>0.6220472441</v>
      </c>
      <c r="H255" s="8">
        <f>IFERROR(__xludf.DUMMYFUNCTION("""COMPUTED_VALUE"""),0.610169491525423)</f>
        <v>0.6101694915</v>
      </c>
      <c r="I255" s="8">
        <f>IFERROR(__xludf.DUMMYFUNCTION("""COMPUTED_VALUE"""),0.570175438596491)</f>
        <v>0.5701754386</v>
      </c>
      <c r="J255" s="8">
        <f>IFERROR(__xludf.DUMMYFUNCTION("""COMPUTED_VALUE"""),0.514018691588785)</f>
        <v>0.5140186916</v>
      </c>
      <c r="K255" s="8">
        <f>IFERROR(__xludf.DUMMYFUNCTION("""COMPUTED_VALUE"""),0.485981308411214)</f>
        <v>0.4859813084</v>
      </c>
      <c r="L255" s="8">
        <f>IFERROR(__xludf.DUMMYFUNCTION("""COMPUTED_VALUE"""),0.435643564356435)</f>
        <v>0.4356435644</v>
      </c>
      <c r="M255" s="8">
        <f>IFERROR(__xludf.DUMMYFUNCTION("""COMPUTED_VALUE"""),0.387755102040816)</f>
        <v>0.387755102</v>
      </c>
      <c r="N255" s="8">
        <f>IFERROR(__xludf.DUMMYFUNCTION("""COMPUTED_VALUE"""),0.402173913043478)</f>
        <v>0.402173913</v>
      </c>
      <c r="O255" s="8">
        <f>IFERROR(__xludf.DUMMYFUNCTION("""COMPUTED_VALUE"""),0.3875)</f>
        <v>0.3875</v>
      </c>
      <c r="P255" s="8">
        <f>IFERROR(__xludf.DUMMYFUNCTION("""COMPUTED_VALUE"""),0.25)</f>
        <v>0.25</v>
      </c>
      <c r="Q255" s="8">
        <f>IFERROR(__xludf.DUMMYFUNCTION("""COMPUTED_VALUE"""),0.133333333333333)</f>
        <v>0.1333333333</v>
      </c>
      <c r="R255" s="8">
        <f>IFERROR(__xludf.DUMMYFUNCTION("""COMPUTED_VALUE"""),0.0754716981132075)</f>
        <v>0.07547169811</v>
      </c>
      <c r="S255" s="8">
        <f>IFERROR(__xludf.DUMMYFUNCTION("""COMPUTED_VALUE"""),0.0)</f>
        <v>0</v>
      </c>
      <c r="T255" s="8">
        <f>IFERROR(__xludf.DUMMYFUNCTION("""COMPUTED_VALUE"""),0.0)</f>
        <v>0</v>
      </c>
      <c r="U255" s="8">
        <f>IFERROR(__xludf.DUMMYFUNCTION("""COMPUTED_VALUE"""),0.0)</f>
        <v>0</v>
      </c>
      <c r="V255" s="8">
        <f>IFERROR(__xludf.DUMMYFUNCTION("""COMPUTED_VALUE"""),0.0)</f>
        <v>0</v>
      </c>
      <c r="W255" s="8">
        <f>IFERROR(__xludf.DUMMYFUNCTION("""COMPUTED_VALUE"""),0.0)</f>
        <v>0</v>
      </c>
      <c r="X255" s="8">
        <f>IFERROR(__xludf.DUMMYFUNCTION("""COMPUTED_VALUE"""),0.0)</f>
        <v>0</v>
      </c>
      <c r="Y255" s="8">
        <f>IFERROR(__xludf.DUMMYFUNCTION("""COMPUTED_VALUE"""),0.0)</f>
        <v>0</v>
      </c>
      <c r="Z255" s="8">
        <f>IFERROR(__xludf.DUMMYFUNCTION("""COMPUTED_VALUE"""),0.0)</f>
        <v>0</v>
      </c>
      <c r="AA255" s="8">
        <f>IFERROR(__xludf.DUMMYFUNCTION("""COMPUTED_VALUE"""),0.0)</f>
        <v>0</v>
      </c>
      <c r="AB255" s="8">
        <f>IFERROR(__xludf.DUMMYFUNCTION("""COMPUTED_VALUE"""),0.0)</f>
        <v>0</v>
      </c>
      <c r="AC255" s="8">
        <f>IFERROR(__xludf.DUMMYFUNCTION("""COMPUTED_VALUE"""),0.0)</f>
        <v>0</v>
      </c>
    </row>
    <row r="256" ht="15.75" customHeight="1">
      <c r="A256" s="6" t="str">
        <f>IFERROR(__xludf.DUMMYFUNCTION("""COMPUTED_VALUE"""),"e83bb9290a73242b13db9a4453b23f1b0ca9fed0")</f>
        <v>e83bb9290a73242b13db9a4453b23f1b0ca9fed0</v>
      </c>
      <c r="B256" s="6" t="str">
        <f>IFERROR(__xludf.DUMMYFUNCTION("""COMPUTED_VALUE"""),"The Baby He Denied")</f>
        <v>The Baby He Denied</v>
      </c>
      <c r="C256" s="6" t="str">
        <f>IFERROR(__xludf.DUMMYFUNCTION("""COMPUTED_VALUE"""),"Romance")</f>
        <v>Romance</v>
      </c>
      <c r="D256" s="11">
        <f>IFERROR(__xludf.DUMMYFUNCTION("""COMPUTED_VALUE"""),1355.0)</f>
        <v>1355</v>
      </c>
      <c r="E256" s="8">
        <f>IFERROR(__xludf.DUMMYFUNCTION("""COMPUTED_VALUE"""),0.965313653136531)</f>
        <v>0.9653136531</v>
      </c>
      <c r="F256" s="8">
        <f>IFERROR(__xludf.DUMMYFUNCTION("""COMPUTED_VALUE"""),0.761623616236162)</f>
        <v>0.7616236162</v>
      </c>
      <c r="G256" s="8">
        <f>IFERROR(__xludf.DUMMYFUNCTION("""COMPUTED_VALUE"""),0.696678966789667)</f>
        <v>0.6966789668</v>
      </c>
      <c r="H256" s="8">
        <f>IFERROR(__xludf.DUMMYFUNCTION("""COMPUTED_VALUE"""),0.628508124076809)</f>
        <v>0.6285081241</v>
      </c>
      <c r="I256" s="8">
        <f>IFERROR(__xludf.DUMMYFUNCTION("""COMPUTED_VALUE"""),0.62010347376201)</f>
        <v>0.6201034738</v>
      </c>
      <c r="J256" s="8">
        <f>IFERROR(__xludf.DUMMYFUNCTION("""COMPUTED_VALUE"""),0.578713968957871)</f>
        <v>0.578713969</v>
      </c>
      <c r="K256" s="8">
        <f>IFERROR(__xludf.DUMMYFUNCTION("""COMPUTED_VALUE"""),0.524796447076239)</f>
        <v>0.5247964471</v>
      </c>
      <c r="L256" s="8">
        <f>IFERROR(__xludf.DUMMYFUNCTION("""COMPUTED_VALUE"""),0.479259259259259)</f>
        <v>0.4792592593</v>
      </c>
      <c r="M256" s="8">
        <f>IFERROR(__xludf.DUMMYFUNCTION("""COMPUTED_VALUE"""),0.459599703484062)</f>
        <v>0.4595997035</v>
      </c>
      <c r="N256" s="8">
        <f>IFERROR(__xludf.DUMMYFUNCTION("""COMPUTED_VALUE"""),0.425816023738872)</f>
        <v>0.4258160237</v>
      </c>
      <c r="O256" s="8">
        <f>IFERROR(__xludf.DUMMYFUNCTION("""COMPUTED_VALUE"""),0.353823088455772)</f>
        <v>0.3538230885</v>
      </c>
      <c r="P256" s="8">
        <f>IFERROR(__xludf.DUMMYFUNCTION("""COMPUTED_VALUE"""),0.28875110717449)</f>
        <v>0.2887511072</v>
      </c>
      <c r="Q256" s="8">
        <f>IFERROR(__xludf.DUMMYFUNCTION("""COMPUTED_VALUE"""),0.129729729729729)</f>
        <v>0.1297297297</v>
      </c>
      <c r="R256" s="8">
        <f>IFERROR(__xludf.DUMMYFUNCTION("""COMPUTED_VALUE"""),0.0727272727272727)</f>
        <v>0.07272727273</v>
      </c>
      <c r="S256" s="8">
        <f>IFERROR(__xludf.DUMMYFUNCTION("""COMPUTED_VALUE"""),0.1)</f>
        <v>0.1</v>
      </c>
      <c r="T256" s="8">
        <f>IFERROR(__xludf.DUMMYFUNCTION("""COMPUTED_VALUE"""),0.166666666666666)</f>
        <v>0.1666666667</v>
      </c>
      <c r="U256" s="8">
        <f>IFERROR(__xludf.DUMMYFUNCTION("""COMPUTED_VALUE"""),0.0)</f>
        <v>0</v>
      </c>
      <c r="V256" s="8">
        <f>IFERROR(__xludf.DUMMYFUNCTION("""COMPUTED_VALUE"""),0.0)</f>
        <v>0</v>
      </c>
      <c r="W256" s="8">
        <f>IFERROR(__xludf.DUMMYFUNCTION("""COMPUTED_VALUE"""),0.0)</f>
        <v>0</v>
      </c>
      <c r="X256" s="8">
        <f>IFERROR(__xludf.DUMMYFUNCTION("""COMPUTED_VALUE"""),0.0)</f>
        <v>0</v>
      </c>
      <c r="Y256" s="8">
        <f>IFERROR(__xludf.DUMMYFUNCTION("""COMPUTED_VALUE"""),0.0)</f>
        <v>0</v>
      </c>
      <c r="Z256" s="8">
        <f>IFERROR(__xludf.DUMMYFUNCTION("""COMPUTED_VALUE"""),0.0)</f>
        <v>0</v>
      </c>
      <c r="AA256" s="8">
        <f>IFERROR(__xludf.DUMMYFUNCTION("""COMPUTED_VALUE"""),0.0)</f>
        <v>0</v>
      </c>
      <c r="AB256" s="8">
        <f>IFERROR(__xludf.DUMMYFUNCTION("""COMPUTED_VALUE"""),0.0)</f>
        <v>0</v>
      </c>
      <c r="AC256" s="8">
        <f>IFERROR(__xludf.DUMMYFUNCTION("""COMPUTED_VALUE"""),0.0)</f>
        <v>0</v>
      </c>
    </row>
    <row r="257" ht="15.75" customHeight="1">
      <c r="A257" s="6" t="str">
        <f>IFERROR(__xludf.DUMMYFUNCTION("""COMPUTED_VALUE"""),"e8df3cfef87feac45c4c024f9cbd7254cfc15952")</f>
        <v>e8df3cfef87feac45c4c024f9cbd7254cfc15952</v>
      </c>
      <c r="B257" s="6" t="str">
        <f>IFERROR(__xludf.DUMMYFUNCTION("""COMPUTED_VALUE"""),"Between Wolves and Lies")</f>
        <v>Between Wolves and Lies</v>
      </c>
      <c r="C257" s="6" t="str">
        <f>IFERROR(__xludf.DUMMYFUNCTION("""COMPUTED_VALUE"""),"Romantasy")</f>
        <v>Romantasy</v>
      </c>
      <c r="D257" s="11">
        <f>IFERROR(__xludf.DUMMYFUNCTION("""COMPUTED_VALUE"""),456.0)</f>
        <v>456</v>
      </c>
      <c r="E257" s="8">
        <f>IFERROR(__xludf.DUMMYFUNCTION("""COMPUTED_VALUE"""),0.984649122807017)</f>
        <v>0.9846491228</v>
      </c>
      <c r="F257" s="8">
        <f>IFERROR(__xludf.DUMMYFUNCTION("""COMPUTED_VALUE"""),0.552631578947368)</f>
        <v>0.5526315789</v>
      </c>
      <c r="G257" s="8">
        <f>IFERROR(__xludf.DUMMYFUNCTION("""COMPUTED_VALUE"""),0.469298245614035)</f>
        <v>0.4692982456</v>
      </c>
      <c r="H257" s="8">
        <f>IFERROR(__xludf.DUMMYFUNCTION("""COMPUTED_VALUE"""),0.410087719298245)</f>
        <v>0.4100877193</v>
      </c>
      <c r="I257" s="8">
        <f>IFERROR(__xludf.DUMMYFUNCTION("""COMPUTED_VALUE"""),0.359649122807017)</f>
        <v>0.3596491228</v>
      </c>
      <c r="J257" s="8">
        <f>IFERROR(__xludf.DUMMYFUNCTION("""COMPUTED_VALUE"""),0.337719298245614)</f>
        <v>0.3377192982</v>
      </c>
      <c r="K257" s="8">
        <f>IFERROR(__xludf.DUMMYFUNCTION("""COMPUTED_VALUE"""),0.309890109890109)</f>
        <v>0.3098901099</v>
      </c>
      <c r="L257" s="8">
        <f>IFERROR(__xludf.DUMMYFUNCTION("""COMPUTED_VALUE"""),0.279120879120879)</f>
        <v>0.2791208791</v>
      </c>
      <c r="M257" s="8">
        <f>IFERROR(__xludf.DUMMYFUNCTION("""COMPUTED_VALUE"""),0.261538461538461)</f>
        <v>0.2615384615</v>
      </c>
      <c r="N257" s="8">
        <f>IFERROR(__xludf.DUMMYFUNCTION("""COMPUTED_VALUE"""),0.232967032967032)</f>
        <v>0.232967033</v>
      </c>
      <c r="O257" s="8">
        <f>IFERROR(__xludf.DUMMYFUNCTION("""COMPUTED_VALUE"""),0.156387665198237)</f>
        <v>0.1563876652</v>
      </c>
      <c r="P257" s="8">
        <f>IFERROR(__xludf.DUMMYFUNCTION("""COMPUTED_VALUE"""),0.0665188470066518)</f>
        <v>0.06651884701</v>
      </c>
      <c r="Q257" s="8">
        <f>IFERROR(__xludf.DUMMYFUNCTION("""COMPUTED_VALUE"""),0.0306406685236768)</f>
        <v>0.03064066852</v>
      </c>
      <c r="R257" s="8">
        <f>IFERROR(__xludf.DUMMYFUNCTION("""COMPUTED_VALUE"""),0.00833333333333333)</f>
        <v>0.008333333333</v>
      </c>
      <c r="S257" s="8">
        <f>IFERROR(__xludf.DUMMYFUNCTION("""COMPUTED_VALUE"""),0.0)</f>
        <v>0</v>
      </c>
      <c r="T257" s="8">
        <f>IFERROR(__xludf.DUMMYFUNCTION("""COMPUTED_VALUE"""),0.0)</f>
        <v>0</v>
      </c>
      <c r="U257" s="8">
        <f>IFERROR(__xludf.DUMMYFUNCTION("""COMPUTED_VALUE"""),0.0)</f>
        <v>0</v>
      </c>
      <c r="V257" s="8">
        <f>IFERROR(__xludf.DUMMYFUNCTION("""COMPUTED_VALUE"""),0.0)</f>
        <v>0</v>
      </c>
      <c r="W257" s="8">
        <f>IFERROR(__xludf.DUMMYFUNCTION("""COMPUTED_VALUE"""),0.0)</f>
        <v>0</v>
      </c>
      <c r="X257" s="8">
        <f>IFERROR(__xludf.DUMMYFUNCTION("""COMPUTED_VALUE"""),0.0)</f>
        <v>0</v>
      </c>
      <c r="Y257" s="8">
        <f>IFERROR(__xludf.DUMMYFUNCTION("""COMPUTED_VALUE"""),0.0)</f>
        <v>0</v>
      </c>
      <c r="Z257" s="8">
        <f>IFERROR(__xludf.DUMMYFUNCTION("""COMPUTED_VALUE"""),0.0)</f>
        <v>0</v>
      </c>
      <c r="AA257" s="8">
        <f>IFERROR(__xludf.DUMMYFUNCTION("""COMPUTED_VALUE"""),0.0)</f>
        <v>0</v>
      </c>
      <c r="AB257" s="8">
        <f>IFERROR(__xludf.DUMMYFUNCTION("""COMPUTED_VALUE"""),0.0)</f>
        <v>0</v>
      </c>
      <c r="AC257" s="8">
        <f>IFERROR(__xludf.DUMMYFUNCTION("""COMPUTED_VALUE"""),0.0)</f>
        <v>0</v>
      </c>
    </row>
    <row r="258" ht="15.75" customHeight="1">
      <c r="A258" s="6" t="str">
        <f>IFERROR(__xludf.DUMMYFUNCTION("""COMPUTED_VALUE"""),"ed37d82285cfdcacdd3008ef7825d877fd575b57")</f>
        <v>ed37d82285cfdcacdd3008ef7825d877fd575b57</v>
      </c>
      <c r="B258" s="6" t="str">
        <f>IFERROR(__xludf.DUMMYFUNCTION("""COMPUTED_VALUE"""),"Charade")</f>
        <v>Charade</v>
      </c>
      <c r="C258" s="6" t="str">
        <f>IFERROR(__xludf.DUMMYFUNCTION("""COMPUTED_VALUE"""),"Fantasy")</f>
        <v>Fantasy</v>
      </c>
      <c r="D258" s="11">
        <f>IFERROR(__xludf.DUMMYFUNCTION("""COMPUTED_VALUE"""),8.0)</f>
        <v>8</v>
      </c>
      <c r="E258" s="8">
        <f>IFERROR(__xludf.DUMMYFUNCTION("""COMPUTED_VALUE"""),1.0)</f>
        <v>1</v>
      </c>
      <c r="F258" s="8">
        <f>IFERROR(__xludf.DUMMYFUNCTION("""COMPUTED_VALUE"""),0.25)</f>
        <v>0.25</v>
      </c>
      <c r="G258" s="8">
        <f>IFERROR(__xludf.DUMMYFUNCTION("""COMPUTED_VALUE"""),0.25)</f>
        <v>0.25</v>
      </c>
      <c r="H258" s="8">
        <f>IFERROR(__xludf.DUMMYFUNCTION("""COMPUTED_VALUE"""),0.25)</f>
        <v>0.25</v>
      </c>
      <c r="I258" s="8">
        <f>IFERROR(__xludf.DUMMYFUNCTION("""COMPUTED_VALUE"""),0.25)</f>
        <v>0.25</v>
      </c>
      <c r="J258" s="8">
        <f>IFERROR(__xludf.DUMMYFUNCTION("""COMPUTED_VALUE"""),0.25)</f>
        <v>0.25</v>
      </c>
      <c r="K258" s="8">
        <f>IFERROR(__xludf.DUMMYFUNCTION("""COMPUTED_VALUE"""),0.25)</f>
        <v>0.25</v>
      </c>
      <c r="L258" s="8">
        <f>IFERROR(__xludf.DUMMYFUNCTION("""COMPUTED_VALUE"""),0.125)</f>
        <v>0.125</v>
      </c>
      <c r="M258" s="8">
        <f>IFERROR(__xludf.DUMMYFUNCTION("""COMPUTED_VALUE"""),0.125)</f>
        <v>0.125</v>
      </c>
      <c r="N258" s="8">
        <f>IFERROR(__xludf.DUMMYFUNCTION("""COMPUTED_VALUE"""),0.142857142857142)</f>
        <v>0.1428571429</v>
      </c>
      <c r="O258" s="8">
        <f>IFERROR(__xludf.DUMMYFUNCTION("""COMPUTED_VALUE"""),0.142857142857142)</f>
        <v>0.1428571429</v>
      </c>
      <c r="P258" s="8">
        <f>IFERROR(__xludf.DUMMYFUNCTION("""COMPUTED_VALUE"""),0.0)</f>
        <v>0</v>
      </c>
      <c r="Q258" s="8">
        <f>IFERROR(__xludf.DUMMYFUNCTION("""COMPUTED_VALUE"""),0.0)</f>
        <v>0</v>
      </c>
      <c r="R258" s="8">
        <f>IFERROR(__xludf.DUMMYFUNCTION("""COMPUTED_VALUE"""),0.0)</f>
        <v>0</v>
      </c>
      <c r="S258" s="8">
        <f>IFERROR(__xludf.DUMMYFUNCTION("""COMPUTED_VALUE"""),0.0)</f>
        <v>0</v>
      </c>
      <c r="T258" s="8">
        <f>IFERROR(__xludf.DUMMYFUNCTION("""COMPUTED_VALUE"""),0.0)</f>
        <v>0</v>
      </c>
      <c r="U258" s="8">
        <f>IFERROR(__xludf.DUMMYFUNCTION("""COMPUTED_VALUE"""),0.0)</f>
        <v>0</v>
      </c>
      <c r="V258" s="8">
        <f>IFERROR(__xludf.DUMMYFUNCTION("""COMPUTED_VALUE"""),0.0)</f>
        <v>0</v>
      </c>
      <c r="W258" s="8">
        <f>IFERROR(__xludf.DUMMYFUNCTION("""COMPUTED_VALUE"""),0.0)</f>
        <v>0</v>
      </c>
      <c r="X258" s="8">
        <f>IFERROR(__xludf.DUMMYFUNCTION("""COMPUTED_VALUE"""),0.0)</f>
        <v>0</v>
      </c>
      <c r="Y258" s="8">
        <f>IFERROR(__xludf.DUMMYFUNCTION("""COMPUTED_VALUE"""),0.0)</f>
        <v>0</v>
      </c>
      <c r="Z258" s="8">
        <f>IFERROR(__xludf.DUMMYFUNCTION("""COMPUTED_VALUE"""),0.0)</f>
        <v>0</v>
      </c>
      <c r="AA258" s="8">
        <f>IFERROR(__xludf.DUMMYFUNCTION("""COMPUTED_VALUE"""),0.0)</f>
        <v>0</v>
      </c>
      <c r="AB258" s="8">
        <f>IFERROR(__xludf.DUMMYFUNCTION("""COMPUTED_VALUE"""),0.0)</f>
        <v>0</v>
      </c>
      <c r="AC258" s="8">
        <f>IFERROR(__xludf.DUMMYFUNCTION("""COMPUTED_VALUE"""),0.0)</f>
        <v>0</v>
      </c>
    </row>
    <row r="259" ht="15.75" customHeight="1">
      <c r="A259" s="6" t="str">
        <f>IFERROR(__xludf.DUMMYFUNCTION("""COMPUTED_VALUE"""),"ee2e216e3dceba69118e501b055c3b7b9a0335a3")</f>
        <v>ee2e216e3dceba69118e501b055c3b7b9a0335a3</v>
      </c>
      <c r="B259" s="6" t="str">
        <f>IFERROR(__xludf.DUMMYFUNCTION("""COMPUTED_VALUE"""),"Kyan's System Awakening")</f>
        <v>Kyan's System Awakening</v>
      </c>
      <c r="C259" s="6" t="str">
        <f>IFERROR(__xludf.DUMMYFUNCTION("""COMPUTED_VALUE"""),"Fantasy")</f>
        <v>Fantasy</v>
      </c>
      <c r="D259" s="11">
        <f>IFERROR(__xludf.DUMMYFUNCTION("""COMPUTED_VALUE"""),305.0)</f>
        <v>305</v>
      </c>
      <c r="E259" s="8">
        <f>IFERROR(__xludf.DUMMYFUNCTION("""COMPUTED_VALUE"""),0.960655737704918)</f>
        <v>0.9606557377</v>
      </c>
      <c r="F259" s="8">
        <f>IFERROR(__xludf.DUMMYFUNCTION("""COMPUTED_VALUE"""),0.60655737704918)</f>
        <v>0.606557377</v>
      </c>
      <c r="G259" s="8">
        <f>IFERROR(__xludf.DUMMYFUNCTION("""COMPUTED_VALUE"""),0.547540983606557)</f>
        <v>0.5475409836</v>
      </c>
      <c r="H259" s="8">
        <f>IFERROR(__xludf.DUMMYFUNCTION("""COMPUTED_VALUE"""),0.536666666666666)</f>
        <v>0.5366666667</v>
      </c>
      <c r="I259" s="8">
        <f>IFERROR(__xludf.DUMMYFUNCTION("""COMPUTED_VALUE"""),0.513513513513513)</f>
        <v>0.5135135135</v>
      </c>
      <c r="J259" s="8">
        <f>IFERROR(__xludf.DUMMYFUNCTION("""COMPUTED_VALUE"""),0.5)</f>
        <v>0.5</v>
      </c>
      <c r="K259" s="8">
        <f>IFERROR(__xludf.DUMMYFUNCTION("""COMPUTED_VALUE"""),0.464163822525597)</f>
        <v>0.4641638225</v>
      </c>
      <c r="L259" s="8">
        <f>IFERROR(__xludf.DUMMYFUNCTION("""COMPUTED_VALUE"""),0.44636678200692)</f>
        <v>0.446366782</v>
      </c>
      <c r="M259" s="8">
        <f>IFERROR(__xludf.DUMMYFUNCTION("""COMPUTED_VALUE"""),0.43598615916955)</f>
        <v>0.4359861592</v>
      </c>
      <c r="N259" s="8">
        <f>IFERROR(__xludf.DUMMYFUNCTION("""COMPUTED_VALUE"""),0.416961130742049)</f>
        <v>0.4169611307</v>
      </c>
      <c r="O259" s="8">
        <f>IFERROR(__xludf.DUMMYFUNCTION("""COMPUTED_VALUE"""),0.393129770992366)</f>
        <v>0.393129771</v>
      </c>
      <c r="P259" s="8">
        <f>IFERROR(__xludf.DUMMYFUNCTION("""COMPUTED_VALUE"""),0.275229357798165)</f>
        <v>0.2752293578</v>
      </c>
      <c r="Q259" s="8">
        <f>IFERROR(__xludf.DUMMYFUNCTION("""COMPUTED_VALUE"""),0.175757575757575)</f>
        <v>0.1757575758</v>
      </c>
      <c r="R259" s="8">
        <f>IFERROR(__xludf.DUMMYFUNCTION("""COMPUTED_VALUE"""),0.102564102564102)</f>
        <v>0.1025641026</v>
      </c>
      <c r="S259" s="8">
        <f>IFERROR(__xludf.DUMMYFUNCTION("""COMPUTED_VALUE"""),0.0555555555555555)</f>
        <v>0.05555555556</v>
      </c>
      <c r="T259" s="8">
        <f>IFERROR(__xludf.DUMMYFUNCTION("""COMPUTED_VALUE"""),0.04)</f>
        <v>0.04</v>
      </c>
      <c r="U259" s="8">
        <f>IFERROR(__xludf.DUMMYFUNCTION("""COMPUTED_VALUE"""),0.0)</f>
        <v>0</v>
      </c>
      <c r="V259" s="8">
        <f>IFERROR(__xludf.DUMMYFUNCTION("""COMPUTED_VALUE"""),0.0)</f>
        <v>0</v>
      </c>
      <c r="W259" s="8">
        <f>IFERROR(__xludf.DUMMYFUNCTION("""COMPUTED_VALUE"""),0.0)</f>
        <v>0</v>
      </c>
      <c r="X259" s="8">
        <f>IFERROR(__xludf.DUMMYFUNCTION("""COMPUTED_VALUE"""),0.0)</f>
        <v>0</v>
      </c>
      <c r="Y259" s="8">
        <f>IFERROR(__xludf.DUMMYFUNCTION("""COMPUTED_VALUE"""),0.0)</f>
        <v>0</v>
      </c>
      <c r="Z259" s="8">
        <f>IFERROR(__xludf.DUMMYFUNCTION("""COMPUTED_VALUE"""),0.0)</f>
        <v>0</v>
      </c>
      <c r="AA259" s="8">
        <f>IFERROR(__xludf.DUMMYFUNCTION("""COMPUTED_VALUE"""),0.0)</f>
        <v>0</v>
      </c>
      <c r="AB259" s="8">
        <f>IFERROR(__xludf.DUMMYFUNCTION("""COMPUTED_VALUE"""),0.0)</f>
        <v>0</v>
      </c>
      <c r="AC259" s="8">
        <f>IFERROR(__xludf.DUMMYFUNCTION("""COMPUTED_VALUE"""),0.0)</f>
        <v>0</v>
      </c>
    </row>
    <row r="260" ht="15.75" customHeight="1">
      <c r="A260" s="6" t="str">
        <f>IFERROR(__xludf.DUMMYFUNCTION("""COMPUTED_VALUE"""),"ef47552b570f8fc4cc243b88fae469ea12c31df0")</f>
        <v>ef47552b570f8fc4cc243b88fae469ea12c31df0</v>
      </c>
      <c r="B260" s="6" t="str">
        <f>IFERROR(__xludf.DUMMYFUNCTION("""COMPUTED_VALUE"""),"Mated to Enemy’s Luna")</f>
        <v>Mated to Enemy’s Luna</v>
      </c>
      <c r="C260" s="6" t="str">
        <f>IFERROR(__xludf.DUMMYFUNCTION("""COMPUTED_VALUE"""),"Romantasy")</f>
        <v>Romantasy</v>
      </c>
      <c r="D260" s="11">
        <f>IFERROR(__xludf.DUMMYFUNCTION("""COMPUTED_VALUE"""),136.0)</f>
        <v>136</v>
      </c>
      <c r="E260" s="8">
        <f>IFERROR(__xludf.DUMMYFUNCTION("""COMPUTED_VALUE"""),0.955882352941176)</f>
        <v>0.9558823529</v>
      </c>
      <c r="F260" s="8">
        <f>IFERROR(__xludf.DUMMYFUNCTION("""COMPUTED_VALUE"""),0.705882352941176)</f>
        <v>0.7058823529</v>
      </c>
      <c r="G260" s="8">
        <f>IFERROR(__xludf.DUMMYFUNCTION("""COMPUTED_VALUE"""),0.63235294117647)</f>
        <v>0.6323529412</v>
      </c>
      <c r="H260" s="8">
        <f>IFERROR(__xludf.DUMMYFUNCTION("""COMPUTED_VALUE"""),0.639705882352941)</f>
        <v>0.6397058824</v>
      </c>
      <c r="I260" s="8">
        <f>IFERROR(__xludf.DUMMYFUNCTION("""COMPUTED_VALUE"""),0.580882352941176)</f>
        <v>0.5808823529</v>
      </c>
      <c r="J260" s="8">
        <f>IFERROR(__xludf.DUMMYFUNCTION("""COMPUTED_VALUE"""),0.511111111111111)</f>
        <v>0.5111111111</v>
      </c>
      <c r="K260" s="8">
        <f>IFERROR(__xludf.DUMMYFUNCTION("""COMPUTED_VALUE"""),0.481481481481481)</f>
        <v>0.4814814815</v>
      </c>
      <c r="L260" s="8">
        <f>IFERROR(__xludf.DUMMYFUNCTION("""COMPUTED_VALUE"""),0.496296296296296)</f>
        <v>0.4962962963</v>
      </c>
      <c r="M260" s="8">
        <f>IFERROR(__xludf.DUMMYFUNCTION("""COMPUTED_VALUE"""),0.503703703703703)</f>
        <v>0.5037037037</v>
      </c>
      <c r="N260" s="8">
        <f>IFERROR(__xludf.DUMMYFUNCTION("""COMPUTED_VALUE"""),0.496296296296296)</f>
        <v>0.4962962963</v>
      </c>
      <c r="O260" s="8">
        <f>IFERROR(__xludf.DUMMYFUNCTION("""COMPUTED_VALUE"""),0.424242424242424)</f>
        <v>0.4242424242</v>
      </c>
      <c r="P260" s="8">
        <f>IFERROR(__xludf.DUMMYFUNCTION("""COMPUTED_VALUE"""),0.272727272727272)</f>
        <v>0.2727272727</v>
      </c>
      <c r="Q260" s="8">
        <f>IFERROR(__xludf.DUMMYFUNCTION("""COMPUTED_VALUE"""),0.0789473684210526)</f>
        <v>0.07894736842</v>
      </c>
      <c r="R260" s="8">
        <f>IFERROR(__xludf.DUMMYFUNCTION("""COMPUTED_VALUE"""),0.102803738317757)</f>
        <v>0.1028037383</v>
      </c>
      <c r="S260" s="8">
        <f>IFERROR(__xludf.DUMMYFUNCTION("""COMPUTED_VALUE"""),0.0217391304347826)</f>
        <v>0.02173913043</v>
      </c>
      <c r="T260" s="8">
        <f>IFERROR(__xludf.DUMMYFUNCTION("""COMPUTED_VALUE"""),0.0227272727272727)</f>
        <v>0.02272727273</v>
      </c>
      <c r="U260" s="8">
        <f>IFERROR(__xludf.DUMMYFUNCTION("""COMPUTED_VALUE"""),0.0)</f>
        <v>0</v>
      </c>
      <c r="V260" s="8">
        <f>IFERROR(__xludf.DUMMYFUNCTION("""COMPUTED_VALUE"""),0.0)</f>
        <v>0</v>
      </c>
      <c r="W260" s="8">
        <f>IFERROR(__xludf.DUMMYFUNCTION("""COMPUTED_VALUE"""),0.0)</f>
        <v>0</v>
      </c>
      <c r="X260" s="8">
        <f>IFERROR(__xludf.DUMMYFUNCTION("""COMPUTED_VALUE"""),0.0)</f>
        <v>0</v>
      </c>
      <c r="Y260" s="8">
        <f>IFERROR(__xludf.DUMMYFUNCTION("""COMPUTED_VALUE"""),0.0)</f>
        <v>0</v>
      </c>
      <c r="Z260" s="8">
        <f>IFERROR(__xludf.DUMMYFUNCTION("""COMPUTED_VALUE"""),0.0)</f>
        <v>0</v>
      </c>
      <c r="AA260" s="8">
        <f>IFERROR(__xludf.DUMMYFUNCTION("""COMPUTED_VALUE"""),0.0)</f>
        <v>0</v>
      </c>
      <c r="AB260" s="8">
        <f>IFERROR(__xludf.DUMMYFUNCTION("""COMPUTED_VALUE"""),0.0)</f>
        <v>0</v>
      </c>
      <c r="AC260" s="8">
        <f>IFERROR(__xludf.DUMMYFUNCTION("""COMPUTED_VALUE"""),0.0)</f>
        <v>0</v>
      </c>
    </row>
    <row r="261" ht="15.75" customHeight="1">
      <c r="A261" s="6" t="str">
        <f>IFERROR(__xludf.DUMMYFUNCTION("""COMPUTED_VALUE"""),"efc5ab9117a97ffce6537344dcb0416ed5ff0dc1")</f>
        <v>efc5ab9117a97ffce6537344dcb0416ed5ff0dc1</v>
      </c>
      <c r="B261" s="6" t="str">
        <f>IFERROR(__xludf.DUMMYFUNCTION("""COMPUTED_VALUE"""),"Imperial Clan Descends")</f>
        <v>Imperial Clan Descends</v>
      </c>
      <c r="C261" s="6" t="str">
        <f>IFERROR(__xludf.DUMMYFUNCTION("""COMPUTED_VALUE"""),"Drama")</f>
        <v>Drama</v>
      </c>
      <c r="D261" s="11">
        <f>IFERROR(__xludf.DUMMYFUNCTION("""COMPUTED_VALUE"""),15.0)</f>
        <v>15</v>
      </c>
      <c r="E261" s="8">
        <f>IFERROR(__xludf.DUMMYFUNCTION("""COMPUTED_VALUE"""),1.0)</f>
        <v>1</v>
      </c>
      <c r="F261" s="8">
        <f>IFERROR(__xludf.DUMMYFUNCTION("""COMPUTED_VALUE"""),0.533333333333333)</f>
        <v>0.5333333333</v>
      </c>
      <c r="G261" s="8">
        <f>IFERROR(__xludf.DUMMYFUNCTION("""COMPUTED_VALUE"""),0.333333333333333)</f>
        <v>0.3333333333</v>
      </c>
      <c r="H261" s="8">
        <f>IFERROR(__xludf.DUMMYFUNCTION("""COMPUTED_VALUE"""),0.285714285714285)</f>
        <v>0.2857142857</v>
      </c>
      <c r="I261" s="8">
        <f>IFERROR(__xludf.DUMMYFUNCTION("""COMPUTED_VALUE"""),0.23076923076923)</f>
        <v>0.2307692308</v>
      </c>
      <c r="J261" s="8">
        <f>IFERROR(__xludf.DUMMYFUNCTION("""COMPUTED_VALUE"""),0.181818181818181)</f>
        <v>0.1818181818</v>
      </c>
      <c r="K261" s="8">
        <f>IFERROR(__xludf.DUMMYFUNCTION("""COMPUTED_VALUE"""),0.0909090909090909)</f>
        <v>0.09090909091</v>
      </c>
      <c r="L261" s="8">
        <f>IFERROR(__xludf.DUMMYFUNCTION("""COMPUTED_VALUE"""),0.111111111111111)</f>
        <v>0.1111111111</v>
      </c>
      <c r="M261" s="8">
        <f>IFERROR(__xludf.DUMMYFUNCTION("""COMPUTED_VALUE"""),0.111111111111111)</f>
        <v>0.1111111111</v>
      </c>
      <c r="N261" s="8">
        <f>IFERROR(__xludf.DUMMYFUNCTION("""COMPUTED_VALUE"""),0.111111111111111)</f>
        <v>0.1111111111</v>
      </c>
      <c r="O261" s="8">
        <f>IFERROR(__xludf.DUMMYFUNCTION("""COMPUTED_VALUE"""),0.0)</f>
        <v>0</v>
      </c>
      <c r="P261" s="8">
        <f>IFERROR(__xludf.DUMMYFUNCTION("""COMPUTED_VALUE"""),0.0)</f>
        <v>0</v>
      </c>
      <c r="Q261" s="8">
        <f>IFERROR(__xludf.DUMMYFUNCTION("""COMPUTED_VALUE"""),0.0)</f>
        <v>0</v>
      </c>
      <c r="R261" s="8">
        <f>IFERROR(__xludf.DUMMYFUNCTION("""COMPUTED_VALUE"""),0.0)</f>
        <v>0</v>
      </c>
      <c r="S261" s="8">
        <f>IFERROR(__xludf.DUMMYFUNCTION("""COMPUTED_VALUE"""),0.0)</f>
        <v>0</v>
      </c>
      <c r="T261" s="8">
        <f>IFERROR(__xludf.DUMMYFUNCTION("""COMPUTED_VALUE"""),0.0)</f>
        <v>0</v>
      </c>
      <c r="U261" s="8">
        <f>IFERROR(__xludf.DUMMYFUNCTION("""COMPUTED_VALUE"""),0.0)</f>
        <v>0</v>
      </c>
      <c r="V261" s="8">
        <f>IFERROR(__xludf.DUMMYFUNCTION("""COMPUTED_VALUE"""),0.0)</f>
        <v>0</v>
      </c>
      <c r="W261" s="8">
        <f>IFERROR(__xludf.DUMMYFUNCTION("""COMPUTED_VALUE"""),0.0)</f>
        <v>0</v>
      </c>
      <c r="X261" s="8">
        <f>IFERROR(__xludf.DUMMYFUNCTION("""COMPUTED_VALUE"""),0.0)</f>
        <v>0</v>
      </c>
      <c r="Y261" s="8">
        <f>IFERROR(__xludf.DUMMYFUNCTION("""COMPUTED_VALUE"""),0.0)</f>
        <v>0</v>
      </c>
      <c r="Z261" s="8">
        <f>IFERROR(__xludf.DUMMYFUNCTION("""COMPUTED_VALUE"""),0.0)</f>
        <v>0</v>
      </c>
      <c r="AA261" s="8">
        <f>IFERROR(__xludf.DUMMYFUNCTION("""COMPUTED_VALUE"""),0.0)</f>
        <v>0</v>
      </c>
      <c r="AB261" s="8">
        <f>IFERROR(__xludf.DUMMYFUNCTION("""COMPUTED_VALUE"""),0.0)</f>
        <v>0</v>
      </c>
      <c r="AC261" s="8">
        <f>IFERROR(__xludf.DUMMYFUNCTION("""COMPUTED_VALUE"""),0.0)</f>
        <v>0</v>
      </c>
    </row>
    <row r="262" ht="15.75" customHeight="1">
      <c r="A262" s="6" t="str">
        <f>IFERROR(__xludf.DUMMYFUNCTION("""COMPUTED_VALUE"""),"f06451dc56081680609a77b52825c3da76e8ae66")</f>
        <v>f06451dc56081680609a77b52825c3da76e8ae66</v>
      </c>
      <c r="B262" s="6" t="str">
        <f>IFERROR(__xludf.DUMMYFUNCTION("""COMPUTED_VALUE"""),"Her Exit, His Regret")</f>
        <v>Her Exit, His Regret</v>
      </c>
      <c r="C262" s="6" t="str">
        <f>IFERROR(__xludf.DUMMYFUNCTION("""COMPUTED_VALUE"""),"Romance")</f>
        <v>Romance</v>
      </c>
      <c r="D262" s="11">
        <f>IFERROR(__xludf.DUMMYFUNCTION("""COMPUTED_VALUE"""),665.0)</f>
        <v>665</v>
      </c>
      <c r="E262" s="8">
        <f>IFERROR(__xludf.DUMMYFUNCTION("""COMPUTED_VALUE"""),0.96390977443609)</f>
        <v>0.9639097744</v>
      </c>
      <c r="F262" s="8">
        <f>IFERROR(__xludf.DUMMYFUNCTION("""COMPUTED_VALUE"""),0.642105263157894)</f>
        <v>0.6421052632</v>
      </c>
      <c r="G262" s="8">
        <f>IFERROR(__xludf.DUMMYFUNCTION("""COMPUTED_VALUE"""),0.554887218045112)</f>
        <v>0.554887218</v>
      </c>
      <c r="H262" s="8">
        <f>IFERROR(__xludf.DUMMYFUNCTION("""COMPUTED_VALUE"""),0.478195488721804)</f>
        <v>0.4781954887</v>
      </c>
      <c r="I262" s="8">
        <f>IFERROR(__xludf.DUMMYFUNCTION("""COMPUTED_VALUE"""),0.419548872180451)</f>
        <v>0.4195488722</v>
      </c>
      <c r="J262" s="8">
        <f>IFERROR(__xludf.DUMMYFUNCTION("""COMPUTED_VALUE"""),0.393984962406015)</f>
        <v>0.3939849624</v>
      </c>
      <c r="K262" s="8">
        <f>IFERROR(__xludf.DUMMYFUNCTION("""COMPUTED_VALUE"""),0.394578313253012)</f>
        <v>0.3945783133</v>
      </c>
      <c r="L262" s="8">
        <f>IFERROR(__xludf.DUMMYFUNCTION("""COMPUTED_VALUE"""),0.3328173374613)</f>
        <v>0.3328173375</v>
      </c>
      <c r="M262" s="8">
        <f>IFERROR(__xludf.DUMMYFUNCTION("""COMPUTED_VALUE"""),0.304953560371517)</f>
        <v>0.3049535604</v>
      </c>
      <c r="N262" s="8">
        <f>IFERROR(__xludf.DUMMYFUNCTION("""COMPUTED_VALUE"""),0.291472868217054)</f>
        <v>0.2914728682</v>
      </c>
      <c r="O262" s="8">
        <f>IFERROR(__xludf.DUMMYFUNCTION("""COMPUTED_VALUE"""),0.265625)</f>
        <v>0.265625</v>
      </c>
      <c r="P262" s="8">
        <f>IFERROR(__xludf.DUMMYFUNCTION("""COMPUTED_VALUE"""),0.156645569620253)</f>
        <v>0.1566455696</v>
      </c>
      <c r="Q262" s="8">
        <f>IFERROR(__xludf.DUMMYFUNCTION("""COMPUTED_VALUE"""),0.175438596491228)</f>
        <v>0.1754385965</v>
      </c>
      <c r="R262" s="8">
        <f>IFERROR(__xludf.DUMMYFUNCTION("""COMPUTED_VALUE"""),0.161290322580645)</f>
        <v>0.1612903226</v>
      </c>
      <c r="S262" s="8">
        <f>IFERROR(__xludf.DUMMYFUNCTION("""COMPUTED_VALUE"""),0.0)</f>
        <v>0</v>
      </c>
      <c r="T262" s="8">
        <f>IFERROR(__xludf.DUMMYFUNCTION("""COMPUTED_VALUE"""),0.0)</f>
        <v>0</v>
      </c>
      <c r="U262" s="8">
        <f>IFERROR(__xludf.DUMMYFUNCTION("""COMPUTED_VALUE"""),0.0)</f>
        <v>0</v>
      </c>
      <c r="V262" s="8">
        <f>IFERROR(__xludf.DUMMYFUNCTION("""COMPUTED_VALUE"""),0.0)</f>
        <v>0</v>
      </c>
      <c r="W262" s="8">
        <f>IFERROR(__xludf.DUMMYFUNCTION("""COMPUTED_VALUE"""),0.0)</f>
        <v>0</v>
      </c>
      <c r="X262" s="8">
        <f>IFERROR(__xludf.DUMMYFUNCTION("""COMPUTED_VALUE"""),0.0)</f>
        <v>0</v>
      </c>
      <c r="Y262" s="8">
        <f>IFERROR(__xludf.DUMMYFUNCTION("""COMPUTED_VALUE"""),0.0)</f>
        <v>0</v>
      </c>
      <c r="Z262" s="8">
        <f>IFERROR(__xludf.DUMMYFUNCTION("""COMPUTED_VALUE"""),0.0)</f>
        <v>0</v>
      </c>
      <c r="AA262" s="8">
        <f>IFERROR(__xludf.DUMMYFUNCTION("""COMPUTED_VALUE"""),0.0)</f>
        <v>0</v>
      </c>
      <c r="AB262" s="8">
        <f>IFERROR(__xludf.DUMMYFUNCTION("""COMPUTED_VALUE"""),0.0)</f>
        <v>0</v>
      </c>
      <c r="AC262" s="8">
        <f>IFERROR(__xludf.DUMMYFUNCTION("""COMPUTED_VALUE"""),0.0)</f>
        <v>0</v>
      </c>
    </row>
    <row r="263" ht="15.75" customHeight="1">
      <c r="A263" s="6" t="str">
        <f>IFERROR(__xludf.DUMMYFUNCTION("""COMPUTED_VALUE"""),"f11e794eecc64915145ae97085e04201646abfe3")</f>
        <v>f11e794eecc64915145ae97085e04201646abfe3</v>
      </c>
      <c r="B263" s="6" t="str">
        <f>IFERROR(__xludf.DUMMYFUNCTION("""COMPUTED_VALUE"""),"Almost His Bride ")</f>
        <v>Almost His Bride </v>
      </c>
      <c r="C263" s="6" t="str">
        <f>IFERROR(__xludf.DUMMYFUNCTION("""COMPUTED_VALUE"""),"Romance")</f>
        <v>Romance</v>
      </c>
      <c r="D263" s="11">
        <f>IFERROR(__xludf.DUMMYFUNCTION("""COMPUTED_VALUE"""),25.0)</f>
        <v>25</v>
      </c>
      <c r="E263" s="8">
        <f>IFERROR(__xludf.DUMMYFUNCTION("""COMPUTED_VALUE"""),0.92)</f>
        <v>0.92</v>
      </c>
      <c r="F263" s="8">
        <f>IFERROR(__xludf.DUMMYFUNCTION("""COMPUTED_VALUE"""),0.6)</f>
        <v>0.6</v>
      </c>
      <c r="G263" s="8">
        <f>IFERROR(__xludf.DUMMYFUNCTION("""COMPUTED_VALUE"""),0.64)</f>
        <v>0.64</v>
      </c>
      <c r="H263" s="8">
        <f>IFERROR(__xludf.DUMMYFUNCTION("""COMPUTED_VALUE"""),0.64)</f>
        <v>0.64</v>
      </c>
      <c r="I263" s="8">
        <f>IFERROR(__xludf.DUMMYFUNCTION("""COMPUTED_VALUE"""),0.56)</f>
        <v>0.56</v>
      </c>
      <c r="J263" s="8">
        <f>IFERROR(__xludf.DUMMYFUNCTION("""COMPUTED_VALUE"""),0.6)</f>
        <v>0.6</v>
      </c>
      <c r="K263" s="8">
        <f>IFERROR(__xludf.DUMMYFUNCTION("""COMPUTED_VALUE"""),0.52)</f>
        <v>0.52</v>
      </c>
      <c r="L263" s="8">
        <f>IFERROR(__xludf.DUMMYFUNCTION("""COMPUTED_VALUE"""),0.48)</f>
        <v>0.48</v>
      </c>
      <c r="M263" s="8">
        <f>IFERROR(__xludf.DUMMYFUNCTION("""COMPUTED_VALUE"""),0.44)</f>
        <v>0.44</v>
      </c>
      <c r="N263" s="8">
        <f>IFERROR(__xludf.DUMMYFUNCTION("""COMPUTED_VALUE"""),0.56)</f>
        <v>0.56</v>
      </c>
      <c r="O263" s="8">
        <f>IFERROR(__xludf.DUMMYFUNCTION("""COMPUTED_VALUE"""),0.391304347826087)</f>
        <v>0.3913043478</v>
      </c>
      <c r="P263" s="8">
        <f>IFERROR(__xludf.DUMMYFUNCTION("""COMPUTED_VALUE"""),0.217391304347826)</f>
        <v>0.2173913043</v>
      </c>
      <c r="Q263" s="8">
        <f>IFERROR(__xludf.DUMMYFUNCTION("""COMPUTED_VALUE"""),0.2)</f>
        <v>0.2</v>
      </c>
      <c r="R263" s="8">
        <f>IFERROR(__xludf.DUMMYFUNCTION("""COMPUTED_VALUE"""),0.0666666666666666)</f>
        <v>0.06666666667</v>
      </c>
      <c r="S263" s="8">
        <f>IFERROR(__xludf.DUMMYFUNCTION("""COMPUTED_VALUE"""),0.0)</f>
        <v>0</v>
      </c>
      <c r="T263" s="8">
        <f>IFERROR(__xludf.DUMMYFUNCTION("""COMPUTED_VALUE"""),0.0)</f>
        <v>0</v>
      </c>
      <c r="U263" s="8">
        <f>IFERROR(__xludf.DUMMYFUNCTION("""COMPUTED_VALUE"""),0.0)</f>
        <v>0</v>
      </c>
      <c r="V263" s="8">
        <f>IFERROR(__xludf.DUMMYFUNCTION("""COMPUTED_VALUE"""),0.0)</f>
        <v>0</v>
      </c>
      <c r="W263" s="8">
        <f>IFERROR(__xludf.DUMMYFUNCTION("""COMPUTED_VALUE"""),0.0)</f>
        <v>0</v>
      </c>
      <c r="X263" s="8">
        <f>IFERROR(__xludf.DUMMYFUNCTION("""COMPUTED_VALUE"""),0.0)</f>
        <v>0</v>
      </c>
      <c r="Y263" s="8">
        <f>IFERROR(__xludf.DUMMYFUNCTION("""COMPUTED_VALUE"""),0.0)</f>
        <v>0</v>
      </c>
      <c r="Z263" s="8">
        <f>IFERROR(__xludf.DUMMYFUNCTION("""COMPUTED_VALUE"""),0.0)</f>
        <v>0</v>
      </c>
      <c r="AA263" s="8">
        <f>IFERROR(__xludf.DUMMYFUNCTION("""COMPUTED_VALUE"""),0.0)</f>
        <v>0</v>
      </c>
      <c r="AB263" s="8">
        <f>IFERROR(__xludf.DUMMYFUNCTION("""COMPUTED_VALUE"""),0.0)</f>
        <v>0</v>
      </c>
      <c r="AC263" s="8">
        <f>IFERROR(__xludf.DUMMYFUNCTION("""COMPUTED_VALUE"""),0.0)</f>
        <v>0</v>
      </c>
    </row>
    <row r="264" ht="15.75" customHeight="1">
      <c r="A264" s="6" t="str">
        <f>IFERROR(__xludf.DUMMYFUNCTION("""COMPUTED_VALUE"""),"f16d45e2702863e71bf480a3e2490ded19c4cbd9")</f>
        <v>f16d45e2702863e71bf480a3e2490ded19c4cbd9</v>
      </c>
      <c r="B264" s="6" t="str">
        <f>IFERROR(__xludf.DUMMYFUNCTION("""COMPUTED_VALUE"""),"Supreme Sword Cultivator")</f>
        <v>Supreme Sword Cultivator</v>
      </c>
      <c r="C264" s="6" t="str">
        <f>IFERROR(__xludf.DUMMYFUNCTION("""COMPUTED_VALUE"""),"Fantasy")</f>
        <v>Fantasy</v>
      </c>
      <c r="D264" s="11">
        <f>IFERROR(__xludf.DUMMYFUNCTION("""COMPUTED_VALUE"""),35.0)</f>
        <v>35</v>
      </c>
      <c r="E264" s="8">
        <f>IFERROR(__xludf.DUMMYFUNCTION("""COMPUTED_VALUE"""),1.0)</f>
        <v>1</v>
      </c>
      <c r="F264" s="8">
        <f>IFERROR(__xludf.DUMMYFUNCTION("""COMPUTED_VALUE"""),0.685714285714285)</f>
        <v>0.6857142857</v>
      </c>
      <c r="G264" s="8">
        <f>IFERROR(__xludf.DUMMYFUNCTION("""COMPUTED_VALUE"""),0.657142857142857)</f>
        <v>0.6571428571</v>
      </c>
      <c r="H264" s="8">
        <f>IFERROR(__xludf.DUMMYFUNCTION("""COMPUTED_VALUE"""),0.628571428571428)</f>
        <v>0.6285714286</v>
      </c>
      <c r="I264" s="8">
        <f>IFERROR(__xludf.DUMMYFUNCTION("""COMPUTED_VALUE"""),0.6)</f>
        <v>0.6</v>
      </c>
      <c r="J264" s="8">
        <f>IFERROR(__xludf.DUMMYFUNCTION("""COMPUTED_VALUE"""),0.571428571428571)</f>
        <v>0.5714285714</v>
      </c>
      <c r="K264" s="8">
        <f>IFERROR(__xludf.DUMMYFUNCTION("""COMPUTED_VALUE"""),0.542857142857142)</f>
        <v>0.5428571429</v>
      </c>
      <c r="L264" s="8">
        <f>IFERROR(__xludf.DUMMYFUNCTION("""COMPUTED_VALUE"""),0.529411764705882)</f>
        <v>0.5294117647</v>
      </c>
      <c r="M264" s="8">
        <f>IFERROR(__xludf.DUMMYFUNCTION("""COMPUTED_VALUE"""),0.529411764705882)</f>
        <v>0.5294117647</v>
      </c>
      <c r="N264" s="8">
        <f>IFERROR(__xludf.DUMMYFUNCTION("""COMPUTED_VALUE"""),0.5)</f>
        <v>0.5</v>
      </c>
      <c r="O264" s="8">
        <f>IFERROR(__xludf.DUMMYFUNCTION("""COMPUTED_VALUE"""),0.441176470588235)</f>
        <v>0.4411764706</v>
      </c>
      <c r="P264" s="8">
        <f>IFERROR(__xludf.DUMMYFUNCTION("""COMPUTED_VALUE"""),0.38235294117647)</f>
        <v>0.3823529412</v>
      </c>
      <c r="Q264" s="8">
        <f>IFERROR(__xludf.DUMMYFUNCTION("""COMPUTED_VALUE"""),0.366666666666666)</f>
        <v>0.3666666667</v>
      </c>
      <c r="R264" s="8">
        <f>IFERROR(__xludf.DUMMYFUNCTION("""COMPUTED_VALUE"""),0.25)</f>
        <v>0.25</v>
      </c>
      <c r="S264" s="8">
        <f>IFERROR(__xludf.DUMMYFUNCTION("""COMPUTED_VALUE"""),0.25)</f>
        <v>0.25</v>
      </c>
      <c r="T264" s="8">
        <f>IFERROR(__xludf.DUMMYFUNCTION("""COMPUTED_VALUE"""),0.148148148148148)</f>
        <v>0.1481481481</v>
      </c>
      <c r="U264" s="8">
        <f>IFERROR(__xludf.DUMMYFUNCTION("""COMPUTED_VALUE"""),0.037037037037037)</f>
        <v>0.03703703704</v>
      </c>
      <c r="V264" s="8">
        <f>IFERROR(__xludf.DUMMYFUNCTION("""COMPUTED_VALUE"""),0.0)</f>
        <v>0</v>
      </c>
      <c r="W264" s="8">
        <f>IFERROR(__xludf.DUMMYFUNCTION("""COMPUTED_VALUE"""),0.0)</f>
        <v>0</v>
      </c>
      <c r="X264" s="8">
        <f>IFERROR(__xludf.DUMMYFUNCTION("""COMPUTED_VALUE"""),0.0)</f>
        <v>0</v>
      </c>
      <c r="Y264" s="8">
        <f>IFERROR(__xludf.DUMMYFUNCTION("""COMPUTED_VALUE"""),0.0)</f>
        <v>0</v>
      </c>
      <c r="Z264" s="8">
        <f>IFERROR(__xludf.DUMMYFUNCTION("""COMPUTED_VALUE"""),0.0)</f>
        <v>0</v>
      </c>
      <c r="AA264" s="8">
        <f>IFERROR(__xludf.DUMMYFUNCTION("""COMPUTED_VALUE"""),0.0)</f>
        <v>0</v>
      </c>
      <c r="AB264" s="8">
        <f>IFERROR(__xludf.DUMMYFUNCTION("""COMPUTED_VALUE"""),0.0)</f>
        <v>0</v>
      </c>
      <c r="AC264" s="8">
        <f>IFERROR(__xludf.DUMMYFUNCTION("""COMPUTED_VALUE"""),0.0)</f>
        <v>0</v>
      </c>
    </row>
    <row r="265" ht="15.75" customHeight="1">
      <c r="A265" s="6" t="str">
        <f>IFERROR(__xludf.DUMMYFUNCTION("""COMPUTED_VALUE"""),"f23c3d5745910e4c7cf490450f5314358a0cec03")</f>
        <v>f23c3d5745910e4c7cf490450f5314358a0cec03</v>
      </c>
      <c r="B265" s="6" t="str">
        <f>IFERROR(__xludf.DUMMYFUNCTION("""COMPUTED_VALUE"""),"When My Ex Returned")</f>
        <v>When My Ex Returned</v>
      </c>
      <c r="C265" s="6" t="str">
        <f>IFERROR(__xludf.DUMMYFUNCTION("""COMPUTED_VALUE"""),"Romance")</f>
        <v>Romance</v>
      </c>
      <c r="D265" s="11">
        <f>IFERROR(__xludf.DUMMYFUNCTION("""COMPUTED_VALUE"""),517.0)</f>
        <v>517</v>
      </c>
      <c r="E265" s="8">
        <f>IFERROR(__xludf.DUMMYFUNCTION("""COMPUTED_VALUE"""),0.97485493230174)</f>
        <v>0.9748549323</v>
      </c>
      <c r="F265" s="8">
        <f>IFERROR(__xludf.DUMMYFUNCTION("""COMPUTED_VALUE"""),0.551257253384912)</f>
        <v>0.5512572534</v>
      </c>
      <c r="G265" s="8">
        <f>IFERROR(__xludf.DUMMYFUNCTION("""COMPUTED_VALUE"""),0.497098646034816)</f>
        <v>0.497098646</v>
      </c>
      <c r="H265" s="8">
        <f>IFERROR(__xludf.DUMMYFUNCTION("""COMPUTED_VALUE"""),0.460348162475822)</f>
        <v>0.4603481625</v>
      </c>
      <c r="I265" s="8">
        <f>IFERROR(__xludf.DUMMYFUNCTION("""COMPUTED_VALUE"""),0.437984496124031)</f>
        <v>0.4379844961</v>
      </c>
      <c r="J265" s="8">
        <f>IFERROR(__xludf.DUMMYFUNCTION("""COMPUTED_VALUE"""),0.406976744186046)</f>
        <v>0.4069767442</v>
      </c>
      <c r="K265" s="8">
        <f>IFERROR(__xludf.DUMMYFUNCTION("""COMPUTED_VALUE"""),0.377906976744186)</f>
        <v>0.3779069767</v>
      </c>
      <c r="L265" s="8">
        <f>IFERROR(__xludf.DUMMYFUNCTION("""COMPUTED_VALUE"""),0.343023255813953)</f>
        <v>0.3430232558</v>
      </c>
      <c r="M265" s="8">
        <f>IFERROR(__xludf.DUMMYFUNCTION("""COMPUTED_VALUE"""),0.325581395348837)</f>
        <v>0.3255813953</v>
      </c>
      <c r="N265" s="8">
        <f>IFERROR(__xludf.DUMMYFUNCTION("""COMPUTED_VALUE"""),0.30813953488372)</f>
        <v>0.3081395349</v>
      </c>
      <c r="O265" s="8">
        <f>IFERROR(__xludf.DUMMYFUNCTION("""COMPUTED_VALUE"""),0.248062015503875)</f>
        <v>0.2480620155</v>
      </c>
      <c r="P265" s="8">
        <f>IFERROR(__xludf.DUMMYFUNCTION("""COMPUTED_VALUE"""),0.152941176470588)</f>
        <v>0.1529411765</v>
      </c>
      <c r="Q265" s="8">
        <f>IFERROR(__xludf.DUMMYFUNCTION("""COMPUTED_VALUE"""),0.168918918918918)</f>
        <v>0.1689189189</v>
      </c>
      <c r="R265" s="8">
        <f>IFERROR(__xludf.DUMMYFUNCTION("""COMPUTED_VALUE"""),0.0)</f>
        <v>0</v>
      </c>
      <c r="S265" s="8">
        <f>IFERROR(__xludf.DUMMYFUNCTION("""COMPUTED_VALUE"""),0.0)</f>
        <v>0</v>
      </c>
      <c r="T265" s="8">
        <f>IFERROR(__xludf.DUMMYFUNCTION("""COMPUTED_VALUE"""),0.0)</f>
        <v>0</v>
      </c>
      <c r="U265" s="8">
        <f>IFERROR(__xludf.DUMMYFUNCTION("""COMPUTED_VALUE"""),0.0)</f>
        <v>0</v>
      </c>
      <c r="V265" s="8">
        <f>IFERROR(__xludf.DUMMYFUNCTION("""COMPUTED_VALUE"""),0.0)</f>
        <v>0</v>
      </c>
      <c r="W265" s="8">
        <f>IFERROR(__xludf.DUMMYFUNCTION("""COMPUTED_VALUE"""),0.0)</f>
        <v>0</v>
      </c>
      <c r="X265" s="8">
        <f>IFERROR(__xludf.DUMMYFUNCTION("""COMPUTED_VALUE"""),0.0)</f>
        <v>0</v>
      </c>
      <c r="Y265" s="8">
        <f>IFERROR(__xludf.DUMMYFUNCTION("""COMPUTED_VALUE"""),0.0)</f>
        <v>0</v>
      </c>
      <c r="Z265" s="8">
        <f>IFERROR(__xludf.DUMMYFUNCTION("""COMPUTED_VALUE"""),0.0)</f>
        <v>0</v>
      </c>
      <c r="AA265" s="8">
        <f>IFERROR(__xludf.DUMMYFUNCTION("""COMPUTED_VALUE"""),0.0)</f>
        <v>0</v>
      </c>
      <c r="AB265" s="8">
        <f>IFERROR(__xludf.DUMMYFUNCTION("""COMPUTED_VALUE"""),0.0)</f>
        <v>0</v>
      </c>
      <c r="AC265" s="8">
        <f>IFERROR(__xludf.DUMMYFUNCTION("""COMPUTED_VALUE"""),0.0)</f>
        <v>0</v>
      </c>
    </row>
    <row r="266" ht="15.75" customHeight="1">
      <c r="A266" s="6" t="str">
        <f>IFERROR(__xludf.DUMMYFUNCTION("""COMPUTED_VALUE"""),"f2ec53ac7f98813aea65ea59e50f32077fe08707")</f>
        <v>f2ec53ac7f98813aea65ea59e50f32077fe08707</v>
      </c>
      <c r="B266" s="6" t="str">
        <f>IFERROR(__xludf.DUMMYFUNCTION("""COMPUTED_VALUE"""),"The Forbidden Kiss")</f>
        <v>The Forbidden Kiss</v>
      </c>
      <c r="C266" s="6" t="str">
        <f>IFERROR(__xludf.DUMMYFUNCTION("""COMPUTED_VALUE"""),"Romance")</f>
        <v>Romance</v>
      </c>
      <c r="D266" s="11">
        <f>IFERROR(__xludf.DUMMYFUNCTION("""COMPUTED_VALUE"""),294.0)</f>
        <v>294</v>
      </c>
      <c r="E266" s="8">
        <f>IFERROR(__xludf.DUMMYFUNCTION("""COMPUTED_VALUE"""),0.979591836734693)</f>
        <v>0.9795918367</v>
      </c>
      <c r="F266" s="8">
        <f>IFERROR(__xludf.DUMMYFUNCTION("""COMPUTED_VALUE"""),0.537414965986394)</f>
        <v>0.537414966</v>
      </c>
      <c r="G266" s="8">
        <f>IFERROR(__xludf.DUMMYFUNCTION("""COMPUTED_VALUE"""),0.408163265306122)</f>
        <v>0.4081632653</v>
      </c>
      <c r="H266" s="8">
        <f>IFERROR(__xludf.DUMMYFUNCTION("""COMPUTED_VALUE"""),0.35408560311284)</f>
        <v>0.3540856031</v>
      </c>
      <c r="I266" s="8">
        <f>IFERROR(__xludf.DUMMYFUNCTION("""COMPUTED_VALUE"""),0.323886639676113)</f>
        <v>0.3238866397</v>
      </c>
      <c r="J266" s="8">
        <f>IFERROR(__xludf.DUMMYFUNCTION("""COMPUTED_VALUE"""),0.296137339055794)</f>
        <v>0.2961373391</v>
      </c>
      <c r="K266" s="8">
        <f>IFERROR(__xludf.DUMMYFUNCTION("""COMPUTED_VALUE"""),0.284444444444444)</f>
        <v>0.2844444444</v>
      </c>
      <c r="L266" s="8">
        <f>IFERROR(__xludf.DUMMYFUNCTION("""COMPUTED_VALUE"""),0.27)</f>
        <v>0.27</v>
      </c>
      <c r="M266" s="8">
        <f>IFERROR(__xludf.DUMMYFUNCTION("""COMPUTED_VALUE"""),0.259668508287292)</f>
        <v>0.2596685083</v>
      </c>
      <c r="N266" s="8">
        <f>IFERROR(__xludf.DUMMYFUNCTION("""COMPUTED_VALUE"""),0.2421875)</f>
        <v>0.2421875</v>
      </c>
      <c r="O266" s="8">
        <f>IFERROR(__xludf.DUMMYFUNCTION("""COMPUTED_VALUE"""),0.288135593220339)</f>
        <v>0.2881355932</v>
      </c>
      <c r="P266" s="8">
        <f>IFERROR(__xludf.DUMMYFUNCTION("""COMPUTED_VALUE"""),0.142857142857142)</f>
        <v>0.1428571429</v>
      </c>
      <c r="Q266" s="8">
        <f>IFERROR(__xludf.DUMMYFUNCTION("""COMPUTED_VALUE"""),0.127659574468085)</f>
        <v>0.1276595745</v>
      </c>
      <c r="R266" s="8">
        <f>IFERROR(__xludf.DUMMYFUNCTION("""COMPUTED_VALUE"""),0.0833333333333333)</f>
        <v>0.08333333333</v>
      </c>
      <c r="S266" s="8">
        <f>IFERROR(__xludf.DUMMYFUNCTION("""COMPUTED_VALUE"""),0.0)</f>
        <v>0</v>
      </c>
      <c r="T266" s="8">
        <f>IFERROR(__xludf.DUMMYFUNCTION("""COMPUTED_VALUE"""),0.0)</f>
        <v>0</v>
      </c>
      <c r="U266" s="8">
        <f>IFERROR(__xludf.DUMMYFUNCTION("""COMPUTED_VALUE"""),0.0)</f>
        <v>0</v>
      </c>
      <c r="V266" s="8">
        <f>IFERROR(__xludf.DUMMYFUNCTION("""COMPUTED_VALUE"""),0.0)</f>
        <v>0</v>
      </c>
      <c r="W266" s="8">
        <f>IFERROR(__xludf.DUMMYFUNCTION("""COMPUTED_VALUE"""),0.0)</f>
        <v>0</v>
      </c>
      <c r="X266" s="8">
        <f>IFERROR(__xludf.DUMMYFUNCTION("""COMPUTED_VALUE"""),0.0)</f>
        <v>0</v>
      </c>
      <c r="Y266" s="8">
        <f>IFERROR(__xludf.DUMMYFUNCTION("""COMPUTED_VALUE"""),0.0)</f>
        <v>0</v>
      </c>
      <c r="Z266" s="8">
        <f>IFERROR(__xludf.DUMMYFUNCTION("""COMPUTED_VALUE"""),0.0)</f>
        <v>0</v>
      </c>
      <c r="AA266" s="8">
        <f>IFERROR(__xludf.DUMMYFUNCTION("""COMPUTED_VALUE"""),0.0)</f>
        <v>0</v>
      </c>
      <c r="AB266" s="8">
        <f>IFERROR(__xludf.DUMMYFUNCTION("""COMPUTED_VALUE"""),0.0)</f>
        <v>0</v>
      </c>
      <c r="AC266" s="8">
        <f>IFERROR(__xludf.DUMMYFUNCTION("""COMPUTED_VALUE"""),0.0)</f>
        <v>0</v>
      </c>
    </row>
    <row r="267" ht="15.75" customHeight="1">
      <c r="A267" s="6" t="str">
        <f>IFERROR(__xludf.DUMMYFUNCTION("""COMPUTED_VALUE"""),"f32ed59a93a11812f5a5a57e2c663028b1c65f89")</f>
        <v>f32ed59a93a11812f5a5a57e2c663028b1c65f89</v>
      </c>
      <c r="B267" s="6" t="str">
        <f>IFERROR(__xludf.DUMMYFUNCTION("""COMPUTED_VALUE"""),"Trillionaire Sterling")</f>
        <v>Trillionaire Sterling</v>
      </c>
      <c r="C267" s="6" t="str">
        <f>IFERROR(__xludf.DUMMYFUNCTION("""COMPUTED_VALUE"""),"Fantasy")</f>
        <v>Fantasy</v>
      </c>
      <c r="D267" s="11">
        <f>IFERROR(__xludf.DUMMYFUNCTION("""COMPUTED_VALUE"""),2242.0)</f>
        <v>2242</v>
      </c>
      <c r="E267" s="8">
        <f>IFERROR(__xludf.DUMMYFUNCTION("""COMPUTED_VALUE"""),0.950936663693131)</f>
        <v>0.9509366637</v>
      </c>
      <c r="F267" s="8">
        <f>IFERROR(__xludf.DUMMYFUNCTION("""COMPUTED_VALUE"""),0.655664585191793)</f>
        <v>0.6556645852</v>
      </c>
      <c r="G267" s="8">
        <f>IFERROR(__xludf.DUMMYFUNCTION("""COMPUTED_VALUE"""),0.603925066904549)</f>
        <v>0.6039250669</v>
      </c>
      <c r="H267" s="8">
        <f>IFERROR(__xludf.DUMMYFUNCTION("""COMPUTED_VALUE"""),0.573088958426464)</f>
        <v>0.5730889584</v>
      </c>
      <c r="I267" s="8">
        <f>IFERROR(__xludf.DUMMYFUNCTION("""COMPUTED_VALUE"""),0.54358515869468)</f>
        <v>0.5435851587</v>
      </c>
      <c r="J267" s="8">
        <f>IFERROR(__xludf.DUMMYFUNCTION("""COMPUTED_VALUE"""),0.52105734767025)</f>
        <v>0.5210573477</v>
      </c>
      <c r="K267" s="8">
        <f>IFERROR(__xludf.DUMMYFUNCTION("""COMPUTED_VALUE"""),0.505824372759856)</f>
        <v>0.5058243728</v>
      </c>
      <c r="L267" s="8">
        <f>IFERROR(__xludf.DUMMYFUNCTION("""COMPUTED_VALUE"""),0.48854961832061)</f>
        <v>0.4885496183</v>
      </c>
      <c r="M267" s="8">
        <f>IFERROR(__xludf.DUMMYFUNCTION("""COMPUTED_VALUE"""),0.482913669064748)</f>
        <v>0.4829136691</v>
      </c>
      <c r="N267" s="8">
        <f>IFERROR(__xludf.DUMMYFUNCTION("""COMPUTED_VALUE"""),0.473873873873873)</f>
        <v>0.4738738739</v>
      </c>
      <c r="O267" s="8">
        <f>IFERROR(__xludf.DUMMYFUNCTION("""COMPUTED_VALUE"""),0.425724637681159)</f>
        <v>0.4257246377</v>
      </c>
      <c r="P267" s="8">
        <f>IFERROR(__xludf.DUMMYFUNCTION("""COMPUTED_VALUE"""),0.347546996790463)</f>
        <v>0.3475469968</v>
      </c>
      <c r="Q267" s="8">
        <f>IFERROR(__xludf.DUMMYFUNCTION("""COMPUTED_VALUE"""),0.268327067669172)</f>
        <v>0.2683270677</v>
      </c>
      <c r="R267" s="8">
        <f>IFERROR(__xludf.DUMMYFUNCTION("""COMPUTED_VALUE"""),0.225490196078431)</f>
        <v>0.2254901961</v>
      </c>
      <c r="S267" s="8">
        <f>IFERROR(__xludf.DUMMYFUNCTION("""COMPUTED_VALUE"""),0.1875)</f>
        <v>0.1875</v>
      </c>
      <c r="T267" s="8">
        <f>IFERROR(__xludf.DUMMYFUNCTION("""COMPUTED_VALUE"""),0.127045235803657)</f>
        <v>0.1270452358</v>
      </c>
      <c r="U267" s="8">
        <f>IFERROR(__xludf.DUMMYFUNCTION("""COMPUTED_VALUE"""),0.0659062103929024)</f>
        <v>0.06590621039</v>
      </c>
      <c r="V267" s="8">
        <f>IFERROR(__xludf.DUMMYFUNCTION("""COMPUTED_VALUE"""),0.0714285714285714)</f>
        <v>0.07142857143</v>
      </c>
      <c r="W267" s="8">
        <f>IFERROR(__xludf.DUMMYFUNCTION("""COMPUTED_VALUE"""),0.046875)</f>
        <v>0.046875</v>
      </c>
      <c r="X267" s="8">
        <f>IFERROR(__xludf.DUMMYFUNCTION("""COMPUTED_VALUE"""),0.0)</f>
        <v>0</v>
      </c>
      <c r="Y267" s="8">
        <f>IFERROR(__xludf.DUMMYFUNCTION("""COMPUTED_VALUE"""),0.0)</f>
        <v>0</v>
      </c>
      <c r="Z267" s="8">
        <f>IFERROR(__xludf.DUMMYFUNCTION("""COMPUTED_VALUE"""),0.0)</f>
        <v>0</v>
      </c>
      <c r="AA267" s="8">
        <f>IFERROR(__xludf.DUMMYFUNCTION("""COMPUTED_VALUE"""),0.0)</f>
        <v>0</v>
      </c>
      <c r="AB267" s="8">
        <f>IFERROR(__xludf.DUMMYFUNCTION("""COMPUTED_VALUE"""),0.0)</f>
        <v>0</v>
      </c>
      <c r="AC267" s="8">
        <f>IFERROR(__xludf.DUMMYFUNCTION("""COMPUTED_VALUE"""),0.0)</f>
        <v>0</v>
      </c>
    </row>
    <row r="268" ht="15.75" customHeight="1">
      <c r="A268" s="6" t="str">
        <f>IFERROR(__xludf.DUMMYFUNCTION("""COMPUTED_VALUE"""),"f3b45a9b931b38c0315d82ad645b9e45b513664b")</f>
        <v>f3b45a9b931b38c0315d82ad645b9e45b513664b</v>
      </c>
      <c r="B268" s="6" t="str">
        <f>IFERROR(__xludf.DUMMYFUNCTION("""COMPUTED_VALUE"""),"Reborn as a Golblin?!")</f>
        <v>Reborn as a Golblin?!</v>
      </c>
      <c r="C268" s="6" t="str">
        <f>IFERROR(__xludf.DUMMYFUNCTION("""COMPUTED_VALUE"""),"System and Superpower")</f>
        <v>System and Superpower</v>
      </c>
      <c r="D268" s="11">
        <f>IFERROR(__xludf.DUMMYFUNCTION("""COMPUTED_VALUE"""),13.0)</f>
        <v>13</v>
      </c>
      <c r="E268" s="8">
        <f>IFERROR(__xludf.DUMMYFUNCTION("""COMPUTED_VALUE"""),1.0)</f>
        <v>1</v>
      </c>
      <c r="F268" s="8">
        <f>IFERROR(__xludf.DUMMYFUNCTION("""COMPUTED_VALUE"""),0.23076923076923)</f>
        <v>0.2307692308</v>
      </c>
      <c r="G268" s="8">
        <f>IFERROR(__xludf.DUMMYFUNCTION("""COMPUTED_VALUE"""),0.23076923076923)</f>
        <v>0.2307692308</v>
      </c>
      <c r="H268" s="8">
        <f>IFERROR(__xludf.DUMMYFUNCTION("""COMPUTED_VALUE"""),0.0833333333333333)</f>
        <v>0.08333333333</v>
      </c>
      <c r="I268" s="8">
        <f>IFERROR(__xludf.DUMMYFUNCTION("""COMPUTED_VALUE"""),0.0)</f>
        <v>0</v>
      </c>
      <c r="J268" s="8">
        <f>IFERROR(__xludf.DUMMYFUNCTION("""COMPUTED_VALUE"""),0.0)</f>
        <v>0</v>
      </c>
      <c r="K268" s="8">
        <f>IFERROR(__xludf.DUMMYFUNCTION("""COMPUTED_VALUE"""),0.0)</f>
        <v>0</v>
      </c>
      <c r="L268" s="8">
        <f>IFERROR(__xludf.DUMMYFUNCTION("""COMPUTED_VALUE"""),0.0)</f>
        <v>0</v>
      </c>
      <c r="M268" s="8">
        <f>IFERROR(__xludf.DUMMYFUNCTION("""COMPUTED_VALUE"""),0.0)</f>
        <v>0</v>
      </c>
      <c r="N268" s="8">
        <f>IFERROR(__xludf.DUMMYFUNCTION("""COMPUTED_VALUE"""),0.0)</f>
        <v>0</v>
      </c>
      <c r="O268" s="8">
        <f>IFERROR(__xludf.DUMMYFUNCTION("""COMPUTED_VALUE"""),0.0)</f>
        <v>0</v>
      </c>
      <c r="P268" s="8">
        <f>IFERROR(__xludf.DUMMYFUNCTION("""COMPUTED_VALUE"""),0.0)</f>
        <v>0</v>
      </c>
      <c r="Q268" s="8">
        <f>IFERROR(__xludf.DUMMYFUNCTION("""COMPUTED_VALUE"""),0.0)</f>
        <v>0</v>
      </c>
      <c r="R268" s="8">
        <f>IFERROR(__xludf.DUMMYFUNCTION("""COMPUTED_VALUE"""),0.0)</f>
        <v>0</v>
      </c>
      <c r="S268" s="8">
        <f>IFERROR(__xludf.DUMMYFUNCTION("""COMPUTED_VALUE"""),0.0)</f>
        <v>0</v>
      </c>
      <c r="T268" s="8">
        <f>IFERROR(__xludf.DUMMYFUNCTION("""COMPUTED_VALUE"""),0.0)</f>
        <v>0</v>
      </c>
      <c r="U268" s="8">
        <f>IFERROR(__xludf.DUMMYFUNCTION("""COMPUTED_VALUE"""),0.0)</f>
        <v>0</v>
      </c>
      <c r="V268" s="8">
        <f>IFERROR(__xludf.DUMMYFUNCTION("""COMPUTED_VALUE"""),0.0)</f>
        <v>0</v>
      </c>
      <c r="W268" s="8">
        <f>IFERROR(__xludf.DUMMYFUNCTION("""COMPUTED_VALUE"""),0.0)</f>
        <v>0</v>
      </c>
      <c r="X268" s="8">
        <f>IFERROR(__xludf.DUMMYFUNCTION("""COMPUTED_VALUE"""),0.0)</f>
        <v>0</v>
      </c>
      <c r="Y268" s="8">
        <f>IFERROR(__xludf.DUMMYFUNCTION("""COMPUTED_VALUE"""),0.0)</f>
        <v>0</v>
      </c>
      <c r="Z268" s="8">
        <f>IFERROR(__xludf.DUMMYFUNCTION("""COMPUTED_VALUE"""),0.0)</f>
        <v>0</v>
      </c>
      <c r="AA268" s="8">
        <f>IFERROR(__xludf.DUMMYFUNCTION("""COMPUTED_VALUE"""),0.0)</f>
        <v>0</v>
      </c>
      <c r="AB268" s="8">
        <f>IFERROR(__xludf.DUMMYFUNCTION("""COMPUTED_VALUE"""),0.0)</f>
        <v>0</v>
      </c>
      <c r="AC268" s="8">
        <f>IFERROR(__xludf.DUMMYFUNCTION("""COMPUTED_VALUE"""),0.0)</f>
        <v>0</v>
      </c>
    </row>
    <row r="269" ht="15.75" customHeight="1">
      <c r="A269" s="6" t="str">
        <f>IFERROR(__xludf.DUMMYFUNCTION("""COMPUTED_VALUE"""),"f47e2c3c03d765bd054b92de405403a6c90b8d7f")</f>
        <v>f47e2c3c03d765bd054b92de405403a6c90b8d7f</v>
      </c>
      <c r="B269" s="6" t="str">
        <f>IFERROR(__xludf.DUMMYFUNCTION("""COMPUTED_VALUE"""),"It Was You Mister Cross")</f>
        <v>It Was You Mister Cross</v>
      </c>
      <c r="C269" s="6" t="str">
        <f>IFERROR(__xludf.DUMMYFUNCTION("""COMPUTED_VALUE"""),"Romance")</f>
        <v>Romance</v>
      </c>
      <c r="D269" s="11">
        <f>IFERROR(__xludf.DUMMYFUNCTION("""COMPUTED_VALUE"""),91.0)</f>
        <v>91</v>
      </c>
      <c r="E269" s="8">
        <f>IFERROR(__xludf.DUMMYFUNCTION("""COMPUTED_VALUE"""),0.945054945054945)</f>
        <v>0.9450549451</v>
      </c>
      <c r="F269" s="8">
        <f>IFERROR(__xludf.DUMMYFUNCTION("""COMPUTED_VALUE"""),0.659340659340659)</f>
        <v>0.6593406593</v>
      </c>
      <c r="G269" s="8">
        <f>IFERROR(__xludf.DUMMYFUNCTION("""COMPUTED_VALUE"""),0.637362637362637)</f>
        <v>0.6373626374</v>
      </c>
      <c r="H269" s="8">
        <f>IFERROR(__xludf.DUMMYFUNCTION("""COMPUTED_VALUE"""),0.56043956043956)</f>
        <v>0.5604395604</v>
      </c>
      <c r="I269" s="8">
        <f>IFERROR(__xludf.DUMMYFUNCTION("""COMPUTED_VALUE"""),0.538461538461538)</f>
        <v>0.5384615385</v>
      </c>
      <c r="J269" s="8">
        <f>IFERROR(__xludf.DUMMYFUNCTION("""COMPUTED_VALUE"""),0.56043956043956)</f>
        <v>0.5604395604</v>
      </c>
      <c r="K269" s="8">
        <f>IFERROR(__xludf.DUMMYFUNCTION("""COMPUTED_VALUE"""),0.461538461538461)</f>
        <v>0.4615384615</v>
      </c>
      <c r="L269" s="8">
        <f>IFERROR(__xludf.DUMMYFUNCTION("""COMPUTED_VALUE"""),0.45054945054945)</f>
        <v>0.4505494505</v>
      </c>
      <c r="M269" s="8">
        <f>IFERROR(__xludf.DUMMYFUNCTION("""COMPUTED_VALUE"""),0.375)</f>
        <v>0.375</v>
      </c>
      <c r="N269" s="8">
        <f>IFERROR(__xludf.DUMMYFUNCTION("""COMPUTED_VALUE"""),0.4125)</f>
        <v>0.4125</v>
      </c>
      <c r="O269" s="8">
        <f>IFERROR(__xludf.DUMMYFUNCTION("""COMPUTED_VALUE"""),0.311688311688311)</f>
        <v>0.3116883117</v>
      </c>
      <c r="P269" s="8">
        <f>IFERROR(__xludf.DUMMYFUNCTION("""COMPUTED_VALUE"""),0.202702702702702)</f>
        <v>0.2027027027</v>
      </c>
      <c r="Q269" s="8">
        <f>IFERROR(__xludf.DUMMYFUNCTION("""COMPUTED_VALUE"""),0.0694444444444444)</f>
        <v>0.06944444444</v>
      </c>
      <c r="R269" s="8">
        <f>IFERROR(__xludf.DUMMYFUNCTION("""COMPUTED_VALUE"""),0.0625)</f>
        <v>0.0625</v>
      </c>
      <c r="S269" s="8">
        <f>IFERROR(__xludf.DUMMYFUNCTION("""COMPUTED_VALUE"""),0.0)</f>
        <v>0</v>
      </c>
      <c r="T269" s="8">
        <f>IFERROR(__xludf.DUMMYFUNCTION("""COMPUTED_VALUE"""),0.0)</f>
        <v>0</v>
      </c>
      <c r="U269" s="8">
        <f>IFERROR(__xludf.DUMMYFUNCTION("""COMPUTED_VALUE"""),0.0)</f>
        <v>0</v>
      </c>
      <c r="V269" s="8">
        <f>IFERROR(__xludf.DUMMYFUNCTION("""COMPUTED_VALUE"""),0.0)</f>
        <v>0</v>
      </c>
      <c r="W269" s="8">
        <f>IFERROR(__xludf.DUMMYFUNCTION("""COMPUTED_VALUE"""),0.0)</f>
        <v>0</v>
      </c>
      <c r="X269" s="8">
        <f>IFERROR(__xludf.DUMMYFUNCTION("""COMPUTED_VALUE"""),0.0)</f>
        <v>0</v>
      </c>
      <c r="Y269" s="8">
        <f>IFERROR(__xludf.DUMMYFUNCTION("""COMPUTED_VALUE"""),0.0)</f>
        <v>0</v>
      </c>
      <c r="Z269" s="8">
        <f>IFERROR(__xludf.DUMMYFUNCTION("""COMPUTED_VALUE"""),0.0)</f>
        <v>0</v>
      </c>
      <c r="AA269" s="8">
        <f>IFERROR(__xludf.DUMMYFUNCTION("""COMPUTED_VALUE"""),0.0)</f>
        <v>0</v>
      </c>
      <c r="AB269" s="8">
        <f>IFERROR(__xludf.DUMMYFUNCTION("""COMPUTED_VALUE"""),0.0)</f>
        <v>0</v>
      </c>
      <c r="AC269" s="8">
        <f>IFERROR(__xludf.DUMMYFUNCTION("""COMPUTED_VALUE"""),0.0)</f>
        <v>0</v>
      </c>
    </row>
    <row r="270" ht="15.75" customHeight="1">
      <c r="A270" s="6" t="str">
        <f>IFERROR(__xludf.DUMMYFUNCTION("""COMPUTED_VALUE"""),"f55e0806430f9f979b0bfc889bab608a05d8bb5b")</f>
        <v>f55e0806430f9f979b0bfc889bab608a05d8bb5b</v>
      </c>
      <c r="B270" s="6" t="str">
        <f>IFERROR(__xludf.DUMMYFUNCTION("""COMPUTED_VALUE"""),"Light of a New World")</f>
        <v>Light of a New World</v>
      </c>
      <c r="C270" s="6" t="str">
        <f>IFERROR(__xludf.DUMMYFUNCTION("""COMPUTED_VALUE"""),"Sci-Fi")</f>
        <v>Sci-Fi</v>
      </c>
      <c r="D270" s="11">
        <f>IFERROR(__xludf.DUMMYFUNCTION("""COMPUTED_VALUE"""),68.0)</f>
        <v>68</v>
      </c>
      <c r="E270" s="8">
        <f>IFERROR(__xludf.DUMMYFUNCTION("""COMPUTED_VALUE"""),0.985294117647058)</f>
        <v>0.9852941176</v>
      </c>
      <c r="F270" s="8">
        <f>IFERROR(__xludf.DUMMYFUNCTION("""COMPUTED_VALUE"""),0.338235294117647)</f>
        <v>0.3382352941</v>
      </c>
      <c r="G270" s="8">
        <f>IFERROR(__xludf.DUMMYFUNCTION("""COMPUTED_VALUE"""),0.264705882352941)</f>
        <v>0.2647058824</v>
      </c>
      <c r="H270" s="8">
        <f>IFERROR(__xludf.DUMMYFUNCTION("""COMPUTED_VALUE"""),0.220588235294117)</f>
        <v>0.2205882353</v>
      </c>
      <c r="I270" s="8">
        <f>IFERROR(__xludf.DUMMYFUNCTION("""COMPUTED_VALUE"""),0.176470588235294)</f>
        <v>0.1764705882</v>
      </c>
      <c r="J270" s="8">
        <f>IFERROR(__xludf.DUMMYFUNCTION("""COMPUTED_VALUE"""),0.117647058823529)</f>
        <v>0.1176470588</v>
      </c>
      <c r="K270" s="8">
        <f>IFERROR(__xludf.DUMMYFUNCTION("""COMPUTED_VALUE"""),0.102941176470588)</f>
        <v>0.1029411765</v>
      </c>
      <c r="L270" s="8">
        <f>IFERROR(__xludf.DUMMYFUNCTION("""COMPUTED_VALUE"""),0.088235294117647)</f>
        <v>0.08823529412</v>
      </c>
      <c r="M270" s="8">
        <f>IFERROR(__xludf.DUMMYFUNCTION("""COMPUTED_VALUE"""),0.0735294117647058)</f>
        <v>0.07352941176</v>
      </c>
      <c r="N270" s="8">
        <f>IFERROR(__xludf.DUMMYFUNCTION("""COMPUTED_VALUE"""),0.0588235294117647)</f>
        <v>0.05882352941</v>
      </c>
      <c r="O270" s="8">
        <f>IFERROR(__xludf.DUMMYFUNCTION("""COMPUTED_VALUE"""),0.0735294117647058)</f>
        <v>0.07352941176</v>
      </c>
      <c r="P270" s="8">
        <f>IFERROR(__xludf.DUMMYFUNCTION("""COMPUTED_VALUE"""),0.0588235294117647)</f>
        <v>0.05882352941</v>
      </c>
      <c r="Q270" s="8">
        <f>IFERROR(__xludf.DUMMYFUNCTION("""COMPUTED_VALUE"""),0.0147058823529411)</f>
        <v>0.01470588235</v>
      </c>
      <c r="R270" s="8">
        <f>IFERROR(__xludf.DUMMYFUNCTION("""COMPUTED_VALUE"""),0.0147058823529411)</f>
        <v>0.01470588235</v>
      </c>
      <c r="S270" s="8">
        <f>IFERROR(__xludf.DUMMYFUNCTION("""COMPUTED_VALUE"""),0.0)</f>
        <v>0</v>
      </c>
      <c r="T270" s="8">
        <f>IFERROR(__xludf.DUMMYFUNCTION("""COMPUTED_VALUE"""),0.0)</f>
        <v>0</v>
      </c>
      <c r="U270" s="8">
        <f>IFERROR(__xludf.DUMMYFUNCTION("""COMPUTED_VALUE"""),0.0)</f>
        <v>0</v>
      </c>
      <c r="V270" s="8">
        <f>IFERROR(__xludf.DUMMYFUNCTION("""COMPUTED_VALUE"""),0.0)</f>
        <v>0</v>
      </c>
      <c r="W270" s="8">
        <f>IFERROR(__xludf.DUMMYFUNCTION("""COMPUTED_VALUE"""),0.0)</f>
        <v>0</v>
      </c>
      <c r="X270" s="8">
        <f>IFERROR(__xludf.DUMMYFUNCTION("""COMPUTED_VALUE"""),0.0)</f>
        <v>0</v>
      </c>
      <c r="Y270" s="8">
        <f>IFERROR(__xludf.DUMMYFUNCTION("""COMPUTED_VALUE"""),0.0)</f>
        <v>0</v>
      </c>
      <c r="Z270" s="8">
        <f>IFERROR(__xludf.DUMMYFUNCTION("""COMPUTED_VALUE"""),0.0)</f>
        <v>0</v>
      </c>
      <c r="AA270" s="8">
        <f>IFERROR(__xludf.DUMMYFUNCTION("""COMPUTED_VALUE"""),0.0)</f>
        <v>0</v>
      </c>
      <c r="AB270" s="8">
        <f>IFERROR(__xludf.DUMMYFUNCTION("""COMPUTED_VALUE"""),0.0)</f>
        <v>0</v>
      </c>
      <c r="AC270" s="8">
        <f>IFERROR(__xludf.DUMMYFUNCTION("""COMPUTED_VALUE"""),0.0)</f>
        <v>0</v>
      </c>
    </row>
    <row r="271" ht="15.75" customHeight="1">
      <c r="A271" s="6" t="str">
        <f>IFERROR(__xludf.DUMMYFUNCTION("""COMPUTED_VALUE"""),"f692474d2ac3ef329a93f72cfedf44bceaced5f1")</f>
        <v>f692474d2ac3ef329a93f72cfedf44bceaced5f1</v>
      </c>
      <c r="B271" s="6" t="str">
        <f>IFERROR(__xludf.DUMMYFUNCTION("""COMPUTED_VALUE"""),"Kingsley Reigns")</f>
        <v>Kingsley Reigns</v>
      </c>
      <c r="C271" s="6" t="str">
        <f>IFERROR(__xludf.DUMMYFUNCTION("""COMPUTED_VALUE"""),"Drama")</f>
        <v>Drama</v>
      </c>
      <c r="D271" s="11">
        <f>IFERROR(__xludf.DUMMYFUNCTION("""COMPUTED_VALUE"""),1492.0)</f>
        <v>1492</v>
      </c>
      <c r="E271" s="8">
        <f>IFERROR(__xludf.DUMMYFUNCTION("""COMPUTED_VALUE"""),0.938337801608579)</f>
        <v>0.9383378016</v>
      </c>
      <c r="F271" s="8">
        <f>IFERROR(__xludf.DUMMYFUNCTION("""COMPUTED_VALUE"""),0.533512064343163)</f>
        <v>0.5335120643</v>
      </c>
      <c r="G271" s="8">
        <f>IFERROR(__xludf.DUMMYFUNCTION("""COMPUTED_VALUE"""),0.488605898123324)</f>
        <v>0.4886058981</v>
      </c>
      <c r="H271" s="8">
        <f>IFERROR(__xludf.DUMMYFUNCTION("""COMPUTED_VALUE"""),0.457774798927613)</f>
        <v>0.4577747989</v>
      </c>
      <c r="I271" s="8">
        <f>IFERROR(__xludf.DUMMYFUNCTION("""COMPUTED_VALUE"""),0.438631790744466)</f>
        <v>0.4386317907</v>
      </c>
      <c r="J271" s="8">
        <f>IFERROR(__xludf.DUMMYFUNCTION("""COMPUTED_VALUE"""),0.414486921529175)</f>
        <v>0.4144869215</v>
      </c>
      <c r="K271" s="8">
        <f>IFERROR(__xludf.DUMMYFUNCTION("""COMPUTED_VALUE"""),0.393024815560026)</f>
        <v>0.3930248156</v>
      </c>
      <c r="L271" s="8">
        <f>IFERROR(__xludf.DUMMYFUNCTION("""COMPUTED_VALUE"""),0.372233400402414)</f>
        <v>0.3722334004</v>
      </c>
      <c r="M271" s="8">
        <f>IFERROR(__xludf.DUMMYFUNCTION("""COMPUTED_VALUE"""),0.362843729040912)</f>
        <v>0.362843729</v>
      </c>
      <c r="N271" s="8">
        <f>IFERROR(__xludf.DUMMYFUNCTION("""COMPUTED_VALUE"""),0.361559139784946)</f>
        <v>0.3615591398</v>
      </c>
      <c r="O271" s="8">
        <f>IFERROR(__xludf.DUMMYFUNCTION("""COMPUTED_VALUE"""),0.32907133243607)</f>
        <v>0.3290713324</v>
      </c>
      <c r="P271" s="8">
        <f>IFERROR(__xludf.DUMMYFUNCTION("""COMPUTED_VALUE"""),0.260283209710047)</f>
        <v>0.2602832097</v>
      </c>
      <c r="Q271" s="8">
        <f>IFERROR(__xludf.DUMMYFUNCTION("""COMPUTED_VALUE"""),0.184584178498985)</f>
        <v>0.1845841785</v>
      </c>
      <c r="R271" s="8">
        <f>IFERROR(__xludf.DUMMYFUNCTION("""COMPUTED_VALUE"""),0.157181571815718)</f>
        <v>0.1571815718</v>
      </c>
      <c r="S271" s="8">
        <f>IFERROR(__xludf.DUMMYFUNCTION("""COMPUTED_VALUE"""),0.144766146993318)</f>
        <v>0.144766147</v>
      </c>
      <c r="T271" s="8">
        <f>IFERROR(__xludf.DUMMYFUNCTION("""COMPUTED_VALUE"""),0.129565217391304)</f>
        <v>0.1295652174</v>
      </c>
      <c r="U271" s="8">
        <f>IFERROR(__xludf.DUMMYFUNCTION("""COMPUTED_VALUE"""),0.116917626217891)</f>
        <v>0.1169176262</v>
      </c>
      <c r="V271" s="8">
        <f>IFERROR(__xludf.DUMMYFUNCTION("""COMPUTED_VALUE"""),0.10754189944134)</f>
        <v>0.1075418994</v>
      </c>
      <c r="W271" s="8">
        <f>IFERROR(__xludf.DUMMYFUNCTION("""COMPUTED_VALUE"""),0.0861788617886178)</f>
        <v>0.08617886179</v>
      </c>
      <c r="X271" s="8">
        <f>IFERROR(__xludf.DUMMYFUNCTION("""COMPUTED_VALUE"""),0.0587002096436058)</f>
        <v>0.05870020964</v>
      </c>
      <c r="Y271" s="8">
        <f>IFERROR(__xludf.DUMMYFUNCTION("""COMPUTED_VALUE"""),0.0458015267175572)</f>
        <v>0.04580152672</v>
      </c>
      <c r="Z271" s="8">
        <f>IFERROR(__xludf.DUMMYFUNCTION("""COMPUTED_VALUE"""),0.0232558139534883)</f>
        <v>0.02325581395</v>
      </c>
      <c r="AA271" s="8">
        <f>IFERROR(__xludf.DUMMYFUNCTION("""COMPUTED_VALUE"""),0.009009009009009)</f>
        <v>0.009009009009</v>
      </c>
      <c r="AB271" s="8">
        <f>IFERROR(__xludf.DUMMYFUNCTION("""COMPUTED_VALUE"""),0.0099502487562189)</f>
        <v>0.009950248756</v>
      </c>
      <c r="AC271" s="8">
        <f>IFERROR(__xludf.DUMMYFUNCTION("""COMPUTED_VALUE"""),0.0)</f>
        <v>0</v>
      </c>
    </row>
    <row r="272" ht="15.75" customHeight="1">
      <c r="A272" s="6" t="str">
        <f>IFERROR(__xludf.DUMMYFUNCTION("""COMPUTED_VALUE"""),"f6ea1ee253b53b8124a4f7f92ae0a9ef960a044a")</f>
        <v>f6ea1ee253b53b8124a4f7f92ae0a9ef960a044a</v>
      </c>
      <c r="B272" s="6" t="str">
        <f>IFERROR(__xludf.DUMMYFUNCTION("""COMPUTED_VALUE"""),"Regret of the Ceo")</f>
        <v>Regret of the Ceo</v>
      </c>
      <c r="C272" s="6" t="str">
        <f>IFERROR(__xludf.DUMMYFUNCTION("""COMPUTED_VALUE"""),"Romance")</f>
        <v>Romance</v>
      </c>
      <c r="D272" s="11">
        <f>IFERROR(__xludf.DUMMYFUNCTION("""COMPUTED_VALUE"""),301.0)</f>
        <v>301</v>
      </c>
      <c r="E272" s="8">
        <f>IFERROR(__xludf.DUMMYFUNCTION("""COMPUTED_VALUE"""),0.956810631229235)</f>
        <v>0.9568106312</v>
      </c>
      <c r="F272" s="8">
        <f>IFERROR(__xludf.DUMMYFUNCTION("""COMPUTED_VALUE"""),0.817275747508305)</f>
        <v>0.8172757475</v>
      </c>
      <c r="G272" s="8">
        <f>IFERROR(__xludf.DUMMYFUNCTION("""COMPUTED_VALUE"""),0.787375415282392)</f>
        <v>0.7873754153</v>
      </c>
      <c r="H272" s="8">
        <f>IFERROR(__xludf.DUMMYFUNCTION("""COMPUTED_VALUE"""),0.720930232558139)</f>
        <v>0.7209302326</v>
      </c>
      <c r="I272" s="8">
        <f>IFERROR(__xludf.DUMMYFUNCTION("""COMPUTED_VALUE"""),0.654485049833887)</f>
        <v>0.6544850498</v>
      </c>
      <c r="J272" s="8">
        <f>IFERROR(__xludf.DUMMYFUNCTION("""COMPUTED_VALUE"""),0.565217391304347)</f>
        <v>0.5652173913</v>
      </c>
      <c r="K272" s="8">
        <f>IFERROR(__xludf.DUMMYFUNCTION("""COMPUTED_VALUE"""),0.525083612040133)</f>
        <v>0.525083612</v>
      </c>
      <c r="L272" s="8">
        <f>IFERROR(__xludf.DUMMYFUNCTION("""COMPUTED_VALUE"""),0.484848484848484)</f>
        <v>0.4848484848</v>
      </c>
      <c r="M272" s="8">
        <f>IFERROR(__xludf.DUMMYFUNCTION("""COMPUTED_VALUE"""),0.424242424242424)</f>
        <v>0.4242424242</v>
      </c>
      <c r="N272" s="8">
        <f>IFERROR(__xludf.DUMMYFUNCTION("""COMPUTED_VALUE"""),0.403389830508474)</f>
        <v>0.4033898305</v>
      </c>
      <c r="O272" s="8">
        <f>IFERROR(__xludf.DUMMYFUNCTION("""COMPUTED_VALUE"""),0.298969072164948)</f>
        <v>0.2989690722</v>
      </c>
      <c r="P272" s="8">
        <f>IFERROR(__xludf.DUMMYFUNCTION("""COMPUTED_VALUE"""),0.219512195121951)</f>
        <v>0.2195121951</v>
      </c>
      <c r="Q272" s="8">
        <f>IFERROR(__xludf.DUMMYFUNCTION("""COMPUTED_VALUE"""),0.121848739495798)</f>
        <v>0.1218487395</v>
      </c>
      <c r="R272" s="8">
        <f>IFERROR(__xludf.DUMMYFUNCTION("""COMPUTED_VALUE"""),0.0460526315789473)</f>
        <v>0.04605263158</v>
      </c>
      <c r="S272" s="8">
        <f>IFERROR(__xludf.DUMMYFUNCTION("""COMPUTED_VALUE"""),0.0155038759689922)</f>
        <v>0.01550387597</v>
      </c>
      <c r="T272" s="8">
        <f>IFERROR(__xludf.DUMMYFUNCTION("""COMPUTED_VALUE"""),0.0109890109890109)</f>
        <v>0.01098901099</v>
      </c>
      <c r="U272" s="8">
        <f>IFERROR(__xludf.DUMMYFUNCTION("""COMPUTED_VALUE"""),0.0)</f>
        <v>0</v>
      </c>
      <c r="V272" s="8">
        <f>IFERROR(__xludf.DUMMYFUNCTION("""COMPUTED_VALUE"""),0.0)</f>
        <v>0</v>
      </c>
      <c r="W272" s="8">
        <f>IFERROR(__xludf.DUMMYFUNCTION("""COMPUTED_VALUE"""),0.0)</f>
        <v>0</v>
      </c>
      <c r="X272" s="8">
        <f>IFERROR(__xludf.DUMMYFUNCTION("""COMPUTED_VALUE"""),0.0)</f>
        <v>0</v>
      </c>
      <c r="Y272" s="8">
        <f>IFERROR(__xludf.DUMMYFUNCTION("""COMPUTED_VALUE"""),0.0)</f>
        <v>0</v>
      </c>
      <c r="Z272" s="8">
        <f>IFERROR(__xludf.DUMMYFUNCTION("""COMPUTED_VALUE"""),0.0)</f>
        <v>0</v>
      </c>
      <c r="AA272" s="8">
        <f>IFERROR(__xludf.DUMMYFUNCTION("""COMPUTED_VALUE"""),0.0)</f>
        <v>0</v>
      </c>
      <c r="AB272" s="8">
        <f>IFERROR(__xludf.DUMMYFUNCTION("""COMPUTED_VALUE"""),0.0)</f>
        <v>0</v>
      </c>
      <c r="AC272" s="8">
        <f>IFERROR(__xludf.DUMMYFUNCTION("""COMPUTED_VALUE"""),0.0)</f>
        <v>0</v>
      </c>
    </row>
    <row r="273" ht="15.75" customHeight="1">
      <c r="A273" s="6" t="str">
        <f>IFERROR(__xludf.DUMMYFUNCTION("""COMPUTED_VALUE"""),"fb311a6dd8cd59a51bf680323116bcc5d2798a8e")</f>
        <v>fb311a6dd8cd59a51bf680323116bcc5d2798a8e</v>
      </c>
      <c r="B273" s="6" t="str">
        <f>IFERROR(__xludf.DUMMYFUNCTION("""COMPUTED_VALUE"""),"The Beast Tamer's Legacy")</f>
        <v>The Beast Tamer's Legacy</v>
      </c>
      <c r="C273" s="6" t="str">
        <f>IFERROR(__xludf.DUMMYFUNCTION("""COMPUTED_VALUE"""),"System and Superpower")</f>
        <v>System and Superpower</v>
      </c>
      <c r="D273" s="11">
        <f>IFERROR(__xludf.DUMMYFUNCTION("""COMPUTED_VALUE"""),111.0)</f>
        <v>111</v>
      </c>
      <c r="E273" s="8">
        <f>IFERROR(__xludf.DUMMYFUNCTION("""COMPUTED_VALUE"""),0.981981981981981)</f>
        <v>0.981981982</v>
      </c>
      <c r="F273" s="8">
        <f>IFERROR(__xludf.DUMMYFUNCTION("""COMPUTED_VALUE"""),0.396396396396396)</f>
        <v>0.3963963964</v>
      </c>
      <c r="G273" s="8">
        <f>IFERROR(__xludf.DUMMYFUNCTION("""COMPUTED_VALUE"""),0.297297297297297)</f>
        <v>0.2972972973</v>
      </c>
      <c r="H273" s="8">
        <f>IFERROR(__xludf.DUMMYFUNCTION("""COMPUTED_VALUE"""),0.234234234234234)</f>
        <v>0.2342342342</v>
      </c>
      <c r="I273" s="8">
        <f>IFERROR(__xludf.DUMMYFUNCTION("""COMPUTED_VALUE"""),0.18018018018018)</f>
        <v>0.1801801802</v>
      </c>
      <c r="J273" s="8">
        <f>IFERROR(__xludf.DUMMYFUNCTION("""COMPUTED_VALUE"""),0.171171171171171)</f>
        <v>0.1711711712</v>
      </c>
      <c r="K273" s="8">
        <f>IFERROR(__xludf.DUMMYFUNCTION("""COMPUTED_VALUE"""),0.163636363636363)</f>
        <v>0.1636363636</v>
      </c>
      <c r="L273" s="8">
        <f>IFERROR(__xludf.DUMMYFUNCTION("""COMPUTED_VALUE"""),0.145454545454545)</f>
        <v>0.1454545455</v>
      </c>
      <c r="M273" s="8">
        <f>IFERROR(__xludf.DUMMYFUNCTION("""COMPUTED_VALUE"""),0.136363636363636)</f>
        <v>0.1363636364</v>
      </c>
      <c r="N273" s="8">
        <f>IFERROR(__xludf.DUMMYFUNCTION("""COMPUTED_VALUE"""),0.127272727272727)</f>
        <v>0.1272727273</v>
      </c>
      <c r="O273" s="8">
        <f>IFERROR(__xludf.DUMMYFUNCTION("""COMPUTED_VALUE"""),0.10091743119266)</f>
        <v>0.1009174312</v>
      </c>
      <c r="P273" s="8">
        <f>IFERROR(__xludf.DUMMYFUNCTION("""COMPUTED_VALUE"""),0.0824742268041237)</f>
        <v>0.0824742268</v>
      </c>
      <c r="Q273" s="8">
        <f>IFERROR(__xludf.DUMMYFUNCTION("""COMPUTED_VALUE"""),0.0853658536585365)</f>
        <v>0.08536585366</v>
      </c>
      <c r="R273" s="8">
        <f>IFERROR(__xludf.DUMMYFUNCTION("""COMPUTED_VALUE"""),0.0)</f>
        <v>0</v>
      </c>
      <c r="S273" s="8">
        <f>IFERROR(__xludf.DUMMYFUNCTION("""COMPUTED_VALUE"""),0.0)</f>
        <v>0</v>
      </c>
      <c r="T273" s="8">
        <f>IFERROR(__xludf.DUMMYFUNCTION("""COMPUTED_VALUE"""),0.0)</f>
        <v>0</v>
      </c>
      <c r="U273" s="8">
        <f>IFERROR(__xludf.DUMMYFUNCTION("""COMPUTED_VALUE"""),0.0)</f>
        <v>0</v>
      </c>
      <c r="V273" s="8">
        <f>IFERROR(__xludf.DUMMYFUNCTION("""COMPUTED_VALUE"""),0.0)</f>
        <v>0</v>
      </c>
      <c r="W273" s="8">
        <f>IFERROR(__xludf.DUMMYFUNCTION("""COMPUTED_VALUE"""),0.0)</f>
        <v>0</v>
      </c>
      <c r="X273" s="8">
        <f>IFERROR(__xludf.DUMMYFUNCTION("""COMPUTED_VALUE"""),0.0)</f>
        <v>0</v>
      </c>
      <c r="Y273" s="8">
        <f>IFERROR(__xludf.DUMMYFUNCTION("""COMPUTED_VALUE"""),0.0)</f>
        <v>0</v>
      </c>
      <c r="Z273" s="8">
        <f>IFERROR(__xludf.DUMMYFUNCTION("""COMPUTED_VALUE"""),0.0)</f>
        <v>0</v>
      </c>
      <c r="AA273" s="8">
        <f>IFERROR(__xludf.DUMMYFUNCTION("""COMPUTED_VALUE"""),0.0)</f>
        <v>0</v>
      </c>
      <c r="AB273" s="8">
        <f>IFERROR(__xludf.DUMMYFUNCTION("""COMPUTED_VALUE"""),0.0)</f>
        <v>0</v>
      </c>
      <c r="AC273" s="8">
        <f>IFERROR(__xludf.DUMMYFUNCTION("""COMPUTED_VALUE"""),0.0)</f>
        <v>0</v>
      </c>
    </row>
    <row r="274" ht="15.75" customHeight="1">
      <c r="A274" s="6" t="str">
        <f>IFERROR(__xludf.DUMMYFUNCTION("""COMPUTED_VALUE"""),"fc599fbc708fd150dfe8d867a18a17fa8b439c84")</f>
        <v>fc599fbc708fd150dfe8d867a18a17fa8b439c84</v>
      </c>
      <c r="B274" s="6" t="str">
        <f>IFERROR(__xludf.DUMMYFUNCTION("""COMPUTED_VALUE"""),"Anything for Sunny")</f>
        <v>Anything for Sunny</v>
      </c>
      <c r="C274" s="6" t="str">
        <f>IFERROR(__xludf.DUMMYFUNCTION("""COMPUTED_VALUE"""),"Drama")</f>
        <v>Drama</v>
      </c>
      <c r="D274" s="11">
        <f>IFERROR(__xludf.DUMMYFUNCTION("""COMPUTED_VALUE"""),259.0)</f>
        <v>259</v>
      </c>
      <c r="E274" s="8">
        <f>IFERROR(__xludf.DUMMYFUNCTION("""COMPUTED_VALUE"""),0.984555984555984)</f>
        <v>0.9845559846</v>
      </c>
      <c r="F274" s="8">
        <f>IFERROR(__xludf.DUMMYFUNCTION("""COMPUTED_VALUE"""),0.528957528957529)</f>
        <v>0.528957529</v>
      </c>
      <c r="G274" s="8">
        <f>IFERROR(__xludf.DUMMYFUNCTION("""COMPUTED_VALUE"""),0.42084942084942)</f>
        <v>0.4208494208</v>
      </c>
      <c r="H274" s="8">
        <f>IFERROR(__xludf.DUMMYFUNCTION("""COMPUTED_VALUE"""),0.333333333333333)</f>
        <v>0.3333333333</v>
      </c>
      <c r="I274" s="8">
        <f>IFERROR(__xludf.DUMMYFUNCTION("""COMPUTED_VALUE"""),0.2568093385214)</f>
        <v>0.2568093385</v>
      </c>
      <c r="J274" s="8">
        <f>IFERROR(__xludf.DUMMYFUNCTION("""COMPUTED_VALUE"""),0.232283464566929)</f>
        <v>0.2322834646</v>
      </c>
      <c r="K274" s="8">
        <f>IFERROR(__xludf.DUMMYFUNCTION("""COMPUTED_VALUE"""),0.181818181818181)</f>
        <v>0.1818181818</v>
      </c>
      <c r="L274" s="8">
        <f>IFERROR(__xludf.DUMMYFUNCTION("""COMPUTED_VALUE"""),0.165322580645161)</f>
        <v>0.1653225806</v>
      </c>
      <c r="M274" s="8">
        <f>IFERROR(__xludf.DUMMYFUNCTION("""COMPUTED_VALUE"""),0.14516129032258)</f>
        <v>0.1451612903</v>
      </c>
      <c r="N274" s="8">
        <f>IFERROR(__xludf.DUMMYFUNCTION("""COMPUTED_VALUE"""),0.122950819672131)</f>
        <v>0.1229508197</v>
      </c>
      <c r="O274" s="8">
        <f>IFERROR(__xludf.DUMMYFUNCTION("""COMPUTED_VALUE"""),0.117647058823529)</f>
        <v>0.1176470588</v>
      </c>
      <c r="P274" s="8">
        <f>IFERROR(__xludf.DUMMYFUNCTION("""COMPUTED_VALUE"""),0.0952380952380952)</f>
        <v>0.09523809524</v>
      </c>
      <c r="Q274" s="8">
        <f>IFERROR(__xludf.DUMMYFUNCTION("""COMPUTED_VALUE"""),0.111111111111111)</f>
        <v>0.1111111111</v>
      </c>
      <c r="R274" s="8">
        <f>IFERROR(__xludf.DUMMYFUNCTION("""COMPUTED_VALUE"""),0.15)</f>
        <v>0.15</v>
      </c>
      <c r="S274" s="8">
        <f>IFERROR(__xludf.DUMMYFUNCTION("""COMPUTED_VALUE"""),0.0)</f>
        <v>0</v>
      </c>
      <c r="T274" s="8">
        <f>IFERROR(__xludf.DUMMYFUNCTION("""COMPUTED_VALUE"""),0.0)</f>
        <v>0</v>
      </c>
      <c r="U274" s="8">
        <f>IFERROR(__xludf.DUMMYFUNCTION("""COMPUTED_VALUE"""),0.0)</f>
        <v>0</v>
      </c>
      <c r="V274" s="8">
        <f>IFERROR(__xludf.DUMMYFUNCTION("""COMPUTED_VALUE"""),0.0)</f>
        <v>0</v>
      </c>
      <c r="W274" s="8">
        <f>IFERROR(__xludf.DUMMYFUNCTION("""COMPUTED_VALUE"""),0.0)</f>
        <v>0</v>
      </c>
      <c r="X274" s="8">
        <f>IFERROR(__xludf.DUMMYFUNCTION("""COMPUTED_VALUE"""),0.0)</f>
        <v>0</v>
      </c>
      <c r="Y274" s="8">
        <f>IFERROR(__xludf.DUMMYFUNCTION("""COMPUTED_VALUE"""),0.0)</f>
        <v>0</v>
      </c>
      <c r="Z274" s="8">
        <f>IFERROR(__xludf.DUMMYFUNCTION("""COMPUTED_VALUE"""),0.0)</f>
        <v>0</v>
      </c>
      <c r="AA274" s="8">
        <f>IFERROR(__xludf.DUMMYFUNCTION("""COMPUTED_VALUE"""),0.0)</f>
        <v>0</v>
      </c>
      <c r="AB274" s="8">
        <f>IFERROR(__xludf.DUMMYFUNCTION("""COMPUTED_VALUE"""),0.0)</f>
        <v>0</v>
      </c>
      <c r="AC274" s="8">
        <f>IFERROR(__xludf.DUMMYFUNCTION("""COMPUTED_VALUE"""),0.0)</f>
        <v>0</v>
      </c>
    </row>
    <row r="275" ht="15.75" customHeight="1">
      <c r="A275" s="6" t="str">
        <f>IFERROR(__xludf.DUMMYFUNCTION("""COMPUTED_VALUE"""),"fcddd3d14a0e1b1dab1bcb5c11d4aec683fdb598")</f>
        <v>fcddd3d14a0e1b1dab1bcb5c11d4aec683fdb598</v>
      </c>
      <c r="B275" s="6" t="str">
        <f>IFERROR(__xludf.DUMMYFUNCTION("""COMPUTED_VALUE"""),"Rise of Drake Callahan")</f>
        <v>Rise of Drake Callahan</v>
      </c>
      <c r="C275" s="6" t="str">
        <f>IFERROR(__xludf.DUMMYFUNCTION("""COMPUTED_VALUE"""),"Drama")</f>
        <v>Drama</v>
      </c>
      <c r="D275" s="11">
        <f>IFERROR(__xludf.DUMMYFUNCTION("""COMPUTED_VALUE"""),69.0)</f>
        <v>69</v>
      </c>
      <c r="E275" s="8">
        <f>IFERROR(__xludf.DUMMYFUNCTION("""COMPUTED_VALUE"""),1.0)</f>
        <v>1</v>
      </c>
      <c r="F275" s="8">
        <f>IFERROR(__xludf.DUMMYFUNCTION("""COMPUTED_VALUE"""),0.478260869565217)</f>
        <v>0.4782608696</v>
      </c>
      <c r="G275" s="8">
        <f>IFERROR(__xludf.DUMMYFUNCTION("""COMPUTED_VALUE"""),0.420289855072463)</f>
        <v>0.4202898551</v>
      </c>
      <c r="H275" s="8">
        <f>IFERROR(__xludf.DUMMYFUNCTION("""COMPUTED_VALUE"""),0.425925925925925)</f>
        <v>0.4259259259</v>
      </c>
      <c r="I275" s="8">
        <f>IFERROR(__xludf.DUMMYFUNCTION("""COMPUTED_VALUE"""),0.384615384615384)</f>
        <v>0.3846153846</v>
      </c>
      <c r="J275" s="8">
        <f>IFERROR(__xludf.DUMMYFUNCTION("""COMPUTED_VALUE"""),0.348837209302325)</f>
        <v>0.3488372093</v>
      </c>
      <c r="K275" s="8">
        <f>IFERROR(__xludf.DUMMYFUNCTION("""COMPUTED_VALUE"""),0.358974358974359)</f>
        <v>0.358974359</v>
      </c>
      <c r="L275" s="8">
        <f>IFERROR(__xludf.DUMMYFUNCTION("""COMPUTED_VALUE"""),0.366666666666666)</f>
        <v>0.3666666667</v>
      </c>
      <c r="M275" s="8">
        <f>IFERROR(__xludf.DUMMYFUNCTION("""COMPUTED_VALUE"""),0.333333333333333)</f>
        <v>0.3333333333</v>
      </c>
      <c r="N275" s="8">
        <f>IFERROR(__xludf.DUMMYFUNCTION("""COMPUTED_VALUE"""),0.347826086956521)</f>
        <v>0.347826087</v>
      </c>
      <c r="O275" s="8">
        <f>IFERROR(__xludf.DUMMYFUNCTION("""COMPUTED_VALUE"""),0.0)</f>
        <v>0</v>
      </c>
      <c r="P275" s="8">
        <f>IFERROR(__xludf.DUMMYFUNCTION("""COMPUTED_VALUE"""),0.0)</f>
        <v>0</v>
      </c>
      <c r="Q275" s="8">
        <f>IFERROR(__xludf.DUMMYFUNCTION("""COMPUTED_VALUE"""),0.0)</f>
        <v>0</v>
      </c>
      <c r="R275" s="8">
        <f>IFERROR(__xludf.DUMMYFUNCTION("""COMPUTED_VALUE"""),0.0)</f>
        <v>0</v>
      </c>
      <c r="S275" s="8">
        <f>IFERROR(__xludf.DUMMYFUNCTION("""COMPUTED_VALUE"""),0.0)</f>
        <v>0</v>
      </c>
      <c r="T275" s="8">
        <f>IFERROR(__xludf.DUMMYFUNCTION("""COMPUTED_VALUE"""),0.0)</f>
        <v>0</v>
      </c>
      <c r="U275" s="8">
        <f>IFERROR(__xludf.DUMMYFUNCTION("""COMPUTED_VALUE"""),0.0)</f>
        <v>0</v>
      </c>
      <c r="V275" s="8">
        <f>IFERROR(__xludf.DUMMYFUNCTION("""COMPUTED_VALUE"""),0.0)</f>
        <v>0</v>
      </c>
      <c r="W275" s="8">
        <f>IFERROR(__xludf.DUMMYFUNCTION("""COMPUTED_VALUE"""),0.0)</f>
        <v>0</v>
      </c>
      <c r="X275" s="8">
        <f>IFERROR(__xludf.DUMMYFUNCTION("""COMPUTED_VALUE"""),0.0)</f>
        <v>0</v>
      </c>
      <c r="Y275" s="8">
        <f>IFERROR(__xludf.DUMMYFUNCTION("""COMPUTED_VALUE"""),0.0)</f>
        <v>0</v>
      </c>
      <c r="Z275" s="8">
        <f>IFERROR(__xludf.DUMMYFUNCTION("""COMPUTED_VALUE"""),0.0)</f>
        <v>0</v>
      </c>
      <c r="AA275" s="8">
        <f>IFERROR(__xludf.DUMMYFUNCTION("""COMPUTED_VALUE"""),0.0)</f>
        <v>0</v>
      </c>
      <c r="AB275" s="8">
        <f>IFERROR(__xludf.DUMMYFUNCTION("""COMPUTED_VALUE"""),0.0)</f>
        <v>0</v>
      </c>
      <c r="AC275" s="8">
        <f>IFERROR(__xludf.DUMMYFUNCTION("""COMPUTED_VALUE"""),0.0)</f>
        <v>0</v>
      </c>
    </row>
    <row r="276" ht="15.75" customHeight="1">
      <c r="A276" s="6" t="str">
        <f>IFERROR(__xludf.DUMMYFUNCTION("""COMPUTED_VALUE"""),"fce8fe866ed4c3d213e087a4343996d06bb09af7")</f>
        <v>fce8fe866ed4c3d213e087a4343996d06bb09af7</v>
      </c>
      <c r="B276" s="6" t="str">
        <f>IFERROR(__xludf.DUMMYFUNCTION("""COMPUTED_VALUE"""),"The Anderson Rebirth")</f>
        <v>The Anderson Rebirth</v>
      </c>
      <c r="C276" s="6" t="str">
        <f>IFERROR(__xludf.DUMMYFUNCTION("""COMPUTED_VALUE"""),"System and Superpower")</f>
        <v>System and Superpower</v>
      </c>
      <c r="D276" s="11">
        <f>IFERROR(__xludf.DUMMYFUNCTION("""COMPUTED_VALUE"""),173.0)</f>
        <v>173</v>
      </c>
      <c r="E276" s="8">
        <f>IFERROR(__xludf.DUMMYFUNCTION("""COMPUTED_VALUE"""),0.976878612716763)</f>
        <v>0.9768786127</v>
      </c>
      <c r="F276" s="8">
        <f>IFERROR(__xludf.DUMMYFUNCTION("""COMPUTED_VALUE"""),0.566473988439306)</f>
        <v>0.5664739884</v>
      </c>
      <c r="G276" s="8">
        <f>IFERROR(__xludf.DUMMYFUNCTION("""COMPUTED_VALUE"""),0.514450867052023)</f>
        <v>0.5144508671</v>
      </c>
      <c r="H276" s="8">
        <f>IFERROR(__xludf.DUMMYFUNCTION("""COMPUTED_VALUE"""),0.468208092485549)</f>
        <v>0.4682080925</v>
      </c>
      <c r="I276" s="8">
        <f>IFERROR(__xludf.DUMMYFUNCTION("""COMPUTED_VALUE"""),0.445086705202312)</f>
        <v>0.4450867052</v>
      </c>
      <c r="J276" s="8">
        <f>IFERROR(__xludf.DUMMYFUNCTION("""COMPUTED_VALUE"""),0.433526011560693)</f>
        <v>0.4335260116</v>
      </c>
      <c r="K276" s="8">
        <f>IFERROR(__xludf.DUMMYFUNCTION("""COMPUTED_VALUE"""),0.393063583815028)</f>
        <v>0.3930635838</v>
      </c>
      <c r="L276" s="8">
        <f>IFERROR(__xludf.DUMMYFUNCTION("""COMPUTED_VALUE"""),0.369942196531791)</f>
        <v>0.3699421965</v>
      </c>
      <c r="M276" s="8">
        <f>IFERROR(__xludf.DUMMYFUNCTION("""COMPUTED_VALUE"""),0.364161849710982)</f>
        <v>0.3641618497</v>
      </c>
      <c r="N276" s="8">
        <f>IFERROR(__xludf.DUMMYFUNCTION("""COMPUTED_VALUE"""),0.343023255813953)</f>
        <v>0.3430232558</v>
      </c>
      <c r="O276" s="8">
        <f>IFERROR(__xludf.DUMMYFUNCTION("""COMPUTED_VALUE"""),0.327380952380952)</f>
        <v>0.3273809524</v>
      </c>
      <c r="P276" s="8">
        <f>IFERROR(__xludf.DUMMYFUNCTION("""COMPUTED_VALUE"""),0.248484848484848)</f>
        <v>0.2484848485</v>
      </c>
      <c r="Q276" s="8">
        <f>IFERROR(__xludf.DUMMYFUNCTION("""COMPUTED_VALUE"""),0.137931034482758)</f>
        <v>0.1379310345</v>
      </c>
      <c r="R276" s="8">
        <f>IFERROR(__xludf.DUMMYFUNCTION("""COMPUTED_VALUE"""),0.0833333333333333)</f>
        <v>0.08333333333</v>
      </c>
      <c r="S276" s="8">
        <f>IFERROR(__xludf.DUMMYFUNCTION("""COMPUTED_VALUE"""),0.0)</f>
        <v>0</v>
      </c>
      <c r="T276" s="8">
        <f>IFERROR(__xludf.DUMMYFUNCTION("""COMPUTED_VALUE"""),0.0)</f>
        <v>0</v>
      </c>
      <c r="U276" s="8">
        <f>IFERROR(__xludf.DUMMYFUNCTION("""COMPUTED_VALUE"""),0.0)</f>
        <v>0</v>
      </c>
      <c r="V276" s="8">
        <f>IFERROR(__xludf.DUMMYFUNCTION("""COMPUTED_VALUE"""),0.0)</f>
        <v>0</v>
      </c>
      <c r="W276" s="8">
        <f>IFERROR(__xludf.DUMMYFUNCTION("""COMPUTED_VALUE"""),0.0)</f>
        <v>0</v>
      </c>
      <c r="X276" s="8">
        <f>IFERROR(__xludf.DUMMYFUNCTION("""COMPUTED_VALUE"""),0.0)</f>
        <v>0</v>
      </c>
      <c r="Y276" s="8">
        <f>IFERROR(__xludf.DUMMYFUNCTION("""COMPUTED_VALUE"""),0.0)</f>
        <v>0</v>
      </c>
      <c r="Z276" s="8">
        <f>IFERROR(__xludf.DUMMYFUNCTION("""COMPUTED_VALUE"""),0.0)</f>
        <v>0</v>
      </c>
      <c r="AA276" s="8">
        <f>IFERROR(__xludf.DUMMYFUNCTION("""COMPUTED_VALUE"""),0.0)</f>
        <v>0</v>
      </c>
      <c r="AB276" s="8">
        <f>IFERROR(__xludf.DUMMYFUNCTION("""COMPUTED_VALUE"""),0.0)</f>
        <v>0</v>
      </c>
      <c r="AC276" s="8">
        <f>IFERROR(__xludf.DUMMYFUNCTION("""COMPUTED_VALUE"""),0.0)</f>
        <v>0</v>
      </c>
    </row>
    <row r="277" ht="15.75" customHeight="1">
      <c r="A277" s="6" t="str">
        <f>IFERROR(__xludf.DUMMYFUNCTION("""COMPUTED_VALUE"""),"fce99720ddedf66c6e45f23c6876581e0b796f34")</f>
        <v>fce99720ddedf66c6e45f23c6876581e0b796f34</v>
      </c>
      <c r="B277" s="6" t="str">
        <f>IFERROR(__xludf.DUMMYFUNCTION("""COMPUTED_VALUE"""),"Reborn as Serena Whitmore")</f>
        <v>Reborn as Serena Whitmore</v>
      </c>
      <c r="C277" s="6" t="str">
        <f>IFERROR(__xludf.DUMMYFUNCTION("""COMPUTED_VALUE"""),"Romance")</f>
        <v>Romance</v>
      </c>
      <c r="D277" s="11">
        <f>IFERROR(__xludf.DUMMYFUNCTION("""COMPUTED_VALUE"""),575.0)</f>
        <v>575</v>
      </c>
      <c r="E277" s="8">
        <f>IFERROR(__xludf.DUMMYFUNCTION("""COMPUTED_VALUE"""),0.96695652173913)</f>
        <v>0.9669565217</v>
      </c>
      <c r="F277" s="8">
        <f>IFERROR(__xludf.DUMMYFUNCTION("""COMPUTED_VALUE"""),0.756521739130434)</f>
        <v>0.7565217391</v>
      </c>
      <c r="G277" s="8">
        <f>IFERROR(__xludf.DUMMYFUNCTION("""COMPUTED_VALUE"""),0.695652173913043)</f>
        <v>0.6956521739</v>
      </c>
      <c r="H277" s="8">
        <f>IFERROR(__xludf.DUMMYFUNCTION("""COMPUTED_VALUE"""),0.650877192982456)</f>
        <v>0.650877193</v>
      </c>
      <c r="I277" s="8">
        <f>IFERROR(__xludf.DUMMYFUNCTION("""COMPUTED_VALUE"""),0.585964912280701)</f>
        <v>0.5859649123</v>
      </c>
      <c r="J277" s="8">
        <f>IFERROR(__xludf.DUMMYFUNCTION("""COMPUTED_VALUE"""),0.565862708719851)</f>
        <v>0.5658627087</v>
      </c>
      <c r="K277" s="8">
        <f>IFERROR(__xludf.DUMMYFUNCTION("""COMPUTED_VALUE"""),0.529182879377431)</f>
        <v>0.5291828794</v>
      </c>
      <c r="L277" s="8">
        <f>IFERROR(__xludf.DUMMYFUNCTION("""COMPUTED_VALUE"""),0.49010989010989)</f>
        <v>0.4901098901</v>
      </c>
      <c r="M277" s="8">
        <f>IFERROR(__xludf.DUMMYFUNCTION("""COMPUTED_VALUE"""),0.44626168224299)</f>
        <v>0.4462616822</v>
      </c>
      <c r="N277" s="8">
        <f>IFERROR(__xludf.DUMMYFUNCTION("""COMPUTED_VALUE"""),0.432)</f>
        <v>0.432</v>
      </c>
      <c r="O277" s="8">
        <f>IFERROR(__xludf.DUMMYFUNCTION("""COMPUTED_VALUE"""),0.377777777777777)</f>
        <v>0.3777777778</v>
      </c>
      <c r="P277" s="8">
        <f>IFERROR(__xludf.DUMMYFUNCTION("""COMPUTED_VALUE"""),0.28)</f>
        <v>0.28</v>
      </c>
      <c r="Q277" s="8">
        <f>IFERROR(__xludf.DUMMYFUNCTION("""COMPUTED_VALUE"""),0.0)</f>
        <v>0</v>
      </c>
      <c r="R277" s="8">
        <f>IFERROR(__xludf.DUMMYFUNCTION("""COMPUTED_VALUE"""),0.0)</f>
        <v>0</v>
      </c>
      <c r="S277" s="8">
        <f>IFERROR(__xludf.DUMMYFUNCTION("""COMPUTED_VALUE"""),0.0)</f>
        <v>0</v>
      </c>
      <c r="T277" s="8">
        <f>IFERROR(__xludf.DUMMYFUNCTION("""COMPUTED_VALUE"""),0.0)</f>
        <v>0</v>
      </c>
      <c r="U277" s="8">
        <f>IFERROR(__xludf.DUMMYFUNCTION("""COMPUTED_VALUE"""),0.0)</f>
        <v>0</v>
      </c>
      <c r="V277" s="8">
        <f>IFERROR(__xludf.DUMMYFUNCTION("""COMPUTED_VALUE"""),0.0)</f>
        <v>0</v>
      </c>
      <c r="W277" s="8">
        <f>IFERROR(__xludf.DUMMYFUNCTION("""COMPUTED_VALUE"""),0.0)</f>
        <v>0</v>
      </c>
      <c r="X277" s="8">
        <f>IFERROR(__xludf.DUMMYFUNCTION("""COMPUTED_VALUE"""),0.0)</f>
        <v>0</v>
      </c>
      <c r="Y277" s="8">
        <f>IFERROR(__xludf.DUMMYFUNCTION("""COMPUTED_VALUE"""),0.0)</f>
        <v>0</v>
      </c>
      <c r="Z277" s="8">
        <f>IFERROR(__xludf.DUMMYFUNCTION("""COMPUTED_VALUE"""),0.0)</f>
        <v>0</v>
      </c>
      <c r="AA277" s="8">
        <f>IFERROR(__xludf.DUMMYFUNCTION("""COMPUTED_VALUE"""),0.0)</f>
        <v>0</v>
      </c>
      <c r="AB277" s="8">
        <f>IFERROR(__xludf.DUMMYFUNCTION("""COMPUTED_VALUE"""),0.0)</f>
        <v>0</v>
      </c>
      <c r="AC277" s="8">
        <f>IFERROR(__xludf.DUMMYFUNCTION("""COMPUTED_VALUE"""),0.0)</f>
        <v>0</v>
      </c>
    </row>
    <row r="278" ht="15.75" customHeight="1">
      <c r="A278" s="6" t="str">
        <f>IFERROR(__xludf.DUMMYFUNCTION("""COMPUTED_VALUE"""),"fe01aa725eab93a44f707bbab393a9640b0e69db")</f>
        <v>fe01aa725eab93a44f707bbab393a9640b0e69db</v>
      </c>
      <c r="B278" s="6" t="str">
        <f>IFERROR(__xludf.DUMMYFUNCTION("""COMPUTED_VALUE"""),"3 Years Later He Found Me")</f>
        <v>3 Years Later He Found Me</v>
      </c>
      <c r="C278" s="6" t="str">
        <f>IFERROR(__xludf.DUMMYFUNCTION("""COMPUTED_VALUE"""),"Romance")</f>
        <v>Romance</v>
      </c>
      <c r="D278" s="11">
        <f>IFERROR(__xludf.DUMMYFUNCTION("""COMPUTED_VALUE"""),552.0)</f>
        <v>552</v>
      </c>
      <c r="E278" s="8">
        <f>IFERROR(__xludf.DUMMYFUNCTION("""COMPUTED_VALUE"""),0.954710144927536)</f>
        <v>0.9547101449</v>
      </c>
      <c r="F278" s="8">
        <f>IFERROR(__xludf.DUMMYFUNCTION("""COMPUTED_VALUE"""),0.56159420289855)</f>
        <v>0.5615942029</v>
      </c>
      <c r="G278" s="8">
        <f>IFERROR(__xludf.DUMMYFUNCTION("""COMPUTED_VALUE"""),0.476449275362318)</f>
        <v>0.4764492754</v>
      </c>
      <c r="H278" s="8">
        <f>IFERROR(__xludf.DUMMYFUNCTION("""COMPUTED_VALUE"""),0.428312159709618)</f>
        <v>0.4283121597</v>
      </c>
      <c r="I278" s="8">
        <f>IFERROR(__xludf.DUMMYFUNCTION("""COMPUTED_VALUE"""),0.399274047186932)</f>
        <v>0.3992740472</v>
      </c>
      <c r="J278" s="8">
        <f>IFERROR(__xludf.DUMMYFUNCTION("""COMPUTED_VALUE"""),0.373865698729582)</f>
        <v>0.3738656987</v>
      </c>
      <c r="K278" s="8">
        <f>IFERROR(__xludf.DUMMYFUNCTION("""COMPUTED_VALUE"""),0.353901996370235)</f>
        <v>0.3539019964</v>
      </c>
      <c r="L278" s="8">
        <f>IFERROR(__xludf.DUMMYFUNCTION("""COMPUTED_VALUE"""),0.337568058076225)</f>
        <v>0.3375680581</v>
      </c>
      <c r="M278" s="8">
        <f>IFERROR(__xludf.DUMMYFUNCTION("""COMPUTED_VALUE"""),0.321234119782214)</f>
        <v>0.3212341198</v>
      </c>
      <c r="N278" s="8">
        <f>IFERROR(__xludf.DUMMYFUNCTION("""COMPUTED_VALUE"""),0.29090909090909)</f>
        <v>0.2909090909</v>
      </c>
      <c r="O278" s="8">
        <f>IFERROR(__xludf.DUMMYFUNCTION("""COMPUTED_VALUE"""),0.248628884826325)</f>
        <v>0.2486288848</v>
      </c>
      <c r="P278" s="8">
        <f>IFERROR(__xludf.DUMMYFUNCTION("""COMPUTED_VALUE"""),0.165120593692022)</f>
        <v>0.1651205937</v>
      </c>
      <c r="Q278" s="8">
        <f>IFERROR(__xludf.DUMMYFUNCTION("""COMPUTED_VALUE"""),0.307692307692307)</f>
        <v>0.3076923077</v>
      </c>
      <c r="R278" s="8">
        <f>IFERROR(__xludf.DUMMYFUNCTION("""COMPUTED_VALUE"""),0.0)</f>
        <v>0</v>
      </c>
      <c r="S278" s="8">
        <f>IFERROR(__xludf.DUMMYFUNCTION("""COMPUTED_VALUE"""),0.0)</f>
        <v>0</v>
      </c>
      <c r="T278" s="8">
        <f>IFERROR(__xludf.DUMMYFUNCTION("""COMPUTED_VALUE"""),0.0)</f>
        <v>0</v>
      </c>
      <c r="U278" s="8">
        <f>IFERROR(__xludf.DUMMYFUNCTION("""COMPUTED_VALUE"""),0.0)</f>
        <v>0</v>
      </c>
      <c r="V278" s="8">
        <f>IFERROR(__xludf.DUMMYFUNCTION("""COMPUTED_VALUE"""),0.0)</f>
        <v>0</v>
      </c>
      <c r="W278" s="8">
        <f>IFERROR(__xludf.DUMMYFUNCTION("""COMPUTED_VALUE"""),0.0)</f>
        <v>0</v>
      </c>
      <c r="X278" s="8">
        <f>IFERROR(__xludf.DUMMYFUNCTION("""COMPUTED_VALUE"""),0.0)</f>
        <v>0</v>
      </c>
      <c r="Y278" s="8">
        <f>IFERROR(__xludf.DUMMYFUNCTION("""COMPUTED_VALUE"""),0.0)</f>
        <v>0</v>
      </c>
      <c r="Z278" s="8">
        <f>IFERROR(__xludf.DUMMYFUNCTION("""COMPUTED_VALUE"""),0.0)</f>
        <v>0</v>
      </c>
      <c r="AA278" s="8">
        <f>IFERROR(__xludf.DUMMYFUNCTION("""COMPUTED_VALUE"""),0.0)</f>
        <v>0</v>
      </c>
      <c r="AB278" s="8">
        <f>IFERROR(__xludf.DUMMYFUNCTION("""COMPUTED_VALUE"""),0.0)</f>
        <v>0</v>
      </c>
      <c r="AC278" s="8">
        <f>IFERROR(__xludf.DUMMYFUNCTION("""COMPUTED_VALUE"""),0.0)</f>
        <v>0</v>
      </c>
    </row>
    <row r="279" ht="15.75" customHeight="1">
      <c r="A279" s="6" t="str">
        <f>IFERROR(__xludf.DUMMYFUNCTION("""COMPUTED_VALUE"""),"fe218223c3cbc0377d2bb07ad68251723f1b3792")</f>
        <v>fe218223c3cbc0377d2bb07ad68251723f1b3792</v>
      </c>
      <c r="B279" s="6" t="str">
        <f>IFERROR(__xludf.DUMMYFUNCTION("""COMPUTED_VALUE"""),"Return of the Gamer God")</f>
        <v>Return of the Gamer God</v>
      </c>
      <c r="C279" s="6" t="str">
        <f>IFERROR(__xludf.DUMMYFUNCTION("""COMPUTED_VALUE"""),"System and Superpower")</f>
        <v>System and Superpower</v>
      </c>
      <c r="D279" s="11">
        <f>IFERROR(__xludf.DUMMYFUNCTION("""COMPUTED_VALUE"""),234.0)</f>
        <v>234</v>
      </c>
      <c r="E279" s="8">
        <f>IFERROR(__xludf.DUMMYFUNCTION("""COMPUTED_VALUE"""),0.978632478632478)</f>
        <v>0.9786324786</v>
      </c>
      <c r="F279" s="8">
        <f>IFERROR(__xludf.DUMMYFUNCTION("""COMPUTED_VALUE"""),0.401709401709401)</f>
        <v>0.4017094017</v>
      </c>
      <c r="G279" s="8">
        <f>IFERROR(__xludf.DUMMYFUNCTION("""COMPUTED_VALUE"""),0.35042735042735)</f>
        <v>0.3504273504</v>
      </c>
      <c r="H279" s="8">
        <f>IFERROR(__xludf.DUMMYFUNCTION("""COMPUTED_VALUE"""),0.311965811965811)</f>
        <v>0.311965812</v>
      </c>
      <c r="I279" s="8">
        <f>IFERROR(__xludf.DUMMYFUNCTION("""COMPUTED_VALUE"""),0.303418803418803)</f>
        <v>0.3034188034</v>
      </c>
      <c r="J279" s="8">
        <f>IFERROR(__xludf.DUMMYFUNCTION("""COMPUTED_VALUE"""),0.284482758620689)</f>
        <v>0.2844827586</v>
      </c>
      <c r="K279" s="8">
        <f>IFERROR(__xludf.DUMMYFUNCTION("""COMPUTED_VALUE"""),0.267241379310344)</f>
        <v>0.2672413793</v>
      </c>
      <c r="L279" s="8">
        <f>IFERROR(__xludf.DUMMYFUNCTION("""COMPUTED_VALUE"""),0.243478260869565)</f>
        <v>0.2434782609</v>
      </c>
      <c r="M279" s="8">
        <f>IFERROR(__xludf.DUMMYFUNCTION("""COMPUTED_VALUE"""),0.226086956521739)</f>
        <v>0.2260869565</v>
      </c>
      <c r="N279" s="8">
        <f>IFERROR(__xludf.DUMMYFUNCTION("""COMPUTED_VALUE"""),0.222707423580786)</f>
        <v>0.2227074236</v>
      </c>
      <c r="O279" s="8">
        <f>IFERROR(__xludf.DUMMYFUNCTION("""COMPUTED_VALUE"""),0.185567010309278)</f>
        <v>0.1855670103</v>
      </c>
      <c r="P279" s="8">
        <f>IFERROR(__xludf.DUMMYFUNCTION("""COMPUTED_VALUE"""),0.142857142857142)</f>
        <v>0.1428571429</v>
      </c>
      <c r="Q279" s="8">
        <f>IFERROR(__xludf.DUMMYFUNCTION("""COMPUTED_VALUE"""),0.0)</f>
        <v>0</v>
      </c>
      <c r="R279" s="8">
        <f>IFERROR(__xludf.DUMMYFUNCTION("""COMPUTED_VALUE"""),0.0)</f>
        <v>0</v>
      </c>
      <c r="S279" s="8">
        <f>IFERROR(__xludf.DUMMYFUNCTION("""COMPUTED_VALUE"""),0.0)</f>
        <v>0</v>
      </c>
      <c r="T279" s="8">
        <f>IFERROR(__xludf.DUMMYFUNCTION("""COMPUTED_VALUE"""),0.0)</f>
        <v>0</v>
      </c>
      <c r="U279" s="8">
        <f>IFERROR(__xludf.DUMMYFUNCTION("""COMPUTED_VALUE"""),0.0)</f>
        <v>0</v>
      </c>
      <c r="V279" s="8">
        <f>IFERROR(__xludf.DUMMYFUNCTION("""COMPUTED_VALUE"""),0.0)</f>
        <v>0</v>
      </c>
      <c r="W279" s="8">
        <f>IFERROR(__xludf.DUMMYFUNCTION("""COMPUTED_VALUE"""),0.0)</f>
        <v>0</v>
      </c>
      <c r="X279" s="8">
        <f>IFERROR(__xludf.DUMMYFUNCTION("""COMPUTED_VALUE"""),0.0)</f>
        <v>0</v>
      </c>
      <c r="Y279" s="8">
        <f>IFERROR(__xludf.DUMMYFUNCTION("""COMPUTED_VALUE"""),0.0)</f>
        <v>0</v>
      </c>
      <c r="Z279" s="8">
        <f>IFERROR(__xludf.DUMMYFUNCTION("""COMPUTED_VALUE"""),0.0)</f>
        <v>0</v>
      </c>
      <c r="AA279" s="8">
        <f>IFERROR(__xludf.DUMMYFUNCTION("""COMPUTED_VALUE"""),0.0)</f>
        <v>0</v>
      </c>
      <c r="AB279" s="8">
        <f>IFERROR(__xludf.DUMMYFUNCTION("""COMPUTED_VALUE"""),0.0)</f>
        <v>0</v>
      </c>
      <c r="AC279" s="8">
        <f>IFERROR(__xludf.DUMMYFUNCTION("""COMPUTED_VALUE"""),0.0)</f>
        <v>0</v>
      </c>
    </row>
    <row r="280" ht="15.75" customHeight="1">
      <c r="A280" s="1" t="str">
        <f>IFERROR(__xludf.DUMMYFUNCTION("""COMPUTED_VALUE"""),"fce8fe866ed4c3d213e087a4343996d06bb09af7")</f>
        <v>fce8fe866ed4c3d213e087a4343996d06bb09af7</v>
      </c>
      <c r="B280" s="1" t="str">
        <f>IFERROR(__xludf.DUMMYFUNCTION("""COMPUTED_VALUE"""),"The Anderson Rebirth")</f>
        <v>The Anderson Rebirth</v>
      </c>
      <c r="C280" s="1" t="str">
        <f>IFERROR(__xludf.DUMMYFUNCTION("""COMPUTED_VALUE"""),"System and Superpower")</f>
        <v>System and Superpower</v>
      </c>
      <c r="D280" s="2">
        <f>IFERROR(__xludf.DUMMYFUNCTION("""COMPUTED_VALUE"""),188.0)</f>
        <v>188</v>
      </c>
      <c r="E280" s="4">
        <f>IFERROR(__xludf.DUMMYFUNCTION("""COMPUTED_VALUE"""),0.978723404255319)</f>
        <v>0.9787234043</v>
      </c>
      <c r="F280" s="4">
        <f>IFERROR(__xludf.DUMMYFUNCTION("""COMPUTED_VALUE"""),0.563829787234042)</f>
        <v>0.5638297872</v>
      </c>
      <c r="G280" s="4">
        <f>IFERROR(__xludf.DUMMYFUNCTION("""COMPUTED_VALUE"""),0.51063829787234)</f>
        <v>0.5106382979</v>
      </c>
      <c r="H280" s="4">
        <f>IFERROR(__xludf.DUMMYFUNCTION("""COMPUTED_VALUE"""),0.462765957446808)</f>
        <v>0.4627659574</v>
      </c>
      <c r="I280" s="4">
        <f>IFERROR(__xludf.DUMMYFUNCTION("""COMPUTED_VALUE"""),0.430851063829787)</f>
        <v>0.4308510638</v>
      </c>
      <c r="J280" s="4">
        <f>IFERROR(__xludf.DUMMYFUNCTION("""COMPUTED_VALUE"""),0.420212765957446)</f>
        <v>0.420212766</v>
      </c>
      <c r="K280" s="4">
        <f>IFERROR(__xludf.DUMMYFUNCTION("""COMPUTED_VALUE"""),0.382978723404255)</f>
        <v>0.3829787234</v>
      </c>
      <c r="L280" s="4">
        <f>IFERROR(__xludf.DUMMYFUNCTION("""COMPUTED_VALUE"""),0.358288770053475)</f>
        <v>0.3582887701</v>
      </c>
      <c r="M280" s="4">
        <f>IFERROR(__xludf.DUMMYFUNCTION("""COMPUTED_VALUE"""),0.36021505376344)</f>
        <v>0.3602150538</v>
      </c>
      <c r="N280" s="4">
        <f>IFERROR(__xludf.DUMMYFUNCTION("""COMPUTED_VALUE"""),0.34065934065934)</f>
        <v>0.3406593407</v>
      </c>
      <c r="O280" s="4">
        <f>IFERROR(__xludf.DUMMYFUNCTION("""COMPUTED_VALUE"""),0.327380952380952)</f>
        <v>0.3273809524</v>
      </c>
      <c r="P280" s="4">
        <f>IFERROR(__xludf.DUMMYFUNCTION("""COMPUTED_VALUE"""),0.248484848484848)</f>
        <v>0.2484848485</v>
      </c>
      <c r="Q280" s="4">
        <f>IFERROR(__xludf.DUMMYFUNCTION("""COMPUTED_VALUE"""),0.137931034482758)</f>
        <v>0.1379310345</v>
      </c>
      <c r="R280" s="4">
        <f>IFERROR(__xludf.DUMMYFUNCTION("""COMPUTED_VALUE"""),0.0833333333333333)</f>
        <v>0.08333333333</v>
      </c>
      <c r="S280" s="4">
        <f>IFERROR(__xludf.DUMMYFUNCTION("""COMPUTED_VALUE"""),0.0)</f>
        <v>0</v>
      </c>
      <c r="T280" s="4">
        <f>IFERROR(__xludf.DUMMYFUNCTION("""COMPUTED_VALUE"""),0.0)</f>
        <v>0</v>
      </c>
      <c r="U280" s="4">
        <f>IFERROR(__xludf.DUMMYFUNCTION("""COMPUTED_VALUE"""),0.0)</f>
        <v>0</v>
      </c>
      <c r="V280" s="4">
        <f>IFERROR(__xludf.DUMMYFUNCTION("""COMPUTED_VALUE"""),0.0)</f>
        <v>0</v>
      </c>
      <c r="W280" s="4">
        <f>IFERROR(__xludf.DUMMYFUNCTION("""COMPUTED_VALUE"""),0.0)</f>
        <v>0</v>
      </c>
      <c r="X280" s="4">
        <f>IFERROR(__xludf.DUMMYFUNCTION("""COMPUTED_VALUE"""),0.0)</f>
        <v>0</v>
      </c>
      <c r="Y280" s="4">
        <f>IFERROR(__xludf.DUMMYFUNCTION("""COMPUTED_VALUE"""),0.0)</f>
        <v>0</v>
      </c>
      <c r="Z280" s="4">
        <f>IFERROR(__xludf.DUMMYFUNCTION("""COMPUTED_VALUE"""),0.0)</f>
        <v>0</v>
      </c>
      <c r="AA280" s="4">
        <f>IFERROR(__xludf.DUMMYFUNCTION("""COMPUTED_VALUE"""),0.0)</f>
        <v>0</v>
      </c>
      <c r="AB280" s="4">
        <f>IFERROR(__xludf.DUMMYFUNCTION("""COMPUTED_VALUE"""),0.0)</f>
        <v>0</v>
      </c>
      <c r="AC280" s="4">
        <f>IFERROR(__xludf.DUMMYFUNCTION("""COMPUTED_VALUE"""),0.0)</f>
        <v>0</v>
      </c>
    </row>
    <row r="281" ht="15.75" customHeight="1">
      <c r="A281" s="1" t="str">
        <f>IFERROR(__xludf.DUMMYFUNCTION("""COMPUTED_VALUE"""),"fce99720ddedf66c6e45f23c6876581e0b796f34")</f>
        <v>fce99720ddedf66c6e45f23c6876581e0b796f34</v>
      </c>
      <c r="B281" s="1" t="str">
        <f>IFERROR(__xludf.DUMMYFUNCTION("""COMPUTED_VALUE"""),"Reborn as Serena Whitmore")</f>
        <v>Reborn as Serena Whitmore</v>
      </c>
      <c r="C281" s="1" t="str">
        <f>IFERROR(__xludf.DUMMYFUNCTION("""COMPUTED_VALUE"""),"Romance")</f>
        <v>Romance</v>
      </c>
      <c r="D281" s="2">
        <f>IFERROR(__xludf.DUMMYFUNCTION("""COMPUTED_VALUE"""),589.0)</f>
        <v>589</v>
      </c>
      <c r="E281" s="4">
        <f>IFERROR(__xludf.DUMMYFUNCTION("""COMPUTED_VALUE"""),0.969283276450511)</f>
        <v>0.9692832765</v>
      </c>
      <c r="F281" s="4">
        <f>IFERROR(__xludf.DUMMYFUNCTION("""COMPUTED_VALUE"""),0.760070052539404)</f>
        <v>0.7600700525</v>
      </c>
      <c r="G281" s="4">
        <f>IFERROR(__xludf.DUMMYFUNCTION("""COMPUTED_VALUE"""),0.701627486437613)</f>
        <v>0.7016274864</v>
      </c>
      <c r="H281" s="4">
        <f>IFERROR(__xludf.DUMMYFUNCTION("""COMPUTED_VALUE"""),0.653696498054474)</f>
        <v>0.6536964981</v>
      </c>
      <c r="I281" s="4">
        <f>IFERROR(__xludf.DUMMYFUNCTION("""COMPUTED_VALUE"""),0.591489361702127)</f>
        <v>0.5914893617</v>
      </c>
      <c r="J281" s="4">
        <f>IFERROR(__xludf.DUMMYFUNCTION("""COMPUTED_VALUE"""),0.556581986143187)</f>
        <v>0.5565819861</v>
      </c>
      <c r="K281" s="4">
        <f>IFERROR(__xludf.DUMMYFUNCTION("""COMPUTED_VALUE"""),0.541884816753926)</f>
        <v>0.5418848168</v>
      </c>
      <c r="L281" s="4">
        <f>IFERROR(__xludf.DUMMYFUNCTION("""COMPUTED_VALUE"""),0.494584837545126)</f>
        <v>0.4945848375</v>
      </c>
      <c r="M281" s="4">
        <f>IFERROR(__xludf.DUMMYFUNCTION("""COMPUTED_VALUE"""),0.476415094339622)</f>
        <v>0.4764150943</v>
      </c>
      <c r="N281" s="4">
        <f>IFERROR(__xludf.DUMMYFUNCTION("""COMPUTED_VALUE"""),0.454545454545454)</f>
        <v>0.4545454545</v>
      </c>
      <c r="O281" s="4">
        <f>IFERROR(__xludf.DUMMYFUNCTION("""COMPUTED_VALUE"""),0.363636363636363)</f>
        <v>0.3636363636</v>
      </c>
      <c r="P281" s="4">
        <f>IFERROR(__xludf.DUMMYFUNCTION("""COMPUTED_VALUE"""),0.304347826086956)</f>
        <v>0.3043478261</v>
      </c>
      <c r="Q281" s="4">
        <f>IFERROR(__xludf.DUMMYFUNCTION("""COMPUTED_VALUE"""),0.0)</f>
        <v>0</v>
      </c>
      <c r="R281" s="4">
        <f>IFERROR(__xludf.DUMMYFUNCTION("""COMPUTED_VALUE"""),0.0)</f>
        <v>0</v>
      </c>
      <c r="S281" s="4">
        <f>IFERROR(__xludf.DUMMYFUNCTION("""COMPUTED_VALUE"""),0.0)</f>
        <v>0</v>
      </c>
      <c r="T281" s="4">
        <f>IFERROR(__xludf.DUMMYFUNCTION("""COMPUTED_VALUE"""),0.0)</f>
        <v>0</v>
      </c>
      <c r="U281" s="4">
        <f>IFERROR(__xludf.DUMMYFUNCTION("""COMPUTED_VALUE"""),0.0)</f>
        <v>0</v>
      </c>
      <c r="V281" s="4">
        <f>IFERROR(__xludf.DUMMYFUNCTION("""COMPUTED_VALUE"""),0.0)</f>
        <v>0</v>
      </c>
      <c r="W281" s="4">
        <f>IFERROR(__xludf.DUMMYFUNCTION("""COMPUTED_VALUE"""),0.0)</f>
        <v>0</v>
      </c>
      <c r="X281" s="4">
        <f>IFERROR(__xludf.DUMMYFUNCTION("""COMPUTED_VALUE"""),0.0)</f>
        <v>0</v>
      </c>
      <c r="Y281" s="4">
        <f>IFERROR(__xludf.DUMMYFUNCTION("""COMPUTED_VALUE"""),0.0)</f>
        <v>0</v>
      </c>
      <c r="Z281" s="4">
        <f>IFERROR(__xludf.DUMMYFUNCTION("""COMPUTED_VALUE"""),0.0)</f>
        <v>0</v>
      </c>
      <c r="AA281" s="4">
        <f>IFERROR(__xludf.DUMMYFUNCTION("""COMPUTED_VALUE"""),0.0)</f>
        <v>0</v>
      </c>
      <c r="AB281" s="4">
        <f>IFERROR(__xludf.DUMMYFUNCTION("""COMPUTED_VALUE"""),0.0)</f>
        <v>0</v>
      </c>
      <c r="AC281" s="4">
        <f>IFERROR(__xludf.DUMMYFUNCTION("""COMPUTED_VALUE"""),0.0)</f>
        <v>0</v>
      </c>
    </row>
    <row r="282" ht="15.75" customHeight="1">
      <c r="A282" s="1" t="str">
        <f>IFERROR(__xludf.DUMMYFUNCTION("""COMPUTED_VALUE"""),"fe01aa725eab93a44f707bbab393a9640b0e69db")</f>
        <v>fe01aa725eab93a44f707bbab393a9640b0e69db</v>
      </c>
      <c r="B282" s="1" t="str">
        <f>IFERROR(__xludf.DUMMYFUNCTION("""COMPUTED_VALUE"""),"3 Years Later He Found Me")</f>
        <v>3 Years Later He Found Me</v>
      </c>
      <c r="C282" s="1" t="str">
        <f>IFERROR(__xludf.DUMMYFUNCTION("""COMPUTED_VALUE"""),"Romance")</f>
        <v>Romance</v>
      </c>
      <c r="D282" s="2">
        <f>IFERROR(__xludf.DUMMYFUNCTION("""COMPUTED_VALUE"""),556.0)</f>
        <v>556</v>
      </c>
      <c r="E282" s="4">
        <f>IFERROR(__xludf.DUMMYFUNCTION("""COMPUTED_VALUE"""),0.953153153153153)</f>
        <v>0.9531531532</v>
      </c>
      <c r="F282" s="4">
        <f>IFERROR(__xludf.DUMMYFUNCTION("""COMPUTED_VALUE"""),0.56036036036036)</f>
        <v>0.5603603604</v>
      </c>
      <c r="G282" s="4">
        <f>IFERROR(__xludf.DUMMYFUNCTION("""COMPUTED_VALUE"""),0.475675675675675)</f>
        <v>0.4756756757</v>
      </c>
      <c r="H282" s="4">
        <f>IFERROR(__xludf.DUMMYFUNCTION("""COMPUTED_VALUE"""),0.427027027027027)</f>
        <v>0.427027027</v>
      </c>
      <c r="I282" s="4">
        <f>IFERROR(__xludf.DUMMYFUNCTION("""COMPUTED_VALUE"""),0.4)</f>
        <v>0.4</v>
      </c>
      <c r="J282" s="4">
        <f>IFERROR(__xludf.DUMMYFUNCTION("""COMPUTED_VALUE"""),0.372972972972973)</f>
        <v>0.372972973</v>
      </c>
      <c r="K282" s="4">
        <f>IFERROR(__xludf.DUMMYFUNCTION("""COMPUTED_VALUE"""),0.353790613718411)</f>
        <v>0.3537906137</v>
      </c>
      <c r="L282" s="4">
        <f>IFERROR(__xludf.DUMMYFUNCTION("""COMPUTED_VALUE"""),0.33695652173913)</f>
        <v>0.3369565217</v>
      </c>
      <c r="M282" s="4">
        <f>IFERROR(__xludf.DUMMYFUNCTION("""COMPUTED_VALUE"""),0.319419237749546)</f>
        <v>0.3194192377</v>
      </c>
      <c r="N282" s="4">
        <f>IFERROR(__xludf.DUMMYFUNCTION("""COMPUTED_VALUE"""),0.289090909090909)</f>
        <v>0.2890909091</v>
      </c>
      <c r="O282" s="4">
        <f>IFERROR(__xludf.DUMMYFUNCTION("""COMPUTED_VALUE"""),0.249541284403669)</f>
        <v>0.2495412844</v>
      </c>
      <c r="P282" s="4">
        <f>IFERROR(__xludf.DUMMYFUNCTION("""COMPUTED_VALUE"""),0.178997613365155)</f>
        <v>0.1789976134</v>
      </c>
      <c r="Q282" s="4">
        <f>IFERROR(__xludf.DUMMYFUNCTION("""COMPUTED_VALUE"""),0.363636363636363)</f>
        <v>0.3636363636</v>
      </c>
      <c r="R282" s="4">
        <f>IFERROR(__xludf.DUMMYFUNCTION("""COMPUTED_VALUE"""),0.0)</f>
        <v>0</v>
      </c>
      <c r="S282" s="4">
        <f>IFERROR(__xludf.DUMMYFUNCTION("""COMPUTED_VALUE"""),0.0)</f>
        <v>0</v>
      </c>
      <c r="T282" s="4">
        <f>IFERROR(__xludf.DUMMYFUNCTION("""COMPUTED_VALUE"""),0.0)</f>
        <v>0</v>
      </c>
      <c r="U282" s="4">
        <f>IFERROR(__xludf.DUMMYFUNCTION("""COMPUTED_VALUE"""),0.0)</f>
        <v>0</v>
      </c>
      <c r="V282" s="4">
        <f>IFERROR(__xludf.DUMMYFUNCTION("""COMPUTED_VALUE"""),0.0)</f>
        <v>0</v>
      </c>
      <c r="W282" s="4">
        <f>IFERROR(__xludf.DUMMYFUNCTION("""COMPUTED_VALUE"""),0.0)</f>
        <v>0</v>
      </c>
      <c r="X282" s="4">
        <f>IFERROR(__xludf.DUMMYFUNCTION("""COMPUTED_VALUE"""),0.0)</f>
        <v>0</v>
      </c>
      <c r="Y282" s="4">
        <f>IFERROR(__xludf.DUMMYFUNCTION("""COMPUTED_VALUE"""),0.0)</f>
        <v>0</v>
      </c>
      <c r="Z282" s="4">
        <f>IFERROR(__xludf.DUMMYFUNCTION("""COMPUTED_VALUE"""),0.0)</f>
        <v>0</v>
      </c>
      <c r="AA282" s="4">
        <f>IFERROR(__xludf.DUMMYFUNCTION("""COMPUTED_VALUE"""),0.0)</f>
        <v>0</v>
      </c>
      <c r="AB282" s="4">
        <f>IFERROR(__xludf.DUMMYFUNCTION("""COMPUTED_VALUE"""),0.0)</f>
        <v>0</v>
      </c>
      <c r="AC282" s="4">
        <f>IFERROR(__xludf.DUMMYFUNCTION("""COMPUTED_VALUE"""),0.0)</f>
        <v>0</v>
      </c>
    </row>
    <row r="283" ht="15.75" customHeight="1">
      <c r="A283" s="1" t="str">
        <f>IFERROR(__xludf.DUMMYFUNCTION("""COMPUTED_VALUE"""),"fe218223c3cbc0377d2bb07ad68251723f1b3792")</f>
        <v>fe218223c3cbc0377d2bb07ad68251723f1b3792</v>
      </c>
      <c r="B283" s="1" t="str">
        <f>IFERROR(__xludf.DUMMYFUNCTION("""COMPUTED_VALUE"""),"Return of the Gamer God")</f>
        <v>Return of the Gamer God</v>
      </c>
      <c r="C283" s="1" t="str">
        <f>IFERROR(__xludf.DUMMYFUNCTION("""COMPUTED_VALUE"""),"System and Superpower")</f>
        <v>System and Superpower</v>
      </c>
      <c r="D283" s="2">
        <f>IFERROR(__xludf.DUMMYFUNCTION("""COMPUTED_VALUE"""),268.0)</f>
        <v>268</v>
      </c>
      <c r="E283" s="4">
        <f>IFERROR(__xludf.DUMMYFUNCTION("""COMPUTED_VALUE"""),0.973880597014925)</f>
        <v>0.973880597</v>
      </c>
      <c r="F283" s="4">
        <f>IFERROR(__xludf.DUMMYFUNCTION("""COMPUTED_VALUE"""),0.406015037593984)</f>
        <v>0.4060150376</v>
      </c>
      <c r="G283" s="4">
        <f>IFERROR(__xludf.DUMMYFUNCTION("""COMPUTED_VALUE"""),0.353383458646616)</f>
        <v>0.3533834586</v>
      </c>
      <c r="H283" s="4">
        <f>IFERROR(__xludf.DUMMYFUNCTION("""COMPUTED_VALUE"""),0.31578947368421)</f>
        <v>0.3157894737</v>
      </c>
      <c r="I283" s="4">
        <f>IFERROR(__xludf.DUMMYFUNCTION("""COMPUTED_VALUE"""),0.304182509505703)</f>
        <v>0.3041825095</v>
      </c>
      <c r="J283" s="4">
        <f>IFERROR(__xludf.DUMMYFUNCTION("""COMPUTED_VALUE"""),0.285171102661596)</f>
        <v>0.2851711027</v>
      </c>
      <c r="K283" s="4">
        <f>IFERROR(__xludf.DUMMYFUNCTION("""COMPUTED_VALUE"""),0.270992366412213)</f>
        <v>0.2709923664</v>
      </c>
      <c r="L283" s="4">
        <f>IFERROR(__xludf.DUMMYFUNCTION("""COMPUTED_VALUE"""),0.244274809160305)</f>
        <v>0.2442748092</v>
      </c>
      <c r="M283" s="4">
        <f>IFERROR(__xludf.DUMMYFUNCTION("""COMPUTED_VALUE"""),0.225190839694656)</f>
        <v>0.2251908397</v>
      </c>
      <c r="N283" s="4">
        <f>IFERROR(__xludf.DUMMYFUNCTION("""COMPUTED_VALUE"""),0.229007633587786)</f>
        <v>0.2290076336</v>
      </c>
      <c r="O283" s="4">
        <f>IFERROR(__xludf.DUMMYFUNCTION("""COMPUTED_VALUE"""),0.185567010309278)</f>
        <v>0.1855670103</v>
      </c>
      <c r="P283" s="4">
        <f>IFERROR(__xludf.DUMMYFUNCTION("""COMPUTED_VALUE"""),0.152173913043478)</f>
        <v>0.152173913</v>
      </c>
      <c r="Q283" s="4">
        <f>IFERROR(__xludf.DUMMYFUNCTION("""COMPUTED_VALUE"""),0.0)</f>
        <v>0</v>
      </c>
      <c r="R283" s="4">
        <f>IFERROR(__xludf.DUMMYFUNCTION("""COMPUTED_VALUE"""),0.0)</f>
        <v>0</v>
      </c>
      <c r="S283" s="4">
        <f>IFERROR(__xludf.DUMMYFUNCTION("""COMPUTED_VALUE"""),0.0)</f>
        <v>0</v>
      </c>
      <c r="T283" s="4">
        <f>IFERROR(__xludf.DUMMYFUNCTION("""COMPUTED_VALUE"""),0.0)</f>
        <v>0</v>
      </c>
      <c r="U283" s="4">
        <f>IFERROR(__xludf.DUMMYFUNCTION("""COMPUTED_VALUE"""),0.0)</f>
        <v>0</v>
      </c>
      <c r="V283" s="4">
        <f>IFERROR(__xludf.DUMMYFUNCTION("""COMPUTED_VALUE"""),0.0)</f>
        <v>0</v>
      </c>
      <c r="W283" s="4">
        <f>IFERROR(__xludf.DUMMYFUNCTION("""COMPUTED_VALUE"""),0.0)</f>
        <v>0</v>
      </c>
      <c r="X283" s="4">
        <f>IFERROR(__xludf.DUMMYFUNCTION("""COMPUTED_VALUE"""),0.0)</f>
        <v>0</v>
      </c>
      <c r="Y283" s="4">
        <f>IFERROR(__xludf.DUMMYFUNCTION("""COMPUTED_VALUE"""),0.0)</f>
        <v>0</v>
      </c>
      <c r="Z283" s="4">
        <f>IFERROR(__xludf.DUMMYFUNCTION("""COMPUTED_VALUE"""),0.0)</f>
        <v>0</v>
      </c>
      <c r="AA283" s="4">
        <f>IFERROR(__xludf.DUMMYFUNCTION("""COMPUTED_VALUE"""),0.0)</f>
        <v>0</v>
      </c>
      <c r="AB283" s="4">
        <f>IFERROR(__xludf.DUMMYFUNCTION("""COMPUTED_VALUE"""),0.0)</f>
        <v>0</v>
      </c>
      <c r="AC283" s="4">
        <f>IFERROR(__xludf.DUMMYFUNCTION("""COMPUTED_VALUE"""),0.0)</f>
        <v>0</v>
      </c>
    </row>
    <row r="284" ht="15.75" customHeight="1">
      <c r="A284" s="12"/>
      <c r="B284" s="12"/>
      <c r="C284" s="12"/>
      <c r="D284" s="3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5.75" customHeight="1">
      <c r="A285" s="12"/>
      <c r="B285" s="12"/>
      <c r="C285" s="12"/>
      <c r="D285" s="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5.75" customHeight="1">
      <c r="A286" s="12"/>
      <c r="B286" s="12"/>
      <c r="C286" s="12"/>
      <c r="D286" s="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5.75" customHeight="1">
      <c r="A287" s="12"/>
      <c r="B287" s="12"/>
      <c r="C287" s="12"/>
      <c r="D287" s="3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5.75" customHeight="1">
      <c r="A288" s="12"/>
      <c r="B288" s="12"/>
      <c r="C288" s="12"/>
      <c r="D288" s="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5.75" customHeight="1">
      <c r="A289" s="12"/>
      <c r="B289" s="12"/>
      <c r="C289" s="12"/>
      <c r="D289" s="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5.75" customHeight="1">
      <c r="A290" s="12"/>
      <c r="B290" s="12"/>
      <c r="C290" s="12"/>
      <c r="D290" s="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5.75" customHeight="1">
      <c r="A291" s="12"/>
      <c r="B291" s="12"/>
      <c r="C291" s="12"/>
      <c r="D291" s="3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15.75" customHeight="1">
      <c r="A292" s="12"/>
      <c r="B292" s="12"/>
      <c r="C292" s="12"/>
      <c r="D292" s="3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15.75" customHeight="1">
      <c r="A293" s="12"/>
      <c r="B293" s="12"/>
      <c r="C293" s="12"/>
      <c r="D293" s="3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5.75" customHeight="1">
      <c r="A294" s="12"/>
      <c r="B294" s="12"/>
      <c r="C294" s="12"/>
      <c r="D294" s="3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15.75" customHeight="1">
      <c r="A295" s="12"/>
      <c r="B295" s="12"/>
      <c r="C295" s="12"/>
      <c r="D295" s="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15.75" customHeight="1">
      <c r="A296" s="12"/>
      <c r="B296" s="12"/>
      <c r="C296" s="12"/>
      <c r="D296" s="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15.75" customHeight="1">
      <c r="A297" s="12"/>
      <c r="B297" s="12"/>
      <c r="C297" s="12"/>
      <c r="D297" s="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5.75" customHeight="1">
      <c r="A298" s="12"/>
      <c r="B298" s="12"/>
      <c r="C298" s="12"/>
      <c r="D298" s="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15.75" customHeight="1">
      <c r="A299" s="12"/>
      <c r="B299" s="12"/>
      <c r="C299" s="12"/>
      <c r="D299" s="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15.75" customHeight="1">
      <c r="A300" s="12"/>
      <c r="B300" s="12"/>
      <c r="C300" s="12"/>
      <c r="D300" s="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15.75" customHeight="1">
      <c r="A301" s="12"/>
      <c r="B301" s="12"/>
      <c r="C301" s="12"/>
      <c r="D301" s="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5.75" customHeight="1">
      <c r="A302" s="12"/>
      <c r="B302" s="12"/>
      <c r="C302" s="12"/>
      <c r="D302" s="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15.75" customHeight="1">
      <c r="A303" s="12"/>
      <c r="B303" s="12"/>
      <c r="C303" s="12"/>
      <c r="D303" s="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15.75" customHeight="1">
      <c r="A304" s="12"/>
      <c r="B304" s="12"/>
      <c r="C304" s="12"/>
      <c r="D304" s="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5.75" customHeight="1">
      <c r="A305" s="12"/>
      <c r="B305" s="12"/>
      <c r="C305" s="12"/>
      <c r="D305" s="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15.75" customHeight="1">
      <c r="A306" s="12"/>
      <c r="B306" s="12"/>
      <c r="C306" s="12"/>
      <c r="D306" s="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5.75" customHeight="1">
      <c r="A307" s="12"/>
      <c r="B307" s="12"/>
      <c r="C307" s="12"/>
      <c r="D307" s="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15.75" customHeight="1">
      <c r="A308" s="12"/>
      <c r="B308" s="12"/>
      <c r="C308" s="12"/>
      <c r="D308" s="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5.75" customHeight="1">
      <c r="A309" s="12"/>
      <c r="B309" s="12"/>
      <c r="C309" s="12"/>
      <c r="D309" s="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15.75" customHeight="1">
      <c r="A310" s="12"/>
      <c r="B310" s="12"/>
      <c r="C310" s="12"/>
      <c r="D310" s="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15.75" customHeight="1">
      <c r="A311" s="12"/>
      <c r="B311" s="12"/>
      <c r="C311" s="12"/>
      <c r="D311" s="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15.75" customHeight="1">
      <c r="A312" s="12"/>
      <c r="B312" s="12"/>
      <c r="C312" s="12"/>
      <c r="D312" s="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5.75" customHeight="1">
      <c r="A313" s="12"/>
      <c r="B313" s="12"/>
      <c r="C313" s="12"/>
      <c r="D313" s="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15.75" customHeight="1">
      <c r="A314" s="12"/>
      <c r="B314" s="12"/>
      <c r="C314" s="12"/>
      <c r="D314" s="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15.75" customHeight="1">
      <c r="A315" s="12"/>
      <c r="B315" s="12"/>
      <c r="C315" s="12"/>
      <c r="D315" s="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15.75" customHeight="1">
      <c r="A316" s="12"/>
      <c r="B316" s="12"/>
      <c r="C316" s="12"/>
      <c r="D316" s="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5.75" customHeight="1">
      <c r="A317" s="12"/>
      <c r="B317" s="12"/>
      <c r="C317" s="12"/>
      <c r="D317" s="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15.75" customHeight="1">
      <c r="A318" s="12"/>
      <c r="B318" s="12"/>
      <c r="C318" s="12"/>
      <c r="D318" s="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15.75" customHeight="1">
      <c r="A319" s="12"/>
      <c r="B319" s="12"/>
      <c r="C319" s="12"/>
      <c r="D319" s="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15.75" customHeight="1">
      <c r="A320" s="12"/>
      <c r="B320" s="12"/>
      <c r="C320" s="12"/>
      <c r="D320" s="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5.75" customHeight="1">
      <c r="A321" s="12"/>
      <c r="B321" s="12"/>
      <c r="C321" s="12"/>
      <c r="D321" s="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15.75" customHeight="1">
      <c r="A322" s="12"/>
      <c r="B322" s="12"/>
      <c r="C322" s="12"/>
      <c r="D322" s="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15.75" customHeight="1">
      <c r="A323" s="12"/>
      <c r="B323" s="12"/>
      <c r="C323" s="12"/>
      <c r="D323" s="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5.75" customHeight="1">
      <c r="A324" s="12"/>
      <c r="B324" s="12"/>
      <c r="C324" s="12"/>
      <c r="D324" s="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15.75" customHeight="1">
      <c r="A325" s="12"/>
      <c r="B325" s="12"/>
      <c r="C325" s="12"/>
      <c r="D325" s="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15.75" customHeight="1">
      <c r="A326" s="12"/>
      <c r="B326" s="12"/>
      <c r="C326" s="12"/>
      <c r="D326" s="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15.75" customHeight="1">
      <c r="A327" s="12"/>
      <c r="B327" s="12"/>
      <c r="C327" s="12"/>
      <c r="D327" s="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5.75" customHeight="1">
      <c r="A328" s="12"/>
      <c r="B328" s="12"/>
      <c r="C328" s="12"/>
      <c r="D328" s="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15.75" customHeight="1">
      <c r="A329" s="12"/>
      <c r="B329" s="12"/>
      <c r="C329" s="12"/>
      <c r="D329" s="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15.75" customHeight="1">
      <c r="A330" s="12"/>
      <c r="B330" s="12"/>
      <c r="C330" s="12"/>
      <c r="D330" s="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5.75" customHeight="1">
      <c r="A331" s="12"/>
      <c r="B331" s="12"/>
      <c r="C331" s="12"/>
      <c r="D331" s="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15.75" customHeight="1">
      <c r="A332" s="12"/>
      <c r="B332" s="12"/>
      <c r="C332" s="12"/>
      <c r="D332" s="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15.75" customHeight="1">
      <c r="A333" s="12"/>
      <c r="B333" s="12"/>
      <c r="C333" s="12"/>
      <c r="D333" s="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5.75" customHeight="1">
      <c r="A334" s="12"/>
      <c r="B334" s="12"/>
      <c r="C334" s="12"/>
      <c r="D334" s="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15.75" customHeight="1">
      <c r="A335" s="12"/>
      <c r="B335" s="12"/>
      <c r="C335" s="12"/>
      <c r="D335" s="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15.75" customHeight="1">
      <c r="A336" s="12"/>
      <c r="B336" s="12"/>
      <c r="C336" s="12"/>
      <c r="D336" s="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15.75" customHeight="1">
      <c r="A337" s="12"/>
      <c r="B337" s="12"/>
      <c r="C337" s="12"/>
      <c r="D337" s="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5.75" customHeight="1">
      <c r="A338" s="12"/>
      <c r="B338" s="12"/>
      <c r="C338" s="12"/>
      <c r="D338" s="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15.75" customHeight="1">
      <c r="A339" s="12"/>
      <c r="B339" s="12"/>
      <c r="C339" s="12"/>
      <c r="D339" s="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15.75" customHeight="1">
      <c r="A340" s="12"/>
      <c r="B340" s="12"/>
      <c r="C340" s="12"/>
      <c r="D340" s="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5.75" customHeight="1">
      <c r="A341" s="12"/>
      <c r="B341" s="12"/>
      <c r="C341" s="12"/>
      <c r="D341" s="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15.75" customHeight="1">
      <c r="A342" s="12"/>
      <c r="B342" s="12"/>
      <c r="C342" s="12"/>
      <c r="D342" s="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15.75" customHeight="1">
      <c r="A343" s="12"/>
      <c r="B343" s="12"/>
      <c r="C343" s="12"/>
      <c r="D343" s="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5.75" customHeight="1">
      <c r="A344" s="12"/>
      <c r="B344" s="12"/>
      <c r="C344" s="12"/>
      <c r="D344" s="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15.75" customHeight="1">
      <c r="A345" s="12"/>
      <c r="B345" s="12"/>
      <c r="C345" s="12"/>
      <c r="D345" s="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15.75" customHeight="1">
      <c r="A346" s="12"/>
      <c r="B346" s="12"/>
      <c r="C346" s="12"/>
      <c r="D346" s="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15.75" customHeight="1">
      <c r="A347" s="12"/>
      <c r="B347" s="12"/>
      <c r="C347" s="12"/>
      <c r="D347" s="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15.75" customHeight="1">
      <c r="A348" s="12"/>
      <c r="B348" s="12"/>
      <c r="C348" s="12"/>
      <c r="D348" s="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15.75" customHeight="1">
      <c r="A349" s="12"/>
      <c r="B349" s="12"/>
      <c r="C349" s="12"/>
      <c r="D349" s="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15.75" customHeight="1">
      <c r="A350" s="12"/>
      <c r="B350" s="12"/>
      <c r="C350" s="12"/>
      <c r="D350" s="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15.75" customHeight="1">
      <c r="A351" s="12"/>
      <c r="B351" s="12"/>
      <c r="C351" s="12"/>
      <c r="D351" s="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15.75" customHeight="1">
      <c r="A352" s="12"/>
      <c r="B352" s="12"/>
      <c r="C352" s="12"/>
      <c r="D352" s="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15.75" customHeight="1">
      <c r="A353" s="12"/>
      <c r="B353" s="12"/>
      <c r="C353" s="12"/>
      <c r="D353" s="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15.75" customHeight="1">
      <c r="A354" s="12"/>
      <c r="B354" s="12"/>
      <c r="C354" s="12"/>
      <c r="D354" s="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15.75" customHeight="1">
      <c r="A355" s="12"/>
      <c r="B355" s="12"/>
      <c r="C355" s="12"/>
      <c r="D355" s="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15.75" customHeight="1">
      <c r="A356" s="12"/>
      <c r="B356" s="12"/>
      <c r="C356" s="12"/>
      <c r="D356" s="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15.75" customHeight="1">
      <c r="A357" s="12"/>
      <c r="B357" s="12"/>
      <c r="C357" s="12"/>
      <c r="D357" s="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15.75" customHeight="1">
      <c r="A358" s="12"/>
      <c r="B358" s="12"/>
      <c r="C358" s="12"/>
      <c r="D358" s="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15.75" customHeight="1">
      <c r="A359" s="12"/>
      <c r="B359" s="12"/>
      <c r="C359" s="12"/>
      <c r="D359" s="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15.75" customHeight="1">
      <c r="A360" s="12"/>
      <c r="B360" s="12"/>
      <c r="C360" s="12"/>
      <c r="D360" s="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15.75" customHeight="1">
      <c r="A361" s="12"/>
      <c r="B361" s="12"/>
      <c r="C361" s="12"/>
      <c r="D361" s="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15.75" customHeight="1">
      <c r="A362" s="12"/>
      <c r="B362" s="12"/>
      <c r="C362" s="12"/>
      <c r="D362" s="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15.75" customHeight="1">
      <c r="A363" s="12"/>
      <c r="B363" s="12"/>
      <c r="C363" s="12"/>
      <c r="D363" s="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15.75" customHeight="1">
      <c r="A364" s="12"/>
      <c r="B364" s="12"/>
      <c r="C364" s="12"/>
      <c r="D364" s="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15.75" customHeight="1">
      <c r="A365" s="12"/>
      <c r="B365" s="12"/>
      <c r="C365" s="12"/>
      <c r="D365" s="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15.75" customHeight="1">
      <c r="A366" s="12"/>
      <c r="B366" s="12"/>
      <c r="C366" s="12"/>
      <c r="D366" s="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15.75" customHeight="1">
      <c r="A367" s="12"/>
      <c r="B367" s="12"/>
      <c r="C367" s="12"/>
      <c r="D367" s="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15.75" customHeight="1">
      <c r="A368" s="12"/>
      <c r="B368" s="12"/>
      <c r="C368" s="12"/>
      <c r="D368" s="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15.75" customHeight="1">
      <c r="A369" s="12"/>
      <c r="B369" s="12"/>
      <c r="C369" s="12"/>
      <c r="D369" s="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15.75" customHeight="1">
      <c r="A370" s="12"/>
      <c r="B370" s="12"/>
      <c r="C370" s="12"/>
      <c r="D370" s="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15.75" customHeight="1">
      <c r="A371" s="12"/>
      <c r="B371" s="12"/>
      <c r="C371" s="12"/>
      <c r="D371" s="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15.75" customHeight="1">
      <c r="A372" s="12"/>
      <c r="B372" s="12"/>
      <c r="C372" s="12"/>
      <c r="D372" s="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15.75" customHeight="1">
      <c r="A373" s="12"/>
      <c r="B373" s="12"/>
      <c r="C373" s="12"/>
      <c r="D373" s="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15.75" customHeight="1">
      <c r="A374" s="12"/>
      <c r="B374" s="12"/>
      <c r="C374" s="12"/>
      <c r="D374" s="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15.75" customHeight="1">
      <c r="A375" s="12"/>
      <c r="B375" s="12"/>
      <c r="C375" s="12"/>
      <c r="D375" s="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15.75" customHeight="1">
      <c r="A376" s="12"/>
      <c r="B376" s="12"/>
      <c r="C376" s="12"/>
      <c r="D376" s="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15.75" customHeight="1">
      <c r="A377" s="12"/>
      <c r="B377" s="12"/>
      <c r="C377" s="12"/>
      <c r="D377" s="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15.75" customHeight="1">
      <c r="A378" s="12"/>
      <c r="B378" s="12"/>
      <c r="C378" s="12"/>
      <c r="D378" s="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15.75" customHeight="1">
      <c r="A379" s="12"/>
      <c r="B379" s="12"/>
      <c r="C379" s="12"/>
      <c r="D379" s="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15.75" customHeight="1">
      <c r="A380" s="12"/>
      <c r="B380" s="12"/>
      <c r="C380" s="12"/>
      <c r="D380" s="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15.75" customHeight="1">
      <c r="A381" s="12"/>
      <c r="B381" s="12"/>
      <c r="C381" s="12"/>
      <c r="D381" s="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15.75" customHeight="1">
      <c r="A382" s="12"/>
      <c r="B382" s="12"/>
      <c r="C382" s="12"/>
      <c r="D382" s="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15.75" customHeight="1">
      <c r="A383" s="12"/>
      <c r="B383" s="12"/>
      <c r="C383" s="12"/>
      <c r="D383" s="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15.75" customHeight="1">
      <c r="A384" s="12"/>
      <c r="B384" s="12"/>
      <c r="C384" s="12"/>
      <c r="D384" s="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15.75" customHeight="1">
      <c r="A385" s="12"/>
      <c r="B385" s="12"/>
      <c r="C385" s="12"/>
      <c r="D385" s="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15.75" customHeight="1">
      <c r="A386" s="12"/>
      <c r="B386" s="12"/>
      <c r="C386" s="12"/>
      <c r="D386" s="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15.75" customHeight="1">
      <c r="A387" s="12"/>
      <c r="B387" s="12"/>
      <c r="C387" s="12"/>
      <c r="D387" s="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15.75" customHeight="1">
      <c r="A388" s="12"/>
      <c r="B388" s="12"/>
      <c r="C388" s="12"/>
      <c r="D388" s="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15.75" customHeight="1">
      <c r="A389" s="12"/>
      <c r="B389" s="12"/>
      <c r="C389" s="12"/>
      <c r="D389" s="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15.75" customHeight="1">
      <c r="A390" s="12"/>
      <c r="B390" s="12"/>
      <c r="C390" s="12"/>
      <c r="D390" s="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15.75" customHeight="1">
      <c r="A391" s="12"/>
      <c r="B391" s="12"/>
      <c r="C391" s="12"/>
      <c r="D391" s="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15.75" customHeight="1">
      <c r="A392" s="12"/>
      <c r="B392" s="12"/>
      <c r="C392" s="12"/>
      <c r="D392" s="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15.75" customHeight="1">
      <c r="A393" s="12"/>
      <c r="B393" s="12"/>
      <c r="C393" s="12"/>
      <c r="D393" s="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15.75" customHeight="1">
      <c r="A394" s="12"/>
      <c r="B394" s="12"/>
      <c r="C394" s="12"/>
      <c r="D394" s="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15.75" customHeight="1">
      <c r="A395" s="12"/>
      <c r="B395" s="12"/>
      <c r="C395" s="12"/>
      <c r="D395" s="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15.75" customHeight="1">
      <c r="A396" s="12"/>
      <c r="B396" s="12"/>
      <c r="C396" s="12"/>
      <c r="D396" s="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15.75" customHeight="1">
      <c r="A397" s="12"/>
      <c r="B397" s="12"/>
      <c r="C397" s="12"/>
      <c r="D397" s="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15.75" customHeight="1">
      <c r="A398" s="12"/>
      <c r="B398" s="12"/>
      <c r="C398" s="12"/>
      <c r="D398" s="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15.75" customHeight="1">
      <c r="A399" s="12"/>
      <c r="B399" s="12"/>
      <c r="C399" s="12"/>
      <c r="D399" s="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15.75" customHeight="1">
      <c r="A400" s="12"/>
      <c r="B400" s="12"/>
      <c r="C400" s="12"/>
      <c r="D400" s="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15.75" customHeight="1">
      <c r="A401" s="12"/>
      <c r="B401" s="12"/>
      <c r="C401" s="12"/>
      <c r="D401" s="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15.75" customHeight="1">
      <c r="A402" s="12"/>
      <c r="B402" s="12"/>
      <c r="C402" s="12"/>
      <c r="D402" s="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15.75" customHeight="1">
      <c r="A403" s="12"/>
      <c r="B403" s="12"/>
      <c r="C403" s="12"/>
      <c r="D403" s="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15.75" customHeight="1">
      <c r="A404" s="12"/>
      <c r="B404" s="12"/>
      <c r="C404" s="12"/>
      <c r="D404" s="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15.75" customHeight="1">
      <c r="A405" s="12"/>
      <c r="B405" s="12"/>
      <c r="C405" s="12"/>
      <c r="D405" s="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15.75" customHeight="1">
      <c r="A406" s="12"/>
      <c r="B406" s="12"/>
      <c r="C406" s="12"/>
      <c r="D406" s="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15.75" customHeight="1">
      <c r="A407" s="12"/>
      <c r="B407" s="12"/>
      <c r="C407" s="12"/>
      <c r="D407" s="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15.75" customHeight="1">
      <c r="A408" s="12"/>
      <c r="B408" s="12"/>
      <c r="C408" s="12"/>
      <c r="D408" s="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15.75" customHeight="1">
      <c r="A409" s="12"/>
      <c r="B409" s="12"/>
      <c r="C409" s="12"/>
      <c r="D409" s="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15.75" customHeight="1">
      <c r="A410" s="12"/>
      <c r="B410" s="12"/>
      <c r="C410" s="12"/>
      <c r="D410" s="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15.75" customHeight="1">
      <c r="A411" s="12"/>
      <c r="B411" s="12"/>
      <c r="C411" s="12"/>
      <c r="D411" s="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15.75" customHeight="1">
      <c r="A412" s="12"/>
      <c r="B412" s="12"/>
      <c r="C412" s="12"/>
      <c r="D412" s="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15.75" customHeight="1">
      <c r="A413" s="12"/>
      <c r="B413" s="12"/>
      <c r="C413" s="12"/>
      <c r="D413" s="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15.75" customHeight="1">
      <c r="A414" s="12"/>
      <c r="B414" s="12"/>
      <c r="C414" s="12"/>
      <c r="D414" s="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15.75" customHeight="1">
      <c r="A415" s="12"/>
      <c r="B415" s="12"/>
      <c r="C415" s="12"/>
      <c r="D415" s="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15.75" customHeight="1">
      <c r="A416" s="12"/>
      <c r="B416" s="12"/>
      <c r="C416" s="12"/>
      <c r="D416" s="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15.75" customHeight="1">
      <c r="A417" s="12"/>
      <c r="B417" s="12"/>
      <c r="C417" s="12"/>
      <c r="D417" s="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15.75" customHeight="1">
      <c r="A418" s="12"/>
      <c r="B418" s="12"/>
      <c r="C418" s="12"/>
      <c r="D418" s="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15.75" customHeight="1">
      <c r="A419" s="12"/>
      <c r="B419" s="12"/>
      <c r="C419" s="12"/>
      <c r="D419" s="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15.75" customHeight="1">
      <c r="A420" s="12"/>
      <c r="B420" s="12"/>
      <c r="C420" s="12"/>
      <c r="D420" s="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15.75" customHeight="1">
      <c r="A421" s="12"/>
      <c r="B421" s="12"/>
      <c r="C421" s="12"/>
      <c r="D421" s="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15.75" customHeight="1">
      <c r="A422" s="12"/>
      <c r="B422" s="12"/>
      <c r="C422" s="12"/>
      <c r="D422" s="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15.75" customHeight="1">
      <c r="A423" s="12"/>
      <c r="B423" s="12"/>
      <c r="C423" s="12"/>
      <c r="D423" s="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15.75" customHeight="1">
      <c r="A424" s="12"/>
      <c r="B424" s="12"/>
      <c r="C424" s="12"/>
      <c r="D424" s="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15.75" customHeight="1">
      <c r="A425" s="12"/>
      <c r="B425" s="12"/>
      <c r="C425" s="12"/>
      <c r="D425" s="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15.75" customHeight="1">
      <c r="A426" s="12"/>
      <c r="B426" s="12"/>
      <c r="C426" s="12"/>
      <c r="D426" s="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15.75" customHeight="1">
      <c r="A427" s="12"/>
      <c r="B427" s="12"/>
      <c r="C427" s="12"/>
      <c r="D427" s="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15.75" customHeight="1">
      <c r="A428" s="12"/>
      <c r="B428" s="12"/>
      <c r="C428" s="12"/>
      <c r="D428" s="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15.75" customHeight="1">
      <c r="A429" s="12"/>
      <c r="B429" s="12"/>
      <c r="C429" s="12"/>
      <c r="D429" s="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15.75" customHeight="1">
      <c r="A430" s="12"/>
      <c r="B430" s="12"/>
      <c r="C430" s="12"/>
      <c r="D430" s="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15.75" customHeight="1">
      <c r="A431" s="12"/>
      <c r="B431" s="12"/>
      <c r="C431" s="12"/>
      <c r="D431" s="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15.75" customHeight="1">
      <c r="A432" s="12"/>
      <c r="B432" s="12"/>
      <c r="C432" s="12"/>
      <c r="D432" s="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15.75" customHeight="1">
      <c r="A433" s="12"/>
      <c r="B433" s="12"/>
      <c r="C433" s="12"/>
      <c r="D433" s="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15.75" customHeight="1">
      <c r="A434" s="12"/>
      <c r="B434" s="12"/>
      <c r="C434" s="12"/>
      <c r="D434" s="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15.75" customHeight="1">
      <c r="A435" s="12"/>
      <c r="B435" s="12"/>
      <c r="C435" s="12"/>
      <c r="D435" s="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15.75" customHeight="1">
      <c r="A436" s="12"/>
      <c r="B436" s="12"/>
      <c r="C436" s="12"/>
      <c r="D436" s="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15.75" customHeight="1">
      <c r="A437" s="12"/>
      <c r="B437" s="12"/>
      <c r="C437" s="12"/>
      <c r="D437" s="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15.75" customHeight="1">
      <c r="A438" s="12"/>
      <c r="B438" s="12"/>
      <c r="C438" s="12"/>
      <c r="D438" s="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15.75" customHeight="1">
      <c r="A439" s="12"/>
      <c r="B439" s="12"/>
      <c r="C439" s="12"/>
      <c r="D439" s="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15.75" customHeight="1">
      <c r="A440" s="12"/>
      <c r="B440" s="12"/>
      <c r="C440" s="12"/>
      <c r="D440" s="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15.75" customHeight="1">
      <c r="A441" s="12"/>
      <c r="B441" s="12"/>
      <c r="C441" s="12"/>
      <c r="D441" s="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15.75" customHeight="1">
      <c r="A442" s="12"/>
      <c r="B442" s="12"/>
      <c r="C442" s="12"/>
      <c r="D442" s="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15.75" customHeight="1">
      <c r="A443" s="12"/>
      <c r="B443" s="12"/>
      <c r="C443" s="12"/>
      <c r="D443" s="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15.75" customHeight="1">
      <c r="A444" s="12"/>
      <c r="B444" s="12"/>
      <c r="C444" s="12"/>
      <c r="D444" s="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15.75" customHeight="1">
      <c r="A445" s="12"/>
      <c r="B445" s="12"/>
      <c r="C445" s="12"/>
      <c r="D445" s="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15.75" customHeight="1">
      <c r="A446" s="12"/>
      <c r="B446" s="12"/>
      <c r="C446" s="12"/>
      <c r="D446" s="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15.75" customHeight="1">
      <c r="A447" s="12"/>
      <c r="B447" s="12"/>
      <c r="C447" s="12"/>
      <c r="D447" s="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15.75" customHeight="1">
      <c r="A448" s="12"/>
      <c r="B448" s="12"/>
      <c r="C448" s="12"/>
      <c r="D448" s="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15.75" customHeight="1">
      <c r="A449" s="12"/>
      <c r="B449" s="12"/>
      <c r="C449" s="12"/>
      <c r="D449" s="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15.75" customHeight="1">
      <c r="A450" s="12"/>
      <c r="B450" s="12"/>
      <c r="C450" s="12"/>
      <c r="D450" s="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15.75" customHeight="1">
      <c r="A451" s="12"/>
      <c r="B451" s="12"/>
      <c r="C451" s="12"/>
      <c r="D451" s="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15.75" customHeight="1">
      <c r="A452" s="12"/>
      <c r="B452" s="12"/>
      <c r="C452" s="12"/>
      <c r="D452" s="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15.75" customHeight="1">
      <c r="A453" s="12"/>
      <c r="B453" s="12"/>
      <c r="C453" s="12"/>
      <c r="D453" s="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15.75" customHeight="1">
      <c r="A454" s="12"/>
      <c r="B454" s="12"/>
      <c r="C454" s="12"/>
      <c r="D454" s="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15.75" customHeight="1">
      <c r="A455" s="12"/>
      <c r="B455" s="12"/>
      <c r="C455" s="12"/>
      <c r="D455" s="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15.75" customHeight="1">
      <c r="A456" s="12"/>
      <c r="B456" s="12"/>
      <c r="C456" s="12"/>
      <c r="D456" s="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15.75" customHeight="1">
      <c r="A457" s="12"/>
      <c r="B457" s="12"/>
      <c r="C457" s="12"/>
      <c r="D457" s="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15.75" customHeight="1">
      <c r="A458" s="12"/>
      <c r="B458" s="12"/>
      <c r="C458" s="12"/>
      <c r="D458" s="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15.75" customHeight="1">
      <c r="A459" s="12"/>
      <c r="B459" s="12"/>
      <c r="C459" s="12"/>
      <c r="D459" s="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15.75" customHeight="1">
      <c r="A460" s="12"/>
      <c r="B460" s="12"/>
      <c r="C460" s="12"/>
      <c r="D460" s="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15.75" customHeight="1">
      <c r="A461" s="12"/>
      <c r="B461" s="12"/>
      <c r="C461" s="12"/>
      <c r="D461" s="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15.75" customHeight="1">
      <c r="A462" s="12"/>
      <c r="B462" s="12"/>
      <c r="C462" s="12"/>
      <c r="D462" s="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15.75" customHeight="1">
      <c r="A463" s="12"/>
      <c r="B463" s="12"/>
      <c r="C463" s="12"/>
      <c r="D463" s="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15.75" customHeight="1">
      <c r="A464" s="12"/>
      <c r="B464" s="12"/>
      <c r="C464" s="12"/>
      <c r="D464" s="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15.75" customHeight="1">
      <c r="A465" s="12"/>
      <c r="B465" s="12"/>
      <c r="C465" s="12"/>
      <c r="D465" s="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15.75" customHeight="1">
      <c r="A466" s="12"/>
      <c r="B466" s="12"/>
      <c r="C466" s="12"/>
      <c r="D466" s="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15.75" customHeight="1">
      <c r="A467" s="12"/>
      <c r="B467" s="12"/>
      <c r="C467" s="12"/>
      <c r="D467" s="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15.75" customHeight="1">
      <c r="A468" s="12"/>
      <c r="B468" s="12"/>
      <c r="C468" s="12"/>
      <c r="D468" s="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15.75" customHeight="1">
      <c r="A469" s="12"/>
      <c r="B469" s="12"/>
      <c r="C469" s="12"/>
      <c r="D469" s="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15.75" customHeight="1">
      <c r="A470" s="12"/>
      <c r="B470" s="12"/>
      <c r="C470" s="12"/>
      <c r="D470" s="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15.75" customHeight="1">
      <c r="A471" s="12"/>
      <c r="B471" s="12"/>
      <c r="C471" s="12"/>
      <c r="D471" s="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15.75" customHeight="1">
      <c r="A472" s="12"/>
      <c r="B472" s="12"/>
      <c r="C472" s="12"/>
      <c r="D472" s="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15.75" customHeight="1">
      <c r="A473" s="12"/>
      <c r="B473" s="12"/>
      <c r="C473" s="12"/>
      <c r="D473" s="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ht="15.75" customHeight="1">
      <c r="A474" s="12"/>
      <c r="B474" s="12"/>
      <c r="C474" s="12"/>
      <c r="D474" s="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ht="15.75" customHeight="1">
      <c r="A475" s="12"/>
      <c r="B475" s="12"/>
      <c r="C475" s="12"/>
      <c r="D475" s="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ht="15.75" customHeight="1">
      <c r="A476" s="12"/>
      <c r="B476" s="12"/>
      <c r="C476" s="12"/>
      <c r="D476" s="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15.75" customHeight="1">
      <c r="A477" s="12"/>
      <c r="B477" s="12"/>
      <c r="C477" s="12"/>
      <c r="D477" s="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ht="15.75" customHeight="1">
      <c r="A478" s="12"/>
      <c r="B478" s="12"/>
      <c r="C478" s="12"/>
      <c r="D478" s="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ht="15.75" customHeight="1">
      <c r="A479" s="12"/>
      <c r="B479" s="12"/>
      <c r="C479" s="12"/>
      <c r="D479" s="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ht="15.75" customHeight="1">
      <c r="A480" s="12"/>
      <c r="B480" s="12"/>
      <c r="C480" s="12"/>
      <c r="D480" s="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15.75" customHeight="1">
      <c r="A481" s="12"/>
      <c r="B481" s="12"/>
      <c r="C481" s="12"/>
      <c r="D481" s="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ht="15.75" customHeight="1">
      <c r="A482" s="12"/>
      <c r="B482" s="12"/>
      <c r="C482" s="12"/>
      <c r="D482" s="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ht="15.75" customHeight="1">
      <c r="A483" s="12"/>
      <c r="B483" s="12"/>
      <c r="C483" s="12"/>
      <c r="D483" s="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</sheetData>
  <conditionalFormatting sqref="E5:E483">
    <cfRule type="expression" dxfId="0" priority="1" stopIfTrue="1">
      <formula>AND(ISNUMBER(E5),IF($C5="Romantasy",E$2,IF(OR($C5="Romance",$C5="Drama"),E$3,E$1))&gt;0,E5&gt;=(IF($C5="Romantasy",E$2,IF(OR($C5="Romance",$C5="Drama"),E$3,E$1))))</formula>
    </cfRule>
  </conditionalFormatting>
  <conditionalFormatting sqref="E5:E483">
    <cfRule type="expression" dxfId="1" priority="2" stopIfTrue="1">
      <formula>AND(ISNUMBER(E5),IF($C5="Romantasy",E$2,IF(OR($C5="Romance",$C5="Drama"),E$3,E$1))&gt;0,E5&gt;=0.7*(IF($C5="Romantasy",E$2,IF(OR($C5="Romance",$C5="Drama"),E$3,E$1))),E5&lt;(IF($C5="Romantasy",E$2,IF(OR($C5="Romance",$C5="Drama"),E$3,E$1))))</formula>
    </cfRule>
  </conditionalFormatting>
  <conditionalFormatting sqref="E5:E483">
    <cfRule type="expression" dxfId="2" priority="3" stopIfTrue="1">
      <formula>AND(ISNUMBER(E5),IF($C5="Romantasy",E$2,IF(OR($C5="Romance",$C5="Drama"),E$3,E$1))&gt;0,E5&lt;0.7*(IF($C5="Romantasy",E$2,IF(OR($C5="Romance",$C5="Drama"),E$3,E$1))))</formula>
    </cfRule>
  </conditionalFormatting>
  <conditionalFormatting sqref="F5:F483">
    <cfRule type="expression" dxfId="0" priority="4" stopIfTrue="1">
      <formula>AND(ISNUMBER(F5),IF($C5="Romantasy",F$2,IF(OR($C5="Romance",$C5="Drama"),F$3,F$1))&gt;0,F5&gt;=(IF($C5="Romantasy",F$2,IF(OR($C5="Romance",$C5="Drama"),F$3,F$1))))</formula>
    </cfRule>
  </conditionalFormatting>
  <conditionalFormatting sqref="F5:F483">
    <cfRule type="expression" dxfId="1" priority="5" stopIfTrue="1">
      <formula>AND(ISNUMBER(F5),IF($C5="Romantasy",F$2,IF(OR($C5="Romance",$C5="Drama"),F$3,F$1))&gt;0,F5&gt;=0.7*(IF($C5="Romantasy",F$2,IF(OR($C5="Romance",$C5="Drama"),F$3,F$1))),F5&lt;(IF($C5="Romantasy",F$2,IF(OR($C5="Romance",$C5="Drama"),F$3,F$1))))</formula>
    </cfRule>
  </conditionalFormatting>
  <conditionalFormatting sqref="F5:F483">
    <cfRule type="expression" dxfId="2" priority="6" stopIfTrue="1">
      <formula>AND(ISNUMBER(F5),IF($C5="Romantasy",F$2,IF(OR($C5="Romance",$C5="Drama"),F$3,F$1))&gt;0,F5&lt;0.7*(IF($C5="Romantasy",F$2,IF(OR($C5="Romance",$C5="Drama"),F$3,F$1))))</formula>
    </cfRule>
  </conditionalFormatting>
  <conditionalFormatting sqref="G5:G483">
    <cfRule type="expression" dxfId="0" priority="7" stopIfTrue="1">
      <formula>AND(ISNUMBER(G5),IF($C5="Romantasy",G$2,IF(OR($C5="Romance",$C5="Drama"),G$3,G$1))&gt;0,G5&gt;=(IF($C5="Romantasy",G$2,IF(OR($C5="Romance",$C5="Drama"),G$3,G$1))))</formula>
    </cfRule>
  </conditionalFormatting>
  <conditionalFormatting sqref="G5:G483">
    <cfRule type="expression" dxfId="1" priority="8" stopIfTrue="1">
      <formula>AND(ISNUMBER(G5),IF($C5="Romantasy",G$2,IF(OR($C5="Romance",$C5="Drama"),G$3,G$1))&gt;0,G5&gt;=0.7*(IF($C5="Romantasy",G$2,IF(OR($C5="Romance",$C5="Drama"),G$3,G$1))),G5&lt;(IF($C5="Romantasy",G$2,IF(OR($C5="Romance",$C5="Drama"),G$3,G$1))))</formula>
    </cfRule>
  </conditionalFormatting>
  <conditionalFormatting sqref="G5:G483">
    <cfRule type="expression" dxfId="2" priority="9" stopIfTrue="1">
      <formula>AND(ISNUMBER(G5),IF($C5="Romantasy",G$2,IF(OR($C5="Romance",$C5="Drama"),G$3,G$1))&gt;0,G5&lt;0.7*(IF($C5="Romantasy",G$2,IF(OR($C5="Romance",$C5="Drama"),G$3,G$1))))</formula>
    </cfRule>
  </conditionalFormatting>
  <conditionalFormatting sqref="H5:H483">
    <cfRule type="expression" dxfId="0" priority="10" stopIfTrue="1">
      <formula>AND(ISNUMBER(H5),IF($C5="Romantasy",H$2,IF(OR($C5="Romance",$C5="Drama"),H$3,H$1))&gt;0,H5&gt;=(IF($C5="Romantasy",H$2,IF(OR($C5="Romance",$C5="Drama"),H$3,H$1))))</formula>
    </cfRule>
  </conditionalFormatting>
  <conditionalFormatting sqref="H5:H483">
    <cfRule type="expression" dxfId="1" priority="11" stopIfTrue="1">
      <formula>AND(ISNUMBER(H5),IF($C5="Romantasy",H$2,IF(OR($C5="Romance",$C5="Drama"),H$3,H$1))&gt;0,H5&gt;=0.7*(IF($C5="Romantasy",H$2,IF(OR($C5="Romance",$C5="Drama"),H$3,H$1))),H5&lt;(IF($C5="Romantasy",H$2,IF(OR($C5="Romance",$C5="Drama"),H$3,H$1))))</formula>
    </cfRule>
  </conditionalFormatting>
  <conditionalFormatting sqref="H5:H483">
    <cfRule type="expression" dxfId="2" priority="12" stopIfTrue="1">
      <formula>AND(ISNUMBER(H5),IF($C5="Romantasy",H$2,IF(OR($C5="Romance",$C5="Drama"),H$3,H$1))&gt;0,H5&lt;0.7*(IF($C5="Romantasy",H$2,IF(OR($C5="Romance",$C5="Drama"),H$3,H$1))))</formula>
    </cfRule>
  </conditionalFormatting>
  <conditionalFormatting sqref="I5:I483">
    <cfRule type="expression" dxfId="0" priority="13" stopIfTrue="1">
      <formula>AND(ISNUMBER(I5),IF($C5="Romantasy",I$2,IF(OR($C5="Romance",$C5="Drama"),I$3,I$1))&gt;0,I5&gt;=(IF($C5="Romantasy",I$2,IF(OR($C5="Romance",$C5="Drama"),I$3,I$1))))</formula>
    </cfRule>
  </conditionalFormatting>
  <conditionalFormatting sqref="I5:I483">
    <cfRule type="expression" dxfId="1" priority="14" stopIfTrue="1">
      <formula>AND(ISNUMBER(I5),IF($C5="Romantasy",I$2,IF(OR($C5="Romance",$C5="Drama"),I$3,I$1))&gt;0,I5&gt;=0.7*(IF($C5="Romantasy",I$2,IF(OR($C5="Romance",$C5="Drama"),I$3,I$1))),I5&lt;(IF($C5="Romantasy",I$2,IF(OR($C5="Romance",$C5="Drama"),I$3,I$1))))</formula>
    </cfRule>
  </conditionalFormatting>
  <conditionalFormatting sqref="I5:I483">
    <cfRule type="expression" dxfId="2" priority="15" stopIfTrue="1">
      <formula>AND(ISNUMBER(I5),IF($C5="Romantasy",I$2,IF(OR($C5="Romance",$C5="Drama"),I$3,I$1))&gt;0,I5&lt;0.7*(IF($C5="Romantasy",I$2,IF(OR($C5="Romance",$C5="Drama"),I$3,I$1))))</formula>
    </cfRule>
  </conditionalFormatting>
  <conditionalFormatting sqref="J5:J483">
    <cfRule type="expression" dxfId="0" priority="16" stopIfTrue="1">
      <formula>AND(ISNUMBER(J5),IF($C5="Romantasy",J$2,IF(OR($C5="Romance",$C5="Drama"),J$3,J$1))&gt;0,J5&gt;=(IF($C5="Romantasy",J$2,IF(OR($C5="Romance",$C5="Drama"),J$3,J$1))))</formula>
    </cfRule>
  </conditionalFormatting>
  <conditionalFormatting sqref="J5:J483">
    <cfRule type="expression" dxfId="1" priority="17" stopIfTrue="1">
      <formula>AND(ISNUMBER(J5),IF($C5="Romantasy",J$2,IF(OR($C5="Romance",$C5="Drama"),J$3,J$1))&gt;0,J5&gt;=0.7*(IF($C5="Romantasy",J$2,IF(OR($C5="Romance",$C5="Drama"),J$3,J$1))),J5&lt;(IF($C5="Romantasy",J$2,IF(OR($C5="Romance",$C5="Drama"),J$3,J$1))))</formula>
    </cfRule>
  </conditionalFormatting>
  <conditionalFormatting sqref="J5:J483">
    <cfRule type="expression" dxfId="2" priority="18" stopIfTrue="1">
      <formula>AND(ISNUMBER(J5),IF($C5="Romantasy",J$2,IF(OR($C5="Romance",$C5="Drama"),J$3,J$1))&gt;0,J5&lt;0.7*(IF($C5="Romantasy",J$2,IF(OR($C5="Romance",$C5="Drama"),J$3,J$1))))</formula>
    </cfRule>
  </conditionalFormatting>
  <conditionalFormatting sqref="K5:K483">
    <cfRule type="expression" dxfId="0" priority="19" stopIfTrue="1">
      <formula>AND(ISNUMBER(K5),IF($C5="Romantasy",K$2,IF(OR($C5="Romance",$C5="Drama"),K$3,K$1))&gt;0,K5&gt;=(IF($C5="Romantasy",K$2,IF(OR($C5="Romance",$C5="Drama"),K$3,K$1))))</formula>
    </cfRule>
  </conditionalFormatting>
  <conditionalFormatting sqref="K5:K483">
    <cfRule type="expression" dxfId="1" priority="20" stopIfTrue="1">
      <formula>AND(ISNUMBER(K5),IF($C5="Romantasy",K$2,IF(OR($C5="Romance",$C5="Drama"),K$3,K$1))&gt;0,K5&gt;=0.7*(IF($C5="Romantasy",K$2,IF(OR($C5="Romance",$C5="Drama"),K$3,K$1))),K5&lt;(IF($C5="Romantasy",K$2,IF(OR($C5="Romance",$C5="Drama"),K$3,K$1))))</formula>
    </cfRule>
  </conditionalFormatting>
  <conditionalFormatting sqref="K5:K483">
    <cfRule type="expression" dxfId="2" priority="21" stopIfTrue="1">
      <formula>AND(ISNUMBER(K5),IF($C5="Romantasy",K$2,IF(OR($C5="Romance",$C5="Drama"),K$3,K$1))&gt;0,K5&lt;0.7*(IF($C5="Romantasy",K$2,IF(OR($C5="Romance",$C5="Drama"),K$3,K$1))))</formula>
    </cfRule>
  </conditionalFormatting>
  <conditionalFormatting sqref="L5:L483">
    <cfRule type="expression" dxfId="0" priority="22" stopIfTrue="1">
      <formula>AND(ISNUMBER(L5),IF($C5="Romantasy",L$2,IF(OR($C5="Romance",$C5="Drama"),L$3,L$1))&gt;0,L5&gt;=(IF($C5="Romantasy",L$2,IF(OR($C5="Romance",$C5="Drama"),L$3,L$1))))</formula>
    </cfRule>
  </conditionalFormatting>
  <conditionalFormatting sqref="L5:L483">
    <cfRule type="expression" dxfId="1" priority="23" stopIfTrue="1">
      <formula>AND(ISNUMBER(L5),IF($C5="Romantasy",L$2,IF(OR($C5="Romance",$C5="Drama"),L$3,L$1))&gt;0,L5&gt;=0.7*(IF($C5="Romantasy",L$2,IF(OR($C5="Romance",$C5="Drama"),L$3,L$1))),L5&lt;(IF($C5="Romantasy",L$2,IF(OR($C5="Romance",$C5="Drama"),L$3,L$1))))</formula>
    </cfRule>
  </conditionalFormatting>
  <conditionalFormatting sqref="L5:L483">
    <cfRule type="expression" dxfId="2" priority="24" stopIfTrue="1">
      <formula>AND(ISNUMBER(L5),IF($C5="Romantasy",L$2,IF(OR($C5="Romance",$C5="Drama"),L$3,L$1))&gt;0,L5&lt;0.7*(IF($C5="Romantasy",L$2,IF(OR($C5="Romance",$C5="Drama"),L$3,L$1))))</formula>
    </cfRule>
  </conditionalFormatting>
  <conditionalFormatting sqref="M5:M483">
    <cfRule type="expression" dxfId="0" priority="25" stopIfTrue="1">
      <formula>AND(ISNUMBER(M5),IF($C5="Romantasy",M$2,IF(OR($C5="Romance",$C5="Drama"),M$3,M$1))&gt;0,M5&gt;=(IF($C5="Romantasy",M$2,IF(OR($C5="Romance",$C5="Drama"),M$3,M$1))))</formula>
    </cfRule>
  </conditionalFormatting>
  <conditionalFormatting sqref="M5:M483">
    <cfRule type="expression" dxfId="1" priority="26" stopIfTrue="1">
      <formula>AND(ISNUMBER(M5),IF($C5="Romantasy",M$2,IF(OR($C5="Romance",$C5="Drama"),M$3,M$1))&gt;0,M5&gt;=0.7*(IF($C5="Romantasy",M$2,IF(OR($C5="Romance",$C5="Drama"),M$3,M$1))),M5&lt;(IF($C5="Romantasy",M$2,IF(OR($C5="Romance",$C5="Drama"),M$3,M$1))))</formula>
    </cfRule>
  </conditionalFormatting>
  <conditionalFormatting sqref="M5:M483">
    <cfRule type="expression" dxfId="2" priority="27" stopIfTrue="1">
      <formula>AND(ISNUMBER(M5),IF($C5="Romantasy",M$2,IF(OR($C5="Romance",$C5="Drama"),M$3,M$1))&gt;0,M5&lt;0.7*(IF($C5="Romantasy",M$2,IF(OR($C5="Romance",$C5="Drama"),M$3,M$1))))</formula>
    </cfRule>
  </conditionalFormatting>
  <conditionalFormatting sqref="N5:N483">
    <cfRule type="expression" dxfId="0" priority="28" stopIfTrue="1">
      <formula>AND(ISNUMBER(N5),IF($C5="Romantasy",N$2,IF(OR($C5="Romance",$C5="Drama"),N$3,N$1))&gt;0,N5&gt;=(IF($C5="Romantasy",N$2,IF(OR($C5="Romance",$C5="Drama"),N$3,N$1))))</formula>
    </cfRule>
  </conditionalFormatting>
  <conditionalFormatting sqref="N5:N483">
    <cfRule type="expression" dxfId="1" priority="29" stopIfTrue="1">
      <formula>AND(ISNUMBER(N5),IF($C5="Romantasy",N$2,IF(OR($C5="Romance",$C5="Drama"),N$3,N$1))&gt;0,N5&gt;=0.7*(IF($C5="Romantasy",N$2,IF(OR($C5="Romance",$C5="Drama"),N$3,N$1))),N5&lt;(IF($C5="Romantasy",N$2,IF(OR($C5="Romance",$C5="Drama"),N$3,N$1))))</formula>
    </cfRule>
  </conditionalFormatting>
  <conditionalFormatting sqref="N5:N483">
    <cfRule type="expression" dxfId="2" priority="30" stopIfTrue="1">
      <formula>AND(ISNUMBER(N5),IF($C5="Romantasy",N$2,IF(OR($C5="Romance",$C5="Drama"),N$3,N$1))&gt;0,N5&lt;0.7*(IF($C5="Romantasy",N$2,IF(OR($C5="Romance",$C5="Drama"),N$3,N$1))))</formula>
    </cfRule>
  </conditionalFormatting>
  <conditionalFormatting sqref="O5:O483">
    <cfRule type="expression" dxfId="0" priority="31" stopIfTrue="1">
      <formula>AND(ISNUMBER(O5),IF($C5="Romantasy",O$2,IF(OR($C5="Romance",$C5="Drama"),O$3,O$1))&gt;0,O5&gt;=(IF($C5="Romantasy",O$2,IF(OR($C5="Romance",$C5="Drama"),O$3,O$1))))</formula>
    </cfRule>
  </conditionalFormatting>
  <conditionalFormatting sqref="O5:O483">
    <cfRule type="expression" dxfId="1" priority="32" stopIfTrue="1">
      <formula>AND(ISNUMBER(O5),IF($C5="Romantasy",O$2,IF(OR($C5="Romance",$C5="Drama"),O$3,O$1))&gt;0,O5&gt;=0.7*(IF($C5="Romantasy",O$2,IF(OR($C5="Romance",$C5="Drama"),O$3,O$1))),O5&lt;(IF($C5="Romantasy",O$2,IF(OR($C5="Romance",$C5="Drama"),O$3,O$1))))</formula>
    </cfRule>
  </conditionalFormatting>
  <conditionalFormatting sqref="O5:O483">
    <cfRule type="expression" dxfId="2" priority="33" stopIfTrue="1">
      <formula>AND(ISNUMBER(O5),IF($C5="Romantasy",O$2,IF(OR($C5="Romance",$C5="Drama"),O$3,O$1))&gt;0,O5&lt;0.7*(IF($C5="Romantasy",O$2,IF(OR($C5="Romance",$C5="Drama"),O$3,O$1))))</formula>
    </cfRule>
  </conditionalFormatting>
  <conditionalFormatting sqref="P5:P483">
    <cfRule type="expression" dxfId="0" priority="34" stopIfTrue="1">
      <formula>AND(ISNUMBER(P5),IF($C5="Romantasy",P$2,IF(OR($C5="Romance",$C5="Drama"),P$3,P$1))&gt;0,P5&gt;=(IF($C5="Romantasy",P$2,IF(OR($C5="Romance",$C5="Drama"),P$3,P$1))))</formula>
    </cfRule>
  </conditionalFormatting>
  <conditionalFormatting sqref="P5:P483">
    <cfRule type="expression" dxfId="1" priority="35" stopIfTrue="1">
      <formula>AND(ISNUMBER(P5),IF($C5="Romantasy",P$2,IF(OR($C5="Romance",$C5="Drama"),P$3,P$1))&gt;0,P5&gt;=0.7*(IF($C5="Romantasy",P$2,IF(OR($C5="Romance",$C5="Drama"),P$3,P$1))),P5&lt;(IF($C5="Romantasy",P$2,IF(OR($C5="Romance",$C5="Drama"),P$3,P$1))))</formula>
    </cfRule>
  </conditionalFormatting>
  <conditionalFormatting sqref="P5:P483">
    <cfRule type="expression" dxfId="2" priority="36" stopIfTrue="1">
      <formula>AND(ISNUMBER(P5),IF($C5="Romantasy",P$2,IF(OR($C5="Romance",$C5="Drama"),P$3,P$1))&gt;0,P5&lt;0.7*(IF($C5="Romantasy",P$2,IF(OR($C5="Romance",$C5="Drama"),P$3,P$1))))</formula>
    </cfRule>
  </conditionalFormatting>
  <conditionalFormatting sqref="Q5:Q483">
    <cfRule type="expression" dxfId="0" priority="37" stopIfTrue="1">
      <formula>AND(ISNUMBER(Q5),IF($C5="Romantasy",Q$2,IF(OR($C5="Romance",$C5="Drama"),Q$3,Q$1))&gt;0,Q5&gt;=(IF($C5="Romantasy",Q$2,IF(OR($C5="Romance",$C5="Drama"),Q$3,Q$1))))</formula>
    </cfRule>
  </conditionalFormatting>
  <conditionalFormatting sqref="Q5:Q483">
    <cfRule type="expression" dxfId="1" priority="38" stopIfTrue="1">
      <formula>AND(ISNUMBER(Q5),IF($C5="Romantasy",Q$2,IF(OR($C5="Romance",$C5="Drama"),Q$3,Q$1))&gt;0,Q5&gt;=0.7*(IF($C5="Romantasy",Q$2,IF(OR($C5="Romance",$C5="Drama"),Q$3,Q$1))),Q5&lt;(IF($C5="Romantasy",Q$2,IF(OR($C5="Romance",$C5="Drama"),Q$3,Q$1))))</formula>
    </cfRule>
  </conditionalFormatting>
  <conditionalFormatting sqref="Q5:Q483">
    <cfRule type="expression" dxfId="2" priority="39" stopIfTrue="1">
      <formula>AND(ISNUMBER(Q5),IF($C5="Romantasy",Q$2,IF(OR($C5="Romance",$C5="Drama"),Q$3,Q$1))&gt;0,Q5&lt;0.7*(IF($C5="Romantasy",Q$2,IF(OR($C5="Romance",$C5="Drama"),Q$3,Q$1))))</formula>
    </cfRule>
  </conditionalFormatting>
  <conditionalFormatting sqref="R5:R483">
    <cfRule type="expression" dxfId="0" priority="40" stopIfTrue="1">
      <formula>AND(ISNUMBER(R5),IF($C5="Romantasy",R$2,IF(OR($C5="Romance",$C5="Drama"),R$3,R$1))&gt;0,R5&gt;=(IF($C5="Romantasy",R$2,IF(OR($C5="Romance",$C5="Drama"),R$3,R$1))))</formula>
    </cfRule>
  </conditionalFormatting>
  <conditionalFormatting sqref="R5:R483">
    <cfRule type="expression" dxfId="1" priority="41" stopIfTrue="1">
      <formula>AND(ISNUMBER(R5),IF($C5="Romantasy",R$2,IF(OR($C5="Romance",$C5="Drama"),R$3,R$1))&gt;0,R5&gt;=0.7*(IF($C5="Romantasy",R$2,IF(OR($C5="Romance",$C5="Drama"),R$3,R$1))),R5&lt;(IF($C5="Romantasy",R$2,IF(OR($C5="Romance",$C5="Drama"),R$3,R$1))))</formula>
    </cfRule>
  </conditionalFormatting>
  <conditionalFormatting sqref="R5:R483">
    <cfRule type="expression" dxfId="2" priority="42" stopIfTrue="1">
      <formula>AND(ISNUMBER(R5),IF($C5="Romantasy",R$2,IF(OR($C5="Romance",$C5="Drama"),R$3,R$1))&gt;0,R5&lt;0.7*(IF($C5="Romantasy",R$2,IF(OR($C5="Romance",$C5="Drama"),R$3,R$1))))</formula>
    </cfRule>
  </conditionalFormatting>
  <conditionalFormatting sqref="S5:S483">
    <cfRule type="expression" dxfId="0" priority="43" stopIfTrue="1">
      <formula>AND(ISNUMBER(S5),IF($C5="Romantasy",S$2,IF(OR($C5="Romance",$C5="Drama"),S$3,S$1))&gt;0,S5&gt;=(IF($C5="Romantasy",S$2,IF(OR($C5="Romance",$C5="Drama"),S$3,S$1))))</formula>
    </cfRule>
  </conditionalFormatting>
  <conditionalFormatting sqref="S5:S483">
    <cfRule type="expression" dxfId="1" priority="44" stopIfTrue="1">
      <formula>AND(ISNUMBER(S5),IF($C5="Romantasy",S$2,IF(OR($C5="Romance",$C5="Drama"),S$3,S$1))&gt;0,S5&gt;=0.7*(IF($C5="Romantasy",S$2,IF(OR($C5="Romance",$C5="Drama"),S$3,S$1))),S5&lt;(IF($C5="Romantasy",S$2,IF(OR($C5="Romance",$C5="Drama"),S$3,S$1))))</formula>
    </cfRule>
  </conditionalFormatting>
  <conditionalFormatting sqref="S5:S483">
    <cfRule type="expression" dxfId="2" priority="45" stopIfTrue="1">
      <formula>AND(ISNUMBER(S5),IF($C5="Romantasy",S$2,IF(OR($C5="Romance",$C5="Drama"),S$3,S$1))&gt;0,S5&lt;0.7*(IF($C5="Romantasy",S$2,IF(OR($C5="Romance",$C5="Drama"),S$3,S$1))))</formula>
    </cfRule>
  </conditionalFormatting>
  <conditionalFormatting sqref="T5:T483">
    <cfRule type="expression" dxfId="0" priority="46" stopIfTrue="1">
      <formula>AND(ISNUMBER(T5),IF($C5="Romantasy",T$2,IF(OR($C5="Romance",$C5="Drama"),T$3,T$1))&gt;0,T5&gt;=(IF($C5="Romantasy",T$2,IF(OR($C5="Romance",$C5="Drama"),T$3,T$1))))</formula>
    </cfRule>
  </conditionalFormatting>
  <conditionalFormatting sqref="T5:T483">
    <cfRule type="expression" dxfId="1" priority="47" stopIfTrue="1">
      <formula>AND(ISNUMBER(T5),IF($C5="Romantasy",T$2,IF(OR($C5="Romance",$C5="Drama"),T$3,T$1))&gt;0,T5&gt;=0.7*(IF($C5="Romantasy",T$2,IF(OR($C5="Romance",$C5="Drama"),T$3,T$1))),T5&lt;(IF($C5="Romantasy",T$2,IF(OR($C5="Romance",$C5="Drama"),T$3,T$1))))</formula>
    </cfRule>
  </conditionalFormatting>
  <conditionalFormatting sqref="T5:T483">
    <cfRule type="expression" dxfId="2" priority="48" stopIfTrue="1">
      <formula>AND(ISNUMBER(T5),IF($C5="Romantasy",T$2,IF(OR($C5="Romance",$C5="Drama"),T$3,T$1))&gt;0,T5&lt;0.7*(IF($C5="Romantasy",T$2,IF(OR($C5="Romance",$C5="Drama"),T$3,T$1))))</formula>
    </cfRule>
  </conditionalFormatting>
  <conditionalFormatting sqref="U5:U483">
    <cfRule type="expression" dxfId="0" priority="49" stopIfTrue="1">
      <formula>AND(ISNUMBER(U5),IF($C5="Romantasy",U$2,IF(OR($C5="Romance",$C5="Drama"),U$3,U$1))&gt;0,U5&gt;=(IF($C5="Romantasy",U$2,IF(OR($C5="Romance",$C5="Drama"),U$3,U$1))))</formula>
    </cfRule>
  </conditionalFormatting>
  <conditionalFormatting sqref="U5:U483">
    <cfRule type="expression" dxfId="1" priority="50" stopIfTrue="1">
      <formula>AND(ISNUMBER(U5),IF($C5="Romantasy",U$2,IF(OR($C5="Romance",$C5="Drama"),U$3,U$1))&gt;0,U5&gt;=0.7*(IF($C5="Romantasy",U$2,IF(OR($C5="Romance",$C5="Drama"),U$3,U$1))),U5&lt;(IF($C5="Romantasy",U$2,IF(OR($C5="Romance",$C5="Drama"),U$3,U$1))))</formula>
    </cfRule>
  </conditionalFormatting>
  <conditionalFormatting sqref="U5:U483">
    <cfRule type="expression" dxfId="2" priority="51" stopIfTrue="1">
      <formula>AND(ISNUMBER(U5),IF($C5="Romantasy",U$2,IF(OR($C5="Romance",$C5="Drama"),U$3,U$1))&gt;0,U5&lt;0.7*(IF($C5="Romantasy",U$2,IF(OR($C5="Romance",$C5="Drama"),U$3,U$1))))</formula>
    </cfRule>
  </conditionalFormatting>
  <conditionalFormatting sqref="V5:V483">
    <cfRule type="expression" dxfId="0" priority="52" stopIfTrue="1">
      <formula>AND(ISNUMBER(V5),IF($C5="Romantasy",V$2,IF(OR($C5="Romance",$C5="Drama"),V$3,V$1))&gt;0,V5&gt;=(IF($C5="Romantasy",V$2,IF(OR($C5="Romance",$C5="Drama"),V$3,V$1))))</formula>
    </cfRule>
  </conditionalFormatting>
  <conditionalFormatting sqref="V5:V483">
    <cfRule type="expression" dxfId="1" priority="53" stopIfTrue="1">
      <formula>AND(ISNUMBER(V5),IF($C5="Romantasy",V$2,IF(OR($C5="Romance",$C5="Drama"),V$3,V$1))&gt;0,V5&gt;=0.7*(IF($C5="Romantasy",V$2,IF(OR($C5="Romance",$C5="Drama"),V$3,V$1))),V5&lt;(IF($C5="Romantasy",V$2,IF(OR($C5="Romance",$C5="Drama"),V$3,V$1))))</formula>
    </cfRule>
  </conditionalFormatting>
  <conditionalFormatting sqref="V5:V483">
    <cfRule type="expression" dxfId="2" priority="54" stopIfTrue="1">
      <formula>AND(ISNUMBER(V5),IF($C5="Romantasy",V$2,IF(OR($C5="Romance",$C5="Drama"),V$3,V$1))&gt;0,V5&lt;0.7*(IF($C5="Romantasy",V$2,IF(OR($C5="Romance",$C5="Drama"),V$3,V$1))))</formula>
    </cfRule>
  </conditionalFormatting>
  <conditionalFormatting sqref="W5:W483">
    <cfRule type="expression" dxfId="0" priority="55" stopIfTrue="1">
      <formula>AND(ISNUMBER(W5),IF($C5="Romantasy",W$2,IF(OR($C5="Romance",$C5="Drama"),W$3,W$1))&gt;0,W5&gt;=(IF($C5="Romantasy",W$2,IF(OR($C5="Romance",$C5="Drama"),W$3,W$1))))</formula>
    </cfRule>
  </conditionalFormatting>
  <conditionalFormatting sqref="W5:W483">
    <cfRule type="expression" dxfId="1" priority="56" stopIfTrue="1">
      <formula>AND(ISNUMBER(W5),IF($C5="Romantasy",W$2,IF(OR($C5="Romance",$C5="Drama"),W$3,W$1))&gt;0,W5&gt;=0.7*(IF($C5="Romantasy",W$2,IF(OR($C5="Romance",$C5="Drama"),W$3,W$1))),W5&lt;(IF($C5="Romantasy",W$2,IF(OR($C5="Romance",$C5="Drama"),W$3,W$1))))</formula>
    </cfRule>
  </conditionalFormatting>
  <conditionalFormatting sqref="W5:W483">
    <cfRule type="expression" dxfId="2" priority="57" stopIfTrue="1">
      <formula>AND(ISNUMBER(W5),IF($C5="Romantasy",W$2,IF(OR($C5="Romance",$C5="Drama"),W$3,W$1))&gt;0,W5&lt;0.7*(IF($C5="Romantasy",W$2,IF(OR($C5="Romance",$C5="Drama"),W$3,W$1))))</formula>
    </cfRule>
  </conditionalFormatting>
  <conditionalFormatting sqref="X5:X483">
    <cfRule type="expression" dxfId="0" priority="58" stopIfTrue="1">
      <formula>AND(ISNUMBER(X5),IF($C5="Romantasy",X$2,IF(OR($C5="Romance",$C5="Drama"),X$3,X$1))&gt;0,X5&gt;=(IF($C5="Romantasy",X$2,IF(OR($C5="Romance",$C5="Drama"),X$3,X$1))))</formula>
    </cfRule>
  </conditionalFormatting>
  <conditionalFormatting sqref="X5:X483">
    <cfRule type="expression" dxfId="1" priority="59" stopIfTrue="1">
      <formula>AND(ISNUMBER(X5),IF($C5="Romantasy",X$2,IF(OR($C5="Romance",$C5="Drama"),X$3,X$1))&gt;0,X5&gt;=0.7*(IF($C5="Romantasy",X$2,IF(OR($C5="Romance",$C5="Drama"),X$3,X$1))),X5&lt;(IF($C5="Romantasy",X$2,IF(OR($C5="Romance",$C5="Drama"),X$3,X$1))))</formula>
    </cfRule>
  </conditionalFormatting>
  <conditionalFormatting sqref="X5:X483">
    <cfRule type="expression" dxfId="2" priority="60" stopIfTrue="1">
      <formula>AND(ISNUMBER(X5),IF($C5="Romantasy",X$2,IF(OR($C5="Romance",$C5="Drama"),X$3,X$1))&gt;0,X5&lt;0.7*(IF($C5="Romantasy",X$2,IF(OR($C5="Romance",$C5="Drama"),X$3,X$1))))</formula>
    </cfRule>
  </conditionalFormatting>
  <conditionalFormatting sqref="Y5:Y483">
    <cfRule type="expression" dxfId="0" priority="61" stopIfTrue="1">
      <formula>AND(ISNUMBER(Y5),IF($C5="Romantasy",Y$2,IF(OR($C5="Romance",$C5="Drama"),Y$3,Y$1))&gt;0,Y5&gt;=(IF($C5="Romantasy",Y$2,IF(OR($C5="Romance",$C5="Drama"),Y$3,Y$1))))</formula>
    </cfRule>
  </conditionalFormatting>
  <conditionalFormatting sqref="Y5:Y483">
    <cfRule type="expression" dxfId="1" priority="62" stopIfTrue="1">
      <formula>AND(ISNUMBER(Y5),IF($C5="Romantasy",Y$2,IF(OR($C5="Romance",$C5="Drama"),Y$3,Y$1))&gt;0,Y5&gt;=0.7*(IF($C5="Romantasy",Y$2,IF(OR($C5="Romance",$C5="Drama"),Y$3,Y$1))),Y5&lt;(IF($C5="Romantasy",Y$2,IF(OR($C5="Romance",$C5="Drama"),Y$3,Y$1))))</formula>
    </cfRule>
  </conditionalFormatting>
  <conditionalFormatting sqref="Y5:Y483">
    <cfRule type="expression" dxfId="2" priority="63" stopIfTrue="1">
      <formula>AND(ISNUMBER(Y5),IF($C5="Romantasy",Y$2,IF(OR($C5="Romance",$C5="Drama"),Y$3,Y$1))&gt;0,Y5&lt;0.7*(IF($C5="Romantasy",Y$2,IF(OR($C5="Romance",$C5="Drama"),Y$3,Y$1))))</formula>
    </cfRule>
  </conditionalFormatting>
  <conditionalFormatting sqref="Z5:Z483">
    <cfRule type="expression" dxfId="0" priority="64" stopIfTrue="1">
      <formula>AND(ISNUMBER(Z5),IF($C5="Romantasy",Z$2,IF(OR($C5="Romance",$C5="Drama"),Z$3,Z$1))&gt;0,Z5&gt;=(IF($C5="Romantasy",Z$2,IF(OR($C5="Romance",$C5="Drama"),Z$3,Z$1))))</formula>
    </cfRule>
  </conditionalFormatting>
  <conditionalFormatting sqref="Z5:Z483">
    <cfRule type="expression" dxfId="1" priority="65" stopIfTrue="1">
      <formula>AND(ISNUMBER(Z5),IF($C5="Romantasy",Z$2,IF(OR($C5="Romance",$C5="Drama"),Z$3,Z$1))&gt;0,Z5&gt;=0.7*(IF($C5="Romantasy",Z$2,IF(OR($C5="Romance",$C5="Drama"),Z$3,Z$1))),Z5&lt;(IF($C5="Romantasy",Z$2,IF(OR($C5="Romance",$C5="Drama"),Z$3,Z$1))))</formula>
    </cfRule>
  </conditionalFormatting>
  <conditionalFormatting sqref="Z5:Z483">
    <cfRule type="expression" dxfId="2" priority="66" stopIfTrue="1">
      <formula>AND(ISNUMBER(Z5),IF($C5="Romantasy",Z$2,IF(OR($C5="Romance",$C5="Drama"),Z$3,Z$1))&gt;0,Z5&lt;0.7*(IF($C5="Romantasy",Z$2,IF(OR($C5="Romance",$C5="Drama"),Z$3,Z$1))))</formula>
    </cfRule>
  </conditionalFormatting>
  <conditionalFormatting sqref="AA5:AA483">
    <cfRule type="expression" dxfId="0" priority="67" stopIfTrue="1">
      <formula>AND(ISNUMBER(AA5),IF($C5="Romantasy",AA$2,IF(OR($C5="Romance",$C5="Drama"),AA$3,AA$1))&gt;0,AA5&gt;=(IF($C5="Romantasy",AA$2,IF(OR($C5="Romance",$C5="Drama"),AA$3,AA$1))))</formula>
    </cfRule>
  </conditionalFormatting>
  <conditionalFormatting sqref="AA5:AA483">
    <cfRule type="expression" dxfId="1" priority="68" stopIfTrue="1">
      <formula>AND(ISNUMBER(AA5),IF($C5="Romantasy",AA$2,IF(OR($C5="Romance",$C5="Drama"),AA$3,AA$1))&gt;0,AA5&gt;=0.7*(IF($C5="Romantasy",AA$2,IF(OR($C5="Romance",$C5="Drama"),AA$3,AA$1))),AA5&lt;(IF($C5="Romantasy",AA$2,IF(OR($C5="Romance",$C5="Drama"),AA$3,AA$1))))</formula>
    </cfRule>
  </conditionalFormatting>
  <conditionalFormatting sqref="AA5:AA483">
    <cfRule type="expression" dxfId="2" priority="69" stopIfTrue="1">
      <formula>AND(ISNUMBER(AA5),IF($C5="Romantasy",AA$2,IF(OR($C5="Romance",$C5="Drama"),AA$3,AA$1))&gt;0,AA5&lt;0.7*(IF($C5="Romantasy",AA$2,IF(OR($C5="Romance",$C5="Drama"),AA$3,AA$1))))</formula>
    </cfRule>
  </conditionalFormatting>
  <conditionalFormatting sqref="AB5:AB483">
    <cfRule type="expression" dxfId="0" priority="70" stopIfTrue="1">
      <formula>AND(ISNUMBER(AB5),IF($C5="Romantasy",AB$2,IF(OR($C5="Romance",$C5="Drama"),AB$3,AB$1))&gt;0,AB5&gt;=(IF($C5="Romantasy",AB$2,IF(OR($C5="Romance",$C5="Drama"),AB$3,AB$1))))</formula>
    </cfRule>
  </conditionalFormatting>
  <conditionalFormatting sqref="AB5:AB483">
    <cfRule type="expression" dxfId="1" priority="71" stopIfTrue="1">
      <formula>AND(ISNUMBER(AB5),IF($C5="Romantasy",AB$2,IF(OR($C5="Romance",$C5="Drama"),AB$3,AB$1))&gt;0,AB5&gt;=0.7*(IF($C5="Romantasy",AB$2,IF(OR($C5="Romance",$C5="Drama"),AB$3,AB$1))),AB5&lt;(IF($C5="Romantasy",AB$2,IF(OR($C5="Romance",$C5="Drama"),AB$3,AB$1))))</formula>
    </cfRule>
  </conditionalFormatting>
  <conditionalFormatting sqref="AB5:AB483">
    <cfRule type="expression" dxfId="2" priority="72" stopIfTrue="1">
      <formula>AND(ISNUMBER(AB5),IF($C5="Romantasy",AB$2,IF(OR($C5="Romance",$C5="Drama"),AB$3,AB$1))&gt;0,AB5&lt;0.7*(IF($C5="Romantasy",AB$2,IF(OR($C5="Romance",$C5="Drama"),AB$3,AB$1))))</formula>
    </cfRule>
  </conditionalFormatting>
  <conditionalFormatting sqref="AC5:AC483">
    <cfRule type="expression" dxfId="0" priority="73" stopIfTrue="1">
      <formula>AND(ISNUMBER(AC5),IF($C5="Romantasy",AC$2,IF(OR($C5="Romance",$C5="Drama"),AC$3,AC$1))&gt;0,AC5&gt;=(IF($C5="Romantasy",AC$2,IF(OR($C5="Romance",$C5="Drama"),AC$3,AC$1))))</formula>
    </cfRule>
  </conditionalFormatting>
  <conditionalFormatting sqref="AC5:AC483">
    <cfRule type="expression" dxfId="1" priority="74" stopIfTrue="1">
      <formula>AND(ISNUMBER(AC5),IF($C5="Romantasy",AC$2,IF(OR($C5="Romance",$C5="Drama"),AC$3,AC$1))&gt;0,AC5&gt;=0.7*(IF($C5="Romantasy",AC$2,IF(OR($C5="Romance",$C5="Drama"),AC$3,AC$1))),AC5&lt;(IF($C5="Romantasy",AC$2,IF(OR($C5="Romance",$C5="Drama"),AC$3,AC$1))))</formula>
    </cfRule>
  </conditionalFormatting>
  <conditionalFormatting sqref="AC5:AC483">
    <cfRule type="expression" dxfId="2" priority="75" stopIfTrue="1">
      <formula>AND(ISNUMBER(AC5),IF($C5="Romantasy",AC$2,IF(OR($C5="Romance",$C5="Drama"),AC$3,AC$1))&gt;0,AC5&lt;0.7*(IF($C5="Romantasy",AC$2,IF(OR($C5="Romance",$C5="Drama"),AC$3,AC$1))))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4" width="12.63"/>
  </cols>
  <sheetData>
    <row r="1" ht="15.75" customHeight="1">
      <c r="A1" s="1"/>
      <c r="B1" s="1" t="s">
        <v>0</v>
      </c>
      <c r="C1" s="1" t="s">
        <v>1</v>
      </c>
      <c r="D1" s="2">
        <v>18379.0</v>
      </c>
      <c r="E1" s="4">
        <v>0.89125102207686</v>
      </c>
      <c r="F1" s="4">
        <v>0.428571428571428</v>
      </c>
      <c r="G1" s="4">
        <v>0.368268388791593</v>
      </c>
      <c r="H1" s="4">
        <v>0.331832408983581</v>
      </c>
      <c r="I1" s="4">
        <v>0.308610729023383</v>
      </c>
      <c r="J1" s="4">
        <v>0.294636945486647</v>
      </c>
      <c r="K1" s="4">
        <v>0.280291728824796</v>
      </c>
      <c r="L1" s="4">
        <v>0.266803346816645</v>
      </c>
      <c r="M1" s="4">
        <v>0.261839986674809</v>
      </c>
      <c r="N1" s="4">
        <v>0.25747536054346</v>
      </c>
      <c r="O1" s="4">
        <v>0.23702451394759</v>
      </c>
      <c r="P1" s="4">
        <v>0.209803362781419</v>
      </c>
      <c r="Q1" s="4">
        <v>0.178822289861859</v>
      </c>
      <c r="R1" s="4">
        <v>0.165689149560117</v>
      </c>
      <c r="S1" s="4">
        <v>0.159760229345843</v>
      </c>
      <c r="T1" s="4">
        <v>0.154881931546829</v>
      </c>
      <c r="U1" s="4">
        <v>0.146438439247927</v>
      </c>
      <c r="V1" s="4">
        <v>0.140434842062081</v>
      </c>
      <c r="W1" s="4">
        <v>0.136275055679287</v>
      </c>
      <c r="X1" s="4">
        <v>0.130505709624796</v>
      </c>
      <c r="Y1" s="4">
        <v>0.124018038987489</v>
      </c>
      <c r="Z1" s="4">
        <v>0.115996681499358</v>
      </c>
      <c r="AA1" s="4">
        <v>0.105580578670127</v>
      </c>
      <c r="AB1" s="4">
        <v>0.0978700664172837</v>
      </c>
      <c r="AC1" s="4">
        <v>0.0904649209863348</v>
      </c>
    </row>
    <row r="2" ht="15.75" customHeight="1">
      <c r="A2" s="1"/>
      <c r="B2" s="1" t="s">
        <v>0</v>
      </c>
      <c r="C2" s="1" t="s">
        <v>2</v>
      </c>
      <c r="D2" s="2">
        <v>60118.0</v>
      </c>
      <c r="E2" s="4">
        <v>0.889732826970484</v>
      </c>
      <c r="F2" s="4">
        <v>0.745946036031531</v>
      </c>
      <c r="G2" s="4">
        <v>0.689500992675887</v>
      </c>
      <c r="H2" s="4">
        <v>0.649318318519013</v>
      </c>
      <c r="I2" s="4">
        <v>0.60212662799057</v>
      </c>
      <c r="J2" s="4">
        <v>0.561994676844272</v>
      </c>
      <c r="K2" s="4">
        <v>0.530292111481673</v>
      </c>
      <c r="L2" s="4">
        <v>0.507547549562242</v>
      </c>
      <c r="M2" s="4">
        <v>0.489096102150537</v>
      </c>
      <c r="N2" s="4">
        <v>0.474380526510439</v>
      </c>
      <c r="O2" s="4">
        <v>0.415567505411255</v>
      </c>
      <c r="P2" s="4">
        <v>0.380013261021098</v>
      </c>
      <c r="Q2" s="4">
        <v>0.339188933431978</v>
      </c>
      <c r="R2" s="4">
        <v>0.320192273831742</v>
      </c>
      <c r="S2" s="4">
        <v>0.283554585465345</v>
      </c>
      <c r="T2" s="4">
        <v>0.25561584579191</v>
      </c>
      <c r="U2" s="4">
        <v>0.212191119461554</v>
      </c>
      <c r="V2" s="4">
        <v>0.170617827902541</v>
      </c>
      <c r="W2" s="4">
        <v>0.146885083147182</v>
      </c>
      <c r="X2" s="4">
        <v>0.126288659793814</v>
      </c>
      <c r="Y2" s="4">
        <v>0.0854614045269878</v>
      </c>
      <c r="Z2" s="4">
        <v>0.0616365568544102</v>
      </c>
      <c r="AA2" s="4">
        <v>0.0</v>
      </c>
      <c r="AB2" s="4">
        <v>0.0</v>
      </c>
      <c r="AC2" s="4">
        <v>0.0</v>
      </c>
    </row>
    <row r="3" ht="15.75" customHeight="1">
      <c r="A3" s="1"/>
      <c r="B3" s="1" t="s">
        <v>0</v>
      </c>
      <c r="C3" s="1" t="s">
        <v>3</v>
      </c>
      <c r="D3" s="2">
        <v>33541.0</v>
      </c>
      <c r="E3" s="4">
        <v>0.911381070351908</v>
      </c>
      <c r="F3" s="4">
        <v>0.57778109601314</v>
      </c>
      <c r="G3" s="4">
        <v>0.527071063409967</v>
      </c>
      <c r="H3" s="4">
        <v>0.487012987012987</v>
      </c>
      <c r="I3" s="4">
        <v>0.459291187739463</v>
      </c>
      <c r="J3" s="4">
        <v>0.42649086005394</v>
      </c>
      <c r="K3" s="4">
        <v>0.406334353068202</v>
      </c>
      <c r="L3" s="4">
        <v>0.392011523572307</v>
      </c>
      <c r="M3" s="4">
        <v>0.381803436260963</v>
      </c>
      <c r="N3" s="4">
        <v>0.37281004898278</v>
      </c>
      <c r="O3" s="4">
        <v>0.339922141412922</v>
      </c>
      <c r="P3" s="4">
        <v>0.310443057154979</v>
      </c>
      <c r="Q3" s="4">
        <v>0.281479208224643</v>
      </c>
      <c r="R3" s="4">
        <v>0.260321859351872</v>
      </c>
      <c r="S3" s="4">
        <v>0.242183780352325</v>
      </c>
      <c r="T3" s="4">
        <v>0.21654501216545</v>
      </c>
      <c r="U3" s="4">
        <v>0.182435884336364</v>
      </c>
      <c r="V3" s="4">
        <v>0.168634969325153</v>
      </c>
      <c r="W3" s="4">
        <v>0.145016680567139</v>
      </c>
      <c r="X3" s="4">
        <v>0.124515851384306</v>
      </c>
      <c r="Y3" s="4">
        <v>0.0894838398456343</v>
      </c>
      <c r="Z3" s="4">
        <v>0.0657004830917874</v>
      </c>
      <c r="AA3" s="4">
        <v>0.0324189526184538</v>
      </c>
      <c r="AB3" s="4">
        <v>0.0</v>
      </c>
      <c r="AC3" s="4">
        <v>0.0</v>
      </c>
    </row>
    <row r="4" ht="15.75" customHeight="1">
      <c r="A4" s="6" t="s">
        <v>4</v>
      </c>
      <c r="B4" s="6" t="s">
        <v>5</v>
      </c>
      <c r="C4" s="6" t="s">
        <v>6</v>
      </c>
      <c r="D4" s="7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8" t="s">
        <v>13</v>
      </c>
      <c r="K4" s="8" t="s">
        <v>14</v>
      </c>
      <c r="L4" s="8" t="s">
        <v>15</v>
      </c>
      <c r="M4" s="8" t="s">
        <v>16</v>
      </c>
      <c r="N4" s="8" t="s">
        <v>17</v>
      </c>
      <c r="O4" s="8" t="s">
        <v>18</v>
      </c>
      <c r="P4" s="8" t="s">
        <v>19</v>
      </c>
      <c r="Q4" s="8" t="s">
        <v>20</v>
      </c>
      <c r="R4" s="8" t="s">
        <v>21</v>
      </c>
      <c r="S4" s="8" t="s">
        <v>22</v>
      </c>
      <c r="T4" s="8" t="s">
        <v>23</v>
      </c>
      <c r="U4" s="8" t="s">
        <v>24</v>
      </c>
      <c r="V4" s="8" t="s">
        <v>25</v>
      </c>
      <c r="W4" s="8" t="s">
        <v>26</v>
      </c>
      <c r="X4" s="8" t="s">
        <v>27</v>
      </c>
      <c r="Y4" s="8" t="s">
        <v>28</v>
      </c>
      <c r="Z4" s="8" t="s">
        <v>29</v>
      </c>
      <c r="AA4" s="8" t="s">
        <v>30</v>
      </c>
      <c r="AB4" s="8" t="s">
        <v>31</v>
      </c>
      <c r="AC4" s="8" t="s">
        <v>32</v>
      </c>
    </row>
    <row r="5" ht="15.75" customHeight="1">
      <c r="A5" s="10" t="str">
        <f>IFERROR(__xludf.DUMMYFUNCTION("{
IMPORTRANGE(""https://docs.google.com/spreadsheets/d/1OLoRCn0B2mP-LizDOaFp_LsrXGtZR4ZKvHn3aia4TMo/edit"",""Whale+ US!B5:B""),
IMPORTRANGE(""https://docs.google.com/spreadsheets/d/1OLoRCn0B2mP-LizDOaFp_LsrXGtZR4ZKvHn3aia4TMo/edit"",""Whale+ US!C5:C""),
I"&amp;"MPORTRANGE(""https://docs.google.com/spreadsheets/d/1OLoRCn0B2mP-LizDOaFp_LsrXGtZR4ZKvHn3aia4TMo/edit"",""Whale+ US!E5:E""),
IMPORTRANGE(""https://docs.google.com/spreadsheets/d/1OLoRCn0B2mP-LizDOaFp_LsrXGtZR4ZKvHn3aia4TMo/edit"",""Whale+ US!AC5:AC""),
IM"&amp;"PORTRANGE(""https://docs.google.com/spreadsheets/d/1OLoRCn0B2mP-LizDOaFp_LsrXGtZR4ZKvHn3aia4TMo/edit"",""Whale+ US!AJ5:BH"")
}"),"003c0c0b3759df17ce3f0b5feeeed123024f274d")</f>
        <v>003c0c0b3759df17ce3f0b5feeeed123024f274d</v>
      </c>
      <c r="B5" s="6" t="str">
        <f>IFERROR(__xludf.DUMMYFUNCTION("""COMPUTED_VALUE"""),"The Invictus Mage Returns")</f>
        <v>The Invictus Mage Returns</v>
      </c>
      <c r="C5" s="6" t="str">
        <f>IFERROR(__xludf.DUMMYFUNCTION("""COMPUTED_VALUE"""),"Fantasy")</f>
        <v>Fantasy</v>
      </c>
      <c r="D5" s="11">
        <f>IFERROR(__xludf.DUMMYFUNCTION("""COMPUTED_VALUE"""),670.0)</f>
        <v>670</v>
      </c>
      <c r="E5" s="8">
        <f>IFERROR(__xludf.DUMMYFUNCTION("""COMPUTED_VALUE"""),0.982089552238806)</f>
        <v>0.9820895522</v>
      </c>
      <c r="F5" s="8">
        <f>IFERROR(__xludf.DUMMYFUNCTION("""COMPUTED_VALUE"""),0.796711509715994)</f>
        <v>0.7967115097</v>
      </c>
      <c r="G5" s="8">
        <f>IFERROR(__xludf.DUMMYFUNCTION("""COMPUTED_VALUE"""),0.754857997010463)</f>
        <v>0.754857997</v>
      </c>
      <c r="H5" s="8">
        <f>IFERROR(__xludf.DUMMYFUNCTION("""COMPUTED_VALUE"""),0.701046337817638)</f>
        <v>0.7010463378</v>
      </c>
      <c r="I5" s="8">
        <f>IFERROR(__xludf.DUMMYFUNCTION("""COMPUTED_VALUE"""),0.645739910313901)</f>
        <v>0.6457399103</v>
      </c>
      <c r="J5" s="8">
        <f>IFERROR(__xludf.DUMMYFUNCTION("""COMPUTED_VALUE"""),0.610778443113772)</f>
        <v>0.6107784431</v>
      </c>
      <c r="K5" s="8">
        <f>IFERROR(__xludf.DUMMYFUNCTION("""COMPUTED_VALUE"""),0.577844311377245)</f>
        <v>0.5778443114</v>
      </c>
      <c r="L5" s="8">
        <f>IFERROR(__xludf.DUMMYFUNCTION("""COMPUTED_VALUE"""),0.56071964017991)</f>
        <v>0.5607196402</v>
      </c>
      <c r="M5" s="8">
        <f>IFERROR(__xludf.DUMMYFUNCTION("""COMPUTED_VALUE"""),0.545045045045045)</f>
        <v>0.545045045</v>
      </c>
      <c r="N5" s="8">
        <f>IFERROR(__xludf.DUMMYFUNCTION("""COMPUTED_VALUE"""),0.525525525525525)</f>
        <v>0.5255255255</v>
      </c>
      <c r="O5" s="8">
        <f>IFERROR(__xludf.DUMMYFUNCTION("""COMPUTED_VALUE"""),0.430955993930197)</f>
        <v>0.4309559939</v>
      </c>
      <c r="P5" s="8">
        <f>IFERROR(__xludf.DUMMYFUNCTION("""COMPUTED_VALUE"""),0.297709923664122)</f>
        <v>0.2977099237</v>
      </c>
      <c r="Q5" s="8">
        <f>IFERROR(__xludf.DUMMYFUNCTION("""COMPUTED_VALUE"""),0.126984126984126)</f>
        <v>0.126984127</v>
      </c>
      <c r="R5" s="8">
        <f>IFERROR(__xludf.DUMMYFUNCTION("""COMPUTED_VALUE"""),0.0)</f>
        <v>0</v>
      </c>
      <c r="S5" s="8">
        <f>IFERROR(__xludf.DUMMYFUNCTION("""COMPUTED_VALUE"""),0.0)</f>
        <v>0</v>
      </c>
      <c r="T5" s="8">
        <f>IFERROR(__xludf.DUMMYFUNCTION("""COMPUTED_VALUE"""),0.0)</f>
        <v>0</v>
      </c>
      <c r="U5" s="8">
        <f>IFERROR(__xludf.DUMMYFUNCTION("""COMPUTED_VALUE"""),0.0)</f>
        <v>0</v>
      </c>
      <c r="V5" s="8">
        <f>IFERROR(__xludf.DUMMYFUNCTION("""COMPUTED_VALUE"""),0.0)</f>
        <v>0</v>
      </c>
      <c r="W5" s="8">
        <f>IFERROR(__xludf.DUMMYFUNCTION("""COMPUTED_VALUE"""),0.0)</f>
        <v>0</v>
      </c>
      <c r="X5" s="8">
        <f>IFERROR(__xludf.DUMMYFUNCTION("""COMPUTED_VALUE"""),0.0)</f>
        <v>0</v>
      </c>
      <c r="Y5" s="8">
        <f>IFERROR(__xludf.DUMMYFUNCTION("""COMPUTED_VALUE"""),0.0)</f>
        <v>0</v>
      </c>
      <c r="Z5" s="8">
        <f>IFERROR(__xludf.DUMMYFUNCTION("""COMPUTED_VALUE"""),0.0)</f>
        <v>0</v>
      </c>
      <c r="AA5" s="8">
        <f>IFERROR(__xludf.DUMMYFUNCTION("""COMPUTED_VALUE"""),0.0)</f>
        <v>0</v>
      </c>
      <c r="AB5" s="8">
        <f>IFERROR(__xludf.DUMMYFUNCTION("""COMPUTED_VALUE"""),0.0)</f>
        <v>0</v>
      </c>
      <c r="AC5" s="8">
        <f>IFERROR(__xludf.DUMMYFUNCTION("""COMPUTED_VALUE"""),0.0)</f>
        <v>0</v>
      </c>
    </row>
    <row r="6" ht="15.75" customHeight="1">
      <c r="A6" s="6" t="str">
        <f>IFERROR(__xludf.DUMMYFUNCTION("""COMPUTED_VALUE"""),"01f367b494a414fb7c994e946bddd99820cc7e28")</f>
        <v>01f367b494a414fb7c994e946bddd99820cc7e28</v>
      </c>
      <c r="B6" s="6" t="str">
        <f>IFERROR(__xludf.DUMMYFUNCTION("""COMPUTED_VALUE"""),"The Dragon Prince’s Favor")</f>
        <v>The Dragon Prince’s Favor</v>
      </c>
      <c r="C6" s="6" t="str">
        <f>IFERROR(__xludf.DUMMYFUNCTION("""COMPUTED_VALUE"""),"Romantasy")</f>
        <v>Romantasy</v>
      </c>
      <c r="D6" s="11">
        <f>IFERROR(__xludf.DUMMYFUNCTION("""COMPUTED_VALUE"""),484.0)</f>
        <v>484</v>
      </c>
      <c r="E6" s="8">
        <f>IFERROR(__xludf.DUMMYFUNCTION("""COMPUTED_VALUE"""),0.981327800829875)</f>
        <v>0.9813278008</v>
      </c>
      <c r="F6" s="8">
        <f>IFERROR(__xludf.DUMMYFUNCTION("""COMPUTED_VALUE"""),0.570833333333333)</f>
        <v>0.5708333333</v>
      </c>
      <c r="G6" s="8">
        <f>IFERROR(__xludf.DUMMYFUNCTION("""COMPUTED_VALUE"""),0.469601677148847)</f>
        <v>0.4696016771</v>
      </c>
      <c r="H6" s="8">
        <f>IFERROR(__xludf.DUMMYFUNCTION("""COMPUTED_VALUE"""),0.429473684210526)</f>
        <v>0.4294736842</v>
      </c>
      <c r="I6" s="8">
        <f>IFERROR(__xludf.DUMMYFUNCTION("""COMPUTED_VALUE"""),0.385593220338983)</f>
        <v>0.3855932203</v>
      </c>
      <c r="J6" s="8">
        <f>IFERROR(__xludf.DUMMYFUNCTION("""COMPUTED_VALUE"""),0.364238410596026)</f>
        <v>0.3642384106</v>
      </c>
      <c r="K6" s="8">
        <f>IFERROR(__xludf.DUMMYFUNCTION("""COMPUTED_VALUE"""),0.335731414868105)</f>
        <v>0.3357314149</v>
      </c>
      <c r="L6" s="8">
        <f>IFERROR(__xludf.DUMMYFUNCTION("""COMPUTED_VALUE"""),0.305949008498583)</f>
        <v>0.3059490085</v>
      </c>
      <c r="M6" s="8">
        <f>IFERROR(__xludf.DUMMYFUNCTION("""COMPUTED_VALUE"""),0.288184438040345)</f>
        <v>0.288184438</v>
      </c>
      <c r="N6" s="8">
        <f>IFERROR(__xludf.DUMMYFUNCTION("""COMPUTED_VALUE"""),0.349514563106796)</f>
        <v>0.3495145631</v>
      </c>
      <c r="O6" s="8">
        <f>IFERROR(__xludf.DUMMYFUNCTION("""COMPUTED_VALUE"""),0.307692307692307)</f>
        <v>0.3076923077</v>
      </c>
      <c r="P6" s="8">
        <f>IFERROR(__xludf.DUMMYFUNCTION("""COMPUTED_VALUE"""),0.25)</f>
        <v>0.25</v>
      </c>
      <c r="Q6" s="8">
        <f>IFERROR(__xludf.DUMMYFUNCTION("""COMPUTED_VALUE"""),0.0)</f>
        <v>0</v>
      </c>
      <c r="R6" s="8">
        <f>IFERROR(__xludf.DUMMYFUNCTION("""COMPUTED_VALUE"""),0.0)</f>
        <v>0</v>
      </c>
      <c r="S6" s="8">
        <f>IFERROR(__xludf.DUMMYFUNCTION("""COMPUTED_VALUE"""),0.0)</f>
        <v>0</v>
      </c>
      <c r="T6" s="8">
        <f>IFERROR(__xludf.DUMMYFUNCTION("""COMPUTED_VALUE"""),0.0)</f>
        <v>0</v>
      </c>
      <c r="U6" s="8">
        <f>IFERROR(__xludf.DUMMYFUNCTION("""COMPUTED_VALUE"""),0.0)</f>
        <v>0</v>
      </c>
      <c r="V6" s="8">
        <f>IFERROR(__xludf.DUMMYFUNCTION("""COMPUTED_VALUE"""),0.0)</f>
        <v>0</v>
      </c>
      <c r="W6" s="8">
        <f>IFERROR(__xludf.DUMMYFUNCTION("""COMPUTED_VALUE"""),0.0)</f>
        <v>0</v>
      </c>
      <c r="X6" s="8">
        <f>IFERROR(__xludf.DUMMYFUNCTION("""COMPUTED_VALUE"""),0.0)</f>
        <v>0</v>
      </c>
      <c r="Y6" s="8">
        <f>IFERROR(__xludf.DUMMYFUNCTION("""COMPUTED_VALUE"""),0.0)</f>
        <v>0</v>
      </c>
      <c r="Z6" s="8">
        <f>IFERROR(__xludf.DUMMYFUNCTION("""COMPUTED_VALUE"""),0.0)</f>
        <v>0</v>
      </c>
      <c r="AA6" s="8">
        <f>IFERROR(__xludf.DUMMYFUNCTION("""COMPUTED_VALUE"""),0.0)</f>
        <v>0</v>
      </c>
      <c r="AB6" s="8">
        <f>IFERROR(__xludf.DUMMYFUNCTION("""COMPUTED_VALUE"""),0.0)</f>
        <v>0</v>
      </c>
      <c r="AC6" s="8">
        <f>IFERROR(__xludf.DUMMYFUNCTION("""COMPUTED_VALUE"""),0.0)</f>
        <v>0</v>
      </c>
    </row>
    <row r="7" ht="15.75" customHeight="1">
      <c r="A7" s="6" t="str">
        <f>IFERROR(__xludf.DUMMYFUNCTION("""COMPUTED_VALUE"""),"026a120c807e0094812e891c9140a3fd3d0f1d48")</f>
        <v>026a120c807e0094812e891c9140a3fd3d0f1d48</v>
      </c>
      <c r="B7" s="6" t="str">
        <f>IFERROR(__xludf.DUMMYFUNCTION("""COMPUTED_VALUE"""),"Vintage Heart")</f>
        <v>Vintage Heart</v>
      </c>
      <c r="C7" s="6" t="str">
        <f>IFERROR(__xludf.DUMMYFUNCTION("""COMPUTED_VALUE"""),"Romance")</f>
        <v>Romance</v>
      </c>
      <c r="D7" s="11">
        <f>IFERROR(__xludf.DUMMYFUNCTION("""COMPUTED_VALUE"""),545.0)</f>
        <v>545</v>
      </c>
      <c r="E7" s="8">
        <f>IFERROR(__xludf.DUMMYFUNCTION("""COMPUTED_VALUE"""),0.957798165137614)</f>
        <v>0.9577981651</v>
      </c>
      <c r="F7" s="8">
        <f>IFERROR(__xludf.DUMMYFUNCTION("""COMPUTED_VALUE"""),0.530275229357798)</f>
        <v>0.5302752294</v>
      </c>
      <c r="G7" s="8">
        <f>IFERROR(__xludf.DUMMYFUNCTION("""COMPUTED_VALUE"""),0.458715596330275)</f>
        <v>0.4587155963</v>
      </c>
      <c r="H7" s="8">
        <f>IFERROR(__xludf.DUMMYFUNCTION("""COMPUTED_VALUE"""),0.431192660550458)</f>
        <v>0.4311926606</v>
      </c>
      <c r="I7" s="8">
        <f>IFERROR(__xludf.DUMMYFUNCTION("""COMPUTED_VALUE"""),0.411009174311926)</f>
        <v>0.4110091743</v>
      </c>
      <c r="J7" s="8">
        <f>IFERROR(__xludf.DUMMYFUNCTION("""COMPUTED_VALUE"""),0.4)</f>
        <v>0.4</v>
      </c>
      <c r="K7" s="8">
        <f>IFERROR(__xludf.DUMMYFUNCTION("""COMPUTED_VALUE"""),0.377981651376146)</f>
        <v>0.3779816514</v>
      </c>
      <c r="L7" s="8">
        <f>IFERROR(__xludf.DUMMYFUNCTION("""COMPUTED_VALUE"""),0.344954128440367)</f>
        <v>0.3449541284</v>
      </c>
      <c r="M7" s="8">
        <f>IFERROR(__xludf.DUMMYFUNCTION("""COMPUTED_VALUE"""),0.322935779816513)</f>
        <v>0.3229357798</v>
      </c>
      <c r="N7" s="8">
        <f>IFERROR(__xludf.DUMMYFUNCTION("""COMPUTED_VALUE"""),0.310661764705882)</f>
        <v>0.3106617647</v>
      </c>
      <c r="O7" s="8">
        <f>IFERROR(__xludf.DUMMYFUNCTION("""COMPUTED_VALUE"""),0.267527675276752)</f>
        <v>0.2675276753</v>
      </c>
      <c r="P7" s="8">
        <f>IFERROR(__xludf.DUMMYFUNCTION("""COMPUTED_VALUE"""),0.177570093457943)</f>
        <v>0.1775700935</v>
      </c>
      <c r="Q7" s="8">
        <f>IFERROR(__xludf.DUMMYFUNCTION("""COMPUTED_VALUE"""),0.1252408477842)</f>
        <v>0.1252408478</v>
      </c>
      <c r="R7" s="8">
        <f>IFERROR(__xludf.DUMMYFUNCTION("""COMPUTED_VALUE"""),0.081967213114754)</f>
        <v>0.08196721311</v>
      </c>
      <c r="S7" s="8">
        <f>IFERROR(__xludf.DUMMYFUNCTION("""COMPUTED_VALUE"""),0.0617021276595744)</f>
        <v>0.06170212766</v>
      </c>
      <c r="T7" s="8">
        <f>IFERROR(__xludf.DUMMYFUNCTION("""COMPUTED_VALUE"""),0.0376344086021505)</f>
        <v>0.0376344086</v>
      </c>
      <c r="U7" s="8">
        <f>IFERROR(__xludf.DUMMYFUNCTION("""COMPUTED_VALUE"""),0.0)</f>
        <v>0</v>
      </c>
      <c r="V7" s="8">
        <f>IFERROR(__xludf.DUMMYFUNCTION("""COMPUTED_VALUE"""),0.0)</f>
        <v>0</v>
      </c>
      <c r="W7" s="8">
        <f>IFERROR(__xludf.DUMMYFUNCTION("""COMPUTED_VALUE"""),0.0)</f>
        <v>0</v>
      </c>
      <c r="X7" s="8">
        <f>IFERROR(__xludf.DUMMYFUNCTION("""COMPUTED_VALUE"""),0.0)</f>
        <v>0</v>
      </c>
      <c r="Y7" s="8">
        <f>IFERROR(__xludf.DUMMYFUNCTION("""COMPUTED_VALUE"""),0.0)</f>
        <v>0</v>
      </c>
      <c r="Z7" s="8">
        <f>IFERROR(__xludf.DUMMYFUNCTION("""COMPUTED_VALUE"""),0.0)</f>
        <v>0</v>
      </c>
      <c r="AA7" s="8">
        <f>IFERROR(__xludf.DUMMYFUNCTION("""COMPUTED_VALUE"""),0.0)</f>
        <v>0</v>
      </c>
      <c r="AB7" s="8">
        <f>IFERROR(__xludf.DUMMYFUNCTION("""COMPUTED_VALUE"""),0.0)</f>
        <v>0</v>
      </c>
      <c r="AC7" s="8">
        <f>IFERROR(__xludf.DUMMYFUNCTION("""COMPUTED_VALUE"""),0.0)</f>
        <v>0</v>
      </c>
    </row>
    <row r="8" ht="15.75" customHeight="1">
      <c r="A8" s="6" t="str">
        <f>IFERROR(__xludf.DUMMYFUNCTION("""COMPUTED_VALUE"""),"03488a9bdecaf176a7a11138160e470f361ce803")</f>
        <v>03488a9bdecaf176a7a11138160e470f361ce803</v>
      </c>
      <c r="B8" s="6" t="str">
        <f>IFERROR(__xludf.DUMMYFUNCTION("""COMPUTED_VALUE"""),"Reborn to Be His Wife")</f>
        <v>Reborn to Be His Wife</v>
      </c>
      <c r="C8" s="6" t="str">
        <f>IFERROR(__xludf.DUMMYFUNCTION("""COMPUTED_VALUE"""),"Romantasy")</f>
        <v>Romantasy</v>
      </c>
      <c r="D8" s="11">
        <f>IFERROR(__xludf.DUMMYFUNCTION("""COMPUTED_VALUE"""),786.0)</f>
        <v>786</v>
      </c>
      <c r="E8" s="8">
        <f>IFERROR(__xludf.DUMMYFUNCTION("""COMPUTED_VALUE"""),0.972010178117048)</f>
        <v>0.9720101781</v>
      </c>
      <c r="F8" s="8">
        <f>IFERROR(__xludf.DUMMYFUNCTION("""COMPUTED_VALUE"""),0.540712468193384)</f>
        <v>0.5407124682</v>
      </c>
      <c r="G8" s="8">
        <f>IFERROR(__xludf.DUMMYFUNCTION("""COMPUTED_VALUE"""),0.482188295165394)</f>
        <v>0.4821882952</v>
      </c>
      <c r="H8" s="8">
        <f>IFERROR(__xludf.DUMMYFUNCTION("""COMPUTED_VALUE"""),0.407124681933842)</f>
        <v>0.4071246819</v>
      </c>
      <c r="I8" s="8">
        <f>IFERROR(__xludf.DUMMYFUNCTION("""COMPUTED_VALUE"""),0.360050890585241)</f>
        <v>0.3600508906</v>
      </c>
      <c r="J8" s="8">
        <f>IFERROR(__xludf.DUMMYFUNCTION("""COMPUTED_VALUE"""),0.32442748091603)</f>
        <v>0.3244274809</v>
      </c>
      <c r="K8" s="8">
        <f>IFERROR(__xludf.DUMMYFUNCTION("""COMPUTED_VALUE"""),0.287531806615776)</f>
        <v>0.2875318066</v>
      </c>
      <c r="L8" s="8">
        <f>IFERROR(__xludf.DUMMYFUNCTION("""COMPUTED_VALUE"""),0.256997455470737)</f>
        <v>0.2569974555</v>
      </c>
      <c r="M8" s="8">
        <f>IFERROR(__xludf.DUMMYFUNCTION("""COMPUTED_VALUE"""),0.237913486005089)</f>
        <v>0.237913486</v>
      </c>
      <c r="N8" s="8">
        <f>IFERROR(__xludf.DUMMYFUNCTION("""COMPUTED_VALUE"""),0.217834394904458)</f>
        <v>0.2178343949</v>
      </c>
      <c r="O8" s="8">
        <f>IFERROR(__xludf.DUMMYFUNCTION("""COMPUTED_VALUE"""),0.193050193050193)</f>
        <v>0.1930501931</v>
      </c>
      <c r="P8" s="8">
        <f>IFERROR(__xludf.DUMMYFUNCTION("""COMPUTED_VALUE"""),0.16015625)</f>
        <v>0.16015625</v>
      </c>
      <c r="Q8" s="8">
        <f>IFERROR(__xludf.DUMMYFUNCTION("""COMPUTED_VALUE"""),0.122324159021406)</f>
        <v>0.122324159</v>
      </c>
      <c r="R8" s="8">
        <f>IFERROR(__xludf.DUMMYFUNCTION("""COMPUTED_VALUE"""),0.095679012345679)</f>
        <v>0.09567901235</v>
      </c>
      <c r="S8" s="8">
        <f>IFERROR(__xludf.DUMMYFUNCTION("""COMPUTED_VALUE"""),0.0721311475409836)</f>
        <v>0.07213114754</v>
      </c>
      <c r="T8" s="8">
        <f>IFERROR(__xludf.DUMMYFUNCTION("""COMPUTED_VALUE"""),0.0608108108108108)</f>
        <v>0.06081081081</v>
      </c>
      <c r="U8" s="8">
        <f>IFERROR(__xludf.DUMMYFUNCTION("""COMPUTED_VALUE"""),0.0)</f>
        <v>0</v>
      </c>
      <c r="V8" s="8">
        <f>IFERROR(__xludf.DUMMYFUNCTION("""COMPUTED_VALUE"""),0.0)</f>
        <v>0</v>
      </c>
      <c r="W8" s="8">
        <f>IFERROR(__xludf.DUMMYFUNCTION("""COMPUTED_VALUE"""),0.0)</f>
        <v>0</v>
      </c>
      <c r="X8" s="8">
        <f>IFERROR(__xludf.DUMMYFUNCTION("""COMPUTED_VALUE"""),0.0)</f>
        <v>0</v>
      </c>
      <c r="Y8" s="8">
        <f>IFERROR(__xludf.DUMMYFUNCTION("""COMPUTED_VALUE"""),0.0)</f>
        <v>0</v>
      </c>
      <c r="Z8" s="8">
        <f>IFERROR(__xludf.DUMMYFUNCTION("""COMPUTED_VALUE"""),0.0)</f>
        <v>0</v>
      </c>
      <c r="AA8" s="8">
        <f>IFERROR(__xludf.DUMMYFUNCTION("""COMPUTED_VALUE"""),0.0)</f>
        <v>0</v>
      </c>
      <c r="AB8" s="8">
        <f>IFERROR(__xludf.DUMMYFUNCTION("""COMPUTED_VALUE"""),0.0)</f>
        <v>0</v>
      </c>
      <c r="AC8" s="8">
        <f>IFERROR(__xludf.DUMMYFUNCTION("""COMPUTED_VALUE"""),0.0)</f>
        <v>0</v>
      </c>
    </row>
    <row r="9" ht="15.75" customHeight="1">
      <c r="A9" s="6" t="str">
        <f>IFERROR(__xludf.DUMMYFUNCTION("""COMPUTED_VALUE"""),"0433315d89000a02178e5d4fb75f31de3d906cff")</f>
        <v>0433315d89000a02178e5d4fb75f31de3d906cff</v>
      </c>
      <c r="B9" s="6" t="str">
        <f>IFERROR(__xludf.DUMMYFUNCTION("""COMPUTED_VALUE"""),"Billionaire Secret Babies")</f>
        <v>Billionaire Secret Babies</v>
      </c>
      <c r="C9" s="6" t="str">
        <f>IFERROR(__xludf.DUMMYFUNCTION("""COMPUTED_VALUE"""),"Romance")</f>
        <v>Romance</v>
      </c>
      <c r="D9" s="11">
        <f>IFERROR(__xludf.DUMMYFUNCTION("""COMPUTED_VALUE"""),134.0)</f>
        <v>134</v>
      </c>
      <c r="E9" s="8">
        <f>IFERROR(__xludf.DUMMYFUNCTION("""COMPUTED_VALUE"""),0.850746268656716)</f>
        <v>0.8507462687</v>
      </c>
      <c r="F9" s="8">
        <f>IFERROR(__xludf.DUMMYFUNCTION("""COMPUTED_VALUE"""),0.664179104477612)</f>
        <v>0.6641791045</v>
      </c>
      <c r="G9" s="8">
        <f>IFERROR(__xludf.DUMMYFUNCTION("""COMPUTED_VALUE"""),0.582089552238806)</f>
        <v>0.5820895522</v>
      </c>
      <c r="H9" s="8">
        <f>IFERROR(__xludf.DUMMYFUNCTION("""COMPUTED_VALUE"""),0.552238805970149)</f>
        <v>0.552238806</v>
      </c>
      <c r="I9" s="8">
        <f>IFERROR(__xludf.DUMMYFUNCTION("""COMPUTED_VALUE"""),0.53731343283582)</f>
        <v>0.5373134328</v>
      </c>
      <c r="J9" s="8">
        <f>IFERROR(__xludf.DUMMYFUNCTION("""COMPUTED_VALUE"""),0.5)</f>
        <v>0.5</v>
      </c>
      <c r="K9" s="8">
        <f>IFERROR(__xludf.DUMMYFUNCTION("""COMPUTED_VALUE"""),0.485074626865671)</f>
        <v>0.4850746269</v>
      </c>
      <c r="L9" s="8">
        <f>IFERROR(__xludf.DUMMYFUNCTION("""COMPUTED_VALUE"""),0.462686567164179)</f>
        <v>0.4626865672</v>
      </c>
      <c r="M9" s="8">
        <f>IFERROR(__xludf.DUMMYFUNCTION("""COMPUTED_VALUE"""),0.440298507462686)</f>
        <v>0.4402985075</v>
      </c>
      <c r="N9" s="8">
        <f>IFERROR(__xludf.DUMMYFUNCTION("""COMPUTED_VALUE"""),0.440298507462686)</f>
        <v>0.4402985075</v>
      </c>
      <c r="O9" s="8">
        <f>IFERROR(__xludf.DUMMYFUNCTION("""COMPUTED_VALUE"""),0.410447761194029)</f>
        <v>0.4104477612</v>
      </c>
      <c r="P9" s="8">
        <f>IFERROR(__xludf.DUMMYFUNCTION("""COMPUTED_VALUE"""),0.328358208955223)</f>
        <v>0.328358209</v>
      </c>
      <c r="Q9" s="8">
        <f>IFERROR(__xludf.DUMMYFUNCTION("""COMPUTED_VALUE"""),0.285714285714285)</f>
        <v>0.2857142857</v>
      </c>
      <c r="R9" s="8">
        <f>IFERROR(__xludf.DUMMYFUNCTION("""COMPUTED_VALUE"""),0.0)</f>
        <v>0</v>
      </c>
      <c r="S9" s="8">
        <f>IFERROR(__xludf.DUMMYFUNCTION("""COMPUTED_VALUE"""),0.0)</f>
        <v>0</v>
      </c>
      <c r="T9" s="8">
        <f>IFERROR(__xludf.DUMMYFUNCTION("""COMPUTED_VALUE"""),0.0)</f>
        <v>0</v>
      </c>
      <c r="U9" s="8">
        <f>IFERROR(__xludf.DUMMYFUNCTION("""COMPUTED_VALUE"""),0.0)</f>
        <v>0</v>
      </c>
      <c r="V9" s="8">
        <f>IFERROR(__xludf.DUMMYFUNCTION("""COMPUTED_VALUE"""),0.0)</f>
        <v>0</v>
      </c>
      <c r="W9" s="8">
        <f>IFERROR(__xludf.DUMMYFUNCTION("""COMPUTED_VALUE"""),0.0)</f>
        <v>0</v>
      </c>
      <c r="X9" s="8">
        <f>IFERROR(__xludf.DUMMYFUNCTION("""COMPUTED_VALUE"""),0.0)</f>
        <v>0</v>
      </c>
      <c r="Y9" s="8">
        <f>IFERROR(__xludf.DUMMYFUNCTION("""COMPUTED_VALUE"""),0.0)</f>
        <v>0</v>
      </c>
      <c r="Z9" s="8">
        <f>IFERROR(__xludf.DUMMYFUNCTION("""COMPUTED_VALUE"""),0.0)</f>
        <v>0</v>
      </c>
      <c r="AA9" s="8">
        <f>IFERROR(__xludf.DUMMYFUNCTION("""COMPUTED_VALUE"""),0.0)</f>
        <v>0</v>
      </c>
      <c r="AB9" s="8">
        <f>IFERROR(__xludf.DUMMYFUNCTION("""COMPUTED_VALUE"""),0.0)</f>
        <v>0</v>
      </c>
      <c r="AC9" s="8">
        <f>IFERROR(__xludf.DUMMYFUNCTION("""COMPUTED_VALUE"""),0.0)</f>
        <v>0</v>
      </c>
    </row>
    <row r="10" ht="15.75" customHeight="1">
      <c r="A10" s="6" t="str">
        <f>IFERROR(__xludf.DUMMYFUNCTION("""COMPUTED_VALUE"""),"048b7efb083246fe7c75b60c3bccf0e015f15e03")</f>
        <v>048b7efb083246fe7c75b60c3bccf0e015f15e03</v>
      </c>
      <c r="B10" s="6" t="str">
        <f>IFERROR(__xludf.DUMMYFUNCTION("""COMPUTED_VALUE"""),"Veterinarian Beast Master")</f>
        <v>Veterinarian Beast Master</v>
      </c>
      <c r="C10" s="6" t="str">
        <f>IFERROR(__xludf.DUMMYFUNCTION("""COMPUTED_VALUE"""),"Fantasy")</f>
        <v>Fantasy</v>
      </c>
      <c r="D10" s="11">
        <f>IFERROR(__xludf.DUMMYFUNCTION("""COMPUTED_VALUE"""),117.0)</f>
        <v>117</v>
      </c>
      <c r="E10" s="8">
        <f>IFERROR(__xludf.DUMMYFUNCTION("""COMPUTED_VALUE"""),0.991452991452991)</f>
        <v>0.9914529915</v>
      </c>
      <c r="F10" s="8">
        <f>IFERROR(__xludf.DUMMYFUNCTION("""COMPUTED_VALUE"""),0.692307692307692)</f>
        <v>0.6923076923</v>
      </c>
      <c r="G10" s="8">
        <f>IFERROR(__xludf.DUMMYFUNCTION("""COMPUTED_VALUE"""),0.615384615384615)</f>
        <v>0.6153846154</v>
      </c>
      <c r="H10" s="8">
        <f>IFERROR(__xludf.DUMMYFUNCTION("""COMPUTED_VALUE"""),0.57391304347826)</f>
        <v>0.5739130435</v>
      </c>
      <c r="I10" s="8">
        <f>IFERROR(__xludf.DUMMYFUNCTION("""COMPUTED_VALUE"""),0.530434782608695)</f>
        <v>0.5304347826</v>
      </c>
      <c r="J10" s="8">
        <f>IFERROR(__xludf.DUMMYFUNCTION("""COMPUTED_VALUE"""),0.482456140350877)</f>
        <v>0.4824561404</v>
      </c>
      <c r="K10" s="8">
        <f>IFERROR(__xludf.DUMMYFUNCTION("""COMPUTED_VALUE"""),0.446428571428571)</f>
        <v>0.4464285714</v>
      </c>
      <c r="L10" s="8">
        <f>IFERROR(__xludf.DUMMYFUNCTION("""COMPUTED_VALUE"""),0.378378378378378)</f>
        <v>0.3783783784</v>
      </c>
      <c r="M10" s="8">
        <f>IFERROR(__xludf.DUMMYFUNCTION("""COMPUTED_VALUE"""),0.363636363636363)</f>
        <v>0.3636363636</v>
      </c>
      <c r="N10" s="8">
        <f>IFERROR(__xludf.DUMMYFUNCTION("""COMPUTED_VALUE"""),0.354545454545454)</f>
        <v>0.3545454545</v>
      </c>
      <c r="O10" s="8">
        <f>IFERROR(__xludf.DUMMYFUNCTION("""COMPUTED_VALUE"""),0.25)</f>
        <v>0.25</v>
      </c>
      <c r="P10" s="8">
        <f>IFERROR(__xludf.DUMMYFUNCTION("""COMPUTED_VALUE"""),0.227272727272727)</f>
        <v>0.2272727273</v>
      </c>
      <c r="Q10" s="8">
        <f>IFERROR(__xludf.DUMMYFUNCTION("""COMPUTED_VALUE"""),0.133333333333333)</f>
        <v>0.1333333333</v>
      </c>
      <c r="R10" s="8">
        <f>IFERROR(__xludf.DUMMYFUNCTION("""COMPUTED_VALUE"""),0.0909090909090909)</f>
        <v>0.09090909091</v>
      </c>
      <c r="S10" s="8">
        <f>IFERROR(__xludf.DUMMYFUNCTION("""COMPUTED_VALUE"""),0.0)</f>
        <v>0</v>
      </c>
      <c r="T10" s="8">
        <f>IFERROR(__xludf.DUMMYFUNCTION("""COMPUTED_VALUE"""),0.0)</f>
        <v>0</v>
      </c>
      <c r="U10" s="8">
        <f>IFERROR(__xludf.DUMMYFUNCTION("""COMPUTED_VALUE"""),0.0)</f>
        <v>0</v>
      </c>
      <c r="V10" s="8">
        <f>IFERROR(__xludf.DUMMYFUNCTION("""COMPUTED_VALUE"""),0.0)</f>
        <v>0</v>
      </c>
      <c r="W10" s="8">
        <f>IFERROR(__xludf.DUMMYFUNCTION("""COMPUTED_VALUE"""),0.0)</f>
        <v>0</v>
      </c>
      <c r="X10" s="8">
        <f>IFERROR(__xludf.DUMMYFUNCTION("""COMPUTED_VALUE"""),0.0)</f>
        <v>0</v>
      </c>
      <c r="Y10" s="8">
        <f>IFERROR(__xludf.DUMMYFUNCTION("""COMPUTED_VALUE"""),0.0)</f>
        <v>0</v>
      </c>
      <c r="Z10" s="8">
        <f>IFERROR(__xludf.DUMMYFUNCTION("""COMPUTED_VALUE"""),0.0)</f>
        <v>0</v>
      </c>
      <c r="AA10" s="8">
        <f>IFERROR(__xludf.DUMMYFUNCTION("""COMPUTED_VALUE"""),0.0)</f>
        <v>0</v>
      </c>
      <c r="AB10" s="8">
        <f>IFERROR(__xludf.DUMMYFUNCTION("""COMPUTED_VALUE"""),0.0)</f>
        <v>0</v>
      </c>
      <c r="AC10" s="8">
        <f>IFERROR(__xludf.DUMMYFUNCTION("""COMPUTED_VALUE"""),0.0)</f>
        <v>0</v>
      </c>
    </row>
    <row r="11" ht="15.75" customHeight="1">
      <c r="A11" s="6" t="str">
        <f>IFERROR(__xludf.DUMMYFUNCTION("""COMPUTED_VALUE"""),"05081ee1026b5a4754958dd34670379788a6d672")</f>
        <v>05081ee1026b5a4754958dd34670379788a6d672</v>
      </c>
      <c r="B11" s="6" t="str">
        <f>IFERROR(__xludf.DUMMYFUNCTION("""COMPUTED_VALUE"""),"Billionaire Prison Bride")</f>
        <v>Billionaire Prison Bride</v>
      </c>
      <c r="C11" s="6" t="str">
        <f>IFERROR(__xludf.DUMMYFUNCTION("""COMPUTED_VALUE"""),"Romance")</f>
        <v>Romance</v>
      </c>
      <c r="D11" s="11">
        <f>IFERROR(__xludf.DUMMYFUNCTION("""COMPUTED_VALUE"""),415.0)</f>
        <v>415</v>
      </c>
      <c r="E11" s="8">
        <f>IFERROR(__xludf.DUMMYFUNCTION("""COMPUTED_VALUE"""),0.9636803874092)</f>
        <v>0.9636803874</v>
      </c>
      <c r="F11" s="8">
        <f>IFERROR(__xludf.DUMMYFUNCTION("""COMPUTED_VALUE"""),0.697788697788697)</f>
        <v>0.6977886978</v>
      </c>
      <c r="G11" s="8">
        <f>IFERROR(__xludf.DUMMYFUNCTION("""COMPUTED_VALUE"""),0.657568238213399)</f>
        <v>0.6575682382</v>
      </c>
      <c r="H11" s="8">
        <f>IFERROR(__xludf.DUMMYFUNCTION("""COMPUTED_VALUE"""),0.635443037974683)</f>
        <v>0.635443038</v>
      </c>
      <c r="I11" s="8">
        <f>IFERROR(__xludf.DUMMYFUNCTION("""COMPUTED_VALUE"""),0.622107969151671)</f>
        <v>0.6221079692</v>
      </c>
      <c r="J11" s="8">
        <f>IFERROR(__xludf.DUMMYFUNCTION("""COMPUTED_VALUE"""),0.602631578947368)</f>
        <v>0.6026315789</v>
      </c>
      <c r="K11" s="8">
        <f>IFERROR(__xludf.DUMMYFUNCTION("""COMPUTED_VALUE"""),0.566844919786096)</f>
        <v>0.5668449198</v>
      </c>
      <c r="L11" s="8">
        <f>IFERROR(__xludf.DUMMYFUNCTION("""COMPUTED_VALUE"""),0.538461538461538)</f>
        <v>0.5384615385</v>
      </c>
      <c r="M11" s="8">
        <f>IFERROR(__xludf.DUMMYFUNCTION("""COMPUTED_VALUE"""),0.517543859649122)</f>
        <v>0.5175438596</v>
      </c>
      <c r="N11" s="8">
        <f>IFERROR(__xludf.DUMMYFUNCTION("""COMPUTED_VALUE"""),0.513043478260869)</f>
        <v>0.5130434783</v>
      </c>
      <c r="O11" s="8">
        <f>IFERROR(__xludf.DUMMYFUNCTION("""COMPUTED_VALUE"""),0.4375)</f>
        <v>0.4375</v>
      </c>
      <c r="P11" s="8">
        <f>IFERROR(__xludf.DUMMYFUNCTION("""COMPUTED_VALUE"""),0.333333333333333)</f>
        <v>0.3333333333</v>
      </c>
      <c r="Q11" s="8">
        <f>IFERROR(__xludf.DUMMYFUNCTION("""COMPUTED_VALUE"""),0.0)</f>
        <v>0</v>
      </c>
      <c r="R11" s="8">
        <f>IFERROR(__xludf.DUMMYFUNCTION("""COMPUTED_VALUE"""),0.0)</f>
        <v>0</v>
      </c>
      <c r="S11" s="8">
        <f>IFERROR(__xludf.DUMMYFUNCTION("""COMPUTED_VALUE"""),0.0)</f>
        <v>0</v>
      </c>
      <c r="T11" s="8">
        <f>IFERROR(__xludf.DUMMYFUNCTION("""COMPUTED_VALUE"""),0.0)</f>
        <v>0</v>
      </c>
      <c r="U11" s="8">
        <f>IFERROR(__xludf.DUMMYFUNCTION("""COMPUTED_VALUE"""),0.0)</f>
        <v>0</v>
      </c>
      <c r="V11" s="8">
        <f>IFERROR(__xludf.DUMMYFUNCTION("""COMPUTED_VALUE"""),0.0)</f>
        <v>0</v>
      </c>
      <c r="W11" s="8">
        <f>IFERROR(__xludf.DUMMYFUNCTION("""COMPUTED_VALUE"""),0.0)</f>
        <v>0</v>
      </c>
      <c r="X11" s="8">
        <f>IFERROR(__xludf.DUMMYFUNCTION("""COMPUTED_VALUE"""),0.0)</f>
        <v>0</v>
      </c>
      <c r="Y11" s="8">
        <f>IFERROR(__xludf.DUMMYFUNCTION("""COMPUTED_VALUE"""),0.0)</f>
        <v>0</v>
      </c>
      <c r="Z11" s="8">
        <f>IFERROR(__xludf.DUMMYFUNCTION("""COMPUTED_VALUE"""),0.0)</f>
        <v>0</v>
      </c>
      <c r="AA11" s="8">
        <f>IFERROR(__xludf.DUMMYFUNCTION("""COMPUTED_VALUE"""),0.0)</f>
        <v>0</v>
      </c>
      <c r="AB11" s="8">
        <f>IFERROR(__xludf.DUMMYFUNCTION("""COMPUTED_VALUE"""),0.0)</f>
        <v>0</v>
      </c>
      <c r="AC11" s="8">
        <f>IFERROR(__xludf.DUMMYFUNCTION("""COMPUTED_VALUE"""),0.0)</f>
        <v>0</v>
      </c>
    </row>
    <row r="12" ht="15.75" customHeight="1">
      <c r="A12" s="6" t="str">
        <f>IFERROR(__xludf.DUMMYFUNCTION("""COMPUTED_VALUE"""),"05808ad9143ee75794133fd50497137fea47e57b")</f>
        <v>05808ad9143ee75794133fd50497137fea47e57b</v>
      </c>
      <c r="B12" s="6" t="str">
        <f>IFERROR(__xludf.DUMMYFUNCTION("""COMPUTED_VALUE"""),"Infinity Stars")</f>
        <v>Infinity Stars</v>
      </c>
      <c r="C12" s="6" t="str">
        <f>IFERROR(__xludf.DUMMYFUNCTION("""COMPUTED_VALUE"""),"Fantasy")</f>
        <v>Fantasy</v>
      </c>
      <c r="D12" s="11">
        <f>IFERROR(__xludf.DUMMYFUNCTION("""COMPUTED_VALUE"""),1270.0)</f>
        <v>1270</v>
      </c>
      <c r="E12" s="8">
        <f>IFERROR(__xludf.DUMMYFUNCTION("""COMPUTED_VALUE"""),0.954765751211631)</f>
        <v>0.9547657512</v>
      </c>
      <c r="F12" s="8">
        <f>IFERROR(__xludf.DUMMYFUNCTION("""COMPUTED_VALUE"""),0.690093141405588)</f>
        <v>0.6900931414</v>
      </c>
      <c r="G12" s="8">
        <f>IFERROR(__xludf.DUMMYFUNCTION("""COMPUTED_VALUE"""),0.648954703832752)</f>
        <v>0.6489547038</v>
      </c>
      <c r="H12" s="8">
        <f>IFERROR(__xludf.DUMMYFUNCTION("""COMPUTED_VALUE"""),0.62581244196843)</f>
        <v>0.625812442</v>
      </c>
      <c r="I12" s="8">
        <f>IFERROR(__xludf.DUMMYFUNCTION("""COMPUTED_VALUE"""),0.614423076923077)</f>
        <v>0.6144230769</v>
      </c>
      <c r="J12" s="8">
        <f>IFERROR(__xludf.DUMMYFUNCTION("""COMPUTED_VALUE"""),0.602249488752556)</f>
        <v>0.6022494888</v>
      </c>
      <c r="K12" s="8">
        <f>IFERROR(__xludf.DUMMYFUNCTION("""COMPUTED_VALUE"""),0.579281183932346)</f>
        <v>0.5792811839</v>
      </c>
      <c r="L12" s="8">
        <f>IFERROR(__xludf.DUMMYFUNCTION("""COMPUTED_VALUE"""),0.575170842824601)</f>
        <v>0.5751708428</v>
      </c>
      <c r="M12" s="8">
        <f>IFERROR(__xludf.DUMMYFUNCTION("""COMPUTED_VALUE"""),0.56718192627824)</f>
        <v>0.5671819263</v>
      </c>
      <c r="N12" s="8">
        <f>IFERROR(__xludf.DUMMYFUNCTION("""COMPUTED_VALUE"""),0.553299492385786)</f>
        <v>0.5532994924</v>
      </c>
      <c r="O12" s="8">
        <f>IFERROR(__xludf.DUMMYFUNCTION("""COMPUTED_VALUE"""),0.540106951871657)</f>
        <v>0.5401069519</v>
      </c>
      <c r="P12" s="8">
        <f>IFERROR(__xludf.DUMMYFUNCTION("""COMPUTED_VALUE"""),0.465469613259668)</f>
        <v>0.4654696133</v>
      </c>
      <c r="Q12" s="8">
        <f>IFERROR(__xludf.DUMMYFUNCTION("""COMPUTED_VALUE"""),0.370044052863436)</f>
        <v>0.3700440529</v>
      </c>
      <c r="R12" s="8">
        <f>IFERROR(__xludf.DUMMYFUNCTION("""COMPUTED_VALUE"""),0.254019292604501)</f>
        <v>0.2540192926</v>
      </c>
      <c r="S12" s="8">
        <f>IFERROR(__xludf.DUMMYFUNCTION("""COMPUTED_VALUE"""),0.157094594594594)</f>
        <v>0.1570945946</v>
      </c>
      <c r="T12" s="8">
        <f>IFERROR(__xludf.DUMMYFUNCTION("""COMPUTED_VALUE"""),0.181818181818181)</f>
        <v>0.1818181818</v>
      </c>
      <c r="U12" s="8">
        <f>IFERROR(__xludf.DUMMYFUNCTION("""COMPUTED_VALUE"""),0.0)</f>
        <v>0</v>
      </c>
      <c r="V12" s="8">
        <f>IFERROR(__xludf.DUMMYFUNCTION("""COMPUTED_VALUE"""),0.0)</f>
        <v>0</v>
      </c>
      <c r="W12" s="8">
        <f>IFERROR(__xludf.DUMMYFUNCTION("""COMPUTED_VALUE"""),0.0)</f>
        <v>0</v>
      </c>
      <c r="X12" s="8">
        <f>IFERROR(__xludf.DUMMYFUNCTION("""COMPUTED_VALUE"""),0.0)</f>
        <v>0</v>
      </c>
      <c r="Y12" s="8">
        <f>IFERROR(__xludf.DUMMYFUNCTION("""COMPUTED_VALUE"""),0.0)</f>
        <v>0</v>
      </c>
      <c r="Z12" s="8">
        <f>IFERROR(__xludf.DUMMYFUNCTION("""COMPUTED_VALUE"""),0.0)</f>
        <v>0</v>
      </c>
      <c r="AA12" s="8">
        <f>IFERROR(__xludf.DUMMYFUNCTION("""COMPUTED_VALUE"""),0.0)</f>
        <v>0</v>
      </c>
      <c r="AB12" s="8">
        <f>IFERROR(__xludf.DUMMYFUNCTION("""COMPUTED_VALUE"""),0.0)</f>
        <v>0</v>
      </c>
      <c r="AC12" s="8">
        <f>IFERROR(__xludf.DUMMYFUNCTION("""COMPUTED_VALUE"""),0.0)</f>
        <v>0</v>
      </c>
    </row>
    <row r="13" ht="15.75" customHeight="1">
      <c r="A13" s="6" t="str">
        <f>IFERROR(__xludf.DUMMYFUNCTION("""COMPUTED_VALUE"""),"06f83c7bf7296efe61da1c2da6e5c12e8e7d4aa8")</f>
        <v>06f83c7bf7296efe61da1c2da6e5c12e8e7d4aa8</v>
      </c>
      <c r="B13" s="6" t="str">
        <f>IFERROR(__xludf.DUMMYFUNCTION("""COMPUTED_VALUE"""),"Sigil of the Seven")</f>
        <v>Sigil of the Seven</v>
      </c>
      <c r="C13" s="6" t="str">
        <f>IFERROR(__xludf.DUMMYFUNCTION("""COMPUTED_VALUE"""),"Fantasy")</f>
        <v>Fantasy</v>
      </c>
      <c r="D13" s="11">
        <f>IFERROR(__xludf.DUMMYFUNCTION("""COMPUTED_VALUE"""),4652.0)</f>
        <v>4652</v>
      </c>
      <c r="E13" s="8">
        <f>IFERROR(__xludf.DUMMYFUNCTION("""COMPUTED_VALUE"""),0.947300494730049)</f>
        <v>0.9473004947</v>
      </c>
      <c r="F13" s="8">
        <f>IFERROR(__xludf.DUMMYFUNCTION("""COMPUTED_VALUE"""),0.656761412575366)</f>
        <v>0.6567614126</v>
      </c>
      <c r="G13" s="8">
        <f>IFERROR(__xludf.DUMMYFUNCTION("""COMPUTED_VALUE"""),0.588146551724137)</f>
        <v>0.5881465517</v>
      </c>
      <c r="H13" s="8">
        <f>IFERROR(__xludf.DUMMYFUNCTION("""COMPUTED_VALUE"""),0.560354135175987)</f>
        <v>0.5603541352</v>
      </c>
      <c r="I13" s="8">
        <f>IFERROR(__xludf.DUMMYFUNCTION("""COMPUTED_VALUE"""),0.529640848117698)</f>
        <v>0.5296408481</v>
      </c>
      <c r="J13" s="8">
        <f>IFERROR(__xludf.DUMMYFUNCTION("""COMPUTED_VALUE"""),0.508378672470076)</f>
        <v>0.5083786725</v>
      </c>
      <c r="K13" s="8">
        <f>IFERROR(__xludf.DUMMYFUNCTION("""COMPUTED_VALUE"""),0.488893728222996)</f>
        <v>0.4888937282</v>
      </c>
      <c r="L13" s="8">
        <f>IFERROR(__xludf.DUMMYFUNCTION("""COMPUTED_VALUE"""),0.480832420591456)</f>
        <v>0.4808324206</v>
      </c>
      <c r="M13" s="8">
        <f>IFERROR(__xludf.DUMMYFUNCTION("""COMPUTED_VALUE"""),0.475082327113062)</f>
        <v>0.4750823271</v>
      </c>
      <c r="N13" s="8">
        <f>IFERROR(__xludf.DUMMYFUNCTION("""COMPUTED_VALUE"""),0.470017636684303)</f>
        <v>0.4700176367</v>
      </c>
      <c r="O13" s="8">
        <f>IFERROR(__xludf.DUMMYFUNCTION("""COMPUTED_VALUE"""),0.44536312849162)</f>
        <v>0.4453631285</v>
      </c>
      <c r="P13" s="8">
        <f>IFERROR(__xludf.DUMMYFUNCTION("""COMPUTED_VALUE"""),0.410180995475113)</f>
        <v>0.4101809955</v>
      </c>
      <c r="Q13" s="8">
        <f>IFERROR(__xludf.DUMMYFUNCTION("""COMPUTED_VALUE"""),0.318540892193308)</f>
        <v>0.3185408922</v>
      </c>
      <c r="R13" s="8">
        <f>IFERROR(__xludf.DUMMYFUNCTION("""COMPUTED_VALUE"""),0.253507728894173)</f>
        <v>0.2535077289</v>
      </c>
      <c r="S13" s="8">
        <f>IFERROR(__xludf.DUMMYFUNCTION("""COMPUTED_VALUE"""),0.209589718240237)</f>
        <v>0.2095897182</v>
      </c>
      <c r="T13" s="8">
        <f>IFERROR(__xludf.DUMMYFUNCTION("""COMPUTED_VALUE"""),0.127737226277372)</f>
        <v>0.1277372263</v>
      </c>
      <c r="U13" s="8">
        <f>IFERROR(__xludf.DUMMYFUNCTION("""COMPUTED_VALUE"""),0.105286343612334)</f>
        <v>0.1052863436</v>
      </c>
      <c r="V13" s="8">
        <f>IFERROR(__xludf.DUMMYFUNCTION("""COMPUTED_VALUE"""),0.0925497454881999)</f>
        <v>0.09254974549</v>
      </c>
      <c r="W13" s="8">
        <f>IFERROR(__xludf.DUMMYFUNCTION("""COMPUTED_VALUE"""),0.086810551558753)</f>
        <v>0.08681055156</v>
      </c>
      <c r="X13" s="8">
        <f>IFERROR(__xludf.DUMMYFUNCTION("""COMPUTED_VALUE"""),0.0771028037383177)</f>
        <v>0.07710280374</v>
      </c>
      <c r="Y13" s="8">
        <f>IFERROR(__xludf.DUMMYFUNCTION("""COMPUTED_VALUE"""),0.0)</f>
        <v>0</v>
      </c>
      <c r="Z13" s="8">
        <f>IFERROR(__xludf.DUMMYFUNCTION("""COMPUTED_VALUE"""),0.0)</f>
        <v>0</v>
      </c>
      <c r="AA13" s="8">
        <f>IFERROR(__xludf.DUMMYFUNCTION("""COMPUTED_VALUE"""),0.0)</f>
        <v>0</v>
      </c>
      <c r="AB13" s="8">
        <f>IFERROR(__xludf.DUMMYFUNCTION("""COMPUTED_VALUE"""),0.0)</f>
        <v>0</v>
      </c>
      <c r="AC13" s="8">
        <f>IFERROR(__xludf.DUMMYFUNCTION("""COMPUTED_VALUE"""),0.0)</f>
        <v>0</v>
      </c>
    </row>
    <row r="14" ht="15.75" customHeight="1">
      <c r="A14" s="6" t="str">
        <f>IFERROR(__xludf.DUMMYFUNCTION("""COMPUTED_VALUE"""),"0b07b41ff930aa13e98588f626eef70da51bb47e")</f>
        <v>0b07b41ff930aa13e98588f626eef70da51bb47e</v>
      </c>
      <c r="B14" s="6" t="str">
        <f>IFERROR(__xludf.DUMMYFUNCTION("""COMPUTED_VALUE"""),"Debtbound Between Worlds")</f>
        <v>Debtbound Between Worlds</v>
      </c>
      <c r="C14" s="6" t="str">
        <f>IFERROR(__xludf.DUMMYFUNCTION("""COMPUTED_VALUE"""),"Fantasy")</f>
        <v>Fantasy</v>
      </c>
      <c r="D14" s="11">
        <f>IFERROR(__xludf.DUMMYFUNCTION("""COMPUTED_VALUE"""),29.0)</f>
        <v>29</v>
      </c>
      <c r="E14" s="8">
        <f>IFERROR(__xludf.DUMMYFUNCTION("""COMPUTED_VALUE"""),0.96551724137931)</f>
        <v>0.9655172414</v>
      </c>
      <c r="F14" s="8">
        <f>IFERROR(__xludf.DUMMYFUNCTION("""COMPUTED_VALUE"""),0.586206896551724)</f>
        <v>0.5862068966</v>
      </c>
      <c r="G14" s="8">
        <f>IFERROR(__xludf.DUMMYFUNCTION("""COMPUTED_VALUE"""),0.586206896551724)</f>
        <v>0.5862068966</v>
      </c>
      <c r="H14" s="8">
        <f>IFERROR(__xludf.DUMMYFUNCTION("""COMPUTED_VALUE"""),0.586206896551724)</f>
        <v>0.5862068966</v>
      </c>
      <c r="I14" s="8">
        <f>IFERROR(__xludf.DUMMYFUNCTION("""COMPUTED_VALUE"""),0.517241379310344)</f>
        <v>0.5172413793</v>
      </c>
      <c r="J14" s="8">
        <f>IFERROR(__xludf.DUMMYFUNCTION("""COMPUTED_VALUE"""),0.482758620689655)</f>
        <v>0.4827586207</v>
      </c>
      <c r="K14" s="8">
        <f>IFERROR(__xludf.DUMMYFUNCTION("""COMPUTED_VALUE"""),0.448275862068965)</f>
        <v>0.4482758621</v>
      </c>
      <c r="L14" s="8">
        <f>IFERROR(__xludf.DUMMYFUNCTION("""COMPUTED_VALUE"""),0.448275862068965)</f>
        <v>0.4482758621</v>
      </c>
      <c r="M14" s="8">
        <f>IFERROR(__xludf.DUMMYFUNCTION("""COMPUTED_VALUE"""),0.444444444444444)</f>
        <v>0.4444444444</v>
      </c>
      <c r="N14" s="8">
        <f>IFERROR(__xludf.DUMMYFUNCTION("""COMPUTED_VALUE"""),0.384615384615384)</f>
        <v>0.3846153846</v>
      </c>
      <c r="O14" s="8">
        <f>IFERROR(__xludf.DUMMYFUNCTION("""COMPUTED_VALUE"""),0.307692307692307)</f>
        <v>0.3076923077</v>
      </c>
      <c r="P14" s="8">
        <f>IFERROR(__xludf.DUMMYFUNCTION("""COMPUTED_VALUE"""),0.346153846153846)</f>
        <v>0.3461538462</v>
      </c>
      <c r="Q14" s="8">
        <f>IFERROR(__xludf.DUMMYFUNCTION("""COMPUTED_VALUE"""),0.0)</f>
        <v>0</v>
      </c>
      <c r="R14" s="8">
        <f>IFERROR(__xludf.DUMMYFUNCTION("""COMPUTED_VALUE"""),0.0)</f>
        <v>0</v>
      </c>
      <c r="S14" s="8">
        <f>IFERROR(__xludf.DUMMYFUNCTION("""COMPUTED_VALUE"""),0.0)</f>
        <v>0</v>
      </c>
      <c r="T14" s="8">
        <f>IFERROR(__xludf.DUMMYFUNCTION("""COMPUTED_VALUE"""),0.0)</f>
        <v>0</v>
      </c>
      <c r="U14" s="8">
        <f>IFERROR(__xludf.DUMMYFUNCTION("""COMPUTED_VALUE"""),0.0)</f>
        <v>0</v>
      </c>
      <c r="V14" s="8">
        <f>IFERROR(__xludf.DUMMYFUNCTION("""COMPUTED_VALUE"""),0.0)</f>
        <v>0</v>
      </c>
      <c r="W14" s="8">
        <f>IFERROR(__xludf.DUMMYFUNCTION("""COMPUTED_VALUE"""),0.0)</f>
        <v>0</v>
      </c>
      <c r="X14" s="8">
        <f>IFERROR(__xludf.DUMMYFUNCTION("""COMPUTED_VALUE"""),0.0)</f>
        <v>0</v>
      </c>
      <c r="Y14" s="8">
        <f>IFERROR(__xludf.DUMMYFUNCTION("""COMPUTED_VALUE"""),0.0)</f>
        <v>0</v>
      </c>
      <c r="Z14" s="8">
        <f>IFERROR(__xludf.DUMMYFUNCTION("""COMPUTED_VALUE"""),0.0)</f>
        <v>0</v>
      </c>
      <c r="AA14" s="8">
        <f>IFERROR(__xludf.DUMMYFUNCTION("""COMPUTED_VALUE"""),0.0)</f>
        <v>0</v>
      </c>
      <c r="AB14" s="8">
        <f>IFERROR(__xludf.DUMMYFUNCTION("""COMPUTED_VALUE"""),0.0)</f>
        <v>0</v>
      </c>
      <c r="AC14" s="8">
        <f>IFERROR(__xludf.DUMMYFUNCTION("""COMPUTED_VALUE"""),0.0)</f>
        <v>0</v>
      </c>
    </row>
    <row r="15" ht="15.75" customHeight="1">
      <c r="A15" s="6" t="str">
        <f>IFERROR(__xludf.DUMMYFUNCTION("""COMPUTED_VALUE"""),"0b24baea319eafeca1995fb9b34e29d6ebfb9a50")</f>
        <v>0b24baea319eafeca1995fb9b34e29d6ebfb9a50</v>
      </c>
      <c r="B15" s="6" t="str">
        <f>IFERROR(__xludf.DUMMYFUNCTION("""COMPUTED_VALUE"""),"Rejected Bride Returns")</f>
        <v>Rejected Bride Returns</v>
      </c>
      <c r="C15" s="6" t="str">
        <f>IFERROR(__xludf.DUMMYFUNCTION("""COMPUTED_VALUE"""),"Romance")</f>
        <v>Romance</v>
      </c>
      <c r="D15" s="11">
        <f>IFERROR(__xludf.DUMMYFUNCTION("""COMPUTED_VALUE"""),454.0)</f>
        <v>454</v>
      </c>
      <c r="E15" s="8">
        <f>IFERROR(__xludf.DUMMYFUNCTION("""COMPUTED_VALUE"""),0.97130242825607)</f>
        <v>0.9713024283</v>
      </c>
      <c r="F15" s="8">
        <f>IFERROR(__xludf.DUMMYFUNCTION("""COMPUTED_VALUE"""),0.617256637168141)</f>
        <v>0.6172566372</v>
      </c>
      <c r="G15" s="8">
        <f>IFERROR(__xludf.DUMMYFUNCTION("""COMPUTED_VALUE"""),0.528888888888888)</f>
        <v>0.5288888889</v>
      </c>
      <c r="H15" s="8">
        <f>IFERROR(__xludf.DUMMYFUNCTION("""COMPUTED_VALUE"""),0.425)</f>
        <v>0.425</v>
      </c>
      <c r="I15" s="8">
        <f>IFERROR(__xludf.DUMMYFUNCTION("""COMPUTED_VALUE"""),0.343601895734597)</f>
        <v>0.3436018957</v>
      </c>
      <c r="J15" s="8">
        <f>IFERROR(__xludf.DUMMYFUNCTION("""COMPUTED_VALUE"""),0.281795511221945)</f>
        <v>0.2817955112</v>
      </c>
      <c r="K15" s="8">
        <f>IFERROR(__xludf.DUMMYFUNCTION("""COMPUTED_VALUE"""),0.239690721649484)</f>
        <v>0.2396907216</v>
      </c>
      <c r="L15" s="8">
        <f>IFERROR(__xludf.DUMMYFUNCTION("""COMPUTED_VALUE"""),0.202185792349726)</f>
        <v>0.2021857923</v>
      </c>
      <c r="M15" s="8">
        <f>IFERROR(__xludf.DUMMYFUNCTION("""COMPUTED_VALUE"""),0.155172413793103)</f>
        <v>0.1551724138</v>
      </c>
      <c r="N15" s="8">
        <f>IFERROR(__xludf.DUMMYFUNCTION("""COMPUTED_VALUE"""),0.116129032258064)</f>
        <v>0.1161290323</v>
      </c>
      <c r="O15" s="8">
        <f>IFERROR(__xludf.DUMMYFUNCTION("""COMPUTED_VALUE"""),0.0)</f>
        <v>0</v>
      </c>
      <c r="P15" s="8">
        <f>IFERROR(__xludf.DUMMYFUNCTION("""COMPUTED_VALUE"""),0.0)</f>
        <v>0</v>
      </c>
      <c r="Q15" s="8">
        <f>IFERROR(__xludf.DUMMYFUNCTION("""COMPUTED_VALUE"""),0.0)</f>
        <v>0</v>
      </c>
      <c r="R15" s="8">
        <f>IFERROR(__xludf.DUMMYFUNCTION("""COMPUTED_VALUE"""),0.0)</f>
        <v>0</v>
      </c>
      <c r="S15" s="8">
        <f>IFERROR(__xludf.DUMMYFUNCTION("""COMPUTED_VALUE"""),0.0)</f>
        <v>0</v>
      </c>
      <c r="T15" s="8">
        <f>IFERROR(__xludf.DUMMYFUNCTION("""COMPUTED_VALUE"""),0.0)</f>
        <v>0</v>
      </c>
      <c r="U15" s="8">
        <f>IFERROR(__xludf.DUMMYFUNCTION("""COMPUTED_VALUE"""),0.0)</f>
        <v>0</v>
      </c>
      <c r="V15" s="8">
        <f>IFERROR(__xludf.DUMMYFUNCTION("""COMPUTED_VALUE"""),0.0)</f>
        <v>0</v>
      </c>
      <c r="W15" s="8">
        <f>IFERROR(__xludf.DUMMYFUNCTION("""COMPUTED_VALUE"""),0.0)</f>
        <v>0</v>
      </c>
      <c r="X15" s="8">
        <f>IFERROR(__xludf.DUMMYFUNCTION("""COMPUTED_VALUE"""),0.0)</f>
        <v>0</v>
      </c>
      <c r="Y15" s="8">
        <f>IFERROR(__xludf.DUMMYFUNCTION("""COMPUTED_VALUE"""),0.0)</f>
        <v>0</v>
      </c>
      <c r="Z15" s="8">
        <f>IFERROR(__xludf.DUMMYFUNCTION("""COMPUTED_VALUE"""),0.0)</f>
        <v>0</v>
      </c>
      <c r="AA15" s="8">
        <f>IFERROR(__xludf.DUMMYFUNCTION("""COMPUTED_VALUE"""),0.0)</f>
        <v>0</v>
      </c>
      <c r="AB15" s="8">
        <f>IFERROR(__xludf.DUMMYFUNCTION("""COMPUTED_VALUE"""),0.0)</f>
        <v>0</v>
      </c>
      <c r="AC15" s="8">
        <f>IFERROR(__xludf.DUMMYFUNCTION("""COMPUTED_VALUE"""),0.0)</f>
        <v>0</v>
      </c>
    </row>
    <row r="16" ht="15.75" customHeight="1">
      <c r="A16" s="6" t="str">
        <f>IFERROR(__xludf.DUMMYFUNCTION("""COMPUTED_VALUE"""),"0c7fa1a2b4bca0746ad0384d77796b98dd7d801c")</f>
        <v>0c7fa1a2b4bca0746ad0384d77796b98dd7d801c</v>
      </c>
      <c r="B16" s="6" t="str">
        <f>IFERROR(__xludf.DUMMYFUNCTION("""COMPUTED_VALUE"""),"Flash Marriage to My Ex’s Boss")</f>
        <v>Flash Marriage to My Ex’s Boss</v>
      </c>
      <c r="C16" s="6" t="str">
        <f>IFERROR(__xludf.DUMMYFUNCTION("""COMPUTED_VALUE"""),"Romance")</f>
        <v>Romance</v>
      </c>
      <c r="D16" s="11">
        <f>IFERROR(__xludf.DUMMYFUNCTION("""COMPUTED_VALUE"""),256.0)</f>
        <v>256</v>
      </c>
      <c r="E16" s="8">
        <f>IFERROR(__xludf.DUMMYFUNCTION("""COMPUTED_VALUE"""),0.92578125)</f>
        <v>0.92578125</v>
      </c>
      <c r="F16" s="8">
        <f>IFERROR(__xludf.DUMMYFUNCTION("""COMPUTED_VALUE"""),0.564705882352941)</f>
        <v>0.5647058824</v>
      </c>
      <c r="G16" s="8">
        <f>IFERROR(__xludf.DUMMYFUNCTION("""COMPUTED_VALUE"""),0.507874015748031)</f>
        <v>0.5078740157</v>
      </c>
      <c r="H16" s="8">
        <f>IFERROR(__xludf.DUMMYFUNCTION("""COMPUTED_VALUE"""),0.488188976377952)</f>
        <v>0.4881889764</v>
      </c>
      <c r="I16" s="8">
        <f>IFERROR(__xludf.DUMMYFUNCTION("""COMPUTED_VALUE"""),0.452755905511811)</f>
        <v>0.4527559055</v>
      </c>
      <c r="J16" s="8">
        <f>IFERROR(__xludf.DUMMYFUNCTION("""COMPUTED_VALUE"""),0.401574803149606)</f>
        <v>0.4015748031</v>
      </c>
      <c r="K16" s="8">
        <f>IFERROR(__xludf.DUMMYFUNCTION("""COMPUTED_VALUE"""),0.377952755905511)</f>
        <v>0.3779527559</v>
      </c>
      <c r="L16" s="8">
        <f>IFERROR(__xludf.DUMMYFUNCTION("""COMPUTED_VALUE"""),0.37007874015748)</f>
        <v>0.3700787402</v>
      </c>
      <c r="M16" s="8">
        <f>IFERROR(__xludf.DUMMYFUNCTION("""COMPUTED_VALUE"""),0.358267716535433)</f>
        <v>0.3582677165</v>
      </c>
      <c r="N16" s="8">
        <f>IFERROR(__xludf.DUMMYFUNCTION("""COMPUTED_VALUE"""),0.330708661417322)</f>
        <v>0.3307086614</v>
      </c>
      <c r="O16" s="8">
        <f>IFERROR(__xludf.DUMMYFUNCTION("""COMPUTED_VALUE"""),0.292490118577075)</f>
        <v>0.2924901186</v>
      </c>
      <c r="P16" s="8">
        <f>IFERROR(__xludf.DUMMYFUNCTION("""COMPUTED_VALUE"""),0.185770750988142)</f>
        <v>0.185770751</v>
      </c>
      <c r="Q16" s="8">
        <f>IFERROR(__xludf.DUMMYFUNCTION("""COMPUTED_VALUE"""),0.147410358565737)</f>
        <v>0.1474103586</v>
      </c>
      <c r="R16" s="8">
        <f>IFERROR(__xludf.DUMMYFUNCTION("""COMPUTED_VALUE"""),0.132530120481927)</f>
        <v>0.1325301205</v>
      </c>
      <c r="S16" s="8">
        <f>IFERROR(__xludf.DUMMYFUNCTION("""COMPUTED_VALUE"""),0.0)</f>
        <v>0</v>
      </c>
      <c r="T16" s="8">
        <f>IFERROR(__xludf.DUMMYFUNCTION("""COMPUTED_VALUE"""),0.0)</f>
        <v>0</v>
      </c>
      <c r="U16" s="8">
        <f>IFERROR(__xludf.DUMMYFUNCTION("""COMPUTED_VALUE"""),0.0)</f>
        <v>0</v>
      </c>
      <c r="V16" s="8">
        <f>IFERROR(__xludf.DUMMYFUNCTION("""COMPUTED_VALUE"""),0.0)</f>
        <v>0</v>
      </c>
      <c r="W16" s="8">
        <f>IFERROR(__xludf.DUMMYFUNCTION("""COMPUTED_VALUE"""),0.0)</f>
        <v>0</v>
      </c>
      <c r="X16" s="8">
        <f>IFERROR(__xludf.DUMMYFUNCTION("""COMPUTED_VALUE"""),0.0)</f>
        <v>0</v>
      </c>
      <c r="Y16" s="8">
        <f>IFERROR(__xludf.DUMMYFUNCTION("""COMPUTED_VALUE"""),0.0)</f>
        <v>0</v>
      </c>
      <c r="Z16" s="8">
        <f>IFERROR(__xludf.DUMMYFUNCTION("""COMPUTED_VALUE"""),0.0)</f>
        <v>0</v>
      </c>
      <c r="AA16" s="8">
        <f>IFERROR(__xludf.DUMMYFUNCTION("""COMPUTED_VALUE"""),0.0)</f>
        <v>0</v>
      </c>
      <c r="AB16" s="8">
        <f>IFERROR(__xludf.DUMMYFUNCTION("""COMPUTED_VALUE"""),0.0)</f>
        <v>0</v>
      </c>
      <c r="AC16" s="8">
        <f>IFERROR(__xludf.DUMMYFUNCTION("""COMPUTED_VALUE"""),0.0)</f>
        <v>0</v>
      </c>
    </row>
    <row r="17" ht="15.75" customHeight="1">
      <c r="A17" s="6" t="str">
        <f>IFERROR(__xludf.DUMMYFUNCTION("""COMPUTED_VALUE"""),"0d62d7798adbffba76234feba6e58e4a73a6baf8")</f>
        <v>0d62d7798adbffba76234feba6e58e4a73a6baf8</v>
      </c>
      <c r="B17" s="6" t="str">
        <f>IFERROR(__xludf.DUMMYFUNCTION("""COMPUTED_VALUE"""),"Devil's Redemption")</f>
        <v>Devil's Redemption</v>
      </c>
      <c r="C17" s="6" t="str">
        <f>IFERROR(__xludf.DUMMYFUNCTION("""COMPUTED_VALUE"""),"Fantasy")</f>
        <v>Fantasy</v>
      </c>
      <c r="D17" s="11">
        <f>IFERROR(__xludf.DUMMYFUNCTION("""COMPUTED_VALUE"""),373.0)</f>
        <v>373</v>
      </c>
      <c r="E17" s="8">
        <f>IFERROR(__xludf.DUMMYFUNCTION("""COMPUTED_VALUE"""),0.978723404255319)</f>
        <v>0.9787234043</v>
      </c>
      <c r="F17" s="8">
        <f>IFERROR(__xludf.DUMMYFUNCTION("""COMPUTED_VALUE"""),0.714285714285714)</f>
        <v>0.7142857143</v>
      </c>
      <c r="G17" s="8">
        <f>IFERROR(__xludf.DUMMYFUNCTION("""COMPUTED_VALUE"""),0.571428571428571)</f>
        <v>0.5714285714</v>
      </c>
      <c r="H17" s="8">
        <f>IFERROR(__xludf.DUMMYFUNCTION("""COMPUTED_VALUE"""),0.571428571428571)</f>
        <v>0.5714285714</v>
      </c>
      <c r="I17" s="8">
        <f>IFERROR(__xludf.DUMMYFUNCTION("""COMPUTED_VALUE"""),0.5)</f>
        <v>0.5</v>
      </c>
      <c r="J17" s="8">
        <f>IFERROR(__xludf.DUMMYFUNCTION("""COMPUTED_VALUE"""),0.5)</f>
        <v>0.5</v>
      </c>
      <c r="K17" s="8">
        <f>IFERROR(__xludf.DUMMYFUNCTION("""COMPUTED_VALUE"""),0.461538461538461)</f>
        <v>0.4615384615</v>
      </c>
      <c r="L17" s="8">
        <f>IFERROR(__xludf.DUMMYFUNCTION("""COMPUTED_VALUE"""),0.461538461538461)</f>
        <v>0.4615384615</v>
      </c>
      <c r="M17" s="8">
        <f>IFERROR(__xludf.DUMMYFUNCTION("""COMPUTED_VALUE"""),0.461538461538461)</f>
        <v>0.4615384615</v>
      </c>
      <c r="N17" s="8">
        <f>IFERROR(__xludf.DUMMYFUNCTION("""COMPUTED_VALUE"""),0.454545454545454)</f>
        <v>0.4545454545</v>
      </c>
      <c r="O17" s="8">
        <f>IFERROR(__xludf.DUMMYFUNCTION("""COMPUTED_VALUE"""),0.454545454545454)</f>
        <v>0.4545454545</v>
      </c>
      <c r="P17" s="8">
        <f>IFERROR(__xludf.DUMMYFUNCTION("""COMPUTED_VALUE"""),0.375)</f>
        <v>0.375</v>
      </c>
      <c r="Q17" s="8">
        <f>IFERROR(__xludf.DUMMYFUNCTION("""COMPUTED_VALUE"""),0.0)</f>
        <v>0</v>
      </c>
      <c r="R17" s="8">
        <f>IFERROR(__xludf.DUMMYFUNCTION("""COMPUTED_VALUE"""),0.0)</f>
        <v>0</v>
      </c>
      <c r="S17" s="8">
        <f>IFERROR(__xludf.DUMMYFUNCTION("""COMPUTED_VALUE"""),0.0)</f>
        <v>0</v>
      </c>
      <c r="T17" s="8">
        <f>IFERROR(__xludf.DUMMYFUNCTION("""COMPUTED_VALUE"""),0.0)</f>
        <v>0</v>
      </c>
      <c r="U17" s="8">
        <f>IFERROR(__xludf.DUMMYFUNCTION("""COMPUTED_VALUE"""),0.0)</f>
        <v>0</v>
      </c>
      <c r="V17" s="8">
        <f>IFERROR(__xludf.DUMMYFUNCTION("""COMPUTED_VALUE"""),0.0)</f>
        <v>0</v>
      </c>
      <c r="W17" s="8">
        <f>IFERROR(__xludf.DUMMYFUNCTION("""COMPUTED_VALUE"""),0.0)</f>
        <v>0</v>
      </c>
      <c r="X17" s="8">
        <f>IFERROR(__xludf.DUMMYFUNCTION("""COMPUTED_VALUE"""),0.0)</f>
        <v>0</v>
      </c>
      <c r="Y17" s="8">
        <f>IFERROR(__xludf.DUMMYFUNCTION("""COMPUTED_VALUE"""),0.0)</f>
        <v>0</v>
      </c>
      <c r="Z17" s="8">
        <f>IFERROR(__xludf.DUMMYFUNCTION("""COMPUTED_VALUE"""),0.0)</f>
        <v>0</v>
      </c>
      <c r="AA17" s="8">
        <f>IFERROR(__xludf.DUMMYFUNCTION("""COMPUTED_VALUE"""),0.0)</f>
        <v>0</v>
      </c>
      <c r="AB17" s="8">
        <f>IFERROR(__xludf.DUMMYFUNCTION("""COMPUTED_VALUE"""),0.0)</f>
        <v>0</v>
      </c>
      <c r="AC17" s="8">
        <f>IFERROR(__xludf.DUMMYFUNCTION("""COMPUTED_VALUE"""),0.0)</f>
        <v>0</v>
      </c>
    </row>
    <row r="18" ht="15.75" customHeight="1">
      <c r="A18" s="6" t="str">
        <f>IFERROR(__xludf.DUMMYFUNCTION("""COMPUTED_VALUE"""),"0db57923d2182ad47e7480030a03e05da109b1bf")</f>
        <v>0db57923d2182ad47e7480030a03e05da109b1bf</v>
      </c>
      <c r="B18" s="6" t="str">
        <f>IFERROR(__xludf.DUMMYFUNCTION("""COMPUTED_VALUE"""),"The Ceo's Borrowed Beauty")</f>
        <v>The Ceo's Borrowed Beauty</v>
      </c>
      <c r="C18" s="6" t="str">
        <f>IFERROR(__xludf.DUMMYFUNCTION("""COMPUTED_VALUE"""),"Romance")</f>
        <v>Romance</v>
      </c>
      <c r="D18" s="11">
        <f>IFERROR(__xludf.DUMMYFUNCTION("""COMPUTED_VALUE"""),1230.0)</f>
        <v>1230</v>
      </c>
      <c r="E18" s="8">
        <f>IFERROR(__xludf.DUMMYFUNCTION("""COMPUTED_VALUE"""),0.974735126324368)</f>
        <v>0.9747351263</v>
      </c>
      <c r="F18" s="8">
        <f>IFERROR(__xludf.DUMMYFUNCTION("""COMPUTED_VALUE"""),0.493049877350776)</f>
        <v>0.4930498774</v>
      </c>
      <c r="G18" s="8">
        <f>IFERROR(__xludf.DUMMYFUNCTION("""COMPUTED_VALUE"""),0.432432432432432)</f>
        <v>0.4324324324</v>
      </c>
      <c r="H18" s="8">
        <f>IFERROR(__xludf.DUMMYFUNCTION("""COMPUTED_VALUE"""),0.380443714050944)</f>
        <v>0.3804437141</v>
      </c>
      <c r="I18" s="8">
        <f>IFERROR(__xludf.DUMMYFUNCTION("""COMPUTED_VALUE"""),0.353909465020576)</f>
        <v>0.353909465</v>
      </c>
      <c r="J18" s="8">
        <f>IFERROR(__xludf.DUMMYFUNCTION("""COMPUTED_VALUE"""),0.324257425742574)</f>
        <v>0.3242574257</v>
      </c>
      <c r="K18" s="8">
        <f>IFERROR(__xludf.DUMMYFUNCTION("""COMPUTED_VALUE"""),0.292320396366639)</f>
        <v>0.2923203964</v>
      </c>
      <c r="L18" s="8">
        <f>IFERROR(__xludf.DUMMYFUNCTION("""COMPUTED_VALUE"""),0.274559193954659)</f>
        <v>0.274559194</v>
      </c>
      <c r="M18" s="8">
        <f>IFERROR(__xludf.DUMMYFUNCTION("""COMPUTED_VALUE"""),0.261564339781328)</f>
        <v>0.2615643398</v>
      </c>
      <c r="N18" s="8">
        <f>IFERROR(__xludf.DUMMYFUNCTION("""COMPUTED_VALUE"""),0.258064516129032)</f>
        <v>0.2580645161</v>
      </c>
      <c r="O18" s="8">
        <f>IFERROR(__xludf.DUMMYFUNCTION("""COMPUTED_VALUE"""),0.233258928571428)</f>
        <v>0.2332589286</v>
      </c>
      <c r="P18" s="8">
        <f>IFERROR(__xludf.DUMMYFUNCTION("""COMPUTED_VALUE"""),0.162790697674418)</f>
        <v>0.1627906977</v>
      </c>
      <c r="Q18" s="8">
        <f>IFERROR(__xludf.DUMMYFUNCTION("""COMPUTED_VALUE"""),0.4)</f>
        <v>0.4</v>
      </c>
      <c r="R18" s="8">
        <f>IFERROR(__xludf.DUMMYFUNCTION("""COMPUTED_VALUE"""),0.0)</f>
        <v>0</v>
      </c>
      <c r="S18" s="8">
        <f>IFERROR(__xludf.DUMMYFUNCTION("""COMPUTED_VALUE"""),0.0)</f>
        <v>0</v>
      </c>
      <c r="T18" s="8">
        <f>IFERROR(__xludf.DUMMYFUNCTION("""COMPUTED_VALUE"""),0.0)</f>
        <v>0</v>
      </c>
      <c r="U18" s="8">
        <f>IFERROR(__xludf.DUMMYFUNCTION("""COMPUTED_VALUE"""),0.0)</f>
        <v>0</v>
      </c>
      <c r="V18" s="8">
        <f>IFERROR(__xludf.DUMMYFUNCTION("""COMPUTED_VALUE"""),0.0)</f>
        <v>0</v>
      </c>
      <c r="W18" s="8">
        <f>IFERROR(__xludf.DUMMYFUNCTION("""COMPUTED_VALUE"""),0.0)</f>
        <v>0</v>
      </c>
      <c r="X18" s="8">
        <f>IFERROR(__xludf.DUMMYFUNCTION("""COMPUTED_VALUE"""),0.0)</f>
        <v>0</v>
      </c>
      <c r="Y18" s="8">
        <f>IFERROR(__xludf.DUMMYFUNCTION("""COMPUTED_VALUE"""),0.0)</f>
        <v>0</v>
      </c>
      <c r="Z18" s="8">
        <f>IFERROR(__xludf.DUMMYFUNCTION("""COMPUTED_VALUE"""),0.0)</f>
        <v>0</v>
      </c>
      <c r="AA18" s="8">
        <f>IFERROR(__xludf.DUMMYFUNCTION("""COMPUTED_VALUE"""),0.0)</f>
        <v>0</v>
      </c>
      <c r="AB18" s="8">
        <f>IFERROR(__xludf.DUMMYFUNCTION("""COMPUTED_VALUE"""),0.0)</f>
        <v>0</v>
      </c>
      <c r="AC18" s="8">
        <f>IFERROR(__xludf.DUMMYFUNCTION("""COMPUTED_VALUE"""),0.0)</f>
        <v>0</v>
      </c>
    </row>
    <row r="19" ht="15.75" customHeight="1">
      <c r="A19" s="6" t="str">
        <f>IFERROR(__xludf.DUMMYFUNCTION("""COMPUTED_VALUE"""),"0f3d56fd651e66eb62e990fd31d006aa80eaab5f")</f>
        <v>0f3d56fd651e66eb62e990fd31d006aa80eaab5f</v>
      </c>
      <c r="B19" s="6" t="str">
        <f>IFERROR(__xludf.DUMMYFUNCTION("""COMPUTED_VALUE"""),"The Forsaken Tamer")</f>
        <v>The Forsaken Tamer</v>
      </c>
      <c r="C19" s="6" t="str">
        <f>IFERROR(__xludf.DUMMYFUNCTION("""COMPUTED_VALUE"""),"System and Superpower")</f>
        <v>System and Superpower</v>
      </c>
      <c r="D19" s="11">
        <f>IFERROR(__xludf.DUMMYFUNCTION("""COMPUTED_VALUE"""),1200.0)</f>
        <v>1200</v>
      </c>
      <c r="E19" s="8">
        <f>IFERROR(__xludf.DUMMYFUNCTION("""COMPUTED_VALUE"""),0.994987468671679)</f>
        <v>0.9949874687</v>
      </c>
      <c r="F19" s="8">
        <f>IFERROR(__xludf.DUMMYFUNCTION("""COMPUTED_VALUE"""),0.648506151142355)</f>
        <v>0.6485061511</v>
      </c>
      <c r="G19" s="8">
        <f>IFERROR(__xludf.DUMMYFUNCTION("""COMPUTED_VALUE"""),0.59284332688588)</f>
        <v>0.5928433269</v>
      </c>
      <c r="H19" s="8">
        <f>IFERROR(__xludf.DUMMYFUNCTION("""COMPUTED_VALUE"""),0.49562363238512)</f>
        <v>0.4956236324</v>
      </c>
      <c r="I19" s="8">
        <f>IFERROR(__xludf.DUMMYFUNCTION("""COMPUTED_VALUE"""),0.438202247191011)</f>
        <v>0.4382022472</v>
      </c>
      <c r="J19" s="8">
        <f>IFERROR(__xludf.DUMMYFUNCTION("""COMPUTED_VALUE"""),0.354887218045112)</f>
        <v>0.354887218</v>
      </c>
      <c r="K19" s="8">
        <f>IFERROR(__xludf.DUMMYFUNCTION("""COMPUTED_VALUE"""),0.302255639097744)</f>
        <v>0.3022556391</v>
      </c>
      <c r="L19" s="8">
        <f>IFERROR(__xludf.DUMMYFUNCTION("""COMPUTED_VALUE"""),0.262443438914027)</f>
        <v>0.2624434389</v>
      </c>
      <c r="M19" s="8">
        <f>IFERROR(__xludf.DUMMYFUNCTION("""COMPUTED_VALUE"""),0.245827010622154)</f>
        <v>0.2458270106</v>
      </c>
      <c r="N19" s="8">
        <f>IFERROR(__xludf.DUMMYFUNCTION("""COMPUTED_VALUE"""),0.222900763358778)</f>
        <v>0.2229007634</v>
      </c>
      <c r="O19" s="8">
        <f>IFERROR(__xludf.DUMMYFUNCTION("""COMPUTED_VALUE"""),0.162327718223583)</f>
        <v>0.1623277182</v>
      </c>
      <c r="P19" s="8">
        <f>IFERROR(__xludf.DUMMYFUNCTION("""COMPUTED_VALUE"""),0.105263157894736)</f>
        <v>0.1052631579</v>
      </c>
      <c r="Q19" s="8">
        <f>IFERROR(__xludf.DUMMYFUNCTION("""COMPUTED_VALUE"""),0.0354838709677419)</f>
        <v>0.03548387097</v>
      </c>
      <c r="R19" s="8">
        <f>IFERROR(__xludf.DUMMYFUNCTION("""COMPUTED_VALUE"""),0.0241796200345423)</f>
        <v>0.02417962003</v>
      </c>
      <c r="S19" s="8">
        <f>IFERROR(__xludf.DUMMYFUNCTION("""COMPUTED_VALUE"""),0.0)</f>
        <v>0</v>
      </c>
      <c r="T19" s="8">
        <f>IFERROR(__xludf.DUMMYFUNCTION("""COMPUTED_VALUE"""),0.0)</f>
        <v>0</v>
      </c>
      <c r="U19" s="8">
        <f>IFERROR(__xludf.DUMMYFUNCTION("""COMPUTED_VALUE"""),0.0)</f>
        <v>0</v>
      </c>
      <c r="V19" s="8">
        <f>IFERROR(__xludf.DUMMYFUNCTION("""COMPUTED_VALUE"""),0.0)</f>
        <v>0</v>
      </c>
      <c r="W19" s="8">
        <f>IFERROR(__xludf.DUMMYFUNCTION("""COMPUTED_VALUE"""),0.0)</f>
        <v>0</v>
      </c>
      <c r="X19" s="8">
        <f>IFERROR(__xludf.DUMMYFUNCTION("""COMPUTED_VALUE"""),0.0)</f>
        <v>0</v>
      </c>
      <c r="Y19" s="8">
        <f>IFERROR(__xludf.DUMMYFUNCTION("""COMPUTED_VALUE"""),0.0)</f>
        <v>0</v>
      </c>
      <c r="Z19" s="8">
        <f>IFERROR(__xludf.DUMMYFUNCTION("""COMPUTED_VALUE"""),0.0)</f>
        <v>0</v>
      </c>
      <c r="AA19" s="8">
        <f>IFERROR(__xludf.DUMMYFUNCTION("""COMPUTED_VALUE"""),0.0)</f>
        <v>0</v>
      </c>
      <c r="AB19" s="8">
        <f>IFERROR(__xludf.DUMMYFUNCTION("""COMPUTED_VALUE"""),0.0)</f>
        <v>0</v>
      </c>
      <c r="AC19" s="8">
        <f>IFERROR(__xludf.DUMMYFUNCTION("""COMPUTED_VALUE"""),0.0)</f>
        <v>0</v>
      </c>
    </row>
    <row r="20" ht="15.75" customHeight="1">
      <c r="A20" s="6" t="str">
        <f>IFERROR(__xludf.DUMMYFUNCTION("""COMPUTED_VALUE"""),"0fadc6da7c4d814463023dc7ffd8be44c68fa457")</f>
        <v>0fadc6da7c4d814463023dc7ffd8be44c68fa457</v>
      </c>
      <c r="B20" s="6" t="str">
        <f>IFERROR(__xludf.DUMMYFUNCTION("""COMPUTED_VALUE"""),"From Ceo to Young Lord")</f>
        <v>From Ceo to Young Lord</v>
      </c>
      <c r="C20" s="6" t="str">
        <f>IFERROR(__xludf.DUMMYFUNCTION("""COMPUTED_VALUE"""),"Fantasy")</f>
        <v>Fantasy</v>
      </c>
      <c r="D20" s="11">
        <f>IFERROR(__xludf.DUMMYFUNCTION("""COMPUTED_VALUE"""),1015.0)</f>
        <v>1015</v>
      </c>
      <c r="E20" s="8">
        <f>IFERROR(__xludf.DUMMYFUNCTION("""COMPUTED_VALUE"""),0.96847290640394)</f>
        <v>0.9684729064</v>
      </c>
      <c r="F20" s="8">
        <f>IFERROR(__xludf.DUMMYFUNCTION("""COMPUTED_VALUE"""),0.709072978303747)</f>
        <v>0.7090729783</v>
      </c>
      <c r="G20" s="8">
        <f>IFERROR(__xludf.DUMMYFUNCTION("""COMPUTED_VALUE"""),0.670623145400593)</f>
        <v>0.6706231454</v>
      </c>
      <c r="H20" s="8">
        <f>IFERROR(__xludf.DUMMYFUNCTION("""COMPUTED_VALUE"""),0.667326732673267)</f>
        <v>0.6673267327</v>
      </c>
      <c r="I20" s="8">
        <f>IFERROR(__xludf.DUMMYFUNCTION("""COMPUTED_VALUE"""),0.629960317460317)</f>
        <v>0.6299603175</v>
      </c>
      <c r="J20" s="8">
        <f>IFERROR(__xludf.DUMMYFUNCTION("""COMPUTED_VALUE"""),0.596613545816733)</f>
        <v>0.5966135458</v>
      </c>
      <c r="K20" s="8">
        <f>IFERROR(__xludf.DUMMYFUNCTION("""COMPUTED_VALUE"""),0.580677290836653)</f>
        <v>0.5806772908</v>
      </c>
      <c r="L20" s="8">
        <f>IFERROR(__xludf.DUMMYFUNCTION("""COMPUTED_VALUE"""),0.548804780876494)</f>
        <v>0.5488047809</v>
      </c>
      <c r="M20" s="8">
        <f>IFERROR(__xludf.DUMMYFUNCTION("""COMPUTED_VALUE"""),0.525896414342629)</f>
        <v>0.5258964143</v>
      </c>
      <c r="N20" s="8">
        <f>IFERROR(__xludf.DUMMYFUNCTION("""COMPUTED_VALUE"""),0.516966067864271)</f>
        <v>0.5169660679</v>
      </c>
      <c r="O20" s="8">
        <f>IFERROR(__xludf.DUMMYFUNCTION("""COMPUTED_VALUE"""),0.458375125376128)</f>
        <v>0.4583751254</v>
      </c>
      <c r="P20" s="8">
        <f>IFERROR(__xludf.DUMMYFUNCTION("""COMPUTED_VALUE"""),0.310344827586206)</f>
        <v>0.3103448276</v>
      </c>
      <c r="Q20" s="8">
        <f>IFERROR(__xludf.DUMMYFUNCTION("""COMPUTED_VALUE"""),0.228346456692913)</f>
        <v>0.2283464567</v>
      </c>
      <c r="R20" s="8">
        <f>IFERROR(__xludf.DUMMYFUNCTION("""COMPUTED_VALUE"""),0.135135135135135)</f>
        <v>0.1351351351</v>
      </c>
      <c r="S20" s="8">
        <f>IFERROR(__xludf.DUMMYFUNCTION("""COMPUTED_VALUE"""),0.0909090909090909)</f>
        <v>0.09090909091</v>
      </c>
      <c r="T20" s="8">
        <f>IFERROR(__xludf.DUMMYFUNCTION("""COMPUTED_VALUE"""),0.0)</f>
        <v>0</v>
      </c>
      <c r="U20" s="8">
        <f>IFERROR(__xludf.DUMMYFUNCTION("""COMPUTED_VALUE"""),0.0)</f>
        <v>0</v>
      </c>
      <c r="V20" s="8">
        <f>IFERROR(__xludf.DUMMYFUNCTION("""COMPUTED_VALUE"""),0.0)</f>
        <v>0</v>
      </c>
      <c r="W20" s="8">
        <f>IFERROR(__xludf.DUMMYFUNCTION("""COMPUTED_VALUE"""),0.0)</f>
        <v>0</v>
      </c>
      <c r="X20" s="8">
        <f>IFERROR(__xludf.DUMMYFUNCTION("""COMPUTED_VALUE"""),0.0)</f>
        <v>0</v>
      </c>
      <c r="Y20" s="8">
        <f>IFERROR(__xludf.DUMMYFUNCTION("""COMPUTED_VALUE"""),0.0)</f>
        <v>0</v>
      </c>
      <c r="Z20" s="8">
        <f>IFERROR(__xludf.DUMMYFUNCTION("""COMPUTED_VALUE"""),0.0)</f>
        <v>0</v>
      </c>
      <c r="AA20" s="8">
        <f>IFERROR(__xludf.DUMMYFUNCTION("""COMPUTED_VALUE"""),0.0)</f>
        <v>0</v>
      </c>
      <c r="AB20" s="8">
        <f>IFERROR(__xludf.DUMMYFUNCTION("""COMPUTED_VALUE"""),0.0)</f>
        <v>0</v>
      </c>
      <c r="AC20" s="8">
        <f>IFERROR(__xludf.DUMMYFUNCTION("""COMPUTED_VALUE"""),0.0)</f>
        <v>0</v>
      </c>
    </row>
    <row r="21" ht="15.75" customHeight="1">
      <c r="A21" s="6" t="str">
        <f>IFERROR(__xludf.DUMMYFUNCTION("""COMPUTED_VALUE"""),"114fed9f0540f90ccc58d03a383c7c69260baeae")</f>
        <v>114fed9f0540f90ccc58d03a383c7c69260baeae</v>
      </c>
      <c r="B21" s="6" t="str">
        <f>IFERROR(__xludf.DUMMYFUNCTION("""COMPUTED_VALUE"""),"Mother's Murder &amp; Secrets")</f>
        <v>Mother's Murder &amp; Secrets</v>
      </c>
      <c r="C21" s="6" t="str">
        <f>IFERROR(__xludf.DUMMYFUNCTION("""COMPUTED_VALUE"""),"Suspense or Thriller")</f>
        <v>Suspense or Thriller</v>
      </c>
      <c r="D21" s="11">
        <f>IFERROR(__xludf.DUMMYFUNCTION("""COMPUTED_VALUE"""),558.0)</f>
        <v>558</v>
      </c>
      <c r="E21" s="8">
        <f>IFERROR(__xludf.DUMMYFUNCTION("""COMPUTED_VALUE"""),0.985663082437276)</f>
        <v>0.9856630824</v>
      </c>
      <c r="F21" s="8">
        <f>IFERROR(__xludf.DUMMYFUNCTION("""COMPUTED_VALUE"""),0.428315412186379)</f>
        <v>0.4283154122</v>
      </c>
      <c r="G21" s="8">
        <f>IFERROR(__xludf.DUMMYFUNCTION("""COMPUTED_VALUE"""),0.363799283154121)</f>
        <v>0.3637992832</v>
      </c>
      <c r="H21" s="8">
        <f>IFERROR(__xludf.DUMMYFUNCTION("""COMPUTED_VALUE"""),0.299283154121863)</f>
        <v>0.2992831541</v>
      </c>
      <c r="I21" s="8">
        <f>IFERROR(__xludf.DUMMYFUNCTION("""COMPUTED_VALUE"""),0.263440860215053)</f>
        <v>0.2634408602</v>
      </c>
      <c r="J21" s="8">
        <f>IFERROR(__xludf.DUMMYFUNCTION("""COMPUTED_VALUE"""),0.236559139784946)</f>
        <v>0.2365591398</v>
      </c>
      <c r="K21" s="8">
        <f>IFERROR(__xludf.DUMMYFUNCTION("""COMPUTED_VALUE"""),0.204301075268817)</f>
        <v>0.2043010753</v>
      </c>
      <c r="L21" s="8">
        <f>IFERROR(__xludf.DUMMYFUNCTION("""COMPUTED_VALUE"""),0.18850987432675)</f>
        <v>0.1885098743</v>
      </c>
      <c r="M21" s="8">
        <f>IFERROR(__xludf.DUMMYFUNCTION("""COMPUTED_VALUE"""),0.174147217235188)</f>
        <v>0.1741472172</v>
      </c>
      <c r="N21" s="8">
        <f>IFERROR(__xludf.DUMMYFUNCTION("""COMPUTED_VALUE"""),0.161870503597122)</f>
        <v>0.1618705036</v>
      </c>
      <c r="O21" s="8">
        <f>IFERROR(__xludf.DUMMYFUNCTION("""COMPUTED_VALUE"""),0.115523465703971)</f>
        <v>0.1155234657</v>
      </c>
      <c r="P21" s="8">
        <f>IFERROR(__xludf.DUMMYFUNCTION("""COMPUTED_VALUE"""),0.0798548094373865)</f>
        <v>0.07985480944</v>
      </c>
      <c r="Q21" s="8">
        <f>IFERROR(__xludf.DUMMYFUNCTION("""COMPUTED_VALUE"""),0.0533088235294117)</f>
        <v>0.05330882353</v>
      </c>
      <c r="R21" s="8">
        <f>IFERROR(__xludf.DUMMYFUNCTION("""COMPUTED_VALUE"""),0.0373134328358208)</f>
        <v>0.03731343284</v>
      </c>
      <c r="S21" s="8">
        <f>IFERROR(__xludf.DUMMYFUNCTION("""COMPUTED_VALUE"""),0.0189393939393939)</f>
        <v>0.01893939394</v>
      </c>
      <c r="T21" s="8">
        <f>IFERROR(__xludf.DUMMYFUNCTION("""COMPUTED_VALUE"""),0.0106666666666666)</f>
        <v>0.01066666667</v>
      </c>
      <c r="U21" s="8">
        <f>IFERROR(__xludf.DUMMYFUNCTION("""COMPUTED_VALUE"""),0.00636942675159235)</f>
        <v>0.006369426752</v>
      </c>
      <c r="V21" s="8">
        <f>IFERROR(__xludf.DUMMYFUNCTION("""COMPUTED_VALUE"""),0.0212765957446808)</f>
        <v>0.02127659574</v>
      </c>
      <c r="W21" s="8">
        <f>IFERROR(__xludf.DUMMYFUNCTION("""COMPUTED_VALUE"""),0.0)</f>
        <v>0</v>
      </c>
      <c r="X21" s="8">
        <f>IFERROR(__xludf.DUMMYFUNCTION("""COMPUTED_VALUE"""),0.0)</f>
        <v>0</v>
      </c>
      <c r="Y21" s="8">
        <f>IFERROR(__xludf.DUMMYFUNCTION("""COMPUTED_VALUE"""),0.0)</f>
        <v>0</v>
      </c>
      <c r="Z21" s="8">
        <f>IFERROR(__xludf.DUMMYFUNCTION("""COMPUTED_VALUE"""),0.0)</f>
        <v>0</v>
      </c>
      <c r="AA21" s="8">
        <f>IFERROR(__xludf.DUMMYFUNCTION("""COMPUTED_VALUE"""),0.0)</f>
        <v>0</v>
      </c>
      <c r="AB21" s="8">
        <f>IFERROR(__xludf.DUMMYFUNCTION("""COMPUTED_VALUE"""),0.0)</f>
        <v>0</v>
      </c>
      <c r="AC21" s="8">
        <f>IFERROR(__xludf.DUMMYFUNCTION("""COMPUTED_VALUE"""),0.0)</f>
        <v>0</v>
      </c>
    </row>
    <row r="22" ht="15.75" customHeight="1">
      <c r="A22" s="6" t="str">
        <f>IFERROR(__xludf.DUMMYFUNCTION("""COMPUTED_VALUE"""),"123964565c4c79c7f1a3737171a0125020300913")</f>
        <v>123964565c4c79c7f1a3737171a0125020300913</v>
      </c>
      <c r="B22" s="6" t="str">
        <f>IFERROR(__xludf.DUMMYFUNCTION("""COMPUTED_VALUE"""),"My Alien Boxing System")</f>
        <v>My Alien Boxing System</v>
      </c>
      <c r="C22" s="6" t="str">
        <f>IFERROR(__xludf.DUMMYFUNCTION("""COMPUTED_VALUE"""),"Fantasy")</f>
        <v>Fantasy</v>
      </c>
      <c r="D22" s="11">
        <f>IFERROR(__xludf.DUMMYFUNCTION("""COMPUTED_VALUE"""),508.0)</f>
        <v>508</v>
      </c>
      <c r="E22" s="8">
        <f>IFERROR(__xludf.DUMMYFUNCTION("""COMPUTED_VALUE"""),0.992110453648915)</f>
        <v>0.9921104536</v>
      </c>
      <c r="F22" s="8">
        <f>IFERROR(__xludf.DUMMYFUNCTION("""COMPUTED_VALUE"""),0.609900990099009)</f>
        <v>0.6099009901</v>
      </c>
      <c r="G22" s="8">
        <f>IFERROR(__xludf.DUMMYFUNCTION("""COMPUTED_VALUE"""),0.584158415841584)</f>
        <v>0.5841584158</v>
      </c>
      <c r="H22" s="8">
        <f>IFERROR(__xludf.DUMMYFUNCTION("""COMPUTED_VALUE"""),0.526838966202783)</f>
        <v>0.5268389662</v>
      </c>
      <c r="I22" s="8">
        <f>IFERROR(__xludf.DUMMYFUNCTION("""COMPUTED_VALUE"""),0.491053677932405)</f>
        <v>0.4910536779</v>
      </c>
      <c r="J22" s="8">
        <f>IFERROR(__xludf.DUMMYFUNCTION("""COMPUTED_VALUE"""),0.432)</f>
        <v>0.432</v>
      </c>
      <c r="K22" s="8">
        <f>IFERROR(__xludf.DUMMYFUNCTION("""COMPUTED_VALUE"""),0.394789579158316)</f>
        <v>0.3947895792</v>
      </c>
      <c r="L22" s="8">
        <f>IFERROR(__xludf.DUMMYFUNCTION("""COMPUTED_VALUE"""),0.395582329317269)</f>
        <v>0.3955823293</v>
      </c>
      <c r="M22" s="8">
        <f>IFERROR(__xludf.DUMMYFUNCTION("""COMPUTED_VALUE"""),0.373493975903614)</f>
        <v>0.3734939759</v>
      </c>
      <c r="N22" s="8">
        <f>IFERROR(__xludf.DUMMYFUNCTION("""COMPUTED_VALUE"""),0.330645161290322)</f>
        <v>0.3306451613</v>
      </c>
      <c r="O22" s="8">
        <f>IFERROR(__xludf.DUMMYFUNCTION("""COMPUTED_VALUE"""),0.259713701431492)</f>
        <v>0.2597137014</v>
      </c>
      <c r="P22" s="8">
        <f>IFERROR(__xludf.DUMMYFUNCTION("""COMPUTED_VALUE"""),0.175)</f>
        <v>0.175</v>
      </c>
      <c r="Q22" s="8">
        <f>IFERROR(__xludf.DUMMYFUNCTION("""COMPUTED_VALUE"""),0.333333333333333)</f>
        <v>0.3333333333</v>
      </c>
      <c r="R22" s="8">
        <f>IFERROR(__xludf.DUMMYFUNCTION("""COMPUTED_VALUE"""),0.0)</f>
        <v>0</v>
      </c>
      <c r="S22" s="8">
        <f>IFERROR(__xludf.DUMMYFUNCTION("""COMPUTED_VALUE"""),0.0)</f>
        <v>0</v>
      </c>
      <c r="T22" s="8">
        <f>IFERROR(__xludf.DUMMYFUNCTION("""COMPUTED_VALUE"""),0.0)</f>
        <v>0</v>
      </c>
      <c r="U22" s="8">
        <f>IFERROR(__xludf.DUMMYFUNCTION("""COMPUTED_VALUE"""),0.0)</f>
        <v>0</v>
      </c>
      <c r="V22" s="8">
        <f>IFERROR(__xludf.DUMMYFUNCTION("""COMPUTED_VALUE"""),0.0)</f>
        <v>0</v>
      </c>
      <c r="W22" s="8">
        <f>IFERROR(__xludf.DUMMYFUNCTION("""COMPUTED_VALUE"""),0.0)</f>
        <v>0</v>
      </c>
      <c r="X22" s="8">
        <f>IFERROR(__xludf.DUMMYFUNCTION("""COMPUTED_VALUE"""),0.0)</f>
        <v>0</v>
      </c>
      <c r="Y22" s="8">
        <f>IFERROR(__xludf.DUMMYFUNCTION("""COMPUTED_VALUE"""),0.0)</f>
        <v>0</v>
      </c>
      <c r="Z22" s="8">
        <f>IFERROR(__xludf.DUMMYFUNCTION("""COMPUTED_VALUE"""),0.0)</f>
        <v>0</v>
      </c>
      <c r="AA22" s="8">
        <f>IFERROR(__xludf.DUMMYFUNCTION("""COMPUTED_VALUE"""),0.0)</f>
        <v>0</v>
      </c>
      <c r="AB22" s="8">
        <f>IFERROR(__xludf.DUMMYFUNCTION("""COMPUTED_VALUE"""),0.0)</f>
        <v>0</v>
      </c>
      <c r="AC22" s="8">
        <f>IFERROR(__xludf.DUMMYFUNCTION("""COMPUTED_VALUE"""),0.0)</f>
        <v>0</v>
      </c>
    </row>
    <row r="23" ht="15.75" customHeight="1">
      <c r="A23" s="6" t="str">
        <f>IFERROR(__xludf.DUMMYFUNCTION("""COMPUTED_VALUE"""),"158669d764d53a995f111683b8700642d7c4847c")</f>
        <v>158669d764d53a995f111683b8700642d7c4847c</v>
      </c>
      <c r="B23" s="6" t="str">
        <f>IFERROR(__xludf.DUMMYFUNCTION("""COMPUTED_VALUE"""),"The Silent Wife Strikes")</f>
        <v>The Silent Wife Strikes</v>
      </c>
      <c r="C23" s="6" t="str">
        <f>IFERROR(__xludf.DUMMYFUNCTION("""COMPUTED_VALUE"""),"Romance")</f>
        <v>Romance</v>
      </c>
      <c r="D23" s="11">
        <f>IFERROR(__xludf.DUMMYFUNCTION("""COMPUTED_VALUE"""),114.0)</f>
        <v>114</v>
      </c>
      <c r="E23" s="8">
        <f>IFERROR(__xludf.DUMMYFUNCTION("""COMPUTED_VALUE"""),0.921052631578947)</f>
        <v>0.9210526316</v>
      </c>
      <c r="F23" s="8">
        <f>IFERROR(__xludf.DUMMYFUNCTION("""COMPUTED_VALUE"""),0.561403508771929)</f>
        <v>0.5614035088</v>
      </c>
      <c r="G23" s="8">
        <f>IFERROR(__xludf.DUMMYFUNCTION("""COMPUTED_VALUE"""),0.517543859649122)</f>
        <v>0.5175438596</v>
      </c>
      <c r="H23" s="8">
        <f>IFERROR(__xludf.DUMMYFUNCTION("""COMPUTED_VALUE"""),0.43859649122807)</f>
        <v>0.4385964912</v>
      </c>
      <c r="I23" s="8">
        <f>IFERROR(__xludf.DUMMYFUNCTION("""COMPUTED_VALUE"""),0.412280701754385)</f>
        <v>0.4122807018</v>
      </c>
      <c r="J23" s="8">
        <f>IFERROR(__xludf.DUMMYFUNCTION("""COMPUTED_VALUE"""),0.350877192982456)</f>
        <v>0.350877193</v>
      </c>
      <c r="K23" s="8">
        <f>IFERROR(__xludf.DUMMYFUNCTION("""COMPUTED_VALUE"""),0.421052631578947)</f>
        <v>0.4210526316</v>
      </c>
      <c r="L23" s="8">
        <f>IFERROR(__xludf.DUMMYFUNCTION("""COMPUTED_VALUE"""),0.324561403508771)</f>
        <v>0.3245614035</v>
      </c>
      <c r="M23" s="8">
        <f>IFERROR(__xludf.DUMMYFUNCTION("""COMPUTED_VALUE"""),0.368421052631578)</f>
        <v>0.3684210526</v>
      </c>
      <c r="N23" s="8">
        <f>IFERROR(__xludf.DUMMYFUNCTION("""COMPUTED_VALUE"""),0.327433628318584)</f>
        <v>0.3274336283</v>
      </c>
      <c r="O23" s="8">
        <f>IFERROR(__xludf.DUMMYFUNCTION("""COMPUTED_VALUE"""),0.323809523809523)</f>
        <v>0.3238095238</v>
      </c>
      <c r="P23" s="8">
        <f>IFERROR(__xludf.DUMMYFUNCTION("""COMPUTED_VALUE"""),0.192307692307692)</f>
        <v>0.1923076923</v>
      </c>
      <c r="Q23" s="8">
        <f>IFERROR(__xludf.DUMMYFUNCTION("""COMPUTED_VALUE"""),0.179775280898876)</f>
        <v>0.1797752809</v>
      </c>
      <c r="R23" s="8">
        <f>IFERROR(__xludf.DUMMYFUNCTION("""COMPUTED_VALUE"""),0.0256410256410256)</f>
        <v>0.02564102564</v>
      </c>
      <c r="S23" s="8">
        <f>IFERROR(__xludf.DUMMYFUNCTION("""COMPUTED_VALUE"""),0.0)</f>
        <v>0</v>
      </c>
      <c r="T23" s="8">
        <f>IFERROR(__xludf.DUMMYFUNCTION("""COMPUTED_VALUE"""),0.0)</f>
        <v>0</v>
      </c>
      <c r="U23" s="8">
        <f>IFERROR(__xludf.DUMMYFUNCTION("""COMPUTED_VALUE"""),0.0)</f>
        <v>0</v>
      </c>
      <c r="V23" s="8">
        <f>IFERROR(__xludf.DUMMYFUNCTION("""COMPUTED_VALUE"""),0.0)</f>
        <v>0</v>
      </c>
      <c r="W23" s="8">
        <f>IFERROR(__xludf.DUMMYFUNCTION("""COMPUTED_VALUE"""),0.0)</f>
        <v>0</v>
      </c>
      <c r="X23" s="8">
        <f>IFERROR(__xludf.DUMMYFUNCTION("""COMPUTED_VALUE"""),0.0)</f>
        <v>0</v>
      </c>
      <c r="Y23" s="8">
        <f>IFERROR(__xludf.DUMMYFUNCTION("""COMPUTED_VALUE"""),0.0)</f>
        <v>0</v>
      </c>
      <c r="Z23" s="8">
        <f>IFERROR(__xludf.DUMMYFUNCTION("""COMPUTED_VALUE"""),0.0)</f>
        <v>0</v>
      </c>
      <c r="AA23" s="8">
        <f>IFERROR(__xludf.DUMMYFUNCTION("""COMPUTED_VALUE"""),0.0)</f>
        <v>0</v>
      </c>
      <c r="AB23" s="8">
        <f>IFERROR(__xludf.DUMMYFUNCTION("""COMPUTED_VALUE"""),0.0)</f>
        <v>0</v>
      </c>
      <c r="AC23" s="8">
        <f>IFERROR(__xludf.DUMMYFUNCTION("""COMPUTED_VALUE"""),0.0)</f>
        <v>0</v>
      </c>
    </row>
    <row r="24" ht="15.75" customHeight="1">
      <c r="A24" s="6" t="str">
        <f>IFERROR(__xludf.DUMMYFUNCTION("""COMPUTED_VALUE"""),"170bf0ee514e18fe892383ebee0f53a0f634136f")</f>
        <v>170bf0ee514e18fe892383ebee0f53a0f634136f</v>
      </c>
      <c r="B24" s="6" t="str">
        <f>IFERROR(__xludf.DUMMYFUNCTION("""COMPUTED_VALUE"""),"Started From the Bottom")</f>
        <v>Started From the Bottom</v>
      </c>
      <c r="C24" s="6" t="str">
        <f>IFERROR(__xludf.DUMMYFUNCTION("""COMPUTED_VALUE"""),"Drama")</f>
        <v>Drama</v>
      </c>
      <c r="D24" s="11">
        <f>IFERROR(__xludf.DUMMYFUNCTION("""COMPUTED_VALUE"""),15.0)</f>
        <v>15</v>
      </c>
      <c r="E24" s="8">
        <f>IFERROR(__xludf.DUMMYFUNCTION("""COMPUTED_VALUE"""),1.0)</f>
        <v>1</v>
      </c>
      <c r="F24" s="8">
        <f>IFERROR(__xludf.DUMMYFUNCTION("""COMPUTED_VALUE"""),0.0666666666666666)</f>
        <v>0.06666666667</v>
      </c>
      <c r="G24" s="8">
        <f>IFERROR(__xludf.DUMMYFUNCTION("""COMPUTED_VALUE"""),0.0666666666666666)</f>
        <v>0.06666666667</v>
      </c>
      <c r="H24" s="8">
        <f>IFERROR(__xludf.DUMMYFUNCTION("""COMPUTED_VALUE"""),0.0666666666666666)</f>
        <v>0.06666666667</v>
      </c>
      <c r="I24" s="8">
        <f>IFERROR(__xludf.DUMMYFUNCTION("""COMPUTED_VALUE"""),0.0666666666666666)</f>
        <v>0.06666666667</v>
      </c>
      <c r="J24" s="8">
        <f>IFERROR(__xludf.DUMMYFUNCTION("""COMPUTED_VALUE"""),0.0714285714285714)</f>
        <v>0.07142857143</v>
      </c>
      <c r="K24" s="8">
        <f>IFERROR(__xludf.DUMMYFUNCTION("""COMPUTED_VALUE"""),0.0714285714285714)</f>
        <v>0.07142857143</v>
      </c>
      <c r="L24" s="8">
        <f>IFERROR(__xludf.DUMMYFUNCTION("""COMPUTED_VALUE"""),0.0714285714285714)</f>
        <v>0.07142857143</v>
      </c>
      <c r="M24" s="8">
        <f>IFERROR(__xludf.DUMMYFUNCTION("""COMPUTED_VALUE"""),0.0769230769230769)</f>
        <v>0.07692307692</v>
      </c>
      <c r="N24" s="8">
        <f>IFERROR(__xludf.DUMMYFUNCTION("""COMPUTED_VALUE"""),0.0769230769230769)</f>
        <v>0.07692307692</v>
      </c>
      <c r="O24" s="8">
        <f>IFERROR(__xludf.DUMMYFUNCTION("""COMPUTED_VALUE"""),0.0833333333333333)</f>
        <v>0.08333333333</v>
      </c>
      <c r="P24" s="8">
        <f>IFERROR(__xludf.DUMMYFUNCTION("""COMPUTED_VALUE"""),0.0909090909090909)</f>
        <v>0.09090909091</v>
      </c>
      <c r="Q24" s="8">
        <f>IFERROR(__xludf.DUMMYFUNCTION("""COMPUTED_VALUE"""),0.111111111111111)</f>
        <v>0.1111111111</v>
      </c>
      <c r="R24" s="8">
        <f>IFERROR(__xludf.DUMMYFUNCTION("""COMPUTED_VALUE"""),0.166666666666666)</f>
        <v>0.1666666667</v>
      </c>
      <c r="S24" s="8">
        <f>IFERROR(__xludf.DUMMYFUNCTION("""COMPUTED_VALUE"""),0.0)</f>
        <v>0</v>
      </c>
      <c r="T24" s="8">
        <f>IFERROR(__xludf.DUMMYFUNCTION("""COMPUTED_VALUE"""),0.0)</f>
        <v>0</v>
      </c>
      <c r="U24" s="8">
        <f>IFERROR(__xludf.DUMMYFUNCTION("""COMPUTED_VALUE"""),0.0)</f>
        <v>0</v>
      </c>
      <c r="V24" s="8">
        <f>IFERROR(__xludf.DUMMYFUNCTION("""COMPUTED_VALUE"""),0.0)</f>
        <v>0</v>
      </c>
      <c r="W24" s="8">
        <f>IFERROR(__xludf.DUMMYFUNCTION("""COMPUTED_VALUE"""),0.0)</f>
        <v>0</v>
      </c>
      <c r="X24" s="8">
        <f>IFERROR(__xludf.DUMMYFUNCTION("""COMPUTED_VALUE"""),0.0)</f>
        <v>0</v>
      </c>
      <c r="Y24" s="8">
        <f>IFERROR(__xludf.DUMMYFUNCTION("""COMPUTED_VALUE"""),0.0)</f>
        <v>0</v>
      </c>
      <c r="Z24" s="8">
        <f>IFERROR(__xludf.DUMMYFUNCTION("""COMPUTED_VALUE"""),0.0)</f>
        <v>0</v>
      </c>
      <c r="AA24" s="8">
        <f>IFERROR(__xludf.DUMMYFUNCTION("""COMPUTED_VALUE"""),0.0)</f>
        <v>0</v>
      </c>
      <c r="AB24" s="8">
        <f>IFERROR(__xludf.DUMMYFUNCTION("""COMPUTED_VALUE"""),0.0)</f>
        <v>0</v>
      </c>
      <c r="AC24" s="8">
        <f>IFERROR(__xludf.DUMMYFUNCTION("""COMPUTED_VALUE"""),0.0)</f>
        <v>0</v>
      </c>
    </row>
    <row r="25" ht="15.75" customHeight="1">
      <c r="A25" s="6" t="str">
        <f>IFERROR(__xludf.DUMMYFUNCTION("""COMPUTED_VALUE"""),"184b660f61809850b4478d5bf89e9d10794578ee")</f>
        <v>184b660f61809850b4478d5bf89e9d10794578ee</v>
      </c>
      <c r="B25" s="6" t="str">
        <f>IFERROR(__xludf.DUMMYFUNCTION("""COMPUTED_VALUE"""),"Playing with Fire")</f>
        <v>Playing with Fire</v>
      </c>
      <c r="C25" s="6" t="str">
        <f>IFERROR(__xludf.DUMMYFUNCTION("""COMPUTED_VALUE"""),"Romance")</f>
        <v>Romance</v>
      </c>
      <c r="D25" s="11">
        <f>IFERROR(__xludf.DUMMYFUNCTION("""COMPUTED_VALUE"""),31.0)</f>
        <v>31</v>
      </c>
      <c r="E25" s="8">
        <f>IFERROR(__xludf.DUMMYFUNCTION("""COMPUTED_VALUE"""),0.933333333333333)</f>
        <v>0.9333333333</v>
      </c>
      <c r="F25" s="8">
        <f>IFERROR(__xludf.DUMMYFUNCTION("""COMPUTED_VALUE"""),0.5)</f>
        <v>0.5</v>
      </c>
      <c r="G25" s="8">
        <f>IFERROR(__xludf.DUMMYFUNCTION("""COMPUTED_VALUE"""),0.5)</f>
        <v>0.5</v>
      </c>
      <c r="H25" s="8">
        <f>IFERROR(__xludf.DUMMYFUNCTION("""COMPUTED_VALUE"""),0.5)</f>
        <v>0.5</v>
      </c>
      <c r="I25" s="8">
        <f>IFERROR(__xludf.DUMMYFUNCTION("""COMPUTED_VALUE"""),0.4)</f>
        <v>0.4</v>
      </c>
      <c r="J25" s="8">
        <f>IFERROR(__xludf.DUMMYFUNCTION("""COMPUTED_VALUE"""),0.366666666666666)</f>
        <v>0.3666666667</v>
      </c>
      <c r="K25" s="8">
        <f>IFERROR(__xludf.DUMMYFUNCTION("""COMPUTED_VALUE"""),0.4)</f>
        <v>0.4</v>
      </c>
      <c r="L25" s="8">
        <f>IFERROR(__xludf.DUMMYFUNCTION("""COMPUTED_VALUE"""),0.310344827586206)</f>
        <v>0.3103448276</v>
      </c>
      <c r="M25" s="8">
        <f>IFERROR(__xludf.DUMMYFUNCTION("""COMPUTED_VALUE"""),0.310344827586206)</f>
        <v>0.3103448276</v>
      </c>
      <c r="N25" s="8">
        <f>IFERROR(__xludf.DUMMYFUNCTION("""COMPUTED_VALUE"""),0.310344827586206)</f>
        <v>0.3103448276</v>
      </c>
      <c r="O25" s="8">
        <f>IFERROR(__xludf.DUMMYFUNCTION("""COMPUTED_VALUE"""),0.206896551724137)</f>
        <v>0.2068965517</v>
      </c>
      <c r="P25" s="8">
        <f>IFERROR(__xludf.DUMMYFUNCTION("""COMPUTED_VALUE"""),0.172413793103448)</f>
        <v>0.1724137931</v>
      </c>
      <c r="Q25" s="8">
        <f>IFERROR(__xludf.DUMMYFUNCTION("""COMPUTED_VALUE"""),0.0)</f>
        <v>0</v>
      </c>
      <c r="R25" s="8">
        <f>IFERROR(__xludf.DUMMYFUNCTION("""COMPUTED_VALUE"""),0.0)</f>
        <v>0</v>
      </c>
      <c r="S25" s="8">
        <f>IFERROR(__xludf.DUMMYFUNCTION("""COMPUTED_VALUE"""),0.0)</f>
        <v>0</v>
      </c>
      <c r="T25" s="8">
        <f>IFERROR(__xludf.DUMMYFUNCTION("""COMPUTED_VALUE"""),0.0)</f>
        <v>0</v>
      </c>
      <c r="U25" s="8">
        <f>IFERROR(__xludf.DUMMYFUNCTION("""COMPUTED_VALUE"""),0.0)</f>
        <v>0</v>
      </c>
      <c r="V25" s="8">
        <f>IFERROR(__xludf.DUMMYFUNCTION("""COMPUTED_VALUE"""),0.0)</f>
        <v>0</v>
      </c>
      <c r="W25" s="8">
        <f>IFERROR(__xludf.DUMMYFUNCTION("""COMPUTED_VALUE"""),0.0)</f>
        <v>0</v>
      </c>
      <c r="X25" s="8">
        <f>IFERROR(__xludf.DUMMYFUNCTION("""COMPUTED_VALUE"""),0.0)</f>
        <v>0</v>
      </c>
      <c r="Y25" s="8">
        <f>IFERROR(__xludf.DUMMYFUNCTION("""COMPUTED_VALUE"""),0.0)</f>
        <v>0</v>
      </c>
      <c r="Z25" s="8">
        <f>IFERROR(__xludf.DUMMYFUNCTION("""COMPUTED_VALUE"""),0.0)</f>
        <v>0</v>
      </c>
      <c r="AA25" s="8">
        <f>IFERROR(__xludf.DUMMYFUNCTION("""COMPUTED_VALUE"""),0.0)</f>
        <v>0</v>
      </c>
      <c r="AB25" s="8">
        <f>IFERROR(__xludf.DUMMYFUNCTION("""COMPUTED_VALUE"""),0.0)</f>
        <v>0</v>
      </c>
      <c r="AC25" s="8">
        <f>IFERROR(__xludf.DUMMYFUNCTION("""COMPUTED_VALUE"""),0.0)</f>
        <v>0</v>
      </c>
    </row>
    <row r="26" ht="15.75" customHeight="1">
      <c r="A26" s="6" t="str">
        <f>IFERROR(__xludf.DUMMYFUNCTION("""COMPUTED_VALUE"""),"19153cd9dd2e137f1311235c9104db0ecba38abb")</f>
        <v>19153cd9dd2e137f1311235c9104db0ecba38abb</v>
      </c>
      <c r="B26" s="6" t="str">
        <f>IFERROR(__xludf.DUMMYFUNCTION("""COMPUTED_VALUE"""),"My Apex Trading System")</f>
        <v>My Apex Trading System</v>
      </c>
      <c r="C26" s="6" t="str">
        <f>IFERROR(__xludf.DUMMYFUNCTION("""COMPUTED_VALUE"""),"Sci-Fi")</f>
        <v>Sci-Fi</v>
      </c>
      <c r="D26" s="11">
        <f>IFERROR(__xludf.DUMMYFUNCTION("""COMPUTED_VALUE"""),462.0)</f>
        <v>462</v>
      </c>
      <c r="E26" s="8">
        <f>IFERROR(__xludf.DUMMYFUNCTION("""COMPUTED_VALUE"""),0.988151658767772)</f>
        <v>0.9881516588</v>
      </c>
      <c r="F26" s="8">
        <f>IFERROR(__xludf.DUMMYFUNCTION("""COMPUTED_VALUE"""),0.574647887323943)</f>
        <v>0.5746478873</v>
      </c>
      <c r="G26" s="8">
        <f>IFERROR(__xludf.DUMMYFUNCTION("""COMPUTED_VALUE"""),0.484149855907781)</f>
        <v>0.4841498559</v>
      </c>
      <c r="H26" s="8">
        <f>IFERROR(__xludf.DUMMYFUNCTION("""COMPUTED_VALUE"""),0.473333333333333)</f>
        <v>0.4733333333</v>
      </c>
      <c r="I26" s="8">
        <f>IFERROR(__xludf.DUMMYFUNCTION("""COMPUTED_VALUE"""),0.449826989619377)</f>
        <v>0.4498269896</v>
      </c>
      <c r="J26" s="8">
        <f>IFERROR(__xludf.DUMMYFUNCTION("""COMPUTED_VALUE"""),0.441176470588235)</f>
        <v>0.4411764706</v>
      </c>
      <c r="K26" s="8">
        <f>IFERROR(__xludf.DUMMYFUNCTION("""COMPUTED_VALUE"""),0.421259842519685)</f>
        <v>0.4212598425</v>
      </c>
      <c r="L26" s="8">
        <f>IFERROR(__xludf.DUMMYFUNCTION("""COMPUTED_VALUE"""),0.432835820895522)</f>
        <v>0.4328358209</v>
      </c>
      <c r="M26" s="8">
        <f>IFERROR(__xludf.DUMMYFUNCTION("""COMPUTED_VALUE"""),0.355828220858895)</f>
        <v>0.3558282209</v>
      </c>
      <c r="N26" s="8">
        <f>IFERROR(__xludf.DUMMYFUNCTION("""COMPUTED_VALUE"""),0.369369369369369)</f>
        <v>0.3693693694</v>
      </c>
      <c r="O26" s="8">
        <f>IFERROR(__xludf.DUMMYFUNCTION("""COMPUTED_VALUE"""),0.5)</f>
        <v>0.5</v>
      </c>
      <c r="P26" s="8">
        <f>IFERROR(__xludf.DUMMYFUNCTION("""COMPUTED_VALUE"""),0.5)</f>
        <v>0.5</v>
      </c>
      <c r="Q26" s="8">
        <f>IFERROR(__xludf.DUMMYFUNCTION("""COMPUTED_VALUE"""),0.0)</f>
        <v>0</v>
      </c>
      <c r="R26" s="8">
        <f>IFERROR(__xludf.DUMMYFUNCTION("""COMPUTED_VALUE"""),0.0)</f>
        <v>0</v>
      </c>
      <c r="S26" s="8">
        <f>IFERROR(__xludf.DUMMYFUNCTION("""COMPUTED_VALUE"""),0.0)</f>
        <v>0</v>
      </c>
      <c r="T26" s="8">
        <f>IFERROR(__xludf.DUMMYFUNCTION("""COMPUTED_VALUE"""),0.0)</f>
        <v>0</v>
      </c>
      <c r="U26" s="8">
        <f>IFERROR(__xludf.DUMMYFUNCTION("""COMPUTED_VALUE"""),0.0)</f>
        <v>0</v>
      </c>
      <c r="V26" s="8">
        <f>IFERROR(__xludf.DUMMYFUNCTION("""COMPUTED_VALUE"""),0.0)</f>
        <v>0</v>
      </c>
      <c r="W26" s="8">
        <f>IFERROR(__xludf.DUMMYFUNCTION("""COMPUTED_VALUE"""),0.0)</f>
        <v>0</v>
      </c>
      <c r="X26" s="8">
        <f>IFERROR(__xludf.DUMMYFUNCTION("""COMPUTED_VALUE"""),0.0)</f>
        <v>0</v>
      </c>
      <c r="Y26" s="8">
        <f>IFERROR(__xludf.DUMMYFUNCTION("""COMPUTED_VALUE"""),0.0)</f>
        <v>0</v>
      </c>
      <c r="Z26" s="8">
        <f>IFERROR(__xludf.DUMMYFUNCTION("""COMPUTED_VALUE"""),0.0)</f>
        <v>0</v>
      </c>
      <c r="AA26" s="8">
        <f>IFERROR(__xludf.DUMMYFUNCTION("""COMPUTED_VALUE"""),0.0)</f>
        <v>0</v>
      </c>
      <c r="AB26" s="8">
        <f>IFERROR(__xludf.DUMMYFUNCTION("""COMPUTED_VALUE"""),0.0)</f>
        <v>0</v>
      </c>
      <c r="AC26" s="8">
        <f>IFERROR(__xludf.DUMMYFUNCTION("""COMPUTED_VALUE"""),0.0)</f>
        <v>0</v>
      </c>
    </row>
    <row r="27" ht="15.75" customHeight="1">
      <c r="A27" s="6" t="str">
        <f>IFERROR(__xludf.DUMMYFUNCTION("""COMPUTED_VALUE"""),"1a5df306886a7b0e7736ec2c8efad3467507a1c6")</f>
        <v>1a5df306886a7b0e7736ec2c8efad3467507a1c6</v>
      </c>
      <c r="B27" s="6" t="str">
        <f>IFERROR(__xludf.DUMMYFUNCTION("""COMPUTED_VALUE"""),"Billionaire Bentley’s Runaway Princess")</f>
        <v>Billionaire Bentley’s Runaway Princess</v>
      </c>
      <c r="C27" s="6" t="str">
        <f>IFERROR(__xludf.DUMMYFUNCTION("""COMPUTED_VALUE"""),"Romance")</f>
        <v>Romance</v>
      </c>
      <c r="D27" s="11">
        <f>IFERROR(__xludf.DUMMYFUNCTION("""COMPUTED_VALUE"""),1033.0)</f>
        <v>1033</v>
      </c>
      <c r="E27" s="8">
        <f>IFERROR(__xludf.DUMMYFUNCTION("""COMPUTED_VALUE"""),0.954501452081316)</f>
        <v>0.9545014521</v>
      </c>
      <c r="F27" s="8">
        <f>IFERROR(__xludf.DUMMYFUNCTION("""COMPUTED_VALUE"""),0.601161665053243)</f>
        <v>0.6011616651</v>
      </c>
      <c r="G27" s="8">
        <f>IFERROR(__xludf.DUMMYFUNCTION("""COMPUTED_VALUE"""),0.548886737657308)</f>
        <v>0.5488867377</v>
      </c>
      <c r="H27" s="8">
        <f>IFERROR(__xludf.DUMMYFUNCTION("""COMPUTED_VALUE"""),0.501454898157129)</f>
        <v>0.5014548982</v>
      </c>
      <c r="I27" s="8">
        <f>IFERROR(__xludf.DUMMYFUNCTION("""COMPUTED_VALUE"""),0.471387002909796)</f>
        <v>0.4713870029</v>
      </c>
      <c r="J27" s="8">
        <f>IFERROR(__xludf.DUMMYFUNCTION("""COMPUTED_VALUE"""),0.423860329776915)</f>
        <v>0.4238603298</v>
      </c>
      <c r="K27" s="8">
        <f>IFERROR(__xludf.DUMMYFUNCTION("""COMPUTED_VALUE"""),0.408341416100872)</f>
        <v>0.4083414161</v>
      </c>
      <c r="L27" s="8">
        <f>IFERROR(__xludf.DUMMYFUNCTION("""COMPUTED_VALUE"""),0.387972841901066)</f>
        <v>0.3879728419</v>
      </c>
      <c r="M27" s="8">
        <f>IFERROR(__xludf.DUMMYFUNCTION("""COMPUTED_VALUE"""),0.366634335596508)</f>
        <v>0.3666343356</v>
      </c>
      <c r="N27" s="8">
        <f>IFERROR(__xludf.DUMMYFUNCTION("""COMPUTED_VALUE"""),0.38581146744412)</f>
        <v>0.3858114674</v>
      </c>
      <c r="O27" s="8">
        <f>IFERROR(__xludf.DUMMYFUNCTION("""COMPUTED_VALUE"""),0.275827482447342)</f>
        <v>0.2758274824</v>
      </c>
      <c r="P27" s="8">
        <f>IFERROR(__xludf.DUMMYFUNCTION("""COMPUTED_VALUE"""),0.251677852348993)</f>
        <v>0.2516778523</v>
      </c>
      <c r="Q27" s="8">
        <f>IFERROR(__xludf.DUMMYFUNCTION("""COMPUTED_VALUE"""),0.207446808510638)</f>
        <v>0.2074468085</v>
      </c>
      <c r="R27" s="8">
        <f>IFERROR(__xludf.DUMMYFUNCTION("""COMPUTED_VALUE"""),0.0)</f>
        <v>0</v>
      </c>
      <c r="S27" s="8">
        <f>IFERROR(__xludf.DUMMYFUNCTION("""COMPUTED_VALUE"""),0.0)</f>
        <v>0</v>
      </c>
      <c r="T27" s="8">
        <f>IFERROR(__xludf.DUMMYFUNCTION("""COMPUTED_VALUE"""),0.0)</f>
        <v>0</v>
      </c>
      <c r="U27" s="8">
        <f>IFERROR(__xludf.DUMMYFUNCTION("""COMPUTED_VALUE"""),0.0)</f>
        <v>0</v>
      </c>
      <c r="V27" s="8">
        <f>IFERROR(__xludf.DUMMYFUNCTION("""COMPUTED_VALUE"""),0.0)</f>
        <v>0</v>
      </c>
      <c r="W27" s="8">
        <f>IFERROR(__xludf.DUMMYFUNCTION("""COMPUTED_VALUE"""),0.0)</f>
        <v>0</v>
      </c>
      <c r="X27" s="8">
        <f>IFERROR(__xludf.DUMMYFUNCTION("""COMPUTED_VALUE"""),0.0)</f>
        <v>0</v>
      </c>
      <c r="Y27" s="8">
        <f>IFERROR(__xludf.DUMMYFUNCTION("""COMPUTED_VALUE"""),0.0)</f>
        <v>0</v>
      </c>
      <c r="Z27" s="8">
        <f>IFERROR(__xludf.DUMMYFUNCTION("""COMPUTED_VALUE"""),0.0)</f>
        <v>0</v>
      </c>
      <c r="AA27" s="8">
        <f>IFERROR(__xludf.DUMMYFUNCTION("""COMPUTED_VALUE"""),0.0)</f>
        <v>0</v>
      </c>
      <c r="AB27" s="8">
        <f>IFERROR(__xludf.DUMMYFUNCTION("""COMPUTED_VALUE"""),0.0)</f>
        <v>0</v>
      </c>
      <c r="AC27" s="8">
        <f>IFERROR(__xludf.DUMMYFUNCTION("""COMPUTED_VALUE"""),0.0)</f>
        <v>0</v>
      </c>
    </row>
    <row r="28" ht="15.75" customHeight="1">
      <c r="A28" s="6" t="str">
        <f>IFERROR(__xludf.DUMMYFUNCTION("""COMPUTED_VALUE"""),"1b5acb214bfe00156d933b176eef6987dcf9aa8c")</f>
        <v>1b5acb214bfe00156d933b176eef6987dcf9aa8c</v>
      </c>
      <c r="B28" s="6" t="str">
        <f>IFERROR(__xludf.DUMMYFUNCTION("""COMPUTED_VALUE"""),"The Night Forgotten by Us")</f>
        <v>The Night Forgotten by Us</v>
      </c>
      <c r="C28" s="6" t="str">
        <f>IFERROR(__xludf.DUMMYFUNCTION("""COMPUTED_VALUE"""),"Romance")</f>
        <v>Romance</v>
      </c>
      <c r="D28" s="11">
        <f>IFERROR(__xludf.DUMMYFUNCTION("""COMPUTED_VALUE"""),516.0)</f>
        <v>516</v>
      </c>
      <c r="E28" s="8">
        <f>IFERROR(__xludf.DUMMYFUNCTION("""COMPUTED_VALUE"""),0.963178294573643)</f>
        <v>0.9631782946</v>
      </c>
      <c r="F28" s="8">
        <f>IFERROR(__xludf.DUMMYFUNCTION("""COMPUTED_VALUE"""),0.611650485436893)</f>
        <v>0.6116504854</v>
      </c>
      <c r="G28" s="8">
        <f>IFERROR(__xludf.DUMMYFUNCTION("""COMPUTED_VALUE"""),0.537864077669903)</f>
        <v>0.5378640777</v>
      </c>
      <c r="H28" s="8">
        <f>IFERROR(__xludf.DUMMYFUNCTION("""COMPUTED_VALUE"""),0.489320388349514)</f>
        <v>0.4893203883</v>
      </c>
      <c r="I28" s="8">
        <f>IFERROR(__xludf.DUMMYFUNCTION("""COMPUTED_VALUE"""),0.47378640776699)</f>
        <v>0.4737864078</v>
      </c>
      <c r="J28" s="8">
        <f>IFERROR(__xludf.DUMMYFUNCTION("""COMPUTED_VALUE"""),0.467961165048543)</f>
        <v>0.467961165</v>
      </c>
      <c r="K28" s="8">
        <f>IFERROR(__xludf.DUMMYFUNCTION("""COMPUTED_VALUE"""),0.442718446601941)</f>
        <v>0.4427184466</v>
      </c>
      <c r="L28" s="8">
        <f>IFERROR(__xludf.DUMMYFUNCTION("""COMPUTED_VALUE"""),0.43883495145631)</f>
        <v>0.4388349515</v>
      </c>
      <c r="M28" s="8">
        <f>IFERROR(__xludf.DUMMYFUNCTION("""COMPUTED_VALUE"""),0.407766990291262)</f>
        <v>0.4077669903</v>
      </c>
      <c r="N28" s="8">
        <f>IFERROR(__xludf.DUMMYFUNCTION("""COMPUTED_VALUE"""),0.401941747572815)</f>
        <v>0.4019417476</v>
      </c>
      <c r="O28" s="8">
        <f>IFERROR(__xludf.DUMMYFUNCTION("""COMPUTED_VALUE"""),0.395303326810176)</f>
        <v>0.3953033268</v>
      </c>
      <c r="P28" s="8">
        <f>IFERROR(__xludf.DUMMYFUNCTION("""COMPUTED_VALUE"""),0.287425149700598)</f>
        <v>0.2874251497</v>
      </c>
      <c r="Q28" s="8">
        <f>IFERROR(__xludf.DUMMYFUNCTION("""COMPUTED_VALUE"""),0.214285714285714)</f>
        <v>0.2142857143</v>
      </c>
      <c r="R28" s="8">
        <f>IFERROR(__xludf.DUMMYFUNCTION("""COMPUTED_VALUE"""),0.0)</f>
        <v>0</v>
      </c>
      <c r="S28" s="8">
        <f>IFERROR(__xludf.DUMMYFUNCTION("""COMPUTED_VALUE"""),0.0)</f>
        <v>0</v>
      </c>
      <c r="T28" s="8">
        <f>IFERROR(__xludf.DUMMYFUNCTION("""COMPUTED_VALUE"""),0.0)</f>
        <v>0</v>
      </c>
      <c r="U28" s="8">
        <f>IFERROR(__xludf.DUMMYFUNCTION("""COMPUTED_VALUE"""),0.0)</f>
        <v>0</v>
      </c>
      <c r="V28" s="8">
        <f>IFERROR(__xludf.DUMMYFUNCTION("""COMPUTED_VALUE"""),0.0)</f>
        <v>0</v>
      </c>
      <c r="W28" s="8">
        <f>IFERROR(__xludf.DUMMYFUNCTION("""COMPUTED_VALUE"""),0.0)</f>
        <v>0</v>
      </c>
      <c r="X28" s="8">
        <f>IFERROR(__xludf.DUMMYFUNCTION("""COMPUTED_VALUE"""),0.0)</f>
        <v>0</v>
      </c>
      <c r="Y28" s="8">
        <f>IFERROR(__xludf.DUMMYFUNCTION("""COMPUTED_VALUE"""),0.0)</f>
        <v>0</v>
      </c>
      <c r="Z28" s="8">
        <f>IFERROR(__xludf.DUMMYFUNCTION("""COMPUTED_VALUE"""),0.0)</f>
        <v>0</v>
      </c>
      <c r="AA28" s="8">
        <f>IFERROR(__xludf.DUMMYFUNCTION("""COMPUTED_VALUE"""),0.0)</f>
        <v>0</v>
      </c>
      <c r="AB28" s="8">
        <f>IFERROR(__xludf.DUMMYFUNCTION("""COMPUTED_VALUE"""),0.0)</f>
        <v>0</v>
      </c>
      <c r="AC28" s="8">
        <f>IFERROR(__xludf.DUMMYFUNCTION("""COMPUTED_VALUE"""),0.0)</f>
        <v>0</v>
      </c>
    </row>
    <row r="29" ht="15.75" customHeight="1">
      <c r="A29" s="6" t="str">
        <f>IFERROR(__xludf.DUMMYFUNCTION("""COMPUTED_VALUE"""),"1b7d7de6c90d2460cfe3da014469e3c056fec830")</f>
        <v>1b7d7de6c90d2460cfe3da014469e3c056fec830</v>
      </c>
      <c r="B29" s="6" t="str">
        <f>IFERROR(__xludf.DUMMYFUNCTION("""COMPUTED_VALUE"""),"The Ceo's Secret Babies")</f>
        <v>The Ceo's Secret Babies</v>
      </c>
      <c r="C29" s="6" t="str">
        <f>IFERROR(__xludf.DUMMYFUNCTION("""COMPUTED_VALUE"""),"Romance")</f>
        <v>Romance</v>
      </c>
      <c r="D29" s="11">
        <f>IFERROR(__xludf.DUMMYFUNCTION("""COMPUTED_VALUE"""),204.0)</f>
        <v>204</v>
      </c>
      <c r="E29" s="8">
        <f>IFERROR(__xludf.DUMMYFUNCTION("""COMPUTED_VALUE"""),0.915841584158415)</f>
        <v>0.9158415842</v>
      </c>
      <c r="F29" s="8">
        <f>IFERROR(__xludf.DUMMYFUNCTION("""COMPUTED_VALUE"""),0.676767676767676)</f>
        <v>0.6767676768</v>
      </c>
      <c r="G29" s="8">
        <f>IFERROR(__xludf.DUMMYFUNCTION("""COMPUTED_VALUE"""),0.576530612244898)</f>
        <v>0.5765306122</v>
      </c>
      <c r="H29" s="8">
        <f>IFERROR(__xludf.DUMMYFUNCTION("""COMPUTED_VALUE"""),0.578947368421052)</f>
        <v>0.5789473684</v>
      </c>
      <c r="I29" s="8">
        <f>IFERROR(__xludf.DUMMYFUNCTION("""COMPUTED_VALUE"""),0.582010582010582)</f>
        <v>0.582010582</v>
      </c>
      <c r="J29" s="8">
        <f>IFERROR(__xludf.DUMMYFUNCTION("""COMPUTED_VALUE"""),0.52127659574468)</f>
        <v>0.5212765957</v>
      </c>
      <c r="K29" s="8">
        <f>IFERROR(__xludf.DUMMYFUNCTION("""COMPUTED_VALUE"""),0.489247311827957)</f>
        <v>0.4892473118</v>
      </c>
      <c r="L29" s="8">
        <f>IFERROR(__xludf.DUMMYFUNCTION("""COMPUTED_VALUE"""),0.458100558659217)</f>
        <v>0.4581005587</v>
      </c>
      <c r="M29" s="8">
        <f>IFERROR(__xludf.DUMMYFUNCTION("""COMPUTED_VALUE"""),0.482758620689655)</f>
        <v>0.4827586207</v>
      </c>
      <c r="N29" s="8">
        <f>IFERROR(__xludf.DUMMYFUNCTION("""COMPUTED_VALUE"""),0.512345679012345)</f>
        <v>0.512345679</v>
      </c>
      <c r="O29" s="8">
        <f>IFERROR(__xludf.DUMMYFUNCTION("""COMPUTED_VALUE"""),0.4)</f>
        <v>0.4</v>
      </c>
      <c r="P29" s="8">
        <f>IFERROR(__xludf.DUMMYFUNCTION("""COMPUTED_VALUE"""),0.307142857142857)</f>
        <v>0.3071428571</v>
      </c>
      <c r="Q29" s="8">
        <f>IFERROR(__xludf.DUMMYFUNCTION("""COMPUTED_VALUE"""),0.122302158273381)</f>
        <v>0.1223021583</v>
      </c>
      <c r="R29" s="8">
        <f>IFERROR(__xludf.DUMMYFUNCTION("""COMPUTED_VALUE"""),0.0503597122302158)</f>
        <v>0.05035971223</v>
      </c>
      <c r="S29" s="8">
        <f>IFERROR(__xludf.DUMMYFUNCTION("""COMPUTED_VALUE"""),0.037037037037037)</f>
        <v>0.03703703704</v>
      </c>
      <c r="T29" s="8">
        <f>IFERROR(__xludf.DUMMYFUNCTION("""COMPUTED_VALUE"""),0.0)</f>
        <v>0</v>
      </c>
      <c r="U29" s="8">
        <f>IFERROR(__xludf.DUMMYFUNCTION("""COMPUTED_VALUE"""),0.0)</f>
        <v>0</v>
      </c>
      <c r="V29" s="8">
        <f>IFERROR(__xludf.DUMMYFUNCTION("""COMPUTED_VALUE"""),0.0)</f>
        <v>0</v>
      </c>
      <c r="W29" s="8">
        <f>IFERROR(__xludf.DUMMYFUNCTION("""COMPUTED_VALUE"""),0.0)</f>
        <v>0</v>
      </c>
      <c r="X29" s="8">
        <f>IFERROR(__xludf.DUMMYFUNCTION("""COMPUTED_VALUE"""),0.0)</f>
        <v>0</v>
      </c>
      <c r="Y29" s="8">
        <f>IFERROR(__xludf.DUMMYFUNCTION("""COMPUTED_VALUE"""),0.0)</f>
        <v>0</v>
      </c>
      <c r="Z29" s="8">
        <f>IFERROR(__xludf.DUMMYFUNCTION("""COMPUTED_VALUE"""),0.0)</f>
        <v>0</v>
      </c>
      <c r="AA29" s="8">
        <f>IFERROR(__xludf.DUMMYFUNCTION("""COMPUTED_VALUE"""),0.0)</f>
        <v>0</v>
      </c>
      <c r="AB29" s="8">
        <f>IFERROR(__xludf.DUMMYFUNCTION("""COMPUTED_VALUE"""),0.0)</f>
        <v>0</v>
      </c>
      <c r="AC29" s="8">
        <f>IFERROR(__xludf.DUMMYFUNCTION("""COMPUTED_VALUE"""),0.0)</f>
        <v>0</v>
      </c>
    </row>
    <row r="30" ht="15.75" customHeight="1">
      <c r="A30" s="6" t="str">
        <f>IFERROR(__xludf.DUMMYFUNCTION("""COMPUTED_VALUE"""),"1b7d89c237c133e6c5b15db13e684c2e1f3688e1")</f>
        <v>1b7d89c237c133e6c5b15db13e684c2e1f3688e1</v>
      </c>
      <c r="B30" s="6" t="str">
        <f>IFERROR(__xludf.DUMMYFUNCTION("""COMPUTED_VALUE"""),"War God of the Red Sea!")</f>
        <v>War God of the Red Sea!</v>
      </c>
      <c r="C30" s="6" t="str">
        <f>IFERROR(__xludf.DUMMYFUNCTION("""COMPUTED_VALUE"""),"Drama")</f>
        <v>Drama</v>
      </c>
      <c r="D30" s="11">
        <f>IFERROR(__xludf.DUMMYFUNCTION("""COMPUTED_VALUE"""),379.0)</f>
        <v>379</v>
      </c>
      <c r="E30" s="8">
        <f>IFERROR(__xludf.DUMMYFUNCTION("""COMPUTED_VALUE"""),0.978082191780821)</f>
        <v>0.9780821918</v>
      </c>
      <c r="F30" s="8">
        <f>IFERROR(__xludf.DUMMYFUNCTION("""COMPUTED_VALUE"""),0.522796352583586)</f>
        <v>0.5227963526</v>
      </c>
      <c r="G30" s="8">
        <f>IFERROR(__xludf.DUMMYFUNCTION("""COMPUTED_VALUE"""),0.401993355481727)</f>
        <v>0.4019933555</v>
      </c>
      <c r="H30" s="8">
        <f>IFERROR(__xludf.DUMMYFUNCTION("""COMPUTED_VALUE"""),0.337349397590361)</f>
        <v>0.3373493976</v>
      </c>
      <c r="I30" s="8">
        <f>IFERROR(__xludf.DUMMYFUNCTION("""COMPUTED_VALUE"""),0.295833333333333)</f>
        <v>0.2958333333</v>
      </c>
      <c r="J30" s="8">
        <f>IFERROR(__xludf.DUMMYFUNCTION("""COMPUTED_VALUE"""),0.27038626609442)</f>
        <v>0.2703862661</v>
      </c>
      <c r="K30" s="8">
        <f>IFERROR(__xludf.DUMMYFUNCTION("""COMPUTED_VALUE"""),0.257641921397379)</f>
        <v>0.2576419214</v>
      </c>
      <c r="L30" s="8">
        <f>IFERROR(__xludf.DUMMYFUNCTION("""COMPUTED_VALUE"""),0.257894736842105)</f>
        <v>0.2578947368</v>
      </c>
      <c r="M30" s="8">
        <f>IFERROR(__xludf.DUMMYFUNCTION("""COMPUTED_VALUE"""),0.25625)</f>
        <v>0.25625</v>
      </c>
      <c r="N30" s="8">
        <f>IFERROR(__xludf.DUMMYFUNCTION("""COMPUTED_VALUE"""),0.267241379310344)</f>
        <v>0.2672413793</v>
      </c>
      <c r="O30" s="8">
        <f>IFERROR(__xludf.DUMMYFUNCTION("""COMPUTED_VALUE"""),0.203703703703703)</f>
        <v>0.2037037037</v>
      </c>
      <c r="P30" s="8">
        <f>IFERROR(__xludf.DUMMYFUNCTION("""COMPUTED_VALUE"""),0.176470588235294)</f>
        <v>0.1764705882</v>
      </c>
      <c r="Q30" s="8">
        <f>IFERROR(__xludf.DUMMYFUNCTION("""COMPUTED_VALUE"""),0.0)</f>
        <v>0</v>
      </c>
      <c r="R30" s="8">
        <f>IFERROR(__xludf.DUMMYFUNCTION("""COMPUTED_VALUE"""),0.0)</f>
        <v>0</v>
      </c>
      <c r="S30" s="8">
        <f>IFERROR(__xludf.DUMMYFUNCTION("""COMPUTED_VALUE"""),0.0)</f>
        <v>0</v>
      </c>
      <c r="T30" s="8">
        <f>IFERROR(__xludf.DUMMYFUNCTION("""COMPUTED_VALUE"""),0.0)</f>
        <v>0</v>
      </c>
      <c r="U30" s="8">
        <f>IFERROR(__xludf.DUMMYFUNCTION("""COMPUTED_VALUE"""),0.0)</f>
        <v>0</v>
      </c>
      <c r="V30" s="8">
        <f>IFERROR(__xludf.DUMMYFUNCTION("""COMPUTED_VALUE"""),0.0)</f>
        <v>0</v>
      </c>
      <c r="W30" s="8">
        <f>IFERROR(__xludf.DUMMYFUNCTION("""COMPUTED_VALUE"""),0.0)</f>
        <v>0</v>
      </c>
      <c r="X30" s="8">
        <f>IFERROR(__xludf.DUMMYFUNCTION("""COMPUTED_VALUE"""),0.0)</f>
        <v>0</v>
      </c>
      <c r="Y30" s="8">
        <f>IFERROR(__xludf.DUMMYFUNCTION("""COMPUTED_VALUE"""),0.0)</f>
        <v>0</v>
      </c>
      <c r="Z30" s="8">
        <f>IFERROR(__xludf.DUMMYFUNCTION("""COMPUTED_VALUE"""),0.0)</f>
        <v>0</v>
      </c>
      <c r="AA30" s="8">
        <f>IFERROR(__xludf.DUMMYFUNCTION("""COMPUTED_VALUE"""),0.0)</f>
        <v>0</v>
      </c>
      <c r="AB30" s="8">
        <f>IFERROR(__xludf.DUMMYFUNCTION("""COMPUTED_VALUE"""),0.0)</f>
        <v>0</v>
      </c>
      <c r="AC30" s="8">
        <f>IFERROR(__xludf.DUMMYFUNCTION("""COMPUTED_VALUE"""),0.0)</f>
        <v>0</v>
      </c>
    </row>
    <row r="31" ht="15.75" customHeight="1">
      <c r="A31" s="6" t="str">
        <f>IFERROR(__xludf.DUMMYFUNCTION("""COMPUTED_VALUE"""),"1c56eb2cce6609cb207d235ae3464f7759d4cb84")</f>
        <v>1c56eb2cce6609cb207d235ae3464f7759d4cb84</v>
      </c>
      <c r="B31" s="6" t="str">
        <f>IFERROR(__xludf.DUMMYFUNCTION("""COMPUTED_VALUE"""),"Rage of the Heiress")</f>
        <v>Rage of the Heiress</v>
      </c>
      <c r="C31" s="6" t="str">
        <f>IFERROR(__xludf.DUMMYFUNCTION("""COMPUTED_VALUE"""),"Drama")</f>
        <v>Drama</v>
      </c>
      <c r="D31" s="11">
        <f>IFERROR(__xludf.DUMMYFUNCTION("""COMPUTED_VALUE"""),1644.0)</f>
        <v>1644</v>
      </c>
      <c r="E31" s="8">
        <f>IFERROR(__xludf.DUMMYFUNCTION("""COMPUTED_VALUE"""),0.949816401468788)</f>
        <v>0.9498164015</v>
      </c>
      <c r="F31" s="8">
        <f>IFERROR(__xludf.DUMMYFUNCTION("""COMPUTED_VALUE"""),0.610486891385767)</f>
        <v>0.6104868914</v>
      </c>
      <c r="G31" s="8">
        <f>IFERROR(__xludf.DUMMYFUNCTION("""COMPUTED_VALUE"""),0.597460317460317)</f>
        <v>0.5974603175</v>
      </c>
      <c r="H31" s="8">
        <f>IFERROR(__xludf.DUMMYFUNCTION("""COMPUTED_VALUE"""),0.562169312169312)</f>
        <v>0.5621693122</v>
      </c>
      <c r="I31" s="8">
        <f>IFERROR(__xludf.DUMMYFUNCTION("""COMPUTED_VALUE"""),0.548887390424814)</f>
        <v>0.5488873904</v>
      </c>
      <c r="J31" s="8">
        <f>IFERROR(__xludf.DUMMYFUNCTION("""COMPUTED_VALUE"""),0.541963015647226)</f>
        <v>0.5419630156</v>
      </c>
      <c r="K31" s="8">
        <f>IFERROR(__xludf.DUMMYFUNCTION("""COMPUTED_VALUE"""),0.518572469045884)</f>
        <v>0.518572469</v>
      </c>
      <c r="L31" s="8">
        <f>IFERROR(__xludf.DUMMYFUNCTION("""COMPUTED_VALUE"""),0.497674418604651)</f>
        <v>0.4976744186</v>
      </c>
      <c r="M31" s="8">
        <f>IFERROR(__xludf.DUMMYFUNCTION("""COMPUTED_VALUE"""),0.4832)</f>
        <v>0.4832</v>
      </c>
      <c r="N31" s="8">
        <f>IFERROR(__xludf.DUMMYFUNCTION("""COMPUTED_VALUE"""),0.476923076923076)</f>
        <v>0.4769230769</v>
      </c>
      <c r="O31" s="8">
        <f>IFERROR(__xludf.DUMMYFUNCTION("""COMPUTED_VALUE"""),0.499493414387031)</f>
        <v>0.4994934144</v>
      </c>
      <c r="P31" s="8">
        <f>IFERROR(__xludf.DUMMYFUNCTION("""COMPUTED_VALUE"""),0.386973180076628)</f>
        <v>0.3869731801</v>
      </c>
      <c r="Q31" s="8">
        <f>IFERROR(__xludf.DUMMYFUNCTION("""COMPUTED_VALUE"""),0.307219662058371)</f>
        <v>0.3072196621</v>
      </c>
      <c r="R31" s="8">
        <f>IFERROR(__xludf.DUMMYFUNCTION("""COMPUTED_VALUE"""),0.26782884310618)</f>
        <v>0.2678288431</v>
      </c>
      <c r="S31" s="8">
        <f>IFERROR(__xludf.DUMMYFUNCTION("""COMPUTED_VALUE"""),0.246753246753246)</f>
        <v>0.2467532468</v>
      </c>
      <c r="T31" s="8">
        <f>IFERROR(__xludf.DUMMYFUNCTION("""COMPUTED_VALUE"""),0.212585034013605)</f>
        <v>0.212585034</v>
      </c>
      <c r="U31" s="8">
        <f>IFERROR(__xludf.DUMMYFUNCTION("""COMPUTED_VALUE"""),0.176678445229681)</f>
        <v>0.1766784452</v>
      </c>
      <c r="V31" s="8">
        <f>IFERROR(__xludf.DUMMYFUNCTION("""COMPUTED_VALUE"""),0.156934306569343)</f>
        <v>0.1569343066</v>
      </c>
      <c r="W31" s="8">
        <f>IFERROR(__xludf.DUMMYFUNCTION("""COMPUTED_VALUE"""),0.109090909090909)</f>
        <v>0.1090909091</v>
      </c>
      <c r="X31" s="8">
        <f>IFERROR(__xludf.DUMMYFUNCTION("""COMPUTED_VALUE"""),0.0)</f>
        <v>0</v>
      </c>
      <c r="Y31" s="8">
        <f>IFERROR(__xludf.DUMMYFUNCTION("""COMPUTED_VALUE"""),0.0)</f>
        <v>0</v>
      </c>
      <c r="Z31" s="8">
        <f>IFERROR(__xludf.DUMMYFUNCTION("""COMPUTED_VALUE"""),0.0)</f>
        <v>0</v>
      </c>
      <c r="AA31" s="8">
        <f>IFERROR(__xludf.DUMMYFUNCTION("""COMPUTED_VALUE"""),0.0)</f>
        <v>0</v>
      </c>
      <c r="AB31" s="8">
        <f>IFERROR(__xludf.DUMMYFUNCTION("""COMPUTED_VALUE"""),0.0)</f>
        <v>0</v>
      </c>
      <c r="AC31" s="8">
        <f>IFERROR(__xludf.DUMMYFUNCTION("""COMPUTED_VALUE"""),0.0)</f>
        <v>0</v>
      </c>
    </row>
    <row r="32" ht="15.75" customHeight="1">
      <c r="A32" s="6" t="str">
        <f>IFERROR(__xludf.DUMMYFUNCTION("""COMPUTED_VALUE"""),"1ca4f3c3b8e200f37ec14ed7a11442df6a65f4e6")</f>
        <v>1ca4f3c3b8e200f37ec14ed7a11442df6a65f4e6</v>
      </c>
      <c r="B32" s="6" t="str">
        <f>IFERROR(__xludf.DUMMYFUNCTION("""COMPUTED_VALUE"""),"Unstoppable Cultivator")</f>
        <v>Unstoppable Cultivator</v>
      </c>
      <c r="C32" s="6" t="str">
        <f>IFERROR(__xludf.DUMMYFUNCTION("""COMPUTED_VALUE"""),"Fantasy")</f>
        <v>Fantasy</v>
      </c>
      <c r="D32" s="11">
        <f>IFERROR(__xludf.DUMMYFUNCTION("""COMPUTED_VALUE"""),520.0)</f>
        <v>520</v>
      </c>
      <c r="E32" s="8">
        <f>IFERROR(__xludf.DUMMYFUNCTION("""COMPUTED_VALUE"""),0.97678916827853)</f>
        <v>0.9767891683</v>
      </c>
      <c r="F32" s="8">
        <f>IFERROR(__xludf.DUMMYFUNCTION("""COMPUTED_VALUE"""),0.436046511627907)</f>
        <v>0.4360465116</v>
      </c>
      <c r="G32" s="8">
        <f>IFERROR(__xludf.DUMMYFUNCTION("""COMPUTED_VALUE"""),0.37984496124031)</f>
        <v>0.3798449612</v>
      </c>
      <c r="H32" s="8">
        <f>IFERROR(__xludf.DUMMYFUNCTION("""COMPUTED_VALUE"""),0.342412451361867)</f>
        <v>0.3424124514</v>
      </c>
      <c r="I32" s="8">
        <f>IFERROR(__xludf.DUMMYFUNCTION("""COMPUTED_VALUE"""),0.319688109161793)</f>
        <v>0.3196881092</v>
      </c>
      <c r="J32" s="8">
        <f>IFERROR(__xludf.DUMMYFUNCTION("""COMPUTED_VALUE"""),0.287109375)</f>
        <v>0.287109375</v>
      </c>
      <c r="K32" s="8">
        <f>IFERROR(__xludf.DUMMYFUNCTION("""COMPUTED_VALUE"""),0.275929549902152)</f>
        <v>0.2759295499</v>
      </c>
      <c r="L32" s="8">
        <f>IFERROR(__xludf.DUMMYFUNCTION("""COMPUTED_VALUE"""),0.264705882352941)</f>
        <v>0.2647058824</v>
      </c>
      <c r="M32" s="8">
        <f>IFERROR(__xludf.DUMMYFUNCTION("""COMPUTED_VALUE"""),0.24950884086444)</f>
        <v>0.2495088409</v>
      </c>
      <c r="N32" s="8">
        <f>IFERROR(__xludf.DUMMYFUNCTION("""COMPUTED_VALUE"""),0.23076923076923)</f>
        <v>0.2307692308</v>
      </c>
      <c r="O32" s="8">
        <f>IFERROR(__xludf.DUMMYFUNCTION("""COMPUTED_VALUE"""),0.200803212851405)</f>
        <v>0.2008032129</v>
      </c>
      <c r="P32" s="8">
        <f>IFERROR(__xludf.DUMMYFUNCTION("""COMPUTED_VALUE"""),0.210526315789473)</f>
        <v>0.2105263158</v>
      </c>
      <c r="Q32" s="8">
        <f>IFERROR(__xludf.DUMMYFUNCTION("""COMPUTED_VALUE"""),0.23076923076923)</f>
        <v>0.2307692308</v>
      </c>
      <c r="R32" s="8">
        <f>IFERROR(__xludf.DUMMYFUNCTION("""COMPUTED_VALUE"""),0.333333333333333)</f>
        <v>0.3333333333</v>
      </c>
      <c r="S32" s="8">
        <f>IFERROR(__xludf.DUMMYFUNCTION("""COMPUTED_VALUE"""),0.0)</f>
        <v>0</v>
      </c>
      <c r="T32" s="8">
        <f>IFERROR(__xludf.DUMMYFUNCTION("""COMPUTED_VALUE"""),0.0)</f>
        <v>0</v>
      </c>
      <c r="U32" s="8">
        <f>IFERROR(__xludf.DUMMYFUNCTION("""COMPUTED_VALUE"""),0.0)</f>
        <v>0</v>
      </c>
      <c r="V32" s="8">
        <f>IFERROR(__xludf.DUMMYFUNCTION("""COMPUTED_VALUE"""),0.0)</f>
        <v>0</v>
      </c>
      <c r="W32" s="8">
        <f>IFERROR(__xludf.DUMMYFUNCTION("""COMPUTED_VALUE"""),0.0)</f>
        <v>0</v>
      </c>
      <c r="X32" s="8">
        <f>IFERROR(__xludf.DUMMYFUNCTION("""COMPUTED_VALUE"""),0.0)</f>
        <v>0</v>
      </c>
      <c r="Y32" s="8">
        <f>IFERROR(__xludf.DUMMYFUNCTION("""COMPUTED_VALUE"""),0.0)</f>
        <v>0</v>
      </c>
      <c r="Z32" s="8">
        <f>IFERROR(__xludf.DUMMYFUNCTION("""COMPUTED_VALUE"""),0.0)</f>
        <v>0</v>
      </c>
      <c r="AA32" s="8">
        <f>IFERROR(__xludf.DUMMYFUNCTION("""COMPUTED_VALUE"""),0.0)</f>
        <v>0</v>
      </c>
      <c r="AB32" s="8">
        <f>IFERROR(__xludf.DUMMYFUNCTION("""COMPUTED_VALUE"""),0.0)</f>
        <v>0</v>
      </c>
      <c r="AC32" s="8">
        <f>IFERROR(__xludf.DUMMYFUNCTION("""COMPUTED_VALUE"""),0.0)</f>
        <v>0</v>
      </c>
    </row>
    <row r="33" ht="15.75" customHeight="1">
      <c r="A33" s="6" t="str">
        <f>IFERROR(__xludf.DUMMYFUNCTION("""COMPUTED_VALUE"""),"1d8b1f39e146ede1f7528763445a7a47aad10b05")</f>
        <v>1d8b1f39e146ede1f7528763445a7a47aad10b05</v>
      </c>
      <c r="B33" s="6" t="str">
        <f>IFERROR(__xludf.DUMMYFUNCTION("""COMPUTED_VALUE"""),"Love and Heartbroken")</f>
        <v>Love and Heartbroken</v>
      </c>
      <c r="C33" s="6" t="str">
        <f>IFERROR(__xludf.DUMMYFUNCTION("""COMPUTED_VALUE"""),"System and Superpower")</f>
        <v>System and Superpower</v>
      </c>
      <c r="D33" s="11">
        <f>IFERROR(__xludf.DUMMYFUNCTION("""COMPUTED_VALUE"""),568.0)</f>
        <v>568</v>
      </c>
      <c r="E33" s="8">
        <f>IFERROR(__xludf.DUMMYFUNCTION("""COMPUTED_VALUE"""),0.984154929577464)</f>
        <v>0.9841549296</v>
      </c>
      <c r="F33" s="8">
        <f>IFERROR(__xludf.DUMMYFUNCTION("""COMPUTED_VALUE"""),0.551056338028169)</f>
        <v>0.551056338</v>
      </c>
      <c r="G33" s="8">
        <f>IFERROR(__xludf.DUMMYFUNCTION("""COMPUTED_VALUE"""),0.508802816901408)</f>
        <v>0.5088028169</v>
      </c>
      <c r="H33" s="8">
        <f>IFERROR(__xludf.DUMMYFUNCTION("""COMPUTED_VALUE"""),0.45679012345679)</f>
        <v>0.4567901235</v>
      </c>
      <c r="I33" s="8">
        <f>IFERROR(__xludf.DUMMYFUNCTION("""COMPUTED_VALUE"""),0.416961130742049)</f>
        <v>0.4169611307</v>
      </c>
      <c r="J33" s="8">
        <f>IFERROR(__xludf.DUMMYFUNCTION("""COMPUTED_VALUE"""),0.365724381625441)</f>
        <v>0.3657243816</v>
      </c>
      <c r="K33" s="8">
        <f>IFERROR(__xludf.DUMMYFUNCTION("""COMPUTED_VALUE"""),0.344522968197879)</f>
        <v>0.3445229682</v>
      </c>
      <c r="L33" s="8">
        <f>IFERROR(__xludf.DUMMYFUNCTION("""COMPUTED_VALUE"""),0.300353356890459)</f>
        <v>0.3003533569</v>
      </c>
      <c r="M33" s="8">
        <f>IFERROR(__xludf.DUMMYFUNCTION("""COMPUTED_VALUE"""),0.275618374558303)</f>
        <v>0.2756183746</v>
      </c>
      <c r="N33" s="8">
        <f>IFERROR(__xludf.DUMMYFUNCTION("""COMPUTED_VALUE"""),0.227915194346289)</f>
        <v>0.2279151943</v>
      </c>
      <c r="O33" s="8">
        <f>IFERROR(__xludf.DUMMYFUNCTION("""COMPUTED_VALUE"""),0.158964879852125)</f>
        <v>0.1589648799</v>
      </c>
      <c r="P33" s="8">
        <f>IFERROR(__xludf.DUMMYFUNCTION("""COMPUTED_VALUE"""),0.0899795501022494)</f>
        <v>0.0899795501</v>
      </c>
      <c r="Q33" s="8">
        <f>IFERROR(__xludf.DUMMYFUNCTION("""COMPUTED_VALUE"""),0.0527472527472527)</f>
        <v>0.05274725275</v>
      </c>
      <c r="R33" s="8">
        <f>IFERROR(__xludf.DUMMYFUNCTION("""COMPUTED_VALUE"""),0.0176991150442477)</f>
        <v>0.01769911504</v>
      </c>
      <c r="S33" s="8">
        <f>IFERROR(__xludf.DUMMYFUNCTION("""COMPUTED_VALUE"""),0.0149253731343283)</f>
        <v>0.01492537313</v>
      </c>
      <c r="T33" s="8">
        <f>IFERROR(__xludf.DUMMYFUNCTION("""COMPUTED_VALUE"""),0.0)</f>
        <v>0</v>
      </c>
      <c r="U33" s="8">
        <f>IFERROR(__xludf.DUMMYFUNCTION("""COMPUTED_VALUE"""),0.0)</f>
        <v>0</v>
      </c>
      <c r="V33" s="8">
        <f>IFERROR(__xludf.DUMMYFUNCTION("""COMPUTED_VALUE"""),0.0)</f>
        <v>0</v>
      </c>
      <c r="W33" s="8">
        <f>IFERROR(__xludf.DUMMYFUNCTION("""COMPUTED_VALUE"""),0.0)</f>
        <v>0</v>
      </c>
      <c r="X33" s="8">
        <f>IFERROR(__xludf.DUMMYFUNCTION("""COMPUTED_VALUE"""),0.0)</f>
        <v>0</v>
      </c>
      <c r="Y33" s="8">
        <f>IFERROR(__xludf.DUMMYFUNCTION("""COMPUTED_VALUE"""),0.0)</f>
        <v>0</v>
      </c>
      <c r="Z33" s="8">
        <f>IFERROR(__xludf.DUMMYFUNCTION("""COMPUTED_VALUE"""),0.0)</f>
        <v>0</v>
      </c>
      <c r="AA33" s="8">
        <f>IFERROR(__xludf.DUMMYFUNCTION("""COMPUTED_VALUE"""),0.0)</f>
        <v>0</v>
      </c>
      <c r="AB33" s="8">
        <f>IFERROR(__xludf.DUMMYFUNCTION("""COMPUTED_VALUE"""),0.0)</f>
        <v>0</v>
      </c>
      <c r="AC33" s="8">
        <f>IFERROR(__xludf.DUMMYFUNCTION("""COMPUTED_VALUE"""),0.0)</f>
        <v>0</v>
      </c>
    </row>
    <row r="34" ht="15.75" customHeight="1">
      <c r="A34" s="6" t="str">
        <f>IFERROR(__xludf.DUMMYFUNCTION("""COMPUTED_VALUE"""),"1e1205d9e93348005e7eb4b2e071c8c63b7914ca")</f>
        <v>1e1205d9e93348005e7eb4b2e071c8c63b7914ca</v>
      </c>
      <c r="B34" s="6" t="str">
        <f>IFERROR(__xludf.DUMMYFUNCTION("""COMPUTED_VALUE"""),"The Heart's Captive")</f>
        <v>The Heart's Captive</v>
      </c>
      <c r="C34" s="6" t="str">
        <f>IFERROR(__xludf.DUMMYFUNCTION("""COMPUTED_VALUE"""),"Romantasy")</f>
        <v>Romantasy</v>
      </c>
      <c r="D34" s="11">
        <f>IFERROR(__xludf.DUMMYFUNCTION("""COMPUTED_VALUE"""),58.0)</f>
        <v>58</v>
      </c>
      <c r="E34" s="8">
        <f>IFERROR(__xludf.DUMMYFUNCTION("""COMPUTED_VALUE"""),0.93103448275862)</f>
        <v>0.9310344828</v>
      </c>
      <c r="F34" s="8">
        <f>IFERROR(__xludf.DUMMYFUNCTION("""COMPUTED_VALUE"""),0.5)</f>
        <v>0.5</v>
      </c>
      <c r="G34" s="8">
        <f>IFERROR(__xludf.DUMMYFUNCTION("""COMPUTED_VALUE"""),0.448275862068965)</f>
        <v>0.4482758621</v>
      </c>
      <c r="H34" s="8">
        <f>IFERROR(__xludf.DUMMYFUNCTION("""COMPUTED_VALUE"""),0.482758620689655)</f>
        <v>0.4827586207</v>
      </c>
      <c r="I34" s="8">
        <f>IFERROR(__xludf.DUMMYFUNCTION("""COMPUTED_VALUE"""),0.43103448275862)</f>
        <v>0.4310344828</v>
      </c>
      <c r="J34" s="8">
        <f>IFERROR(__xludf.DUMMYFUNCTION("""COMPUTED_VALUE"""),0.46551724137931)</f>
        <v>0.4655172414</v>
      </c>
      <c r="K34" s="8">
        <f>IFERROR(__xludf.DUMMYFUNCTION("""COMPUTED_VALUE"""),0.421052631578947)</f>
        <v>0.4210526316</v>
      </c>
      <c r="L34" s="8">
        <f>IFERROR(__xludf.DUMMYFUNCTION("""COMPUTED_VALUE"""),0.491228070175438)</f>
        <v>0.4912280702</v>
      </c>
      <c r="M34" s="8">
        <f>IFERROR(__xludf.DUMMYFUNCTION("""COMPUTED_VALUE"""),0.456140350877192)</f>
        <v>0.4561403509</v>
      </c>
      <c r="N34" s="8">
        <f>IFERROR(__xludf.DUMMYFUNCTION("""COMPUTED_VALUE"""),0.491228070175438)</f>
        <v>0.4912280702</v>
      </c>
      <c r="O34" s="8">
        <f>IFERROR(__xludf.DUMMYFUNCTION("""COMPUTED_VALUE"""),0.456140350877192)</f>
        <v>0.4561403509</v>
      </c>
      <c r="P34" s="8">
        <f>IFERROR(__xludf.DUMMYFUNCTION("""COMPUTED_VALUE"""),0.228070175438596)</f>
        <v>0.2280701754</v>
      </c>
      <c r="Q34" s="8">
        <f>IFERROR(__xludf.DUMMYFUNCTION("""COMPUTED_VALUE"""),0.0526315789473684)</f>
        <v>0.05263157895</v>
      </c>
      <c r="R34" s="8">
        <f>IFERROR(__xludf.DUMMYFUNCTION("""COMPUTED_VALUE"""),0.0)</f>
        <v>0</v>
      </c>
      <c r="S34" s="8">
        <f>IFERROR(__xludf.DUMMYFUNCTION("""COMPUTED_VALUE"""),0.0)</f>
        <v>0</v>
      </c>
      <c r="T34" s="8">
        <f>IFERROR(__xludf.DUMMYFUNCTION("""COMPUTED_VALUE"""),0.0)</f>
        <v>0</v>
      </c>
      <c r="U34" s="8">
        <f>IFERROR(__xludf.DUMMYFUNCTION("""COMPUTED_VALUE"""),0.0)</f>
        <v>0</v>
      </c>
      <c r="V34" s="8">
        <f>IFERROR(__xludf.DUMMYFUNCTION("""COMPUTED_VALUE"""),0.0)</f>
        <v>0</v>
      </c>
      <c r="W34" s="8">
        <f>IFERROR(__xludf.DUMMYFUNCTION("""COMPUTED_VALUE"""),0.0)</f>
        <v>0</v>
      </c>
      <c r="X34" s="8">
        <f>IFERROR(__xludf.DUMMYFUNCTION("""COMPUTED_VALUE"""),0.0)</f>
        <v>0</v>
      </c>
      <c r="Y34" s="8">
        <f>IFERROR(__xludf.DUMMYFUNCTION("""COMPUTED_VALUE"""),0.0)</f>
        <v>0</v>
      </c>
      <c r="Z34" s="8">
        <f>IFERROR(__xludf.DUMMYFUNCTION("""COMPUTED_VALUE"""),0.0)</f>
        <v>0</v>
      </c>
      <c r="AA34" s="8">
        <f>IFERROR(__xludf.DUMMYFUNCTION("""COMPUTED_VALUE"""),0.0)</f>
        <v>0</v>
      </c>
      <c r="AB34" s="8">
        <f>IFERROR(__xludf.DUMMYFUNCTION("""COMPUTED_VALUE"""),0.0)</f>
        <v>0</v>
      </c>
      <c r="AC34" s="8">
        <f>IFERROR(__xludf.DUMMYFUNCTION("""COMPUTED_VALUE"""),0.0)</f>
        <v>0</v>
      </c>
    </row>
    <row r="35" ht="15.75" customHeight="1">
      <c r="A35" s="6" t="str">
        <f>IFERROR(__xludf.DUMMYFUNCTION("""COMPUTED_VALUE"""),"1e2b4197fd4a9f595c560bc8d4530339758b031a")</f>
        <v>1e2b4197fd4a9f595c560bc8d4530339758b031a</v>
      </c>
      <c r="B35" s="6" t="str">
        <f>IFERROR(__xludf.DUMMYFUNCTION("""COMPUTED_VALUE"""),"Becoming Garrison Green")</f>
        <v>Becoming Garrison Green</v>
      </c>
      <c r="C35" s="6" t="str">
        <f>IFERROR(__xludf.DUMMYFUNCTION("""COMPUTED_VALUE"""),"Drama")</f>
        <v>Drama</v>
      </c>
      <c r="D35" s="11">
        <f>IFERROR(__xludf.DUMMYFUNCTION("""COMPUTED_VALUE"""),980.0)</f>
        <v>980</v>
      </c>
      <c r="E35" s="8">
        <f>IFERROR(__xludf.DUMMYFUNCTION("""COMPUTED_VALUE"""),0.966326530612244)</f>
        <v>0.9663265306</v>
      </c>
      <c r="F35" s="8">
        <f>IFERROR(__xludf.DUMMYFUNCTION("""COMPUTED_VALUE"""),0.603061224489795)</f>
        <v>0.6030612245</v>
      </c>
      <c r="G35" s="8">
        <f>IFERROR(__xludf.DUMMYFUNCTION("""COMPUTED_VALUE"""),0.578571428571428)</f>
        <v>0.5785714286</v>
      </c>
      <c r="H35" s="8">
        <f>IFERROR(__xludf.DUMMYFUNCTION("""COMPUTED_VALUE"""),0.551583248212461)</f>
        <v>0.5515832482</v>
      </c>
      <c r="I35" s="8">
        <f>IFERROR(__xludf.DUMMYFUNCTION("""COMPUTED_VALUE"""),0.524004085801838)</f>
        <v>0.5240040858</v>
      </c>
      <c r="J35" s="8">
        <f>IFERROR(__xludf.DUMMYFUNCTION("""COMPUTED_VALUE"""),0.5)</f>
        <v>0.5</v>
      </c>
      <c r="K35" s="8">
        <f>IFERROR(__xludf.DUMMYFUNCTION("""COMPUTED_VALUE"""),0.470347648261758)</f>
        <v>0.4703476483</v>
      </c>
      <c r="L35" s="8">
        <f>IFERROR(__xludf.DUMMYFUNCTION("""COMPUTED_VALUE"""),0.446264073694984)</f>
        <v>0.4462640737</v>
      </c>
      <c r="M35" s="8">
        <f>IFERROR(__xludf.DUMMYFUNCTION("""COMPUTED_VALUE"""),0.432958034800409)</f>
        <v>0.4329580348</v>
      </c>
      <c r="N35" s="8">
        <f>IFERROR(__xludf.DUMMYFUNCTION("""COMPUTED_VALUE"""),0.415557830092118)</f>
        <v>0.4155578301</v>
      </c>
      <c r="O35" s="8">
        <f>IFERROR(__xludf.DUMMYFUNCTION("""COMPUTED_VALUE"""),0.371458551941238)</f>
        <v>0.3714585519</v>
      </c>
      <c r="P35" s="8">
        <f>IFERROR(__xludf.DUMMYFUNCTION("""COMPUTED_VALUE"""),0.281002638522427)</f>
        <v>0.2810026385</v>
      </c>
      <c r="Q35" s="8">
        <f>IFERROR(__xludf.DUMMYFUNCTION("""COMPUTED_VALUE"""),0.194117647058823)</f>
        <v>0.1941176471</v>
      </c>
      <c r="R35" s="8">
        <f>IFERROR(__xludf.DUMMYFUNCTION("""COMPUTED_VALUE"""),0.277777777777777)</f>
        <v>0.2777777778</v>
      </c>
      <c r="S35" s="8">
        <f>IFERROR(__xludf.DUMMYFUNCTION("""COMPUTED_VALUE"""),0.0)</f>
        <v>0</v>
      </c>
      <c r="T35" s="8">
        <f>IFERROR(__xludf.DUMMYFUNCTION("""COMPUTED_VALUE"""),0.0)</f>
        <v>0</v>
      </c>
      <c r="U35" s="8">
        <f>IFERROR(__xludf.DUMMYFUNCTION("""COMPUTED_VALUE"""),0.0)</f>
        <v>0</v>
      </c>
      <c r="V35" s="8">
        <f>IFERROR(__xludf.DUMMYFUNCTION("""COMPUTED_VALUE"""),0.0)</f>
        <v>0</v>
      </c>
      <c r="W35" s="8">
        <f>IFERROR(__xludf.DUMMYFUNCTION("""COMPUTED_VALUE"""),0.0)</f>
        <v>0</v>
      </c>
      <c r="X35" s="8">
        <f>IFERROR(__xludf.DUMMYFUNCTION("""COMPUTED_VALUE"""),0.0)</f>
        <v>0</v>
      </c>
      <c r="Y35" s="8">
        <f>IFERROR(__xludf.DUMMYFUNCTION("""COMPUTED_VALUE"""),0.0)</f>
        <v>0</v>
      </c>
      <c r="Z35" s="8">
        <f>IFERROR(__xludf.DUMMYFUNCTION("""COMPUTED_VALUE"""),0.0)</f>
        <v>0</v>
      </c>
      <c r="AA35" s="8">
        <f>IFERROR(__xludf.DUMMYFUNCTION("""COMPUTED_VALUE"""),0.0)</f>
        <v>0</v>
      </c>
      <c r="AB35" s="8">
        <f>IFERROR(__xludf.DUMMYFUNCTION("""COMPUTED_VALUE"""),0.0)</f>
        <v>0</v>
      </c>
      <c r="AC35" s="8">
        <f>IFERROR(__xludf.DUMMYFUNCTION("""COMPUTED_VALUE"""),0.0)</f>
        <v>0</v>
      </c>
    </row>
    <row r="36" ht="15.75" customHeight="1">
      <c r="A36" s="6" t="str">
        <f>IFERROR(__xludf.DUMMYFUNCTION("""COMPUTED_VALUE"""),"1e8c33b5d824973efcdca4b5194f961aed4ba258")</f>
        <v>1e8c33b5d824973efcdca4b5194f961aed4ba258</v>
      </c>
      <c r="B36" s="6" t="str">
        <f>IFERROR(__xludf.DUMMYFUNCTION("""COMPUTED_VALUE"""),"Mafia's Reluctant Bride")</f>
        <v>Mafia's Reluctant Bride</v>
      </c>
      <c r="C36" s="6" t="str">
        <f>IFERROR(__xludf.DUMMYFUNCTION("""COMPUTED_VALUE"""),"Romance")</f>
        <v>Romance</v>
      </c>
      <c r="D36" s="11">
        <f>IFERROR(__xludf.DUMMYFUNCTION("""COMPUTED_VALUE"""),737.0)</f>
        <v>737</v>
      </c>
      <c r="E36" s="8">
        <f>IFERROR(__xludf.DUMMYFUNCTION("""COMPUTED_VALUE"""),0.980683506686478)</f>
        <v>0.9806835067</v>
      </c>
      <c r="F36" s="8">
        <f>IFERROR(__xludf.DUMMYFUNCTION("""COMPUTED_VALUE"""),0.551789077212806)</f>
        <v>0.5517890772</v>
      </c>
      <c r="G36" s="8">
        <f>IFERROR(__xludf.DUMMYFUNCTION("""COMPUTED_VALUE"""),0.491124260355029)</f>
        <v>0.4911242604</v>
      </c>
      <c r="H36" s="8">
        <f>IFERROR(__xludf.DUMMYFUNCTION("""COMPUTED_VALUE"""),0.451965065502183)</f>
        <v>0.4519650655</v>
      </c>
      <c r="I36" s="8">
        <f>IFERROR(__xludf.DUMMYFUNCTION("""COMPUTED_VALUE"""),0.407079646017699)</f>
        <v>0.407079646</v>
      </c>
      <c r="J36" s="8">
        <f>IFERROR(__xludf.DUMMYFUNCTION("""COMPUTED_VALUE"""),0.356009070294784)</f>
        <v>0.3560090703</v>
      </c>
      <c r="K36" s="8">
        <f>IFERROR(__xludf.DUMMYFUNCTION("""COMPUTED_VALUE"""),0.335664335664335)</f>
        <v>0.3356643357</v>
      </c>
      <c r="L36" s="8">
        <f>IFERROR(__xludf.DUMMYFUNCTION("""COMPUTED_VALUE"""),0.318407960199004)</f>
        <v>0.3184079602</v>
      </c>
      <c r="M36" s="8">
        <f>IFERROR(__xludf.DUMMYFUNCTION("""COMPUTED_VALUE"""),0.299168975069252)</f>
        <v>0.2991689751</v>
      </c>
      <c r="N36" s="8">
        <f>IFERROR(__xludf.DUMMYFUNCTION("""COMPUTED_VALUE"""),0.297872340425531)</f>
        <v>0.2978723404</v>
      </c>
      <c r="O36" s="8">
        <f>IFERROR(__xludf.DUMMYFUNCTION("""COMPUTED_VALUE"""),0.278195488721804)</f>
        <v>0.2781954887</v>
      </c>
      <c r="P36" s="8">
        <f>IFERROR(__xludf.DUMMYFUNCTION("""COMPUTED_VALUE"""),0.148148148148148)</f>
        <v>0.1481481481</v>
      </c>
      <c r="Q36" s="8">
        <f>IFERROR(__xludf.DUMMYFUNCTION("""COMPUTED_VALUE"""),0.0)</f>
        <v>0</v>
      </c>
      <c r="R36" s="8">
        <f>IFERROR(__xludf.DUMMYFUNCTION("""COMPUTED_VALUE"""),0.0)</f>
        <v>0</v>
      </c>
      <c r="S36" s="8">
        <f>IFERROR(__xludf.DUMMYFUNCTION("""COMPUTED_VALUE"""),0.0)</f>
        <v>0</v>
      </c>
      <c r="T36" s="8">
        <f>IFERROR(__xludf.DUMMYFUNCTION("""COMPUTED_VALUE"""),0.0)</f>
        <v>0</v>
      </c>
      <c r="U36" s="8">
        <f>IFERROR(__xludf.DUMMYFUNCTION("""COMPUTED_VALUE"""),0.0)</f>
        <v>0</v>
      </c>
      <c r="V36" s="8">
        <f>IFERROR(__xludf.DUMMYFUNCTION("""COMPUTED_VALUE"""),0.0)</f>
        <v>0</v>
      </c>
      <c r="W36" s="8">
        <f>IFERROR(__xludf.DUMMYFUNCTION("""COMPUTED_VALUE"""),0.0)</f>
        <v>0</v>
      </c>
      <c r="X36" s="8">
        <f>IFERROR(__xludf.DUMMYFUNCTION("""COMPUTED_VALUE"""),0.0)</f>
        <v>0</v>
      </c>
      <c r="Y36" s="8">
        <f>IFERROR(__xludf.DUMMYFUNCTION("""COMPUTED_VALUE"""),0.0)</f>
        <v>0</v>
      </c>
      <c r="Z36" s="8">
        <f>IFERROR(__xludf.DUMMYFUNCTION("""COMPUTED_VALUE"""),0.0)</f>
        <v>0</v>
      </c>
      <c r="AA36" s="8">
        <f>IFERROR(__xludf.DUMMYFUNCTION("""COMPUTED_VALUE"""),0.0)</f>
        <v>0</v>
      </c>
      <c r="AB36" s="8">
        <f>IFERROR(__xludf.DUMMYFUNCTION("""COMPUTED_VALUE"""),0.0)</f>
        <v>0</v>
      </c>
      <c r="AC36" s="8">
        <f>IFERROR(__xludf.DUMMYFUNCTION("""COMPUTED_VALUE"""),0.0)</f>
        <v>0</v>
      </c>
    </row>
    <row r="37" ht="15.75" customHeight="1">
      <c r="A37" s="6" t="str">
        <f>IFERROR(__xludf.DUMMYFUNCTION("""COMPUTED_VALUE"""),"1f78098e196cc2154bbadfe054e0bdd13c10fa60")</f>
        <v>1f78098e196cc2154bbadfe054e0bdd13c10fa60</v>
      </c>
      <c r="B37" s="6" t="str">
        <f>IFERROR(__xludf.DUMMYFUNCTION("""COMPUTED_VALUE"""),"The Marriage Timer")</f>
        <v>The Marriage Timer</v>
      </c>
      <c r="C37" s="6" t="str">
        <f>IFERROR(__xludf.DUMMYFUNCTION("""COMPUTED_VALUE"""),"Romance")</f>
        <v>Romance</v>
      </c>
      <c r="D37" s="11">
        <f>IFERROR(__xludf.DUMMYFUNCTION("""COMPUTED_VALUE"""),1212.0)</f>
        <v>1212</v>
      </c>
      <c r="E37" s="8">
        <f>IFERROR(__xludf.DUMMYFUNCTION("""COMPUTED_VALUE"""),0.972682119205298)</f>
        <v>0.9726821192</v>
      </c>
      <c r="F37" s="8">
        <f>IFERROR(__xludf.DUMMYFUNCTION("""COMPUTED_VALUE"""),0.617427385892116)</f>
        <v>0.6174273859</v>
      </c>
      <c r="G37" s="8">
        <f>IFERROR(__xludf.DUMMYFUNCTION("""COMPUTED_VALUE"""),0.51701244813278)</f>
        <v>0.5170124481</v>
      </c>
      <c r="H37" s="8">
        <f>IFERROR(__xludf.DUMMYFUNCTION("""COMPUTED_VALUE"""),0.466221851542952)</f>
        <v>0.4662218515</v>
      </c>
      <c r="I37" s="8">
        <f>IFERROR(__xludf.DUMMYFUNCTION("""COMPUTED_VALUE"""),0.447786131996658)</f>
        <v>0.447786132</v>
      </c>
      <c r="J37" s="8">
        <f>IFERROR(__xludf.DUMMYFUNCTION("""COMPUTED_VALUE"""),0.413389121338912)</f>
        <v>0.4133891213</v>
      </c>
      <c r="K37" s="8">
        <f>IFERROR(__xludf.DUMMYFUNCTION("""COMPUTED_VALUE"""),0.386934673366834)</f>
        <v>0.3869346734</v>
      </c>
      <c r="L37" s="8">
        <f>IFERROR(__xludf.DUMMYFUNCTION("""COMPUTED_VALUE"""),0.385197645079899)</f>
        <v>0.3851976451</v>
      </c>
      <c r="M37" s="8">
        <f>IFERROR(__xludf.DUMMYFUNCTION("""COMPUTED_VALUE"""),0.376053962900505)</f>
        <v>0.3760539629</v>
      </c>
      <c r="N37" s="8">
        <f>IFERROR(__xludf.DUMMYFUNCTION("""COMPUTED_VALUE"""),0.352195945945945)</f>
        <v>0.3521959459</v>
      </c>
      <c r="O37" s="8">
        <f>IFERROR(__xludf.DUMMYFUNCTION("""COMPUTED_VALUE"""),0.325362937660119)</f>
        <v>0.3253629377</v>
      </c>
      <c r="P37" s="8">
        <f>IFERROR(__xludf.DUMMYFUNCTION("""COMPUTED_VALUE"""),0.187660668380462)</f>
        <v>0.1876606684</v>
      </c>
      <c r="Q37" s="8">
        <f>IFERROR(__xludf.DUMMYFUNCTION("""COMPUTED_VALUE"""),0.0976909413854351)</f>
        <v>0.09769094139</v>
      </c>
      <c r="R37" s="8">
        <f>IFERROR(__xludf.DUMMYFUNCTION("""COMPUTED_VALUE"""),0.0)</f>
        <v>0</v>
      </c>
      <c r="S37" s="8">
        <f>IFERROR(__xludf.DUMMYFUNCTION("""COMPUTED_VALUE"""),0.0)</f>
        <v>0</v>
      </c>
      <c r="T37" s="8">
        <f>IFERROR(__xludf.DUMMYFUNCTION("""COMPUTED_VALUE"""),0.0)</f>
        <v>0</v>
      </c>
      <c r="U37" s="8">
        <f>IFERROR(__xludf.DUMMYFUNCTION("""COMPUTED_VALUE"""),0.0)</f>
        <v>0</v>
      </c>
      <c r="V37" s="8">
        <f>IFERROR(__xludf.DUMMYFUNCTION("""COMPUTED_VALUE"""),0.0)</f>
        <v>0</v>
      </c>
      <c r="W37" s="8">
        <f>IFERROR(__xludf.DUMMYFUNCTION("""COMPUTED_VALUE"""),0.0)</f>
        <v>0</v>
      </c>
      <c r="X37" s="8">
        <f>IFERROR(__xludf.DUMMYFUNCTION("""COMPUTED_VALUE"""),0.0)</f>
        <v>0</v>
      </c>
      <c r="Y37" s="8">
        <f>IFERROR(__xludf.DUMMYFUNCTION("""COMPUTED_VALUE"""),0.0)</f>
        <v>0</v>
      </c>
      <c r="Z37" s="8">
        <f>IFERROR(__xludf.DUMMYFUNCTION("""COMPUTED_VALUE"""),0.0)</f>
        <v>0</v>
      </c>
      <c r="AA37" s="8">
        <f>IFERROR(__xludf.DUMMYFUNCTION("""COMPUTED_VALUE"""),0.0)</f>
        <v>0</v>
      </c>
      <c r="AB37" s="8">
        <f>IFERROR(__xludf.DUMMYFUNCTION("""COMPUTED_VALUE"""),0.0)</f>
        <v>0</v>
      </c>
      <c r="AC37" s="8">
        <f>IFERROR(__xludf.DUMMYFUNCTION("""COMPUTED_VALUE"""),0.0)</f>
        <v>0</v>
      </c>
    </row>
    <row r="38" ht="15.75" customHeight="1">
      <c r="A38" s="6" t="str">
        <f>IFERROR(__xludf.DUMMYFUNCTION("""COMPUTED_VALUE"""),"2039c770620dbd485e50118a476f0b91b4bd035b")</f>
        <v>2039c770620dbd485e50118a476f0b91b4bd035b</v>
      </c>
      <c r="B38" s="6" t="str">
        <f>IFERROR(__xludf.DUMMYFUNCTION("""COMPUTED_VALUE"""),"Princess Ebony &amp; the Silver Dragon - Remastered Edition")</f>
        <v>Princess Ebony &amp; the Silver Dragon - Remastered Edition</v>
      </c>
      <c r="C38" s="6" t="str">
        <f>IFERROR(__xludf.DUMMYFUNCTION("""COMPUTED_VALUE"""),"Fantasy")</f>
        <v>Fantasy</v>
      </c>
      <c r="D38" s="11">
        <f>IFERROR(__xludf.DUMMYFUNCTION("""COMPUTED_VALUE"""),6806.0)</f>
        <v>6806</v>
      </c>
      <c r="E38" s="8">
        <f>IFERROR(__xludf.DUMMYFUNCTION("""COMPUTED_VALUE"""),0.953426676492262)</f>
        <v>0.9534266765</v>
      </c>
      <c r="F38" s="8">
        <f>IFERROR(__xludf.DUMMYFUNCTION("""COMPUTED_VALUE"""),0.49021932424422)</f>
        <v>0.4902193242</v>
      </c>
      <c r="G38" s="8">
        <f>IFERROR(__xludf.DUMMYFUNCTION("""COMPUTED_VALUE"""),0.442362040755615)</f>
        <v>0.4423620408</v>
      </c>
      <c r="H38" s="8">
        <f>IFERROR(__xludf.DUMMYFUNCTION("""COMPUTED_VALUE"""),0.416055114572412)</f>
        <v>0.4160551146</v>
      </c>
      <c r="I38" s="8">
        <f>IFERROR(__xludf.DUMMYFUNCTION("""COMPUTED_VALUE"""),0.398045112781954)</f>
        <v>0.3980451128</v>
      </c>
      <c r="J38" s="8">
        <f>IFERROR(__xludf.DUMMYFUNCTION("""COMPUTED_VALUE"""),0.382277332526841)</f>
        <v>0.3822773325</v>
      </c>
      <c r="K38" s="8">
        <f>IFERROR(__xludf.DUMMYFUNCTION("""COMPUTED_VALUE"""),0.370938354084421)</f>
        <v>0.3709383541</v>
      </c>
      <c r="L38" s="8">
        <f>IFERROR(__xludf.DUMMYFUNCTION("""COMPUTED_VALUE"""),0.361802902979373)</f>
        <v>0.361802903</v>
      </c>
      <c r="M38" s="8">
        <f>IFERROR(__xludf.DUMMYFUNCTION("""COMPUTED_VALUE"""),0.357460512191381)</f>
        <v>0.3574605122</v>
      </c>
      <c r="N38" s="8">
        <f>IFERROR(__xludf.DUMMYFUNCTION("""COMPUTED_VALUE"""),0.352140980058741)</f>
        <v>0.3521409801</v>
      </c>
      <c r="O38" s="8">
        <f>IFERROR(__xludf.DUMMYFUNCTION("""COMPUTED_VALUE"""),0.335033471469556)</f>
        <v>0.3350334715</v>
      </c>
      <c r="P38" s="8">
        <f>IFERROR(__xludf.DUMMYFUNCTION("""COMPUTED_VALUE"""),0.307154742096505)</f>
        <v>0.3071547421</v>
      </c>
      <c r="Q38" s="8">
        <f>IFERROR(__xludf.DUMMYFUNCTION("""COMPUTED_VALUE"""),0.260686112639882)</f>
        <v>0.2606861126</v>
      </c>
      <c r="R38" s="8">
        <f>IFERROR(__xludf.DUMMYFUNCTION("""COMPUTED_VALUE"""),0.207149758454106)</f>
        <v>0.2071497585</v>
      </c>
      <c r="S38" s="8">
        <f>IFERROR(__xludf.DUMMYFUNCTION("""COMPUTED_VALUE"""),0.169515669515669)</f>
        <v>0.1695156695</v>
      </c>
      <c r="T38" s="8">
        <f>IFERROR(__xludf.DUMMYFUNCTION("""COMPUTED_VALUE"""),0.136614433899801)</f>
        <v>0.1366144339</v>
      </c>
      <c r="U38" s="8">
        <f>IFERROR(__xludf.DUMMYFUNCTION("""COMPUTED_VALUE"""),0.112875779920589)</f>
        <v>0.1128757799</v>
      </c>
      <c r="V38" s="8">
        <f>IFERROR(__xludf.DUMMYFUNCTION("""COMPUTED_VALUE"""),0.0927698910531528)</f>
        <v>0.09276989105</v>
      </c>
      <c r="W38" s="8">
        <f>IFERROR(__xludf.DUMMYFUNCTION("""COMPUTED_VALUE"""),0.0618754803996925)</f>
        <v>0.0618754804</v>
      </c>
      <c r="X38" s="8">
        <f>IFERROR(__xludf.DUMMYFUNCTION("""COMPUTED_VALUE"""),0.03125)</f>
        <v>0.03125</v>
      </c>
      <c r="Y38" s="8">
        <f>IFERROR(__xludf.DUMMYFUNCTION("""COMPUTED_VALUE"""),0.0)</f>
        <v>0</v>
      </c>
      <c r="Z38" s="8">
        <f>IFERROR(__xludf.DUMMYFUNCTION("""COMPUTED_VALUE"""),0.0)</f>
        <v>0</v>
      </c>
      <c r="AA38" s="8">
        <f>IFERROR(__xludf.DUMMYFUNCTION("""COMPUTED_VALUE"""),0.0)</f>
        <v>0</v>
      </c>
      <c r="AB38" s="8">
        <f>IFERROR(__xludf.DUMMYFUNCTION("""COMPUTED_VALUE"""),0.0)</f>
        <v>0</v>
      </c>
      <c r="AC38" s="8">
        <f>IFERROR(__xludf.DUMMYFUNCTION("""COMPUTED_VALUE"""),0.0)</f>
        <v>0</v>
      </c>
    </row>
    <row r="39" ht="15.75" customHeight="1">
      <c r="A39" s="6" t="str">
        <f>IFERROR(__xludf.DUMMYFUNCTION("""COMPUTED_VALUE"""),"215d4622bad0b1fca5cb36bca9f92b3c41d21f7e")</f>
        <v>215d4622bad0b1fca5cb36bca9f92b3c41d21f7e</v>
      </c>
      <c r="B39" s="6" t="str">
        <f>IFERROR(__xludf.DUMMYFUNCTION("""COMPUTED_VALUE"""),"Aiden's Regression")</f>
        <v>Aiden's Regression</v>
      </c>
      <c r="C39" s="6" t="str">
        <f>IFERROR(__xludf.DUMMYFUNCTION("""COMPUTED_VALUE"""),"System and Superpower")</f>
        <v>System and Superpower</v>
      </c>
      <c r="D39" s="11">
        <f>IFERROR(__xludf.DUMMYFUNCTION("""COMPUTED_VALUE"""),554.0)</f>
        <v>554</v>
      </c>
      <c r="E39" s="8">
        <f>IFERROR(__xludf.DUMMYFUNCTION("""COMPUTED_VALUE"""),0.978300180831826)</f>
        <v>0.9783001808</v>
      </c>
      <c r="F39" s="8">
        <f>IFERROR(__xludf.DUMMYFUNCTION("""COMPUTED_VALUE"""),0.601449275362318)</f>
        <v>0.6014492754</v>
      </c>
      <c r="G39" s="8">
        <f>IFERROR(__xludf.DUMMYFUNCTION("""COMPUTED_VALUE"""),0.556159420289855)</f>
        <v>0.5561594203</v>
      </c>
      <c r="H39" s="8">
        <f>IFERROR(__xludf.DUMMYFUNCTION("""COMPUTED_VALUE"""),0.537205081669691)</f>
        <v>0.5372050817</v>
      </c>
      <c r="I39" s="8">
        <f>IFERROR(__xludf.DUMMYFUNCTION("""COMPUTED_VALUE"""),0.508166969147005)</f>
        <v>0.5081669691</v>
      </c>
      <c r="J39" s="8">
        <f>IFERROR(__xludf.DUMMYFUNCTION("""COMPUTED_VALUE"""),0.486338797814207)</f>
        <v>0.4863387978</v>
      </c>
      <c r="K39" s="8">
        <f>IFERROR(__xludf.DUMMYFUNCTION("""COMPUTED_VALUE"""),0.47992700729927)</f>
        <v>0.4799270073</v>
      </c>
      <c r="L39" s="8">
        <f>IFERROR(__xludf.DUMMYFUNCTION("""COMPUTED_VALUE"""),0.458866544789762)</f>
        <v>0.4588665448</v>
      </c>
      <c r="M39" s="8">
        <f>IFERROR(__xludf.DUMMYFUNCTION("""COMPUTED_VALUE"""),0.443223443223443)</f>
        <v>0.4432234432</v>
      </c>
      <c r="N39" s="8">
        <f>IFERROR(__xludf.DUMMYFUNCTION("""COMPUTED_VALUE"""),0.425925925925925)</f>
        <v>0.4259259259</v>
      </c>
      <c r="O39" s="8">
        <f>IFERROR(__xludf.DUMMYFUNCTION("""COMPUTED_VALUE"""),0.388571428571428)</f>
        <v>0.3885714286</v>
      </c>
      <c r="P39" s="8">
        <f>IFERROR(__xludf.DUMMYFUNCTION("""COMPUTED_VALUE"""),0.222222222222222)</f>
        <v>0.2222222222</v>
      </c>
      <c r="Q39" s="8">
        <f>IFERROR(__xludf.DUMMYFUNCTION("""COMPUTED_VALUE"""),0.0)</f>
        <v>0</v>
      </c>
      <c r="R39" s="8">
        <f>IFERROR(__xludf.DUMMYFUNCTION("""COMPUTED_VALUE"""),0.0)</f>
        <v>0</v>
      </c>
      <c r="S39" s="8">
        <f>IFERROR(__xludf.DUMMYFUNCTION("""COMPUTED_VALUE"""),0.0)</f>
        <v>0</v>
      </c>
      <c r="T39" s="8">
        <f>IFERROR(__xludf.DUMMYFUNCTION("""COMPUTED_VALUE"""),0.0)</f>
        <v>0</v>
      </c>
      <c r="U39" s="8">
        <f>IFERROR(__xludf.DUMMYFUNCTION("""COMPUTED_VALUE"""),0.0)</f>
        <v>0</v>
      </c>
      <c r="V39" s="8">
        <f>IFERROR(__xludf.DUMMYFUNCTION("""COMPUTED_VALUE"""),0.0)</f>
        <v>0</v>
      </c>
      <c r="W39" s="8">
        <f>IFERROR(__xludf.DUMMYFUNCTION("""COMPUTED_VALUE"""),0.0)</f>
        <v>0</v>
      </c>
      <c r="X39" s="8">
        <f>IFERROR(__xludf.DUMMYFUNCTION("""COMPUTED_VALUE"""),0.0)</f>
        <v>0</v>
      </c>
      <c r="Y39" s="8">
        <f>IFERROR(__xludf.DUMMYFUNCTION("""COMPUTED_VALUE"""),0.0)</f>
        <v>0</v>
      </c>
      <c r="Z39" s="8">
        <f>IFERROR(__xludf.DUMMYFUNCTION("""COMPUTED_VALUE"""),0.0)</f>
        <v>0</v>
      </c>
      <c r="AA39" s="8">
        <f>IFERROR(__xludf.DUMMYFUNCTION("""COMPUTED_VALUE"""),0.0)</f>
        <v>0</v>
      </c>
      <c r="AB39" s="8">
        <f>IFERROR(__xludf.DUMMYFUNCTION("""COMPUTED_VALUE"""),0.0)</f>
        <v>0</v>
      </c>
      <c r="AC39" s="8">
        <f>IFERROR(__xludf.DUMMYFUNCTION("""COMPUTED_VALUE"""),0.0)</f>
        <v>0</v>
      </c>
    </row>
    <row r="40" ht="15.75" customHeight="1">
      <c r="A40" s="6" t="str">
        <f>IFERROR(__xludf.DUMMYFUNCTION("""COMPUTED_VALUE"""),"2217881cc8f3c05fb3e0dbf70a118129e4e12471")</f>
        <v>2217881cc8f3c05fb3e0dbf70a118129e4e12471</v>
      </c>
      <c r="B40" s="6" t="str">
        <f>IFERROR(__xludf.DUMMYFUNCTION("""COMPUTED_VALUE"""),"Sevenfold Saint's Rise")</f>
        <v>Sevenfold Saint's Rise</v>
      </c>
      <c r="C40" s="6" t="str">
        <f>IFERROR(__xludf.DUMMYFUNCTION("""COMPUTED_VALUE"""),"Fantasy")</f>
        <v>Fantasy</v>
      </c>
      <c r="D40" s="11">
        <f>IFERROR(__xludf.DUMMYFUNCTION("""COMPUTED_VALUE"""),477.0)</f>
        <v>477</v>
      </c>
      <c r="E40" s="8">
        <f>IFERROR(__xludf.DUMMYFUNCTION("""COMPUTED_VALUE"""),0.987421383647798)</f>
        <v>0.9874213836</v>
      </c>
      <c r="F40" s="8">
        <f>IFERROR(__xludf.DUMMYFUNCTION("""COMPUTED_VALUE"""),0.617647058823529)</f>
        <v>0.6176470588</v>
      </c>
      <c r="G40" s="8">
        <f>IFERROR(__xludf.DUMMYFUNCTION("""COMPUTED_VALUE"""),0.557894736842105)</f>
        <v>0.5578947368</v>
      </c>
      <c r="H40" s="8">
        <f>IFERROR(__xludf.DUMMYFUNCTION("""COMPUTED_VALUE"""),0.542372881355932)</f>
        <v>0.5423728814</v>
      </c>
      <c r="I40" s="8">
        <f>IFERROR(__xludf.DUMMYFUNCTION("""COMPUTED_VALUE"""),0.473460721868365)</f>
        <v>0.4734607219</v>
      </c>
      <c r="J40" s="8">
        <f>IFERROR(__xludf.DUMMYFUNCTION("""COMPUTED_VALUE"""),0.409871244635193)</f>
        <v>0.4098712446</v>
      </c>
      <c r="K40" s="8">
        <f>IFERROR(__xludf.DUMMYFUNCTION("""COMPUTED_VALUE"""),0.354978354978355)</f>
        <v>0.354978355</v>
      </c>
      <c r="L40" s="8">
        <f>IFERROR(__xludf.DUMMYFUNCTION("""COMPUTED_VALUE"""),0.329670329670329)</f>
        <v>0.3296703297</v>
      </c>
      <c r="M40" s="8">
        <f>IFERROR(__xludf.DUMMYFUNCTION("""COMPUTED_VALUE"""),0.292056074766355)</f>
        <v>0.2920560748</v>
      </c>
      <c r="N40" s="8">
        <f>IFERROR(__xludf.DUMMYFUNCTION("""COMPUTED_VALUE"""),0.240997229916897)</f>
        <v>0.2409972299</v>
      </c>
      <c r="O40" s="8">
        <f>IFERROR(__xludf.DUMMYFUNCTION("""COMPUTED_VALUE"""),0.0)</f>
        <v>0</v>
      </c>
      <c r="P40" s="8">
        <f>IFERROR(__xludf.DUMMYFUNCTION("""COMPUTED_VALUE"""),0.0)</f>
        <v>0</v>
      </c>
      <c r="Q40" s="8">
        <f>IFERROR(__xludf.DUMMYFUNCTION("""COMPUTED_VALUE"""),0.0)</f>
        <v>0</v>
      </c>
      <c r="R40" s="8">
        <f>IFERROR(__xludf.DUMMYFUNCTION("""COMPUTED_VALUE"""),0.0)</f>
        <v>0</v>
      </c>
      <c r="S40" s="8">
        <f>IFERROR(__xludf.DUMMYFUNCTION("""COMPUTED_VALUE"""),0.0)</f>
        <v>0</v>
      </c>
      <c r="T40" s="8">
        <f>IFERROR(__xludf.DUMMYFUNCTION("""COMPUTED_VALUE"""),0.0)</f>
        <v>0</v>
      </c>
      <c r="U40" s="8">
        <f>IFERROR(__xludf.DUMMYFUNCTION("""COMPUTED_VALUE"""),0.0)</f>
        <v>0</v>
      </c>
      <c r="V40" s="8">
        <f>IFERROR(__xludf.DUMMYFUNCTION("""COMPUTED_VALUE"""),0.0)</f>
        <v>0</v>
      </c>
      <c r="W40" s="8">
        <f>IFERROR(__xludf.DUMMYFUNCTION("""COMPUTED_VALUE"""),0.0)</f>
        <v>0</v>
      </c>
      <c r="X40" s="8">
        <f>IFERROR(__xludf.DUMMYFUNCTION("""COMPUTED_VALUE"""),0.0)</f>
        <v>0</v>
      </c>
      <c r="Y40" s="8">
        <f>IFERROR(__xludf.DUMMYFUNCTION("""COMPUTED_VALUE"""),0.0)</f>
        <v>0</v>
      </c>
      <c r="Z40" s="8">
        <f>IFERROR(__xludf.DUMMYFUNCTION("""COMPUTED_VALUE"""),0.0)</f>
        <v>0</v>
      </c>
      <c r="AA40" s="8">
        <f>IFERROR(__xludf.DUMMYFUNCTION("""COMPUTED_VALUE"""),0.0)</f>
        <v>0</v>
      </c>
      <c r="AB40" s="8">
        <f>IFERROR(__xludf.DUMMYFUNCTION("""COMPUTED_VALUE"""),0.0)</f>
        <v>0</v>
      </c>
      <c r="AC40" s="8">
        <f>IFERROR(__xludf.DUMMYFUNCTION("""COMPUTED_VALUE"""),0.0)</f>
        <v>0</v>
      </c>
    </row>
    <row r="41" ht="15.75" customHeight="1">
      <c r="A41" s="6" t="str">
        <f>IFERROR(__xludf.DUMMYFUNCTION("""COMPUTED_VALUE"""),"23200139c53ab123429a0f621a7519272bf21ea7")</f>
        <v>23200139c53ab123429a0f621a7519272bf21ea7</v>
      </c>
      <c r="B41" s="6" t="str">
        <f>IFERROR(__xludf.DUMMYFUNCTION("""COMPUTED_VALUE"""),"The Fae Lycan Abomination")</f>
        <v>The Fae Lycan Abomination</v>
      </c>
      <c r="C41" s="6" t="str">
        <f>IFERROR(__xludf.DUMMYFUNCTION("""COMPUTED_VALUE"""),"Fantasy")</f>
        <v>Fantasy</v>
      </c>
      <c r="D41" s="11">
        <f>IFERROR(__xludf.DUMMYFUNCTION("""COMPUTED_VALUE"""),159.0)</f>
        <v>159</v>
      </c>
      <c r="E41" s="8">
        <f>IFERROR(__xludf.DUMMYFUNCTION("""COMPUTED_VALUE"""),0.974358974358974)</f>
        <v>0.9743589744</v>
      </c>
      <c r="F41" s="8">
        <f>IFERROR(__xludf.DUMMYFUNCTION("""COMPUTED_VALUE"""),0.448979591836734)</f>
        <v>0.4489795918</v>
      </c>
      <c r="G41" s="8">
        <f>IFERROR(__xludf.DUMMYFUNCTION("""COMPUTED_VALUE"""),0.323943661971831)</f>
        <v>0.323943662</v>
      </c>
      <c r="H41" s="8">
        <f>IFERROR(__xludf.DUMMYFUNCTION("""COMPUTED_VALUE"""),0.233333333333333)</f>
        <v>0.2333333333</v>
      </c>
      <c r="I41" s="8">
        <f>IFERROR(__xludf.DUMMYFUNCTION("""COMPUTED_VALUE"""),0.238532110091743)</f>
        <v>0.2385321101</v>
      </c>
      <c r="J41" s="8">
        <f>IFERROR(__xludf.DUMMYFUNCTION("""COMPUTED_VALUE"""),0.217391304347826)</f>
        <v>0.2173913043</v>
      </c>
      <c r="K41" s="8">
        <f>IFERROR(__xludf.DUMMYFUNCTION("""COMPUTED_VALUE"""),0.2)</f>
        <v>0.2</v>
      </c>
      <c r="L41" s="8">
        <f>IFERROR(__xludf.DUMMYFUNCTION("""COMPUTED_VALUE"""),0.194805194805194)</f>
        <v>0.1948051948</v>
      </c>
      <c r="M41" s="8">
        <f>IFERROR(__xludf.DUMMYFUNCTION("""COMPUTED_VALUE"""),0.194444444444444)</f>
        <v>0.1944444444</v>
      </c>
      <c r="N41" s="8">
        <f>IFERROR(__xludf.DUMMYFUNCTION("""COMPUTED_VALUE"""),0.228070175438596)</f>
        <v>0.2280701754</v>
      </c>
      <c r="O41" s="8">
        <f>IFERROR(__xludf.DUMMYFUNCTION("""COMPUTED_VALUE"""),0.142857142857142)</f>
        <v>0.1428571429</v>
      </c>
      <c r="P41" s="8">
        <f>IFERROR(__xludf.DUMMYFUNCTION("""COMPUTED_VALUE"""),0.0952380952380952)</f>
        <v>0.09523809524</v>
      </c>
      <c r="Q41" s="8">
        <f>IFERROR(__xludf.DUMMYFUNCTION("""COMPUTED_VALUE"""),0.0)</f>
        <v>0</v>
      </c>
      <c r="R41" s="8">
        <f>IFERROR(__xludf.DUMMYFUNCTION("""COMPUTED_VALUE"""),0.0)</f>
        <v>0</v>
      </c>
      <c r="S41" s="8">
        <f>IFERROR(__xludf.DUMMYFUNCTION("""COMPUTED_VALUE"""),0.0)</f>
        <v>0</v>
      </c>
      <c r="T41" s="8">
        <f>IFERROR(__xludf.DUMMYFUNCTION("""COMPUTED_VALUE"""),0.0)</f>
        <v>0</v>
      </c>
      <c r="U41" s="8">
        <f>IFERROR(__xludf.DUMMYFUNCTION("""COMPUTED_VALUE"""),0.0)</f>
        <v>0</v>
      </c>
      <c r="V41" s="8">
        <f>IFERROR(__xludf.DUMMYFUNCTION("""COMPUTED_VALUE"""),0.0)</f>
        <v>0</v>
      </c>
      <c r="W41" s="8">
        <f>IFERROR(__xludf.DUMMYFUNCTION("""COMPUTED_VALUE"""),0.0)</f>
        <v>0</v>
      </c>
      <c r="X41" s="8">
        <f>IFERROR(__xludf.DUMMYFUNCTION("""COMPUTED_VALUE"""),0.0)</f>
        <v>0</v>
      </c>
      <c r="Y41" s="8">
        <f>IFERROR(__xludf.DUMMYFUNCTION("""COMPUTED_VALUE"""),0.0)</f>
        <v>0</v>
      </c>
      <c r="Z41" s="8">
        <f>IFERROR(__xludf.DUMMYFUNCTION("""COMPUTED_VALUE"""),0.0)</f>
        <v>0</v>
      </c>
      <c r="AA41" s="8">
        <f>IFERROR(__xludf.DUMMYFUNCTION("""COMPUTED_VALUE"""),0.0)</f>
        <v>0</v>
      </c>
      <c r="AB41" s="8">
        <f>IFERROR(__xludf.DUMMYFUNCTION("""COMPUTED_VALUE"""),0.0)</f>
        <v>0</v>
      </c>
      <c r="AC41" s="8">
        <f>IFERROR(__xludf.DUMMYFUNCTION("""COMPUTED_VALUE"""),0.0)</f>
        <v>0</v>
      </c>
    </row>
    <row r="42" ht="15.75" customHeight="1">
      <c r="A42" s="6" t="str">
        <f>IFERROR(__xludf.DUMMYFUNCTION("""COMPUTED_VALUE"""),"234ed47144507d63e9a903acfe37512c24bc9290")</f>
        <v>234ed47144507d63e9a903acfe37512c24bc9290</v>
      </c>
      <c r="B42" s="6" t="str">
        <f>IFERROR(__xludf.DUMMYFUNCTION("""COMPUTED_VALUE"""),"Twists of Love &amp; Revenge")</f>
        <v>Twists of Love &amp; Revenge</v>
      </c>
      <c r="C42" s="6" t="str">
        <f>IFERROR(__xludf.DUMMYFUNCTION("""COMPUTED_VALUE"""),"Drama")</f>
        <v>Drama</v>
      </c>
      <c r="D42" s="11">
        <f>IFERROR(__xludf.DUMMYFUNCTION("""COMPUTED_VALUE"""),8446.0)</f>
        <v>8446</v>
      </c>
      <c r="E42" s="8">
        <f>IFERROR(__xludf.DUMMYFUNCTION("""COMPUTED_VALUE"""),0.952386592443444)</f>
        <v>0.9523865924</v>
      </c>
      <c r="F42" s="8">
        <f>IFERROR(__xludf.DUMMYFUNCTION("""COMPUTED_VALUE"""),0.707143703352683)</f>
        <v>0.7071437034</v>
      </c>
      <c r="G42" s="8">
        <f>IFERROR(__xludf.DUMMYFUNCTION("""COMPUTED_VALUE"""),0.654620853080568)</f>
        <v>0.6546208531</v>
      </c>
      <c r="H42" s="8">
        <f>IFERROR(__xludf.DUMMYFUNCTION("""COMPUTED_VALUE"""),0.607278330962541)</f>
        <v>0.607278331</v>
      </c>
      <c r="I42" s="8">
        <f>IFERROR(__xludf.DUMMYFUNCTION("""COMPUTED_VALUE"""),0.580557202133965)</f>
        <v>0.5805572021</v>
      </c>
      <c r="J42" s="8">
        <f>IFERROR(__xludf.DUMMYFUNCTION("""COMPUTED_VALUE"""),0.563634207092871)</f>
        <v>0.5636342071</v>
      </c>
      <c r="K42" s="8">
        <f>IFERROR(__xludf.DUMMYFUNCTION("""COMPUTED_VALUE"""),0.548700913512872)</f>
        <v>0.5487009135</v>
      </c>
      <c r="L42" s="8">
        <f>IFERROR(__xludf.DUMMYFUNCTION("""COMPUTED_VALUE"""),0.534955489614243)</f>
        <v>0.5349554896</v>
      </c>
      <c r="M42" s="8">
        <f>IFERROR(__xludf.DUMMYFUNCTION("""COMPUTED_VALUE"""),0.524341011636191)</f>
        <v>0.5243410116</v>
      </c>
      <c r="N42" s="8">
        <f>IFERROR(__xludf.DUMMYFUNCTION("""COMPUTED_VALUE"""),0.517401116522152)</f>
        <v>0.5174011165</v>
      </c>
      <c r="O42" s="8">
        <f>IFERROR(__xludf.DUMMYFUNCTION("""COMPUTED_VALUE"""),0.493038200642627)</f>
        <v>0.4930382006</v>
      </c>
      <c r="P42" s="8">
        <f>IFERROR(__xludf.DUMMYFUNCTION("""COMPUTED_VALUE"""),0.445797516714422)</f>
        <v>0.4457975167</v>
      </c>
      <c r="Q42" s="8">
        <f>IFERROR(__xludf.DUMMYFUNCTION("""COMPUTED_VALUE"""),0.367648827420324)</f>
        <v>0.3676488274</v>
      </c>
      <c r="R42" s="8">
        <f>IFERROR(__xludf.DUMMYFUNCTION("""COMPUTED_VALUE"""),0.295042321644498)</f>
        <v>0.2950423216</v>
      </c>
      <c r="S42" s="8">
        <f>IFERROR(__xludf.DUMMYFUNCTION("""COMPUTED_VALUE"""),0.267752918287937)</f>
        <v>0.2677529183</v>
      </c>
      <c r="T42" s="8">
        <f>IFERROR(__xludf.DUMMYFUNCTION("""COMPUTED_VALUE"""),0.253416300634455)</f>
        <v>0.2534163006</v>
      </c>
      <c r="U42" s="8">
        <f>IFERROR(__xludf.DUMMYFUNCTION("""COMPUTED_VALUE"""),0.230571533472035)</f>
        <v>0.2305715335</v>
      </c>
      <c r="V42" s="8">
        <f>IFERROR(__xludf.DUMMYFUNCTION("""COMPUTED_VALUE"""),0.214609866783779)</f>
        <v>0.2146098668</v>
      </c>
      <c r="W42" s="8">
        <f>IFERROR(__xludf.DUMMYFUNCTION("""COMPUTED_VALUE"""),0.203658905352283)</f>
        <v>0.2036589054</v>
      </c>
      <c r="X42" s="8">
        <f>IFERROR(__xludf.DUMMYFUNCTION("""COMPUTED_VALUE"""),0.185337051008692)</f>
        <v>0.185337051</v>
      </c>
      <c r="Y42" s="8">
        <f>IFERROR(__xludf.DUMMYFUNCTION("""COMPUTED_VALUE"""),0.163855849458547)</f>
        <v>0.1638558495</v>
      </c>
      <c r="Z42" s="8">
        <f>IFERROR(__xludf.DUMMYFUNCTION("""COMPUTED_VALUE"""),0.137426344801368)</f>
        <v>0.1374263448</v>
      </c>
      <c r="AA42" s="8">
        <f>IFERROR(__xludf.DUMMYFUNCTION("""COMPUTED_VALUE"""),0.072650952534711)</f>
        <v>0.07265095253</v>
      </c>
      <c r="AB42" s="8">
        <f>IFERROR(__xludf.DUMMYFUNCTION("""COMPUTED_VALUE"""),0.0214723926380368)</f>
        <v>0.02147239264</v>
      </c>
      <c r="AC42" s="8">
        <f>IFERROR(__xludf.DUMMYFUNCTION("""COMPUTED_VALUE"""),0.0)</f>
        <v>0</v>
      </c>
    </row>
    <row r="43" ht="15.75" customHeight="1">
      <c r="A43" s="6" t="str">
        <f>IFERROR(__xludf.DUMMYFUNCTION("""COMPUTED_VALUE"""),"239987644f409ac822be4ca9051a98eb8bf7e766")</f>
        <v>239987644f409ac822be4ca9051a98eb8bf7e766</v>
      </c>
      <c r="B43" s="6" t="str">
        <f>IFERROR(__xludf.DUMMYFUNCTION("""COMPUTED_VALUE"""),"The Silent Rebirth")</f>
        <v>The Silent Rebirth</v>
      </c>
      <c r="C43" s="6" t="str">
        <f>IFERROR(__xludf.DUMMYFUNCTION("""COMPUTED_VALUE"""),"Romantasy")</f>
        <v>Romantasy</v>
      </c>
      <c r="D43" s="11">
        <f>IFERROR(__xludf.DUMMYFUNCTION("""COMPUTED_VALUE"""),4239.0)</f>
        <v>4239</v>
      </c>
      <c r="E43" s="8">
        <f>IFERROR(__xludf.DUMMYFUNCTION("""COMPUTED_VALUE"""),0.966493629070316)</f>
        <v>0.9664936291</v>
      </c>
      <c r="F43" s="8">
        <f>IFERROR(__xludf.DUMMYFUNCTION("""COMPUTED_VALUE"""),0.58390370545197)</f>
        <v>0.5839037055</v>
      </c>
      <c r="G43" s="8">
        <f>IFERROR(__xludf.DUMMYFUNCTION("""COMPUTED_VALUE"""),0.523247580835496)</f>
        <v>0.5232475808</v>
      </c>
      <c r="H43" s="8">
        <f>IFERROR(__xludf.DUMMYFUNCTION("""COMPUTED_VALUE"""),0.490205333962709)</f>
        <v>0.490205334</v>
      </c>
      <c r="I43" s="8">
        <f>IFERROR(__xludf.DUMMYFUNCTION("""COMPUTED_VALUE"""),0.473559962228517)</f>
        <v>0.4735599622</v>
      </c>
      <c r="J43" s="8">
        <f>IFERROR(__xludf.DUMMYFUNCTION("""COMPUTED_VALUE"""),0.449480642115203)</f>
        <v>0.4494806421</v>
      </c>
      <c r="K43" s="8">
        <f>IFERROR(__xludf.DUMMYFUNCTION("""COMPUTED_VALUE"""),0.428571428571428)</f>
        <v>0.4285714286</v>
      </c>
      <c r="L43" s="8">
        <f>IFERROR(__xludf.DUMMYFUNCTION("""COMPUTED_VALUE"""),0.416292798110979)</f>
        <v>0.4162927981</v>
      </c>
      <c r="M43" s="8">
        <f>IFERROR(__xludf.DUMMYFUNCTION("""COMPUTED_VALUE"""),0.405667060212514)</f>
        <v>0.4056670602</v>
      </c>
      <c r="N43" s="8">
        <f>IFERROR(__xludf.DUMMYFUNCTION("""COMPUTED_VALUE"""),0.395936687928183)</f>
        <v>0.3959366879</v>
      </c>
      <c r="O43" s="8">
        <f>IFERROR(__xludf.DUMMYFUNCTION("""COMPUTED_VALUE"""),0.380355029585798)</f>
        <v>0.3803550296</v>
      </c>
      <c r="P43" s="8">
        <f>IFERROR(__xludf.DUMMYFUNCTION("""COMPUTED_VALUE"""),0.32716049382716)</f>
        <v>0.3271604938</v>
      </c>
      <c r="Q43" s="8">
        <f>IFERROR(__xludf.DUMMYFUNCTION("""COMPUTED_VALUE"""),0.244199952164553)</f>
        <v>0.2441999522</v>
      </c>
      <c r="R43" s="8">
        <f>IFERROR(__xludf.DUMMYFUNCTION("""COMPUTED_VALUE"""),0.21187584345479)</f>
        <v>0.2118758435</v>
      </c>
      <c r="S43" s="8">
        <f>IFERROR(__xludf.DUMMYFUNCTION("""COMPUTED_VALUE"""),0.184903047091412)</f>
        <v>0.1849030471</v>
      </c>
      <c r="T43" s="8">
        <f>IFERROR(__xludf.DUMMYFUNCTION("""COMPUTED_VALUE"""),0.160633484162895)</f>
        <v>0.1606334842</v>
      </c>
      <c r="U43" s="8">
        <f>IFERROR(__xludf.DUMMYFUNCTION("""COMPUTED_VALUE"""),0.143376623376623)</f>
        <v>0.1433766234</v>
      </c>
      <c r="V43" s="8">
        <f>IFERROR(__xludf.DUMMYFUNCTION("""COMPUTED_VALUE"""),0.137022397891963)</f>
        <v>0.1370223979</v>
      </c>
      <c r="W43" s="8">
        <f>IFERROR(__xludf.DUMMYFUNCTION("""COMPUTED_VALUE"""),0.108617594254937)</f>
        <v>0.1086175943</v>
      </c>
      <c r="X43" s="8">
        <f>IFERROR(__xludf.DUMMYFUNCTION("""COMPUTED_VALUE"""),0.0843881856540084)</f>
        <v>0.08438818565</v>
      </c>
      <c r="Y43" s="8">
        <f>IFERROR(__xludf.DUMMYFUNCTION("""COMPUTED_VALUE"""),0.0)</f>
        <v>0</v>
      </c>
      <c r="Z43" s="8">
        <f>IFERROR(__xludf.DUMMYFUNCTION("""COMPUTED_VALUE"""),0.0)</f>
        <v>0</v>
      </c>
      <c r="AA43" s="8">
        <f>IFERROR(__xludf.DUMMYFUNCTION("""COMPUTED_VALUE"""),0.0)</f>
        <v>0</v>
      </c>
      <c r="AB43" s="8">
        <f>IFERROR(__xludf.DUMMYFUNCTION("""COMPUTED_VALUE"""),0.0)</f>
        <v>0</v>
      </c>
      <c r="AC43" s="8">
        <f>IFERROR(__xludf.DUMMYFUNCTION("""COMPUTED_VALUE"""),0.0)</f>
        <v>0</v>
      </c>
    </row>
    <row r="44" ht="15.75" customHeight="1">
      <c r="A44" s="6" t="str">
        <f>IFERROR(__xludf.DUMMYFUNCTION("""COMPUTED_VALUE"""),"239fafc880752526fba110a11c49b101aec7192f")</f>
        <v>239fafc880752526fba110a11c49b101aec7192f</v>
      </c>
      <c r="B44" s="6" t="str">
        <f>IFERROR(__xludf.DUMMYFUNCTION("""COMPUTED_VALUE"""),"Mama's Lil Kings")</f>
        <v>Mama's Lil Kings</v>
      </c>
      <c r="C44" s="6" t="str">
        <f>IFERROR(__xludf.DUMMYFUNCTION("""COMPUTED_VALUE"""),"Drama")</f>
        <v>Drama</v>
      </c>
      <c r="D44" s="11">
        <f>IFERROR(__xludf.DUMMYFUNCTION("""COMPUTED_VALUE"""),79.0)</f>
        <v>79</v>
      </c>
      <c r="E44" s="8">
        <f>IFERROR(__xludf.DUMMYFUNCTION("""COMPUTED_VALUE"""),0.974025974025974)</f>
        <v>0.974025974</v>
      </c>
      <c r="F44" s="8">
        <f>IFERROR(__xludf.DUMMYFUNCTION("""COMPUTED_VALUE"""),0.142857142857142)</f>
        <v>0.1428571429</v>
      </c>
      <c r="G44" s="8">
        <f>IFERROR(__xludf.DUMMYFUNCTION("""COMPUTED_VALUE"""),0.142857142857142)</f>
        <v>0.1428571429</v>
      </c>
      <c r="H44" s="8">
        <f>IFERROR(__xludf.DUMMYFUNCTION("""COMPUTED_VALUE"""),0.0909090909090909)</f>
        <v>0.09090909091</v>
      </c>
      <c r="I44" s="8">
        <f>IFERROR(__xludf.DUMMYFUNCTION("""COMPUTED_VALUE"""),0.0779220779220779)</f>
        <v>0.07792207792</v>
      </c>
      <c r="J44" s="8">
        <f>IFERROR(__xludf.DUMMYFUNCTION("""COMPUTED_VALUE"""),0.08)</f>
        <v>0.08</v>
      </c>
      <c r="K44" s="8">
        <f>IFERROR(__xludf.DUMMYFUNCTION("""COMPUTED_VALUE"""),0.081081081081081)</f>
        <v>0.08108108108</v>
      </c>
      <c r="L44" s="8">
        <f>IFERROR(__xludf.DUMMYFUNCTION("""COMPUTED_VALUE"""),0.0684931506849315)</f>
        <v>0.06849315068</v>
      </c>
      <c r="M44" s="8">
        <f>IFERROR(__xludf.DUMMYFUNCTION("""COMPUTED_VALUE"""),0.0684931506849315)</f>
        <v>0.06849315068</v>
      </c>
      <c r="N44" s="8">
        <f>IFERROR(__xludf.DUMMYFUNCTION("""COMPUTED_VALUE"""),0.0857142857142857)</f>
        <v>0.08571428571</v>
      </c>
      <c r="O44" s="8">
        <f>IFERROR(__xludf.DUMMYFUNCTION("""COMPUTED_VALUE"""),0.088235294117647)</f>
        <v>0.08823529412</v>
      </c>
      <c r="P44" s="8">
        <f>IFERROR(__xludf.DUMMYFUNCTION("""COMPUTED_VALUE"""),0.0588235294117647)</f>
        <v>0.05882352941</v>
      </c>
      <c r="Q44" s="8">
        <f>IFERROR(__xludf.DUMMYFUNCTION("""COMPUTED_VALUE"""),0.0606060606060606)</f>
        <v>0.06060606061</v>
      </c>
      <c r="R44" s="8">
        <f>IFERROR(__xludf.DUMMYFUNCTION("""COMPUTED_VALUE"""),0.046875)</f>
        <v>0.046875</v>
      </c>
      <c r="S44" s="8">
        <f>IFERROR(__xludf.DUMMYFUNCTION("""COMPUTED_VALUE"""),0.0317460317460317)</f>
        <v>0.03174603175</v>
      </c>
      <c r="T44" s="8">
        <f>IFERROR(__xludf.DUMMYFUNCTION("""COMPUTED_VALUE"""),0.0526315789473684)</f>
        <v>0.05263157895</v>
      </c>
      <c r="U44" s="8">
        <f>IFERROR(__xludf.DUMMYFUNCTION("""COMPUTED_VALUE"""),0.0612244897959183)</f>
        <v>0.0612244898</v>
      </c>
      <c r="V44" s="8">
        <f>IFERROR(__xludf.DUMMYFUNCTION("""COMPUTED_VALUE"""),0.0681818181818181)</f>
        <v>0.06818181818</v>
      </c>
      <c r="W44" s="8">
        <f>IFERROR(__xludf.DUMMYFUNCTION("""COMPUTED_VALUE"""),0.081081081081081)</f>
        <v>0.08108108108</v>
      </c>
      <c r="X44" s="8">
        <f>IFERROR(__xludf.DUMMYFUNCTION("""COMPUTED_VALUE"""),0.0277777777777777)</f>
        <v>0.02777777778</v>
      </c>
      <c r="Y44" s="8">
        <f>IFERROR(__xludf.DUMMYFUNCTION("""COMPUTED_VALUE"""),0.064516129032258)</f>
        <v>0.06451612903</v>
      </c>
      <c r="Z44" s="8">
        <f>IFERROR(__xludf.DUMMYFUNCTION("""COMPUTED_VALUE"""),0.0)</f>
        <v>0</v>
      </c>
      <c r="AA44" s="8">
        <f>IFERROR(__xludf.DUMMYFUNCTION("""COMPUTED_VALUE"""),0.0)</f>
        <v>0</v>
      </c>
      <c r="AB44" s="8">
        <f>IFERROR(__xludf.DUMMYFUNCTION("""COMPUTED_VALUE"""),0.0)</f>
        <v>0</v>
      </c>
      <c r="AC44" s="8">
        <f>IFERROR(__xludf.DUMMYFUNCTION("""COMPUTED_VALUE"""),0.0)</f>
        <v>0</v>
      </c>
    </row>
    <row r="45" ht="15.75" customHeight="1">
      <c r="A45" s="6" t="str">
        <f>IFERROR(__xludf.DUMMYFUNCTION("""COMPUTED_VALUE"""),"23a0bb3d5deb8d4707bdb34175170e288d724c97")</f>
        <v>23a0bb3d5deb8d4707bdb34175170e288d724c97</v>
      </c>
      <c r="B45" s="6" t="str">
        <f>IFERROR(__xludf.DUMMYFUNCTION("""COMPUTED_VALUE"""),"System of Super Tech")</f>
        <v>System of Super Tech</v>
      </c>
      <c r="C45" s="6" t="str">
        <f>IFERROR(__xludf.DUMMYFUNCTION("""COMPUTED_VALUE"""),"System and Superpower")</f>
        <v>System and Superpower</v>
      </c>
      <c r="D45" s="11">
        <f>IFERROR(__xludf.DUMMYFUNCTION("""COMPUTED_VALUE"""),574.0)</f>
        <v>574</v>
      </c>
      <c r="E45" s="8">
        <f>IFERROR(__xludf.DUMMYFUNCTION("""COMPUTED_VALUE"""),0.984320557491289)</f>
        <v>0.9843205575</v>
      </c>
      <c r="F45" s="8">
        <f>IFERROR(__xludf.DUMMYFUNCTION("""COMPUTED_VALUE"""),0.53169014084507)</f>
        <v>0.5316901408</v>
      </c>
      <c r="G45" s="8">
        <f>IFERROR(__xludf.DUMMYFUNCTION("""COMPUTED_VALUE"""),0.435626102292768)</f>
        <v>0.4356261023</v>
      </c>
      <c r="H45" s="8">
        <f>IFERROR(__xludf.DUMMYFUNCTION("""COMPUTED_VALUE"""),0.401069518716577)</f>
        <v>0.4010695187</v>
      </c>
      <c r="I45" s="8">
        <f>IFERROR(__xludf.DUMMYFUNCTION("""COMPUTED_VALUE"""),0.371633752244165)</f>
        <v>0.3716337522</v>
      </c>
      <c r="J45" s="8">
        <f>IFERROR(__xludf.DUMMYFUNCTION("""COMPUTED_VALUE"""),0.343012704174228)</f>
        <v>0.3430127042</v>
      </c>
      <c r="K45" s="8">
        <f>IFERROR(__xludf.DUMMYFUNCTION("""COMPUTED_VALUE"""),0.328440366972477)</f>
        <v>0.328440367</v>
      </c>
      <c r="L45" s="8">
        <f>IFERROR(__xludf.DUMMYFUNCTION("""COMPUTED_VALUE"""),0.298311444652908)</f>
        <v>0.2983114447</v>
      </c>
      <c r="M45" s="8">
        <f>IFERROR(__xludf.DUMMYFUNCTION("""COMPUTED_VALUE"""),0.283524904214559)</f>
        <v>0.2835249042</v>
      </c>
      <c r="N45" s="8">
        <f>IFERROR(__xludf.DUMMYFUNCTION("""COMPUTED_VALUE"""),0.275773195876288)</f>
        <v>0.2757731959</v>
      </c>
      <c r="O45" s="8">
        <f>IFERROR(__xludf.DUMMYFUNCTION("""COMPUTED_VALUE"""),0.234042553191489)</f>
        <v>0.2340425532</v>
      </c>
      <c r="P45" s="8">
        <f>IFERROR(__xludf.DUMMYFUNCTION("""COMPUTED_VALUE"""),0.121951219512195)</f>
        <v>0.1219512195</v>
      </c>
      <c r="Q45" s="8">
        <f>IFERROR(__xludf.DUMMYFUNCTION("""COMPUTED_VALUE"""),0.0344827586206896)</f>
        <v>0.03448275862</v>
      </c>
      <c r="R45" s="8">
        <f>IFERROR(__xludf.DUMMYFUNCTION("""COMPUTED_VALUE"""),0.0)</f>
        <v>0</v>
      </c>
      <c r="S45" s="8">
        <f>IFERROR(__xludf.DUMMYFUNCTION("""COMPUTED_VALUE"""),0.0)</f>
        <v>0</v>
      </c>
      <c r="T45" s="8">
        <f>IFERROR(__xludf.DUMMYFUNCTION("""COMPUTED_VALUE"""),0.0)</f>
        <v>0</v>
      </c>
      <c r="U45" s="8">
        <f>IFERROR(__xludf.DUMMYFUNCTION("""COMPUTED_VALUE"""),0.0)</f>
        <v>0</v>
      </c>
      <c r="V45" s="8">
        <f>IFERROR(__xludf.DUMMYFUNCTION("""COMPUTED_VALUE"""),0.0)</f>
        <v>0</v>
      </c>
      <c r="W45" s="8">
        <f>IFERROR(__xludf.DUMMYFUNCTION("""COMPUTED_VALUE"""),0.0)</f>
        <v>0</v>
      </c>
      <c r="X45" s="8">
        <f>IFERROR(__xludf.DUMMYFUNCTION("""COMPUTED_VALUE"""),0.0)</f>
        <v>0</v>
      </c>
      <c r="Y45" s="8">
        <f>IFERROR(__xludf.DUMMYFUNCTION("""COMPUTED_VALUE"""),0.0)</f>
        <v>0</v>
      </c>
      <c r="Z45" s="8">
        <f>IFERROR(__xludf.DUMMYFUNCTION("""COMPUTED_VALUE"""),0.0)</f>
        <v>0</v>
      </c>
      <c r="AA45" s="8">
        <f>IFERROR(__xludf.DUMMYFUNCTION("""COMPUTED_VALUE"""),0.0)</f>
        <v>0</v>
      </c>
      <c r="AB45" s="8">
        <f>IFERROR(__xludf.DUMMYFUNCTION("""COMPUTED_VALUE"""),0.0)</f>
        <v>0</v>
      </c>
      <c r="AC45" s="8">
        <f>IFERROR(__xludf.DUMMYFUNCTION("""COMPUTED_VALUE"""),0.0)</f>
        <v>0</v>
      </c>
    </row>
    <row r="46" ht="15.75" customHeight="1">
      <c r="A46" s="6" t="str">
        <f>IFERROR(__xludf.DUMMYFUNCTION("""COMPUTED_VALUE"""),"247dcedeaecc161909c6ddd57b599f4e38d758d8")</f>
        <v>247dcedeaecc161909c6ddd57b599f4e38d758d8</v>
      </c>
      <c r="B46" s="6" t="str">
        <f>IFERROR(__xludf.DUMMYFUNCTION("""COMPUTED_VALUE"""),"A Christmas of Betrayals")</f>
        <v>A Christmas of Betrayals</v>
      </c>
      <c r="C46" s="6" t="str">
        <f>IFERROR(__xludf.DUMMYFUNCTION("""COMPUTED_VALUE"""),"Romance")</f>
        <v>Romance</v>
      </c>
      <c r="D46" s="11">
        <f>IFERROR(__xludf.DUMMYFUNCTION("""COMPUTED_VALUE"""),160.0)</f>
        <v>160</v>
      </c>
      <c r="E46" s="8">
        <f>IFERROR(__xludf.DUMMYFUNCTION("""COMPUTED_VALUE"""),0.94375)</f>
        <v>0.94375</v>
      </c>
      <c r="F46" s="8">
        <f>IFERROR(__xludf.DUMMYFUNCTION("""COMPUTED_VALUE"""),0.61875)</f>
        <v>0.61875</v>
      </c>
      <c r="G46" s="8">
        <f>IFERROR(__xludf.DUMMYFUNCTION("""COMPUTED_VALUE"""),0.55625)</f>
        <v>0.55625</v>
      </c>
      <c r="H46" s="8">
        <f>IFERROR(__xludf.DUMMYFUNCTION("""COMPUTED_VALUE"""),0.496855345911949)</f>
        <v>0.4968553459</v>
      </c>
      <c r="I46" s="8">
        <f>IFERROR(__xludf.DUMMYFUNCTION("""COMPUTED_VALUE"""),0.40251572327044)</f>
        <v>0.4025157233</v>
      </c>
      <c r="J46" s="8">
        <f>IFERROR(__xludf.DUMMYFUNCTION("""COMPUTED_VALUE"""),0.40880503144654)</f>
        <v>0.4088050314</v>
      </c>
      <c r="K46" s="8">
        <f>IFERROR(__xludf.DUMMYFUNCTION("""COMPUTED_VALUE"""),0.383647798742138)</f>
        <v>0.3836477987</v>
      </c>
      <c r="L46" s="8">
        <f>IFERROR(__xludf.DUMMYFUNCTION("""COMPUTED_VALUE"""),0.346153846153846)</f>
        <v>0.3461538462</v>
      </c>
      <c r="M46" s="8">
        <f>IFERROR(__xludf.DUMMYFUNCTION("""COMPUTED_VALUE"""),0.309677419354838)</f>
        <v>0.3096774194</v>
      </c>
      <c r="N46" s="8">
        <f>IFERROR(__xludf.DUMMYFUNCTION("""COMPUTED_VALUE"""),0.292207792207792)</f>
        <v>0.2922077922</v>
      </c>
      <c r="O46" s="8">
        <f>IFERROR(__xludf.DUMMYFUNCTION("""COMPUTED_VALUE"""),0.256578947368421)</f>
        <v>0.2565789474</v>
      </c>
      <c r="P46" s="8">
        <f>IFERROR(__xludf.DUMMYFUNCTION("""COMPUTED_VALUE"""),0.171641791044776)</f>
        <v>0.171641791</v>
      </c>
      <c r="Q46" s="8">
        <f>IFERROR(__xludf.DUMMYFUNCTION("""COMPUTED_VALUE"""),0.11578947368421)</f>
        <v>0.1157894737</v>
      </c>
      <c r="R46" s="8">
        <f>IFERROR(__xludf.DUMMYFUNCTION("""COMPUTED_VALUE"""),0.0)</f>
        <v>0</v>
      </c>
      <c r="S46" s="8">
        <f>IFERROR(__xludf.DUMMYFUNCTION("""COMPUTED_VALUE"""),0.0)</f>
        <v>0</v>
      </c>
      <c r="T46" s="8">
        <f>IFERROR(__xludf.DUMMYFUNCTION("""COMPUTED_VALUE"""),0.0)</f>
        <v>0</v>
      </c>
      <c r="U46" s="8">
        <f>IFERROR(__xludf.DUMMYFUNCTION("""COMPUTED_VALUE"""),0.0)</f>
        <v>0</v>
      </c>
      <c r="V46" s="8">
        <f>IFERROR(__xludf.DUMMYFUNCTION("""COMPUTED_VALUE"""),0.0)</f>
        <v>0</v>
      </c>
      <c r="W46" s="8">
        <f>IFERROR(__xludf.DUMMYFUNCTION("""COMPUTED_VALUE"""),0.0)</f>
        <v>0</v>
      </c>
      <c r="X46" s="8">
        <f>IFERROR(__xludf.DUMMYFUNCTION("""COMPUTED_VALUE"""),0.0)</f>
        <v>0</v>
      </c>
      <c r="Y46" s="8">
        <f>IFERROR(__xludf.DUMMYFUNCTION("""COMPUTED_VALUE"""),0.0)</f>
        <v>0</v>
      </c>
      <c r="Z46" s="8">
        <f>IFERROR(__xludf.DUMMYFUNCTION("""COMPUTED_VALUE"""),0.0)</f>
        <v>0</v>
      </c>
      <c r="AA46" s="8">
        <f>IFERROR(__xludf.DUMMYFUNCTION("""COMPUTED_VALUE"""),0.0)</f>
        <v>0</v>
      </c>
      <c r="AB46" s="8">
        <f>IFERROR(__xludf.DUMMYFUNCTION("""COMPUTED_VALUE"""),0.0)</f>
        <v>0</v>
      </c>
      <c r="AC46" s="8">
        <f>IFERROR(__xludf.DUMMYFUNCTION("""COMPUTED_VALUE"""),0.0)</f>
        <v>0</v>
      </c>
    </row>
    <row r="47" ht="15.75" customHeight="1">
      <c r="A47" s="6" t="str">
        <f>IFERROR(__xludf.DUMMYFUNCTION("""COMPUTED_VALUE"""),"248aae390e84177edc04ecc06fac6c17aed375ff")</f>
        <v>248aae390e84177edc04ecc06fac6c17aed375ff</v>
      </c>
      <c r="B47" s="6" t="str">
        <f>IFERROR(__xludf.DUMMYFUNCTION("""COMPUTED_VALUE"""),"Silver Onyx: Dragonbound")</f>
        <v>Silver Onyx: Dragonbound</v>
      </c>
      <c r="C47" s="6" t="str">
        <f>IFERROR(__xludf.DUMMYFUNCTION("""COMPUTED_VALUE"""),"Romantasy")</f>
        <v>Romantasy</v>
      </c>
      <c r="D47" s="11">
        <f>IFERROR(__xludf.DUMMYFUNCTION("""COMPUTED_VALUE"""),409.0)</f>
        <v>409</v>
      </c>
      <c r="E47" s="8">
        <f>IFERROR(__xludf.DUMMYFUNCTION("""COMPUTED_VALUE"""),0.973105134474327)</f>
        <v>0.9731051345</v>
      </c>
      <c r="F47" s="8">
        <f>IFERROR(__xludf.DUMMYFUNCTION("""COMPUTED_VALUE"""),0.610294117647058)</f>
        <v>0.6102941176</v>
      </c>
      <c r="G47" s="8">
        <f>IFERROR(__xludf.DUMMYFUNCTION("""COMPUTED_VALUE"""),0.554187192118226)</f>
        <v>0.5541871921</v>
      </c>
      <c r="H47" s="8">
        <f>IFERROR(__xludf.DUMMYFUNCTION("""COMPUTED_VALUE"""),0.517326732673267)</f>
        <v>0.5173267327</v>
      </c>
      <c r="I47" s="8">
        <f>IFERROR(__xludf.DUMMYFUNCTION("""COMPUTED_VALUE"""),0.507425742574257)</f>
        <v>0.5074257426</v>
      </c>
      <c r="J47" s="8">
        <f>IFERROR(__xludf.DUMMYFUNCTION("""COMPUTED_VALUE"""),0.495049504950495)</f>
        <v>0.495049505</v>
      </c>
      <c r="K47" s="8">
        <f>IFERROR(__xludf.DUMMYFUNCTION("""COMPUTED_VALUE"""),0.483790523690773)</f>
        <v>0.4837905237</v>
      </c>
      <c r="L47" s="8">
        <f>IFERROR(__xludf.DUMMYFUNCTION("""COMPUTED_VALUE"""),0.486146095717884)</f>
        <v>0.4861460957</v>
      </c>
      <c r="M47" s="8">
        <f>IFERROR(__xludf.DUMMYFUNCTION("""COMPUTED_VALUE"""),0.472081218274111)</f>
        <v>0.4720812183</v>
      </c>
      <c r="N47" s="8">
        <f>IFERROR(__xludf.DUMMYFUNCTION("""COMPUTED_VALUE"""),0.476439790575916)</f>
        <v>0.4764397906</v>
      </c>
      <c r="O47" s="8">
        <f>IFERROR(__xludf.DUMMYFUNCTION("""COMPUTED_VALUE"""),0.622950819672131)</f>
        <v>0.6229508197</v>
      </c>
      <c r="P47" s="8">
        <f>IFERROR(__xludf.DUMMYFUNCTION("""COMPUTED_VALUE"""),0.588235294117647)</f>
        <v>0.5882352941</v>
      </c>
      <c r="Q47" s="8">
        <f>IFERROR(__xludf.DUMMYFUNCTION("""COMPUTED_VALUE"""),0.0)</f>
        <v>0</v>
      </c>
      <c r="R47" s="8">
        <f>IFERROR(__xludf.DUMMYFUNCTION("""COMPUTED_VALUE"""),0.0)</f>
        <v>0</v>
      </c>
      <c r="S47" s="8">
        <f>IFERROR(__xludf.DUMMYFUNCTION("""COMPUTED_VALUE"""),0.0)</f>
        <v>0</v>
      </c>
      <c r="T47" s="8">
        <f>IFERROR(__xludf.DUMMYFUNCTION("""COMPUTED_VALUE"""),0.0)</f>
        <v>0</v>
      </c>
      <c r="U47" s="8">
        <f>IFERROR(__xludf.DUMMYFUNCTION("""COMPUTED_VALUE"""),0.0)</f>
        <v>0</v>
      </c>
      <c r="V47" s="8">
        <f>IFERROR(__xludf.DUMMYFUNCTION("""COMPUTED_VALUE"""),0.0)</f>
        <v>0</v>
      </c>
      <c r="W47" s="8">
        <f>IFERROR(__xludf.DUMMYFUNCTION("""COMPUTED_VALUE"""),0.0)</f>
        <v>0</v>
      </c>
      <c r="X47" s="8">
        <f>IFERROR(__xludf.DUMMYFUNCTION("""COMPUTED_VALUE"""),0.0)</f>
        <v>0</v>
      </c>
      <c r="Y47" s="8">
        <f>IFERROR(__xludf.DUMMYFUNCTION("""COMPUTED_VALUE"""),0.0)</f>
        <v>0</v>
      </c>
      <c r="Z47" s="8">
        <f>IFERROR(__xludf.DUMMYFUNCTION("""COMPUTED_VALUE"""),0.0)</f>
        <v>0</v>
      </c>
      <c r="AA47" s="8">
        <f>IFERROR(__xludf.DUMMYFUNCTION("""COMPUTED_VALUE"""),0.0)</f>
        <v>0</v>
      </c>
      <c r="AB47" s="8">
        <f>IFERROR(__xludf.DUMMYFUNCTION("""COMPUTED_VALUE"""),0.0)</f>
        <v>0</v>
      </c>
      <c r="AC47" s="8">
        <f>IFERROR(__xludf.DUMMYFUNCTION("""COMPUTED_VALUE"""),0.0)</f>
        <v>0</v>
      </c>
    </row>
    <row r="48" ht="15.75" customHeight="1">
      <c r="A48" s="6" t="str">
        <f>IFERROR(__xludf.DUMMYFUNCTION("""COMPUTED_VALUE"""),"248ba0ec55862a22dd7993c8b49d5f052ce03954")</f>
        <v>248ba0ec55862a22dd7993c8b49d5f052ce03954</v>
      </c>
      <c r="B48" s="6" t="str">
        <f>IFERROR(__xludf.DUMMYFUNCTION("""COMPUTED_VALUE"""),"The Silent Sovereign")</f>
        <v>The Silent Sovereign</v>
      </c>
      <c r="C48" s="6" t="str">
        <f>IFERROR(__xludf.DUMMYFUNCTION("""COMPUTED_VALUE"""),"Fantasy")</f>
        <v>Fantasy</v>
      </c>
      <c r="D48" s="11">
        <f>IFERROR(__xludf.DUMMYFUNCTION("""COMPUTED_VALUE"""),539.0)</f>
        <v>539</v>
      </c>
      <c r="E48" s="8">
        <f>IFERROR(__xludf.DUMMYFUNCTION("""COMPUTED_VALUE"""),0.96660482374768)</f>
        <v>0.9666048237</v>
      </c>
      <c r="F48" s="8">
        <f>IFERROR(__xludf.DUMMYFUNCTION("""COMPUTED_VALUE"""),0.758878504672897)</f>
        <v>0.7588785047</v>
      </c>
      <c r="G48" s="8">
        <f>IFERROR(__xludf.DUMMYFUNCTION("""COMPUTED_VALUE"""),0.697936210131332)</f>
        <v>0.6979362101</v>
      </c>
      <c r="H48" s="8">
        <f>IFERROR(__xludf.DUMMYFUNCTION("""COMPUTED_VALUE"""),0.660341555977229)</f>
        <v>0.660341556</v>
      </c>
      <c r="I48" s="8">
        <f>IFERROR(__xludf.DUMMYFUNCTION("""COMPUTED_VALUE"""),0.619883040935672)</f>
        <v>0.6198830409</v>
      </c>
      <c r="J48" s="8">
        <f>IFERROR(__xludf.DUMMYFUNCTION("""COMPUTED_VALUE"""),0.57700650759219)</f>
        <v>0.5770065076</v>
      </c>
      <c r="K48" s="8">
        <f>IFERROR(__xludf.DUMMYFUNCTION("""COMPUTED_VALUE"""),0.511574074074074)</f>
        <v>0.5115740741</v>
      </c>
      <c r="L48" s="8">
        <f>IFERROR(__xludf.DUMMYFUNCTION("""COMPUTED_VALUE"""),0.473007712082262)</f>
        <v>0.4730077121</v>
      </c>
      <c r="M48" s="8">
        <f>IFERROR(__xludf.DUMMYFUNCTION("""COMPUTED_VALUE"""),0.423976608187134)</f>
        <v>0.4239766082</v>
      </c>
      <c r="N48" s="8">
        <f>IFERROR(__xludf.DUMMYFUNCTION("""COMPUTED_VALUE"""),0.385714285714285)</f>
        <v>0.3857142857</v>
      </c>
      <c r="O48" s="8">
        <f>IFERROR(__xludf.DUMMYFUNCTION("""COMPUTED_VALUE"""),0.31578947368421)</f>
        <v>0.3157894737</v>
      </c>
      <c r="P48" s="8">
        <f>IFERROR(__xludf.DUMMYFUNCTION("""COMPUTED_VALUE"""),0.142857142857142)</f>
        <v>0.1428571429</v>
      </c>
      <c r="Q48" s="8">
        <f>IFERROR(__xludf.DUMMYFUNCTION("""COMPUTED_VALUE"""),0.142857142857142)</f>
        <v>0.1428571429</v>
      </c>
      <c r="R48" s="8">
        <f>IFERROR(__xludf.DUMMYFUNCTION("""COMPUTED_VALUE"""),0.0)</f>
        <v>0</v>
      </c>
      <c r="S48" s="8">
        <f>IFERROR(__xludf.DUMMYFUNCTION("""COMPUTED_VALUE"""),0.0)</f>
        <v>0</v>
      </c>
      <c r="T48" s="8">
        <f>IFERROR(__xludf.DUMMYFUNCTION("""COMPUTED_VALUE"""),0.0)</f>
        <v>0</v>
      </c>
      <c r="U48" s="8">
        <f>IFERROR(__xludf.DUMMYFUNCTION("""COMPUTED_VALUE"""),0.0)</f>
        <v>0</v>
      </c>
      <c r="V48" s="8">
        <f>IFERROR(__xludf.DUMMYFUNCTION("""COMPUTED_VALUE"""),0.0)</f>
        <v>0</v>
      </c>
      <c r="W48" s="8">
        <f>IFERROR(__xludf.DUMMYFUNCTION("""COMPUTED_VALUE"""),0.0)</f>
        <v>0</v>
      </c>
      <c r="X48" s="8">
        <f>IFERROR(__xludf.DUMMYFUNCTION("""COMPUTED_VALUE"""),0.0)</f>
        <v>0</v>
      </c>
      <c r="Y48" s="8">
        <f>IFERROR(__xludf.DUMMYFUNCTION("""COMPUTED_VALUE"""),0.0)</f>
        <v>0</v>
      </c>
      <c r="Z48" s="8">
        <f>IFERROR(__xludf.DUMMYFUNCTION("""COMPUTED_VALUE"""),0.0)</f>
        <v>0</v>
      </c>
      <c r="AA48" s="8">
        <f>IFERROR(__xludf.DUMMYFUNCTION("""COMPUTED_VALUE"""),0.0)</f>
        <v>0</v>
      </c>
      <c r="AB48" s="8">
        <f>IFERROR(__xludf.DUMMYFUNCTION("""COMPUTED_VALUE"""),0.0)</f>
        <v>0</v>
      </c>
      <c r="AC48" s="8">
        <f>IFERROR(__xludf.DUMMYFUNCTION("""COMPUTED_VALUE"""),0.0)</f>
        <v>0</v>
      </c>
    </row>
    <row r="49" ht="15.75" customHeight="1">
      <c r="A49" s="6" t="str">
        <f>IFERROR(__xludf.DUMMYFUNCTION("""COMPUTED_VALUE"""),"26e1fd07be016edcad6988356011ef8b49038bd1")</f>
        <v>26e1fd07be016edcad6988356011ef8b49038bd1</v>
      </c>
      <c r="B49" s="6" t="str">
        <f>IFERROR(__xludf.DUMMYFUNCTION("""COMPUTED_VALUE"""),"The Last Anniversary Lie")</f>
        <v>The Last Anniversary Lie</v>
      </c>
      <c r="C49" s="6" t="str">
        <f>IFERROR(__xludf.DUMMYFUNCTION("""COMPUTED_VALUE"""),"Romance")</f>
        <v>Romance</v>
      </c>
      <c r="D49" s="11">
        <f>IFERROR(__xludf.DUMMYFUNCTION("""COMPUTED_VALUE"""),498.0)</f>
        <v>498</v>
      </c>
      <c r="E49" s="8">
        <f>IFERROR(__xludf.DUMMYFUNCTION("""COMPUTED_VALUE"""),0.969879518072289)</f>
        <v>0.9698795181</v>
      </c>
      <c r="F49" s="8">
        <f>IFERROR(__xludf.DUMMYFUNCTION("""COMPUTED_VALUE"""),0.6317907444668)</f>
        <v>0.6317907445</v>
      </c>
      <c r="G49" s="8">
        <f>IFERROR(__xludf.DUMMYFUNCTION("""COMPUTED_VALUE"""),0.555555555555555)</f>
        <v>0.5555555556</v>
      </c>
      <c r="H49" s="8">
        <f>IFERROR(__xludf.DUMMYFUNCTION("""COMPUTED_VALUE"""),0.516260162601626)</f>
        <v>0.5162601626</v>
      </c>
      <c r="I49" s="8">
        <f>IFERROR(__xludf.DUMMYFUNCTION("""COMPUTED_VALUE"""),0.466395112016293)</f>
        <v>0.466395112</v>
      </c>
      <c r="J49" s="8">
        <f>IFERROR(__xludf.DUMMYFUNCTION("""COMPUTED_VALUE"""),0.431771894093686)</f>
        <v>0.4317718941</v>
      </c>
      <c r="K49" s="8">
        <f>IFERROR(__xludf.DUMMYFUNCTION("""COMPUTED_VALUE"""),0.391836734693877)</f>
        <v>0.3918367347</v>
      </c>
      <c r="L49" s="8">
        <f>IFERROR(__xludf.DUMMYFUNCTION("""COMPUTED_VALUE"""),0.389795918367346)</f>
        <v>0.3897959184</v>
      </c>
      <c r="M49" s="8">
        <f>IFERROR(__xludf.DUMMYFUNCTION("""COMPUTED_VALUE"""),0.391836734693877)</f>
        <v>0.3918367347</v>
      </c>
      <c r="N49" s="8">
        <f>IFERROR(__xludf.DUMMYFUNCTION("""COMPUTED_VALUE"""),0.392197125256673)</f>
        <v>0.3921971253</v>
      </c>
      <c r="O49" s="8">
        <f>IFERROR(__xludf.DUMMYFUNCTION("""COMPUTED_VALUE"""),0.273148148148148)</f>
        <v>0.2731481481</v>
      </c>
      <c r="P49" s="8">
        <f>IFERROR(__xludf.DUMMYFUNCTION("""COMPUTED_VALUE"""),0.285714285714285)</f>
        <v>0.2857142857</v>
      </c>
      <c r="Q49" s="8">
        <f>IFERROR(__xludf.DUMMYFUNCTION("""COMPUTED_VALUE"""),0.0)</f>
        <v>0</v>
      </c>
      <c r="R49" s="8">
        <f>IFERROR(__xludf.DUMMYFUNCTION("""COMPUTED_VALUE"""),0.0)</f>
        <v>0</v>
      </c>
      <c r="S49" s="8">
        <f>IFERROR(__xludf.DUMMYFUNCTION("""COMPUTED_VALUE"""),0.0)</f>
        <v>0</v>
      </c>
      <c r="T49" s="8">
        <f>IFERROR(__xludf.DUMMYFUNCTION("""COMPUTED_VALUE"""),0.0)</f>
        <v>0</v>
      </c>
      <c r="U49" s="8">
        <f>IFERROR(__xludf.DUMMYFUNCTION("""COMPUTED_VALUE"""),0.0)</f>
        <v>0</v>
      </c>
      <c r="V49" s="8">
        <f>IFERROR(__xludf.DUMMYFUNCTION("""COMPUTED_VALUE"""),0.0)</f>
        <v>0</v>
      </c>
      <c r="W49" s="8">
        <f>IFERROR(__xludf.DUMMYFUNCTION("""COMPUTED_VALUE"""),0.0)</f>
        <v>0</v>
      </c>
      <c r="X49" s="8">
        <f>IFERROR(__xludf.DUMMYFUNCTION("""COMPUTED_VALUE"""),0.0)</f>
        <v>0</v>
      </c>
      <c r="Y49" s="8">
        <f>IFERROR(__xludf.DUMMYFUNCTION("""COMPUTED_VALUE"""),0.0)</f>
        <v>0</v>
      </c>
      <c r="Z49" s="8">
        <f>IFERROR(__xludf.DUMMYFUNCTION("""COMPUTED_VALUE"""),0.0)</f>
        <v>0</v>
      </c>
      <c r="AA49" s="8">
        <f>IFERROR(__xludf.DUMMYFUNCTION("""COMPUTED_VALUE"""),0.0)</f>
        <v>0</v>
      </c>
      <c r="AB49" s="8">
        <f>IFERROR(__xludf.DUMMYFUNCTION("""COMPUTED_VALUE"""),0.0)</f>
        <v>0</v>
      </c>
      <c r="AC49" s="8">
        <f>IFERROR(__xludf.DUMMYFUNCTION("""COMPUTED_VALUE"""),0.0)</f>
        <v>0</v>
      </c>
    </row>
    <row r="50" ht="15.75" customHeight="1">
      <c r="A50" s="6" t="str">
        <f>IFERROR(__xludf.DUMMYFUNCTION("""COMPUTED_VALUE"""),"2804c5c0d94ac97e4b67564cc852e784e64583e5")</f>
        <v>2804c5c0d94ac97e4b67564cc852e784e64583e5</v>
      </c>
      <c r="B50" s="6" t="str">
        <f>IFERROR(__xludf.DUMMYFUNCTION("""COMPUTED_VALUE"""),"Rebirth in Beauty")</f>
        <v>Rebirth in Beauty</v>
      </c>
      <c r="C50" s="6" t="str">
        <f>IFERROR(__xludf.DUMMYFUNCTION("""COMPUTED_VALUE"""),"Fantasy")</f>
        <v>Fantasy</v>
      </c>
      <c r="D50" s="11">
        <f>IFERROR(__xludf.DUMMYFUNCTION("""COMPUTED_VALUE"""),351.0)</f>
        <v>351</v>
      </c>
      <c r="E50" s="8">
        <f>IFERROR(__xludf.DUMMYFUNCTION("""COMPUTED_VALUE"""),0.973988439306358)</f>
        <v>0.9739884393</v>
      </c>
      <c r="F50" s="8">
        <f>IFERROR(__xludf.DUMMYFUNCTION("""COMPUTED_VALUE"""),0.605421686746987)</f>
        <v>0.6054216867</v>
      </c>
      <c r="G50" s="8">
        <f>IFERROR(__xludf.DUMMYFUNCTION("""COMPUTED_VALUE"""),0.526153846153846)</f>
        <v>0.5261538462</v>
      </c>
      <c r="H50" s="8">
        <f>IFERROR(__xludf.DUMMYFUNCTION("""COMPUTED_VALUE"""),0.465986394557823)</f>
        <v>0.4659863946</v>
      </c>
      <c r="I50" s="8">
        <f>IFERROR(__xludf.DUMMYFUNCTION("""COMPUTED_VALUE"""),0.428571428571428)</f>
        <v>0.4285714286</v>
      </c>
      <c r="J50" s="8">
        <f>IFERROR(__xludf.DUMMYFUNCTION("""COMPUTED_VALUE"""),0.409594095940959)</f>
        <v>0.4095940959</v>
      </c>
      <c r="K50" s="8">
        <f>IFERROR(__xludf.DUMMYFUNCTION("""COMPUTED_VALUE"""),0.378378378378378)</f>
        <v>0.3783783784</v>
      </c>
      <c r="L50" s="8">
        <f>IFERROR(__xludf.DUMMYFUNCTION("""COMPUTED_VALUE"""),0.367965367965367)</f>
        <v>0.367965368</v>
      </c>
      <c r="M50" s="8">
        <f>IFERROR(__xludf.DUMMYFUNCTION("""COMPUTED_VALUE"""),0.34020618556701)</f>
        <v>0.3402061856</v>
      </c>
      <c r="N50" s="8">
        <f>IFERROR(__xludf.DUMMYFUNCTION("""COMPUTED_VALUE"""),0.298387096774193)</f>
        <v>0.2983870968</v>
      </c>
      <c r="O50" s="8">
        <f>IFERROR(__xludf.DUMMYFUNCTION("""COMPUTED_VALUE"""),0.25)</f>
        <v>0.25</v>
      </c>
      <c r="P50" s="8">
        <f>IFERROR(__xludf.DUMMYFUNCTION("""COMPUTED_VALUE"""),0.0)</f>
        <v>0</v>
      </c>
      <c r="Q50" s="8">
        <f>IFERROR(__xludf.DUMMYFUNCTION("""COMPUTED_VALUE"""),0.0)</f>
        <v>0</v>
      </c>
      <c r="R50" s="8">
        <f>IFERROR(__xludf.DUMMYFUNCTION("""COMPUTED_VALUE"""),0.0)</f>
        <v>0</v>
      </c>
      <c r="S50" s="8">
        <f>IFERROR(__xludf.DUMMYFUNCTION("""COMPUTED_VALUE"""),0.0)</f>
        <v>0</v>
      </c>
      <c r="T50" s="8">
        <f>IFERROR(__xludf.DUMMYFUNCTION("""COMPUTED_VALUE"""),0.0)</f>
        <v>0</v>
      </c>
      <c r="U50" s="8">
        <f>IFERROR(__xludf.DUMMYFUNCTION("""COMPUTED_VALUE"""),0.0)</f>
        <v>0</v>
      </c>
      <c r="V50" s="8">
        <f>IFERROR(__xludf.DUMMYFUNCTION("""COMPUTED_VALUE"""),0.0)</f>
        <v>0</v>
      </c>
      <c r="W50" s="8">
        <f>IFERROR(__xludf.DUMMYFUNCTION("""COMPUTED_VALUE"""),0.0)</f>
        <v>0</v>
      </c>
      <c r="X50" s="8">
        <f>IFERROR(__xludf.DUMMYFUNCTION("""COMPUTED_VALUE"""),0.0)</f>
        <v>0</v>
      </c>
      <c r="Y50" s="8">
        <f>IFERROR(__xludf.DUMMYFUNCTION("""COMPUTED_VALUE"""),0.0)</f>
        <v>0</v>
      </c>
      <c r="Z50" s="8">
        <f>IFERROR(__xludf.DUMMYFUNCTION("""COMPUTED_VALUE"""),0.0)</f>
        <v>0</v>
      </c>
      <c r="AA50" s="8">
        <f>IFERROR(__xludf.DUMMYFUNCTION("""COMPUTED_VALUE"""),0.0)</f>
        <v>0</v>
      </c>
      <c r="AB50" s="8">
        <f>IFERROR(__xludf.DUMMYFUNCTION("""COMPUTED_VALUE"""),0.0)</f>
        <v>0</v>
      </c>
      <c r="AC50" s="8">
        <f>IFERROR(__xludf.DUMMYFUNCTION("""COMPUTED_VALUE"""),0.0)</f>
        <v>0</v>
      </c>
    </row>
    <row r="51" ht="15.75" customHeight="1">
      <c r="A51" s="6" t="str">
        <f>IFERROR(__xludf.DUMMYFUNCTION("""COMPUTED_VALUE"""),"2969766ce2d0cd5c21da961666ea357622d5d073")</f>
        <v>2969766ce2d0cd5c21da961666ea357622d5d073</v>
      </c>
      <c r="B51" s="6" t="str">
        <f>IFERROR(__xludf.DUMMYFUNCTION("""COMPUTED_VALUE"""),"The Magical Mystic Master")</f>
        <v>The Magical Mystic Master</v>
      </c>
      <c r="C51" s="6" t="str">
        <f>IFERROR(__xludf.DUMMYFUNCTION("""COMPUTED_VALUE"""),"Fantasy")</f>
        <v>Fantasy</v>
      </c>
      <c r="D51" s="11">
        <f>IFERROR(__xludf.DUMMYFUNCTION("""COMPUTED_VALUE"""),718.0)</f>
        <v>718</v>
      </c>
      <c r="E51" s="8">
        <f>IFERROR(__xludf.DUMMYFUNCTION("""COMPUTED_VALUE"""),0.988857938718662)</f>
        <v>0.9888579387</v>
      </c>
      <c r="F51" s="8">
        <f>IFERROR(__xludf.DUMMYFUNCTION("""COMPUTED_VALUE"""),0.577405857740585)</f>
        <v>0.5774058577</v>
      </c>
      <c r="G51" s="8">
        <f>IFERROR(__xludf.DUMMYFUNCTION("""COMPUTED_VALUE"""),0.447698744769874)</f>
        <v>0.4476987448</v>
      </c>
      <c r="H51" s="8">
        <f>IFERROR(__xludf.DUMMYFUNCTION("""COMPUTED_VALUE"""),0.404195804195804)</f>
        <v>0.4041958042</v>
      </c>
      <c r="I51" s="8">
        <f>IFERROR(__xludf.DUMMYFUNCTION("""COMPUTED_VALUE"""),0.332867132867132)</f>
        <v>0.3328671329</v>
      </c>
      <c r="J51" s="8">
        <f>IFERROR(__xludf.DUMMYFUNCTION("""COMPUTED_VALUE"""),0.289510489510489)</f>
        <v>0.2895104895</v>
      </c>
      <c r="K51" s="8">
        <f>IFERROR(__xludf.DUMMYFUNCTION("""COMPUTED_VALUE"""),0.255649717514124)</f>
        <v>0.2556497175</v>
      </c>
      <c r="L51" s="8">
        <f>IFERROR(__xludf.DUMMYFUNCTION("""COMPUTED_VALUE"""),0.235127478753541)</f>
        <v>0.2351274788</v>
      </c>
      <c r="M51" s="8">
        <f>IFERROR(__xludf.DUMMYFUNCTION("""COMPUTED_VALUE"""),0.224113475177304)</f>
        <v>0.2241134752</v>
      </c>
      <c r="N51" s="8">
        <f>IFERROR(__xludf.DUMMYFUNCTION("""COMPUTED_VALUE"""),0.213068181818181)</f>
        <v>0.2130681818</v>
      </c>
      <c r="O51" s="8">
        <f>IFERROR(__xludf.DUMMYFUNCTION("""COMPUTED_VALUE"""),0.161428571428571)</f>
        <v>0.1614285714</v>
      </c>
      <c r="P51" s="8">
        <f>IFERROR(__xludf.DUMMYFUNCTION("""COMPUTED_VALUE"""),0.0935672514619883)</f>
        <v>0.09356725146</v>
      </c>
      <c r="Q51" s="8">
        <f>IFERROR(__xludf.DUMMYFUNCTION("""COMPUTED_VALUE"""),0.169811320754716)</f>
        <v>0.1698113208</v>
      </c>
      <c r="R51" s="8">
        <f>IFERROR(__xludf.DUMMYFUNCTION("""COMPUTED_VALUE"""),0.142857142857142)</f>
        <v>0.1428571429</v>
      </c>
      <c r="S51" s="8">
        <f>IFERROR(__xludf.DUMMYFUNCTION("""COMPUTED_VALUE"""),0.0168539325842696)</f>
        <v>0.01685393258</v>
      </c>
      <c r="T51" s="8">
        <f>IFERROR(__xludf.DUMMYFUNCTION("""COMPUTED_VALUE"""),0.0)</f>
        <v>0</v>
      </c>
      <c r="U51" s="8">
        <f>IFERROR(__xludf.DUMMYFUNCTION("""COMPUTED_VALUE"""),0.0)</f>
        <v>0</v>
      </c>
      <c r="V51" s="8">
        <f>IFERROR(__xludf.DUMMYFUNCTION("""COMPUTED_VALUE"""),0.0)</f>
        <v>0</v>
      </c>
      <c r="W51" s="8">
        <f>IFERROR(__xludf.DUMMYFUNCTION("""COMPUTED_VALUE"""),0.0)</f>
        <v>0</v>
      </c>
      <c r="X51" s="8">
        <f>IFERROR(__xludf.DUMMYFUNCTION("""COMPUTED_VALUE"""),0.0)</f>
        <v>0</v>
      </c>
      <c r="Y51" s="8">
        <f>IFERROR(__xludf.DUMMYFUNCTION("""COMPUTED_VALUE"""),0.0)</f>
        <v>0</v>
      </c>
      <c r="Z51" s="8">
        <f>IFERROR(__xludf.DUMMYFUNCTION("""COMPUTED_VALUE"""),0.0)</f>
        <v>0</v>
      </c>
      <c r="AA51" s="8">
        <f>IFERROR(__xludf.DUMMYFUNCTION("""COMPUTED_VALUE"""),0.0)</f>
        <v>0</v>
      </c>
      <c r="AB51" s="8">
        <f>IFERROR(__xludf.DUMMYFUNCTION("""COMPUTED_VALUE"""),0.0)</f>
        <v>0</v>
      </c>
      <c r="AC51" s="8">
        <f>IFERROR(__xludf.DUMMYFUNCTION("""COMPUTED_VALUE"""),0.0)</f>
        <v>0</v>
      </c>
    </row>
    <row r="52" ht="15.75" customHeight="1">
      <c r="A52" s="6" t="str">
        <f>IFERROR(__xludf.DUMMYFUNCTION("""COMPUTED_VALUE"""),"29b6547143fa9e79e6e0d3e0463e7b79ac00c7fd")</f>
        <v>29b6547143fa9e79e6e0d3e0463e7b79ac00c7fd</v>
      </c>
      <c r="B52" s="6" t="str">
        <f>IFERROR(__xludf.DUMMYFUNCTION("""COMPUTED_VALUE"""),"Love, Revenge &amp; My Past")</f>
        <v>Love, Revenge &amp; My Past</v>
      </c>
      <c r="C52" s="6" t="str">
        <f>IFERROR(__xludf.DUMMYFUNCTION("""COMPUTED_VALUE"""),"Romance")</f>
        <v>Romance</v>
      </c>
      <c r="D52" s="11">
        <f>IFERROR(__xludf.DUMMYFUNCTION("""COMPUTED_VALUE"""),496.0)</f>
        <v>496</v>
      </c>
      <c r="E52" s="8">
        <f>IFERROR(__xludf.DUMMYFUNCTION("""COMPUTED_VALUE"""),0.977822580645161)</f>
        <v>0.9778225806</v>
      </c>
      <c r="F52" s="8">
        <f>IFERROR(__xludf.DUMMYFUNCTION("""COMPUTED_VALUE"""),0.401209677419354)</f>
        <v>0.4012096774</v>
      </c>
      <c r="G52" s="8">
        <f>IFERROR(__xludf.DUMMYFUNCTION("""COMPUTED_VALUE"""),0.366935483870967)</f>
        <v>0.3669354839</v>
      </c>
      <c r="H52" s="8">
        <f>IFERROR(__xludf.DUMMYFUNCTION("""COMPUTED_VALUE"""),0.34274193548387)</f>
        <v>0.3427419355</v>
      </c>
      <c r="I52" s="8">
        <f>IFERROR(__xludf.DUMMYFUNCTION("""COMPUTED_VALUE"""),0.310483870967741)</f>
        <v>0.310483871</v>
      </c>
      <c r="J52" s="8">
        <f>IFERROR(__xludf.DUMMYFUNCTION("""COMPUTED_VALUE"""),0.282258064516129)</f>
        <v>0.2822580645</v>
      </c>
      <c r="K52" s="8">
        <f>IFERROR(__xludf.DUMMYFUNCTION("""COMPUTED_VALUE"""),0.268145161290322)</f>
        <v>0.2681451613</v>
      </c>
      <c r="L52" s="8">
        <f>IFERROR(__xludf.DUMMYFUNCTION("""COMPUTED_VALUE"""),0.26060606060606)</f>
        <v>0.2606060606</v>
      </c>
      <c r="M52" s="8">
        <f>IFERROR(__xludf.DUMMYFUNCTION("""COMPUTED_VALUE"""),0.246464646464646)</f>
        <v>0.2464646465</v>
      </c>
      <c r="N52" s="8">
        <f>IFERROR(__xludf.DUMMYFUNCTION("""COMPUTED_VALUE"""),0.242914979757085)</f>
        <v>0.2429149798</v>
      </c>
      <c r="O52" s="8">
        <f>IFERROR(__xludf.DUMMYFUNCTION("""COMPUTED_VALUE"""),0.178861788617886)</f>
        <v>0.1788617886</v>
      </c>
      <c r="P52" s="8">
        <f>IFERROR(__xludf.DUMMYFUNCTION("""COMPUTED_VALUE"""),0.120654396728016)</f>
        <v>0.1206543967</v>
      </c>
      <c r="Q52" s="8">
        <f>IFERROR(__xludf.DUMMYFUNCTION("""COMPUTED_VALUE"""),0.0471976401179941)</f>
        <v>0.04719764012</v>
      </c>
      <c r="R52" s="8">
        <f>IFERROR(__xludf.DUMMYFUNCTION("""COMPUTED_VALUE"""),0.0314465408805031)</f>
        <v>0.03144654088</v>
      </c>
      <c r="S52" s="8">
        <f>IFERROR(__xludf.DUMMYFUNCTION("""COMPUTED_VALUE"""),0.0526315789473684)</f>
        <v>0.05263157895</v>
      </c>
      <c r="T52" s="8">
        <f>IFERROR(__xludf.DUMMYFUNCTION("""COMPUTED_VALUE"""),0.0)</f>
        <v>0</v>
      </c>
      <c r="U52" s="8">
        <f>IFERROR(__xludf.DUMMYFUNCTION("""COMPUTED_VALUE"""),0.0)</f>
        <v>0</v>
      </c>
      <c r="V52" s="8">
        <f>IFERROR(__xludf.DUMMYFUNCTION("""COMPUTED_VALUE"""),0.0)</f>
        <v>0</v>
      </c>
      <c r="W52" s="8">
        <f>IFERROR(__xludf.DUMMYFUNCTION("""COMPUTED_VALUE"""),0.0)</f>
        <v>0</v>
      </c>
      <c r="X52" s="8">
        <f>IFERROR(__xludf.DUMMYFUNCTION("""COMPUTED_VALUE"""),0.0)</f>
        <v>0</v>
      </c>
      <c r="Y52" s="8">
        <f>IFERROR(__xludf.DUMMYFUNCTION("""COMPUTED_VALUE"""),0.0)</f>
        <v>0</v>
      </c>
      <c r="Z52" s="8">
        <f>IFERROR(__xludf.DUMMYFUNCTION("""COMPUTED_VALUE"""),0.0)</f>
        <v>0</v>
      </c>
      <c r="AA52" s="8">
        <f>IFERROR(__xludf.DUMMYFUNCTION("""COMPUTED_VALUE"""),0.0)</f>
        <v>0</v>
      </c>
      <c r="AB52" s="8">
        <f>IFERROR(__xludf.DUMMYFUNCTION("""COMPUTED_VALUE"""),0.0)</f>
        <v>0</v>
      </c>
      <c r="AC52" s="8">
        <f>IFERROR(__xludf.DUMMYFUNCTION("""COMPUTED_VALUE"""),0.0)</f>
        <v>0</v>
      </c>
    </row>
    <row r="53" ht="15.75" customHeight="1">
      <c r="A53" s="6" t="str">
        <f>IFERROR(__xludf.DUMMYFUNCTION("""COMPUTED_VALUE"""),"2a8120a20d0bebaa0f325746e4058859d5e610ee")</f>
        <v>2a8120a20d0bebaa0f325746e4058859d5e610ee</v>
      </c>
      <c r="B53" s="6" t="str">
        <f>IFERROR(__xludf.DUMMYFUNCTION("""COMPUTED_VALUE"""),"Cultivated Love")</f>
        <v>Cultivated Love</v>
      </c>
      <c r="C53" s="6" t="str">
        <f>IFERROR(__xludf.DUMMYFUNCTION("""COMPUTED_VALUE"""),"Romance")</f>
        <v>Romance</v>
      </c>
      <c r="D53" s="11">
        <f>IFERROR(__xludf.DUMMYFUNCTION("""COMPUTED_VALUE"""),108.0)</f>
        <v>108</v>
      </c>
      <c r="E53" s="8">
        <f>IFERROR(__xludf.DUMMYFUNCTION("""COMPUTED_VALUE"""),0.907407407407407)</f>
        <v>0.9074074074</v>
      </c>
      <c r="F53" s="8">
        <f>IFERROR(__xludf.DUMMYFUNCTION("""COMPUTED_VALUE"""),0.235849056603773)</f>
        <v>0.2358490566</v>
      </c>
      <c r="G53" s="8">
        <f>IFERROR(__xludf.DUMMYFUNCTION("""COMPUTED_VALUE"""),0.198113207547169)</f>
        <v>0.1981132075</v>
      </c>
      <c r="H53" s="8">
        <f>IFERROR(__xludf.DUMMYFUNCTION("""COMPUTED_VALUE"""),0.144230769230769)</f>
        <v>0.1442307692</v>
      </c>
      <c r="I53" s="8">
        <f>IFERROR(__xludf.DUMMYFUNCTION("""COMPUTED_VALUE"""),0.156862745098039)</f>
        <v>0.1568627451</v>
      </c>
      <c r="J53" s="8">
        <f>IFERROR(__xludf.DUMMYFUNCTION("""COMPUTED_VALUE"""),0.16)</f>
        <v>0.16</v>
      </c>
      <c r="K53" s="8">
        <f>IFERROR(__xludf.DUMMYFUNCTION("""COMPUTED_VALUE"""),0.15)</f>
        <v>0.15</v>
      </c>
      <c r="L53" s="8">
        <f>IFERROR(__xludf.DUMMYFUNCTION("""COMPUTED_VALUE"""),0.147368421052631)</f>
        <v>0.1473684211</v>
      </c>
      <c r="M53" s="8">
        <f>IFERROR(__xludf.DUMMYFUNCTION("""COMPUTED_VALUE"""),0.204301075268817)</f>
        <v>0.2043010753</v>
      </c>
      <c r="N53" s="8">
        <f>IFERROR(__xludf.DUMMYFUNCTION("""COMPUTED_VALUE"""),0.164705882352941)</f>
        <v>0.1647058824</v>
      </c>
      <c r="O53" s="8">
        <f>IFERROR(__xludf.DUMMYFUNCTION("""COMPUTED_VALUE"""),0.275)</f>
        <v>0.275</v>
      </c>
      <c r="P53" s="8">
        <f>IFERROR(__xludf.DUMMYFUNCTION("""COMPUTED_VALUE"""),0.179487179487179)</f>
        <v>0.1794871795</v>
      </c>
      <c r="Q53" s="8">
        <f>IFERROR(__xludf.DUMMYFUNCTION("""COMPUTED_VALUE"""),0.111111111111111)</f>
        <v>0.1111111111</v>
      </c>
      <c r="R53" s="8">
        <f>IFERROR(__xludf.DUMMYFUNCTION("""COMPUTED_VALUE"""),0.0967741935483871)</f>
        <v>0.09677419355</v>
      </c>
      <c r="S53" s="8">
        <f>IFERROR(__xludf.DUMMYFUNCTION("""COMPUTED_VALUE"""),0.08)</f>
        <v>0.08</v>
      </c>
      <c r="T53" s="8">
        <f>IFERROR(__xludf.DUMMYFUNCTION("""COMPUTED_VALUE"""),0.1)</f>
        <v>0.1</v>
      </c>
      <c r="U53" s="8">
        <f>IFERROR(__xludf.DUMMYFUNCTION("""COMPUTED_VALUE"""),0.0)</f>
        <v>0</v>
      </c>
      <c r="V53" s="8">
        <f>IFERROR(__xludf.DUMMYFUNCTION("""COMPUTED_VALUE"""),0.0)</f>
        <v>0</v>
      </c>
      <c r="W53" s="8">
        <f>IFERROR(__xludf.DUMMYFUNCTION("""COMPUTED_VALUE"""),0.0)</f>
        <v>0</v>
      </c>
      <c r="X53" s="8">
        <f>IFERROR(__xludf.DUMMYFUNCTION("""COMPUTED_VALUE"""),0.0)</f>
        <v>0</v>
      </c>
      <c r="Y53" s="8">
        <f>IFERROR(__xludf.DUMMYFUNCTION("""COMPUTED_VALUE"""),0.0)</f>
        <v>0</v>
      </c>
      <c r="Z53" s="8">
        <f>IFERROR(__xludf.DUMMYFUNCTION("""COMPUTED_VALUE"""),0.0)</f>
        <v>0</v>
      </c>
      <c r="AA53" s="8">
        <f>IFERROR(__xludf.DUMMYFUNCTION("""COMPUTED_VALUE"""),0.0)</f>
        <v>0</v>
      </c>
      <c r="AB53" s="8">
        <f>IFERROR(__xludf.DUMMYFUNCTION("""COMPUTED_VALUE"""),0.0)</f>
        <v>0</v>
      </c>
      <c r="AC53" s="8">
        <f>IFERROR(__xludf.DUMMYFUNCTION("""COMPUTED_VALUE"""),0.0)</f>
        <v>0</v>
      </c>
    </row>
    <row r="54" ht="15.75" customHeight="1">
      <c r="A54" s="6" t="str">
        <f>IFERROR(__xludf.DUMMYFUNCTION("""COMPUTED_VALUE"""),"2b967281ca19c941aa99d03c959adaf6349da9b3")</f>
        <v>2b967281ca19c941aa99d03c959adaf6349da9b3</v>
      </c>
      <c r="B54" s="6" t="str">
        <f>IFERROR(__xludf.DUMMYFUNCTION("""COMPUTED_VALUE"""),"The Unlikely Heiress")</f>
        <v>The Unlikely Heiress</v>
      </c>
      <c r="C54" s="6" t="str">
        <f>IFERROR(__xludf.DUMMYFUNCTION("""COMPUTED_VALUE"""),"Romance")</f>
        <v>Romance</v>
      </c>
      <c r="D54" s="11">
        <f>IFERROR(__xludf.DUMMYFUNCTION("""COMPUTED_VALUE"""),5091.0)</f>
        <v>5091</v>
      </c>
      <c r="E54" s="8">
        <f>IFERROR(__xludf.DUMMYFUNCTION("""COMPUTED_VALUE"""),0.956786485955607)</f>
        <v>0.956786486</v>
      </c>
      <c r="F54" s="8">
        <f>IFERROR(__xludf.DUMMYFUNCTION("""COMPUTED_VALUE"""),0.558962264150943)</f>
        <v>0.5589622642</v>
      </c>
      <c r="G54" s="8">
        <f>IFERROR(__xludf.DUMMYFUNCTION("""COMPUTED_VALUE"""),0.534801415650806)</f>
        <v>0.5348014157</v>
      </c>
      <c r="H54" s="8">
        <f>IFERROR(__xludf.DUMMYFUNCTION("""COMPUTED_VALUE"""),0.506981317600786)</f>
        <v>0.5069813176</v>
      </c>
      <c r="I54" s="8">
        <f>IFERROR(__xludf.DUMMYFUNCTION("""COMPUTED_VALUE"""),0.489277985441668)</f>
        <v>0.4892779854</v>
      </c>
      <c r="J54" s="8">
        <f>IFERROR(__xludf.DUMMYFUNCTION("""COMPUTED_VALUE"""),0.470866141732283)</f>
        <v>0.4708661417</v>
      </c>
      <c r="K54" s="8">
        <f>IFERROR(__xludf.DUMMYFUNCTION("""COMPUTED_VALUE"""),0.453346456692913)</f>
        <v>0.4533464567</v>
      </c>
      <c r="L54" s="8">
        <f>IFERROR(__xludf.DUMMYFUNCTION("""COMPUTED_VALUE"""),0.435073891625615)</f>
        <v>0.4350738916</v>
      </c>
      <c r="M54" s="8">
        <f>IFERROR(__xludf.DUMMYFUNCTION("""COMPUTED_VALUE"""),0.4232741617357)</f>
        <v>0.4232741617</v>
      </c>
      <c r="N54" s="8">
        <f>IFERROR(__xludf.DUMMYFUNCTION("""COMPUTED_VALUE"""),0.421603475513428)</f>
        <v>0.4216034755</v>
      </c>
      <c r="O54" s="8">
        <f>IFERROR(__xludf.DUMMYFUNCTION("""COMPUTED_VALUE"""),0.376805857906194)</f>
        <v>0.3768058579</v>
      </c>
      <c r="P54" s="8">
        <f>IFERROR(__xludf.DUMMYFUNCTION("""COMPUTED_VALUE"""),0.31243800833168)</f>
        <v>0.3124380083</v>
      </c>
      <c r="Q54" s="8">
        <f>IFERROR(__xludf.DUMMYFUNCTION("""COMPUTED_VALUE"""),0.216108452950558)</f>
        <v>0.216108453</v>
      </c>
      <c r="R54" s="8">
        <f>IFERROR(__xludf.DUMMYFUNCTION("""COMPUTED_VALUE"""),0.192447495961227)</f>
        <v>0.192447496</v>
      </c>
      <c r="S54" s="8">
        <f>IFERROR(__xludf.DUMMYFUNCTION("""COMPUTED_VALUE"""),0.146910633784142)</f>
        <v>0.1469106338</v>
      </c>
      <c r="T54" s="8">
        <f>IFERROR(__xludf.DUMMYFUNCTION("""COMPUTED_VALUE"""),0.09)</f>
        <v>0.09</v>
      </c>
      <c r="U54" s="8">
        <f>IFERROR(__xludf.DUMMYFUNCTION("""COMPUTED_VALUE"""),0.0072992700729927)</f>
        <v>0.007299270073</v>
      </c>
      <c r="V54" s="8">
        <f>IFERROR(__xludf.DUMMYFUNCTION("""COMPUTED_VALUE"""),0.0)</f>
        <v>0</v>
      </c>
      <c r="W54" s="8">
        <f>IFERROR(__xludf.DUMMYFUNCTION("""COMPUTED_VALUE"""),0.0)</f>
        <v>0</v>
      </c>
      <c r="X54" s="8">
        <f>IFERROR(__xludf.DUMMYFUNCTION("""COMPUTED_VALUE"""),0.0)</f>
        <v>0</v>
      </c>
      <c r="Y54" s="8">
        <f>IFERROR(__xludf.DUMMYFUNCTION("""COMPUTED_VALUE"""),0.0)</f>
        <v>0</v>
      </c>
      <c r="Z54" s="8">
        <f>IFERROR(__xludf.DUMMYFUNCTION("""COMPUTED_VALUE"""),0.0)</f>
        <v>0</v>
      </c>
      <c r="AA54" s="8">
        <f>IFERROR(__xludf.DUMMYFUNCTION("""COMPUTED_VALUE"""),0.0)</f>
        <v>0</v>
      </c>
      <c r="AB54" s="8">
        <f>IFERROR(__xludf.DUMMYFUNCTION("""COMPUTED_VALUE"""),0.0)</f>
        <v>0</v>
      </c>
      <c r="AC54" s="8">
        <f>IFERROR(__xludf.DUMMYFUNCTION("""COMPUTED_VALUE"""),0.0)</f>
        <v>0</v>
      </c>
    </row>
    <row r="55" ht="15.75" customHeight="1">
      <c r="A55" s="6" t="str">
        <f>IFERROR(__xludf.DUMMYFUNCTION("""COMPUTED_VALUE"""),"2fb79ac2c90574002aaeec2f842f6693eb8ff7c2")</f>
        <v>2fb79ac2c90574002aaeec2f842f6693eb8ff7c2</v>
      </c>
      <c r="B55" s="6" t="str">
        <f>IFERROR(__xludf.DUMMYFUNCTION("""COMPUTED_VALUE"""),"Dear Boss")</f>
        <v>Dear Boss</v>
      </c>
      <c r="C55" s="6" t="str">
        <f>IFERROR(__xludf.DUMMYFUNCTION("""COMPUTED_VALUE"""),"Romance")</f>
        <v>Romance</v>
      </c>
      <c r="D55" s="11">
        <f>IFERROR(__xludf.DUMMYFUNCTION("""COMPUTED_VALUE"""),439.0)</f>
        <v>439</v>
      </c>
      <c r="E55" s="8">
        <f>IFERROR(__xludf.DUMMYFUNCTION("""COMPUTED_VALUE"""),0.972665148063781)</f>
        <v>0.9726651481</v>
      </c>
      <c r="F55" s="8">
        <f>IFERROR(__xludf.DUMMYFUNCTION("""COMPUTED_VALUE"""),0.554794520547945)</f>
        <v>0.5547945205</v>
      </c>
      <c r="G55" s="8">
        <f>IFERROR(__xludf.DUMMYFUNCTION("""COMPUTED_VALUE"""),0.484018264840182)</f>
        <v>0.4840182648</v>
      </c>
      <c r="H55" s="8">
        <f>IFERROR(__xludf.DUMMYFUNCTION("""COMPUTED_VALUE"""),0.454128440366972)</f>
        <v>0.4541284404</v>
      </c>
      <c r="I55" s="8">
        <f>IFERROR(__xludf.DUMMYFUNCTION("""COMPUTED_VALUE"""),0.426605504587155)</f>
        <v>0.4266055046</v>
      </c>
      <c r="J55" s="8">
        <f>IFERROR(__xludf.DUMMYFUNCTION("""COMPUTED_VALUE"""),0.370967741935483)</f>
        <v>0.3709677419</v>
      </c>
      <c r="K55" s="8">
        <f>IFERROR(__xludf.DUMMYFUNCTION("""COMPUTED_VALUE"""),0.347222222222222)</f>
        <v>0.3472222222</v>
      </c>
      <c r="L55" s="8">
        <f>IFERROR(__xludf.DUMMYFUNCTION("""COMPUTED_VALUE"""),0.33890214797136)</f>
        <v>0.338902148</v>
      </c>
      <c r="M55" s="8">
        <f>IFERROR(__xludf.DUMMYFUNCTION("""COMPUTED_VALUE"""),0.33068783068783)</f>
        <v>0.3306878307</v>
      </c>
      <c r="N55" s="8">
        <f>IFERROR(__xludf.DUMMYFUNCTION("""COMPUTED_VALUE"""),0.342182890855457)</f>
        <v>0.3421828909</v>
      </c>
      <c r="O55" s="8">
        <f>IFERROR(__xludf.DUMMYFUNCTION("""COMPUTED_VALUE"""),0.419354838709677)</f>
        <v>0.4193548387</v>
      </c>
      <c r="P55" s="8">
        <f>IFERROR(__xludf.DUMMYFUNCTION("""COMPUTED_VALUE"""),0.5)</f>
        <v>0.5</v>
      </c>
      <c r="Q55" s="8">
        <f>IFERROR(__xludf.DUMMYFUNCTION("""COMPUTED_VALUE"""),0.0)</f>
        <v>0</v>
      </c>
      <c r="R55" s="8">
        <f>IFERROR(__xludf.DUMMYFUNCTION("""COMPUTED_VALUE"""),0.0)</f>
        <v>0</v>
      </c>
      <c r="S55" s="8">
        <f>IFERROR(__xludf.DUMMYFUNCTION("""COMPUTED_VALUE"""),0.0)</f>
        <v>0</v>
      </c>
      <c r="T55" s="8">
        <f>IFERROR(__xludf.DUMMYFUNCTION("""COMPUTED_VALUE"""),0.0)</f>
        <v>0</v>
      </c>
      <c r="U55" s="8">
        <f>IFERROR(__xludf.DUMMYFUNCTION("""COMPUTED_VALUE"""),0.0)</f>
        <v>0</v>
      </c>
      <c r="V55" s="8">
        <f>IFERROR(__xludf.DUMMYFUNCTION("""COMPUTED_VALUE"""),0.0)</f>
        <v>0</v>
      </c>
      <c r="W55" s="8">
        <f>IFERROR(__xludf.DUMMYFUNCTION("""COMPUTED_VALUE"""),0.0)</f>
        <v>0</v>
      </c>
      <c r="X55" s="8">
        <f>IFERROR(__xludf.DUMMYFUNCTION("""COMPUTED_VALUE"""),0.0)</f>
        <v>0</v>
      </c>
      <c r="Y55" s="8">
        <f>IFERROR(__xludf.DUMMYFUNCTION("""COMPUTED_VALUE"""),0.0)</f>
        <v>0</v>
      </c>
      <c r="Z55" s="8">
        <f>IFERROR(__xludf.DUMMYFUNCTION("""COMPUTED_VALUE"""),0.0)</f>
        <v>0</v>
      </c>
      <c r="AA55" s="8">
        <f>IFERROR(__xludf.DUMMYFUNCTION("""COMPUTED_VALUE"""),0.0)</f>
        <v>0</v>
      </c>
      <c r="AB55" s="8">
        <f>IFERROR(__xludf.DUMMYFUNCTION("""COMPUTED_VALUE"""),0.0)</f>
        <v>0</v>
      </c>
      <c r="AC55" s="8">
        <f>IFERROR(__xludf.DUMMYFUNCTION("""COMPUTED_VALUE"""),0.0)</f>
        <v>0</v>
      </c>
    </row>
    <row r="56" ht="15.75" customHeight="1">
      <c r="A56" s="6" t="str">
        <f>IFERROR(__xludf.DUMMYFUNCTION("""COMPUTED_VALUE"""),"31b86ee5ffeadf52fab3148c3add083a2f90b442")</f>
        <v>31b86ee5ffeadf52fab3148c3add083a2f90b442</v>
      </c>
      <c r="B56" s="6" t="str">
        <f>IFERROR(__xludf.DUMMYFUNCTION("""COMPUTED_VALUE"""),"Enchanted by Blood ")</f>
        <v>Enchanted by Blood </v>
      </c>
      <c r="C56" s="6" t="str">
        <f>IFERROR(__xludf.DUMMYFUNCTION("""COMPUTED_VALUE"""),"Romantasy")</f>
        <v>Romantasy</v>
      </c>
      <c r="D56" s="11">
        <f>IFERROR(__xludf.DUMMYFUNCTION("""COMPUTED_VALUE"""),104.0)</f>
        <v>104</v>
      </c>
      <c r="E56" s="8">
        <f>IFERROR(__xludf.DUMMYFUNCTION("""COMPUTED_VALUE"""),0.969696969696969)</f>
        <v>0.9696969697</v>
      </c>
      <c r="F56" s="8">
        <f>IFERROR(__xludf.DUMMYFUNCTION("""COMPUTED_VALUE"""),0.288659793814432)</f>
        <v>0.2886597938</v>
      </c>
      <c r="G56" s="8">
        <f>IFERROR(__xludf.DUMMYFUNCTION("""COMPUTED_VALUE"""),0.229166666666666)</f>
        <v>0.2291666667</v>
      </c>
      <c r="H56" s="8">
        <f>IFERROR(__xludf.DUMMYFUNCTION("""COMPUTED_VALUE"""),0.186813186813186)</f>
        <v>0.1868131868</v>
      </c>
      <c r="I56" s="8">
        <f>IFERROR(__xludf.DUMMYFUNCTION("""COMPUTED_VALUE"""),0.147727272727272)</f>
        <v>0.1477272727</v>
      </c>
      <c r="J56" s="8">
        <f>IFERROR(__xludf.DUMMYFUNCTION("""COMPUTED_VALUE"""),0.0941176470588235)</f>
        <v>0.09411764706</v>
      </c>
      <c r="K56" s="8">
        <f>IFERROR(__xludf.DUMMYFUNCTION("""COMPUTED_VALUE"""),0.072289156626506)</f>
        <v>0.07228915663</v>
      </c>
      <c r="L56" s="8">
        <f>IFERROR(__xludf.DUMMYFUNCTION("""COMPUTED_VALUE"""),0.0789473684210526)</f>
        <v>0.07894736842</v>
      </c>
      <c r="M56" s="8">
        <f>IFERROR(__xludf.DUMMYFUNCTION("""COMPUTED_VALUE"""),0.0606060606060606)</f>
        <v>0.06060606061</v>
      </c>
      <c r="N56" s="8">
        <f>IFERROR(__xludf.DUMMYFUNCTION("""COMPUTED_VALUE"""),0.0714285714285714)</f>
        <v>0.07142857143</v>
      </c>
      <c r="O56" s="8">
        <f>IFERROR(__xludf.DUMMYFUNCTION("""COMPUTED_VALUE"""),0.166666666666666)</f>
        <v>0.1666666667</v>
      </c>
      <c r="P56" s="8">
        <f>IFERROR(__xludf.DUMMYFUNCTION("""COMPUTED_VALUE"""),0.166666666666666)</f>
        <v>0.1666666667</v>
      </c>
      <c r="Q56" s="8">
        <f>IFERROR(__xludf.DUMMYFUNCTION("""COMPUTED_VALUE"""),0.166666666666666)</f>
        <v>0.1666666667</v>
      </c>
      <c r="R56" s="8">
        <f>IFERROR(__xludf.DUMMYFUNCTION("""COMPUTED_VALUE"""),0.0)</f>
        <v>0</v>
      </c>
      <c r="S56" s="8">
        <f>IFERROR(__xludf.DUMMYFUNCTION("""COMPUTED_VALUE"""),0.0)</f>
        <v>0</v>
      </c>
      <c r="T56" s="8">
        <f>IFERROR(__xludf.DUMMYFUNCTION("""COMPUTED_VALUE"""),0.0)</f>
        <v>0</v>
      </c>
      <c r="U56" s="8">
        <f>IFERROR(__xludf.DUMMYFUNCTION("""COMPUTED_VALUE"""),0.0)</f>
        <v>0</v>
      </c>
      <c r="V56" s="8">
        <f>IFERROR(__xludf.DUMMYFUNCTION("""COMPUTED_VALUE"""),0.0)</f>
        <v>0</v>
      </c>
      <c r="W56" s="8">
        <f>IFERROR(__xludf.DUMMYFUNCTION("""COMPUTED_VALUE"""),0.0)</f>
        <v>0</v>
      </c>
      <c r="X56" s="8">
        <f>IFERROR(__xludf.DUMMYFUNCTION("""COMPUTED_VALUE"""),0.0)</f>
        <v>0</v>
      </c>
      <c r="Y56" s="8">
        <f>IFERROR(__xludf.DUMMYFUNCTION("""COMPUTED_VALUE"""),0.0)</f>
        <v>0</v>
      </c>
      <c r="Z56" s="8">
        <f>IFERROR(__xludf.DUMMYFUNCTION("""COMPUTED_VALUE"""),0.0)</f>
        <v>0</v>
      </c>
      <c r="AA56" s="8">
        <f>IFERROR(__xludf.DUMMYFUNCTION("""COMPUTED_VALUE"""),0.0)</f>
        <v>0</v>
      </c>
      <c r="AB56" s="8">
        <f>IFERROR(__xludf.DUMMYFUNCTION("""COMPUTED_VALUE"""),0.0)</f>
        <v>0</v>
      </c>
      <c r="AC56" s="8">
        <f>IFERROR(__xludf.DUMMYFUNCTION("""COMPUTED_VALUE"""),0.0)</f>
        <v>0</v>
      </c>
    </row>
    <row r="57" ht="15.75" customHeight="1">
      <c r="A57" s="6" t="str">
        <f>IFERROR(__xludf.DUMMYFUNCTION("""COMPUTED_VALUE"""),"31e58f7ec421b1daaed1f4ac654ecd9eb855bc93")</f>
        <v>31e58f7ec421b1daaed1f4ac654ecd9eb855bc93</v>
      </c>
      <c r="B57" s="6" t="str">
        <f>IFERROR(__xludf.DUMMYFUNCTION("""COMPUTED_VALUE"""),"The Forsaken Path")</f>
        <v>The Forsaken Path</v>
      </c>
      <c r="C57" s="6" t="str">
        <f>IFERROR(__xludf.DUMMYFUNCTION("""COMPUTED_VALUE"""),"Fantasy")</f>
        <v>Fantasy</v>
      </c>
      <c r="D57" s="11">
        <f>IFERROR(__xludf.DUMMYFUNCTION("""COMPUTED_VALUE"""),550.0)</f>
        <v>550</v>
      </c>
      <c r="E57" s="8">
        <f>IFERROR(__xludf.DUMMYFUNCTION("""COMPUTED_VALUE"""),0.987272727272727)</f>
        <v>0.9872727273</v>
      </c>
      <c r="F57" s="8">
        <f>IFERROR(__xludf.DUMMYFUNCTION("""COMPUTED_VALUE"""),0.555555555555555)</f>
        <v>0.5555555556</v>
      </c>
      <c r="G57" s="8">
        <f>IFERROR(__xludf.DUMMYFUNCTION("""COMPUTED_VALUE"""),0.505474452554744)</f>
        <v>0.5054744526</v>
      </c>
      <c r="H57" s="8">
        <f>IFERROR(__xludf.DUMMYFUNCTION("""COMPUTED_VALUE"""),0.4375)</f>
        <v>0.4375</v>
      </c>
      <c r="I57" s="8">
        <f>IFERROR(__xludf.DUMMYFUNCTION("""COMPUTED_VALUE"""),0.424074074074074)</f>
        <v>0.4240740741</v>
      </c>
      <c r="J57" s="8">
        <f>IFERROR(__xludf.DUMMYFUNCTION("""COMPUTED_VALUE"""),0.409005628517823)</f>
        <v>0.4090056285</v>
      </c>
      <c r="K57" s="8">
        <f>IFERROR(__xludf.DUMMYFUNCTION("""COMPUTED_VALUE"""),0.39089184060721)</f>
        <v>0.3908918406</v>
      </c>
      <c r="L57" s="8">
        <f>IFERROR(__xludf.DUMMYFUNCTION("""COMPUTED_VALUE"""),0.378846153846153)</f>
        <v>0.3788461538</v>
      </c>
      <c r="M57" s="8">
        <f>IFERROR(__xludf.DUMMYFUNCTION("""COMPUTED_VALUE"""),0.36078431372549)</f>
        <v>0.3607843137</v>
      </c>
      <c r="N57" s="8">
        <f>IFERROR(__xludf.DUMMYFUNCTION("""COMPUTED_VALUE"""),0.347826086956521)</f>
        <v>0.347826087</v>
      </c>
      <c r="O57" s="8">
        <f>IFERROR(__xludf.DUMMYFUNCTION("""COMPUTED_VALUE"""),0.227272727272727)</f>
        <v>0.2272727273</v>
      </c>
      <c r="P57" s="8">
        <f>IFERROR(__xludf.DUMMYFUNCTION("""COMPUTED_VALUE"""),0.15)</f>
        <v>0.15</v>
      </c>
      <c r="Q57" s="8">
        <f>IFERROR(__xludf.DUMMYFUNCTION("""COMPUTED_VALUE"""),0.125)</f>
        <v>0.125</v>
      </c>
      <c r="R57" s="8">
        <f>IFERROR(__xludf.DUMMYFUNCTION("""COMPUTED_VALUE"""),0.4)</f>
        <v>0.4</v>
      </c>
      <c r="S57" s="8">
        <f>IFERROR(__xludf.DUMMYFUNCTION("""COMPUTED_VALUE"""),0.0)</f>
        <v>0</v>
      </c>
      <c r="T57" s="8">
        <f>IFERROR(__xludf.DUMMYFUNCTION("""COMPUTED_VALUE"""),0.0)</f>
        <v>0</v>
      </c>
      <c r="U57" s="8">
        <f>IFERROR(__xludf.DUMMYFUNCTION("""COMPUTED_VALUE"""),0.0)</f>
        <v>0</v>
      </c>
      <c r="V57" s="8">
        <f>IFERROR(__xludf.DUMMYFUNCTION("""COMPUTED_VALUE"""),0.0)</f>
        <v>0</v>
      </c>
      <c r="W57" s="8">
        <f>IFERROR(__xludf.DUMMYFUNCTION("""COMPUTED_VALUE"""),0.0)</f>
        <v>0</v>
      </c>
      <c r="X57" s="8">
        <f>IFERROR(__xludf.DUMMYFUNCTION("""COMPUTED_VALUE"""),0.0)</f>
        <v>0</v>
      </c>
      <c r="Y57" s="8">
        <f>IFERROR(__xludf.DUMMYFUNCTION("""COMPUTED_VALUE"""),0.0)</f>
        <v>0</v>
      </c>
      <c r="Z57" s="8">
        <f>IFERROR(__xludf.DUMMYFUNCTION("""COMPUTED_VALUE"""),0.0)</f>
        <v>0</v>
      </c>
      <c r="AA57" s="8">
        <f>IFERROR(__xludf.DUMMYFUNCTION("""COMPUTED_VALUE"""),0.0)</f>
        <v>0</v>
      </c>
      <c r="AB57" s="8">
        <f>IFERROR(__xludf.DUMMYFUNCTION("""COMPUTED_VALUE"""),0.0)</f>
        <v>0</v>
      </c>
      <c r="AC57" s="8">
        <f>IFERROR(__xludf.DUMMYFUNCTION("""COMPUTED_VALUE"""),0.0)</f>
        <v>0</v>
      </c>
    </row>
    <row r="58" ht="15.75" customHeight="1">
      <c r="A58" s="6" t="str">
        <f>IFERROR(__xludf.DUMMYFUNCTION("""COMPUTED_VALUE"""),"328a6c95d732271bc4717aa2abf3a7c15f89a25e")</f>
        <v>328a6c95d732271bc4717aa2abf3a7c15f89a25e</v>
      </c>
      <c r="B58" s="6" t="str">
        <f>IFERROR(__xludf.DUMMYFUNCTION("""COMPUTED_VALUE"""),"Braving the Rapid Waters")</f>
        <v>Braving the Rapid Waters</v>
      </c>
      <c r="C58" s="6" t="str">
        <f>IFERROR(__xludf.DUMMYFUNCTION("""COMPUTED_VALUE"""),"Romance")</f>
        <v>Romance</v>
      </c>
      <c r="D58" s="11">
        <f>IFERROR(__xludf.DUMMYFUNCTION("""COMPUTED_VALUE"""),431.0)</f>
        <v>431</v>
      </c>
      <c r="E58" s="8">
        <f>IFERROR(__xludf.DUMMYFUNCTION("""COMPUTED_VALUE"""),0.976798143851508)</f>
        <v>0.9767981439</v>
      </c>
      <c r="F58" s="8">
        <f>IFERROR(__xludf.DUMMYFUNCTION("""COMPUTED_VALUE"""),0.533642691415313)</f>
        <v>0.5336426914</v>
      </c>
      <c r="G58" s="8">
        <f>IFERROR(__xludf.DUMMYFUNCTION("""COMPUTED_VALUE"""),0.459396751740139)</f>
        <v>0.4593967517</v>
      </c>
      <c r="H58" s="8">
        <f>IFERROR(__xludf.DUMMYFUNCTION("""COMPUTED_VALUE"""),0.433874709976798)</f>
        <v>0.43387471</v>
      </c>
      <c r="I58" s="8">
        <f>IFERROR(__xludf.DUMMYFUNCTION("""COMPUTED_VALUE"""),0.403712296983758)</f>
        <v>0.403712297</v>
      </c>
      <c r="J58" s="8">
        <f>IFERROR(__xludf.DUMMYFUNCTION("""COMPUTED_VALUE"""),0.392111368909512)</f>
        <v>0.3921113689</v>
      </c>
      <c r="K58" s="8">
        <f>IFERROR(__xludf.DUMMYFUNCTION("""COMPUTED_VALUE"""),0.372093023255813)</f>
        <v>0.3720930233</v>
      </c>
      <c r="L58" s="8">
        <f>IFERROR(__xludf.DUMMYFUNCTION("""COMPUTED_VALUE"""),0.353488372093023)</f>
        <v>0.3534883721</v>
      </c>
      <c r="M58" s="8">
        <f>IFERROR(__xludf.DUMMYFUNCTION("""COMPUTED_VALUE"""),0.33953488372093)</f>
        <v>0.3395348837</v>
      </c>
      <c r="N58" s="8">
        <f>IFERROR(__xludf.DUMMYFUNCTION("""COMPUTED_VALUE"""),0.327906976744186)</f>
        <v>0.3279069767</v>
      </c>
      <c r="O58" s="8">
        <f>IFERROR(__xludf.DUMMYFUNCTION("""COMPUTED_VALUE"""),0.232558139534883)</f>
        <v>0.2325581395</v>
      </c>
      <c r="P58" s="8">
        <f>IFERROR(__xludf.DUMMYFUNCTION("""COMPUTED_VALUE"""),0.141860465116279)</f>
        <v>0.1418604651</v>
      </c>
      <c r="Q58" s="8">
        <f>IFERROR(__xludf.DUMMYFUNCTION("""COMPUTED_VALUE"""),0.0829383886255924)</f>
        <v>0.08293838863</v>
      </c>
      <c r="R58" s="8">
        <f>IFERROR(__xludf.DUMMYFUNCTION("""COMPUTED_VALUE"""),0.0332541567695962)</f>
        <v>0.03325415677</v>
      </c>
      <c r="S58" s="8">
        <f>IFERROR(__xludf.DUMMYFUNCTION("""COMPUTED_VALUE"""),0.0)</f>
        <v>0</v>
      </c>
      <c r="T58" s="8">
        <f>IFERROR(__xludf.DUMMYFUNCTION("""COMPUTED_VALUE"""),0.0)</f>
        <v>0</v>
      </c>
      <c r="U58" s="8">
        <f>IFERROR(__xludf.DUMMYFUNCTION("""COMPUTED_VALUE"""),0.0)</f>
        <v>0</v>
      </c>
      <c r="V58" s="8">
        <f>IFERROR(__xludf.DUMMYFUNCTION("""COMPUTED_VALUE"""),0.0)</f>
        <v>0</v>
      </c>
      <c r="W58" s="8">
        <f>IFERROR(__xludf.DUMMYFUNCTION("""COMPUTED_VALUE"""),0.0)</f>
        <v>0</v>
      </c>
      <c r="X58" s="8">
        <f>IFERROR(__xludf.DUMMYFUNCTION("""COMPUTED_VALUE"""),0.0)</f>
        <v>0</v>
      </c>
      <c r="Y58" s="8">
        <f>IFERROR(__xludf.DUMMYFUNCTION("""COMPUTED_VALUE"""),0.0)</f>
        <v>0</v>
      </c>
      <c r="Z58" s="8">
        <f>IFERROR(__xludf.DUMMYFUNCTION("""COMPUTED_VALUE"""),0.0)</f>
        <v>0</v>
      </c>
      <c r="AA58" s="8">
        <f>IFERROR(__xludf.DUMMYFUNCTION("""COMPUTED_VALUE"""),0.0)</f>
        <v>0</v>
      </c>
      <c r="AB58" s="8">
        <f>IFERROR(__xludf.DUMMYFUNCTION("""COMPUTED_VALUE"""),0.0)</f>
        <v>0</v>
      </c>
      <c r="AC58" s="8">
        <f>IFERROR(__xludf.DUMMYFUNCTION("""COMPUTED_VALUE"""),0.0)</f>
        <v>0</v>
      </c>
    </row>
    <row r="59" ht="15.75" customHeight="1">
      <c r="A59" s="6" t="str">
        <f>IFERROR(__xludf.DUMMYFUNCTION("""COMPUTED_VALUE"""),"328d4b017d5db890a886902acdade960088fb3d8")</f>
        <v>328d4b017d5db890a886902acdade960088fb3d8</v>
      </c>
      <c r="B59" s="6" t="str">
        <f>IFERROR(__xludf.DUMMYFUNCTION("""COMPUTED_VALUE"""),"Her Worthless Son-in-Law")</f>
        <v>Her Worthless Son-in-Law</v>
      </c>
      <c r="C59" s="6" t="str">
        <f>IFERROR(__xludf.DUMMYFUNCTION("""COMPUTED_VALUE"""),"System and Superpower")</f>
        <v>System and Superpower</v>
      </c>
      <c r="D59" s="11">
        <f>IFERROR(__xludf.DUMMYFUNCTION("""COMPUTED_VALUE"""),108.0)</f>
        <v>108</v>
      </c>
      <c r="E59" s="8">
        <f>IFERROR(__xludf.DUMMYFUNCTION("""COMPUTED_VALUE"""),0.907407407407407)</f>
        <v>0.9074074074</v>
      </c>
      <c r="F59" s="8">
        <f>IFERROR(__xludf.DUMMYFUNCTION("""COMPUTED_VALUE"""),0.757009345794392)</f>
        <v>0.7570093458</v>
      </c>
      <c r="G59" s="8">
        <f>IFERROR(__xludf.DUMMYFUNCTION("""COMPUTED_VALUE"""),0.714285714285714)</f>
        <v>0.7142857143</v>
      </c>
      <c r="H59" s="8">
        <f>IFERROR(__xludf.DUMMYFUNCTION("""COMPUTED_VALUE"""),0.64516129032258)</f>
        <v>0.6451612903</v>
      </c>
      <c r="I59" s="8">
        <f>IFERROR(__xludf.DUMMYFUNCTION("""COMPUTED_VALUE"""),0.626373626373626)</f>
        <v>0.6263736264</v>
      </c>
      <c r="J59" s="8">
        <f>IFERROR(__xludf.DUMMYFUNCTION("""COMPUTED_VALUE"""),0.586206896551724)</f>
        <v>0.5862068966</v>
      </c>
      <c r="K59" s="8">
        <f>IFERROR(__xludf.DUMMYFUNCTION("""COMPUTED_VALUE"""),0.593023255813953)</f>
        <v>0.5930232558</v>
      </c>
      <c r="L59" s="8">
        <f>IFERROR(__xludf.DUMMYFUNCTION("""COMPUTED_VALUE"""),0.564705882352941)</f>
        <v>0.5647058824</v>
      </c>
      <c r="M59" s="8">
        <f>IFERROR(__xludf.DUMMYFUNCTION("""COMPUTED_VALUE"""),0.552941176470588)</f>
        <v>0.5529411765</v>
      </c>
      <c r="N59" s="8">
        <f>IFERROR(__xludf.DUMMYFUNCTION("""COMPUTED_VALUE"""),0.548780487804878)</f>
        <v>0.5487804878</v>
      </c>
      <c r="O59" s="8">
        <f>IFERROR(__xludf.DUMMYFUNCTION("""COMPUTED_VALUE"""),0.442857142857142)</f>
        <v>0.4428571429</v>
      </c>
      <c r="P59" s="8">
        <f>IFERROR(__xludf.DUMMYFUNCTION("""COMPUTED_VALUE"""),0.352941176470588)</f>
        <v>0.3529411765</v>
      </c>
      <c r="Q59" s="8">
        <f>IFERROR(__xludf.DUMMYFUNCTION("""COMPUTED_VALUE"""),0.266666666666666)</f>
        <v>0.2666666667</v>
      </c>
      <c r="R59" s="8">
        <f>IFERROR(__xludf.DUMMYFUNCTION("""COMPUTED_VALUE"""),0.1)</f>
        <v>0.1</v>
      </c>
      <c r="S59" s="8">
        <f>IFERROR(__xludf.DUMMYFUNCTION("""COMPUTED_VALUE"""),0.0)</f>
        <v>0</v>
      </c>
      <c r="T59" s="8">
        <f>IFERROR(__xludf.DUMMYFUNCTION("""COMPUTED_VALUE"""),0.0)</f>
        <v>0</v>
      </c>
      <c r="U59" s="8">
        <f>IFERROR(__xludf.DUMMYFUNCTION("""COMPUTED_VALUE"""),0.0)</f>
        <v>0</v>
      </c>
      <c r="V59" s="8">
        <f>IFERROR(__xludf.DUMMYFUNCTION("""COMPUTED_VALUE"""),0.0)</f>
        <v>0</v>
      </c>
      <c r="W59" s="8">
        <f>IFERROR(__xludf.DUMMYFUNCTION("""COMPUTED_VALUE"""),0.0)</f>
        <v>0</v>
      </c>
      <c r="X59" s="8">
        <f>IFERROR(__xludf.DUMMYFUNCTION("""COMPUTED_VALUE"""),0.0)</f>
        <v>0</v>
      </c>
      <c r="Y59" s="8">
        <f>IFERROR(__xludf.DUMMYFUNCTION("""COMPUTED_VALUE"""),0.0)</f>
        <v>0</v>
      </c>
      <c r="Z59" s="8">
        <f>IFERROR(__xludf.DUMMYFUNCTION("""COMPUTED_VALUE"""),0.0)</f>
        <v>0</v>
      </c>
      <c r="AA59" s="8">
        <f>IFERROR(__xludf.DUMMYFUNCTION("""COMPUTED_VALUE"""),0.0)</f>
        <v>0</v>
      </c>
      <c r="AB59" s="8">
        <f>IFERROR(__xludf.DUMMYFUNCTION("""COMPUTED_VALUE"""),0.0)</f>
        <v>0</v>
      </c>
      <c r="AC59" s="8">
        <f>IFERROR(__xludf.DUMMYFUNCTION("""COMPUTED_VALUE"""),0.0)</f>
        <v>0</v>
      </c>
    </row>
    <row r="60" ht="15.75" customHeight="1">
      <c r="A60" s="6" t="str">
        <f>IFERROR(__xludf.DUMMYFUNCTION("""COMPUTED_VALUE"""),"33e8ab0db9ae32917785af78276932f16eac10c0")</f>
        <v>33e8ab0db9ae32917785af78276932f16eac10c0</v>
      </c>
      <c r="B60" s="6" t="str">
        <f>IFERROR(__xludf.DUMMYFUNCTION("""COMPUTED_VALUE"""),"The Crowns Selection")</f>
        <v>The Crowns Selection</v>
      </c>
      <c r="C60" s="6" t="str">
        <f>IFERROR(__xludf.DUMMYFUNCTION("""COMPUTED_VALUE"""),"Romance")</f>
        <v>Romance</v>
      </c>
      <c r="D60" s="11">
        <f>IFERROR(__xludf.DUMMYFUNCTION("""COMPUTED_VALUE"""),533.0)</f>
        <v>533</v>
      </c>
      <c r="E60" s="8">
        <f>IFERROR(__xludf.DUMMYFUNCTION("""COMPUTED_VALUE"""),0.983082706766917)</f>
        <v>0.9830827068</v>
      </c>
      <c r="F60" s="8">
        <f>IFERROR(__xludf.DUMMYFUNCTION("""COMPUTED_VALUE"""),0.577358490566037)</f>
        <v>0.5773584906</v>
      </c>
      <c r="G60" s="8">
        <f>IFERROR(__xludf.DUMMYFUNCTION("""COMPUTED_VALUE"""),0.516194331983805)</f>
        <v>0.516194332</v>
      </c>
      <c r="H60" s="8">
        <f>IFERROR(__xludf.DUMMYFUNCTION("""COMPUTED_VALUE"""),0.491606714628297)</f>
        <v>0.4916067146</v>
      </c>
      <c r="I60" s="8">
        <f>IFERROR(__xludf.DUMMYFUNCTION("""COMPUTED_VALUE"""),0.384428223844282)</f>
        <v>0.3844282238</v>
      </c>
      <c r="J60" s="8">
        <f>IFERROR(__xludf.DUMMYFUNCTION("""COMPUTED_VALUE"""),0.368421052631578)</f>
        <v>0.3684210526</v>
      </c>
      <c r="K60" s="8">
        <f>IFERROR(__xludf.DUMMYFUNCTION("""COMPUTED_VALUE"""),0.323834196891191)</f>
        <v>0.3238341969</v>
      </c>
      <c r="L60" s="8">
        <f>IFERROR(__xludf.DUMMYFUNCTION("""COMPUTED_VALUE"""),0.304945054945054)</f>
        <v>0.3049450549</v>
      </c>
      <c r="M60" s="8">
        <f>IFERROR(__xludf.DUMMYFUNCTION("""COMPUTED_VALUE"""),0.291021671826625)</f>
        <v>0.2910216718</v>
      </c>
      <c r="N60" s="8">
        <f>IFERROR(__xludf.DUMMYFUNCTION("""COMPUTED_VALUE"""),0.29004329004329)</f>
        <v>0.29004329</v>
      </c>
      <c r="O60" s="8">
        <f>IFERROR(__xludf.DUMMYFUNCTION("""COMPUTED_VALUE"""),0.326086956521739)</f>
        <v>0.3260869565</v>
      </c>
      <c r="P60" s="8">
        <f>IFERROR(__xludf.DUMMYFUNCTION("""COMPUTED_VALUE"""),0.27027027027027)</f>
        <v>0.2702702703</v>
      </c>
      <c r="Q60" s="8">
        <f>IFERROR(__xludf.DUMMYFUNCTION("""COMPUTED_VALUE"""),0.666666666666666)</f>
        <v>0.6666666667</v>
      </c>
      <c r="R60" s="8">
        <f>IFERROR(__xludf.DUMMYFUNCTION("""COMPUTED_VALUE"""),0.0)</f>
        <v>0</v>
      </c>
      <c r="S60" s="8">
        <f>IFERROR(__xludf.DUMMYFUNCTION("""COMPUTED_VALUE"""),0.0)</f>
        <v>0</v>
      </c>
      <c r="T60" s="8">
        <f>IFERROR(__xludf.DUMMYFUNCTION("""COMPUTED_VALUE"""),0.0)</f>
        <v>0</v>
      </c>
      <c r="U60" s="8">
        <f>IFERROR(__xludf.DUMMYFUNCTION("""COMPUTED_VALUE"""),0.0)</f>
        <v>0</v>
      </c>
      <c r="V60" s="8">
        <f>IFERROR(__xludf.DUMMYFUNCTION("""COMPUTED_VALUE"""),0.0)</f>
        <v>0</v>
      </c>
      <c r="W60" s="8">
        <f>IFERROR(__xludf.DUMMYFUNCTION("""COMPUTED_VALUE"""),0.0)</f>
        <v>0</v>
      </c>
      <c r="X60" s="8">
        <f>IFERROR(__xludf.DUMMYFUNCTION("""COMPUTED_VALUE"""),0.0)</f>
        <v>0</v>
      </c>
      <c r="Y60" s="8">
        <f>IFERROR(__xludf.DUMMYFUNCTION("""COMPUTED_VALUE"""),0.0)</f>
        <v>0</v>
      </c>
      <c r="Z60" s="8">
        <f>IFERROR(__xludf.DUMMYFUNCTION("""COMPUTED_VALUE"""),0.0)</f>
        <v>0</v>
      </c>
      <c r="AA60" s="8">
        <f>IFERROR(__xludf.DUMMYFUNCTION("""COMPUTED_VALUE"""),0.0)</f>
        <v>0</v>
      </c>
      <c r="AB60" s="8">
        <f>IFERROR(__xludf.DUMMYFUNCTION("""COMPUTED_VALUE"""),0.0)</f>
        <v>0</v>
      </c>
      <c r="AC60" s="8">
        <f>IFERROR(__xludf.DUMMYFUNCTION("""COMPUTED_VALUE"""),0.0)</f>
        <v>0</v>
      </c>
    </row>
    <row r="61" ht="15.75" customHeight="1">
      <c r="A61" s="6" t="str">
        <f>IFERROR(__xludf.DUMMYFUNCTION("""COMPUTED_VALUE"""),"344fcbb2ea419c5e240def842cb2949db59acee4")</f>
        <v>344fcbb2ea419c5e240def842cb2949db59acee4</v>
      </c>
      <c r="B61" s="6" t="str">
        <f>IFERROR(__xludf.DUMMYFUNCTION("""COMPUTED_VALUE"""),"Gate of Immortality")</f>
        <v>Gate of Immortality</v>
      </c>
      <c r="C61" s="6" t="str">
        <f>IFERROR(__xludf.DUMMYFUNCTION("""COMPUTED_VALUE"""),"Drama")</f>
        <v>Drama</v>
      </c>
      <c r="D61" s="11">
        <f>IFERROR(__xludf.DUMMYFUNCTION("""COMPUTED_VALUE"""),408.0)</f>
        <v>408</v>
      </c>
      <c r="E61" s="8">
        <f>IFERROR(__xludf.DUMMYFUNCTION("""COMPUTED_VALUE"""),0.989389920424403)</f>
        <v>0.9893899204</v>
      </c>
      <c r="F61" s="8">
        <f>IFERROR(__xludf.DUMMYFUNCTION("""COMPUTED_VALUE"""),0.61271676300578)</f>
        <v>0.612716763</v>
      </c>
      <c r="G61" s="8">
        <f>IFERROR(__xludf.DUMMYFUNCTION("""COMPUTED_VALUE"""),0.564356435643564)</f>
        <v>0.5643564356</v>
      </c>
      <c r="H61" s="8">
        <f>IFERROR(__xludf.DUMMYFUNCTION("""COMPUTED_VALUE"""),0.518518518518518)</f>
        <v>0.5185185185</v>
      </c>
      <c r="I61" s="8">
        <f>IFERROR(__xludf.DUMMYFUNCTION("""COMPUTED_VALUE"""),0.470852017937219)</f>
        <v>0.4708520179</v>
      </c>
      <c r="J61" s="8">
        <f>IFERROR(__xludf.DUMMYFUNCTION("""COMPUTED_VALUE"""),0.436842105263157)</f>
        <v>0.4368421053</v>
      </c>
      <c r="K61" s="8">
        <f>IFERROR(__xludf.DUMMYFUNCTION("""COMPUTED_VALUE"""),0.379518072289156)</f>
        <v>0.3795180723</v>
      </c>
      <c r="L61" s="8">
        <f>IFERROR(__xludf.DUMMYFUNCTION("""COMPUTED_VALUE"""),0.35820895522388)</f>
        <v>0.3582089552</v>
      </c>
      <c r="M61" s="8">
        <f>IFERROR(__xludf.DUMMYFUNCTION("""COMPUTED_VALUE"""),0.318181818181818)</f>
        <v>0.3181818182</v>
      </c>
      <c r="N61" s="8">
        <f>IFERROR(__xludf.DUMMYFUNCTION("""COMPUTED_VALUE"""),0.292134831460674)</f>
        <v>0.2921348315</v>
      </c>
      <c r="O61" s="8">
        <f>IFERROR(__xludf.DUMMYFUNCTION("""COMPUTED_VALUE"""),0.195652173913043)</f>
        <v>0.1956521739</v>
      </c>
      <c r="P61" s="8">
        <f>IFERROR(__xludf.DUMMYFUNCTION("""COMPUTED_VALUE"""),0.222222222222222)</f>
        <v>0.2222222222</v>
      </c>
      <c r="Q61" s="8">
        <f>IFERROR(__xludf.DUMMYFUNCTION("""COMPUTED_VALUE"""),0.0909090909090909)</f>
        <v>0.09090909091</v>
      </c>
      <c r="R61" s="8">
        <f>IFERROR(__xludf.DUMMYFUNCTION("""COMPUTED_VALUE"""),0.0)</f>
        <v>0</v>
      </c>
      <c r="S61" s="8">
        <f>IFERROR(__xludf.DUMMYFUNCTION("""COMPUTED_VALUE"""),0.0)</f>
        <v>0</v>
      </c>
      <c r="T61" s="8">
        <f>IFERROR(__xludf.DUMMYFUNCTION("""COMPUTED_VALUE"""),0.0)</f>
        <v>0</v>
      </c>
      <c r="U61" s="8">
        <f>IFERROR(__xludf.DUMMYFUNCTION("""COMPUTED_VALUE"""),0.0)</f>
        <v>0</v>
      </c>
      <c r="V61" s="8">
        <f>IFERROR(__xludf.DUMMYFUNCTION("""COMPUTED_VALUE"""),0.0)</f>
        <v>0</v>
      </c>
      <c r="W61" s="8">
        <f>IFERROR(__xludf.DUMMYFUNCTION("""COMPUTED_VALUE"""),0.0)</f>
        <v>0</v>
      </c>
      <c r="X61" s="8">
        <f>IFERROR(__xludf.DUMMYFUNCTION("""COMPUTED_VALUE"""),0.0)</f>
        <v>0</v>
      </c>
      <c r="Y61" s="8">
        <f>IFERROR(__xludf.DUMMYFUNCTION("""COMPUTED_VALUE"""),0.0)</f>
        <v>0</v>
      </c>
      <c r="Z61" s="8">
        <f>IFERROR(__xludf.DUMMYFUNCTION("""COMPUTED_VALUE"""),0.0)</f>
        <v>0</v>
      </c>
      <c r="AA61" s="8">
        <f>IFERROR(__xludf.DUMMYFUNCTION("""COMPUTED_VALUE"""),0.0)</f>
        <v>0</v>
      </c>
      <c r="AB61" s="8">
        <f>IFERROR(__xludf.DUMMYFUNCTION("""COMPUTED_VALUE"""),0.0)</f>
        <v>0</v>
      </c>
      <c r="AC61" s="8">
        <f>IFERROR(__xludf.DUMMYFUNCTION("""COMPUTED_VALUE"""),0.0)</f>
        <v>0</v>
      </c>
    </row>
    <row r="62" ht="15.75" customHeight="1">
      <c r="A62" s="6" t="str">
        <f>IFERROR(__xludf.DUMMYFUNCTION("""COMPUTED_VALUE"""),"34997bc4167305107b251e0bf8431553064ef3a5")</f>
        <v>34997bc4167305107b251e0bf8431553064ef3a5</v>
      </c>
      <c r="B62" s="6" t="str">
        <f>IFERROR(__xludf.DUMMYFUNCTION("""COMPUTED_VALUE"""),"The Ghost Heiress")</f>
        <v>The Ghost Heiress</v>
      </c>
      <c r="C62" s="6" t="str">
        <f>IFERROR(__xludf.DUMMYFUNCTION("""COMPUTED_VALUE"""),"Romance")</f>
        <v>Romance</v>
      </c>
      <c r="D62" s="11">
        <f>IFERROR(__xludf.DUMMYFUNCTION("""COMPUTED_VALUE"""),375.0)</f>
        <v>375</v>
      </c>
      <c r="E62" s="8">
        <f>IFERROR(__xludf.DUMMYFUNCTION("""COMPUTED_VALUE"""),0.956284153005464)</f>
        <v>0.956284153</v>
      </c>
      <c r="F62" s="8">
        <f>IFERROR(__xludf.DUMMYFUNCTION("""COMPUTED_VALUE"""),0.57716049382716)</f>
        <v>0.5771604938</v>
      </c>
      <c r="G62" s="8">
        <f>IFERROR(__xludf.DUMMYFUNCTION("""COMPUTED_VALUE"""),0.516233766233766)</f>
        <v>0.5162337662</v>
      </c>
      <c r="H62" s="8">
        <f>IFERROR(__xludf.DUMMYFUNCTION("""COMPUTED_VALUE"""),0.432835820895522)</f>
        <v>0.4328358209</v>
      </c>
      <c r="I62" s="8">
        <f>IFERROR(__xludf.DUMMYFUNCTION("""COMPUTED_VALUE"""),0.420233463035019)</f>
        <v>0.420233463</v>
      </c>
      <c r="J62" s="8">
        <f>IFERROR(__xludf.DUMMYFUNCTION("""COMPUTED_VALUE"""),0.375)</f>
        <v>0.375</v>
      </c>
      <c r="K62" s="8">
        <f>IFERROR(__xludf.DUMMYFUNCTION("""COMPUTED_VALUE"""),0.299559471365638)</f>
        <v>0.2995594714</v>
      </c>
      <c r="L62" s="8">
        <f>IFERROR(__xludf.DUMMYFUNCTION("""COMPUTED_VALUE"""),0.331428571428571)</f>
        <v>0.3314285714</v>
      </c>
      <c r="M62" s="8">
        <f>IFERROR(__xludf.DUMMYFUNCTION("""COMPUTED_VALUE"""),0.337837837837837)</f>
        <v>0.3378378378</v>
      </c>
      <c r="N62" s="8">
        <f>IFERROR(__xludf.DUMMYFUNCTION("""COMPUTED_VALUE"""),0.347826086956521)</f>
        <v>0.347826087</v>
      </c>
      <c r="O62" s="8">
        <f>IFERROR(__xludf.DUMMYFUNCTION("""COMPUTED_VALUE"""),0.303030303030303)</f>
        <v>0.303030303</v>
      </c>
      <c r="P62" s="8">
        <f>IFERROR(__xludf.DUMMYFUNCTION("""COMPUTED_VALUE"""),0.23076923076923)</f>
        <v>0.2307692308</v>
      </c>
      <c r="Q62" s="8">
        <f>IFERROR(__xludf.DUMMYFUNCTION("""COMPUTED_VALUE"""),0.5)</f>
        <v>0.5</v>
      </c>
      <c r="R62" s="8">
        <f>IFERROR(__xludf.DUMMYFUNCTION("""COMPUTED_VALUE"""),0.0)</f>
        <v>0</v>
      </c>
      <c r="S62" s="8">
        <f>IFERROR(__xludf.DUMMYFUNCTION("""COMPUTED_VALUE"""),0.0)</f>
        <v>0</v>
      </c>
      <c r="T62" s="8">
        <f>IFERROR(__xludf.DUMMYFUNCTION("""COMPUTED_VALUE"""),0.0)</f>
        <v>0</v>
      </c>
      <c r="U62" s="8">
        <f>IFERROR(__xludf.DUMMYFUNCTION("""COMPUTED_VALUE"""),0.0)</f>
        <v>0</v>
      </c>
      <c r="V62" s="8">
        <f>IFERROR(__xludf.DUMMYFUNCTION("""COMPUTED_VALUE"""),0.0)</f>
        <v>0</v>
      </c>
      <c r="W62" s="8">
        <f>IFERROR(__xludf.DUMMYFUNCTION("""COMPUTED_VALUE"""),0.0)</f>
        <v>0</v>
      </c>
      <c r="X62" s="8">
        <f>IFERROR(__xludf.DUMMYFUNCTION("""COMPUTED_VALUE"""),0.0)</f>
        <v>0</v>
      </c>
      <c r="Y62" s="8">
        <f>IFERROR(__xludf.DUMMYFUNCTION("""COMPUTED_VALUE"""),0.0)</f>
        <v>0</v>
      </c>
      <c r="Z62" s="8">
        <f>IFERROR(__xludf.DUMMYFUNCTION("""COMPUTED_VALUE"""),0.0)</f>
        <v>0</v>
      </c>
      <c r="AA62" s="8">
        <f>IFERROR(__xludf.DUMMYFUNCTION("""COMPUTED_VALUE"""),0.0)</f>
        <v>0</v>
      </c>
      <c r="AB62" s="8">
        <f>IFERROR(__xludf.DUMMYFUNCTION("""COMPUTED_VALUE"""),0.0)</f>
        <v>0</v>
      </c>
      <c r="AC62" s="8">
        <f>IFERROR(__xludf.DUMMYFUNCTION("""COMPUTED_VALUE"""),0.0)</f>
        <v>0</v>
      </c>
    </row>
    <row r="63" ht="15.75" customHeight="1">
      <c r="A63" s="6" t="str">
        <f>IFERROR(__xludf.DUMMYFUNCTION("""COMPUTED_VALUE"""),"34f2f307c600eaadeadd185f5681a891034fb635")</f>
        <v>34f2f307c600eaadeadd185f5681a891034fb635</v>
      </c>
      <c r="B63" s="6" t="str">
        <f>IFERROR(__xludf.DUMMYFUNCTION("""COMPUTED_VALUE"""),"Complete Deception")</f>
        <v>Complete Deception</v>
      </c>
      <c r="C63" s="6" t="str">
        <f>IFERROR(__xludf.DUMMYFUNCTION("""COMPUTED_VALUE"""),"Romance")</f>
        <v>Romance</v>
      </c>
      <c r="D63" s="11">
        <f>IFERROR(__xludf.DUMMYFUNCTION("""COMPUTED_VALUE"""),424.0)</f>
        <v>424</v>
      </c>
      <c r="E63" s="8">
        <f>IFERROR(__xludf.DUMMYFUNCTION("""COMPUTED_VALUE"""),0.97877358490566)</f>
        <v>0.9787735849</v>
      </c>
      <c r="F63" s="8">
        <f>IFERROR(__xludf.DUMMYFUNCTION("""COMPUTED_VALUE"""),0.550827423167848)</f>
        <v>0.5508274232</v>
      </c>
      <c r="G63" s="8">
        <f>IFERROR(__xludf.DUMMYFUNCTION("""COMPUTED_VALUE"""),0.418439716312056)</f>
        <v>0.4184397163</v>
      </c>
      <c r="H63" s="8">
        <f>IFERROR(__xludf.DUMMYFUNCTION("""COMPUTED_VALUE"""),0.385342789598108)</f>
        <v>0.3853427896</v>
      </c>
      <c r="I63" s="8">
        <f>IFERROR(__xludf.DUMMYFUNCTION("""COMPUTED_VALUE"""),0.387706855791962)</f>
        <v>0.3877068558</v>
      </c>
      <c r="J63" s="8">
        <f>IFERROR(__xludf.DUMMYFUNCTION("""COMPUTED_VALUE"""),0.347517730496453)</f>
        <v>0.3475177305</v>
      </c>
      <c r="K63" s="8">
        <f>IFERROR(__xludf.DUMMYFUNCTION("""COMPUTED_VALUE"""),0.300236406619385)</f>
        <v>0.3002364066</v>
      </c>
      <c r="L63" s="8">
        <f>IFERROR(__xludf.DUMMYFUNCTION("""COMPUTED_VALUE"""),0.294536817102137)</f>
        <v>0.2945368171</v>
      </c>
      <c r="M63" s="8">
        <f>IFERROR(__xludf.DUMMYFUNCTION("""COMPUTED_VALUE"""),0.299287410926365)</f>
        <v>0.2992874109</v>
      </c>
      <c r="N63" s="8">
        <f>IFERROR(__xludf.DUMMYFUNCTION("""COMPUTED_VALUE"""),0.292565947242206)</f>
        <v>0.2925659472</v>
      </c>
      <c r="O63" s="8">
        <f>IFERROR(__xludf.DUMMYFUNCTION("""COMPUTED_VALUE"""),0.253521126760563)</f>
        <v>0.2535211268</v>
      </c>
      <c r="P63" s="8">
        <f>IFERROR(__xludf.DUMMYFUNCTION("""COMPUTED_VALUE"""),0.226950354609929)</f>
        <v>0.2269503546</v>
      </c>
      <c r="Q63" s="8">
        <f>IFERROR(__xludf.DUMMYFUNCTION("""COMPUTED_VALUE"""),0.107913669064748)</f>
        <v>0.1079136691</v>
      </c>
      <c r="R63" s="8">
        <f>IFERROR(__xludf.DUMMYFUNCTION("""COMPUTED_VALUE"""),0.0652173913043478)</f>
        <v>0.0652173913</v>
      </c>
      <c r="S63" s="8">
        <f>IFERROR(__xludf.DUMMYFUNCTION("""COMPUTED_VALUE"""),0.0291970802919708)</f>
        <v>0.02919708029</v>
      </c>
      <c r="T63" s="8">
        <f>IFERROR(__xludf.DUMMYFUNCTION("""COMPUTED_VALUE"""),0.0227272727272727)</f>
        <v>0.02272727273</v>
      </c>
      <c r="U63" s="8">
        <f>IFERROR(__xludf.DUMMYFUNCTION("""COMPUTED_VALUE"""),0.0181818181818181)</f>
        <v>0.01818181818</v>
      </c>
      <c r="V63" s="8">
        <f>IFERROR(__xludf.DUMMYFUNCTION("""COMPUTED_VALUE"""),0.0)</f>
        <v>0</v>
      </c>
      <c r="W63" s="8">
        <f>IFERROR(__xludf.DUMMYFUNCTION("""COMPUTED_VALUE"""),0.0)</f>
        <v>0</v>
      </c>
      <c r="X63" s="8">
        <f>IFERROR(__xludf.DUMMYFUNCTION("""COMPUTED_VALUE"""),0.0)</f>
        <v>0</v>
      </c>
      <c r="Y63" s="8">
        <f>IFERROR(__xludf.DUMMYFUNCTION("""COMPUTED_VALUE"""),0.0)</f>
        <v>0</v>
      </c>
      <c r="Z63" s="8">
        <f>IFERROR(__xludf.DUMMYFUNCTION("""COMPUTED_VALUE"""),0.0)</f>
        <v>0</v>
      </c>
      <c r="AA63" s="8">
        <f>IFERROR(__xludf.DUMMYFUNCTION("""COMPUTED_VALUE"""),0.0)</f>
        <v>0</v>
      </c>
      <c r="AB63" s="8">
        <f>IFERROR(__xludf.DUMMYFUNCTION("""COMPUTED_VALUE"""),0.0)</f>
        <v>0</v>
      </c>
      <c r="AC63" s="8">
        <f>IFERROR(__xludf.DUMMYFUNCTION("""COMPUTED_VALUE"""),0.0)</f>
        <v>0</v>
      </c>
    </row>
    <row r="64" ht="15.75" customHeight="1">
      <c r="A64" s="6" t="str">
        <f>IFERROR(__xludf.DUMMYFUNCTION("""COMPUTED_VALUE"""),"362902a5f0edf9862b88e64b166bdf3fa44487fc")</f>
        <v>362902a5f0edf9862b88e64b166bdf3fa44487fc</v>
      </c>
      <c r="B64" s="6" t="str">
        <f>IFERROR(__xludf.DUMMYFUNCTION("""COMPUTED_VALUE"""),"Almighty Sword Domain")</f>
        <v>Almighty Sword Domain</v>
      </c>
      <c r="C64" s="6" t="str">
        <f>IFERROR(__xludf.DUMMYFUNCTION("""COMPUTED_VALUE"""),"Fantasy")</f>
        <v>Fantasy</v>
      </c>
      <c r="D64" s="11">
        <f>IFERROR(__xludf.DUMMYFUNCTION("""COMPUTED_VALUE"""),165.0)</f>
        <v>165</v>
      </c>
      <c r="E64" s="8">
        <f>IFERROR(__xludf.DUMMYFUNCTION("""COMPUTED_VALUE"""),0.986666666666666)</f>
        <v>0.9866666667</v>
      </c>
      <c r="F64" s="8">
        <f>IFERROR(__xludf.DUMMYFUNCTION("""COMPUTED_VALUE"""),0.297029702970297)</f>
        <v>0.297029703</v>
      </c>
      <c r="G64" s="8">
        <f>IFERROR(__xludf.DUMMYFUNCTION("""COMPUTED_VALUE"""),0.303030303030303)</f>
        <v>0.303030303</v>
      </c>
      <c r="H64" s="8">
        <f>IFERROR(__xludf.DUMMYFUNCTION("""COMPUTED_VALUE"""),0.333333333333333)</f>
        <v>0.3333333333</v>
      </c>
      <c r="I64" s="8">
        <f>IFERROR(__xludf.DUMMYFUNCTION("""COMPUTED_VALUE"""),0.307692307692307)</f>
        <v>0.3076923077</v>
      </c>
      <c r="J64" s="8">
        <f>IFERROR(__xludf.DUMMYFUNCTION("""COMPUTED_VALUE"""),0.4)</f>
        <v>0.4</v>
      </c>
      <c r="K64" s="8">
        <f>IFERROR(__xludf.DUMMYFUNCTION("""COMPUTED_VALUE"""),0.4375)</f>
        <v>0.4375</v>
      </c>
      <c r="L64" s="8">
        <f>IFERROR(__xludf.DUMMYFUNCTION("""COMPUTED_VALUE"""),0.4375)</f>
        <v>0.4375</v>
      </c>
      <c r="M64" s="8">
        <f>IFERROR(__xludf.DUMMYFUNCTION("""COMPUTED_VALUE"""),0.4375)</f>
        <v>0.4375</v>
      </c>
      <c r="N64" s="8">
        <f>IFERROR(__xludf.DUMMYFUNCTION("""COMPUTED_VALUE"""),0.375)</f>
        <v>0.375</v>
      </c>
      <c r="O64" s="8">
        <f>IFERROR(__xludf.DUMMYFUNCTION("""COMPUTED_VALUE"""),0.3125)</f>
        <v>0.3125</v>
      </c>
      <c r="P64" s="8">
        <f>IFERROR(__xludf.DUMMYFUNCTION("""COMPUTED_VALUE"""),0.4)</f>
        <v>0.4</v>
      </c>
      <c r="Q64" s="8">
        <f>IFERROR(__xludf.DUMMYFUNCTION("""COMPUTED_VALUE"""),0.357142857142857)</f>
        <v>0.3571428571</v>
      </c>
      <c r="R64" s="8">
        <f>IFERROR(__xludf.DUMMYFUNCTION("""COMPUTED_VALUE"""),0.416666666666666)</f>
        <v>0.4166666667</v>
      </c>
      <c r="S64" s="8">
        <f>IFERROR(__xludf.DUMMYFUNCTION("""COMPUTED_VALUE"""),0.444444444444444)</f>
        <v>0.4444444444</v>
      </c>
      <c r="T64" s="8">
        <f>IFERROR(__xludf.DUMMYFUNCTION("""COMPUTED_VALUE"""),0.2)</f>
        <v>0.2</v>
      </c>
      <c r="U64" s="8">
        <f>IFERROR(__xludf.DUMMYFUNCTION("""COMPUTED_VALUE"""),0.0)</f>
        <v>0</v>
      </c>
      <c r="V64" s="8">
        <f>IFERROR(__xludf.DUMMYFUNCTION("""COMPUTED_VALUE"""),0.0)</f>
        <v>0</v>
      </c>
      <c r="W64" s="8">
        <f>IFERROR(__xludf.DUMMYFUNCTION("""COMPUTED_VALUE"""),0.0)</f>
        <v>0</v>
      </c>
      <c r="X64" s="8">
        <f>IFERROR(__xludf.DUMMYFUNCTION("""COMPUTED_VALUE"""),0.0)</f>
        <v>0</v>
      </c>
      <c r="Y64" s="8">
        <f>IFERROR(__xludf.DUMMYFUNCTION("""COMPUTED_VALUE"""),0.0)</f>
        <v>0</v>
      </c>
      <c r="Z64" s="8">
        <f>IFERROR(__xludf.DUMMYFUNCTION("""COMPUTED_VALUE"""),0.0)</f>
        <v>0</v>
      </c>
      <c r="AA64" s="8">
        <f>IFERROR(__xludf.DUMMYFUNCTION("""COMPUTED_VALUE"""),0.0)</f>
        <v>0</v>
      </c>
      <c r="AB64" s="8">
        <f>IFERROR(__xludf.DUMMYFUNCTION("""COMPUTED_VALUE"""),0.0)</f>
        <v>0</v>
      </c>
      <c r="AC64" s="8">
        <f>IFERROR(__xludf.DUMMYFUNCTION("""COMPUTED_VALUE"""),0.0)</f>
        <v>0</v>
      </c>
    </row>
    <row r="65" ht="15.75" customHeight="1">
      <c r="A65" s="6" t="str">
        <f>IFERROR(__xludf.DUMMYFUNCTION("""COMPUTED_VALUE"""),"37a4619595e440ac361cdc0df4d1bd0a9bd5d60c")</f>
        <v>37a4619595e440ac361cdc0df4d1bd0a9bd5d60c</v>
      </c>
      <c r="B65" s="6" t="str">
        <f>IFERROR(__xludf.DUMMYFUNCTION("""COMPUTED_VALUE"""),"The Bloodline Copy System")</f>
        <v>The Bloodline Copy System</v>
      </c>
      <c r="C65" s="6" t="str">
        <f>IFERROR(__xludf.DUMMYFUNCTION("""COMPUTED_VALUE"""),"System and Superpower")</f>
        <v>System and Superpower</v>
      </c>
      <c r="D65" s="11">
        <f>IFERROR(__xludf.DUMMYFUNCTION("""COMPUTED_VALUE"""),822.0)</f>
        <v>822</v>
      </c>
      <c r="E65" s="8">
        <f>IFERROR(__xludf.DUMMYFUNCTION("""COMPUTED_VALUE"""),0.982926829268292)</f>
        <v>0.9829268293</v>
      </c>
      <c r="F65" s="8">
        <f>IFERROR(__xludf.DUMMYFUNCTION("""COMPUTED_VALUE"""),0.650366748166259)</f>
        <v>0.6503667482</v>
      </c>
      <c r="G65" s="8">
        <f>IFERROR(__xludf.DUMMYFUNCTION("""COMPUTED_VALUE"""),0.588235294117647)</f>
        <v>0.5882352941</v>
      </c>
      <c r="H65" s="8">
        <f>IFERROR(__xludf.DUMMYFUNCTION("""COMPUTED_VALUE"""),0.522222222222222)</f>
        <v>0.5222222222</v>
      </c>
      <c r="I65" s="8">
        <f>IFERROR(__xludf.DUMMYFUNCTION("""COMPUTED_VALUE"""),0.487593052109181)</f>
        <v>0.4875930521</v>
      </c>
      <c r="J65" s="8">
        <f>IFERROR(__xludf.DUMMYFUNCTION("""COMPUTED_VALUE"""),0.459324155193992)</f>
        <v>0.4593241552</v>
      </c>
      <c r="K65" s="8">
        <f>IFERROR(__xludf.DUMMYFUNCTION("""COMPUTED_VALUE"""),0.435768261964735)</f>
        <v>0.435768262</v>
      </c>
      <c r="L65" s="8">
        <f>IFERROR(__xludf.DUMMYFUNCTION("""COMPUTED_VALUE"""),0.420178799489144)</f>
        <v>0.4201787995</v>
      </c>
      <c r="M65" s="8">
        <f>IFERROR(__xludf.DUMMYFUNCTION("""COMPUTED_VALUE"""),0.408215661103979)</f>
        <v>0.4082156611</v>
      </c>
      <c r="N65" s="8">
        <f>IFERROR(__xludf.DUMMYFUNCTION("""COMPUTED_VALUE"""),0.390146471371504)</f>
        <v>0.3901464714</v>
      </c>
      <c r="O65" s="8">
        <f>IFERROR(__xludf.DUMMYFUNCTION("""COMPUTED_VALUE"""),0.3399209486166)</f>
        <v>0.3399209486</v>
      </c>
      <c r="P65" s="8">
        <f>IFERROR(__xludf.DUMMYFUNCTION("""COMPUTED_VALUE"""),0.227642276422764)</f>
        <v>0.2276422764</v>
      </c>
      <c r="Q65" s="8">
        <f>IFERROR(__xludf.DUMMYFUNCTION("""COMPUTED_VALUE"""),0.112781954887218)</f>
        <v>0.1127819549</v>
      </c>
      <c r="R65" s="8">
        <f>IFERROR(__xludf.DUMMYFUNCTION("""COMPUTED_VALUE"""),0.0909090909090909)</f>
        <v>0.09090909091</v>
      </c>
      <c r="S65" s="8">
        <f>IFERROR(__xludf.DUMMYFUNCTION("""COMPUTED_VALUE"""),0.0943396226415094)</f>
        <v>0.09433962264</v>
      </c>
      <c r="T65" s="8">
        <f>IFERROR(__xludf.DUMMYFUNCTION("""COMPUTED_VALUE"""),0.037037037037037)</f>
        <v>0.03703703704</v>
      </c>
      <c r="U65" s="8">
        <f>IFERROR(__xludf.DUMMYFUNCTION("""COMPUTED_VALUE"""),0.0)</f>
        <v>0</v>
      </c>
      <c r="V65" s="8">
        <f>IFERROR(__xludf.DUMMYFUNCTION("""COMPUTED_VALUE"""),0.0)</f>
        <v>0</v>
      </c>
      <c r="W65" s="8">
        <f>IFERROR(__xludf.DUMMYFUNCTION("""COMPUTED_VALUE"""),0.0)</f>
        <v>0</v>
      </c>
      <c r="X65" s="8">
        <f>IFERROR(__xludf.DUMMYFUNCTION("""COMPUTED_VALUE"""),0.0)</f>
        <v>0</v>
      </c>
      <c r="Y65" s="8">
        <f>IFERROR(__xludf.DUMMYFUNCTION("""COMPUTED_VALUE"""),0.0)</f>
        <v>0</v>
      </c>
      <c r="Z65" s="8">
        <f>IFERROR(__xludf.DUMMYFUNCTION("""COMPUTED_VALUE"""),0.0)</f>
        <v>0</v>
      </c>
      <c r="AA65" s="8">
        <f>IFERROR(__xludf.DUMMYFUNCTION("""COMPUTED_VALUE"""),0.0)</f>
        <v>0</v>
      </c>
      <c r="AB65" s="8">
        <f>IFERROR(__xludf.DUMMYFUNCTION("""COMPUTED_VALUE"""),0.0)</f>
        <v>0</v>
      </c>
      <c r="AC65" s="8">
        <f>IFERROR(__xludf.DUMMYFUNCTION("""COMPUTED_VALUE"""),0.0)</f>
        <v>0</v>
      </c>
    </row>
    <row r="66" ht="15.75" customHeight="1">
      <c r="A66" s="6" t="str">
        <f>IFERROR(__xludf.DUMMYFUNCTION("""COMPUTED_VALUE"""),"381f2f23cfe6043e04a4a705bfde2d0832cb6847")</f>
        <v>381f2f23cfe6043e04a4a705bfde2d0832cb6847</v>
      </c>
      <c r="B66" s="6" t="str">
        <f>IFERROR(__xludf.DUMMYFUNCTION("""COMPUTED_VALUE"""),"The Personal Maid")</f>
        <v>The Personal Maid</v>
      </c>
      <c r="C66" s="6" t="str">
        <f>IFERROR(__xludf.DUMMYFUNCTION("""COMPUTED_VALUE"""),"Romance")</f>
        <v>Romance</v>
      </c>
      <c r="D66" s="11">
        <f>IFERROR(__xludf.DUMMYFUNCTION("""COMPUTED_VALUE"""),55.0)</f>
        <v>55</v>
      </c>
      <c r="E66" s="8">
        <f>IFERROR(__xludf.DUMMYFUNCTION("""COMPUTED_VALUE"""),0.945454545454545)</f>
        <v>0.9454545455</v>
      </c>
      <c r="F66" s="8">
        <f>IFERROR(__xludf.DUMMYFUNCTION("""COMPUTED_VALUE"""),0.636363636363636)</f>
        <v>0.6363636364</v>
      </c>
      <c r="G66" s="8">
        <f>IFERROR(__xludf.DUMMYFUNCTION("""COMPUTED_VALUE"""),0.49090909090909)</f>
        <v>0.4909090909</v>
      </c>
      <c r="H66" s="8">
        <f>IFERROR(__xludf.DUMMYFUNCTION("""COMPUTED_VALUE"""),0.49090909090909)</f>
        <v>0.4909090909</v>
      </c>
      <c r="I66" s="8">
        <f>IFERROR(__xludf.DUMMYFUNCTION("""COMPUTED_VALUE"""),0.472727272727272)</f>
        <v>0.4727272727</v>
      </c>
      <c r="J66" s="8">
        <f>IFERROR(__xludf.DUMMYFUNCTION("""COMPUTED_VALUE"""),0.4)</f>
        <v>0.4</v>
      </c>
      <c r="K66" s="8">
        <f>IFERROR(__xludf.DUMMYFUNCTION("""COMPUTED_VALUE"""),0.363636363636363)</f>
        <v>0.3636363636</v>
      </c>
      <c r="L66" s="8">
        <f>IFERROR(__xludf.DUMMYFUNCTION("""COMPUTED_VALUE"""),0.309090909090909)</f>
        <v>0.3090909091</v>
      </c>
      <c r="M66" s="8">
        <f>IFERROR(__xludf.DUMMYFUNCTION("""COMPUTED_VALUE"""),0.29090909090909)</f>
        <v>0.2909090909</v>
      </c>
      <c r="N66" s="8">
        <f>IFERROR(__xludf.DUMMYFUNCTION("""COMPUTED_VALUE"""),0.272727272727272)</f>
        <v>0.2727272727</v>
      </c>
      <c r="O66" s="8">
        <f>IFERROR(__xludf.DUMMYFUNCTION("""COMPUTED_VALUE"""),0.309090909090909)</f>
        <v>0.3090909091</v>
      </c>
      <c r="P66" s="8">
        <f>IFERROR(__xludf.DUMMYFUNCTION("""COMPUTED_VALUE"""),0.2)</f>
        <v>0.2</v>
      </c>
      <c r="Q66" s="8">
        <f>IFERROR(__xludf.DUMMYFUNCTION("""COMPUTED_VALUE"""),0.1)</f>
        <v>0.1</v>
      </c>
      <c r="R66" s="8">
        <f>IFERROR(__xludf.DUMMYFUNCTION("""COMPUTED_VALUE"""),0.0)</f>
        <v>0</v>
      </c>
      <c r="S66" s="8">
        <f>IFERROR(__xludf.DUMMYFUNCTION("""COMPUTED_VALUE"""),0.0)</f>
        <v>0</v>
      </c>
      <c r="T66" s="8">
        <f>IFERROR(__xludf.DUMMYFUNCTION("""COMPUTED_VALUE"""),0.0)</f>
        <v>0</v>
      </c>
      <c r="U66" s="8">
        <f>IFERROR(__xludf.DUMMYFUNCTION("""COMPUTED_VALUE"""),0.0)</f>
        <v>0</v>
      </c>
      <c r="V66" s="8">
        <f>IFERROR(__xludf.DUMMYFUNCTION("""COMPUTED_VALUE"""),0.0)</f>
        <v>0</v>
      </c>
      <c r="W66" s="8">
        <f>IFERROR(__xludf.DUMMYFUNCTION("""COMPUTED_VALUE"""),0.0)</f>
        <v>0</v>
      </c>
      <c r="X66" s="8">
        <f>IFERROR(__xludf.DUMMYFUNCTION("""COMPUTED_VALUE"""),0.0)</f>
        <v>0</v>
      </c>
      <c r="Y66" s="8">
        <f>IFERROR(__xludf.DUMMYFUNCTION("""COMPUTED_VALUE"""),0.0)</f>
        <v>0</v>
      </c>
      <c r="Z66" s="8">
        <f>IFERROR(__xludf.DUMMYFUNCTION("""COMPUTED_VALUE"""),0.0)</f>
        <v>0</v>
      </c>
      <c r="AA66" s="8">
        <f>IFERROR(__xludf.DUMMYFUNCTION("""COMPUTED_VALUE"""),0.0)</f>
        <v>0</v>
      </c>
      <c r="AB66" s="8">
        <f>IFERROR(__xludf.DUMMYFUNCTION("""COMPUTED_VALUE"""),0.0)</f>
        <v>0</v>
      </c>
      <c r="AC66" s="8">
        <f>IFERROR(__xludf.DUMMYFUNCTION("""COMPUTED_VALUE"""),0.0)</f>
        <v>0</v>
      </c>
    </row>
    <row r="67" ht="15.75" customHeight="1">
      <c r="A67" s="6" t="str">
        <f>IFERROR(__xludf.DUMMYFUNCTION("""COMPUTED_VALUE"""),"3a6212d18e444c9585676ce7dba35b7111dd1613")</f>
        <v>3a6212d18e444c9585676ce7dba35b7111dd1613</v>
      </c>
      <c r="B67" s="6" t="str">
        <f>IFERROR(__xludf.DUMMYFUNCTION("""COMPUTED_VALUE"""),"King of Throne")</f>
        <v>King of Throne</v>
      </c>
      <c r="C67" s="6" t="str">
        <f>IFERROR(__xludf.DUMMYFUNCTION("""COMPUTED_VALUE"""),"Fantasy")</f>
        <v>Fantasy</v>
      </c>
      <c r="D67" s="11">
        <f>IFERROR(__xludf.DUMMYFUNCTION("""COMPUTED_VALUE"""),359.0)</f>
        <v>359</v>
      </c>
      <c r="E67" s="8">
        <f>IFERROR(__xludf.DUMMYFUNCTION("""COMPUTED_VALUE"""),0.99715909090909)</f>
        <v>0.9971590909</v>
      </c>
      <c r="F67" s="8">
        <f>IFERROR(__xludf.DUMMYFUNCTION("""COMPUTED_VALUE"""),0.440251572327044)</f>
        <v>0.4402515723</v>
      </c>
      <c r="G67" s="8">
        <f>IFERROR(__xludf.DUMMYFUNCTION("""COMPUTED_VALUE"""),0.364312267657992)</f>
        <v>0.3643122677</v>
      </c>
      <c r="H67" s="8">
        <f>IFERROR(__xludf.DUMMYFUNCTION("""COMPUTED_VALUE"""),0.373493975903614)</f>
        <v>0.3734939759</v>
      </c>
      <c r="I67" s="8">
        <f>IFERROR(__xludf.DUMMYFUNCTION("""COMPUTED_VALUE"""),0.404761904761904)</f>
        <v>0.4047619048</v>
      </c>
      <c r="J67" s="8">
        <f>IFERROR(__xludf.DUMMYFUNCTION("""COMPUTED_VALUE"""),0.444444444444444)</f>
        <v>0.4444444444</v>
      </c>
      <c r="K67" s="8">
        <f>IFERROR(__xludf.DUMMYFUNCTION("""COMPUTED_VALUE"""),0.0)</f>
        <v>0</v>
      </c>
      <c r="L67" s="8">
        <f>IFERROR(__xludf.DUMMYFUNCTION("""COMPUTED_VALUE"""),0.0)</f>
        <v>0</v>
      </c>
      <c r="M67" s="8">
        <f>IFERROR(__xludf.DUMMYFUNCTION("""COMPUTED_VALUE"""),0.0)</f>
        <v>0</v>
      </c>
      <c r="N67" s="8">
        <f>IFERROR(__xludf.DUMMYFUNCTION("""COMPUTED_VALUE"""),0.0)</f>
        <v>0</v>
      </c>
      <c r="O67" s="8">
        <f>IFERROR(__xludf.DUMMYFUNCTION("""COMPUTED_VALUE"""),0.0)</f>
        <v>0</v>
      </c>
      <c r="P67" s="8">
        <f>IFERROR(__xludf.DUMMYFUNCTION("""COMPUTED_VALUE"""),0.0)</f>
        <v>0</v>
      </c>
      <c r="Q67" s="8">
        <f>IFERROR(__xludf.DUMMYFUNCTION("""COMPUTED_VALUE"""),0.0)</f>
        <v>0</v>
      </c>
      <c r="R67" s="8">
        <f>IFERROR(__xludf.DUMMYFUNCTION("""COMPUTED_VALUE"""),0.0)</f>
        <v>0</v>
      </c>
      <c r="S67" s="8">
        <f>IFERROR(__xludf.DUMMYFUNCTION("""COMPUTED_VALUE"""),0.0)</f>
        <v>0</v>
      </c>
      <c r="T67" s="8">
        <f>IFERROR(__xludf.DUMMYFUNCTION("""COMPUTED_VALUE"""),0.0)</f>
        <v>0</v>
      </c>
      <c r="U67" s="8">
        <f>IFERROR(__xludf.DUMMYFUNCTION("""COMPUTED_VALUE"""),0.0)</f>
        <v>0</v>
      </c>
      <c r="V67" s="8">
        <f>IFERROR(__xludf.DUMMYFUNCTION("""COMPUTED_VALUE"""),0.0)</f>
        <v>0</v>
      </c>
      <c r="W67" s="8">
        <f>IFERROR(__xludf.DUMMYFUNCTION("""COMPUTED_VALUE"""),0.0)</f>
        <v>0</v>
      </c>
      <c r="X67" s="8">
        <f>IFERROR(__xludf.DUMMYFUNCTION("""COMPUTED_VALUE"""),0.0)</f>
        <v>0</v>
      </c>
      <c r="Y67" s="8">
        <f>IFERROR(__xludf.DUMMYFUNCTION("""COMPUTED_VALUE"""),0.0)</f>
        <v>0</v>
      </c>
      <c r="Z67" s="8">
        <f>IFERROR(__xludf.DUMMYFUNCTION("""COMPUTED_VALUE"""),0.0)</f>
        <v>0</v>
      </c>
      <c r="AA67" s="8">
        <f>IFERROR(__xludf.DUMMYFUNCTION("""COMPUTED_VALUE"""),0.0)</f>
        <v>0</v>
      </c>
      <c r="AB67" s="8">
        <f>IFERROR(__xludf.DUMMYFUNCTION("""COMPUTED_VALUE"""),0.0)</f>
        <v>0</v>
      </c>
      <c r="AC67" s="8">
        <f>IFERROR(__xludf.DUMMYFUNCTION("""COMPUTED_VALUE"""),0.0)</f>
        <v>0</v>
      </c>
    </row>
    <row r="68" ht="15.75" customHeight="1">
      <c r="A68" s="6" t="str">
        <f>IFERROR(__xludf.DUMMYFUNCTION("""COMPUTED_VALUE"""),"3b626e0d14c34edb82f4b215f3b8d2e50455bbdd")</f>
        <v>3b626e0d14c34edb82f4b215f3b8d2e50455bbdd</v>
      </c>
      <c r="B68" s="6" t="str">
        <f>IFERROR(__xludf.DUMMYFUNCTION("""COMPUTED_VALUE"""),"His Lady Boss Is a Mafia")</f>
        <v>His Lady Boss Is a Mafia</v>
      </c>
      <c r="C68" s="6" t="str">
        <f>IFERROR(__xludf.DUMMYFUNCTION("""COMPUTED_VALUE"""),"Romance")</f>
        <v>Romance</v>
      </c>
      <c r="D68" s="11">
        <f>IFERROR(__xludf.DUMMYFUNCTION("""COMPUTED_VALUE"""),500.0)</f>
        <v>500</v>
      </c>
      <c r="E68" s="8">
        <f>IFERROR(__xludf.DUMMYFUNCTION("""COMPUTED_VALUE"""),0.955645161290322)</f>
        <v>0.9556451613</v>
      </c>
      <c r="F68" s="8">
        <f>IFERROR(__xludf.DUMMYFUNCTION("""COMPUTED_VALUE"""),0.520661157024793)</f>
        <v>0.520661157</v>
      </c>
      <c r="G68" s="8">
        <f>IFERROR(__xludf.DUMMYFUNCTION("""COMPUTED_VALUE"""),0.5)</f>
        <v>0.5</v>
      </c>
      <c r="H68" s="8">
        <f>IFERROR(__xludf.DUMMYFUNCTION("""COMPUTED_VALUE"""),0.462526766595289)</f>
        <v>0.4625267666</v>
      </c>
      <c r="I68" s="8">
        <f>IFERROR(__xludf.DUMMYFUNCTION("""COMPUTED_VALUE"""),0.426406926406926)</f>
        <v>0.4264069264</v>
      </c>
      <c r="J68" s="8">
        <f>IFERROR(__xludf.DUMMYFUNCTION("""COMPUTED_VALUE"""),0.407002188183807)</f>
        <v>0.4070021882</v>
      </c>
      <c r="K68" s="8">
        <f>IFERROR(__xludf.DUMMYFUNCTION("""COMPUTED_VALUE"""),0.38580931263858)</f>
        <v>0.3858093126</v>
      </c>
      <c r="L68" s="8">
        <f>IFERROR(__xludf.DUMMYFUNCTION("""COMPUTED_VALUE"""),0.366132723112128)</f>
        <v>0.3661327231</v>
      </c>
      <c r="M68" s="8">
        <f>IFERROR(__xludf.DUMMYFUNCTION("""COMPUTED_VALUE"""),0.383371824480369)</f>
        <v>0.3833718245</v>
      </c>
      <c r="N68" s="8">
        <f>IFERROR(__xludf.DUMMYFUNCTION("""COMPUTED_VALUE"""),0.376190476190476)</f>
        <v>0.3761904762</v>
      </c>
      <c r="O68" s="8">
        <f>IFERROR(__xludf.DUMMYFUNCTION("""COMPUTED_VALUE"""),0.352357320099255)</f>
        <v>0.3523573201</v>
      </c>
      <c r="P68" s="8">
        <f>IFERROR(__xludf.DUMMYFUNCTION("""COMPUTED_VALUE"""),0.29145728643216)</f>
        <v>0.2914572864</v>
      </c>
      <c r="Q68" s="8">
        <f>IFERROR(__xludf.DUMMYFUNCTION("""COMPUTED_VALUE"""),1.0)</f>
        <v>1</v>
      </c>
      <c r="R68" s="8">
        <f>IFERROR(__xludf.DUMMYFUNCTION("""COMPUTED_VALUE"""),0.0)</f>
        <v>0</v>
      </c>
      <c r="S68" s="8">
        <f>IFERROR(__xludf.DUMMYFUNCTION("""COMPUTED_VALUE"""),0.0)</f>
        <v>0</v>
      </c>
      <c r="T68" s="8">
        <f>IFERROR(__xludf.DUMMYFUNCTION("""COMPUTED_VALUE"""),0.0)</f>
        <v>0</v>
      </c>
      <c r="U68" s="8">
        <f>IFERROR(__xludf.DUMMYFUNCTION("""COMPUTED_VALUE"""),0.0)</f>
        <v>0</v>
      </c>
      <c r="V68" s="8">
        <f>IFERROR(__xludf.DUMMYFUNCTION("""COMPUTED_VALUE"""),0.0)</f>
        <v>0</v>
      </c>
      <c r="W68" s="8">
        <f>IFERROR(__xludf.DUMMYFUNCTION("""COMPUTED_VALUE"""),0.0)</f>
        <v>0</v>
      </c>
      <c r="X68" s="8">
        <f>IFERROR(__xludf.DUMMYFUNCTION("""COMPUTED_VALUE"""),0.0)</f>
        <v>0</v>
      </c>
      <c r="Y68" s="8">
        <f>IFERROR(__xludf.DUMMYFUNCTION("""COMPUTED_VALUE"""),0.0)</f>
        <v>0</v>
      </c>
      <c r="Z68" s="8">
        <f>IFERROR(__xludf.DUMMYFUNCTION("""COMPUTED_VALUE"""),0.0)</f>
        <v>0</v>
      </c>
      <c r="AA68" s="8">
        <f>IFERROR(__xludf.DUMMYFUNCTION("""COMPUTED_VALUE"""),0.0)</f>
        <v>0</v>
      </c>
      <c r="AB68" s="8">
        <f>IFERROR(__xludf.DUMMYFUNCTION("""COMPUTED_VALUE"""),0.0)</f>
        <v>0</v>
      </c>
      <c r="AC68" s="8">
        <f>IFERROR(__xludf.DUMMYFUNCTION("""COMPUTED_VALUE"""),0.0)</f>
        <v>0</v>
      </c>
    </row>
    <row r="69" ht="15.75" customHeight="1">
      <c r="A69" s="6" t="str">
        <f>IFERROR(__xludf.DUMMYFUNCTION("""COMPUTED_VALUE"""),"3c57dd9bd6f929bdb36d8716aa9f261a72778e24")</f>
        <v>3c57dd9bd6f929bdb36d8716aa9f261a72778e24</v>
      </c>
      <c r="B69" s="6" t="str">
        <f>IFERROR(__xludf.DUMMYFUNCTION("""COMPUTED_VALUE"""),"Resurrected as a Secret Billionaire Liam Carson")</f>
        <v>Resurrected as a Secret Billionaire Liam Carson</v>
      </c>
      <c r="C69" s="6" t="str">
        <f>IFERROR(__xludf.DUMMYFUNCTION("""COMPUTED_VALUE"""),"Fantasy")</f>
        <v>Fantasy</v>
      </c>
      <c r="D69" s="11">
        <f>IFERROR(__xludf.DUMMYFUNCTION("""COMPUTED_VALUE"""),11242.0)</f>
        <v>11242</v>
      </c>
      <c r="E69" s="8">
        <f>IFERROR(__xludf.DUMMYFUNCTION("""COMPUTED_VALUE"""),0.93699946609717)</f>
        <v>0.9369994661</v>
      </c>
      <c r="F69" s="8">
        <f>IFERROR(__xludf.DUMMYFUNCTION("""COMPUTED_VALUE"""),0.574075723830735)</f>
        <v>0.5740757238</v>
      </c>
      <c r="G69" s="8">
        <f>IFERROR(__xludf.DUMMYFUNCTION("""COMPUTED_VALUE"""),0.529726357072822)</f>
        <v>0.5297263571</v>
      </c>
      <c r="H69" s="8">
        <f>IFERROR(__xludf.DUMMYFUNCTION("""COMPUTED_VALUE"""),0.506645259120506)</f>
        <v>0.5066452591</v>
      </c>
      <c r="I69" s="8">
        <f>IFERROR(__xludf.DUMMYFUNCTION("""COMPUTED_VALUE"""),0.488847251962883)</f>
        <v>0.488847252</v>
      </c>
      <c r="J69" s="8">
        <f>IFERROR(__xludf.DUMMYFUNCTION("""COMPUTED_VALUE"""),0.474765520321572)</f>
        <v>0.4747655203</v>
      </c>
      <c r="K69" s="8">
        <f>IFERROR(__xludf.DUMMYFUNCTION("""COMPUTED_VALUE"""),0.469752479671164)</f>
        <v>0.4697524797</v>
      </c>
      <c r="L69" s="8">
        <f>IFERROR(__xludf.DUMMYFUNCTION("""COMPUTED_VALUE"""),0.460747496423462)</f>
        <v>0.4607474964</v>
      </c>
      <c r="M69" s="8">
        <f>IFERROR(__xludf.DUMMYFUNCTION("""COMPUTED_VALUE"""),0.45290276411128)</f>
        <v>0.4529027641</v>
      </c>
      <c r="N69" s="8">
        <f>IFERROR(__xludf.DUMMYFUNCTION("""COMPUTED_VALUE"""),0.448454993282579)</f>
        <v>0.4484549933</v>
      </c>
      <c r="O69" s="8">
        <f>IFERROR(__xludf.DUMMYFUNCTION("""COMPUTED_VALUE"""),0.429636951833213)</f>
        <v>0.4296369518</v>
      </c>
      <c r="P69" s="8">
        <f>IFERROR(__xludf.DUMMYFUNCTION("""COMPUTED_VALUE"""),0.379568630989982)</f>
        <v>0.379568631</v>
      </c>
      <c r="Q69" s="8">
        <f>IFERROR(__xludf.DUMMYFUNCTION("""COMPUTED_VALUE"""),0.308013810648737)</f>
        <v>0.3080138106</v>
      </c>
      <c r="R69" s="8">
        <f>IFERROR(__xludf.DUMMYFUNCTION("""COMPUTED_VALUE"""),0.262754403577621)</f>
        <v>0.2627544036</v>
      </c>
      <c r="S69" s="8">
        <f>IFERROR(__xludf.DUMMYFUNCTION("""COMPUTED_VALUE"""),0.2082264565775)</f>
        <v>0.2082264566</v>
      </c>
      <c r="T69" s="8">
        <f>IFERROR(__xludf.DUMMYFUNCTION("""COMPUTED_VALUE"""),0.18336553500782)</f>
        <v>0.183365535</v>
      </c>
      <c r="U69" s="8">
        <f>IFERROR(__xludf.DUMMYFUNCTION("""COMPUTED_VALUE"""),0.168505613627564)</f>
        <v>0.1685056136</v>
      </c>
      <c r="V69" s="8">
        <f>IFERROR(__xludf.DUMMYFUNCTION("""COMPUTED_VALUE"""),0.154713940370668)</f>
        <v>0.1547139404</v>
      </c>
      <c r="W69" s="8">
        <f>IFERROR(__xludf.DUMMYFUNCTION("""COMPUTED_VALUE"""),0.13492470033808)</f>
        <v>0.1349247003</v>
      </c>
      <c r="X69" s="8">
        <f>IFERROR(__xludf.DUMMYFUNCTION("""COMPUTED_VALUE"""),0.101598040359267)</f>
        <v>0.1015980404</v>
      </c>
      <c r="Y69" s="8">
        <f>IFERROR(__xludf.DUMMYFUNCTION("""COMPUTED_VALUE"""),0.0443864229765013)</f>
        <v>0.04438642298</v>
      </c>
      <c r="Z69" s="8">
        <f>IFERROR(__xludf.DUMMYFUNCTION("""COMPUTED_VALUE"""),0.0263409047528154)</f>
        <v>0.02634090475</v>
      </c>
      <c r="AA69" s="8">
        <f>IFERROR(__xludf.DUMMYFUNCTION("""COMPUTED_VALUE"""),0.0223444482640082)</f>
        <v>0.02234444826</v>
      </c>
      <c r="AB69" s="8">
        <f>IFERROR(__xludf.DUMMYFUNCTION("""COMPUTED_VALUE"""),0.0)</f>
        <v>0</v>
      </c>
      <c r="AC69" s="8">
        <f>IFERROR(__xludf.DUMMYFUNCTION("""COMPUTED_VALUE"""),0.0)</f>
        <v>0</v>
      </c>
    </row>
    <row r="70" ht="15.75" customHeight="1">
      <c r="A70" s="6" t="str">
        <f>IFERROR(__xludf.DUMMYFUNCTION("""COMPUTED_VALUE"""),"4010f733ac400156fd9f4d75852b8ebdeabe1689")</f>
        <v>4010f733ac400156fd9f4d75852b8ebdeabe1689</v>
      </c>
      <c r="B70" s="6" t="str">
        <f>IFERROR(__xludf.DUMMYFUNCTION("""COMPUTED_VALUE"""),"My Ceo Husband's Secret")</f>
        <v>My Ceo Husband's Secret</v>
      </c>
      <c r="C70" s="6" t="str">
        <f>IFERROR(__xludf.DUMMYFUNCTION("""COMPUTED_VALUE"""),"Romance")</f>
        <v>Romance</v>
      </c>
      <c r="D70" s="11">
        <f>IFERROR(__xludf.DUMMYFUNCTION("""COMPUTED_VALUE"""),532.0)</f>
        <v>532</v>
      </c>
      <c r="E70" s="8">
        <f>IFERROR(__xludf.DUMMYFUNCTION("""COMPUTED_VALUE"""),0.975517890772128)</f>
        <v>0.9755178908</v>
      </c>
      <c r="F70" s="8">
        <f>IFERROR(__xludf.DUMMYFUNCTION("""COMPUTED_VALUE"""),0.708884688090737)</f>
        <v>0.7088846881</v>
      </c>
      <c r="G70" s="8">
        <f>IFERROR(__xludf.DUMMYFUNCTION("""COMPUTED_VALUE"""),0.621212121212121)</f>
        <v>0.6212121212</v>
      </c>
      <c r="H70" s="8">
        <f>IFERROR(__xludf.DUMMYFUNCTION("""COMPUTED_VALUE"""),0.571157495256167)</f>
        <v>0.5711574953</v>
      </c>
      <c r="I70" s="8">
        <f>IFERROR(__xludf.DUMMYFUNCTION("""COMPUTED_VALUE"""),0.519924098671726)</f>
        <v>0.5199240987</v>
      </c>
      <c r="J70" s="8">
        <f>IFERROR(__xludf.DUMMYFUNCTION("""COMPUTED_VALUE"""),0.453510436432637)</f>
        <v>0.4535104364</v>
      </c>
      <c r="K70" s="8">
        <f>IFERROR(__xludf.DUMMYFUNCTION("""COMPUTED_VALUE"""),0.409867172675521)</f>
        <v>0.4098671727</v>
      </c>
      <c r="L70" s="8">
        <f>IFERROR(__xludf.DUMMYFUNCTION("""COMPUTED_VALUE"""),0.369523809523809)</f>
        <v>0.3695238095</v>
      </c>
      <c r="M70" s="8">
        <f>IFERROR(__xludf.DUMMYFUNCTION("""COMPUTED_VALUE"""),0.321904761904761)</f>
        <v>0.3219047619</v>
      </c>
      <c r="N70" s="8">
        <f>IFERROR(__xludf.DUMMYFUNCTION("""COMPUTED_VALUE"""),0.289523809523809)</f>
        <v>0.2895238095</v>
      </c>
      <c r="O70" s="8">
        <f>IFERROR(__xludf.DUMMYFUNCTION("""COMPUTED_VALUE"""),0.228846153846153)</f>
        <v>0.2288461538</v>
      </c>
      <c r="P70" s="8">
        <f>IFERROR(__xludf.DUMMYFUNCTION("""COMPUTED_VALUE"""),0.182957393483709)</f>
        <v>0.1829573935</v>
      </c>
      <c r="Q70" s="8">
        <f>IFERROR(__xludf.DUMMYFUNCTION("""COMPUTED_VALUE"""),0.447916666666666)</f>
        <v>0.4479166667</v>
      </c>
      <c r="R70" s="8">
        <f>IFERROR(__xludf.DUMMYFUNCTION("""COMPUTED_VALUE"""),0.461538461538461)</f>
        <v>0.4615384615</v>
      </c>
      <c r="S70" s="8">
        <f>IFERROR(__xludf.DUMMYFUNCTION("""COMPUTED_VALUE"""),0.348484848484848)</f>
        <v>0.3484848485</v>
      </c>
      <c r="T70" s="8">
        <f>IFERROR(__xludf.DUMMYFUNCTION("""COMPUTED_VALUE"""),0.179487179487179)</f>
        <v>0.1794871795</v>
      </c>
      <c r="U70" s="8">
        <f>IFERROR(__xludf.DUMMYFUNCTION("""COMPUTED_VALUE"""),0.142857142857142)</f>
        <v>0.1428571429</v>
      </c>
      <c r="V70" s="8">
        <f>IFERROR(__xludf.DUMMYFUNCTION("""COMPUTED_VALUE"""),0.0)</f>
        <v>0</v>
      </c>
      <c r="W70" s="8">
        <f>IFERROR(__xludf.DUMMYFUNCTION("""COMPUTED_VALUE"""),0.0)</f>
        <v>0</v>
      </c>
      <c r="X70" s="8">
        <f>IFERROR(__xludf.DUMMYFUNCTION("""COMPUTED_VALUE"""),0.0)</f>
        <v>0</v>
      </c>
      <c r="Y70" s="8">
        <f>IFERROR(__xludf.DUMMYFUNCTION("""COMPUTED_VALUE"""),0.0)</f>
        <v>0</v>
      </c>
      <c r="Z70" s="8">
        <f>IFERROR(__xludf.DUMMYFUNCTION("""COMPUTED_VALUE"""),0.0)</f>
        <v>0</v>
      </c>
      <c r="AA70" s="8">
        <f>IFERROR(__xludf.DUMMYFUNCTION("""COMPUTED_VALUE"""),0.0)</f>
        <v>0</v>
      </c>
      <c r="AB70" s="8">
        <f>IFERROR(__xludf.DUMMYFUNCTION("""COMPUTED_VALUE"""),0.0)</f>
        <v>0</v>
      </c>
      <c r="AC70" s="8">
        <f>IFERROR(__xludf.DUMMYFUNCTION("""COMPUTED_VALUE"""),0.0)</f>
        <v>0</v>
      </c>
    </row>
    <row r="71" ht="15.75" customHeight="1">
      <c r="A71" s="6" t="str">
        <f>IFERROR(__xludf.DUMMYFUNCTION("""COMPUTED_VALUE"""),"4056d8e031445adbb80d52b1fd723609be585a3b")</f>
        <v>4056d8e031445adbb80d52b1fd723609be585a3b</v>
      </c>
      <c r="B71" s="6" t="str">
        <f>IFERROR(__xludf.DUMMYFUNCTION("""COMPUTED_VALUE"""),"Only Boy on the Bus")</f>
        <v>Only Boy on the Bus</v>
      </c>
      <c r="C71" s="6" t="str">
        <f>IFERROR(__xludf.DUMMYFUNCTION("""COMPUTED_VALUE"""),"Fantasy")</f>
        <v>Fantasy</v>
      </c>
      <c r="D71" s="11">
        <f>IFERROR(__xludf.DUMMYFUNCTION("""COMPUTED_VALUE"""),513.0)</f>
        <v>513</v>
      </c>
      <c r="E71" s="8">
        <f>IFERROR(__xludf.DUMMYFUNCTION("""COMPUTED_VALUE"""),0.982456140350877)</f>
        <v>0.9824561404</v>
      </c>
      <c r="F71" s="8">
        <f>IFERROR(__xludf.DUMMYFUNCTION("""COMPUTED_VALUE"""),0.647173489278752)</f>
        <v>0.6471734893</v>
      </c>
      <c r="G71" s="8">
        <f>IFERROR(__xludf.DUMMYFUNCTION("""COMPUTED_VALUE"""),0.561403508771929)</f>
        <v>0.5614035088</v>
      </c>
      <c r="H71" s="8">
        <f>IFERROR(__xludf.DUMMYFUNCTION("""COMPUTED_VALUE"""),0.510805500982318)</f>
        <v>0.510805501</v>
      </c>
      <c r="I71" s="8">
        <f>IFERROR(__xludf.DUMMYFUNCTION("""COMPUTED_VALUE"""),0.476377952755905)</f>
        <v>0.4763779528</v>
      </c>
      <c r="J71" s="8">
        <f>IFERROR(__xludf.DUMMYFUNCTION("""COMPUTED_VALUE"""),0.456521739130434)</f>
        <v>0.4565217391</v>
      </c>
      <c r="K71" s="8">
        <f>IFERROR(__xludf.DUMMYFUNCTION("""COMPUTED_VALUE"""),0.413043478260869)</f>
        <v>0.4130434783</v>
      </c>
      <c r="L71" s="8">
        <f>IFERROR(__xludf.DUMMYFUNCTION("""COMPUTED_VALUE"""),0.398019801980198)</f>
        <v>0.398019802</v>
      </c>
      <c r="M71" s="8">
        <f>IFERROR(__xludf.DUMMYFUNCTION("""COMPUTED_VALUE"""),0.393638170974155)</f>
        <v>0.393638171</v>
      </c>
      <c r="N71" s="8">
        <f>IFERROR(__xludf.DUMMYFUNCTION("""COMPUTED_VALUE"""),0.386454183266932)</f>
        <v>0.3864541833</v>
      </c>
      <c r="O71" s="8">
        <f>IFERROR(__xludf.DUMMYFUNCTION("""COMPUTED_VALUE"""),0.373983739837398)</f>
        <v>0.3739837398</v>
      </c>
      <c r="P71" s="8">
        <f>IFERROR(__xludf.DUMMYFUNCTION("""COMPUTED_VALUE"""),0.295890410958904)</f>
        <v>0.295890411</v>
      </c>
      <c r="Q71" s="8">
        <f>IFERROR(__xludf.DUMMYFUNCTION("""COMPUTED_VALUE"""),0.0772200772200772)</f>
        <v>0.07722007722</v>
      </c>
      <c r="R71" s="8">
        <f>IFERROR(__xludf.DUMMYFUNCTION("""COMPUTED_VALUE"""),0.0)</f>
        <v>0</v>
      </c>
      <c r="S71" s="8">
        <f>IFERROR(__xludf.DUMMYFUNCTION("""COMPUTED_VALUE"""),0.0)</f>
        <v>0</v>
      </c>
      <c r="T71" s="8">
        <f>IFERROR(__xludf.DUMMYFUNCTION("""COMPUTED_VALUE"""),0.0)</f>
        <v>0</v>
      </c>
      <c r="U71" s="8">
        <f>IFERROR(__xludf.DUMMYFUNCTION("""COMPUTED_VALUE"""),0.0)</f>
        <v>0</v>
      </c>
      <c r="V71" s="8">
        <f>IFERROR(__xludf.DUMMYFUNCTION("""COMPUTED_VALUE"""),0.0)</f>
        <v>0</v>
      </c>
      <c r="W71" s="8">
        <f>IFERROR(__xludf.DUMMYFUNCTION("""COMPUTED_VALUE"""),0.0)</f>
        <v>0</v>
      </c>
      <c r="X71" s="8">
        <f>IFERROR(__xludf.DUMMYFUNCTION("""COMPUTED_VALUE"""),0.0)</f>
        <v>0</v>
      </c>
      <c r="Y71" s="8">
        <f>IFERROR(__xludf.DUMMYFUNCTION("""COMPUTED_VALUE"""),0.0)</f>
        <v>0</v>
      </c>
      <c r="Z71" s="8">
        <f>IFERROR(__xludf.DUMMYFUNCTION("""COMPUTED_VALUE"""),0.0)</f>
        <v>0</v>
      </c>
      <c r="AA71" s="8">
        <f>IFERROR(__xludf.DUMMYFUNCTION("""COMPUTED_VALUE"""),0.0)</f>
        <v>0</v>
      </c>
      <c r="AB71" s="8">
        <f>IFERROR(__xludf.DUMMYFUNCTION("""COMPUTED_VALUE"""),0.0)</f>
        <v>0</v>
      </c>
      <c r="AC71" s="8">
        <f>IFERROR(__xludf.DUMMYFUNCTION("""COMPUTED_VALUE"""),0.0)</f>
        <v>0</v>
      </c>
    </row>
    <row r="72" ht="15.75" customHeight="1">
      <c r="A72" s="6" t="str">
        <f>IFERROR(__xludf.DUMMYFUNCTION("""COMPUTED_VALUE"""),"40e06046d3679811f910f8beed9306369f59c60e")</f>
        <v>40e06046d3679811f910f8beed9306369f59c60e</v>
      </c>
      <c r="B72" s="6" t="str">
        <f>IFERROR(__xludf.DUMMYFUNCTION("""COMPUTED_VALUE"""),"Lycan Unity Academy")</f>
        <v>Lycan Unity Academy</v>
      </c>
      <c r="C72" s="6" t="str">
        <f>IFERROR(__xludf.DUMMYFUNCTION("""COMPUTED_VALUE"""),"Romantasy")</f>
        <v>Romantasy</v>
      </c>
      <c r="D72" s="11">
        <f>IFERROR(__xludf.DUMMYFUNCTION("""COMPUTED_VALUE"""),1048.0)</f>
        <v>1048</v>
      </c>
      <c r="E72" s="8">
        <f>IFERROR(__xludf.DUMMYFUNCTION("""COMPUTED_VALUE"""),0.97131931166348)</f>
        <v>0.9713193117</v>
      </c>
      <c r="F72" s="8">
        <f>IFERROR(__xludf.DUMMYFUNCTION("""COMPUTED_VALUE"""),0.54066985645933)</f>
        <v>0.5406698565</v>
      </c>
      <c r="G72" s="8">
        <f>IFERROR(__xludf.DUMMYFUNCTION("""COMPUTED_VALUE"""),0.475095785440613)</f>
        <v>0.4750957854</v>
      </c>
      <c r="H72" s="8">
        <f>IFERROR(__xludf.DUMMYFUNCTION("""COMPUTED_VALUE"""),0.437739463601532)</f>
        <v>0.4377394636</v>
      </c>
      <c r="I72" s="8">
        <f>IFERROR(__xludf.DUMMYFUNCTION("""COMPUTED_VALUE"""),0.398467432950191)</f>
        <v>0.398467433</v>
      </c>
      <c r="J72" s="8">
        <f>IFERROR(__xludf.DUMMYFUNCTION("""COMPUTED_VALUE"""),0.380268199233716)</f>
        <v>0.3802681992</v>
      </c>
      <c r="K72" s="8">
        <f>IFERROR(__xludf.DUMMYFUNCTION("""COMPUTED_VALUE"""),0.373563218390804)</f>
        <v>0.3735632184</v>
      </c>
      <c r="L72" s="8">
        <f>IFERROR(__xludf.DUMMYFUNCTION("""COMPUTED_VALUE"""),0.352490421455938)</f>
        <v>0.3524904215</v>
      </c>
      <c r="M72" s="8">
        <f>IFERROR(__xludf.DUMMYFUNCTION("""COMPUTED_VALUE"""),0.326941514860977)</f>
        <v>0.3269415149</v>
      </c>
      <c r="N72" s="8">
        <f>IFERROR(__xludf.DUMMYFUNCTION("""COMPUTED_VALUE"""),0.319271332694151)</f>
        <v>0.3192713327</v>
      </c>
      <c r="O72" s="8">
        <f>IFERROR(__xludf.DUMMYFUNCTION("""COMPUTED_VALUE"""),0.285024154589371)</f>
        <v>0.2850241546</v>
      </c>
      <c r="P72" s="8">
        <f>IFERROR(__xludf.DUMMYFUNCTION("""COMPUTED_VALUE"""),0.221786064769381)</f>
        <v>0.2217860648</v>
      </c>
      <c r="Q72" s="8">
        <f>IFERROR(__xludf.DUMMYFUNCTION("""COMPUTED_VALUE"""),0.14968152866242)</f>
        <v>0.1496815287</v>
      </c>
      <c r="R72" s="8">
        <f>IFERROR(__xludf.DUMMYFUNCTION("""COMPUTED_VALUE"""),0.2)</f>
        <v>0.2</v>
      </c>
      <c r="S72" s="8">
        <f>IFERROR(__xludf.DUMMYFUNCTION("""COMPUTED_VALUE"""),0.0)</f>
        <v>0</v>
      </c>
      <c r="T72" s="8">
        <f>IFERROR(__xludf.DUMMYFUNCTION("""COMPUTED_VALUE"""),0.0)</f>
        <v>0</v>
      </c>
      <c r="U72" s="8">
        <f>IFERROR(__xludf.DUMMYFUNCTION("""COMPUTED_VALUE"""),0.0)</f>
        <v>0</v>
      </c>
      <c r="V72" s="8">
        <f>IFERROR(__xludf.DUMMYFUNCTION("""COMPUTED_VALUE"""),0.0)</f>
        <v>0</v>
      </c>
      <c r="W72" s="8">
        <f>IFERROR(__xludf.DUMMYFUNCTION("""COMPUTED_VALUE"""),0.0)</f>
        <v>0</v>
      </c>
      <c r="X72" s="8">
        <f>IFERROR(__xludf.DUMMYFUNCTION("""COMPUTED_VALUE"""),0.0)</f>
        <v>0</v>
      </c>
      <c r="Y72" s="8">
        <f>IFERROR(__xludf.DUMMYFUNCTION("""COMPUTED_VALUE"""),0.0)</f>
        <v>0</v>
      </c>
      <c r="Z72" s="8">
        <f>IFERROR(__xludf.DUMMYFUNCTION("""COMPUTED_VALUE"""),0.0)</f>
        <v>0</v>
      </c>
      <c r="AA72" s="8">
        <f>IFERROR(__xludf.DUMMYFUNCTION("""COMPUTED_VALUE"""),0.0)</f>
        <v>0</v>
      </c>
      <c r="AB72" s="8">
        <f>IFERROR(__xludf.DUMMYFUNCTION("""COMPUTED_VALUE"""),0.0)</f>
        <v>0</v>
      </c>
      <c r="AC72" s="8">
        <f>IFERROR(__xludf.DUMMYFUNCTION("""COMPUTED_VALUE"""),0.0)</f>
        <v>0</v>
      </c>
    </row>
    <row r="73" ht="15.75" customHeight="1">
      <c r="A73" s="6" t="str">
        <f>IFERROR(__xludf.DUMMYFUNCTION("""COMPUTED_VALUE"""),"41afeacb4e481e249d618ae39936f1173864e026")</f>
        <v>41afeacb4e481e249d618ae39936f1173864e026</v>
      </c>
      <c r="B73" s="6" t="str">
        <f>IFERROR(__xludf.DUMMYFUNCTION("""COMPUTED_VALUE"""),"Disguised Successor")</f>
        <v>Disguised Successor</v>
      </c>
      <c r="C73" s="6" t="str">
        <f>IFERROR(__xludf.DUMMYFUNCTION("""COMPUTED_VALUE"""),"Drama")</f>
        <v>Drama</v>
      </c>
      <c r="D73" s="11">
        <f>IFERROR(__xludf.DUMMYFUNCTION("""COMPUTED_VALUE"""),539.0)</f>
        <v>539</v>
      </c>
      <c r="E73" s="8">
        <f>IFERROR(__xludf.DUMMYFUNCTION("""COMPUTED_VALUE"""),0.970260223048327)</f>
        <v>0.970260223</v>
      </c>
      <c r="F73" s="8">
        <f>IFERROR(__xludf.DUMMYFUNCTION("""COMPUTED_VALUE"""),0.685873605947955)</f>
        <v>0.6858736059</v>
      </c>
      <c r="G73" s="8">
        <f>IFERROR(__xludf.DUMMYFUNCTION("""COMPUTED_VALUE"""),0.611524163568773)</f>
        <v>0.6115241636</v>
      </c>
      <c r="H73" s="8">
        <f>IFERROR(__xludf.DUMMYFUNCTION("""COMPUTED_VALUE"""),0.575418994413407)</f>
        <v>0.5754189944</v>
      </c>
      <c r="I73" s="8">
        <f>IFERROR(__xludf.DUMMYFUNCTION("""COMPUTED_VALUE"""),0.553072625698324)</f>
        <v>0.5530726257</v>
      </c>
      <c r="J73" s="8">
        <f>IFERROR(__xludf.DUMMYFUNCTION("""COMPUTED_VALUE"""),0.524344569288389)</f>
        <v>0.5243445693</v>
      </c>
      <c r="K73" s="8">
        <f>IFERROR(__xludf.DUMMYFUNCTION("""COMPUTED_VALUE"""),0.47940074906367)</f>
        <v>0.4794007491</v>
      </c>
      <c r="L73" s="8">
        <f>IFERROR(__xludf.DUMMYFUNCTION("""COMPUTED_VALUE"""),0.47565543071161)</f>
        <v>0.4756554307</v>
      </c>
      <c r="M73" s="8">
        <f>IFERROR(__xludf.DUMMYFUNCTION("""COMPUTED_VALUE"""),0.440074906367041)</f>
        <v>0.4400749064</v>
      </c>
      <c r="N73" s="8">
        <f>IFERROR(__xludf.DUMMYFUNCTION("""COMPUTED_VALUE"""),0.410112359550561)</f>
        <v>0.4101123596</v>
      </c>
      <c r="O73" s="8">
        <f>IFERROR(__xludf.DUMMYFUNCTION("""COMPUTED_VALUE"""),0.351145038167938)</f>
        <v>0.3511450382</v>
      </c>
      <c r="P73" s="8">
        <f>IFERROR(__xludf.DUMMYFUNCTION("""COMPUTED_VALUE"""),0.224852071005917)</f>
        <v>0.224852071</v>
      </c>
      <c r="Q73" s="8">
        <f>IFERROR(__xludf.DUMMYFUNCTION("""COMPUTED_VALUE"""),0.114688128772635)</f>
        <v>0.1146881288</v>
      </c>
      <c r="R73" s="8">
        <f>IFERROR(__xludf.DUMMYFUNCTION("""COMPUTED_VALUE"""),0.0569476082004555)</f>
        <v>0.0569476082</v>
      </c>
      <c r="S73" s="8">
        <f>IFERROR(__xludf.DUMMYFUNCTION("""COMPUTED_VALUE"""),0.0)</f>
        <v>0</v>
      </c>
      <c r="T73" s="8">
        <f>IFERROR(__xludf.DUMMYFUNCTION("""COMPUTED_VALUE"""),0.0)</f>
        <v>0</v>
      </c>
      <c r="U73" s="8">
        <f>IFERROR(__xludf.DUMMYFUNCTION("""COMPUTED_VALUE"""),0.0)</f>
        <v>0</v>
      </c>
      <c r="V73" s="8">
        <f>IFERROR(__xludf.DUMMYFUNCTION("""COMPUTED_VALUE"""),0.0)</f>
        <v>0</v>
      </c>
      <c r="W73" s="8">
        <f>IFERROR(__xludf.DUMMYFUNCTION("""COMPUTED_VALUE"""),0.0)</f>
        <v>0</v>
      </c>
      <c r="X73" s="8">
        <f>IFERROR(__xludf.DUMMYFUNCTION("""COMPUTED_VALUE"""),0.0)</f>
        <v>0</v>
      </c>
      <c r="Y73" s="8">
        <f>IFERROR(__xludf.DUMMYFUNCTION("""COMPUTED_VALUE"""),0.0)</f>
        <v>0</v>
      </c>
      <c r="Z73" s="8">
        <f>IFERROR(__xludf.DUMMYFUNCTION("""COMPUTED_VALUE"""),0.0)</f>
        <v>0</v>
      </c>
      <c r="AA73" s="8">
        <f>IFERROR(__xludf.DUMMYFUNCTION("""COMPUTED_VALUE"""),0.0)</f>
        <v>0</v>
      </c>
      <c r="AB73" s="8">
        <f>IFERROR(__xludf.DUMMYFUNCTION("""COMPUTED_VALUE"""),0.0)</f>
        <v>0</v>
      </c>
      <c r="AC73" s="8">
        <f>IFERROR(__xludf.DUMMYFUNCTION("""COMPUTED_VALUE"""),0.0)</f>
        <v>0</v>
      </c>
    </row>
    <row r="74" ht="15.75" customHeight="1">
      <c r="A74" s="6" t="str">
        <f>IFERROR(__xludf.DUMMYFUNCTION("""COMPUTED_VALUE"""),"41fe3152f98c34f655d93ac2fc85bf506eac3371")</f>
        <v>41fe3152f98c34f655d93ac2fc85bf506eac3371</v>
      </c>
      <c r="B74" s="6" t="str">
        <f>IFERROR(__xludf.DUMMYFUNCTION("""COMPUTED_VALUE"""),"Owen &amp; Liam")</f>
        <v>Owen &amp; Liam</v>
      </c>
      <c r="C74" s="6" t="str">
        <f>IFERROR(__xludf.DUMMYFUNCTION("""COMPUTED_VALUE"""),"Romance")</f>
        <v>Romance</v>
      </c>
      <c r="D74" s="11">
        <f>IFERROR(__xludf.DUMMYFUNCTION("""COMPUTED_VALUE"""),6774.0)</f>
        <v>6774</v>
      </c>
      <c r="E74" s="8">
        <f>IFERROR(__xludf.DUMMYFUNCTION("""COMPUTED_VALUE"""),0.953498671390611)</f>
        <v>0.9534986714</v>
      </c>
      <c r="F74" s="8">
        <f>IFERROR(__xludf.DUMMYFUNCTION("""COMPUTED_VALUE"""),0.601121936817242)</f>
        <v>0.6011219368</v>
      </c>
      <c r="G74" s="8">
        <f>IFERROR(__xludf.DUMMYFUNCTION("""COMPUTED_VALUE"""),0.510999557064816)</f>
        <v>0.5109995571</v>
      </c>
      <c r="H74" s="8">
        <f>IFERROR(__xludf.DUMMYFUNCTION("""COMPUTED_VALUE"""),0.462640283520378)</f>
        <v>0.4626402835</v>
      </c>
      <c r="I74" s="8">
        <f>IFERROR(__xludf.DUMMYFUNCTION("""COMPUTED_VALUE"""),0.433697578263437)</f>
        <v>0.4336975783</v>
      </c>
      <c r="J74" s="8">
        <f>IFERROR(__xludf.DUMMYFUNCTION("""COMPUTED_VALUE"""),0.415361890694239)</f>
        <v>0.4153618907</v>
      </c>
      <c r="K74" s="8">
        <f>IFERROR(__xludf.DUMMYFUNCTION("""COMPUTED_VALUE"""),0.394830132939438)</f>
        <v>0.3948301329</v>
      </c>
      <c r="L74" s="8">
        <f>IFERROR(__xludf.DUMMYFUNCTION("""COMPUTED_VALUE"""),0.382422451994091)</f>
        <v>0.382422452</v>
      </c>
      <c r="M74" s="8">
        <f>IFERROR(__xludf.DUMMYFUNCTION("""COMPUTED_VALUE"""),0.372230428360413)</f>
        <v>0.3722304284</v>
      </c>
      <c r="N74" s="8">
        <f>IFERROR(__xludf.DUMMYFUNCTION("""COMPUTED_VALUE"""),0.35834564254062)</f>
        <v>0.3583456425</v>
      </c>
      <c r="O74" s="8">
        <f>IFERROR(__xludf.DUMMYFUNCTION("""COMPUTED_VALUE"""),0.328455284552845)</f>
        <v>0.3284552846</v>
      </c>
      <c r="P74" s="8">
        <f>IFERROR(__xludf.DUMMYFUNCTION("""COMPUTED_VALUE"""),0.293934911242603)</f>
        <v>0.2939349112</v>
      </c>
      <c r="Q74" s="8">
        <f>IFERROR(__xludf.DUMMYFUNCTION("""COMPUTED_VALUE"""),0.240588140248828)</f>
        <v>0.2405881402</v>
      </c>
      <c r="R74" s="8">
        <f>IFERROR(__xludf.DUMMYFUNCTION("""COMPUTED_VALUE"""),0.191449110858872)</f>
        <v>0.1914491109</v>
      </c>
      <c r="S74" s="8">
        <f>IFERROR(__xludf.DUMMYFUNCTION("""COMPUTED_VALUE"""),0.152820032763866)</f>
        <v>0.1528200328</v>
      </c>
      <c r="T74" s="8">
        <f>IFERROR(__xludf.DUMMYFUNCTION("""COMPUTED_VALUE"""),0.131762878591768)</f>
        <v>0.1317628786</v>
      </c>
      <c r="U74" s="8">
        <f>IFERROR(__xludf.DUMMYFUNCTION("""COMPUTED_VALUE"""),0.119704837387264)</f>
        <v>0.1197048374</v>
      </c>
      <c r="V74" s="8">
        <f>IFERROR(__xludf.DUMMYFUNCTION("""COMPUTED_VALUE"""),0.113393115417992)</f>
        <v>0.1133931154</v>
      </c>
      <c r="W74" s="8">
        <f>IFERROR(__xludf.DUMMYFUNCTION("""COMPUTED_VALUE"""),0.0968348480100282)</f>
        <v>0.09683484801</v>
      </c>
      <c r="X74" s="8">
        <f>IFERROR(__xludf.DUMMYFUNCTION("""COMPUTED_VALUE"""),0.0943396226415094)</f>
        <v>0.09433962264</v>
      </c>
      <c r="Y74" s="8">
        <f>IFERROR(__xludf.DUMMYFUNCTION("""COMPUTED_VALUE"""),0.0630550621669627)</f>
        <v>0.06305506217</v>
      </c>
      <c r="Z74" s="8">
        <f>IFERROR(__xludf.DUMMYFUNCTION("""COMPUTED_VALUE"""),0.0634920634920634)</f>
        <v>0.06349206349</v>
      </c>
      <c r="AA74" s="8">
        <f>IFERROR(__xludf.DUMMYFUNCTION("""COMPUTED_VALUE"""),0.0)</f>
        <v>0</v>
      </c>
      <c r="AB74" s="8">
        <f>IFERROR(__xludf.DUMMYFUNCTION("""COMPUTED_VALUE"""),0.0)</f>
        <v>0</v>
      </c>
      <c r="AC74" s="8">
        <f>IFERROR(__xludf.DUMMYFUNCTION("""COMPUTED_VALUE"""),0.0)</f>
        <v>0</v>
      </c>
    </row>
    <row r="75" ht="15.75" customHeight="1">
      <c r="A75" s="6" t="str">
        <f>IFERROR(__xludf.DUMMYFUNCTION("""COMPUTED_VALUE"""),"424b450dc35cc4bf4fc088069830e978aa97884a")</f>
        <v>424b450dc35cc4bf4fc088069830e978aa97884a</v>
      </c>
      <c r="B75" s="6" t="str">
        <f>IFERROR(__xludf.DUMMYFUNCTION("""COMPUTED_VALUE"""),"The Alpha's Witch")</f>
        <v>The Alpha's Witch</v>
      </c>
      <c r="C75" s="6" t="str">
        <f>IFERROR(__xludf.DUMMYFUNCTION("""COMPUTED_VALUE"""),"Romantasy")</f>
        <v>Romantasy</v>
      </c>
      <c r="D75" s="11">
        <f>IFERROR(__xludf.DUMMYFUNCTION("""COMPUTED_VALUE"""),687.0)</f>
        <v>687</v>
      </c>
      <c r="E75" s="8">
        <f>IFERROR(__xludf.DUMMYFUNCTION("""COMPUTED_VALUE"""),0.983988355167394)</f>
        <v>0.9839883552</v>
      </c>
      <c r="F75" s="8">
        <f>IFERROR(__xludf.DUMMYFUNCTION("""COMPUTED_VALUE"""),0.662299854439592)</f>
        <v>0.6622998544</v>
      </c>
      <c r="G75" s="8">
        <f>IFERROR(__xludf.DUMMYFUNCTION("""COMPUTED_VALUE"""),0.581632653061224)</f>
        <v>0.5816326531</v>
      </c>
      <c r="H75" s="8">
        <f>IFERROR(__xludf.DUMMYFUNCTION("""COMPUTED_VALUE"""),0.516788321167883)</f>
        <v>0.5167883212</v>
      </c>
      <c r="I75" s="8">
        <f>IFERROR(__xludf.DUMMYFUNCTION("""COMPUTED_VALUE"""),0.477372262773722)</f>
        <v>0.4773722628</v>
      </c>
      <c r="J75" s="8">
        <f>IFERROR(__xludf.DUMMYFUNCTION("""COMPUTED_VALUE"""),0.461988304093567)</f>
        <v>0.4619883041</v>
      </c>
      <c r="K75" s="8">
        <f>IFERROR(__xludf.DUMMYFUNCTION("""COMPUTED_VALUE"""),0.436310395314787)</f>
        <v>0.4363103953</v>
      </c>
      <c r="L75" s="8">
        <f>IFERROR(__xludf.DUMMYFUNCTION("""COMPUTED_VALUE"""),0.427525622254758)</f>
        <v>0.4275256223</v>
      </c>
      <c r="M75" s="8">
        <f>IFERROR(__xludf.DUMMYFUNCTION("""COMPUTED_VALUE"""),0.425219941348973)</f>
        <v>0.4252199413</v>
      </c>
      <c r="N75" s="8">
        <f>IFERROR(__xludf.DUMMYFUNCTION("""COMPUTED_VALUE"""),0.413489736070381)</f>
        <v>0.4134897361</v>
      </c>
      <c r="O75" s="8">
        <f>IFERROR(__xludf.DUMMYFUNCTION("""COMPUTED_VALUE"""),0.231111111111111)</f>
        <v>0.2311111111</v>
      </c>
      <c r="P75" s="8">
        <f>IFERROR(__xludf.DUMMYFUNCTION("""COMPUTED_VALUE"""),0.18796992481203)</f>
        <v>0.1879699248</v>
      </c>
      <c r="Q75" s="8">
        <f>IFERROR(__xludf.DUMMYFUNCTION("""COMPUTED_VALUE"""),0.15406976744186)</f>
        <v>0.1540697674</v>
      </c>
      <c r="R75" s="8">
        <f>IFERROR(__xludf.DUMMYFUNCTION("""COMPUTED_VALUE"""),0.193548387096774)</f>
        <v>0.1935483871</v>
      </c>
      <c r="S75" s="8">
        <f>IFERROR(__xludf.DUMMYFUNCTION("""COMPUTED_VALUE"""),0.0)</f>
        <v>0</v>
      </c>
      <c r="T75" s="8">
        <f>IFERROR(__xludf.DUMMYFUNCTION("""COMPUTED_VALUE"""),0.0)</f>
        <v>0</v>
      </c>
      <c r="U75" s="8">
        <f>IFERROR(__xludf.DUMMYFUNCTION("""COMPUTED_VALUE"""),0.0)</f>
        <v>0</v>
      </c>
      <c r="V75" s="8">
        <f>IFERROR(__xludf.DUMMYFUNCTION("""COMPUTED_VALUE"""),0.0)</f>
        <v>0</v>
      </c>
      <c r="W75" s="8">
        <f>IFERROR(__xludf.DUMMYFUNCTION("""COMPUTED_VALUE"""),0.0)</f>
        <v>0</v>
      </c>
      <c r="X75" s="8">
        <f>IFERROR(__xludf.DUMMYFUNCTION("""COMPUTED_VALUE"""),0.0)</f>
        <v>0</v>
      </c>
      <c r="Y75" s="8">
        <f>IFERROR(__xludf.DUMMYFUNCTION("""COMPUTED_VALUE"""),0.0)</f>
        <v>0</v>
      </c>
      <c r="Z75" s="8">
        <f>IFERROR(__xludf.DUMMYFUNCTION("""COMPUTED_VALUE"""),0.0)</f>
        <v>0</v>
      </c>
      <c r="AA75" s="8">
        <f>IFERROR(__xludf.DUMMYFUNCTION("""COMPUTED_VALUE"""),0.0)</f>
        <v>0</v>
      </c>
      <c r="AB75" s="8">
        <f>IFERROR(__xludf.DUMMYFUNCTION("""COMPUTED_VALUE"""),0.0)</f>
        <v>0</v>
      </c>
      <c r="AC75" s="8">
        <f>IFERROR(__xludf.DUMMYFUNCTION("""COMPUTED_VALUE"""),0.0)</f>
        <v>0</v>
      </c>
    </row>
    <row r="76" ht="15.75" customHeight="1">
      <c r="A76" s="6" t="str">
        <f>IFERROR(__xludf.DUMMYFUNCTION("""COMPUTED_VALUE"""),"42515091e7b47b7b2d2381d7512fdb9f9866aa1e")</f>
        <v>42515091e7b47b7b2d2381d7512fdb9f9866aa1e</v>
      </c>
      <c r="B76" s="6" t="str">
        <f>IFERROR(__xludf.DUMMYFUNCTION("""COMPUTED_VALUE"""),"The Tomboy Love Story")</f>
        <v>The Tomboy Love Story</v>
      </c>
      <c r="C76" s="6" t="str">
        <f>IFERROR(__xludf.DUMMYFUNCTION("""COMPUTED_VALUE"""),"Romance")</f>
        <v>Romance</v>
      </c>
      <c r="D76" s="11">
        <f>IFERROR(__xludf.DUMMYFUNCTION("""COMPUTED_VALUE"""),633.0)</f>
        <v>633</v>
      </c>
      <c r="E76" s="8">
        <f>IFERROR(__xludf.DUMMYFUNCTION("""COMPUTED_VALUE"""),0.961783439490445)</f>
        <v>0.9617834395</v>
      </c>
      <c r="F76" s="8">
        <f>IFERROR(__xludf.DUMMYFUNCTION("""COMPUTED_VALUE"""),0.556089743589743)</f>
        <v>0.5560897436</v>
      </c>
      <c r="G76" s="8">
        <f>IFERROR(__xludf.DUMMYFUNCTION("""COMPUTED_VALUE"""),0.511217948717948)</f>
        <v>0.5112179487</v>
      </c>
      <c r="H76" s="8">
        <f>IFERROR(__xludf.DUMMYFUNCTION("""COMPUTED_VALUE"""),0.47588424437299)</f>
        <v>0.4758842444</v>
      </c>
      <c r="I76" s="8">
        <f>IFERROR(__xludf.DUMMYFUNCTION("""COMPUTED_VALUE"""),0.446054750402576)</f>
        <v>0.4460547504</v>
      </c>
      <c r="J76" s="8">
        <f>IFERROR(__xludf.DUMMYFUNCTION("""COMPUTED_VALUE"""),0.435483870967741)</f>
        <v>0.435483871</v>
      </c>
      <c r="K76" s="8">
        <f>IFERROR(__xludf.DUMMYFUNCTION("""COMPUTED_VALUE"""),0.41774193548387)</f>
        <v>0.4177419355</v>
      </c>
      <c r="L76" s="8">
        <f>IFERROR(__xludf.DUMMYFUNCTION("""COMPUTED_VALUE"""),0.414516129032258)</f>
        <v>0.414516129</v>
      </c>
      <c r="M76" s="8">
        <f>IFERROR(__xludf.DUMMYFUNCTION("""COMPUTED_VALUE"""),0.401612903225806)</f>
        <v>0.4016129032</v>
      </c>
      <c r="N76" s="8">
        <f>IFERROR(__xludf.DUMMYFUNCTION("""COMPUTED_VALUE"""),0.383870967741935)</f>
        <v>0.3838709677</v>
      </c>
      <c r="O76" s="8">
        <f>IFERROR(__xludf.DUMMYFUNCTION("""COMPUTED_VALUE"""),0.370309951060358)</f>
        <v>0.3703099511</v>
      </c>
      <c r="P76" s="8">
        <f>IFERROR(__xludf.DUMMYFUNCTION("""COMPUTED_VALUE"""),0.281618887015177)</f>
        <v>0.281618887</v>
      </c>
      <c r="Q76" s="8">
        <f>IFERROR(__xludf.DUMMYFUNCTION("""COMPUTED_VALUE"""),0.159615384615384)</f>
        <v>0.1596153846</v>
      </c>
      <c r="R76" s="8">
        <f>IFERROR(__xludf.DUMMYFUNCTION("""COMPUTED_VALUE"""),0.128342245989304)</f>
        <v>0.128342246</v>
      </c>
      <c r="S76" s="8">
        <f>IFERROR(__xludf.DUMMYFUNCTION("""COMPUTED_VALUE"""),0.171428571428571)</f>
        <v>0.1714285714</v>
      </c>
      <c r="T76" s="8">
        <f>IFERROR(__xludf.DUMMYFUNCTION("""COMPUTED_VALUE"""),0.0)</f>
        <v>0</v>
      </c>
      <c r="U76" s="8">
        <f>IFERROR(__xludf.DUMMYFUNCTION("""COMPUTED_VALUE"""),0.0)</f>
        <v>0</v>
      </c>
      <c r="V76" s="8">
        <f>IFERROR(__xludf.DUMMYFUNCTION("""COMPUTED_VALUE"""),0.0)</f>
        <v>0</v>
      </c>
      <c r="W76" s="8">
        <f>IFERROR(__xludf.DUMMYFUNCTION("""COMPUTED_VALUE"""),0.0)</f>
        <v>0</v>
      </c>
      <c r="X76" s="8">
        <f>IFERROR(__xludf.DUMMYFUNCTION("""COMPUTED_VALUE"""),0.0)</f>
        <v>0</v>
      </c>
      <c r="Y76" s="8">
        <f>IFERROR(__xludf.DUMMYFUNCTION("""COMPUTED_VALUE"""),0.0)</f>
        <v>0</v>
      </c>
      <c r="Z76" s="8">
        <f>IFERROR(__xludf.DUMMYFUNCTION("""COMPUTED_VALUE"""),0.0)</f>
        <v>0</v>
      </c>
      <c r="AA76" s="8">
        <f>IFERROR(__xludf.DUMMYFUNCTION("""COMPUTED_VALUE"""),0.0)</f>
        <v>0</v>
      </c>
      <c r="AB76" s="8">
        <f>IFERROR(__xludf.DUMMYFUNCTION("""COMPUTED_VALUE"""),0.0)</f>
        <v>0</v>
      </c>
      <c r="AC76" s="8">
        <f>IFERROR(__xludf.DUMMYFUNCTION("""COMPUTED_VALUE"""),0.0)</f>
        <v>0</v>
      </c>
    </row>
    <row r="77" ht="15.75" customHeight="1">
      <c r="A77" s="6" t="str">
        <f>IFERROR(__xludf.DUMMYFUNCTION("""COMPUTED_VALUE"""),"4335258b71733375cbccc0fbf7ce0bf0975b095d")</f>
        <v>4335258b71733375cbccc0fbf7ce0bf0975b095d</v>
      </c>
      <c r="B77" s="6" t="str">
        <f>IFERROR(__xludf.DUMMYFUNCTION("""COMPUTED_VALUE"""),"Alex &amp; the Prison System")</f>
        <v>Alex &amp; the Prison System</v>
      </c>
      <c r="C77" s="6" t="str">
        <f>IFERROR(__xludf.DUMMYFUNCTION("""COMPUTED_VALUE"""),"System and Superpower")</f>
        <v>System and Superpower</v>
      </c>
      <c r="D77" s="11">
        <f>IFERROR(__xludf.DUMMYFUNCTION("""COMPUTED_VALUE"""),1121.0)</f>
        <v>1121</v>
      </c>
      <c r="E77" s="8">
        <f>IFERROR(__xludf.DUMMYFUNCTION("""COMPUTED_VALUE"""),0.971428571428571)</f>
        <v>0.9714285714</v>
      </c>
      <c r="F77" s="8">
        <f>IFERROR(__xludf.DUMMYFUNCTION("""COMPUTED_VALUE"""),0.721824686940966)</f>
        <v>0.7218246869</v>
      </c>
      <c r="G77" s="8">
        <f>IFERROR(__xludf.DUMMYFUNCTION("""COMPUTED_VALUE"""),0.657706093189964)</f>
        <v>0.6577060932</v>
      </c>
      <c r="H77" s="8">
        <f>IFERROR(__xludf.DUMMYFUNCTION("""COMPUTED_VALUE"""),0.640358744394618)</f>
        <v>0.6403587444</v>
      </c>
      <c r="I77" s="8">
        <f>IFERROR(__xludf.DUMMYFUNCTION("""COMPUTED_VALUE"""),0.617250673854447)</f>
        <v>0.6172506739</v>
      </c>
      <c r="J77" s="8">
        <f>IFERROR(__xludf.DUMMYFUNCTION("""COMPUTED_VALUE"""),0.604672057502246)</f>
        <v>0.6046720575</v>
      </c>
      <c r="K77" s="8">
        <f>IFERROR(__xludf.DUMMYFUNCTION("""COMPUTED_VALUE"""),0.596223021582733)</f>
        <v>0.5962230216</v>
      </c>
      <c r="L77" s="8">
        <f>IFERROR(__xludf.DUMMYFUNCTION("""COMPUTED_VALUE"""),0.586269196025293)</f>
        <v>0.586269196</v>
      </c>
      <c r="M77" s="8">
        <f>IFERROR(__xludf.DUMMYFUNCTION("""COMPUTED_VALUE"""),0.569620253164557)</f>
        <v>0.5696202532</v>
      </c>
      <c r="N77" s="8">
        <f>IFERROR(__xludf.DUMMYFUNCTION("""COMPUTED_VALUE"""),0.548094373865698)</f>
        <v>0.5480943739</v>
      </c>
      <c r="O77" s="8">
        <f>IFERROR(__xludf.DUMMYFUNCTION("""COMPUTED_VALUE"""),0.44362292051756)</f>
        <v>0.4436229205</v>
      </c>
      <c r="P77" s="8">
        <f>IFERROR(__xludf.DUMMYFUNCTION("""COMPUTED_VALUE"""),0.312169312169312)</f>
        <v>0.3121693122</v>
      </c>
      <c r="Q77" s="8">
        <f>IFERROR(__xludf.DUMMYFUNCTION("""COMPUTED_VALUE"""),0.250420168067226)</f>
        <v>0.2504201681</v>
      </c>
      <c r="R77" s="8">
        <f>IFERROR(__xludf.DUMMYFUNCTION("""COMPUTED_VALUE"""),0.266666666666666)</f>
        <v>0.2666666667</v>
      </c>
      <c r="S77" s="8">
        <f>IFERROR(__xludf.DUMMYFUNCTION("""COMPUTED_VALUE"""),0.142857142857142)</f>
        <v>0.1428571429</v>
      </c>
      <c r="T77" s="8">
        <f>IFERROR(__xludf.DUMMYFUNCTION("""COMPUTED_VALUE"""),0.0)</f>
        <v>0</v>
      </c>
      <c r="U77" s="8">
        <f>IFERROR(__xludf.DUMMYFUNCTION("""COMPUTED_VALUE"""),0.0)</f>
        <v>0</v>
      </c>
      <c r="V77" s="8">
        <f>IFERROR(__xludf.DUMMYFUNCTION("""COMPUTED_VALUE"""),0.0)</f>
        <v>0</v>
      </c>
      <c r="W77" s="8">
        <f>IFERROR(__xludf.DUMMYFUNCTION("""COMPUTED_VALUE"""),0.0)</f>
        <v>0</v>
      </c>
      <c r="X77" s="8">
        <f>IFERROR(__xludf.DUMMYFUNCTION("""COMPUTED_VALUE"""),0.0)</f>
        <v>0</v>
      </c>
      <c r="Y77" s="8">
        <f>IFERROR(__xludf.DUMMYFUNCTION("""COMPUTED_VALUE"""),0.0)</f>
        <v>0</v>
      </c>
      <c r="Z77" s="8">
        <f>IFERROR(__xludf.DUMMYFUNCTION("""COMPUTED_VALUE"""),0.0)</f>
        <v>0</v>
      </c>
      <c r="AA77" s="8">
        <f>IFERROR(__xludf.DUMMYFUNCTION("""COMPUTED_VALUE"""),0.0)</f>
        <v>0</v>
      </c>
      <c r="AB77" s="8">
        <f>IFERROR(__xludf.DUMMYFUNCTION("""COMPUTED_VALUE"""),0.0)</f>
        <v>0</v>
      </c>
      <c r="AC77" s="8">
        <f>IFERROR(__xludf.DUMMYFUNCTION("""COMPUTED_VALUE"""),0.0)</f>
        <v>0</v>
      </c>
    </row>
    <row r="78" ht="15.75" customHeight="1">
      <c r="A78" s="6" t="str">
        <f>IFERROR(__xludf.DUMMYFUNCTION("""COMPUTED_VALUE"""),"43de49339ed40a2c4d8acef5644870ce292f541e")</f>
        <v>43de49339ed40a2c4d8acef5644870ce292f541e</v>
      </c>
      <c r="B78" s="6" t="str">
        <f>IFERROR(__xludf.DUMMYFUNCTION("""COMPUTED_VALUE"""),"Second Chances: Reborn to Be a CEO’s Wife")</f>
        <v>Second Chances: Reborn to Be a CEO’s Wife</v>
      </c>
      <c r="C78" s="6" t="str">
        <f>IFERROR(__xludf.DUMMYFUNCTION("""COMPUTED_VALUE"""),"Romance")</f>
        <v>Romance</v>
      </c>
      <c r="D78" s="11">
        <f>IFERROR(__xludf.DUMMYFUNCTION("""COMPUTED_VALUE"""),525.0)</f>
        <v>525</v>
      </c>
      <c r="E78" s="8">
        <f>IFERROR(__xludf.DUMMYFUNCTION("""COMPUTED_VALUE"""),0.931428571428571)</f>
        <v>0.9314285714</v>
      </c>
      <c r="F78" s="8">
        <f>IFERROR(__xludf.DUMMYFUNCTION("""COMPUTED_VALUE"""),0.668571428571428)</f>
        <v>0.6685714286</v>
      </c>
      <c r="G78" s="8">
        <f>IFERROR(__xludf.DUMMYFUNCTION("""COMPUTED_VALUE"""),0.584761904761904)</f>
        <v>0.5847619048</v>
      </c>
      <c r="H78" s="8">
        <f>IFERROR(__xludf.DUMMYFUNCTION("""COMPUTED_VALUE"""),0.523809523809523)</f>
        <v>0.5238095238</v>
      </c>
      <c r="I78" s="8">
        <f>IFERROR(__xludf.DUMMYFUNCTION("""COMPUTED_VALUE"""),0.505725190839694)</f>
        <v>0.5057251908</v>
      </c>
      <c r="J78" s="8">
        <f>IFERROR(__xludf.DUMMYFUNCTION("""COMPUTED_VALUE"""),0.470363288718929)</f>
        <v>0.4703632887</v>
      </c>
      <c r="K78" s="8">
        <f>IFERROR(__xludf.DUMMYFUNCTION("""COMPUTED_VALUE"""),0.449330783938814)</f>
        <v>0.4493307839</v>
      </c>
      <c r="L78" s="8">
        <f>IFERROR(__xludf.DUMMYFUNCTION("""COMPUTED_VALUE"""),0.422562141491395)</f>
        <v>0.4225621415</v>
      </c>
      <c r="M78" s="8">
        <f>IFERROR(__xludf.DUMMYFUNCTION("""COMPUTED_VALUE"""),0.393881453154875)</f>
        <v>0.3938814532</v>
      </c>
      <c r="N78" s="8">
        <f>IFERROR(__xludf.DUMMYFUNCTION("""COMPUTED_VALUE"""),0.37619961612284)</f>
        <v>0.3761996161</v>
      </c>
      <c r="O78" s="8">
        <f>IFERROR(__xludf.DUMMYFUNCTION("""COMPUTED_VALUE"""),0.329479768786127)</f>
        <v>0.3294797688</v>
      </c>
      <c r="P78" s="8">
        <f>IFERROR(__xludf.DUMMYFUNCTION("""COMPUTED_VALUE"""),0.160469667318982)</f>
        <v>0.1604696673</v>
      </c>
      <c r="Q78" s="8">
        <f>IFERROR(__xludf.DUMMYFUNCTION("""COMPUTED_VALUE"""),0.0357142857142857)</f>
        <v>0.03571428571</v>
      </c>
      <c r="R78" s="8">
        <f>IFERROR(__xludf.DUMMYFUNCTION("""COMPUTED_VALUE"""),0.0)</f>
        <v>0</v>
      </c>
      <c r="S78" s="8">
        <f>IFERROR(__xludf.DUMMYFUNCTION("""COMPUTED_VALUE"""),0.0)</f>
        <v>0</v>
      </c>
      <c r="T78" s="8">
        <f>IFERROR(__xludf.DUMMYFUNCTION("""COMPUTED_VALUE"""),0.0)</f>
        <v>0</v>
      </c>
      <c r="U78" s="8">
        <f>IFERROR(__xludf.DUMMYFUNCTION("""COMPUTED_VALUE"""),0.0)</f>
        <v>0</v>
      </c>
      <c r="V78" s="8">
        <f>IFERROR(__xludf.DUMMYFUNCTION("""COMPUTED_VALUE"""),0.0)</f>
        <v>0</v>
      </c>
      <c r="W78" s="8">
        <f>IFERROR(__xludf.DUMMYFUNCTION("""COMPUTED_VALUE"""),0.0)</f>
        <v>0</v>
      </c>
      <c r="X78" s="8">
        <f>IFERROR(__xludf.DUMMYFUNCTION("""COMPUTED_VALUE"""),0.0)</f>
        <v>0</v>
      </c>
      <c r="Y78" s="8">
        <f>IFERROR(__xludf.DUMMYFUNCTION("""COMPUTED_VALUE"""),0.0)</f>
        <v>0</v>
      </c>
      <c r="Z78" s="8">
        <f>IFERROR(__xludf.DUMMYFUNCTION("""COMPUTED_VALUE"""),0.0)</f>
        <v>0</v>
      </c>
      <c r="AA78" s="8">
        <f>IFERROR(__xludf.DUMMYFUNCTION("""COMPUTED_VALUE"""),0.0)</f>
        <v>0</v>
      </c>
      <c r="AB78" s="8">
        <f>IFERROR(__xludf.DUMMYFUNCTION("""COMPUTED_VALUE"""),0.0)</f>
        <v>0</v>
      </c>
      <c r="AC78" s="8">
        <f>IFERROR(__xludf.DUMMYFUNCTION("""COMPUTED_VALUE"""),0.0)</f>
        <v>0</v>
      </c>
    </row>
    <row r="79" ht="15.75" customHeight="1">
      <c r="A79" s="6" t="str">
        <f>IFERROR(__xludf.DUMMYFUNCTION("""COMPUTED_VALUE"""),"442d4dce8ca376c2bb4438209980daa53b761b51")</f>
        <v>442d4dce8ca376c2bb4438209980daa53b761b51</v>
      </c>
      <c r="B79" s="6" t="str">
        <f>IFERROR(__xludf.DUMMYFUNCTION("""COMPUTED_VALUE"""),"Rejected and Craved")</f>
        <v>Rejected and Craved</v>
      </c>
      <c r="C79" s="6" t="str">
        <f>IFERROR(__xludf.DUMMYFUNCTION("""COMPUTED_VALUE"""),"Romantasy")</f>
        <v>Romantasy</v>
      </c>
      <c r="D79" s="11">
        <f>IFERROR(__xludf.DUMMYFUNCTION("""COMPUTED_VALUE"""),528.0)</f>
        <v>528</v>
      </c>
      <c r="E79" s="8">
        <f>IFERROR(__xludf.DUMMYFUNCTION("""COMPUTED_VALUE"""),0.975378787878787)</f>
        <v>0.9753787879</v>
      </c>
      <c r="F79" s="8">
        <f>IFERROR(__xludf.DUMMYFUNCTION("""COMPUTED_VALUE"""),0.664136622390891)</f>
        <v>0.6641366224</v>
      </c>
      <c r="G79" s="8">
        <f>IFERROR(__xludf.DUMMYFUNCTION("""COMPUTED_VALUE"""),0.633776091081593)</f>
        <v>0.6337760911</v>
      </c>
      <c r="H79" s="8">
        <f>IFERROR(__xludf.DUMMYFUNCTION("""COMPUTED_VALUE"""),0.614068441064638)</f>
        <v>0.6140684411</v>
      </c>
      <c r="I79" s="8">
        <f>IFERROR(__xludf.DUMMYFUNCTION("""COMPUTED_VALUE"""),0.589694656488549)</f>
        <v>0.5896946565</v>
      </c>
      <c r="J79" s="8">
        <f>IFERROR(__xludf.DUMMYFUNCTION("""COMPUTED_VALUE"""),0.554493307839388)</f>
        <v>0.5544933078</v>
      </c>
      <c r="K79" s="8">
        <f>IFERROR(__xludf.DUMMYFUNCTION("""COMPUTED_VALUE"""),0.533460803059273)</f>
        <v>0.5334608031</v>
      </c>
      <c r="L79" s="8">
        <f>IFERROR(__xludf.DUMMYFUNCTION("""COMPUTED_VALUE"""),0.516252390057361)</f>
        <v>0.5162523901</v>
      </c>
      <c r="M79" s="8">
        <f>IFERROR(__xludf.DUMMYFUNCTION("""COMPUTED_VALUE"""),0.535372848948374)</f>
        <v>0.5353728489</v>
      </c>
      <c r="N79" s="8">
        <f>IFERROR(__xludf.DUMMYFUNCTION("""COMPUTED_VALUE"""),0.506692160611854)</f>
        <v>0.5066921606</v>
      </c>
      <c r="O79" s="8">
        <f>IFERROR(__xludf.DUMMYFUNCTION("""COMPUTED_VALUE"""),0.424063116370808)</f>
        <v>0.4240631164</v>
      </c>
      <c r="P79" s="8">
        <f>IFERROR(__xludf.DUMMYFUNCTION("""COMPUTED_VALUE"""),0.263581488933601)</f>
        <v>0.2635814889</v>
      </c>
      <c r="Q79" s="8">
        <f>IFERROR(__xludf.DUMMYFUNCTION("""COMPUTED_VALUE"""),0.075268817204301)</f>
        <v>0.0752688172</v>
      </c>
      <c r="R79" s="8">
        <f>IFERROR(__xludf.DUMMYFUNCTION("""COMPUTED_VALUE"""),0.0)</f>
        <v>0</v>
      </c>
      <c r="S79" s="8">
        <f>IFERROR(__xludf.DUMMYFUNCTION("""COMPUTED_VALUE"""),0.0)</f>
        <v>0</v>
      </c>
      <c r="T79" s="8">
        <f>IFERROR(__xludf.DUMMYFUNCTION("""COMPUTED_VALUE"""),0.0)</f>
        <v>0</v>
      </c>
      <c r="U79" s="8">
        <f>IFERROR(__xludf.DUMMYFUNCTION("""COMPUTED_VALUE"""),0.0)</f>
        <v>0</v>
      </c>
      <c r="V79" s="8">
        <f>IFERROR(__xludf.DUMMYFUNCTION("""COMPUTED_VALUE"""),0.0)</f>
        <v>0</v>
      </c>
      <c r="W79" s="8">
        <f>IFERROR(__xludf.DUMMYFUNCTION("""COMPUTED_VALUE"""),0.0)</f>
        <v>0</v>
      </c>
      <c r="X79" s="8">
        <f>IFERROR(__xludf.DUMMYFUNCTION("""COMPUTED_VALUE"""),0.0)</f>
        <v>0</v>
      </c>
      <c r="Y79" s="8">
        <f>IFERROR(__xludf.DUMMYFUNCTION("""COMPUTED_VALUE"""),0.0)</f>
        <v>0</v>
      </c>
      <c r="Z79" s="8">
        <f>IFERROR(__xludf.DUMMYFUNCTION("""COMPUTED_VALUE"""),0.0)</f>
        <v>0</v>
      </c>
      <c r="AA79" s="8">
        <f>IFERROR(__xludf.DUMMYFUNCTION("""COMPUTED_VALUE"""),0.0)</f>
        <v>0</v>
      </c>
      <c r="AB79" s="8">
        <f>IFERROR(__xludf.DUMMYFUNCTION("""COMPUTED_VALUE"""),0.0)</f>
        <v>0</v>
      </c>
      <c r="AC79" s="8">
        <f>IFERROR(__xludf.DUMMYFUNCTION("""COMPUTED_VALUE"""),0.0)</f>
        <v>0</v>
      </c>
    </row>
    <row r="80" ht="15.75" customHeight="1">
      <c r="A80" s="6" t="str">
        <f>IFERROR(__xludf.DUMMYFUNCTION("""COMPUTED_VALUE"""),"446d5769edafce0d5daf04c6cfc40515f289004f")</f>
        <v>446d5769edafce0d5daf04c6cfc40515f289004f</v>
      </c>
      <c r="B80" s="6" t="str">
        <f>IFERROR(__xludf.DUMMYFUNCTION("""COMPUTED_VALUE"""),"The Cloaked Mogul")</f>
        <v>The Cloaked Mogul</v>
      </c>
      <c r="C80" s="6" t="str">
        <f>IFERROR(__xludf.DUMMYFUNCTION("""COMPUTED_VALUE"""),"Drama")</f>
        <v>Drama</v>
      </c>
      <c r="D80" s="11">
        <f>IFERROR(__xludf.DUMMYFUNCTION("""COMPUTED_VALUE"""),3221.0)</f>
        <v>3221</v>
      </c>
      <c r="E80" s="8">
        <f>IFERROR(__xludf.DUMMYFUNCTION("""COMPUTED_VALUE"""),0.939365671641791)</f>
        <v>0.9393656716</v>
      </c>
      <c r="F80" s="8">
        <f>IFERROR(__xludf.DUMMYFUNCTION("""COMPUTED_VALUE"""),0.592581047381546)</f>
        <v>0.5925810474</v>
      </c>
      <c r="G80" s="8">
        <f>IFERROR(__xludf.DUMMYFUNCTION("""COMPUTED_VALUE"""),0.552262090483619)</f>
        <v>0.5522620905</v>
      </c>
      <c r="H80" s="8">
        <f>IFERROR(__xludf.DUMMYFUNCTION("""COMPUTED_VALUE"""),0.5309375)</f>
        <v>0.5309375</v>
      </c>
      <c r="I80" s="8">
        <f>IFERROR(__xludf.DUMMYFUNCTION("""COMPUTED_VALUE"""),0.512660206314473)</f>
        <v>0.5126602063</v>
      </c>
      <c r="J80" s="8">
        <f>IFERROR(__xludf.DUMMYFUNCTION("""COMPUTED_VALUE"""),0.501882057716436)</f>
        <v>0.5018820577</v>
      </c>
      <c r="K80" s="8">
        <f>IFERROR(__xludf.DUMMYFUNCTION("""COMPUTED_VALUE"""),0.491829038340666)</f>
        <v>0.4918290383</v>
      </c>
      <c r="L80" s="8">
        <f>IFERROR(__xludf.DUMMYFUNCTION("""COMPUTED_VALUE"""),0.480466288594833)</f>
        <v>0.4804662886</v>
      </c>
      <c r="M80" s="8">
        <f>IFERROR(__xludf.DUMMYFUNCTION("""COMPUTED_VALUE"""),0.476641414141414)</f>
        <v>0.4766414141</v>
      </c>
      <c r="N80" s="8">
        <f>IFERROR(__xludf.DUMMYFUNCTION("""COMPUTED_VALUE"""),0.462317922735908)</f>
        <v>0.4623179227</v>
      </c>
      <c r="O80" s="8">
        <f>IFERROR(__xludf.DUMMYFUNCTION("""COMPUTED_VALUE"""),0.432449696582561)</f>
        <v>0.4324496966</v>
      </c>
      <c r="P80" s="8">
        <f>IFERROR(__xludf.DUMMYFUNCTION("""COMPUTED_VALUE"""),0.380767989674088)</f>
        <v>0.3807679897</v>
      </c>
      <c r="Q80" s="8">
        <f>IFERROR(__xludf.DUMMYFUNCTION("""COMPUTED_VALUE"""),0.274098360655737)</f>
        <v>0.2740983607</v>
      </c>
      <c r="R80" s="8">
        <f>IFERROR(__xludf.DUMMYFUNCTION("""COMPUTED_VALUE"""),0.166943521594684)</f>
        <v>0.1669435216</v>
      </c>
      <c r="S80" s="8">
        <f>IFERROR(__xludf.DUMMYFUNCTION("""COMPUTED_VALUE"""),0.143724696356275)</f>
        <v>0.1437246964</v>
      </c>
      <c r="T80" s="8">
        <f>IFERROR(__xludf.DUMMYFUNCTION("""COMPUTED_VALUE"""),0.122636412749864)</f>
        <v>0.1226364127</v>
      </c>
      <c r="U80" s="8">
        <f>IFERROR(__xludf.DUMMYFUNCTION("""COMPUTED_VALUE"""),0.105820105820105)</f>
        <v>0.1058201058</v>
      </c>
      <c r="V80" s="8">
        <f>IFERROR(__xludf.DUMMYFUNCTION("""COMPUTED_VALUE"""),0.0901234567901234)</f>
        <v>0.09012345679</v>
      </c>
      <c r="W80" s="8">
        <f>IFERROR(__xludf.DUMMYFUNCTION("""COMPUTED_VALUE"""),0.042042042042042)</f>
        <v>0.04204204204</v>
      </c>
      <c r="X80" s="8">
        <f>IFERROR(__xludf.DUMMYFUNCTION("""COMPUTED_VALUE"""),0.0)</f>
        <v>0</v>
      </c>
      <c r="Y80" s="8">
        <f>IFERROR(__xludf.DUMMYFUNCTION("""COMPUTED_VALUE"""),0.0)</f>
        <v>0</v>
      </c>
      <c r="Z80" s="8">
        <f>IFERROR(__xludf.DUMMYFUNCTION("""COMPUTED_VALUE"""),0.0)</f>
        <v>0</v>
      </c>
      <c r="AA80" s="8">
        <f>IFERROR(__xludf.DUMMYFUNCTION("""COMPUTED_VALUE"""),0.0)</f>
        <v>0</v>
      </c>
      <c r="AB80" s="8">
        <f>IFERROR(__xludf.DUMMYFUNCTION("""COMPUTED_VALUE"""),0.0)</f>
        <v>0</v>
      </c>
      <c r="AC80" s="8">
        <f>IFERROR(__xludf.DUMMYFUNCTION("""COMPUTED_VALUE"""),0.0)</f>
        <v>0</v>
      </c>
    </row>
    <row r="81" ht="15.75" customHeight="1">
      <c r="A81" s="6" t="str">
        <f>IFERROR(__xludf.DUMMYFUNCTION("""COMPUTED_VALUE"""),"44c616c59b6b2cd7fcb80263ece968b250ad9dbe")</f>
        <v>44c616c59b6b2cd7fcb80263ece968b250ad9dbe</v>
      </c>
      <c r="B81" s="6" t="str">
        <f>IFERROR(__xludf.DUMMYFUNCTION("""COMPUTED_VALUE"""),"Supreme Miracle Doctor")</f>
        <v>Supreme Miracle Doctor</v>
      </c>
      <c r="C81" s="6" t="str">
        <f>IFERROR(__xludf.DUMMYFUNCTION("""COMPUTED_VALUE"""),"Drama")</f>
        <v>Drama</v>
      </c>
      <c r="D81" s="11">
        <f>IFERROR(__xludf.DUMMYFUNCTION("""COMPUTED_VALUE"""),334.0)</f>
        <v>334</v>
      </c>
      <c r="E81" s="8">
        <f>IFERROR(__xludf.DUMMYFUNCTION("""COMPUTED_VALUE"""),0.987381703470031)</f>
        <v>0.9873817035</v>
      </c>
      <c r="F81" s="8">
        <f>IFERROR(__xludf.DUMMYFUNCTION("""COMPUTED_VALUE"""),0.553264604810996)</f>
        <v>0.5532646048</v>
      </c>
      <c r="G81" s="8">
        <f>IFERROR(__xludf.DUMMYFUNCTION("""COMPUTED_VALUE"""),0.485507246376811)</f>
        <v>0.4855072464</v>
      </c>
      <c r="H81" s="8">
        <f>IFERROR(__xludf.DUMMYFUNCTION("""COMPUTED_VALUE"""),0.425702811244979)</f>
        <v>0.4257028112</v>
      </c>
      <c r="I81" s="8">
        <f>IFERROR(__xludf.DUMMYFUNCTION("""COMPUTED_VALUE"""),0.383333333333333)</f>
        <v>0.3833333333</v>
      </c>
      <c r="J81" s="8">
        <f>IFERROR(__xludf.DUMMYFUNCTION("""COMPUTED_VALUE"""),0.339366515837104)</f>
        <v>0.3393665158</v>
      </c>
      <c r="K81" s="8">
        <f>IFERROR(__xludf.DUMMYFUNCTION("""COMPUTED_VALUE"""),0.304347826086956)</f>
        <v>0.3043478261</v>
      </c>
      <c r="L81" s="8">
        <f>IFERROR(__xludf.DUMMYFUNCTION("""COMPUTED_VALUE"""),0.314814814814814)</f>
        <v>0.3148148148</v>
      </c>
      <c r="M81" s="8">
        <f>IFERROR(__xludf.DUMMYFUNCTION("""COMPUTED_VALUE"""),0.284722222222222)</f>
        <v>0.2847222222</v>
      </c>
      <c r="N81" s="8">
        <f>IFERROR(__xludf.DUMMYFUNCTION("""COMPUTED_VALUE"""),0.289256198347107)</f>
        <v>0.2892561983</v>
      </c>
      <c r="O81" s="8">
        <f>IFERROR(__xludf.DUMMYFUNCTION("""COMPUTED_VALUE"""),0.209677419354838)</f>
        <v>0.2096774194</v>
      </c>
      <c r="P81" s="8">
        <f>IFERROR(__xludf.DUMMYFUNCTION("""COMPUTED_VALUE"""),0.188679245283018)</f>
        <v>0.1886792453</v>
      </c>
      <c r="Q81" s="8">
        <f>IFERROR(__xludf.DUMMYFUNCTION("""COMPUTED_VALUE"""),0.0)</f>
        <v>0</v>
      </c>
      <c r="R81" s="8">
        <f>IFERROR(__xludf.DUMMYFUNCTION("""COMPUTED_VALUE"""),0.0)</f>
        <v>0</v>
      </c>
      <c r="S81" s="8">
        <f>IFERROR(__xludf.DUMMYFUNCTION("""COMPUTED_VALUE"""),0.0)</f>
        <v>0</v>
      </c>
      <c r="T81" s="8">
        <f>IFERROR(__xludf.DUMMYFUNCTION("""COMPUTED_VALUE"""),0.0)</f>
        <v>0</v>
      </c>
      <c r="U81" s="8">
        <f>IFERROR(__xludf.DUMMYFUNCTION("""COMPUTED_VALUE"""),0.0)</f>
        <v>0</v>
      </c>
      <c r="V81" s="8">
        <f>IFERROR(__xludf.DUMMYFUNCTION("""COMPUTED_VALUE"""),0.0)</f>
        <v>0</v>
      </c>
      <c r="W81" s="8">
        <f>IFERROR(__xludf.DUMMYFUNCTION("""COMPUTED_VALUE"""),0.0)</f>
        <v>0</v>
      </c>
      <c r="X81" s="8">
        <f>IFERROR(__xludf.DUMMYFUNCTION("""COMPUTED_VALUE"""),0.0)</f>
        <v>0</v>
      </c>
      <c r="Y81" s="8">
        <f>IFERROR(__xludf.DUMMYFUNCTION("""COMPUTED_VALUE"""),0.0)</f>
        <v>0</v>
      </c>
      <c r="Z81" s="8">
        <f>IFERROR(__xludf.DUMMYFUNCTION("""COMPUTED_VALUE"""),0.0)</f>
        <v>0</v>
      </c>
      <c r="AA81" s="8">
        <f>IFERROR(__xludf.DUMMYFUNCTION("""COMPUTED_VALUE"""),0.0)</f>
        <v>0</v>
      </c>
      <c r="AB81" s="8">
        <f>IFERROR(__xludf.DUMMYFUNCTION("""COMPUTED_VALUE"""),0.0)</f>
        <v>0</v>
      </c>
      <c r="AC81" s="8">
        <f>IFERROR(__xludf.DUMMYFUNCTION("""COMPUTED_VALUE"""),0.0)</f>
        <v>0</v>
      </c>
    </row>
    <row r="82" ht="15.75" customHeight="1">
      <c r="A82" s="6" t="str">
        <f>IFERROR(__xludf.DUMMYFUNCTION("""COMPUTED_VALUE"""),"44f5a6fb4876567a5eec3722df1d0a3d436d8bdf")</f>
        <v>44f5a6fb4876567a5eec3722df1d0a3d436d8bdf</v>
      </c>
      <c r="B82" s="6" t="str">
        <f>IFERROR(__xludf.DUMMYFUNCTION("""COMPUTED_VALUE"""),"Alpha Kyros")</f>
        <v>Alpha Kyros</v>
      </c>
      <c r="C82" s="6" t="str">
        <f>IFERROR(__xludf.DUMMYFUNCTION("""COMPUTED_VALUE"""),"Romantasy")</f>
        <v>Romantasy</v>
      </c>
      <c r="D82" s="11">
        <f>IFERROR(__xludf.DUMMYFUNCTION("""COMPUTED_VALUE"""),3984.0)</f>
        <v>3984</v>
      </c>
      <c r="E82" s="8">
        <f>IFERROR(__xludf.DUMMYFUNCTION("""COMPUTED_VALUE"""),0.973386894300778)</f>
        <v>0.9733868943</v>
      </c>
      <c r="F82" s="8">
        <f>IFERROR(__xludf.DUMMYFUNCTION("""COMPUTED_VALUE"""),0.632186793873964)</f>
        <v>0.6321867939</v>
      </c>
      <c r="G82" s="8">
        <f>IFERROR(__xludf.DUMMYFUNCTION("""COMPUTED_VALUE"""),0.581722319859402)</f>
        <v>0.5817223199</v>
      </c>
      <c r="H82" s="8">
        <f>IFERROR(__xludf.DUMMYFUNCTION("""COMPUTED_VALUE"""),0.558764439979909)</f>
        <v>0.55876444</v>
      </c>
      <c r="I82" s="8">
        <f>IFERROR(__xludf.DUMMYFUNCTION("""COMPUTED_VALUE"""),0.542074855563928)</f>
        <v>0.5420748556</v>
      </c>
      <c r="J82" s="8">
        <f>IFERROR(__xludf.DUMMYFUNCTION("""COMPUTED_VALUE"""),0.521990449861774)</f>
        <v>0.5219904499</v>
      </c>
      <c r="K82" s="8">
        <f>IFERROR(__xludf.DUMMYFUNCTION("""COMPUTED_VALUE"""),0.50967579793918)</f>
        <v>0.5096757979</v>
      </c>
      <c r="L82" s="8">
        <f>IFERROR(__xludf.DUMMYFUNCTION("""COMPUTED_VALUE"""),0.501634397787276)</f>
        <v>0.5016343978</v>
      </c>
      <c r="M82" s="8">
        <f>IFERROR(__xludf.DUMMYFUNCTION("""COMPUTED_VALUE"""),0.488676396577755)</f>
        <v>0.4886763966</v>
      </c>
      <c r="N82" s="8">
        <f>IFERROR(__xludf.DUMMYFUNCTION("""COMPUTED_VALUE"""),0.476717845456833)</f>
        <v>0.4767178455</v>
      </c>
      <c r="O82" s="8">
        <f>IFERROR(__xludf.DUMMYFUNCTION("""COMPUTED_VALUE"""),0.41788782213239)</f>
        <v>0.4178878221</v>
      </c>
      <c r="P82" s="8">
        <f>IFERROR(__xludf.DUMMYFUNCTION("""COMPUTED_VALUE"""),0.352658371040724)</f>
        <v>0.352658371</v>
      </c>
      <c r="Q82" s="8">
        <f>IFERROR(__xludf.DUMMYFUNCTION("""COMPUTED_VALUE"""),0.228346456692913)</f>
        <v>0.2283464567</v>
      </c>
      <c r="R82" s="8">
        <f>IFERROR(__xludf.DUMMYFUNCTION("""COMPUTED_VALUE"""),0.0987654320987654)</f>
        <v>0.0987654321</v>
      </c>
      <c r="S82" s="8">
        <f>IFERROR(__xludf.DUMMYFUNCTION("""COMPUTED_VALUE"""),0.0)</f>
        <v>0</v>
      </c>
      <c r="T82" s="8">
        <f>IFERROR(__xludf.DUMMYFUNCTION("""COMPUTED_VALUE"""),0.0)</f>
        <v>0</v>
      </c>
      <c r="U82" s="8">
        <f>IFERROR(__xludf.DUMMYFUNCTION("""COMPUTED_VALUE"""),0.0)</f>
        <v>0</v>
      </c>
      <c r="V82" s="8">
        <f>IFERROR(__xludf.DUMMYFUNCTION("""COMPUTED_VALUE"""),0.0)</f>
        <v>0</v>
      </c>
      <c r="W82" s="8">
        <f>IFERROR(__xludf.DUMMYFUNCTION("""COMPUTED_VALUE"""),0.0)</f>
        <v>0</v>
      </c>
      <c r="X82" s="8">
        <f>IFERROR(__xludf.DUMMYFUNCTION("""COMPUTED_VALUE"""),0.0)</f>
        <v>0</v>
      </c>
      <c r="Y82" s="8">
        <f>IFERROR(__xludf.DUMMYFUNCTION("""COMPUTED_VALUE"""),0.0)</f>
        <v>0</v>
      </c>
      <c r="Z82" s="8">
        <f>IFERROR(__xludf.DUMMYFUNCTION("""COMPUTED_VALUE"""),0.0)</f>
        <v>0</v>
      </c>
      <c r="AA82" s="8">
        <f>IFERROR(__xludf.DUMMYFUNCTION("""COMPUTED_VALUE"""),0.0)</f>
        <v>0</v>
      </c>
      <c r="AB82" s="8">
        <f>IFERROR(__xludf.DUMMYFUNCTION("""COMPUTED_VALUE"""),0.0)</f>
        <v>0</v>
      </c>
      <c r="AC82" s="8">
        <f>IFERROR(__xludf.DUMMYFUNCTION("""COMPUTED_VALUE"""),0.0)</f>
        <v>0</v>
      </c>
    </row>
    <row r="83" ht="15.75" customHeight="1">
      <c r="A83" s="6" t="str">
        <f>IFERROR(__xludf.DUMMYFUNCTION("""COMPUTED_VALUE"""),"462b561ac0c6d238fc5ed6d8ce632a9e6a2152d9")</f>
        <v>462b561ac0c6d238fc5ed6d8ce632a9e6a2152d9</v>
      </c>
      <c r="B83" s="6" t="str">
        <f>IFERROR(__xludf.DUMMYFUNCTION("""COMPUTED_VALUE"""),"My Billionaire System")</f>
        <v>My Billionaire System</v>
      </c>
      <c r="C83" s="6" t="str">
        <f>IFERROR(__xludf.DUMMYFUNCTION("""COMPUTED_VALUE"""),"System and Superpower")</f>
        <v>System and Superpower</v>
      </c>
      <c r="D83" s="11">
        <f>IFERROR(__xludf.DUMMYFUNCTION("""COMPUTED_VALUE"""),614.0)</f>
        <v>614</v>
      </c>
      <c r="E83" s="8">
        <f>IFERROR(__xludf.DUMMYFUNCTION("""COMPUTED_VALUE"""),0.98531810766721)</f>
        <v>0.9853181077</v>
      </c>
      <c r="F83" s="8">
        <f>IFERROR(__xludf.DUMMYFUNCTION("""COMPUTED_VALUE"""),0.62684124386252)</f>
        <v>0.6268412439</v>
      </c>
      <c r="G83" s="8">
        <f>IFERROR(__xludf.DUMMYFUNCTION("""COMPUTED_VALUE"""),0.535420098846787)</f>
        <v>0.5354200988</v>
      </c>
      <c r="H83" s="8">
        <f>IFERROR(__xludf.DUMMYFUNCTION("""COMPUTED_VALUE"""),0.461920529801324)</f>
        <v>0.4619205298</v>
      </c>
      <c r="I83" s="8">
        <f>IFERROR(__xludf.DUMMYFUNCTION("""COMPUTED_VALUE"""),0.413333333333333)</f>
        <v>0.4133333333</v>
      </c>
      <c r="J83" s="8">
        <f>IFERROR(__xludf.DUMMYFUNCTION("""COMPUTED_VALUE"""),0.376470588235294)</f>
        <v>0.3764705882</v>
      </c>
      <c r="K83" s="8">
        <f>IFERROR(__xludf.DUMMYFUNCTION("""COMPUTED_VALUE"""),0.316949152542372)</f>
        <v>0.3169491525</v>
      </c>
      <c r="L83" s="8">
        <f>IFERROR(__xludf.DUMMYFUNCTION("""COMPUTED_VALUE"""),0.295847750865051)</f>
        <v>0.2958477509</v>
      </c>
      <c r="M83" s="8">
        <f>IFERROR(__xludf.DUMMYFUNCTION("""COMPUTED_VALUE"""),0.273534635879218)</f>
        <v>0.2735346359</v>
      </c>
      <c r="N83" s="8">
        <f>IFERROR(__xludf.DUMMYFUNCTION("""COMPUTED_VALUE"""),0.266503667481662)</f>
        <v>0.2665036675</v>
      </c>
      <c r="O83" s="8">
        <f>IFERROR(__xludf.DUMMYFUNCTION("""COMPUTED_VALUE"""),0.346153846153846)</f>
        <v>0.3461538462</v>
      </c>
      <c r="P83" s="8">
        <f>IFERROR(__xludf.DUMMYFUNCTION("""COMPUTED_VALUE"""),0.352941176470588)</f>
        <v>0.3529411765</v>
      </c>
      <c r="Q83" s="8">
        <f>IFERROR(__xludf.DUMMYFUNCTION("""COMPUTED_VALUE"""),0.0)</f>
        <v>0</v>
      </c>
      <c r="R83" s="8">
        <f>IFERROR(__xludf.DUMMYFUNCTION("""COMPUTED_VALUE"""),0.0)</f>
        <v>0</v>
      </c>
      <c r="S83" s="8">
        <f>IFERROR(__xludf.DUMMYFUNCTION("""COMPUTED_VALUE"""),0.0)</f>
        <v>0</v>
      </c>
      <c r="T83" s="8">
        <f>IFERROR(__xludf.DUMMYFUNCTION("""COMPUTED_VALUE"""),0.0)</f>
        <v>0</v>
      </c>
      <c r="U83" s="8">
        <f>IFERROR(__xludf.DUMMYFUNCTION("""COMPUTED_VALUE"""),0.0)</f>
        <v>0</v>
      </c>
      <c r="V83" s="8">
        <f>IFERROR(__xludf.DUMMYFUNCTION("""COMPUTED_VALUE"""),0.0)</f>
        <v>0</v>
      </c>
      <c r="W83" s="8">
        <f>IFERROR(__xludf.DUMMYFUNCTION("""COMPUTED_VALUE"""),0.0)</f>
        <v>0</v>
      </c>
      <c r="X83" s="8">
        <f>IFERROR(__xludf.DUMMYFUNCTION("""COMPUTED_VALUE"""),0.0)</f>
        <v>0</v>
      </c>
      <c r="Y83" s="8">
        <f>IFERROR(__xludf.DUMMYFUNCTION("""COMPUTED_VALUE"""),0.0)</f>
        <v>0</v>
      </c>
      <c r="Z83" s="8">
        <f>IFERROR(__xludf.DUMMYFUNCTION("""COMPUTED_VALUE"""),0.0)</f>
        <v>0</v>
      </c>
      <c r="AA83" s="8">
        <f>IFERROR(__xludf.DUMMYFUNCTION("""COMPUTED_VALUE"""),0.0)</f>
        <v>0</v>
      </c>
      <c r="AB83" s="8">
        <f>IFERROR(__xludf.DUMMYFUNCTION("""COMPUTED_VALUE"""),0.0)</f>
        <v>0</v>
      </c>
      <c r="AC83" s="8">
        <f>IFERROR(__xludf.DUMMYFUNCTION("""COMPUTED_VALUE"""),0.0)</f>
        <v>0</v>
      </c>
    </row>
    <row r="84" ht="15.75" customHeight="1">
      <c r="A84" s="6" t="str">
        <f>IFERROR(__xludf.DUMMYFUNCTION("""COMPUTED_VALUE"""),"46b27558432dbda1475a912729ae1e1dee8ac6fa")</f>
        <v>46b27558432dbda1475a912729ae1e1dee8ac6fa</v>
      </c>
      <c r="B84" s="6" t="str">
        <f>IFERROR(__xludf.DUMMYFUNCTION("""COMPUTED_VALUE"""),"Secrets of Thunder Eyes ")</f>
        <v>Secrets of Thunder Eyes </v>
      </c>
      <c r="C84" s="6" t="str">
        <f>IFERROR(__xludf.DUMMYFUNCTION("""COMPUTED_VALUE"""),"Fantasy")</f>
        <v>Fantasy</v>
      </c>
      <c r="D84" s="11">
        <f>IFERROR(__xludf.DUMMYFUNCTION("""COMPUTED_VALUE"""),287.0)</f>
        <v>287</v>
      </c>
      <c r="E84" s="8">
        <f>IFERROR(__xludf.DUMMYFUNCTION("""COMPUTED_VALUE"""),0.992727272727272)</f>
        <v>0.9927272727</v>
      </c>
      <c r="F84" s="8">
        <f>IFERROR(__xludf.DUMMYFUNCTION("""COMPUTED_VALUE"""),0.28735632183908)</f>
        <v>0.2873563218</v>
      </c>
      <c r="G84" s="8">
        <f>IFERROR(__xludf.DUMMYFUNCTION("""COMPUTED_VALUE"""),0.198380566801619)</f>
        <v>0.1983805668</v>
      </c>
      <c r="H84" s="8">
        <f>IFERROR(__xludf.DUMMYFUNCTION("""COMPUTED_VALUE"""),0.176211453744493)</f>
        <v>0.1762114537</v>
      </c>
      <c r="I84" s="8">
        <f>IFERROR(__xludf.DUMMYFUNCTION("""COMPUTED_VALUE"""),0.157657657657657)</f>
        <v>0.1576576577</v>
      </c>
      <c r="J84" s="8">
        <f>IFERROR(__xludf.DUMMYFUNCTION("""COMPUTED_VALUE"""),0.141509433962264)</f>
        <v>0.141509434</v>
      </c>
      <c r="K84" s="8">
        <f>IFERROR(__xludf.DUMMYFUNCTION("""COMPUTED_VALUE"""),0.101449275362318)</f>
        <v>0.1014492754</v>
      </c>
      <c r="L84" s="8">
        <f>IFERROR(__xludf.DUMMYFUNCTION("""COMPUTED_VALUE"""),0.0864864864864864)</f>
        <v>0.08648648649</v>
      </c>
      <c r="M84" s="8">
        <f>IFERROR(__xludf.DUMMYFUNCTION("""COMPUTED_VALUE"""),0.0867052023121387)</f>
        <v>0.08670520231</v>
      </c>
      <c r="N84" s="8">
        <f>IFERROR(__xludf.DUMMYFUNCTION("""COMPUTED_VALUE"""),0.0719424460431654)</f>
        <v>0.07194244604</v>
      </c>
      <c r="O84" s="8">
        <f>IFERROR(__xludf.DUMMYFUNCTION("""COMPUTED_VALUE"""),0.0476190476190476)</f>
        <v>0.04761904762</v>
      </c>
      <c r="P84" s="8">
        <f>IFERROR(__xludf.DUMMYFUNCTION("""COMPUTED_VALUE"""),0.048780487804878)</f>
        <v>0.0487804878</v>
      </c>
      <c r="Q84" s="8">
        <f>IFERROR(__xludf.DUMMYFUNCTION("""COMPUTED_VALUE"""),0.05)</f>
        <v>0.05</v>
      </c>
      <c r="R84" s="8">
        <f>IFERROR(__xludf.DUMMYFUNCTION("""COMPUTED_VALUE"""),0.0256410256410256)</f>
        <v>0.02564102564</v>
      </c>
      <c r="S84" s="8">
        <f>IFERROR(__xludf.DUMMYFUNCTION("""COMPUTED_VALUE"""),0.0256410256410256)</f>
        <v>0.02564102564</v>
      </c>
      <c r="T84" s="8">
        <f>IFERROR(__xludf.DUMMYFUNCTION("""COMPUTED_VALUE"""),0.0277777777777777)</f>
        <v>0.02777777778</v>
      </c>
      <c r="U84" s="8">
        <f>IFERROR(__xludf.DUMMYFUNCTION("""COMPUTED_VALUE"""),0.032258064516129)</f>
        <v>0.03225806452</v>
      </c>
      <c r="V84" s="8">
        <f>IFERROR(__xludf.DUMMYFUNCTION("""COMPUTED_VALUE"""),0.0)</f>
        <v>0</v>
      </c>
      <c r="W84" s="8">
        <f>IFERROR(__xludf.DUMMYFUNCTION("""COMPUTED_VALUE"""),0.0)</f>
        <v>0</v>
      </c>
      <c r="X84" s="8">
        <f>IFERROR(__xludf.DUMMYFUNCTION("""COMPUTED_VALUE"""),0.0)</f>
        <v>0</v>
      </c>
      <c r="Y84" s="8">
        <f>IFERROR(__xludf.DUMMYFUNCTION("""COMPUTED_VALUE"""),0.0)</f>
        <v>0</v>
      </c>
      <c r="Z84" s="8">
        <f>IFERROR(__xludf.DUMMYFUNCTION("""COMPUTED_VALUE"""),0.0)</f>
        <v>0</v>
      </c>
      <c r="AA84" s="8">
        <f>IFERROR(__xludf.DUMMYFUNCTION("""COMPUTED_VALUE"""),0.0)</f>
        <v>0</v>
      </c>
      <c r="AB84" s="8">
        <f>IFERROR(__xludf.DUMMYFUNCTION("""COMPUTED_VALUE"""),0.0)</f>
        <v>0</v>
      </c>
      <c r="AC84" s="8">
        <f>IFERROR(__xludf.DUMMYFUNCTION("""COMPUTED_VALUE"""),0.0)</f>
        <v>0</v>
      </c>
    </row>
    <row r="85" ht="15.75" customHeight="1">
      <c r="A85" s="6" t="str">
        <f>IFERROR(__xludf.DUMMYFUNCTION("""COMPUTED_VALUE"""),"48b422f2dbf0dc909fde9fadad832fde3d20f4a4")</f>
        <v>48b422f2dbf0dc909fde9fadad832fde3d20f4a4</v>
      </c>
      <c r="B85" s="6" t="str">
        <f>IFERROR(__xludf.DUMMYFUNCTION("""COMPUTED_VALUE"""),"Bride of the Ice Ceo")</f>
        <v>Bride of the Ice Ceo</v>
      </c>
      <c r="C85" s="6" t="str">
        <f>IFERROR(__xludf.DUMMYFUNCTION("""COMPUTED_VALUE"""),"Romance")</f>
        <v>Romance</v>
      </c>
      <c r="D85" s="11">
        <f>IFERROR(__xludf.DUMMYFUNCTION("""COMPUTED_VALUE"""),628.0)</f>
        <v>628</v>
      </c>
      <c r="E85" s="8">
        <f>IFERROR(__xludf.DUMMYFUNCTION("""COMPUTED_VALUE"""),0.97452229299363)</f>
        <v>0.974522293</v>
      </c>
      <c r="F85" s="8">
        <f>IFERROR(__xludf.DUMMYFUNCTION("""COMPUTED_VALUE"""),0.751592356687898)</f>
        <v>0.7515923567</v>
      </c>
      <c r="G85" s="8">
        <f>IFERROR(__xludf.DUMMYFUNCTION("""COMPUTED_VALUE"""),0.688995215311004)</f>
        <v>0.6889952153</v>
      </c>
      <c r="H85" s="8">
        <f>IFERROR(__xludf.DUMMYFUNCTION("""COMPUTED_VALUE"""),0.643769968051118)</f>
        <v>0.6437699681</v>
      </c>
      <c r="I85" s="8">
        <f>IFERROR(__xludf.DUMMYFUNCTION("""COMPUTED_VALUE"""),0.591054313099041)</f>
        <v>0.5910543131</v>
      </c>
      <c r="J85" s="8">
        <f>IFERROR(__xludf.DUMMYFUNCTION("""COMPUTED_VALUE"""),0.568690095846645)</f>
        <v>0.5686900958</v>
      </c>
      <c r="K85" s="8">
        <f>IFERROR(__xludf.DUMMYFUNCTION("""COMPUTED_VALUE"""),0.531948881789137)</f>
        <v>0.5319488818</v>
      </c>
      <c r="L85" s="8">
        <f>IFERROR(__xludf.DUMMYFUNCTION("""COMPUTED_VALUE"""),0.5264)</f>
        <v>0.5264</v>
      </c>
      <c r="M85" s="8">
        <f>IFERROR(__xludf.DUMMYFUNCTION("""COMPUTED_VALUE"""),0.5184)</f>
        <v>0.5184</v>
      </c>
      <c r="N85" s="8">
        <f>IFERROR(__xludf.DUMMYFUNCTION("""COMPUTED_VALUE"""),0.491987179487179)</f>
        <v>0.4919871795</v>
      </c>
      <c r="O85" s="8">
        <f>IFERROR(__xludf.DUMMYFUNCTION("""COMPUTED_VALUE"""),0.412052117263843)</f>
        <v>0.4120521173</v>
      </c>
      <c r="P85" s="8">
        <f>IFERROR(__xludf.DUMMYFUNCTION("""COMPUTED_VALUE"""),0.305785123966942)</f>
        <v>0.305785124</v>
      </c>
      <c r="Q85" s="8">
        <f>IFERROR(__xludf.DUMMYFUNCTION("""COMPUTED_VALUE"""),0.188679245283018)</f>
        <v>0.1886792453</v>
      </c>
      <c r="R85" s="8">
        <f>IFERROR(__xludf.DUMMYFUNCTION("""COMPUTED_VALUE"""),0.130518234165067)</f>
        <v>0.1305182342</v>
      </c>
      <c r="S85" s="8">
        <f>IFERROR(__xludf.DUMMYFUNCTION("""COMPUTED_VALUE"""),0.0)</f>
        <v>0</v>
      </c>
      <c r="T85" s="8">
        <f>IFERROR(__xludf.DUMMYFUNCTION("""COMPUTED_VALUE"""),0.0)</f>
        <v>0</v>
      </c>
      <c r="U85" s="8">
        <f>IFERROR(__xludf.DUMMYFUNCTION("""COMPUTED_VALUE"""),0.0)</f>
        <v>0</v>
      </c>
      <c r="V85" s="8">
        <f>IFERROR(__xludf.DUMMYFUNCTION("""COMPUTED_VALUE"""),0.0)</f>
        <v>0</v>
      </c>
      <c r="W85" s="8">
        <f>IFERROR(__xludf.DUMMYFUNCTION("""COMPUTED_VALUE"""),0.0)</f>
        <v>0</v>
      </c>
      <c r="X85" s="8">
        <f>IFERROR(__xludf.DUMMYFUNCTION("""COMPUTED_VALUE"""),0.0)</f>
        <v>0</v>
      </c>
      <c r="Y85" s="8">
        <f>IFERROR(__xludf.DUMMYFUNCTION("""COMPUTED_VALUE"""),0.0)</f>
        <v>0</v>
      </c>
      <c r="Z85" s="8">
        <f>IFERROR(__xludf.DUMMYFUNCTION("""COMPUTED_VALUE"""),0.0)</f>
        <v>0</v>
      </c>
      <c r="AA85" s="8">
        <f>IFERROR(__xludf.DUMMYFUNCTION("""COMPUTED_VALUE"""),0.0)</f>
        <v>0</v>
      </c>
      <c r="AB85" s="8">
        <f>IFERROR(__xludf.DUMMYFUNCTION("""COMPUTED_VALUE"""),0.0)</f>
        <v>0</v>
      </c>
      <c r="AC85" s="8">
        <f>IFERROR(__xludf.DUMMYFUNCTION("""COMPUTED_VALUE"""),0.0)</f>
        <v>0</v>
      </c>
    </row>
    <row r="86" ht="15.75" customHeight="1">
      <c r="A86" s="6" t="str">
        <f>IFERROR(__xludf.DUMMYFUNCTION("""COMPUTED_VALUE"""),"4a310051c4c56c2fab46c3a7f528a09901399ecd")</f>
        <v>4a310051c4c56c2fab46c3a7f528a09901399ecd</v>
      </c>
      <c r="B86" s="6" t="str">
        <f>IFERROR(__xludf.DUMMYFUNCTION("""COMPUTED_VALUE"""),"Strongest Warlock ")</f>
        <v>Strongest Warlock </v>
      </c>
      <c r="C86" s="6" t="str">
        <f>IFERROR(__xludf.DUMMYFUNCTION("""COMPUTED_VALUE"""),"Fantasy")</f>
        <v>Fantasy</v>
      </c>
      <c r="D86" s="11">
        <f>IFERROR(__xludf.DUMMYFUNCTION("""COMPUTED_VALUE"""),31433.0)</f>
        <v>31433</v>
      </c>
      <c r="E86" s="8">
        <f>IFERROR(__xludf.DUMMYFUNCTION("""COMPUTED_VALUE"""),0.954248782196185)</f>
        <v>0.9542487822</v>
      </c>
      <c r="F86" s="8">
        <f>IFERROR(__xludf.DUMMYFUNCTION("""COMPUTED_VALUE"""),0.5837294624342)</f>
        <v>0.5837294624</v>
      </c>
      <c r="G86" s="8">
        <f>IFERROR(__xludf.DUMMYFUNCTION("""COMPUTED_VALUE"""),0.536815888626349)</f>
        <v>0.5368158886</v>
      </c>
      <c r="H86" s="8">
        <f>IFERROR(__xludf.DUMMYFUNCTION("""COMPUTED_VALUE"""),0.507600243207782)</f>
        <v>0.5076002432</v>
      </c>
      <c r="I86" s="8">
        <f>IFERROR(__xludf.DUMMYFUNCTION("""COMPUTED_VALUE"""),0.488209662950147)</f>
        <v>0.488209663</v>
      </c>
      <c r="J86" s="8">
        <f>IFERROR(__xludf.DUMMYFUNCTION("""COMPUTED_VALUE"""),0.472282887975334)</f>
        <v>0.472282888</v>
      </c>
      <c r="K86" s="8">
        <f>IFERROR(__xludf.DUMMYFUNCTION("""COMPUTED_VALUE"""),0.455209237994145)</f>
        <v>0.455209238</v>
      </c>
      <c r="L86" s="8">
        <f>IFERROR(__xludf.DUMMYFUNCTION("""COMPUTED_VALUE"""),0.446251653919385)</f>
        <v>0.4462516539</v>
      </c>
      <c r="M86" s="8">
        <f>IFERROR(__xludf.DUMMYFUNCTION("""COMPUTED_VALUE"""),0.437310054962819)</f>
        <v>0.437310055</v>
      </c>
      <c r="N86" s="8">
        <f>IFERROR(__xludf.DUMMYFUNCTION("""COMPUTED_VALUE"""),0.429085369806183)</f>
        <v>0.4290853698</v>
      </c>
      <c r="O86" s="8">
        <f>IFERROR(__xludf.DUMMYFUNCTION("""COMPUTED_VALUE"""),0.397794213902343)</f>
        <v>0.3977942139</v>
      </c>
      <c r="P86" s="8">
        <f>IFERROR(__xludf.DUMMYFUNCTION("""COMPUTED_VALUE"""),0.357251807149015)</f>
        <v>0.3572518071</v>
      </c>
      <c r="Q86" s="8">
        <f>IFERROR(__xludf.DUMMYFUNCTION("""COMPUTED_VALUE"""),0.292376926223919)</f>
        <v>0.2923769262</v>
      </c>
      <c r="R86" s="8">
        <f>IFERROR(__xludf.DUMMYFUNCTION("""COMPUTED_VALUE"""),0.253226925746009)</f>
        <v>0.2532269257</v>
      </c>
      <c r="S86" s="8">
        <f>IFERROR(__xludf.DUMMYFUNCTION("""COMPUTED_VALUE"""),0.221040811313471)</f>
        <v>0.2210408113</v>
      </c>
      <c r="T86" s="8">
        <f>IFERROR(__xludf.DUMMYFUNCTION("""COMPUTED_VALUE"""),0.199217499555397)</f>
        <v>0.1992174996</v>
      </c>
      <c r="U86" s="8">
        <f>IFERROR(__xludf.DUMMYFUNCTION("""COMPUTED_VALUE"""),0.182828173875525)</f>
        <v>0.1828281739</v>
      </c>
      <c r="V86" s="8">
        <f>IFERROR(__xludf.DUMMYFUNCTION("""COMPUTED_VALUE"""),0.170428893905191)</f>
        <v>0.1704288939</v>
      </c>
      <c r="W86" s="8">
        <f>IFERROR(__xludf.DUMMYFUNCTION("""COMPUTED_VALUE"""),0.159298219802854)</f>
        <v>0.1592982198</v>
      </c>
      <c r="X86" s="8">
        <f>IFERROR(__xludf.DUMMYFUNCTION("""COMPUTED_VALUE"""),0.138647792885081)</f>
        <v>0.1386477929</v>
      </c>
      <c r="Y86" s="8">
        <f>IFERROR(__xludf.DUMMYFUNCTION("""COMPUTED_VALUE"""),0.103960208072293)</f>
        <v>0.1039602081</v>
      </c>
      <c r="Z86" s="8">
        <f>IFERROR(__xludf.DUMMYFUNCTION("""COMPUTED_VALUE"""),0.0127752106550693)</f>
        <v>0.01277521066</v>
      </c>
      <c r="AA86" s="8">
        <f>IFERROR(__xludf.DUMMYFUNCTION("""COMPUTED_VALUE"""),0.0)</f>
        <v>0</v>
      </c>
      <c r="AB86" s="8">
        <f>IFERROR(__xludf.DUMMYFUNCTION("""COMPUTED_VALUE"""),0.0)</f>
        <v>0</v>
      </c>
      <c r="AC86" s="8">
        <f>IFERROR(__xludf.DUMMYFUNCTION("""COMPUTED_VALUE"""),0.0)</f>
        <v>0</v>
      </c>
    </row>
    <row r="87" ht="15.75" customHeight="1">
      <c r="A87" s="6" t="str">
        <f>IFERROR(__xludf.DUMMYFUNCTION("""COMPUTED_VALUE"""),"4b2d918a2f639175cf29754151e058356b36f273")</f>
        <v>4b2d918a2f639175cf29754151e058356b36f273</v>
      </c>
      <c r="B87" s="6" t="str">
        <f>IFERROR(__xludf.DUMMYFUNCTION("""COMPUTED_VALUE"""),"Surviving Zombies Rising")</f>
        <v>Surviving Zombies Rising</v>
      </c>
      <c r="C87" s="6" t="str">
        <f>IFERROR(__xludf.DUMMYFUNCTION("""COMPUTED_VALUE"""),"Sci-Fi")</f>
        <v>Sci-Fi</v>
      </c>
      <c r="D87" s="11">
        <f>IFERROR(__xludf.DUMMYFUNCTION("""COMPUTED_VALUE"""),200.0)</f>
        <v>200</v>
      </c>
      <c r="E87" s="8">
        <f>IFERROR(__xludf.DUMMYFUNCTION("""COMPUTED_VALUE"""),0.979591836734693)</f>
        <v>0.9795918367</v>
      </c>
      <c r="F87" s="8">
        <f>IFERROR(__xludf.DUMMYFUNCTION("""COMPUTED_VALUE"""),0.464088397790055)</f>
        <v>0.4640883978</v>
      </c>
      <c r="G87" s="8">
        <f>IFERROR(__xludf.DUMMYFUNCTION("""COMPUTED_VALUE"""),0.394285714285714)</f>
        <v>0.3942857143</v>
      </c>
      <c r="H87" s="8">
        <f>IFERROR(__xludf.DUMMYFUNCTION("""COMPUTED_VALUE"""),0.320754716981132)</f>
        <v>0.320754717</v>
      </c>
      <c r="I87" s="8">
        <f>IFERROR(__xludf.DUMMYFUNCTION("""COMPUTED_VALUE"""),0.283870967741935)</f>
        <v>0.2838709677</v>
      </c>
      <c r="J87" s="8">
        <f>IFERROR(__xludf.DUMMYFUNCTION("""COMPUTED_VALUE"""),0.286666666666666)</f>
        <v>0.2866666667</v>
      </c>
      <c r="K87" s="8">
        <f>IFERROR(__xludf.DUMMYFUNCTION("""COMPUTED_VALUE"""),0.285714285714285)</f>
        <v>0.2857142857</v>
      </c>
      <c r="L87" s="8">
        <f>IFERROR(__xludf.DUMMYFUNCTION("""COMPUTED_VALUE"""),0.237762237762237)</f>
        <v>0.2377622378</v>
      </c>
      <c r="M87" s="8">
        <f>IFERROR(__xludf.DUMMYFUNCTION("""COMPUTED_VALUE"""),0.23076923076923)</f>
        <v>0.2307692308</v>
      </c>
      <c r="N87" s="8">
        <f>IFERROR(__xludf.DUMMYFUNCTION("""COMPUTED_VALUE"""),0.219858156028368)</f>
        <v>0.219858156</v>
      </c>
      <c r="O87" s="8">
        <f>IFERROR(__xludf.DUMMYFUNCTION("""COMPUTED_VALUE"""),0.205882352941176)</f>
        <v>0.2058823529</v>
      </c>
      <c r="P87" s="8">
        <f>IFERROR(__xludf.DUMMYFUNCTION("""COMPUTED_VALUE"""),0.156521739130434)</f>
        <v>0.1565217391</v>
      </c>
      <c r="Q87" s="8">
        <f>IFERROR(__xludf.DUMMYFUNCTION("""COMPUTED_VALUE"""),0.120481927710843)</f>
        <v>0.1204819277</v>
      </c>
      <c r="R87" s="8">
        <f>IFERROR(__xludf.DUMMYFUNCTION("""COMPUTED_VALUE"""),0.0)</f>
        <v>0</v>
      </c>
      <c r="S87" s="8">
        <f>IFERROR(__xludf.DUMMYFUNCTION("""COMPUTED_VALUE"""),0.0)</f>
        <v>0</v>
      </c>
      <c r="T87" s="8">
        <f>IFERROR(__xludf.DUMMYFUNCTION("""COMPUTED_VALUE"""),0.0)</f>
        <v>0</v>
      </c>
      <c r="U87" s="8">
        <f>IFERROR(__xludf.DUMMYFUNCTION("""COMPUTED_VALUE"""),0.0)</f>
        <v>0</v>
      </c>
      <c r="V87" s="8">
        <f>IFERROR(__xludf.DUMMYFUNCTION("""COMPUTED_VALUE"""),0.0)</f>
        <v>0</v>
      </c>
      <c r="W87" s="8">
        <f>IFERROR(__xludf.DUMMYFUNCTION("""COMPUTED_VALUE"""),0.0)</f>
        <v>0</v>
      </c>
      <c r="X87" s="8">
        <f>IFERROR(__xludf.DUMMYFUNCTION("""COMPUTED_VALUE"""),0.0)</f>
        <v>0</v>
      </c>
      <c r="Y87" s="8">
        <f>IFERROR(__xludf.DUMMYFUNCTION("""COMPUTED_VALUE"""),0.0)</f>
        <v>0</v>
      </c>
      <c r="Z87" s="8">
        <f>IFERROR(__xludf.DUMMYFUNCTION("""COMPUTED_VALUE"""),0.0)</f>
        <v>0</v>
      </c>
      <c r="AA87" s="8">
        <f>IFERROR(__xludf.DUMMYFUNCTION("""COMPUTED_VALUE"""),0.0)</f>
        <v>0</v>
      </c>
      <c r="AB87" s="8">
        <f>IFERROR(__xludf.DUMMYFUNCTION("""COMPUTED_VALUE"""),0.0)</f>
        <v>0</v>
      </c>
      <c r="AC87" s="8">
        <f>IFERROR(__xludf.DUMMYFUNCTION("""COMPUTED_VALUE"""),0.0)</f>
        <v>0</v>
      </c>
    </row>
    <row r="88" ht="15.75" customHeight="1">
      <c r="A88" s="6" t="str">
        <f>IFERROR(__xludf.DUMMYFUNCTION("""COMPUTED_VALUE"""),"4bb85319b3dd3ab4ec654bdd13098e3f37cb3e3b")</f>
        <v>4bb85319b3dd3ab4ec654bdd13098e3f37cb3e3b</v>
      </c>
      <c r="B88" s="6" t="str">
        <f>IFERROR(__xludf.DUMMYFUNCTION("""COMPUTED_VALUE"""),"Shadowed Wealth")</f>
        <v>Shadowed Wealth</v>
      </c>
      <c r="C88" s="6" t="str">
        <f>IFERROR(__xludf.DUMMYFUNCTION("""COMPUTED_VALUE"""),"System and Superpower")</f>
        <v>System and Superpower</v>
      </c>
      <c r="D88" s="11">
        <f>IFERROR(__xludf.DUMMYFUNCTION("""COMPUTED_VALUE"""),153.0)</f>
        <v>153</v>
      </c>
      <c r="E88" s="8">
        <f>IFERROR(__xludf.DUMMYFUNCTION("""COMPUTED_VALUE"""),0.934640522875817)</f>
        <v>0.9346405229</v>
      </c>
      <c r="F88" s="8">
        <f>IFERROR(__xludf.DUMMYFUNCTION("""COMPUTED_VALUE"""),0.718954248366013)</f>
        <v>0.7189542484</v>
      </c>
      <c r="G88" s="8">
        <f>IFERROR(__xludf.DUMMYFUNCTION("""COMPUTED_VALUE"""),0.679738562091503)</f>
        <v>0.6797385621</v>
      </c>
      <c r="H88" s="8">
        <f>IFERROR(__xludf.DUMMYFUNCTION("""COMPUTED_VALUE"""),0.61437908496732)</f>
        <v>0.614379085</v>
      </c>
      <c r="I88" s="8">
        <f>IFERROR(__xludf.DUMMYFUNCTION("""COMPUTED_VALUE"""),0.49673202614379)</f>
        <v>0.4967320261</v>
      </c>
      <c r="J88" s="8">
        <f>IFERROR(__xludf.DUMMYFUNCTION("""COMPUTED_VALUE"""),0.44078947368421)</f>
        <v>0.4407894737</v>
      </c>
      <c r="K88" s="8">
        <f>IFERROR(__xludf.DUMMYFUNCTION("""COMPUTED_VALUE"""),0.447368421052631)</f>
        <v>0.4473684211</v>
      </c>
      <c r="L88" s="8">
        <f>IFERROR(__xludf.DUMMYFUNCTION("""COMPUTED_VALUE"""),0.421052631578947)</f>
        <v>0.4210526316</v>
      </c>
      <c r="M88" s="8">
        <f>IFERROR(__xludf.DUMMYFUNCTION("""COMPUTED_VALUE"""),0.414473684210526)</f>
        <v>0.4144736842</v>
      </c>
      <c r="N88" s="8">
        <f>IFERROR(__xludf.DUMMYFUNCTION("""COMPUTED_VALUE"""),0.413333333333333)</f>
        <v>0.4133333333</v>
      </c>
      <c r="O88" s="8">
        <f>IFERROR(__xludf.DUMMYFUNCTION("""COMPUTED_VALUE"""),0.317567567567567)</f>
        <v>0.3175675676</v>
      </c>
      <c r="P88" s="8">
        <f>IFERROR(__xludf.DUMMYFUNCTION("""COMPUTED_VALUE"""),0.198630136986301)</f>
        <v>0.198630137</v>
      </c>
      <c r="Q88" s="8">
        <f>IFERROR(__xludf.DUMMYFUNCTION("""COMPUTED_VALUE"""),0.0620689655172413)</f>
        <v>0.06206896552</v>
      </c>
      <c r="R88" s="8">
        <f>IFERROR(__xludf.DUMMYFUNCTION("""COMPUTED_VALUE"""),0.0)</f>
        <v>0</v>
      </c>
      <c r="S88" s="8">
        <f>IFERROR(__xludf.DUMMYFUNCTION("""COMPUTED_VALUE"""),0.0)</f>
        <v>0</v>
      </c>
      <c r="T88" s="8">
        <f>IFERROR(__xludf.DUMMYFUNCTION("""COMPUTED_VALUE"""),0.0)</f>
        <v>0</v>
      </c>
      <c r="U88" s="8">
        <f>IFERROR(__xludf.DUMMYFUNCTION("""COMPUTED_VALUE"""),0.0)</f>
        <v>0</v>
      </c>
      <c r="V88" s="8">
        <f>IFERROR(__xludf.DUMMYFUNCTION("""COMPUTED_VALUE"""),0.0)</f>
        <v>0</v>
      </c>
      <c r="W88" s="8">
        <f>IFERROR(__xludf.DUMMYFUNCTION("""COMPUTED_VALUE"""),0.0)</f>
        <v>0</v>
      </c>
      <c r="X88" s="8">
        <f>IFERROR(__xludf.DUMMYFUNCTION("""COMPUTED_VALUE"""),0.0)</f>
        <v>0</v>
      </c>
      <c r="Y88" s="8">
        <f>IFERROR(__xludf.DUMMYFUNCTION("""COMPUTED_VALUE"""),0.0)</f>
        <v>0</v>
      </c>
      <c r="Z88" s="8">
        <f>IFERROR(__xludf.DUMMYFUNCTION("""COMPUTED_VALUE"""),0.0)</f>
        <v>0</v>
      </c>
      <c r="AA88" s="8">
        <f>IFERROR(__xludf.DUMMYFUNCTION("""COMPUTED_VALUE"""),0.0)</f>
        <v>0</v>
      </c>
      <c r="AB88" s="8">
        <f>IFERROR(__xludf.DUMMYFUNCTION("""COMPUTED_VALUE"""),0.0)</f>
        <v>0</v>
      </c>
      <c r="AC88" s="8">
        <f>IFERROR(__xludf.DUMMYFUNCTION("""COMPUTED_VALUE"""),0.0)</f>
        <v>0</v>
      </c>
    </row>
    <row r="89" ht="15.75" customHeight="1">
      <c r="A89" s="6" t="str">
        <f>IFERROR(__xludf.DUMMYFUNCTION("""COMPUTED_VALUE"""),"4c43207d3f7885c90d8aaafbb8952de80561f21d")</f>
        <v>4c43207d3f7885c90d8aaafbb8952de80561f21d</v>
      </c>
      <c r="B89" s="6" t="str">
        <f>IFERROR(__xludf.DUMMYFUNCTION("""COMPUTED_VALUE"""),"The Boss &amp; His Fake Wife")</f>
        <v>The Boss &amp; His Fake Wife</v>
      </c>
      <c r="C89" s="6" t="str">
        <f>IFERROR(__xludf.DUMMYFUNCTION("""COMPUTED_VALUE"""),"Romance")</f>
        <v>Romance</v>
      </c>
      <c r="D89" s="11">
        <f>IFERROR(__xludf.DUMMYFUNCTION("""COMPUTED_VALUE"""),329.0)</f>
        <v>329</v>
      </c>
      <c r="E89" s="8">
        <f>IFERROR(__xludf.DUMMYFUNCTION("""COMPUTED_VALUE"""),0.97787610619469)</f>
        <v>0.9778761062</v>
      </c>
      <c r="F89" s="8">
        <f>IFERROR(__xludf.DUMMYFUNCTION("""COMPUTED_VALUE"""),0.511627906976744)</f>
        <v>0.511627907</v>
      </c>
      <c r="G89" s="8">
        <f>IFERROR(__xludf.DUMMYFUNCTION("""COMPUTED_VALUE"""),0.512195121951219)</f>
        <v>0.512195122</v>
      </c>
      <c r="H89" s="8">
        <f>IFERROR(__xludf.DUMMYFUNCTION("""COMPUTED_VALUE"""),0.463414634146341)</f>
        <v>0.4634146341</v>
      </c>
      <c r="I89" s="8">
        <f>IFERROR(__xludf.DUMMYFUNCTION("""COMPUTED_VALUE"""),0.439024390243902)</f>
        <v>0.4390243902</v>
      </c>
      <c r="J89" s="8">
        <f>IFERROR(__xludf.DUMMYFUNCTION("""COMPUTED_VALUE"""),0.425)</f>
        <v>0.425</v>
      </c>
      <c r="K89" s="8">
        <f>IFERROR(__xludf.DUMMYFUNCTION("""COMPUTED_VALUE"""),0.425)</f>
        <v>0.425</v>
      </c>
      <c r="L89" s="8">
        <f>IFERROR(__xludf.DUMMYFUNCTION("""COMPUTED_VALUE"""),0.425)</f>
        <v>0.425</v>
      </c>
      <c r="M89" s="8">
        <f>IFERROR(__xludf.DUMMYFUNCTION("""COMPUTED_VALUE"""),0.41025641025641)</f>
        <v>0.4102564103</v>
      </c>
      <c r="N89" s="8">
        <f>IFERROR(__xludf.DUMMYFUNCTION("""COMPUTED_VALUE"""),0.394736842105263)</f>
        <v>0.3947368421</v>
      </c>
      <c r="O89" s="8">
        <f>IFERROR(__xludf.DUMMYFUNCTION("""COMPUTED_VALUE"""),0.323529411764705)</f>
        <v>0.3235294118</v>
      </c>
      <c r="P89" s="8">
        <f>IFERROR(__xludf.DUMMYFUNCTION("""COMPUTED_VALUE"""),0.0909090909090909)</f>
        <v>0.09090909091</v>
      </c>
      <c r="Q89" s="8">
        <f>IFERROR(__xludf.DUMMYFUNCTION("""COMPUTED_VALUE"""),0.0)</f>
        <v>0</v>
      </c>
      <c r="R89" s="8">
        <f>IFERROR(__xludf.DUMMYFUNCTION("""COMPUTED_VALUE"""),0.0)</f>
        <v>0</v>
      </c>
      <c r="S89" s="8">
        <f>IFERROR(__xludf.DUMMYFUNCTION("""COMPUTED_VALUE"""),0.0)</f>
        <v>0</v>
      </c>
      <c r="T89" s="8">
        <f>IFERROR(__xludf.DUMMYFUNCTION("""COMPUTED_VALUE"""),0.0)</f>
        <v>0</v>
      </c>
      <c r="U89" s="8">
        <f>IFERROR(__xludf.DUMMYFUNCTION("""COMPUTED_VALUE"""),0.0)</f>
        <v>0</v>
      </c>
      <c r="V89" s="8">
        <f>IFERROR(__xludf.DUMMYFUNCTION("""COMPUTED_VALUE"""),0.0)</f>
        <v>0</v>
      </c>
      <c r="W89" s="8">
        <f>IFERROR(__xludf.DUMMYFUNCTION("""COMPUTED_VALUE"""),0.0)</f>
        <v>0</v>
      </c>
      <c r="X89" s="8">
        <f>IFERROR(__xludf.DUMMYFUNCTION("""COMPUTED_VALUE"""),0.0)</f>
        <v>0</v>
      </c>
      <c r="Y89" s="8">
        <f>IFERROR(__xludf.DUMMYFUNCTION("""COMPUTED_VALUE"""),0.0)</f>
        <v>0</v>
      </c>
      <c r="Z89" s="8">
        <f>IFERROR(__xludf.DUMMYFUNCTION("""COMPUTED_VALUE"""),0.0)</f>
        <v>0</v>
      </c>
      <c r="AA89" s="8">
        <f>IFERROR(__xludf.DUMMYFUNCTION("""COMPUTED_VALUE"""),0.0)</f>
        <v>0</v>
      </c>
      <c r="AB89" s="8">
        <f>IFERROR(__xludf.DUMMYFUNCTION("""COMPUTED_VALUE"""),0.0)</f>
        <v>0</v>
      </c>
      <c r="AC89" s="8">
        <f>IFERROR(__xludf.DUMMYFUNCTION("""COMPUTED_VALUE"""),0.0)</f>
        <v>0</v>
      </c>
    </row>
    <row r="90" ht="15.75" customHeight="1">
      <c r="A90" s="6" t="str">
        <f>IFERROR(__xludf.DUMMYFUNCTION("""COMPUTED_VALUE"""),"4d01d84cdfff217f33b380cdb07a2a1c706749ea")</f>
        <v>4d01d84cdfff217f33b380cdb07a2a1c706749ea</v>
      </c>
      <c r="B90" s="6" t="str">
        <f>IFERROR(__xludf.DUMMYFUNCTION("""COMPUTED_VALUE"""),"The Fifth Bride")</f>
        <v>The Fifth Bride</v>
      </c>
      <c r="C90" s="6" t="str">
        <f>IFERROR(__xludf.DUMMYFUNCTION("""COMPUTED_VALUE"""),"Suspense or Thriller")</f>
        <v>Suspense or Thriller</v>
      </c>
      <c r="D90" s="11">
        <f>IFERROR(__xludf.DUMMYFUNCTION("""COMPUTED_VALUE"""),130.0)</f>
        <v>130</v>
      </c>
      <c r="E90" s="8">
        <f>IFERROR(__xludf.DUMMYFUNCTION("""COMPUTED_VALUE"""),0.93076923076923)</f>
        <v>0.9307692308</v>
      </c>
      <c r="F90" s="8">
        <f>IFERROR(__xludf.DUMMYFUNCTION("""COMPUTED_VALUE"""),0.553846153846153)</f>
        <v>0.5538461538</v>
      </c>
      <c r="G90" s="8">
        <f>IFERROR(__xludf.DUMMYFUNCTION("""COMPUTED_VALUE"""),0.5)</f>
        <v>0.5</v>
      </c>
      <c r="H90" s="8">
        <f>IFERROR(__xludf.DUMMYFUNCTION("""COMPUTED_VALUE"""),0.469230769230769)</f>
        <v>0.4692307692</v>
      </c>
      <c r="I90" s="8">
        <f>IFERROR(__xludf.DUMMYFUNCTION("""COMPUTED_VALUE"""),0.438461538461538)</f>
        <v>0.4384615385</v>
      </c>
      <c r="J90" s="8">
        <f>IFERROR(__xludf.DUMMYFUNCTION("""COMPUTED_VALUE"""),0.43076923076923)</f>
        <v>0.4307692308</v>
      </c>
      <c r="K90" s="8">
        <f>IFERROR(__xludf.DUMMYFUNCTION("""COMPUTED_VALUE"""),0.415384615384615)</f>
        <v>0.4153846154</v>
      </c>
      <c r="L90" s="8">
        <f>IFERROR(__xludf.DUMMYFUNCTION("""COMPUTED_VALUE"""),0.353846153846153)</f>
        <v>0.3538461538</v>
      </c>
      <c r="M90" s="8">
        <f>IFERROR(__xludf.DUMMYFUNCTION("""COMPUTED_VALUE"""),0.369230769230769)</f>
        <v>0.3692307692</v>
      </c>
      <c r="N90" s="8">
        <f>IFERROR(__xludf.DUMMYFUNCTION("""COMPUTED_VALUE"""),0.33076923076923)</f>
        <v>0.3307692308</v>
      </c>
      <c r="O90" s="8">
        <f>IFERROR(__xludf.DUMMYFUNCTION("""COMPUTED_VALUE"""),0.294573643410852)</f>
        <v>0.2945736434</v>
      </c>
      <c r="P90" s="8">
        <f>IFERROR(__xludf.DUMMYFUNCTION("""COMPUTED_VALUE"""),0.232558139534883)</f>
        <v>0.2325581395</v>
      </c>
      <c r="Q90" s="8">
        <f>IFERROR(__xludf.DUMMYFUNCTION("""COMPUTED_VALUE"""),0.087378640776699)</f>
        <v>0.08737864078</v>
      </c>
      <c r="R90" s="8">
        <f>IFERROR(__xludf.DUMMYFUNCTION("""COMPUTED_VALUE"""),0.0)</f>
        <v>0</v>
      </c>
      <c r="S90" s="8">
        <f>IFERROR(__xludf.DUMMYFUNCTION("""COMPUTED_VALUE"""),0.0)</f>
        <v>0</v>
      </c>
      <c r="T90" s="8">
        <f>IFERROR(__xludf.DUMMYFUNCTION("""COMPUTED_VALUE"""),0.0)</f>
        <v>0</v>
      </c>
      <c r="U90" s="8">
        <f>IFERROR(__xludf.DUMMYFUNCTION("""COMPUTED_VALUE"""),0.0)</f>
        <v>0</v>
      </c>
      <c r="V90" s="8">
        <f>IFERROR(__xludf.DUMMYFUNCTION("""COMPUTED_VALUE"""),0.0)</f>
        <v>0</v>
      </c>
      <c r="W90" s="8">
        <f>IFERROR(__xludf.DUMMYFUNCTION("""COMPUTED_VALUE"""),0.0)</f>
        <v>0</v>
      </c>
      <c r="X90" s="8">
        <f>IFERROR(__xludf.DUMMYFUNCTION("""COMPUTED_VALUE"""),0.0)</f>
        <v>0</v>
      </c>
      <c r="Y90" s="8">
        <f>IFERROR(__xludf.DUMMYFUNCTION("""COMPUTED_VALUE"""),0.0)</f>
        <v>0</v>
      </c>
      <c r="Z90" s="8">
        <f>IFERROR(__xludf.DUMMYFUNCTION("""COMPUTED_VALUE"""),0.0)</f>
        <v>0</v>
      </c>
      <c r="AA90" s="8">
        <f>IFERROR(__xludf.DUMMYFUNCTION("""COMPUTED_VALUE"""),0.0)</f>
        <v>0</v>
      </c>
      <c r="AB90" s="8">
        <f>IFERROR(__xludf.DUMMYFUNCTION("""COMPUTED_VALUE"""),0.0)</f>
        <v>0</v>
      </c>
      <c r="AC90" s="8">
        <f>IFERROR(__xludf.DUMMYFUNCTION("""COMPUTED_VALUE"""),0.0)</f>
        <v>0</v>
      </c>
    </row>
    <row r="91" ht="15.75" customHeight="1">
      <c r="A91" s="6" t="str">
        <f>IFERROR(__xludf.DUMMYFUNCTION("""COMPUTED_VALUE"""),"4d887dec2a071a00150fdcd6417f16bcaf5f02b0")</f>
        <v>4d887dec2a071a00150fdcd6417f16bcaf5f02b0</v>
      </c>
      <c r="B91" s="6" t="str">
        <f>IFERROR(__xludf.DUMMYFUNCTION("""COMPUTED_VALUE"""),"Loving Nathaniel Hawthorne: The Billionaire Playboy")</f>
        <v>Loving Nathaniel Hawthorne: The Billionaire Playboy</v>
      </c>
      <c r="C91" s="6" t="str">
        <f>IFERROR(__xludf.DUMMYFUNCTION("""COMPUTED_VALUE"""),"Romance")</f>
        <v>Romance</v>
      </c>
      <c r="D91" s="11">
        <f>IFERROR(__xludf.DUMMYFUNCTION("""COMPUTED_VALUE"""),6362.0)</f>
        <v>6362</v>
      </c>
      <c r="E91" s="8">
        <f>IFERROR(__xludf.DUMMYFUNCTION("""COMPUTED_VALUE"""),0.919679346117573)</f>
        <v>0.9196793461</v>
      </c>
      <c r="F91" s="8">
        <f>IFERROR(__xludf.DUMMYFUNCTION("""COMPUTED_VALUE"""),0.545526026104733)</f>
        <v>0.5455260261</v>
      </c>
      <c r="G91" s="8">
        <f>IFERROR(__xludf.DUMMYFUNCTION("""COMPUTED_VALUE"""),0.499606856423966)</f>
        <v>0.4996068564</v>
      </c>
      <c r="H91" s="8">
        <f>IFERROR(__xludf.DUMMYFUNCTION("""COMPUTED_VALUE"""),0.475463982384397)</f>
        <v>0.4754639824</v>
      </c>
      <c r="I91" s="8">
        <f>IFERROR(__xludf.DUMMYFUNCTION("""COMPUTED_VALUE"""),0.454545454545454)</f>
        <v>0.4545454545</v>
      </c>
      <c r="J91" s="8">
        <f>IFERROR(__xludf.DUMMYFUNCTION("""COMPUTED_VALUE"""),0.442347019034135)</f>
        <v>0.442347019</v>
      </c>
      <c r="K91" s="8">
        <f>IFERROR(__xludf.DUMMYFUNCTION("""COMPUTED_VALUE"""),0.426054122089364)</f>
        <v>0.4260541221</v>
      </c>
      <c r="L91" s="8">
        <f>IFERROR(__xludf.DUMMYFUNCTION("""COMPUTED_VALUE"""),0.420588698252793)</f>
        <v>0.4205886983</v>
      </c>
      <c r="M91" s="8">
        <f>IFERROR(__xludf.DUMMYFUNCTION("""COMPUTED_VALUE"""),0.414829974811083)</f>
        <v>0.4148299748</v>
      </c>
      <c r="N91" s="8">
        <f>IFERROR(__xludf.DUMMYFUNCTION("""COMPUTED_VALUE"""),0.409198298944715)</f>
        <v>0.4091982989</v>
      </c>
      <c r="O91" s="8">
        <f>IFERROR(__xludf.DUMMYFUNCTION("""COMPUTED_VALUE"""),0.387320611890868)</f>
        <v>0.3873206119</v>
      </c>
      <c r="P91" s="8">
        <f>IFERROR(__xludf.DUMMYFUNCTION("""COMPUTED_VALUE"""),0.339282893697678)</f>
        <v>0.3392828937</v>
      </c>
      <c r="Q91" s="8">
        <f>IFERROR(__xludf.DUMMYFUNCTION("""COMPUTED_VALUE"""),0.257364586632879)</f>
        <v>0.2573645866</v>
      </c>
      <c r="R91" s="8">
        <f>IFERROR(__xludf.DUMMYFUNCTION("""COMPUTED_VALUE"""),0.208498493737117)</f>
        <v>0.2084984937</v>
      </c>
      <c r="S91" s="8">
        <f>IFERROR(__xludf.DUMMYFUNCTION("""COMPUTED_VALUE"""),0.185208697032217)</f>
        <v>0.185208697</v>
      </c>
      <c r="T91" s="8">
        <f>IFERROR(__xludf.DUMMYFUNCTION("""COMPUTED_VALUE"""),0.172128539611835)</f>
        <v>0.1721285396</v>
      </c>
      <c r="U91" s="8">
        <f>IFERROR(__xludf.DUMMYFUNCTION("""COMPUTED_VALUE"""),0.161696699091054)</f>
        <v>0.1616966991</v>
      </c>
      <c r="V91" s="8">
        <f>IFERROR(__xludf.DUMMYFUNCTION("""COMPUTED_VALUE"""),0.152570480928689)</f>
        <v>0.1525704809</v>
      </c>
      <c r="W91" s="8">
        <f>IFERROR(__xludf.DUMMYFUNCTION("""COMPUTED_VALUE"""),0.140842386125405)</f>
        <v>0.1408423861</v>
      </c>
      <c r="X91" s="8">
        <f>IFERROR(__xludf.DUMMYFUNCTION("""COMPUTED_VALUE"""),0.13026911169326)</f>
        <v>0.1302691117</v>
      </c>
      <c r="Y91" s="8">
        <f>IFERROR(__xludf.DUMMYFUNCTION("""COMPUTED_VALUE"""),0.106404608607251)</f>
        <v>0.1064046086</v>
      </c>
      <c r="Z91" s="8">
        <f>IFERROR(__xludf.DUMMYFUNCTION("""COMPUTED_VALUE"""),0.077572347266881)</f>
        <v>0.07757234727</v>
      </c>
      <c r="AA91" s="8">
        <f>IFERROR(__xludf.DUMMYFUNCTION("""COMPUTED_VALUE"""),0.0)</f>
        <v>0</v>
      </c>
      <c r="AB91" s="8">
        <f>IFERROR(__xludf.DUMMYFUNCTION("""COMPUTED_VALUE"""),0.0)</f>
        <v>0</v>
      </c>
      <c r="AC91" s="8">
        <f>IFERROR(__xludf.DUMMYFUNCTION("""COMPUTED_VALUE"""),0.0)</f>
        <v>0</v>
      </c>
    </row>
    <row r="92" ht="15.75" customHeight="1">
      <c r="A92" s="6" t="str">
        <f>IFERROR(__xludf.DUMMYFUNCTION("""COMPUTED_VALUE"""),"4e3bbfc86993cf8c574bdebca34a49627f4a386a")</f>
        <v>4e3bbfc86993cf8c574bdebca34a49627f4a386a</v>
      </c>
      <c r="B92" s="6" t="str">
        <f>IFERROR(__xludf.DUMMYFUNCTION("""COMPUTED_VALUE"""),"Our Beloved Villains ")</f>
        <v>Our Beloved Villains </v>
      </c>
      <c r="C92" s="6" t="str">
        <f>IFERROR(__xludf.DUMMYFUNCTION("""COMPUTED_VALUE"""),"Fantasy")</f>
        <v>Fantasy</v>
      </c>
      <c r="D92" s="11">
        <f>IFERROR(__xludf.DUMMYFUNCTION("""COMPUTED_VALUE"""),72.0)</f>
        <v>72</v>
      </c>
      <c r="E92" s="8">
        <f>IFERROR(__xludf.DUMMYFUNCTION("""COMPUTED_VALUE"""),0.986111111111111)</f>
        <v>0.9861111111</v>
      </c>
      <c r="F92" s="8">
        <f>IFERROR(__xludf.DUMMYFUNCTION("""COMPUTED_VALUE"""),0.472222222222222)</f>
        <v>0.4722222222</v>
      </c>
      <c r="G92" s="8">
        <f>IFERROR(__xludf.DUMMYFUNCTION("""COMPUTED_VALUE"""),0.361111111111111)</f>
        <v>0.3611111111</v>
      </c>
      <c r="H92" s="8">
        <f>IFERROR(__xludf.DUMMYFUNCTION("""COMPUTED_VALUE"""),0.285714285714285)</f>
        <v>0.2857142857</v>
      </c>
      <c r="I92" s="8">
        <f>IFERROR(__xludf.DUMMYFUNCTION("""COMPUTED_VALUE"""),0.231884057971014)</f>
        <v>0.231884058</v>
      </c>
      <c r="J92" s="8">
        <f>IFERROR(__xludf.DUMMYFUNCTION("""COMPUTED_VALUE"""),0.231884057971014)</f>
        <v>0.231884058</v>
      </c>
      <c r="K92" s="8">
        <f>IFERROR(__xludf.DUMMYFUNCTION("""COMPUTED_VALUE"""),0.188405797101449)</f>
        <v>0.1884057971</v>
      </c>
      <c r="L92" s="8">
        <f>IFERROR(__xludf.DUMMYFUNCTION("""COMPUTED_VALUE"""),0.17391304347826)</f>
        <v>0.1739130435</v>
      </c>
      <c r="M92" s="8">
        <f>IFERROR(__xludf.DUMMYFUNCTION("""COMPUTED_VALUE"""),0.159420289855072)</f>
        <v>0.1594202899</v>
      </c>
      <c r="N92" s="8">
        <f>IFERROR(__xludf.DUMMYFUNCTION("""COMPUTED_VALUE"""),0.130434782608695)</f>
        <v>0.1304347826</v>
      </c>
      <c r="O92" s="8">
        <f>IFERROR(__xludf.DUMMYFUNCTION("""COMPUTED_VALUE"""),0.0597014925373134)</f>
        <v>0.05970149254</v>
      </c>
      <c r="P92" s="8">
        <f>IFERROR(__xludf.DUMMYFUNCTION("""COMPUTED_VALUE"""),0.03125)</f>
        <v>0.03125</v>
      </c>
      <c r="Q92" s="8">
        <f>IFERROR(__xludf.DUMMYFUNCTION("""COMPUTED_VALUE"""),0.0)</f>
        <v>0</v>
      </c>
      <c r="R92" s="8">
        <f>IFERROR(__xludf.DUMMYFUNCTION("""COMPUTED_VALUE"""),0.0)</f>
        <v>0</v>
      </c>
      <c r="S92" s="8">
        <f>IFERROR(__xludf.DUMMYFUNCTION("""COMPUTED_VALUE"""),0.0)</f>
        <v>0</v>
      </c>
      <c r="T92" s="8">
        <f>IFERROR(__xludf.DUMMYFUNCTION("""COMPUTED_VALUE"""),0.0)</f>
        <v>0</v>
      </c>
      <c r="U92" s="8">
        <f>IFERROR(__xludf.DUMMYFUNCTION("""COMPUTED_VALUE"""),0.0)</f>
        <v>0</v>
      </c>
      <c r="V92" s="8">
        <f>IFERROR(__xludf.DUMMYFUNCTION("""COMPUTED_VALUE"""),0.0)</f>
        <v>0</v>
      </c>
      <c r="W92" s="8">
        <f>IFERROR(__xludf.DUMMYFUNCTION("""COMPUTED_VALUE"""),0.0)</f>
        <v>0</v>
      </c>
      <c r="X92" s="8">
        <f>IFERROR(__xludf.DUMMYFUNCTION("""COMPUTED_VALUE"""),0.0)</f>
        <v>0</v>
      </c>
      <c r="Y92" s="8">
        <f>IFERROR(__xludf.DUMMYFUNCTION("""COMPUTED_VALUE"""),0.0)</f>
        <v>0</v>
      </c>
      <c r="Z92" s="8">
        <f>IFERROR(__xludf.DUMMYFUNCTION("""COMPUTED_VALUE"""),0.0)</f>
        <v>0</v>
      </c>
      <c r="AA92" s="8">
        <f>IFERROR(__xludf.DUMMYFUNCTION("""COMPUTED_VALUE"""),0.0)</f>
        <v>0</v>
      </c>
      <c r="AB92" s="8">
        <f>IFERROR(__xludf.DUMMYFUNCTION("""COMPUTED_VALUE"""),0.0)</f>
        <v>0</v>
      </c>
      <c r="AC92" s="8">
        <f>IFERROR(__xludf.DUMMYFUNCTION("""COMPUTED_VALUE"""),0.0)</f>
        <v>0</v>
      </c>
    </row>
    <row r="93" ht="15.75" customHeight="1">
      <c r="A93" s="6" t="str">
        <f>IFERROR(__xludf.DUMMYFUNCTION("""COMPUTED_VALUE"""),"4e767fe3eae1eb30991fabcb73be16e9925ab124")</f>
        <v>4e767fe3eae1eb30991fabcb73be16e9925ab124</v>
      </c>
      <c r="B93" s="6" t="str">
        <f>IFERROR(__xludf.DUMMYFUNCTION("""COMPUTED_VALUE"""),"The Ill-Fated Aristocrat")</f>
        <v>The Ill-Fated Aristocrat</v>
      </c>
      <c r="C93" s="6" t="str">
        <f>IFERROR(__xludf.DUMMYFUNCTION("""COMPUTED_VALUE"""),"Romance")</f>
        <v>Romance</v>
      </c>
      <c r="D93" s="11">
        <f>IFERROR(__xludf.DUMMYFUNCTION("""COMPUTED_VALUE"""),646.0)</f>
        <v>646</v>
      </c>
      <c r="E93" s="8">
        <f>IFERROR(__xludf.DUMMYFUNCTION("""COMPUTED_VALUE"""),0.972136222910216)</f>
        <v>0.9721362229</v>
      </c>
      <c r="F93" s="8">
        <f>IFERROR(__xludf.DUMMYFUNCTION("""COMPUTED_VALUE"""),0.616224648985959)</f>
        <v>0.616224649</v>
      </c>
      <c r="G93" s="8">
        <f>IFERROR(__xludf.DUMMYFUNCTION("""COMPUTED_VALUE"""),0.5671875)</f>
        <v>0.5671875</v>
      </c>
      <c r="H93" s="8">
        <f>IFERROR(__xludf.DUMMYFUNCTION("""COMPUTED_VALUE"""),0.511773940345368)</f>
        <v>0.5117739403</v>
      </c>
      <c r="I93" s="8">
        <f>IFERROR(__xludf.DUMMYFUNCTION("""COMPUTED_VALUE"""),0.477987421383647)</f>
        <v>0.4779874214</v>
      </c>
      <c r="J93" s="8">
        <f>IFERROR(__xludf.DUMMYFUNCTION("""COMPUTED_VALUE"""),0.446540880503144)</f>
        <v>0.4465408805</v>
      </c>
      <c r="K93" s="8">
        <f>IFERROR(__xludf.DUMMYFUNCTION("""COMPUTED_VALUE"""),0.430817610062893)</f>
        <v>0.4308176101</v>
      </c>
      <c r="L93" s="8">
        <f>IFERROR(__xludf.DUMMYFUNCTION("""COMPUTED_VALUE"""),0.411949685534591)</f>
        <v>0.4119496855</v>
      </c>
      <c r="M93" s="8">
        <f>IFERROR(__xludf.DUMMYFUNCTION("""COMPUTED_VALUE"""),0.391509433962264)</f>
        <v>0.391509434</v>
      </c>
      <c r="N93" s="8">
        <f>IFERROR(__xludf.DUMMYFUNCTION("""COMPUTED_VALUE"""),0.377358490566037)</f>
        <v>0.3773584906</v>
      </c>
      <c r="O93" s="8">
        <f>IFERROR(__xludf.DUMMYFUNCTION("""COMPUTED_VALUE"""),0.351181102362204)</f>
        <v>0.3511811024</v>
      </c>
      <c r="P93" s="8">
        <f>IFERROR(__xludf.DUMMYFUNCTION("""COMPUTED_VALUE"""),0.292721518987341)</f>
        <v>0.292721519</v>
      </c>
      <c r="Q93" s="8">
        <f>IFERROR(__xludf.DUMMYFUNCTION("""COMPUTED_VALUE"""),0.187393526405451)</f>
        <v>0.1873935264</v>
      </c>
      <c r="R93" s="8">
        <f>IFERROR(__xludf.DUMMYFUNCTION("""COMPUTED_VALUE"""),0.111926605504587)</f>
        <v>0.1119266055</v>
      </c>
      <c r="S93" s="8">
        <f>IFERROR(__xludf.DUMMYFUNCTION("""COMPUTED_VALUE"""),0.111111111111111)</f>
        <v>0.1111111111</v>
      </c>
      <c r="T93" s="8">
        <f>IFERROR(__xludf.DUMMYFUNCTION("""COMPUTED_VALUE"""),0.0)</f>
        <v>0</v>
      </c>
      <c r="U93" s="8">
        <f>IFERROR(__xludf.DUMMYFUNCTION("""COMPUTED_VALUE"""),0.0)</f>
        <v>0</v>
      </c>
      <c r="V93" s="8">
        <f>IFERROR(__xludf.DUMMYFUNCTION("""COMPUTED_VALUE"""),0.0)</f>
        <v>0</v>
      </c>
      <c r="W93" s="8">
        <f>IFERROR(__xludf.DUMMYFUNCTION("""COMPUTED_VALUE"""),0.0)</f>
        <v>0</v>
      </c>
      <c r="X93" s="8">
        <f>IFERROR(__xludf.DUMMYFUNCTION("""COMPUTED_VALUE"""),0.0)</f>
        <v>0</v>
      </c>
      <c r="Y93" s="8">
        <f>IFERROR(__xludf.DUMMYFUNCTION("""COMPUTED_VALUE"""),0.0)</f>
        <v>0</v>
      </c>
      <c r="Z93" s="8">
        <f>IFERROR(__xludf.DUMMYFUNCTION("""COMPUTED_VALUE"""),0.0)</f>
        <v>0</v>
      </c>
      <c r="AA93" s="8">
        <f>IFERROR(__xludf.DUMMYFUNCTION("""COMPUTED_VALUE"""),0.0)</f>
        <v>0</v>
      </c>
      <c r="AB93" s="8">
        <f>IFERROR(__xludf.DUMMYFUNCTION("""COMPUTED_VALUE"""),0.0)</f>
        <v>0</v>
      </c>
      <c r="AC93" s="8">
        <f>IFERROR(__xludf.DUMMYFUNCTION("""COMPUTED_VALUE"""),0.0)</f>
        <v>0</v>
      </c>
    </row>
    <row r="94" ht="15.75" customHeight="1">
      <c r="A94" s="6" t="str">
        <f>IFERROR(__xludf.DUMMYFUNCTION("""COMPUTED_VALUE"""),"4e82e5be987e78daa5bb2bb67006b68256170925")</f>
        <v>4e82e5be987e78daa5bb2bb67006b68256170925</v>
      </c>
      <c r="B94" s="6" t="str">
        <f>IFERROR(__xludf.DUMMYFUNCTION("""COMPUTED_VALUE"""),"Machine Invasion")</f>
        <v>Machine Invasion</v>
      </c>
      <c r="C94" s="6" t="str">
        <f>IFERROR(__xludf.DUMMYFUNCTION("""COMPUTED_VALUE"""),"System and Superpower")</f>
        <v>System and Superpower</v>
      </c>
      <c r="D94" s="11">
        <f>IFERROR(__xludf.DUMMYFUNCTION("""COMPUTED_VALUE"""),1467.0)</f>
        <v>1467</v>
      </c>
      <c r="E94" s="8">
        <f>IFERROR(__xludf.DUMMYFUNCTION("""COMPUTED_VALUE"""),0.976823449216087)</f>
        <v>0.9768234492</v>
      </c>
      <c r="F94" s="8">
        <f>IFERROR(__xludf.DUMMYFUNCTION("""COMPUTED_VALUE"""),0.661213360599863)</f>
        <v>0.6612133606</v>
      </c>
      <c r="G94" s="8">
        <f>IFERROR(__xludf.DUMMYFUNCTION("""COMPUTED_VALUE"""),0.61296928327645)</f>
        <v>0.6129692833</v>
      </c>
      <c r="H94" s="8">
        <f>IFERROR(__xludf.DUMMYFUNCTION("""COMPUTED_VALUE"""),0.582252559726962)</f>
        <v>0.5822525597</v>
      </c>
      <c r="I94" s="8">
        <f>IFERROR(__xludf.DUMMYFUNCTION("""COMPUTED_VALUE"""),0.560409556313993)</f>
        <v>0.5604095563</v>
      </c>
      <c r="J94" s="8">
        <f>IFERROR(__xludf.DUMMYFUNCTION("""COMPUTED_VALUE"""),0.532786885245901)</f>
        <v>0.5327868852</v>
      </c>
      <c r="K94" s="8">
        <f>IFERROR(__xludf.DUMMYFUNCTION("""COMPUTED_VALUE"""),0.515027322404371)</f>
        <v>0.5150273224</v>
      </c>
      <c r="L94" s="8">
        <f>IFERROR(__xludf.DUMMYFUNCTION("""COMPUTED_VALUE"""),0.480191256830601)</f>
        <v>0.4801912568</v>
      </c>
      <c r="M94" s="8">
        <f>IFERROR(__xludf.DUMMYFUNCTION("""COMPUTED_VALUE"""),0.476060191518467)</f>
        <v>0.4760601915</v>
      </c>
      <c r="N94" s="8">
        <f>IFERROR(__xludf.DUMMYFUNCTION("""COMPUTED_VALUE"""),0.46917808219178)</f>
        <v>0.4691780822</v>
      </c>
      <c r="O94" s="8">
        <f>IFERROR(__xludf.DUMMYFUNCTION("""COMPUTED_VALUE"""),0.429824561403508)</f>
        <v>0.4298245614</v>
      </c>
      <c r="P94" s="8">
        <f>IFERROR(__xludf.DUMMYFUNCTION("""COMPUTED_VALUE"""),0.347872340425531)</f>
        <v>0.3478723404</v>
      </c>
      <c r="Q94" s="8">
        <f>IFERROR(__xludf.DUMMYFUNCTION("""COMPUTED_VALUE"""),0.282485875706214)</f>
        <v>0.2824858757</v>
      </c>
      <c r="R94" s="8">
        <f>IFERROR(__xludf.DUMMYFUNCTION("""COMPUTED_VALUE"""),0.0)</f>
        <v>0</v>
      </c>
      <c r="S94" s="8">
        <f>IFERROR(__xludf.DUMMYFUNCTION("""COMPUTED_VALUE"""),0.0)</f>
        <v>0</v>
      </c>
      <c r="T94" s="8">
        <f>IFERROR(__xludf.DUMMYFUNCTION("""COMPUTED_VALUE"""),0.0)</f>
        <v>0</v>
      </c>
      <c r="U94" s="8">
        <f>IFERROR(__xludf.DUMMYFUNCTION("""COMPUTED_VALUE"""),0.0)</f>
        <v>0</v>
      </c>
      <c r="V94" s="8">
        <f>IFERROR(__xludf.DUMMYFUNCTION("""COMPUTED_VALUE"""),0.0)</f>
        <v>0</v>
      </c>
      <c r="W94" s="8">
        <f>IFERROR(__xludf.DUMMYFUNCTION("""COMPUTED_VALUE"""),0.0)</f>
        <v>0</v>
      </c>
      <c r="X94" s="8">
        <f>IFERROR(__xludf.DUMMYFUNCTION("""COMPUTED_VALUE"""),0.0)</f>
        <v>0</v>
      </c>
      <c r="Y94" s="8">
        <f>IFERROR(__xludf.DUMMYFUNCTION("""COMPUTED_VALUE"""),0.0)</f>
        <v>0</v>
      </c>
      <c r="Z94" s="8">
        <f>IFERROR(__xludf.DUMMYFUNCTION("""COMPUTED_VALUE"""),0.0)</f>
        <v>0</v>
      </c>
      <c r="AA94" s="8">
        <f>IFERROR(__xludf.DUMMYFUNCTION("""COMPUTED_VALUE"""),0.0)</f>
        <v>0</v>
      </c>
      <c r="AB94" s="8">
        <f>IFERROR(__xludf.DUMMYFUNCTION("""COMPUTED_VALUE"""),0.0)</f>
        <v>0</v>
      </c>
      <c r="AC94" s="8">
        <f>IFERROR(__xludf.DUMMYFUNCTION("""COMPUTED_VALUE"""),0.0)</f>
        <v>0</v>
      </c>
    </row>
    <row r="95" ht="15.75" customHeight="1">
      <c r="A95" s="6" t="str">
        <f>IFERROR(__xludf.DUMMYFUNCTION("""COMPUTED_VALUE"""),"4e8fc1ec90ca0e70f873bdd45aea984fc56b5c89")</f>
        <v>4e8fc1ec90ca0e70f873bdd45aea984fc56b5c89</v>
      </c>
      <c r="B95" s="6" t="str">
        <f>IFERROR(__xludf.DUMMYFUNCTION("""COMPUTED_VALUE"""),"When Strangers Say I Do")</f>
        <v>When Strangers Say I Do</v>
      </c>
      <c r="C95" s="6" t="str">
        <f>IFERROR(__xludf.DUMMYFUNCTION("""COMPUTED_VALUE"""),"Drama")</f>
        <v>Drama</v>
      </c>
      <c r="D95" s="11">
        <f>IFERROR(__xludf.DUMMYFUNCTION("""COMPUTED_VALUE"""),375.0)</f>
        <v>375</v>
      </c>
      <c r="E95" s="8">
        <f>IFERROR(__xludf.DUMMYFUNCTION("""COMPUTED_VALUE"""),0.983870967741935)</f>
        <v>0.9838709677</v>
      </c>
      <c r="F95" s="8">
        <f>IFERROR(__xludf.DUMMYFUNCTION("""COMPUTED_VALUE"""),0.46070460704607)</f>
        <v>0.460704607</v>
      </c>
      <c r="G95" s="8">
        <f>IFERROR(__xludf.DUMMYFUNCTION("""COMPUTED_VALUE"""),0.362397820163487)</f>
        <v>0.3623978202</v>
      </c>
      <c r="H95" s="8">
        <f>IFERROR(__xludf.DUMMYFUNCTION("""COMPUTED_VALUE"""),0.296398891966759)</f>
        <v>0.296398892</v>
      </c>
      <c r="I95" s="8">
        <f>IFERROR(__xludf.DUMMYFUNCTION("""COMPUTED_VALUE"""),0.252077562326869)</f>
        <v>0.2520775623</v>
      </c>
      <c r="J95" s="8">
        <f>IFERROR(__xludf.DUMMYFUNCTION("""COMPUTED_VALUE"""),0.225352112676056)</f>
        <v>0.2253521127</v>
      </c>
      <c r="K95" s="8">
        <f>IFERROR(__xludf.DUMMYFUNCTION("""COMPUTED_VALUE"""),0.223163841807909)</f>
        <v>0.2231638418</v>
      </c>
      <c r="L95" s="8">
        <f>IFERROR(__xludf.DUMMYFUNCTION("""COMPUTED_VALUE"""),0.214285714285714)</f>
        <v>0.2142857143</v>
      </c>
      <c r="M95" s="8">
        <f>IFERROR(__xludf.DUMMYFUNCTION("""COMPUTED_VALUE"""),0.198847262247838)</f>
        <v>0.1988472622</v>
      </c>
      <c r="N95" s="8">
        <f>IFERROR(__xludf.DUMMYFUNCTION("""COMPUTED_VALUE"""),0.17201166180758)</f>
        <v>0.1720116618</v>
      </c>
      <c r="O95" s="8">
        <f>IFERROR(__xludf.DUMMYFUNCTION("""COMPUTED_VALUE"""),0.133116883116883)</f>
        <v>0.1331168831</v>
      </c>
      <c r="P95" s="8">
        <f>IFERROR(__xludf.DUMMYFUNCTION("""COMPUTED_VALUE"""),0.142857142857142)</f>
        <v>0.1428571429</v>
      </c>
      <c r="Q95" s="8">
        <f>IFERROR(__xludf.DUMMYFUNCTION("""COMPUTED_VALUE"""),0.0808080808080808)</f>
        <v>0.08080808081</v>
      </c>
      <c r="R95" s="8">
        <f>IFERROR(__xludf.DUMMYFUNCTION("""COMPUTED_VALUE"""),0.0)</f>
        <v>0</v>
      </c>
      <c r="S95" s="8">
        <f>IFERROR(__xludf.DUMMYFUNCTION("""COMPUTED_VALUE"""),0.0)</f>
        <v>0</v>
      </c>
      <c r="T95" s="8">
        <f>IFERROR(__xludf.DUMMYFUNCTION("""COMPUTED_VALUE"""),0.0)</f>
        <v>0</v>
      </c>
      <c r="U95" s="8">
        <f>IFERROR(__xludf.DUMMYFUNCTION("""COMPUTED_VALUE"""),0.0)</f>
        <v>0</v>
      </c>
      <c r="V95" s="8">
        <f>IFERROR(__xludf.DUMMYFUNCTION("""COMPUTED_VALUE"""),0.0)</f>
        <v>0</v>
      </c>
      <c r="W95" s="8">
        <f>IFERROR(__xludf.DUMMYFUNCTION("""COMPUTED_VALUE"""),0.0)</f>
        <v>0</v>
      </c>
      <c r="X95" s="8">
        <f>IFERROR(__xludf.DUMMYFUNCTION("""COMPUTED_VALUE"""),0.0)</f>
        <v>0</v>
      </c>
      <c r="Y95" s="8">
        <f>IFERROR(__xludf.DUMMYFUNCTION("""COMPUTED_VALUE"""),0.0)</f>
        <v>0</v>
      </c>
      <c r="Z95" s="8">
        <f>IFERROR(__xludf.DUMMYFUNCTION("""COMPUTED_VALUE"""),0.0)</f>
        <v>0</v>
      </c>
      <c r="AA95" s="8">
        <f>IFERROR(__xludf.DUMMYFUNCTION("""COMPUTED_VALUE"""),0.0)</f>
        <v>0</v>
      </c>
      <c r="AB95" s="8">
        <f>IFERROR(__xludf.DUMMYFUNCTION("""COMPUTED_VALUE"""),0.0)</f>
        <v>0</v>
      </c>
      <c r="AC95" s="8">
        <f>IFERROR(__xludf.DUMMYFUNCTION("""COMPUTED_VALUE"""),0.0)</f>
        <v>0</v>
      </c>
    </row>
    <row r="96" ht="15.75" customHeight="1">
      <c r="A96" s="6" t="str">
        <f>IFERROR(__xludf.DUMMYFUNCTION("""COMPUTED_VALUE"""),"4ef829b74ddfb2f550d1c5ceb22a6d68f5936dff")</f>
        <v>4ef829b74ddfb2f550d1c5ceb22a6d68f5936dff</v>
      </c>
      <c r="B96" s="6" t="str">
        <f>IFERROR(__xludf.DUMMYFUNCTION("""COMPUTED_VALUE"""),"The Mad Alpha’s True Luna")</f>
        <v>The Mad Alpha’s True Luna</v>
      </c>
      <c r="C96" s="6" t="str">
        <f>IFERROR(__xludf.DUMMYFUNCTION("""COMPUTED_VALUE"""),"Romantasy")</f>
        <v>Romantasy</v>
      </c>
      <c r="D96" s="11">
        <f>IFERROR(__xludf.DUMMYFUNCTION("""COMPUTED_VALUE"""),546.0)</f>
        <v>546</v>
      </c>
      <c r="E96" s="8">
        <f>IFERROR(__xludf.DUMMYFUNCTION("""COMPUTED_VALUE"""),0.972375690607734)</f>
        <v>0.9723756906</v>
      </c>
      <c r="F96" s="8">
        <f>IFERROR(__xludf.DUMMYFUNCTION("""COMPUTED_VALUE"""),0.672764227642276)</f>
        <v>0.6727642276</v>
      </c>
      <c r="G96" s="8">
        <f>IFERROR(__xludf.DUMMYFUNCTION("""COMPUTED_VALUE"""),0.576923076923076)</f>
        <v>0.5769230769</v>
      </c>
      <c r="H96" s="8">
        <f>IFERROR(__xludf.DUMMYFUNCTION("""COMPUTED_VALUE"""),0.542424242424242)</f>
        <v>0.5424242424</v>
      </c>
      <c r="I96" s="8">
        <f>IFERROR(__xludf.DUMMYFUNCTION("""COMPUTED_VALUE"""),0.533980582524271)</f>
        <v>0.5339805825</v>
      </c>
      <c r="J96" s="8">
        <f>IFERROR(__xludf.DUMMYFUNCTION("""COMPUTED_VALUE"""),0.516129032258064)</f>
        <v>0.5161290323</v>
      </c>
      <c r="K96" s="8">
        <f>IFERROR(__xludf.DUMMYFUNCTION("""COMPUTED_VALUE"""),0.516129032258064)</f>
        <v>0.5161290323</v>
      </c>
      <c r="L96" s="8">
        <f>IFERROR(__xludf.DUMMYFUNCTION("""COMPUTED_VALUE"""),0.516129032258064)</f>
        <v>0.5161290323</v>
      </c>
      <c r="M96" s="8">
        <f>IFERROR(__xludf.DUMMYFUNCTION("""COMPUTED_VALUE"""),0.466666666666666)</f>
        <v>0.4666666667</v>
      </c>
      <c r="N96" s="8">
        <f>IFERROR(__xludf.DUMMYFUNCTION("""COMPUTED_VALUE"""),0.5)</f>
        <v>0.5</v>
      </c>
      <c r="O96" s="8">
        <f>IFERROR(__xludf.DUMMYFUNCTION("""COMPUTED_VALUE"""),0.444444444444444)</f>
        <v>0.4444444444</v>
      </c>
      <c r="P96" s="8">
        <f>IFERROR(__xludf.DUMMYFUNCTION("""COMPUTED_VALUE"""),0.346153846153846)</f>
        <v>0.3461538462</v>
      </c>
      <c r="Q96" s="8">
        <f>IFERROR(__xludf.DUMMYFUNCTION("""COMPUTED_VALUE"""),0.0)</f>
        <v>0</v>
      </c>
      <c r="R96" s="8">
        <f>IFERROR(__xludf.DUMMYFUNCTION("""COMPUTED_VALUE"""),0.0)</f>
        <v>0</v>
      </c>
      <c r="S96" s="8">
        <f>IFERROR(__xludf.DUMMYFUNCTION("""COMPUTED_VALUE"""),0.0)</f>
        <v>0</v>
      </c>
      <c r="T96" s="8">
        <f>IFERROR(__xludf.DUMMYFUNCTION("""COMPUTED_VALUE"""),0.0)</f>
        <v>0</v>
      </c>
      <c r="U96" s="8">
        <f>IFERROR(__xludf.DUMMYFUNCTION("""COMPUTED_VALUE"""),0.0)</f>
        <v>0</v>
      </c>
      <c r="V96" s="8">
        <f>IFERROR(__xludf.DUMMYFUNCTION("""COMPUTED_VALUE"""),0.0)</f>
        <v>0</v>
      </c>
      <c r="W96" s="8">
        <f>IFERROR(__xludf.DUMMYFUNCTION("""COMPUTED_VALUE"""),0.0)</f>
        <v>0</v>
      </c>
      <c r="X96" s="8">
        <f>IFERROR(__xludf.DUMMYFUNCTION("""COMPUTED_VALUE"""),0.0)</f>
        <v>0</v>
      </c>
      <c r="Y96" s="8">
        <f>IFERROR(__xludf.DUMMYFUNCTION("""COMPUTED_VALUE"""),0.0)</f>
        <v>0</v>
      </c>
      <c r="Z96" s="8">
        <f>IFERROR(__xludf.DUMMYFUNCTION("""COMPUTED_VALUE"""),0.0)</f>
        <v>0</v>
      </c>
      <c r="AA96" s="8">
        <f>IFERROR(__xludf.DUMMYFUNCTION("""COMPUTED_VALUE"""),0.0)</f>
        <v>0</v>
      </c>
      <c r="AB96" s="8">
        <f>IFERROR(__xludf.DUMMYFUNCTION("""COMPUTED_VALUE"""),0.0)</f>
        <v>0</v>
      </c>
      <c r="AC96" s="8">
        <f>IFERROR(__xludf.DUMMYFUNCTION("""COMPUTED_VALUE"""),0.0)</f>
        <v>0</v>
      </c>
    </row>
    <row r="97" ht="15.75" customHeight="1">
      <c r="A97" s="6" t="str">
        <f>IFERROR(__xludf.DUMMYFUNCTION("""COMPUTED_VALUE"""),"4fed71af64877bcaf79252f171bf022a3b80e926")</f>
        <v>4fed71af64877bcaf79252f171bf022a3b80e926</v>
      </c>
      <c r="B97" s="6" t="str">
        <f>IFERROR(__xludf.DUMMYFUNCTION("""COMPUTED_VALUE"""),"Doomsday Hoarder")</f>
        <v>Doomsday Hoarder</v>
      </c>
      <c r="C97" s="6" t="str">
        <f>IFERROR(__xludf.DUMMYFUNCTION("""COMPUTED_VALUE"""),"Fantasy")</f>
        <v>Fantasy</v>
      </c>
      <c r="D97" s="11">
        <f>IFERROR(__xludf.DUMMYFUNCTION("""COMPUTED_VALUE"""),34.0)</f>
        <v>34</v>
      </c>
      <c r="E97" s="8">
        <f>IFERROR(__xludf.DUMMYFUNCTION("""COMPUTED_VALUE"""),0.911764705882352)</f>
        <v>0.9117647059</v>
      </c>
      <c r="F97" s="8">
        <f>IFERROR(__xludf.DUMMYFUNCTION("""COMPUTED_VALUE"""),0.647058823529411)</f>
        <v>0.6470588235</v>
      </c>
      <c r="G97" s="8">
        <f>IFERROR(__xludf.DUMMYFUNCTION("""COMPUTED_VALUE"""),0.617647058823529)</f>
        <v>0.6176470588</v>
      </c>
      <c r="H97" s="8">
        <f>IFERROR(__xludf.DUMMYFUNCTION("""COMPUTED_VALUE"""),0.617647058823529)</f>
        <v>0.6176470588</v>
      </c>
      <c r="I97" s="8">
        <f>IFERROR(__xludf.DUMMYFUNCTION("""COMPUTED_VALUE"""),0.617647058823529)</f>
        <v>0.6176470588</v>
      </c>
      <c r="J97" s="8">
        <f>IFERROR(__xludf.DUMMYFUNCTION("""COMPUTED_VALUE"""),0.588235294117647)</f>
        <v>0.5882352941</v>
      </c>
      <c r="K97" s="8">
        <f>IFERROR(__xludf.DUMMYFUNCTION("""COMPUTED_VALUE"""),0.588235294117647)</f>
        <v>0.5882352941</v>
      </c>
      <c r="L97" s="8">
        <f>IFERROR(__xludf.DUMMYFUNCTION("""COMPUTED_VALUE"""),0.558823529411764)</f>
        <v>0.5588235294</v>
      </c>
      <c r="M97" s="8">
        <f>IFERROR(__xludf.DUMMYFUNCTION("""COMPUTED_VALUE"""),0.529411764705882)</f>
        <v>0.5294117647</v>
      </c>
      <c r="N97" s="8">
        <f>IFERROR(__xludf.DUMMYFUNCTION("""COMPUTED_VALUE"""),0.5)</f>
        <v>0.5</v>
      </c>
      <c r="O97" s="8">
        <f>IFERROR(__xludf.DUMMYFUNCTION("""COMPUTED_VALUE"""),0.352941176470588)</f>
        <v>0.3529411765</v>
      </c>
      <c r="P97" s="8">
        <f>IFERROR(__xludf.DUMMYFUNCTION("""COMPUTED_VALUE"""),0.303030303030303)</f>
        <v>0.303030303</v>
      </c>
      <c r="Q97" s="8">
        <f>IFERROR(__xludf.DUMMYFUNCTION("""COMPUTED_VALUE"""),0.25)</f>
        <v>0.25</v>
      </c>
      <c r="R97" s="8">
        <f>IFERROR(__xludf.DUMMYFUNCTION("""COMPUTED_VALUE"""),0.0)</f>
        <v>0</v>
      </c>
      <c r="S97" s="8">
        <f>IFERROR(__xludf.DUMMYFUNCTION("""COMPUTED_VALUE"""),0.0)</f>
        <v>0</v>
      </c>
      <c r="T97" s="8">
        <f>IFERROR(__xludf.DUMMYFUNCTION("""COMPUTED_VALUE"""),0.0)</f>
        <v>0</v>
      </c>
      <c r="U97" s="8">
        <f>IFERROR(__xludf.DUMMYFUNCTION("""COMPUTED_VALUE"""),0.0)</f>
        <v>0</v>
      </c>
      <c r="V97" s="8">
        <f>IFERROR(__xludf.DUMMYFUNCTION("""COMPUTED_VALUE"""),0.0)</f>
        <v>0</v>
      </c>
      <c r="W97" s="8">
        <f>IFERROR(__xludf.DUMMYFUNCTION("""COMPUTED_VALUE"""),0.0)</f>
        <v>0</v>
      </c>
      <c r="X97" s="8">
        <f>IFERROR(__xludf.DUMMYFUNCTION("""COMPUTED_VALUE"""),0.0)</f>
        <v>0</v>
      </c>
      <c r="Y97" s="8">
        <f>IFERROR(__xludf.DUMMYFUNCTION("""COMPUTED_VALUE"""),0.0)</f>
        <v>0</v>
      </c>
      <c r="Z97" s="8">
        <f>IFERROR(__xludf.DUMMYFUNCTION("""COMPUTED_VALUE"""),0.0)</f>
        <v>0</v>
      </c>
      <c r="AA97" s="8">
        <f>IFERROR(__xludf.DUMMYFUNCTION("""COMPUTED_VALUE"""),0.0)</f>
        <v>0</v>
      </c>
      <c r="AB97" s="8">
        <f>IFERROR(__xludf.DUMMYFUNCTION("""COMPUTED_VALUE"""),0.0)</f>
        <v>0</v>
      </c>
      <c r="AC97" s="8">
        <f>IFERROR(__xludf.DUMMYFUNCTION("""COMPUTED_VALUE"""),0.0)</f>
        <v>0</v>
      </c>
    </row>
    <row r="98" ht="15.75" customHeight="1">
      <c r="A98" s="6" t="str">
        <f>IFERROR(__xludf.DUMMYFUNCTION("""COMPUTED_VALUE"""),"514efd834428337923e640a1254ea9d7477b18b3")</f>
        <v>514efd834428337923e640a1254ea9d7477b18b3</v>
      </c>
      <c r="B98" s="6" t="str">
        <f>IFERROR(__xludf.DUMMYFUNCTION("""COMPUTED_VALUE"""),"Bride of a Dragon")</f>
        <v>Bride of a Dragon</v>
      </c>
      <c r="C98" s="6" t="str">
        <f>IFERROR(__xludf.DUMMYFUNCTION("""COMPUTED_VALUE"""),"Romantasy")</f>
        <v>Romantasy</v>
      </c>
      <c r="D98" s="11">
        <f>IFERROR(__xludf.DUMMYFUNCTION("""COMPUTED_VALUE"""),3598.0)</f>
        <v>3598</v>
      </c>
      <c r="E98" s="8">
        <f>IFERROR(__xludf.DUMMYFUNCTION("""COMPUTED_VALUE"""),0.951877607788595)</f>
        <v>0.9518776078</v>
      </c>
      <c r="F98" s="8">
        <f>IFERROR(__xludf.DUMMYFUNCTION("""COMPUTED_VALUE"""),0.683813251327928)</f>
        <v>0.6838132513</v>
      </c>
      <c r="G98" s="8">
        <f>IFERROR(__xludf.DUMMYFUNCTION("""COMPUTED_VALUE"""),0.644854586129753)</f>
        <v>0.6448545861</v>
      </c>
      <c r="H98" s="8">
        <f>IFERROR(__xludf.DUMMYFUNCTION("""COMPUTED_VALUE"""),0.604038137969714)</f>
        <v>0.604038138</v>
      </c>
      <c r="I98" s="8">
        <f>IFERROR(__xludf.DUMMYFUNCTION("""COMPUTED_VALUE"""),0.587408656548622)</f>
        <v>0.5874086565</v>
      </c>
      <c r="J98" s="8">
        <f>IFERROR(__xludf.DUMMYFUNCTION("""COMPUTED_VALUE"""),0.560349689791314)</f>
        <v>0.5603496898</v>
      </c>
      <c r="K98" s="8">
        <f>IFERROR(__xludf.DUMMYFUNCTION("""COMPUTED_VALUE"""),0.551539113244846)</f>
        <v>0.5515391132</v>
      </c>
      <c r="L98" s="8">
        <f>IFERROR(__xludf.DUMMYFUNCTION("""COMPUTED_VALUE"""),0.535299121066061)</f>
        <v>0.5352991211</v>
      </c>
      <c r="M98" s="8">
        <f>IFERROR(__xludf.DUMMYFUNCTION("""COMPUTED_VALUE"""),0.523714853734734)</f>
        <v>0.5237148537</v>
      </c>
      <c r="N98" s="8">
        <f>IFERROR(__xludf.DUMMYFUNCTION("""COMPUTED_VALUE"""),0.513120365088419)</f>
        <v>0.5131203651</v>
      </c>
      <c r="O98" s="8">
        <f>IFERROR(__xludf.DUMMYFUNCTION("""COMPUTED_VALUE"""),0.469096209912536)</f>
        <v>0.4690962099</v>
      </c>
      <c r="P98" s="8">
        <f>IFERROR(__xludf.DUMMYFUNCTION("""COMPUTED_VALUE"""),0.435613982671048)</f>
        <v>0.4356139827</v>
      </c>
      <c r="Q98" s="8">
        <f>IFERROR(__xludf.DUMMYFUNCTION("""COMPUTED_VALUE"""),0.394756554307116)</f>
        <v>0.3947565543</v>
      </c>
      <c r="R98" s="8">
        <f>IFERROR(__xludf.DUMMYFUNCTION("""COMPUTED_VALUE"""),0.370801919122686)</f>
        <v>0.3708019191</v>
      </c>
      <c r="S98" s="8">
        <f>IFERROR(__xludf.DUMMYFUNCTION("""COMPUTED_VALUE"""),0.317587209302325)</f>
        <v>0.3175872093</v>
      </c>
      <c r="T98" s="8">
        <f>IFERROR(__xludf.DUMMYFUNCTION("""COMPUTED_VALUE"""),0.137055837563451)</f>
        <v>0.1370558376</v>
      </c>
      <c r="U98" s="8">
        <f>IFERROR(__xludf.DUMMYFUNCTION("""COMPUTED_VALUE"""),0.0769230769230769)</f>
        <v>0.07692307692</v>
      </c>
      <c r="V98" s="8">
        <f>IFERROR(__xludf.DUMMYFUNCTION("""COMPUTED_VALUE"""),0.0)</f>
        <v>0</v>
      </c>
      <c r="W98" s="8">
        <f>IFERROR(__xludf.DUMMYFUNCTION("""COMPUTED_VALUE"""),0.0)</f>
        <v>0</v>
      </c>
      <c r="X98" s="8">
        <f>IFERROR(__xludf.DUMMYFUNCTION("""COMPUTED_VALUE"""),0.0)</f>
        <v>0</v>
      </c>
      <c r="Y98" s="8">
        <f>IFERROR(__xludf.DUMMYFUNCTION("""COMPUTED_VALUE"""),0.0)</f>
        <v>0</v>
      </c>
      <c r="Z98" s="8">
        <f>IFERROR(__xludf.DUMMYFUNCTION("""COMPUTED_VALUE"""),0.0)</f>
        <v>0</v>
      </c>
      <c r="AA98" s="8">
        <f>IFERROR(__xludf.DUMMYFUNCTION("""COMPUTED_VALUE"""),0.0)</f>
        <v>0</v>
      </c>
      <c r="AB98" s="8">
        <f>IFERROR(__xludf.DUMMYFUNCTION("""COMPUTED_VALUE"""),0.0)</f>
        <v>0</v>
      </c>
      <c r="AC98" s="8">
        <f>IFERROR(__xludf.DUMMYFUNCTION("""COMPUTED_VALUE"""),0.0)</f>
        <v>0</v>
      </c>
    </row>
    <row r="99" ht="15.75" customHeight="1">
      <c r="A99" s="6" t="str">
        <f>IFERROR(__xludf.DUMMYFUNCTION("""COMPUTED_VALUE"""),"5269f35d5665dd7c25aa81eac9fa9e452b693897")</f>
        <v>5269f35d5665dd7c25aa81eac9fa9e452b693897</v>
      </c>
      <c r="B99" s="6" t="str">
        <f>IFERROR(__xludf.DUMMYFUNCTION("""COMPUTED_VALUE"""),"Her Royal Vampire")</f>
        <v>Her Royal Vampire</v>
      </c>
      <c r="C99" s="6" t="str">
        <f>IFERROR(__xludf.DUMMYFUNCTION("""COMPUTED_VALUE"""),"Romantasy")</f>
        <v>Romantasy</v>
      </c>
      <c r="D99" s="11">
        <f>IFERROR(__xludf.DUMMYFUNCTION("""COMPUTED_VALUE"""),1071.0)</f>
        <v>1071</v>
      </c>
      <c r="E99" s="8">
        <f>IFERROR(__xludf.DUMMYFUNCTION("""COMPUTED_VALUE"""),0.964519140989729)</f>
        <v>0.964519141</v>
      </c>
      <c r="F99" s="8">
        <f>IFERROR(__xludf.DUMMYFUNCTION("""COMPUTED_VALUE"""),0.63423760523854)</f>
        <v>0.6342376052</v>
      </c>
      <c r="G99" s="8">
        <f>IFERROR(__xludf.DUMMYFUNCTION("""COMPUTED_VALUE"""),0.565014031805425)</f>
        <v>0.5650140318</v>
      </c>
      <c r="H99" s="8">
        <f>IFERROR(__xludf.DUMMYFUNCTION("""COMPUTED_VALUE"""),0.520599250936329)</f>
        <v>0.5205992509</v>
      </c>
      <c r="I99" s="8">
        <f>IFERROR(__xludf.DUMMYFUNCTION("""COMPUTED_VALUE"""),0.484477892756349)</f>
        <v>0.4844778928</v>
      </c>
      <c r="J99" s="8">
        <f>IFERROR(__xludf.DUMMYFUNCTION("""COMPUTED_VALUE"""),0.465160075329566)</f>
        <v>0.4651600753</v>
      </c>
      <c r="K99" s="8">
        <f>IFERROR(__xludf.DUMMYFUNCTION("""COMPUTED_VALUE"""),0.455230914231856)</f>
        <v>0.4552309142</v>
      </c>
      <c r="L99" s="8">
        <f>IFERROR(__xludf.DUMMYFUNCTION("""COMPUTED_VALUE"""),0.444759206798866)</f>
        <v>0.4447592068</v>
      </c>
      <c r="M99" s="8">
        <f>IFERROR(__xludf.DUMMYFUNCTION("""COMPUTED_VALUE"""),0.434123222748815)</f>
        <v>0.4341232227</v>
      </c>
      <c r="N99" s="8">
        <f>IFERROR(__xludf.DUMMYFUNCTION("""COMPUTED_VALUE"""),0.413105413105413)</f>
        <v>0.4131054131</v>
      </c>
      <c r="O99" s="8">
        <f>IFERROR(__xludf.DUMMYFUNCTION("""COMPUTED_VALUE"""),0.361111111111111)</f>
        <v>0.3611111111</v>
      </c>
      <c r="P99" s="8">
        <f>IFERROR(__xludf.DUMMYFUNCTION("""COMPUTED_VALUE"""),0.280979827089337)</f>
        <v>0.2809798271</v>
      </c>
      <c r="Q99" s="8">
        <f>IFERROR(__xludf.DUMMYFUNCTION("""COMPUTED_VALUE"""),0.192041522491349)</f>
        <v>0.1920415225</v>
      </c>
      <c r="R99" s="8">
        <f>IFERROR(__xludf.DUMMYFUNCTION("""COMPUTED_VALUE"""),0.11049723756906)</f>
        <v>0.1104972376</v>
      </c>
      <c r="S99" s="8">
        <f>IFERROR(__xludf.DUMMYFUNCTION("""COMPUTED_VALUE"""),0.109090909090909)</f>
        <v>0.1090909091</v>
      </c>
      <c r="T99" s="8">
        <f>IFERROR(__xludf.DUMMYFUNCTION("""COMPUTED_VALUE"""),0.0465116279069767)</f>
        <v>0.04651162791</v>
      </c>
      <c r="U99" s="8">
        <f>IFERROR(__xludf.DUMMYFUNCTION("""COMPUTED_VALUE"""),0.0)</f>
        <v>0</v>
      </c>
      <c r="V99" s="8">
        <f>IFERROR(__xludf.DUMMYFUNCTION("""COMPUTED_VALUE"""),0.0)</f>
        <v>0</v>
      </c>
      <c r="W99" s="8">
        <f>IFERROR(__xludf.DUMMYFUNCTION("""COMPUTED_VALUE"""),0.0)</f>
        <v>0</v>
      </c>
      <c r="X99" s="8">
        <f>IFERROR(__xludf.DUMMYFUNCTION("""COMPUTED_VALUE"""),0.0)</f>
        <v>0</v>
      </c>
      <c r="Y99" s="8">
        <f>IFERROR(__xludf.DUMMYFUNCTION("""COMPUTED_VALUE"""),0.0)</f>
        <v>0</v>
      </c>
      <c r="Z99" s="8">
        <f>IFERROR(__xludf.DUMMYFUNCTION("""COMPUTED_VALUE"""),0.0)</f>
        <v>0</v>
      </c>
      <c r="AA99" s="8">
        <f>IFERROR(__xludf.DUMMYFUNCTION("""COMPUTED_VALUE"""),0.0)</f>
        <v>0</v>
      </c>
      <c r="AB99" s="8">
        <f>IFERROR(__xludf.DUMMYFUNCTION("""COMPUTED_VALUE"""),0.0)</f>
        <v>0</v>
      </c>
      <c r="AC99" s="8">
        <f>IFERROR(__xludf.DUMMYFUNCTION("""COMPUTED_VALUE"""),0.0)</f>
        <v>0</v>
      </c>
    </row>
    <row r="100" ht="15.75" customHeight="1">
      <c r="A100" s="6" t="str">
        <f>IFERROR(__xludf.DUMMYFUNCTION("""COMPUTED_VALUE"""),"5276da779c8fe48836102d34eea2143d4421865c")</f>
        <v>5276da779c8fe48836102d34eea2143d4421865c</v>
      </c>
      <c r="B100" s="6" t="str">
        <f>IFERROR(__xludf.DUMMYFUNCTION("""COMPUTED_VALUE"""),"The Single Father's Surrender")</f>
        <v>The Single Father's Surrender</v>
      </c>
      <c r="C100" s="6" t="str">
        <f>IFERROR(__xludf.DUMMYFUNCTION("""COMPUTED_VALUE"""),"Romance")</f>
        <v>Romance</v>
      </c>
      <c r="D100" s="11">
        <f>IFERROR(__xludf.DUMMYFUNCTION("""COMPUTED_VALUE"""),392.0)</f>
        <v>392</v>
      </c>
      <c r="E100" s="8">
        <f>IFERROR(__xludf.DUMMYFUNCTION("""COMPUTED_VALUE"""),0.974293059125964)</f>
        <v>0.9742930591</v>
      </c>
      <c r="F100" s="8">
        <f>IFERROR(__xludf.DUMMYFUNCTION("""COMPUTED_VALUE"""),0.6266318537859)</f>
        <v>0.6266318538</v>
      </c>
      <c r="G100" s="8">
        <f>IFERROR(__xludf.DUMMYFUNCTION("""COMPUTED_VALUE"""),0.547368421052631)</f>
        <v>0.5473684211</v>
      </c>
      <c r="H100" s="8">
        <f>IFERROR(__xludf.DUMMYFUNCTION("""COMPUTED_VALUE"""),0.494652406417112)</f>
        <v>0.4946524064</v>
      </c>
      <c r="I100" s="8">
        <f>IFERROR(__xludf.DUMMYFUNCTION("""COMPUTED_VALUE"""),0.473972602739726)</f>
        <v>0.4739726027</v>
      </c>
      <c r="J100" s="8">
        <f>IFERROR(__xludf.DUMMYFUNCTION("""COMPUTED_VALUE"""),0.455307262569832)</f>
        <v>0.4553072626</v>
      </c>
      <c r="K100" s="8">
        <f>IFERROR(__xludf.DUMMYFUNCTION("""COMPUTED_VALUE"""),0.418539325842696)</f>
        <v>0.4185393258</v>
      </c>
      <c r="L100" s="8">
        <f>IFERROR(__xludf.DUMMYFUNCTION("""COMPUTED_VALUE"""),0.416666666666666)</f>
        <v>0.4166666667</v>
      </c>
      <c r="M100" s="8">
        <f>IFERROR(__xludf.DUMMYFUNCTION("""COMPUTED_VALUE"""),0.386227544910179)</f>
        <v>0.3862275449</v>
      </c>
      <c r="N100" s="8">
        <f>IFERROR(__xludf.DUMMYFUNCTION("""COMPUTED_VALUE"""),0.384353741496598)</f>
        <v>0.3843537415</v>
      </c>
      <c r="O100" s="8">
        <f>IFERROR(__xludf.DUMMYFUNCTION("""COMPUTED_VALUE"""),0.466666666666666)</f>
        <v>0.4666666667</v>
      </c>
      <c r="P100" s="8">
        <f>IFERROR(__xludf.DUMMYFUNCTION("""COMPUTED_VALUE"""),0.307692307692307)</f>
        <v>0.3076923077</v>
      </c>
      <c r="Q100" s="8">
        <f>IFERROR(__xludf.DUMMYFUNCTION("""COMPUTED_VALUE"""),0.125)</f>
        <v>0.125</v>
      </c>
      <c r="R100" s="8">
        <f>IFERROR(__xludf.DUMMYFUNCTION("""COMPUTED_VALUE"""),0.0)</f>
        <v>0</v>
      </c>
      <c r="S100" s="8">
        <f>IFERROR(__xludf.DUMMYFUNCTION("""COMPUTED_VALUE"""),0.0)</f>
        <v>0</v>
      </c>
      <c r="T100" s="8">
        <f>IFERROR(__xludf.DUMMYFUNCTION("""COMPUTED_VALUE"""),0.0)</f>
        <v>0</v>
      </c>
      <c r="U100" s="8">
        <f>IFERROR(__xludf.DUMMYFUNCTION("""COMPUTED_VALUE"""),0.0)</f>
        <v>0</v>
      </c>
      <c r="V100" s="8">
        <f>IFERROR(__xludf.DUMMYFUNCTION("""COMPUTED_VALUE"""),0.0)</f>
        <v>0</v>
      </c>
      <c r="W100" s="8">
        <f>IFERROR(__xludf.DUMMYFUNCTION("""COMPUTED_VALUE"""),0.0)</f>
        <v>0</v>
      </c>
      <c r="X100" s="8">
        <f>IFERROR(__xludf.DUMMYFUNCTION("""COMPUTED_VALUE"""),0.0)</f>
        <v>0</v>
      </c>
      <c r="Y100" s="8">
        <f>IFERROR(__xludf.DUMMYFUNCTION("""COMPUTED_VALUE"""),0.0)</f>
        <v>0</v>
      </c>
      <c r="Z100" s="8">
        <f>IFERROR(__xludf.DUMMYFUNCTION("""COMPUTED_VALUE"""),0.0)</f>
        <v>0</v>
      </c>
      <c r="AA100" s="8">
        <f>IFERROR(__xludf.DUMMYFUNCTION("""COMPUTED_VALUE"""),0.0)</f>
        <v>0</v>
      </c>
      <c r="AB100" s="8">
        <f>IFERROR(__xludf.DUMMYFUNCTION("""COMPUTED_VALUE"""),0.0)</f>
        <v>0</v>
      </c>
      <c r="AC100" s="8">
        <f>IFERROR(__xludf.DUMMYFUNCTION("""COMPUTED_VALUE"""),0.0)</f>
        <v>0</v>
      </c>
    </row>
    <row r="101" ht="15.75" customHeight="1">
      <c r="A101" s="6" t="str">
        <f>IFERROR(__xludf.DUMMYFUNCTION("""COMPUTED_VALUE"""),"53bd90147df4228136243c0a218345e3a338b8c1")</f>
        <v>53bd90147df4228136243c0a218345e3a338b8c1</v>
      </c>
      <c r="B101" s="6" t="str">
        <f>IFERROR(__xludf.DUMMYFUNCTION("""COMPUTED_VALUE"""),"His Abandoned Wife")</f>
        <v>His Abandoned Wife</v>
      </c>
      <c r="C101" s="6" t="str">
        <f>IFERROR(__xludf.DUMMYFUNCTION("""COMPUTED_VALUE"""),"Romance")</f>
        <v>Romance</v>
      </c>
      <c r="D101" s="11">
        <f>IFERROR(__xludf.DUMMYFUNCTION("""COMPUTED_VALUE"""),35.0)</f>
        <v>35</v>
      </c>
      <c r="E101" s="8">
        <f>IFERROR(__xludf.DUMMYFUNCTION("""COMPUTED_VALUE"""),1.0)</f>
        <v>1</v>
      </c>
      <c r="F101" s="8">
        <f>IFERROR(__xludf.DUMMYFUNCTION("""COMPUTED_VALUE"""),0.538461538461538)</f>
        <v>0.5384615385</v>
      </c>
      <c r="G101" s="8">
        <f>IFERROR(__xludf.DUMMYFUNCTION("""COMPUTED_VALUE"""),0.478260869565217)</f>
        <v>0.4782608696</v>
      </c>
      <c r="H101" s="8">
        <f>IFERROR(__xludf.DUMMYFUNCTION("""COMPUTED_VALUE"""),0.352941176470588)</f>
        <v>0.3529411765</v>
      </c>
      <c r="I101" s="8">
        <f>IFERROR(__xludf.DUMMYFUNCTION("""COMPUTED_VALUE"""),0.333333333333333)</f>
        <v>0.3333333333</v>
      </c>
      <c r="J101" s="8">
        <f>IFERROR(__xludf.DUMMYFUNCTION("""COMPUTED_VALUE"""),0.555555555555555)</f>
        <v>0.5555555556</v>
      </c>
      <c r="K101" s="8">
        <f>IFERROR(__xludf.DUMMYFUNCTION("""COMPUTED_VALUE"""),0.375)</f>
        <v>0.375</v>
      </c>
      <c r="L101" s="8">
        <f>IFERROR(__xludf.DUMMYFUNCTION("""COMPUTED_VALUE"""),0.375)</f>
        <v>0.375</v>
      </c>
      <c r="M101" s="8">
        <f>IFERROR(__xludf.DUMMYFUNCTION("""COMPUTED_VALUE"""),0.375)</f>
        <v>0.375</v>
      </c>
      <c r="N101" s="8">
        <f>IFERROR(__xludf.DUMMYFUNCTION("""COMPUTED_VALUE"""),0.25)</f>
        <v>0.25</v>
      </c>
      <c r="O101" s="8">
        <f>IFERROR(__xludf.DUMMYFUNCTION("""COMPUTED_VALUE"""),0.142857142857142)</f>
        <v>0.1428571429</v>
      </c>
      <c r="P101" s="8">
        <f>IFERROR(__xludf.DUMMYFUNCTION("""COMPUTED_VALUE"""),0.166666666666666)</f>
        <v>0.1666666667</v>
      </c>
      <c r="Q101" s="8">
        <f>IFERROR(__xludf.DUMMYFUNCTION("""COMPUTED_VALUE"""),0.0)</f>
        <v>0</v>
      </c>
      <c r="R101" s="8">
        <f>IFERROR(__xludf.DUMMYFUNCTION("""COMPUTED_VALUE"""),0.0)</f>
        <v>0</v>
      </c>
      <c r="S101" s="8">
        <f>IFERROR(__xludf.DUMMYFUNCTION("""COMPUTED_VALUE"""),0.0)</f>
        <v>0</v>
      </c>
      <c r="T101" s="8">
        <f>IFERROR(__xludf.DUMMYFUNCTION("""COMPUTED_VALUE"""),0.0)</f>
        <v>0</v>
      </c>
      <c r="U101" s="8">
        <f>IFERROR(__xludf.DUMMYFUNCTION("""COMPUTED_VALUE"""),0.0)</f>
        <v>0</v>
      </c>
      <c r="V101" s="8">
        <f>IFERROR(__xludf.DUMMYFUNCTION("""COMPUTED_VALUE"""),0.0)</f>
        <v>0</v>
      </c>
      <c r="W101" s="8">
        <f>IFERROR(__xludf.DUMMYFUNCTION("""COMPUTED_VALUE"""),0.0)</f>
        <v>0</v>
      </c>
      <c r="X101" s="8">
        <f>IFERROR(__xludf.DUMMYFUNCTION("""COMPUTED_VALUE"""),0.0)</f>
        <v>0</v>
      </c>
      <c r="Y101" s="8">
        <f>IFERROR(__xludf.DUMMYFUNCTION("""COMPUTED_VALUE"""),0.0)</f>
        <v>0</v>
      </c>
      <c r="Z101" s="8">
        <f>IFERROR(__xludf.DUMMYFUNCTION("""COMPUTED_VALUE"""),0.0)</f>
        <v>0</v>
      </c>
      <c r="AA101" s="8">
        <f>IFERROR(__xludf.DUMMYFUNCTION("""COMPUTED_VALUE"""),0.0)</f>
        <v>0</v>
      </c>
      <c r="AB101" s="8">
        <f>IFERROR(__xludf.DUMMYFUNCTION("""COMPUTED_VALUE"""),0.0)</f>
        <v>0</v>
      </c>
      <c r="AC101" s="8">
        <f>IFERROR(__xludf.DUMMYFUNCTION("""COMPUTED_VALUE"""),0.0)</f>
        <v>0</v>
      </c>
    </row>
    <row r="102" ht="15.75" customHeight="1">
      <c r="A102" s="6" t="str">
        <f>IFERROR(__xludf.DUMMYFUNCTION("""COMPUTED_VALUE"""),"54a2cb963cd2e93491b9f03d9cf379ed72d3271f")</f>
        <v>54a2cb963cd2e93491b9f03d9cf379ed72d3271f</v>
      </c>
      <c r="B102" s="6" t="str">
        <f>IFERROR(__xludf.DUMMYFUNCTION("""COMPUTED_VALUE"""),"The One He Can't Break")</f>
        <v>The One He Can't Break</v>
      </c>
      <c r="C102" s="6" t="str">
        <f>IFERROR(__xludf.DUMMYFUNCTION("""COMPUTED_VALUE"""),"Romance")</f>
        <v>Romance</v>
      </c>
      <c r="D102" s="11">
        <f>IFERROR(__xludf.DUMMYFUNCTION("""COMPUTED_VALUE"""),632.0)</f>
        <v>632</v>
      </c>
      <c r="E102" s="8">
        <f>IFERROR(__xludf.DUMMYFUNCTION("""COMPUTED_VALUE"""),0.981012658227848)</f>
        <v>0.9810126582</v>
      </c>
      <c r="F102" s="8">
        <f>IFERROR(__xludf.DUMMYFUNCTION("""COMPUTED_VALUE"""),0.592709984152139)</f>
        <v>0.5927099842</v>
      </c>
      <c r="G102" s="8">
        <f>IFERROR(__xludf.DUMMYFUNCTION("""COMPUTED_VALUE"""),0.521394611727416)</f>
        <v>0.5213946117</v>
      </c>
      <c r="H102" s="8">
        <f>IFERROR(__xludf.DUMMYFUNCTION("""COMPUTED_VALUE"""),0.4384)</f>
        <v>0.4384</v>
      </c>
      <c r="I102" s="8">
        <f>IFERROR(__xludf.DUMMYFUNCTION("""COMPUTED_VALUE"""),0.4192)</f>
        <v>0.4192</v>
      </c>
      <c r="J102" s="8">
        <f>IFERROR(__xludf.DUMMYFUNCTION("""COMPUTED_VALUE"""),0.381642512077294)</f>
        <v>0.3816425121</v>
      </c>
      <c r="K102" s="8">
        <f>IFERROR(__xludf.DUMMYFUNCTION("""COMPUTED_VALUE"""),0.363489499192245)</f>
        <v>0.3634894992</v>
      </c>
      <c r="L102" s="8">
        <f>IFERROR(__xludf.DUMMYFUNCTION("""COMPUTED_VALUE"""),0.31719532554257)</f>
        <v>0.3171953255</v>
      </c>
      <c r="M102" s="8">
        <f>IFERROR(__xludf.DUMMYFUNCTION("""COMPUTED_VALUE"""),0.313405797101449)</f>
        <v>0.3134057971</v>
      </c>
      <c r="N102" s="8">
        <f>IFERROR(__xludf.DUMMYFUNCTION("""COMPUTED_VALUE"""),0.291754756871035)</f>
        <v>0.2917547569</v>
      </c>
      <c r="O102" s="8">
        <f>IFERROR(__xludf.DUMMYFUNCTION("""COMPUTED_VALUE"""),0.287128712871287)</f>
        <v>0.2871287129</v>
      </c>
      <c r="P102" s="8">
        <f>IFERROR(__xludf.DUMMYFUNCTION("""COMPUTED_VALUE"""),0.165775401069518)</f>
        <v>0.1657754011</v>
      </c>
      <c r="Q102" s="8">
        <f>IFERROR(__xludf.DUMMYFUNCTION("""COMPUTED_VALUE"""),0.102409638554216)</f>
        <v>0.1024096386</v>
      </c>
      <c r="R102" s="8">
        <f>IFERROR(__xludf.DUMMYFUNCTION("""COMPUTED_VALUE"""),0.103448275862068)</f>
        <v>0.1034482759</v>
      </c>
      <c r="S102" s="8">
        <f>IFERROR(__xludf.DUMMYFUNCTION("""COMPUTED_VALUE"""),0.102564102564102)</f>
        <v>0.1025641026</v>
      </c>
      <c r="T102" s="8">
        <f>IFERROR(__xludf.DUMMYFUNCTION("""COMPUTED_VALUE"""),0.0)</f>
        <v>0</v>
      </c>
      <c r="U102" s="8">
        <f>IFERROR(__xludf.DUMMYFUNCTION("""COMPUTED_VALUE"""),0.0)</f>
        <v>0</v>
      </c>
      <c r="V102" s="8">
        <f>IFERROR(__xludf.DUMMYFUNCTION("""COMPUTED_VALUE"""),0.0)</f>
        <v>0</v>
      </c>
      <c r="W102" s="8">
        <f>IFERROR(__xludf.DUMMYFUNCTION("""COMPUTED_VALUE"""),0.0)</f>
        <v>0</v>
      </c>
      <c r="X102" s="8">
        <f>IFERROR(__xludf.DUMMYFUNCTION("""COMPUTED_VALUE"""),0.0)</f>
        <v>0</v>
      </c>
      <c r="Y102" s="8">
        <f>IFERROR(__xludf.DUMMYFUNCTION("""COMPUTED_VALUE"""),0.0)</f>
        <v>0</v>
      </c>
      <c r="Z102" s="8">
        <f>IFERROR(__xludf.DUMMYFUNCTION("""COMPUTED_VALUE"""),0.0)</f>
        <v>0</v>
      </c>
      <c r="AA102" s="8">
        <f>IFERROR(__xludf.DUMMYFUNCTION("""COMPUTED_VALUE"""),0.0)</f>
        <v>0</v>
      </c>
      <c r="AB102" s="8">
        <f>IFERROR(__xludf.DUMMYFUNCTION("""COMPUTED_VALUE"""),0.0)</f>
        <v>0</v>
      </c>
      <c r="AC102" s="8">
        <f>IFERROR(__xludf.DUMMYFUNCTION("""COMPUTED_VALUE"""),0.0)</f>
        <v>0</v>
      </c>
    </row>
    <row r="103" ht="15.75" customHeight="1">
      <c r="A103" s="6" t="str">
        <f>IFERROR(__xludf.DUMMYFUNCTION("""COMPUTED_VALUE"""),"55254a77c40862bb825ededf69a85438157d664f")</f>
        <v>55254a77c40862bb825ededf69a85438157d664f</v>
      </c>
      <c r="B103" s="6" t="str">
        <f>IFERROR(__xludf.DUMMYFUNCTION("""COMPUTED_VALUE"""),"The Billionaire With Mask")</f>
        <v>The Billionaire With Mask</v>
      </c>
      <c r="C103" s="6" t="str">
        <f>IFERROR(__xludf.DUMMYFUNCTION("""COMPUTED_VALUE"""),"Drama")</f>
        <v>Drama</v>
      </c>
      <c r="D103" s="11">
        <f>IFERROR(__xludf.DUMMYFUNCTION("""COMPUTED_VALUE"""),81.0)</f>
        <v>81</v>
      </c>
      <c r="E103" s="8">
        <f>IFERROR(__xludf.DUMMYFUNCTION("""COMPUTED_VALUE"""),0.973333333333333)</f>
        <v>0.9733333333</v>
      </c>
      <c r="F103" s="8">
        <f>IFERROR(__xludf.DUMMYFUNCTION("""COMPUTED_VALUE"""),0.666666666666666)</f>
        <v>0.6666666667</v>
      </c>
      <c r="G103" s="8">
        <f>IFERROR(__xludf.DUMMYFUNCTION("""COMPUTED_VALUE"""),0.52)</f>
        <v>0.52</v>
      </c>
      <c r="H103" s="8">
        <f>IFERROR(__xludf.DUMMYFUNCTION("""COMPUTED_VALUE"""),0.52)</f>
        <v>0.52</v>
      </c>
      <c r="I103" s="8">
        <f>IFERROR(__xludf.DUMMYFUNCTION("""COMPUTED_VALUE"""),0.493333333333333)</f>
        <v>0.4933333333</v>
      </c>
      <c r="J103" s="8">
        <f>IFERROR(__xludf.DUMMYFUNCTION("""COMPUTED_VALUE"""),0.48)</f>
        <v>0.48</v>
      </c>
      <c r="K103" s="8">
        <f>IFERROR(__xludf.DUMMYFUNCTION("""COMPUTED_VALUE"""),0.466666666666666)</f>
        <v>0.4666666667</v>
      </c>
      <c r="L103" s="8">
        <f>IFERROR(__xludf.DUMMYFUNCTION("""COMPUTED_VALUE"""),0.466666666666666)</f>
        <v>0.4666666667</v>
      </c>
      <c r="M103" s="8">
        <f>IFERROR(__xludf.DUMMYFUNCTION("""COMPUTED_VALUE"""),0.44)</f>
        <v>0.44</v>
      </c>
      <c r="N103" s="8">
        <f>IFERROR(__xludf.DUMMYFUNCTION("""COMPUTED_VALUE"""),0.426666666666666)</f>
        <v>0.4266666667</v>
      </c>
      <c r="O103" s="8">
        <f>IFERROR(__xludf.DUMMYFUNCTION("""COMPUTED_VALUE"""),0.4)</f>
        <v>0.4</v>
      </c>
      <c r="P103" s="8">
        <f>IFERROR(__xludf.DUMMYFUNCTION("""COMPUTED_VALUE"""),0.388059701492537)</f>
        <v>0.3880597015</v>
      </c>
      <c r="Q103" s="8">
        <f>IFERROR(__xludf.DUMMYFUNCTION("""COMPUTED_VALUE"""),0.2)</f>
        <v>0.2</v>
      </c>
      <c r="R103" s="8">
        <f>IFERROR(__xludf.DUMMYFUNCTION("""COMPUTED_VALUE"""),0.15)</f>
        <v>0.15</v>
      </c>
      <c r="S103" s="8">
        <f>IFERROR(__xludf.DUMMYFUNCTION("""COMPUTED_VALUE"""),0.117647058823529)</f>
        <v>0.1176470588</v>
      </c>
      <c r="T103" s="8">
        <f>IFERROR(__xludf.DUMMYFUNCTION("""COMPUTED_VALUE"""),0.0)</f>
        <v>0</v>
      </c>
      <c r="U103" s="8">
        <f>IFERROR(__xludf.DUMMYFUNCTION("""COMPUTED_VALUE"""),0.0)</f>
        <v>0</v>
      </c>
      <c r="V103" s="8">
        <f>IFERROR(__xludf.DUMMYFUNCTION("""COMPUTED_VALUE"""),0.0)</f>
        <v>0</v>
      </c>
      <c r="W103" s="8">
        <f>IFERROR(__xludf.DUMMYFUNCTION("""COMPUTED_VALUE"""),0.0)</f>
        <v>0</v>
      </c>
      <c r="X103" s="8">
        <f>IFERROR(__xludf.DUMMYFUNCTION("""COMPUTED_VALUE"""),0.0)</f>
        <v>0</v>
      </c>
      <c r="Y103" s="8">
        <f>IFERROR(__xludf.DUMMYFUNCTION("""COMPUTED_VALUE"""),0.0)</f>
        <v>0</v>
      </c>
      <c r="Z103" s="8">
        <f>IFERROR(__xludf.DUMMYFUNCTION("""COMPUTED_VALUE"""),0.0)</f>
        <v>0</v>
      </c>
      <c r="AA103" s="8">
        <f>IFERROR(__xludf.DUMMYFUNCTION("""COMPUTED_VALUE"""),0.0)</f>
        <v>0</v>
      </c>
      <c r="AB103" s="8">
        <f>IFERROR(__xludf.DUMMYFUNCTION("""COMPUTED_VALUE"""),0.0)</f>
        <v>0</v>
      </c>
      <c r="AC103" s="8">
        <f>IFERROR(__xludf.DUMMYFUNCTION("""COMPUTED_VALUE"""),0.0)</f>
        <v>0</v>
      </c>
    </row>
    <row r="104" ht="15.75" customHeight="1">
      <c r="A104" s="6" t="str">
        <f>IFERROR(__xludf.DUMMYFUNCTION("""COMPUTED_VALUE"""),"559db21e99cf5bc0720a814784386a0617e020b9")</f>
        <v>559db21e99cf5bc0720a814784386a0617e020b9</v>
      </c>
      <c r="B104" s="6" t="str">
        <f>IFERROR(__xludf.DUMMYFUNCTION("""COMPUTED_VALUE"""),"The Reborn Sovereign")</f>
        <v>The Reborn Sovereign</v>
      </c>
      <c r="C104" s="6" t="str">
        <f>IFERROR(__xludf.DUMMYFUNCTION("""COMPUTED_VALUE"""),"Fantasy")</f>
        <v>Fantasy</v>
      </c>
      <c r="D104" s="11">
        <f>IFERROR(__xludf.DUMMYFUNCTION("""COMPUTED_VALUE"""),1441.0)</f>
        <v>1441</v>
      </c>
      <c r="E104" s="8">
        <f>IFERROR(__xludf.DUMMYFUNCTION("""COMPUTED_VALUE"""),0.965024982155603)</f>
        <v>0.9650249822</v>
      </c>
      <c r="F104" s="8">
        <f>IFERROR(__xludf.DUMMYFUNCTION("""COMPUTED_VALUE"""),0.738601823708206)</f>
        <v>0.7386018237</v>
      </c>
      <c r="G104" s="8">
        <f>IFERROR(__xludf.DUMMYFUNCTION("""COMPUTED_VALUE"""),0.712579617834394)</f>
        <v>0.7125796178</v>
      </c>
      <c r="H104" s="8">
        <f>IFERROR(__xludf.DUMMYFUNCTION("""COMPUTED_VALUE"""),0.703639514731369)</f>
        <v>0.7036395147</v>
      </c>
      <c r="I104" s="8">
        <f>IFERROR(__xludf.DUMMYFUNCTION("""COMPUTED_VALUE"""),0.688729874776386)</f>
        <v>0.6887298748</v>
      </c>
      <c r="J104" s="8">
        <f>IFERROR(__xludf.DUMMYFUNCTION("""COMPUTED_VALUE"""),0.673132880698351)</f>
        <v>0.6731328807</v>
      </c>
      <c r="K104" s="8">
        <f>IFERROR(__xludf.DUMMYFUNCTION("""COMPUTED_VALUE"""),0.66465256797583)</f>
        <v>0.664652568</v>
      </c>
      <c r="L104" s="8">
        <f>IFERROR(__xludf.DUMMYFUNCTION("""COMPUTED_VALUE"""),0.654684095860566)</f>
        <v>0.6546840959</v>
      </c>
      <c r="M104" s="8">
        <f>IFERROR(__xludf.DUMMYFUNCTION("""COMPUTED_VALUE"""),0.653846153846153)</f>
        <v>0.6538461538</v>
      </c>
      <c r="N104" s="8">
        <f>IFERROR(__xludf.DUMMYFUNCTION("""COMPUTED_VALUE"""),0.650060753341433)</f>
        <v>0.6500607533</v>
      </c>
      <c r="O104" s="8">
        <f>IFERROR(__xludf.DUMMYFUNCTION("""COMPUTED_VALUE"""),0.578358208955223)</f>
        <v>0.578358209</v>
      </c>
      <c r="P104" s="8">
        <f>IFERROR(__xludf.DUMMYFUNCTION("""COMPUTED_VALUE"""),0.454198473282442)</f>
        <v>0.4541984733</v>
      </c>
      <c r="Q104" s="8">
        <f>IFERROR(__xludf.DUMMYFUNCTION("""COMPUTED_VALUE"""),0.338645418326693)</f>
        <v>0.3386454183</v>
      </c>
      <c r="R104" s="8">
        <f>IFERROR(__xludf.DUMMYFUNCTION("""COMPUTED_VALUE"""),0.241234221598877)</f>
        <v>0.2412342216</v>
      </c>
      <c r="S104" s="8">
        <f>IFERROR(__xludf.DUMMYFUNCTION("""COMPUTED_VALUE"""),0.171779141104294)</f>
        <v>0.1717791411</v>
      </c>
      <c r="T104" s="8">
        <f>IFERROR(__xludf.DUMMYFUNCTION("""COMPUTED_VALUE"""),0.0)</f>
        <v>0</v>
      </c>
      <c r="U104" s="8">
        <f>IFERROR(__xludf.DUMMYFUNCTION("""COMPUTED_VALUE"""),0.0)</f>
        <v>0</v>
      </c>
      <c r="V104" s="8">
        <f>IFERROR(__xludf.DUMMYFUNCTION("""COMPUTED_VALUE"""),0.0)</f>
        <v>0</v>
      </c>
      <c r="W104" s="8">
        <f>IFERROR(__xludf.DUMMYFUNCTION("""COMPUTED_VALUE"""),0.0)</f>
        <v>0</v>
      </c>
      <c r="X104" s="8">
        <f>IFERROR(__xludf.DUMMYFUNCTION("""COMPUTED_VALUE"""),0.0)</f>
        <v>0</v>
      </c>
      <c r="Y104" s="8">
        <f>IFERROR(__xludf.DUMMYFUNCTION("""COMPUTED_VALUE"""),0.0)</f>
        <v>0</v>
      </c>
      <c r="Z104" s="8">
        <f>IFERROR(__xludf.DUMMYFUNCTION("""COMPUTED_VALUE"""),0.0)</f>
        <v>0</v>
      </c>
      <c r="AA104" s="8">
        <f>IFERROR(__xludf.DUMMYFUNCTION("""COMPUTED_VALUE"""),0.0)</f>
        <v>0</v>
      </c>
      <c r="AB104" s="8">
        <f>IFERROR(__xludf.DUMMYFUNCTION("""COMPUTED_VALUE"""),0.0)</f>
        <v>0</v>
      </c>
      <c r="AC104" s="8">
        <f>IFERROR(__xludf.DUMMYFUNCTION("""COMPUTED_VALUE"""),0.0)</f>
        <v>0</v>
      </c>
    </row>
    <row r="105" ht="15.75" customHeight="1">
      <c r="A105" s="6" t="str">
        <f>IFERROR(__xludf.DUMMYFUNCTION("""COMPUTED_VALUE"""),"562f725dcc83392df0b3d429b6d1ff538f81e71b")</f>
        <v>562f725dcc83392df0b3d429b6d1ff538f81e71b</v>
      </c>
      <c r="B105" s="6" t="str">
        <f>IFERROR(__xludf.DUMMYFUNCTION("""COMPUTED_VALUE"""),"Their Contracted Hearts")</f>
        <v>Their Contracted Hearts</v>
      </c>
      <c r="C105" s="6" t="str">
        <f>IFERROR(__xludf.DUMMYFUNCTION("""COMPUTED_VALUE"""),"Romance")</f>
        <v>Romance</v>
      </c>
      <c r="D105" s="11">
        <f>IFERROR(__xludf.DUMMYFUNCTION("""COMPUTED_VALUE"""),541.0)</f>
        <v>541</v>
      </c>
      <c r="E105" s="8">
        <f>IFERROR(__xludf.DUMMYFUNCTION("""COMPUTED_VALUE"""),0.968518518518518)</f>
        <v>0.9685185185</v>
      </c>
      <c r="F105" s="8">
        <f>IFERROR(__xludf.DUMMYFUNCTION("""COMPUTED_VALUE"""),0.637037037037037)</f>
        <v>0.637037037</v>
      </c>
      <c r="G105" s="8">
        <f>IFERROR(__xludf.DUMMYFUNCTION("""COMPUTED_VALUE"""),0.653703703703703)</f>
        <v>0.6537037037</v>
      </c>
      <c r="H105" s="8">
        <f>IFERROR(__xludf.DUMMYFUNCTION("""COMPUTED_VALUE"""),0.59369202226345)</f>
        <v>0.5936920223</v>
      </c>
      <c r="I105" s="8">
        <f>IFERROR(__xludf.DUMMYFUNCTION("""COMPUTED_VALUE"""),0.597402597402597)</f>
        <v>0.5974025974</v>
      </c>
      <c r="J105" s="8">
        <f>IFERROR(__xludf.DUMMYFUNCTION("""COMPUTED_VALUE"""),0.533457249070632)</f>
        <v>0.5334572491</v>
      </c>
      <c r="K105" s="8">
        <f>IFERROR(__xludf.DUMMYFUNCTION("""COMPUTED_VALUE"""),0.501858736059479)</f>
        <v>0.5018587361</v>
      </c>
      <c r="L105" s="8">
        <f>IFERROR(__xludf.DUMMYFUNCTION("""COMPUTED_VALUE"""),0.513011152416356)</f>
        <v>0.5130111524</v>
      </c>
      <c r="M105" s="8">
        <f>IFERROR(__xludf.DUMMYFUNCTION("""COMPUTED_VALUE"""),0.473977695167286)</f>
        <v>0.4739776952</v>
      </c>
      <c r="N105" s="8">
        <f>IFERROR(__xludf.DUMMYFUNCTION("""COMPUTED_VALUE"""),0.451672862453531)</f>
        <v>0.4516728625</v>
      </c>
      <c r="O105" s="8">
        <f>IFERROR(__xludf.DUMMYFUNCTION("""COMPUTED_VALUE"""),0.355140186915887)</f>
        <v>0.3551401869</v>
      </c>
      <c r="P105" s="8">
        <f>IFERROR(__xludf.DUMMYFUNCTION("""COMPUTED_VALUE"""),0.177024482109227)</f>
        <v>0.1770244821</v>
      </c>
      <c r="Q105" s="8">
        <f>IFERROR(__xludf.DUMMYFUNCTION("""COMPUTED_VALUE"""),0.25)</f>
        <v>0.25</v>
      </c>
      <c r="R105" s="8">
        <f>IFERROR(__xludf.DUMMYFUNCTION("""COMPUTED_VALUE"""),0.169811320754716)</f>
        <v>0.1698113208</v>
      </c>
      <c r="S105" s="8">
        <f>IFERROR(__xludf.DUMMYFUNCTION("""COMPUTED_VALUE"""),0.0465116279069767)</f>
        <v>0.04651162791</v>
      </c>
      <c r="T105" s="8">
        <f>IFERROR(__xludf.DUMMYFUNCTION("""COMPUTED_VALUE"""),0.0)</f>
        <v>0</v>
      </c>
      <c r="U105" s="8">
        <f>IFERROR(__xludf.DUMMYFUNCTION("""COMPUTED_VALUE"""),0.0)</f>
        <v>0</v>
      </c>
      <c r="V105" s="8">
        <f>IFERROR(__xludf.DUMMYFUNCTION("""COMPUTED_VALUE"""),0.0)</f>
        <v>0</v>
      </c>
      <c r="W105" s="8">
        <f>IFERROR(__xludf.DUMMYFUNCTION("""COMPUTED_VALUE"""),0.0)</f>
        <v>0</v>
      </c>
      <c r="X105" s="8">
        <f>IFERROR(__xludf.DUMMYFUNCTION("""COMPUTED_VALUE"""),0.0)</f>
        <v>0</v>
      </c>
      <c r="Y105" s="8">
        <f>IFERROR(__xludf.DUMMYFUNCTION("""COMPUTED_VALUE"""),0.0)</f>
        <v>0</v>
      </c>
      <c r="Z105" s="8">
        <f>IFERROR(__xludf.DUMMYFUNCTION("""COMPUTED_VALUE"""),0.0)</f>
        <v>0</v>
      </c>
      <c r="AA105" s="8">
        <f>IFERROR(__xludf.DUMMYFUNCTION("""COMPUTED_VALUE"""),0.0)</f>
        <v>0</v>
      </c>
      <c r="AB105" s="8">
        <f>IFERROR(__xludf.DUMMYFUNCTION("""COMPUTED_VALUE"""),0.0)</f>
        <v>0</v>
      </c>
      <c r="AC105" s="8">
        <f>IFERROR(__xludf.DUMMYFUNCTION("""COMPUTED_VALUE"""),0.0)</f>
        <v>0</v>
      </c>
    </row>
    <row r="106" ht="15.75" customHeight="1">
      <c r="A106" s="6" t="str">
        <f>IFERROR(__xludf.DUMMYFUNCTION("""COMPUTED_VALUE"""),"56fd2f13dbccca0c55f9b02f7334d302737ec3df")</f>
        <v>56fd2f13dbccca0c55f9b02f7334d302737ec3df</v>
      </c>
      <c r="B106" s="6" t="str">
        <f>IFERROR(__xludf.DUMMYFUNCTION("""COMPUTED_VALUE"""),"Heaven-Shaking Doctor")</f>
        <v>Heaven-Shaking Doctor</v>
      </c>
      <c r="C106" s="6" t="str">
        <f>IFERROR(__xludf.DUMMYFUNCTION("""COMPUTED_VALUE"""),"Drama")</f>
        <v>Drama</v>
      </c>
      <c r="D106" s="11">
        <f>IFERROR(__xludf.DUMMYFUNCTION("""COMPUTED_VALUE"""),481.0)</f>
        <v>481</v>
      </c>
      <c r="E106" s="8">
        <f>IFERROR(__xludf.DUMMYFUNCTION("""COMPUTED_VALUE"""),0.993762993762993)</f>
        <v>0.9937629938</v>
      </c>
      <c r="F106" s="8">
        <f>IFERROR(__xludf.DUMMYFUNCTION("""COMPUTED_VALUE"""),0.604989604989605)</f>
        <v>0.604989605</v>
      </c>
      <c r="G106" s="8">
        <f>IFERROR(__xludf.DUMMYFUNCTION("""COMPUTED_VALUE"""),0.488517745302713)</f>
        <v>0.4885177453</v>
      </c>
      <c r="H106" s="8">
        <f>IFERROR(__xludf.DUMMYFUNCTION("""COMPUTED_VALUE"""),0.409185803757828)</f>
        <v>0.4091858038</v>
      </c>
      <c r="I106" s="8">
        <f>IFERROR(__xludf.DUMMYFUNCTION("""COMPUTED_VALUE"""),0.336820083682008)</f>
        <v>0.3368200837</v>
      </c>
      <c r="J106" s="8">
        <f>IFERROR(__xludf.DUMMYFUNCTION("""COMPUTED_VALUE"""),0.292887029288702)</f>
        <v>0.2928870293</v>
      </c>
      <c r="K106" s="8">
        <f>IFERROR(__xludf.DUMMYFUNCTION("""COMPUTED_VALUE"""),0.267782426778242)</f>
        <v>0.2677824268</v>
      </c>
      <c r="L106" s="8">
        <f>IFERROR(__xludf.DUMMYFUNCTION("""COMPUTED_VALUE"""),0.232217573221757)</f>
        <v>0.2322175732</v>
      </c>
      <c r="M106" s="8">
        <f>IFERROR(__xludf.DUMMYFUNCTION("""COMPUTED_VALUE"""),0.198744769874476)</f>
        <v>0.1987447699</v>
      </c>
      <c r="N106" s="8">
        <f>IFERROR(__xludf.DUMMYFUNCTION("""COMPUTED_VALUE"""),0.182773109243697)</f>
        <v>0.1827731092</v>
      </c>
      <c r="O106" s="8">
        <f>IFERROR(__xludf.DUMMYFUNCTION("""COMPUTED_VALUE"""),0.120762711864406)</f>
        <v>0.1207627119</v>
      </c>
      <c r="P106" s="8">
        <f>IFERROR(__xludf.DUMMYFUNCTION("""COMPUTED_VALUE"""),0.0688172043010752)</f>
        <v>0.0688172043</v>
      </c>
      <c r="Q106" s="8">
        <f>IFERROR(__xludf.DUMMYFUNCTION("""COMPUTED_VALUE"""),0.0)</f>
        <v>0</v>
      </c>
      <c r="R106" s="8">
        <f>IFERROR(__xludf.DUMMYFUNCTION("""COMPUTED_VALUE"""),0.0)</f>
        <v>0</v>
      </c>
      <c r="S106" s="8">
        <f>IFERROR(__xludf.DUMMYFUNCTION("""COMPUTED_VALUE"""),0.0)</f>
        <v>0</v>
      </c>
      <c r="T106" s="8">
        <f>IFERROR(__xludf.DUMMYFUNCTION("""COMPUTED_VALUE"""),0.0)</f>
        <v>0</v>
      </c>
      <c r="U106" s="8">
        <f>IFERROR(__xludf.DUMMYFUNCTION("""COMPUTED_VALUE"""),0.0)</f>
        <v>0</v>
      </c>
      <c r="V106" s="8">
        <f>IFERROR(__xludf.DUMMYFUNCTION("""COMPUTED_VALUE"""),0.0)</f>
        <v>0</v>
      </c>
      <c r="W106" s="8">
        <f>IFERROR(__xludf.DUMMYFUNCTION("""COMPUTED_VALUE"""),0.0)</f>
        <v>0</v>
      </c>
      <c r="X106" s="8">
        <f>IFERROR(__xludf.DUMMYFUNCTION("""COMPUTED_VALUE"""),0.0)</f>
        <v>0</v>
      </c>
      <c r="Y106" s="8">
        <f>IFERROR(__xludf.DUMMYFUNCTION("""COMPUTED_VALUE"""),0.0)</f>
        <v>0</v>
      </c>
      <c r="Z106" s="8">
        <f>IFERROR(__xludf.DUMMYFUNCTION("""COMPUTED_VALUE"""),0.0)</f>
        <v>0</v>
      </c>
      <c r="AA106" s="8">
        <f>IFERROR(__xludf.DUMMYFUNCTION("""COMPUTED_VALUE"""),0.0)</f>
        <v>0</v>
      </c>
      <c r="AB106" s="8">
        <f>IFERROR(__xludf.DUMMYFUNCTION("""COMPUTED_VALUE"""),0.0)</f>
        <v>0</v>
      </c>
      <c r="AC106" s="8">
        <f>IFERROR(__xludf.DUMMYFUNCTION("""COMPUTED_VALUE"""),0.0)</f>
        <v>0</v>
      </c>
    </row>
    <row r="107" ht="15.75" customHeight="1">
      <c r="A107" s="6" t="str">
        <f>IFERROR(__xludf.DUMMYFUNCTION("""COMPUTED_VALUE"""),"5710ee62e2cd01947d8f11e6bcaaa653fd1281b2")</f>
        <v>5710ee62e2cd01947d8f11e6bcaaa653fd1281b2</v>
      </c>
      <c r="B107" s="6" t="str">
        <f>IFERROR(__xludf.DUMMYFUNCTION("""COMPUTED_VALUE"""),"The Greatest Son-in-Law")</f>
        <v>The Greatest Son-in-Law</v>
      </c>
      <c r="C107" s="6" t="str">
        <f>IFERROR(__xludf.DUMMYFUNCTION("""COMPUTED_VALUE"""),"Drama")</f>
        <v>Drama</v>
      </c>
      <c r="D107" s="11">
        <f>IFERROR(__xludf.DUMMYFUNCTION("""COMPUTED_VALUE"""),511.0)</f>
        <v>511</v>
      </c>
      <c r="E107" s="8">
        <f>IFERROR(__xludf.DUMMYFUNCTION("""COMPUTED_VALUE"""),0.984282907662082)</f>
        <v>0.9842829077</v>
      </c>
      <c r="F107" s="8">
        <f>IFERROR(__xludf.DUMMYFUNCTION("""COMPUTED_VALUE"""),0.547244094488189)</f>
        <v>0.5472440945</v>
      </c>
      <c r="G107" s="8">
        <f>IFERROR(__xludf.DUMMYFUNCTION("""COMPUTED_VALUE"""),0.439842209072978)</f>
        <v>0.4398422091</v>
      </c>
      <c r="H107" s="8">
        <f>IFERROR(__xludf.DUMMYFUNCTION("""COMPUTED_VALUE"""),0.382470119521912)</f>
        <v>0.3824701195</v>
      </c>
      <c r="I107" s="8">
        <f>IFERROR(__xludf.DUMMYFUNCTION("""COMPUTED_VALUE"""),0.323651452282157)</f>
        <v>0.3236514523</v>
      </c>
      <c r="J107" s="8">
        <f>IFERROR(__xludf.DUMMYFUNCTION("""COMPUTED_VALUE"""),0.278301886792452)</f>
        <v>0.2783018868</v>
      </c>
      <c r="K107" s="8">
        <f>IFERROR(__xludf.DUMMYFUNCTION("""COMPUTED_VALUE"""),0.250632911392405)</f>
        <v>0.2506329114</v>
      </c>
      <c r="L107" s="8">
        <f>IFERROR(__xludf.DUMMYFUNCTION("""COMPUTED_VALUE"""),0.238482384823848)</f>
        <v>0.2384823848</v>
      </c>
      <c r="M107" s="8">
        <f>IFERROR(__xludf.DUMMYFUNCTION("""COMPUTED_VALUE"""),0.222222222222222)</f>
        <v>0.2222222222</v>
      </c>
      <c r="N107" s="8">
        <f>IFERROR(__xludf.DUMMYFUNCTION("""COMPUTED_VALUE"""),0.221719457013574)</f>
        <v>0.221719457</v>
      </c>
      <c r="O107" s="8">
        <f>IFERROR(__xludf.DUMMYFUNCTION("""COMPUTED_VALUE"""),0.166666666666666)</f>
        <v>0.1666666667</v>
      </c>
      <c r="P107" s="8">
        <f>IFERROR(__xludf.DUMMYFUNCTION("""COMPUTED_VALUE"""),0.117647058823529)</f>
        <v>0.1176470588</v>
      </c>
      <c r="Q107" s="8">
        <f>IFERROR(__xludf.DUMMYFUNCTION("""COMPUTED_VALUE"""),0.142857142857142)</f>
        <v>0.1428571429</v>
      </c>
      <c r="R107" s="8">
        <f>IFERROR(__xludf.DUMMYFUNCTION("""COMPUTED_VALUE"""),0.0)</f>
        <v>0</v>
      </c>
      <c r="S107" s="8">
        <f>IFERROR(__xludf.DUMMYFUNCTION("""COMPUTED_VALUE"""),0.0)</f>
        <v>0</v>
      </c>
      <c r="T107" s="8">
        <f>IFERROR(__xludf.DUMMYFUNCTION("""COMPUTED_VALUE"""),0.0)</f>
        <v>0</v>
      </c>
      <c r="U107" s="8">
        <f>IFERROR(__xludf.DUMMYFUNCTION("""COMPUTED_VALUE"""),0.0)</f>
        <v>0</v>
      </c>
      <c r="V107" s="8">
        <f>IFERROR(__xludf.DUMMYFUNCTION("""COMPUTED_VALUE"""),0.0)</f>
        <v>0</v>
      </c>
      <c r="W107" s="8">
        <f>IFERROR(__xludf.DUMMYFUNCTION("""COMPUTED_VALUE"""),0.0)</f>
        <v>0</v>
      </c>
      <c r="X107" s="8">
        <f>IFERROR(__xludf.DUMMYFUNCTION("""COMPUTED_VALUE"""),0.0)</f>
        <v>0</v>
      </c>
      <c r="Y107" s="8">
        <f>IFERROR(__xludf.DUMMYFUNCTION("""COMPUTED_VALUE"""),0.0)</f>
        <v>0</v>
      </c>
      <c r="Z107" s="8">
        <f>IFERROR(__xludf.DUMMYFUNCTION("""COMPUTED_VALUE"""),0.0)</f>
        <v>0</v>
      </c>
      <c r="AA107" s="8">
        <f>IFERROR(__xludf.DUMMYFUNCTION("""COMPUTED_VALUE"""),0.0)</f>
        <v>0</v>
      </c>
      <c r="AB107" s="8">
        <f>IFERROR(__xludf.DUMMYFUNCTION("""COMPUTED_VALUE"""),0.0)</f>
        <v>0</v>
      </c>
      <c r="AC107" s="8">
        <f>IFERROR(__xludf.DUMMYFUNCTION("""COMPUTED_VALUE"""),0.0)</f>
        <v>0</v>
      </c>
    </row>
    <row r="108" ht="15.75" customHeight="1">
      <c r="A108" s="6" t="str">
        <f>IFERROR(__xludf.DUMMYFUNCTION("""COMPUTED_VALUE"""),"57c4ad36d88c94c3d6132c931c371b08f21ab0e1")</f>
        <v>57c4ad36d88c94c3d6132c931c371b08f21ab0e1</v>
      </c>
      <c r="B108" s="6" t="str">
        <f>IFERROR(__xludf.DUMMYFUNCTION("""COMPUTED_VALUE"""),"Warlord of the Frozen Daw")</f>
        <v>Warlord of the Frozen Daw</v>
      </c>
      <c r="C108" s="6" t="str">
        <f>IFERROR(__xludf.DUMMYFUNCTION("""COMPUTED_VALUE"""),"Drama")</f>
        <v>Drama</v>
      </c>
      <c r="D108" s="11">
        <f>IFERROR(__xludf.DUMMYFUNCTION("""COMPUTED_VALUE"""),9.0)</f>
        <v>9</v>
      </c>
      <c r="E108" s="8">
        <f>IFERROR(__xludf.DUMMYFUNCTION("""COMPUTED_VALUE"""),1.0)</f>
        <v>1</v>
      </c>
      <c r="F108" s="8">
        <f>IFERROR(__xludf.DUMMYFUNCTION("""COMPUTED_VALUE"""),0.555555555555555)</f>
        <v>0.5555555556</v>
      </c>
      <c r="G108" s="8">
        <f>IFERROR(__xludf.DUMMYFUNCTION("""COMPUTED_VALUE"""),0.555555555555555)</f>
        <v>0.5555555556</v>
      </c>
      <c r="H108" s="8">
        <f>IFERROR(__xludf.DUMMYFUNCTION("""COMPUTED_VALUE"""),0.555555555555555)</f>
        <v>0.5555555556</v>
      </c>
      <c r="I108" s="8">
        <f>IFERROR(__xludf.DUMMYFUNCTION("""COMPUTED_VALUE"""),0.555555555555555)</f>
        <v>0.5555555556</v>
      </c>
      <c r="J108" s="8">
        <f>IFERROR(__xludf.DUMMYFUNCTION("""COMPUTED_VALUE"""),0.555555555555555)</f>
        <v>0.5555555556</v>
      </c>
      <c r="K108" s="8">
        <f>IFERROR(__xludf.DUMMYFUNCTION("""COMPUTED_VALUE"""),0.5)</f>
        <v>0.5</v>
      </c>
      <c r="L108" s="8">
        <f>IFERROR(__xludf.DUMMYFUNCTION("""COMPUTED_VALUE"""),0.428571428571428)</f>
        <v>0.4285714286</v>
      </c>
      <c r="M108" s="8">
        <f>IFERROR(__xludf.DUMMYFUNCTION("""COMPUTED_VALUE"""),0.428571428571428)</f>
        <v>0.4285714286</v>
      </c>
      <c r="N108" s="8">
        <f>IFERROR(__xludf.DUMMYFUNCTION("""COMPUTED_VALUE"""),0.428571428571428)</f>
        <v>0.4285714286</v>
      </c>
      <c r="O108" s="8">
        <f>IFERROR(__xludf.DUMMYFUNCTION("""COMPUTED_VALUE"""),0.5)</f>
        <v>0.5</v>
      </c>
      <c r="P108" s="8">
        <f>IFERROR(__xludf.DUMMYFUNCTION("""COMPUTED_VALUE"""),0.5)</f>
        <v>0.5</v>
      </c>
      <c r="Q108" s="8">
        <f>IFERROR(__xludf.DUMMYFUNCTION("""COMPUTED_VALUE"""),0.4)</f>
        <v>0.4</v>
      </c>
      <c r="R108" s="8">
        <f>IFERROR(__xludf.DUMMYFUNCTION("""COMPUTED_VALUE"""),0.2)</f>
        <v>0.2</v>
      </c>
      <c r="S108" s="8">
        <f>IFERROR(__xludf.DUMMYFUNCTION("""COMPUTED_VALUE"""),0.0)</f>
        <v>0</v>
      </c>
      <c r="T108" s="8">
        <f>IFERROR(__xludf.DUMMYFUNCTION("""COMPUTED_VALUE"""),0.0)</f>
        <v>0</v>
      </c>
      <c r="U108" s="8">
        <f>IFERROR(__xludf.DUMMYFUNCTION("""COMPUTED_VALUE"""),0.0)</f>
        <v>0</v>
      </c>
      <c r="V108" s="8">
        <f>IFERROR(__xludf.DUMMYFUNCTION("""COMPUTED_VALUE"""),0.0)</f>
        <v>0</v>
      </c>
      <c r="W108" s="8">
        <f>IFERROR(__xludf.DUMMYFUNCTION("""COMPUTED_VALUE"""),0.0)</f>
        <v>0</v>
      </c>
      <c r="X108" s="8">
        <f>IFERROR(__xludf.DUMMYFUNCTION("""COMPUTED_VALUE"""),0.0)</f>
        <v>0</v>
      </c>
      <c r="Y108" s="8">
        <f>IFERROR(__xludf.DUMMYFUNCTION("""COMPUTED_VALUE"""),0.0)</f>
        <v>0</v>
      </c>
      <c r="Z108" s="8">
        <f>IFERROR(__xludf.DUMMYFUNCTION("""COMPUTED_VALUE"""),0.0)</f>
        <v>0</v>
      </c>
      <c r="AA108" s="8">
        <f>IFERROR(__xludf.DUMMYFUNCTION("""COMPUTED_VALUE"""),0.0)</f>
        <v>0</v>
      </c>
      <c r="AB108" s="8">
        <f>IFERROR(__xludf.DUMMYFUNCTION("""COMPUTED_VALUE"""),0.0)</f>
        <v>0</v>
      </c>
      <c r="AC108" s="8">
        <f>IFERROR(__xludf.DUMMYFUNCTION("""COMPUTED_VALUE"""),0.0)</f>
        <v>0</v>
      </c>
    </row>
    <row r="109" ht="15.75" customHeight="1">
      <c r="A109" s="6" t="str">
        <f>IFERROR(__xludf.DUMMYFUNCTION("""COMPUTED_VALUE"""),"57e670da35fed12abf270953b1cf3cf942fc89e1")</f>
        <v>57e670da35fed12abf270953b1cf3cf942fc89e1</v>
      </c>
      <c r="B109" s="6" t="str">
        <f>IFERROR(__xludf.DUMMYFUNCTION("""COMPUTED_VALUE"""),"You Are Mine Alone, Love")</f>
        <v>You Are Mine Alone, Love</v>
      </c>
      <c r="C109" s="6" t="str">
        <f>IFERROR(__xludf.DUMMYFUNCTION("""COMPUTED_VALUE"""),"Romance")</f>
        <v>Romance</v>
      </c>
      <c r="D109" s="11">
        <f>IFERROR(__xludf.DUMMYFUNCTION("""COMPUTED_VALUE"""),159.0)</f>
        <v>159</v>
      </c>
      <c r="E109" s="8">
        <f>IFERROR(__xludf.DUMMYFUNCTION("""COMPUTED_VALUE"""),0.974683544303797)</f>
        <v>0.9746835443</v>
      </c>
      <c r="F109" s="8">
        <f>IFERROR(__xludf.DUMMYFUNCTION("""COMPUTED_VALUE"""),0.592356687898089)</f>
        <v>0.5923566879</v>
      </c>
      <c r="G109" s="8">
        <f>IFERROR(__xludf.DUMMYFUNCTION("""COMPUTED_VALUE"""),0.490322580645161)</f>
        <v>0.4903225806</v>
      </c>
      <c r="H109" s="8">
        <f>IFERROR(__xludf.DUMMYFUNCTION("""COMPUTED_VALUE"""),0.430555555555555)</f>
        <v>0.4305555556</v>
      </c>
      <c r="I109" s="8">
        <f>IFERROR(__xludf.DUMMYFUNCTION("""COMPUTED_VALUE"""),0.420289855072463)</f>
        <v>0.4202898551</v>
      </c>
      <c r="J109" s="8">
        <f>IFERROR(__xludf.DUMMYFUNCTION("""COMPUTED_VALUE"""),0.374045801526717)</f>
        <v>0.3740458015</v>
      </c>
      <c r="K109" s="8">
        <f>IFERROR(__xludf.DUMMYFUNCTION("""COMPUTED_VALUE"""),0.3359375)</f>
        <v>0.3359375</v>
      </c>
      <c r="L109" s="8">
        <f>IFERROR(__xludf.DUMMYFUNCTION("""COMPUTED_VALUE"""),0.31858407079646)</f>
        <v>0.3185840708</v>
      </c>
      <c r="M109" s="8">
        <f>IFERROR(__xludf.DUMMYFUNCTION("""COMPUTED_VALUE"""),0.287128712871287)</f>
        <v>0.2871287129</v>
      </c>
      <c r="N109" s="8">
        <f>IFERROR(__xludf.DUMMYFUNCTION("""COMPUTED_VALUE"""),0.269662921348314)</f>
        <v>0.2696629213</v>
      </c>
      <c r="O109" s="8">
        <f>IFERROR(__xludf.DUMMYFUNCTION("""COMPUTED_VALUE"""),0.217948717948717)</f>
        <v>0.2179487179</v>
      </c>
      <c r="P109" s="8">
        <f>IFERROR(__xludf.DUMMYFUNCTION("""COMPUTED_VALUE"""),0.166666666666666)</f>
        <v>0.1666666667</v>
      </c>
      <c r="Q109" s="8">
        <f>IFERROR(__xludf.DUMMYFUNCTION("""COMPUTED_VALUE"""),0.11864406779661)</f>
        <v>0.1186440678</v>
      </c>
      <c r="R109" s="8">
        <f>IFERROR(__xludf.DUMMYFUNCTION("""COMPUTED_VALUE"""),0.0)</f>
        <v>0</v>
      </c>
      <c r="S109" s="8">
        <f>IFERROR(__xludf.DUMMYFUNCTION("""COMPUTED_VALUE"""),0.0)</f>
        <v>0</v>
      </c>
      <c r="T109" s="8">
        <f>IFERROR(__xludf.DUMMYFUNCTION("""COMPUTED_VALUE"""),0.0)</f>
        <v>0</v>
      </c>
      <c r="U109" s="8">
        <f>IFERROR(__xludf.DUMMYFUNCTION("""COMPUTED_VALUE"""),0.0)</f>
        <v>0</v>
      </c>
      <c r="V109" s="8">
        <f>IFERROR(__xludf.DUMMYFUNCTION("""COMPUTED_VALUE"""),0.0)</f>
        <v>0</v>
      </c>
      <c r="W109" s="8">
        <f>IFERROR(__xludf.DUMMYFUNCTION("""COMPUTED_VALUE"""),0.0)</f>
        <v>0</v>
      </c>
      <c r="X109" s="8">
        <f>IFERROR(__xludf.DUMMYFUNCTION("""COMPUTED_VALUE"""),0.0)</f>
        <v>0</v>
      </c>
      <c r="Y109" s="8">
        <f>IFERROR(__xludf.DUMMYFUNCTION("""COMPUTED_VALUE"""),0.0)</f>
        <v>0</v>
      </c>
      <c r="Z109" s="8">
        <f>IFERROR(__xludf.DUMMYFUNCTION("""COMPUTED_VALUE"""),0.0)</f>
        <v>0</v>
      </c>
      <c r="AA109" s="8">
        <f>IFERROR(__xludf.DUMMYFUNCTION("""COMPUTED_VALUE"""),0.0)</f>
        <v>0</v>
      </c>
      <c r="AB109" s="8">
        <f>IFERROR(__xludf.DUMMYFUNCTION("""COMPUTED_VALUE"""),0.0)</f>
        <v>0</v>
      </c>
      <c r="AC109" s="8">
        <f>IFERROR(__xludf.DUMMYFUNCTION("""COMPUTED_VALUE"""),0.0)</f>
        <v>0</v>
      </c>
    </row>
    <row r="110" ht="15.75" customHeight="1">
      <c r="A110" s="6" t="str">
        <f>IFERROR(__xludf.DUMMYFUNCTION("""COMPUTED_VALUE"""),"57ebfa5b58a3257a521a5b9c12c5af19771e4403")</f>
        <v>57ebfa5b58a3257a521a5b9c12c5af19771e4403</v>
      </c>
      <c r="B110" s="6" t="str">
        <f>IFERROR(__xludf.DUMMYFUNCTION("""COMPUTED_VALUE"""),"Unmasking the Bride")</f>
        <v>Unmasking the Bride</v>
      </c>
      <c r="C110" s="6" t="str">
        <f>IFERROR(__xludf.DUMMYFUNCTION("""COMPUTED_VALUE"""),"Romance")</f>
        <v>Romance</v>
      </c>
      <c r="D110" s="11">
        <f>IFERROR(__xludf.DUMMYFUNCTION("""COMPUTED_VALUE"""),59.0)</f>
        <v>59</v>
      </c>
      <c r="E110" s="8">
        <f>IFERROR(__xludf.DUMMYFUNCTION("""COMPUTED_VALUE"""),0.949152542372881)</f>
        <v>0.9491525424</v>
      </c>
      <c r="F110" s="8">
        <f>IFERROR(__xludf.DUMMYFUNCTION("""COMPUTED_VALUE"""),0.491525423728813)</f>
        <v>0.4915254237</v>
      </c>
      <c r="G110" s="8">
        <f>IFERROR(__xludf.DUMMYFUNCTION("""COMPUTED_VALUE"""),0.525423728813559)</f>
        <v>0.5254237288</v>
      </c>
      <c r="H110" s="8">
        <f>IFERROR(__xludf.DUMMYFUNCTION("""COMPUTED_VALUE"""),0.47457627118644)</f>
        <v>0.4745762712</v>
      </c>
      <c r="I110" s="8">
        <f>IFERROR(__xludf.DUMMYFUNCTION("""COMPUTED_VALUE"""),0.389830508474576)</f>
        <v>0.3898305085</v>
      </c>
      <c r="J110" s="8">
        <f>IFERROR(__xludf.DUMMYFUNCTION("""COMPUTED_VALUE"""),0.338983050847457)</f>
        <v>0.3389830508</v>
      </c>
      <c r="K110" s="8">
        <f>IFERROR(__xludf.DUMMYFUNCTION("""COMPUTED_VALUE"""),0.372881355932203)</f>
        <v>0.3728813559</v>
      </c>
      <c r="L110" s="8">
        <f>IFERROR(__xludf.DUMMYFUNCTION("""COMPUTED_VALUE"""),0.389830508474576)</f>
        <v>0.3898305085</v>
      </c>
      <c r="M110" s="8">
        <f>IFERROR(__xludf.DUMMYFUNCTION("""COMPUTED_VALUE"""),0.305084745762711)</f>
        <v>0.3050847458</v>
      </c>
      <c r="N110" s="8">
        <f>IFERROR(__xludf.DUMMYFUNCTION("""COMPUTED_VALUE"""),0.220338983050847)</f>
        <v>0.2203389831</v>
      </c>
      <c r="O110" s="8">
        <f>IFERROR(__xludf.DUMMYFUNCTION("""COMPUTED_VALUE"""),0.280701754385964)</f>
        <v>0.2807017544</v>
      </c>
      <c r="P110" s="8">
        <f>IFERROR(__xludf.DUMMYFUNCTION("""COMPUTED_VALUE"""),0.0816326530612244)</f>
        <v>0.08163265306</v>
      </c>
      <c r="Q110" s="8">
        <f>IFERROR(__xludf.DUMMYFUNCTION("""COMPUTED_VALUE"""),0.0476190476190476)</f>
        <v>0.04761904762</v>
      </c>
      <c r="R110" s="8">
        <f>IFERROR(__xludf.DUMMYFUNCTION("""COMPUTED_VALUE"""),0.0)</f>
        <v>0</v>
      </c>
      <c r="S110" s="8">
        <f>IFERROR(__xludf.DUMMYFUNCTION("""COMPUTED_VALUE"""),0.0)</f>
        <v>0</v>
      </c>
      <c r="T110" s="8">
        <f>IFERROR(__xludf.DUMMYFUNCTION("""COMPUTED_VALUE"""),0.0)</f>
        <v>0</v>
      </c>
      <c r="U110" s="8">
        <f>IFERROR(__xludf.DUMMYFUNCTION("""COMPUTED_VALUE"""),0.0)</f>
        <v>0</v>
      </c>
      <c r="V110" s="8">
        <f>IFERROR(__xludf.DUMMYFUNCTION("""COMPUTED_VALUE"""),0.0)</f>
        <v>0</v>
      </c>
      <c r="W110" s="8">
        <f>IFERROR(__xludf.DUMMYFUNCTION("""COMPUTED_VALUE"""),0.0)</f>
        <v>0</v>
      </c>
      <c r="X110" s="8">
        <f>IFERROR(__xludf.DUMMYFUNCTION("""COMPUTED_VALUE"""),0.0)</f>
        <v>0</v>
      </c>
      <c r="Y110" s="8">
        <f>IFERROR(__xludf.DUMMYFUNCTION("""COMPUTED_VALUE"""),0.0)</f>
        <v>0</v>
      </c>
      <c r="Z110" s="8">
        <f>IFERROR(__xludf.DUMMYFUNCTION("""COMPUTED_VALUE"""),0.0)</f>
        <v>0</v>
      </c>
      <c r="AA110" s="8">
        <f>IFERROR(__xludf.DUMMYFUNCTION("""COMPUTED_VALUE"""),0.0)</f>
        <v>0</v>
      </c>
      <c r="AB110" s="8">
        <f>IFERROR(__xludf.DUMMYFUNCTION("""COMPUTED_VALUE"""),0.0)</f>
        <v>0</v>
      </c>
      <c r="AC110" s="8">
        <f>IFERROR(__xludf.DUMMYFUNCTION("""COMPUTED_VALUE"""),0.0)</f>
        <v>0</v>
      </c>
    </row>
    <row r="111" ht="15.75" customHeight="1">
      <c r="A111" s="6" t="str">
        <f>IFERROR(__xludf.DUMMYFUNCTION("""COMPUTED_VALUE"""),"5843f25ac24c8ba34301e2cfe9e73ddc0bfd8fc7")</f>
        <v>5843f25ac24c8ba34301e2cfe9e73ddc0bfd8fc7</v>
      </c>
      <c r="B111" s="6" t="str">
        <f>IFERROR(__xludf.DUMMYFUNCTION("""COMPUTED_VALUE"""),"The Fire Reborn Xavier")</f>
        <v>The Fire Reborn Xavier</v>
      </c>
      <c r="C111" s="6" t="str">
        <f>IFERROR(__xludf.DUMMYFUNCTION("""COMPUTED_VALUE"""),"System and Superpower")</f>
        <v>System and Superpower</v>
      </c>
      <c r="D111" s="11">
        <f>IFERROR(__xludf.DUMMYFUNCTION("""COMPUTED_VALUE"""),572.0)</f>
        <v>572</v>
      </c>
      <c r="E111" s="8">
        <f>IFERROR(__xludf.DUMMYFUNCTION("""COMPUTED_VALUE"""),0.98076923076923)</f>
        <v>0.9807692308</v>
      </c>
      <c r="F111" s="8">
        <f>IFERROR(__xludf.DUMMYFUNCTION("""COMPUTED_VALUE"""),0.514886164623467)</f>
        <v>0.5148861646</v>
      </c>
      <c r="G111" s="8">
        <f>IFERROR(__xludf.DUMMYFUNCTION("""COMPUTED_VALUE"""),0.447183098591549)</f>
        <v>0.4471830986</v>
      </c>
      <c r="H111" s="8">
        <f>IFERROR(__xludf.DUMMYFUNCTION("""COMPUTED_VALUE"""),0.392605633802816)</f>
        <v>0.3926056338</v>
      </c>
      <c r="I111" s="8">
        <f>IFERROR(__xludf.DUMMYFUNCTION("""COMPUTED_VALUE"""),0.360424028268551)</f>
        <v>0.3604240283</v>
      </c>
      <c r="J111" s="8">
        <f>IFERROR(__xludf.DUMMYFUNCTION("""COMPUTED_VALUE"""),0.338053097345132)</f>
        <v>0.3380530973</v>
      </c>
      <c r="K111" s="8">
        <f>IFERROR(__xludf.DUMMYFUNCTION("""COMPUTED_VALUE"""),0.315602836879432)</f>
        <v>0.3156028369</v>
      </c>
      <c r="L111" s="8">
        <f>IFERROR(__xludf.DUMMYFUNCTION("""COMPUTED_VALUE"""),0.308529945553539)</f>
        <v>0.3085299456</v>
      </c>
      <c r="M111" s="8">
        <f>IFERROR(__xludf.DUMMYFUNCTION("""COMPUTED_VALUE"""),0.287425149700598)</f>
        <v>0.2874251497</v>
      </c>
      <c r="N111" s="8">
        <f>IFERROR(__xludf.DUMMYFUNCTION("""COMPUTED_VALUE"""),0.264705882352941)</f>
        <v>0.2647058824</v>
      </c>
      <c r="O111" s="8">
        <f>IFERROR(__xludf.DUMMYFUNCTION("""COMPUTED_VALUE"""),0.28169014084507)</f>
        <v>0.2816901408</v>
      </c>
      <c r="P111" s="8">
        <f>IFERROR(__xludf.DUMMYFUNCTION("""COMPUTED_VALUE"""),0.222222222222222)</f>
        <v>0.2222222222</v>
      </c>
      <c r="Q111" s="8">
        <f>IFERROR(__xludf.DUMMYFUNCTION("""COMPUTED_VALUE"""),0.173553719008264)</f>
        <v>0.173553719</v>
      </c>
      <c r="R111" s="8">
        <f>IFERROR(__xludf.DUMMYFUNCTION("""COMPUTED_VALUE"""),0.118811881188118)</f>
        <v>0.1188118812</v>
      </c>
      <c r="S111" s="8">
        <f>IFERROR(__xludf.DUMMYFUNCTION("""COMPUTED_VALUE"""),0.0675675675675675)</f>
        <v>0.06756756757</v>
      </c>
      <c r="T111" s="8">
        <f>IFERROR(__xludf.DUMMYFUNCTION("""COMPUTED_VALUE"""),0.0)</f>
        <v>0</v>
      </c>
      <c r="U111" s="8">
        <f>IFERROR(__xludf.DUMMYFUNCTION("""COMPUTED_VALUE"""),0.0)</f>
        <v>0</v>
      </c>
      <c r="V111" s="8">
        <f>IFERROR(__xludf.DUMMYFUNCTION("""COMPUTED_VALUE"""),0.0)</f>
        <v>0</v>
      </c>
      <c r="W111" s="8">
        <f>IFERROR(__xludf.DUMMYFUNCTION("""COMPUTED_VALUE"""),0.0)</f>
        <v>0</v>
      </c>
      <c r="X111" s="8">
        <f>IFERROR(__xludf.DUMMYFUNCTION("""COMPUTED_VALUE"""),0.0)</f>
        <v>0</v>
      </c>
      <c r="Y111" s="8">
        <f>IFERROR(__xludf.DUMMYFUNCTION("""COMPUTED_VALUE"""),0.0)</f>
        <v>0</v>
      </c>
      <c r="Z111" s="8">
        <f>IFERROR(__xludf.DUMMYFUNCTION("""COMPUTED_VALUE"""),0.0)</f>
        <v>0</v>
      </c>
      <c r="AA111" s="8">
        <f>IFERROR(__xludf.DUMMYFUNCTION("""COMPUTED_VALUE"""),0.0)</f>
        <v>0</v>
      </c>
      <c r="AB111" s="8">
        <f>IFERROR(__xludf.DUMMYFUNCTION("""COMPUTED_VALUE"""),0.0)</f>
        <v>0</v>
      </c>
      <c r="AC111" s="8">
        <f>IFERROR(__xludf.DUMMYFUNCTION("""COMPUTED_VALUE"""),0.0)</f>
        <v>0</v>
      </c>
    </row>
    <row r="112" ht="15.75" customHeight="1">
      <c r="A112" s="6" t="str">
        <f>IFERROR(__xludf.DUMMYFUNCTION("""COMPUTED_VALUE"""),"596d213162507bbf543b3c2a618f8bb54acd4623")</f>
        <v>596d213162507bbf543b3c2a618f8bb54acd4623</v>
      </c>
      <c r="B112" s="6" t="str">
        <f>IFERROR(__xludf.DUMMYFUNCTION("""COMPUTED_VALUE"""),"Echoes of Regrets")</f>
        <v>Echoes of Regrets</v>
      </c>
      <c r="C112" s="6" t="str">
        <f>IFERROR(__xludf.DUMMYFUNCTION("""COMPUTED_VALUE"""),"Romance")</f>
        <v>Romance</v>
      </c>
      <c r="D112" s="11">
        <f>IFERROR(__xludf.DUMMYFUNCTION("""COMPUTED_VALUE"""),214.0)</f>
        <v>214</v>
      </c>
      <c r="E112" s="8">
        <f>IFERROR(__xludf.DUMMYFUNCTION("""COMPUTED_VALUE"""),0.979899497487437)</f>
        <v>0.9798994975</v>
      </c>
      <c r="F112" s="8">
        <f>IFERROR(__xludf.DUMMYFUNCTION("""COMPUTED_VALUE"""),0.6)</f>
        <v>0.6</v>
      </c>
      <c r="G112" s="8">
        <f>IFERROR(__xludf.DUMMYFUNCTION("""COMPUTED_VALUE"""),0.536144578313253)</f>
        <v>0.5361445783</v>
      </c>
      <c r="H112" s="8">
        <f>IFERROR(__xludf.DUMMYFUNCTION("""COMPUTED_VALUE"""),0.437086092715231)</f>
        <v>0.4370860927</v>
      </c>
      <c r="I112" s="8">
        <f>IFERROR(__xludf.DUMMYFUNCTION("""COMPUTED_VALUE"""),0.394366197183098)</f>
        <v>0.3943661972</v>
      </c>
      <c r="J112" s="8">
        <f>IFERROR(__xludf.DUMMYFUNCTION("""COMPUTED_VALUE"""),0.352)</f>
        <v>0.352</v>
      </c>
      <c r="K112" s="8">
        <f>IFERROR(__xludf.DUMMYFUNCTION("""COMPUTED_VALUE"""),0.324786324786324)</f>
        <v>0.3247863248</v>
      </c>
      <c r="L112" s="8">
        <f>IFERROR(__xludf.DUMMYFUNCTION("""COMPUTED_VALUE"""),0.344444444444444)</f>
        <v>0.3444444444</v>
      </c>
      <c r="M112" s="8">
        <f>IFERROR(__xludf.DUMMYFUNCTION("""COMPUTED_VALUE"""),0.364864864864864)</f>
        <v>0.3648648649</v>
      </c>
      <c r="N112" s="8">
        <f>IFERROR(__xludf.DUMMYFUNCTION("""COMPUTED_VALUE"""),0.269841269841269)</f>
        <v>0.2698412698</v>
      </c>
      <c r="O112" s="8">
        <f>IFERROR(__xludf.DUMMYFUNCTION("""COMPUTED_VALUE"""),0.326923076923076)</f>
        <v>0.3269230769</v>
      </c>
      <c r="P112" s="8">
        <f>IFERROR(__xludf.DUMMYFUNCTION("""COMPUTED_VALUE"""),0.269230769230769)</f>
        <v>0.2692307692</v>
      </c>
      <c r="Q112" s="8">
        <f>IFERROR(__xludf.DUMMYFUNCTION("""COMPUTED_VALUE"""),0.225806451612903)</f>
        <v>0.2258064516</v>
      </c>
      <c r="R112" s="8">
        <f>IFERROR(__xludf.DUMMYFUNCTION("""COMPUTED_VALUE"""),0.0)</f>
        <v>0</v>
      </c>
      <c r="S112" s="8">
        <f>IFERROR(__xludf.DUMMYFUNCTION("""COMPUTED_VALUE"""),0.0)</f>
        <v>0</v>
      </c>
      <c r="T112" s="8">
        <f>IFERROR(__xludf.DUMMYFUNCTION("""COMPUTED_VALUE"""),0.0)</f>
        <v>0</v>
      </c>
      <c r="U112" s="8">
        <f>IFERROR(__xludf.DUMMYFUNCTION("""COMPUTED_VALUE"""),0.0)</f>
        <v>0</v>
      </c>
      <c r="V112" s="8">
        <f>IFERROR(__xludf.DUMMYFUNCTION("""COMPUTED_VALUE"""),0.0)</f>
        <v>0</v>
      </c>
      <c r="W112" s="8">
        <f>IFERROR(__xludf.DUMMYFUNCTION("""COMPUTED_VALUE"""),0.0)</f>
        <v>0</v>
      </c>
      <c r="X112" s="8">
        <f>IFERROR(__xludf.DUMMYFUNCTION("""COMPUTED_VALUE"""),0.0)</f>
        <v>0</v>
      </c>
      <c r="Y112" s="8">
        <f>IFERROR(__xludf.DUMMYFUNCTION("""COMPUTED_VALUE"""),0.0)</f>
        <v>0</v>
      </c>
      <c r="Z112" s="8">
        <f>IFERROR(__xludf.DUMMYFUNCTION("""COMPUTED_VALUE"""),0.0)</f>
        <v>0</v>
      </c>
      <c r="AA112" s="8">
        <f>IFERROR(__xludf.DUMMYFUNCTION("""COMPUTED_VALUE"""),0.0)</f>
        <v>0</v>
      </c>
      <c r="AB112" s="8">
        <f>IFERROR(__xludf.DUMMYFUNCTION("""COMPUTED_VALUE"""),0.0)</f>
        <v>0</v>
      </c>
      <c r="AC112" s="8">
        <f>IFERROR(__xludf.DUMMYFUNCTION("""COMPUTED_VALUE"""),0.0)</f>
        <v>0</v>
      </c>
    </row>
    <row r="113" ht="15.75" customHeight="1">
      <c r="A113" s="6" t="str">
        <f>IFERROR(__xludf.DUMMYFUNCTION("""COMPUTED_VALUE"""),"5c0a4a3bda3c16a4ed94c8945bade52e165a2848")</f>
        <v>5c0a4a3bda3c16a4ed94c8945bade52e165a2848</v>
      </c>
      <c r="B113" s="6" t="str">
        <f>IFERROR(__xludf.DUMMYFUNCTION("""COMPUTED_VALUE"""),"Bound to Reclusive Alpha")</f>
        <v>Bound to Reclusive Alpha</v>
      </c>
      <c r="C113" s="6" t="str">
        <f>IFERROR(__xludf.DUMMYFUNCTION("""COMPUTED_VALUE"""),"Fantasy")</f>
        <v>Fantasy</v>
      </c>
      <c r="D113" s="11">
        <f>IFERROR(__xludf.DUMMYFUNCTION("""COMPUTED_VALUE"""),625.0)</f>
        <v>625</v>
      </c>
      <c r="E113" s="8">
        <f>IFERROR(__xludf.DUMMYFUNCTION("""COMPUTED_VALUE"""),0.9856)</f>
        <v>0.9856</v>
      </c>
      <c r="F113" s="8">
        <f>IFERROR(__xludf.DUMMYFUNCTION("""COMPUTED_VALUE"""),0.528846153846153)</f>
        <v>0.5288461538</v>
      </c>
      <c r="G113" s="8">
        <f>IFERROR(__xludf.DUMMYFUNCTION("""COMPUTED_VALUE"""),0.456026058631921)</f>
        <v>0.4560260586</v>
      </c>
      <c r="H113" s="8">
        <f>IFERROR(__xludf.DUMMYFUNCTION("""COMPUTED_VALUE"""),0.417935702199661)</f>
        <v>0.4179357022</v>
      </c>
      <c r="I113" s="8">
        <f>IFERROR(__xludf.DUMMYFUNCTION("""COMPUTED_VALUE"""),0.379897785349233)</f>
        <v>0.3798977853</v>
      </c>
      <c r="J113" s="8">
        <f>IFERROR(__xludf.DUMMYFUNCTION("""COMPUTED_VALUE"""),0.341968911917098)</f>
        <v>0.3419689119</v>
      </c>
      <c r="K113" s="8">
        <f>IFERROR(__xludf.DUMMYFUNCTION("""COMPUTED_VALUE"""),0.315331010452961)</f>
        <v>0.3153310105</v>
      </c>
      <c r="L113" s="8">
        <f>IFERROR(__xludf.DUMMYFUNCTION("""COMPUTED_VALUE"""),0.29802513464991)</f>
        <v>0.2980251346</v>
      </c>
      <c r="M113" s="8">
        <f>IFERROR(__xludf.DUMMYFUNCTION("""COMPUTED_VALUE"""),0.282809611829944)</f>
        <v>0.2828096118</v>
      </c>
      <c r="N113" s="8">
        <f>IFERROR(__xludf.DUMMYFUNCTION("""COMPUTED_VALUE"""),0.251417769376181)</f>
        <v>0.2514177694</v>
      </c>
      <c r="O113" s="8">
        <f>IFERROR(__xludf.DUMMYFUNCTION("""COMPUTED_VALUE"""),0.198795180722891)</f>
        <v>0.1987951807</v>
      </c>
      <c r="P113" s="8">
        <f>IFERROR(__xludf.DUMMYFUNCTION("""COMPUTED_VALUE"""),0.19298245614035)</f>
        <v>0.1929824561</v>
      </c>
      <c r="Q113" s="8">
        <f>IFERROR(__xludf.DUMMYFUNCTION("""COMPUTED_VALUE"""),0.0419161676646706)</f>
        <v>0.04191616766</v>
      </c>
      <c r="R113" s="8">
        <f>IFERROR(__xludf.DUMMYFUNCTION("""COMPUTED_VALUE"""),0.0289855072463768)</f>
        <v>0.02898550725</v>
      </c>
      <c r="S113" s="8">
        <f>IFERROR(__xludf.DUMMYFUNCTION("""COMPUTED_VALUE"""),0.0833333333333333)</f>
        <v>0.08333333333</v>
      </c>
      <c r="T113" s="8">
        <f>IFERROR(__xludf.DUMMYFUNCTION("""COMPUTED_VALUE"""),0.0)</f>
        <v>0</v>
      </c>
      <c r="U113" s="8">
        <f>IFERROR(__xludf.DUMMYFUNCTION("""COMPUTED_VALUE"""),0.0)</f>
        <v>0</v>
      </c>
      <c r="V113" s="8">
        <f>IFERROR(__xludf.DUMMYFUNCTION("""COMPUTED_VALUE"""),0.0)</f>
        <v>0</v>
      </c>
      <c r="W113" s="8">
        <f>IFERROR(__xludf.DUMMYFUNCTION("""COMPUTED_VALUE"""),0.0)</f>
        <v>0</v>
      </c>
      <c r="X113" s="8">
        <f>IFERROR(__xludf.DUMMYFUNCTION("""COMPUTED_VALUE"""),0.0)</f>
        <v>0</v>
      </c>
      <c r="Y113" s="8">
        <f>IFERROR(__xludf.DUMMYFUNCTION("""COMPUTED_VALUE"""),0.0)</f>
        <v>0</v>
      </c>
      <c r="Z113" s="8">
        <f>IFERROR(__xludf.DUMMYFUNCTION("""COMPUTED_VALUE"""),0.0)</f>
        <v>0</v>
      </c>
      <c r="AA113" s="8">
        <f>IFERROR(__xludf.DUMMYFUNCTION("""COMPUTED_VALUE"""),0.0)</f>
        <v>0</v>
      </c>
      <c r="AB113" s="8">
        <f>IFERROR(__xludf.DUMMYFUNCTION("""COMPUTED_VALUE"""),0.0)</f>
        <v>0</v>
      </c>
      <c r="AC113" s="8">
        <f>IFERROR(__xludf.DUMMYFUNCTION("""COMPUTED_VALUE"""),0.0)</f>
        <v>0</v>
      </c>
    </row>
    <row r="114" ht="15.75" customHeight="1">
      <c r="A114" s="6" t="str">
        <f>IFERROR(__xludf.DUMMYFUNCTION("""COMPUTED_VALUE"""),"5cf4b46f18d6bb7294440595874ef70922a2b9a3")</f>
        <v>5cf4b46f18d6bb7294440595874ef70922a2b9a3</v>
      </c>
      <c r="B114" s="6" t="str">
        <f>IFERROR(__xludf.DUMMYFUNCTION("""COMPUTED_VALUE"""),"Alabama Royal")</f>
        <v>Alabama Royal</v>
      </c>
      <c r="C114" s="6" t="str">
        <f>IFERROR(__xludf.DUMMYFUNCTION("""COMPUTED_VALUE"""),"Romance")</f>
        <v>Romance</v>
      </c>
      <c r="D114" s="11">
        <f>IFERROR(__xludf.DUMMYFUNCTION("""COMPUTED_VALUE"""),545.0)</f>
        <v>545</v>
      </c>
      <c r="E114" s="8">
        <f>IFERROR(__xludf.DUMMYFUNCTION("""COMPUTED_VALUE"""),0.976146788990825)</f>
        <v>0.976146789</v>
      </c>
      <c r="F114" s="8">
        <f>IFERROR(__xludf.DUMMYFUNCTION("""COMPUTED_VALUE"""),0.48440366972477)</f>
        <v>0.4844036697</v>
      </c>
      <c r="G114" s="8">
        <f>IFERROR(__xludf.DUMMYFUNCTION("""COMPUTED_VALUE"""),0.4348623853211)</f>
        <v>0.4348623853</v>
      </c>
      <c r="H114" s="8">
        <f>IFERROR(__xludf.DUMMYFUNCTION("""COMPUTED_VALUE"""),0.395220588235294)</f>
        <v>0.3952205882</v>
      </c>
      <c r="I114" s="8">
        <f>IFERROR(__xludf.DUMMYFUNCTION("""COMPUTED_VALUE"""),0.366482504604051)</f>
        <v>0.3664825046</v>
      </c>
      <c r="J114" s="8">
        <f>IFERROR(__xludf.DUMMYFUNCTION("""COMPUTED_VALUE"""),0.335174953959484)</f>
        <v>0.335174954</v>
      </c>
      <c r="K114" s="8">
        <f>IFERROR(__xludf.DUMMYFUNCTION("""COMPUTED_VALUE"""),0.322283609576427)</f>
        <v>0.3222836096</v>
      </c>
      <c r="L114" s="8">
        <f>IFERROR(__xludf.DUMMYFUNCTION("""COMPUTED_VALUE"""),0.303867403314917)</f>
        <v>0.3038674033</v>
      </c>
      <c r="M114" s="8">
        <f>IFERROR(__xludf.DUMMYFUNCTION("""COMPUTED_VALUE"""),0.285977859778597)</f>
        <v>0.2859778598</v>
      </c>
      <c r="N114" s="8">
        <f>IFERROR(__xludf.DUMMYFUNCTION("""COMPUTED_VALUE"""),0.273567467652495)</f>
        <v>0.2735674677</v>
      </c>
      <c r="O114" s="8">
        <f>IFERROR(__xludf.DUMMYFUNCTION("""COMPUTED_VALUE"""),0.228301886792452)</f>
        <v>0.2283018868</v>
      </c>
      <c r="P114" s="8">
        <f>IFERROR(__xludf.DUMMYFUNCTION("""COMPUTED_VALUE"""),0.196190476190476)</f>
        <v>0.1961904762</v>
      </c>
      <c r="Q114" s="8">
        <f>IFERROR(__xludf.DUMMYFUNCTION("""COMPUTED_VALUE"""),0.143187066974595)</f>
        <v>0.143187067</v>
      </c>
      <c r="R114" s="8">
        <f>IFERROR(__xludf.DUMMYFUNCTION("""COMPUTED_VALUE"""),0.0)</f>
        <v>0</v>
      </c>
      <c r="S114" s="8">
        <f>IFERROR(__xludf.DUMMYFUNCTION("""COMPUTED_VALUE"""),0.0)</f>
        <v>0</v>
      </c>
      <c r="T114" s="8">
        <f>IFERROR(__xludf.DUMMYFUNCTION("""COMPUTED_VALUE"""),0.0)</f>
        <v>0</v>
      </c>
      <c r="U114" s="8">
        <f>IFERROR(__xludf.DUMMYFUNCTION("""COMPUTED_VALUE"""),0.0)</f>
        <v>0</v>
      </c>
      <c r="V114" s="8">
        <f>IFERROR(__xludf.DUMMYFUNCTION("""COMPUTED_VALUE"""),0.0)</f>
        <v>0</v>
      </c>
      <c r="W114" s="8">
        <f>IFERROR(__xludf.DUMMYFUNCTION("""COMPUTED_VALUE"""),0.0)</f>
        <v>0</v>
      </c>
      <c r="X114" s="8">
        <f>IFERROR(__xludf.DUMMYFUNCTION("""COMPUTED_VALUE"""),0.0)</f>
        <v>0</v>
      </c>
      <c r="Y114" s="8">
        <f>IFERROR(__xludf.DUMMYFUNCTION("""COMPUTED_VALUE"""),0.0)</f>
        <v>0</v>
      </c>
      <c r="Z114" s="8">
        <f>IFERROR(__xludf.DUMMYFUNCTION("""COMPUTED_VALUE"""),0.0)</f>
        <v>0</v>
      </c>
      <c r="AA114" s="8">
        <f>IFERROR(__xludf.DUMMYFUNCTION("""COMPUTED_VALUE"""),0.0)</f>
        <v>0</v>
      </c>
      <c r="AB114" s="8">
        <f>IFERROR(__xludf.DUMMYFUNCTION("""COMPUTED_VALUE"""),0.0)</f>
        <v>0</v>
      </c>
      <c r="AC114" s="8">
        <f>IFERROR(__xludf.DUMMYFUNCTION("""COMPUTED_VALUE"""),0.0)</f>
        <v>0</v>
      </c>
    </row>
    <row r="115" ht="15.75" customHeight="1">
      <c r="A115" s="6" t="str">
        <f>IFERROR(__xludf.DUMMYFUNCTION("""COMPUTED_VALUE"""),"5d4e7e8696e74e383e0ea0e4f4f535ba9758496a")</f>
        <v>5d4e7e8696e74e383e0ea0e4f4f535ba9758496a</v>
      </c>
      <c r="B115" s="6" t="str">
        <f>IFERROR(__xludf.DUMMYFUNCTION("""COMPUTED_VALUE"""),"Who Fathered My Twins")</f>
        <v>Who Fathered My Twins</v>
      </c>
      <c r="C115" s="6" t="str">
        <f>IFERROR(__xludf.DUMMYFUNCTION("""COMPUTED_VALUE"""),"Romance")</f>
        <v>Romance</v>
      </c>
      <c r="D115" s="11">
        <f>IFERROR(__xludf.DUMMYFUNCTION("""COMPUTED_VALUE"""),92.0)</f>
        <v>92</v>
      </c>
      <c r="E115" s="8">
        <f>IFERROR(__xludf.DUMMYFUNCTION("""COMPUTED_VALUE"""),0.956521739130434)</f>
        <v>0.9565217391</v>
      </c>
      <c r="F115" s="8">
        <f>IFERROR(__xludf.DUMMYFUNCTION("""COMPUTED_VALUE"""),0.663043478260869)</f>
        <v>0.6630434783</v>
      </c>
      <c r="G115" s="8">
        <f>IFERROR(__xludf.DUMMYFUNCTION("""COMPUTED_VALUE"""),0.619565217391304)</f>
        <v>0.6195652174</v>
      </c>
      <c r="H115" s="8">
        <f>IFERROR(__xludf.DUMMYFUNCTION("""COMPUTED_VALUE"""),0.576086956521739)</f>
        <v>0.5760869565</v>
      </c>
      <c r="I115" s="8">
        <f>IFERROR(__xludf.DUMMYFUNCTION("""COMPUTED_VALUE"""),0.543478260869565)</f>
        <v>0.5434782609</v>
      </c>
      <c r="J115" s="8">
        <f>IFERROR(__xludf.DUMMYFUNCTION("""COMPUTED_VALUE"""),0.543478260869565)</f>
        <v>0.5434782609</v>
      </c>
      <c r="K115" s="8">
        <f>IFERROR(__xludf.DUMMYFUNCTION("""COMPUTED_VALUE"""),0.5)</f>
        <v>0.5</v>
      </c>
      <c r="L115" s="8">
        <f>IFERROR(__xludf.DUMMYFUNCTION("""COMPUTED_VALUE"""),0.478260869565217)</f>
        <v>0.4782608696</v>
      </c>
      <c r="M115" s="8">
        <f>IFERROR(__xludf.DUMMYFUNCTION("""COMPUTED_VALUE"""),0.489130434782608)</f>
        <v>0.4891304348</v>
      </c>
      <c r="N115" s="8">
        <f>IFERROR(__xludf.DUMMYFUNCTION("""COMPUTED_VALUE"""),0.466666666666666)</f>
        <v>0.4666666667</v>
      </c>
      <c r="O115" s="8">
        <f>IFERROR(__xludf.DUMMYFUNCTION("""COMPUTED_VALUE"""),0.468354430379746)</f>
        <v>0.4683544304</v>
      </c>
      <c r="P115" s="8">
        <f>IFERROR(__xludf.DUMMYFUNCTION("""COMPUTED_VALUE"""),0.207792207792207)</f>
        <v>0.2077922078</v>
      </c>
      <c r="Q115" s="8">
        <f>IFERROR(__xludf.DUMMYFUNCTION("""COMPUTED_VALUE"""),0.0769230769230769)</f>
        <v>0.07692307692</v>
      </c>
      <c r="R115" s="8">
        <f>IFERROR(__xludf.DUMMYFUNCTION("""COMPUTED_VALUE"""),0.122448979591836)</f>
        <v>0.1224489796</v>
      </c>
      <c r="S115" s="8">
        <f>IFERROR(__xludf.DUMMYFUNCTION("""COMPUTED_VALUE"""),0.0)</f>
        <v>0</v>
      </c>
      <c r="T115" s="8">
        <f>IFERROR(__xludf.DUMMYFUNCTION("""COMPUTED_VALUE"""),0.0)</f>
        <v>0</v>
      </c>
      <c r="U115" s="8">
        <f>IFERROR(__xludf.DUMMYFUNCTION("""COMPUTED_VALUE"""),0.0)</f>
        <v>0</v>
      </c>
      <c r="V115" s="8">
        <f>IFERROR(__xludf.DUMMYFUNCTION("""COMPUTED_VALUE"""),0.0)</f>
        <v>0</v>
      </c>
      <c r="W115" s="8">
        <f>IFERROR(__xludf.DUMMYFUNCTION("""COMPUTED_VALUE"""),0.0)</f>
        <v>0</v>
      </c>
      <c r="X115" s="8">
        <f>IFERROR(__xludf.DUMMYFUNCTION("""COMPUTED_VALUE"""),0.0)</f>
        <v>0</v>
      </c>
      <c r="Y115" s="8">
        <f>IFERROR(__xludf.DUMMYFUNCTION("""COMPUTED_VALUE"""),0.0)</f>
        <v>0</v>
      </c>
      <c r="Z115" s="8">
        <f>IFERROR(__xludf.DUMMYFUNCTION("""COMPUTED_VALUE"""),0.0)</f>
        <v>0</v>
      </c>
      <c r="AA115" s="8">
        <f>IFERROR(__xludf.DUMMYFUNCTION("""COMPUTED_VALUE"""),0.0)</f>
        <v>0</v>
      </c>
      <c r="AB115" s="8">
        <f>IFERROR(__xludf.DUMMYFUNCTION("""COMPUTED_VALUE"""),0.0)</f>
        <v>0</v>
      </c>
      <c r="AC115" s="8">
        <f>IFERROR(__xludf.DUMMYFUNCTION("""COMPUTED_VALUE"""),0.0)</f>
        <v>0</v>
      </c>
    </row>
    <row r="116" ht="15.75" customHeight="1">
      <c r="A116" s="6" t="str">
        <f>IFERROR(__xludf.DUMMYFUNCTION("""COMPUTED_VALUE"""),"5e570d3fccfb5029774b4d9f9669429f580d0791")</f>
        <v>5e570d3fccfb5029774b4d9f9669429f580d0791</v>
      </c>
      <c r="B116" s="6" t="str">
        <f>IFERROR(__xludf.DUMMYFUNCTION("""COMPUTED_VALUE"""),"Princess Ebony &amp; the Silver Dragon")</f>
        <v>Princess Ebony &amp; the Silver Dragon</v>
      </c>
      <c r="C116" s="6" t="str">
        <f>IFERROR(__xludf.DUMMYFUNCTION("""COMPUTED_VALUE"""),"Fantasy")</f>
        <v>Fantasy</v>
      </c>
      <c r="D116" s="11">
        <f>IFERROR(__xludf.DUMMYFUNCTION("""COMPUTED_VALUE"""),1497.0)</f>
        <v>1497</v>
      </c>
      <c r="E116" s="8">
        <f>IFERROR(__xludf.DUMMYFUNCTION("""COMPUTED_VALUE"""),0.926470588235294)</f>
        <v>0.9264705882</v>
      </c>
      <c r="F116" s="8">
        <f>IFERROR(__xludf.DUMMYFUNCTION("""COMPUTED_VALUE"""),0.605633802816901)</f>
        <v>0.6056338028</v>
      </c>
      <c r="G116" s="8">
        <f>IFERROR(__xludf.DUMMYFUNCTION("""COMPUTED_VALUE"""),0.549295774647887)</f>
        <v>0.5492957746</v>
      </c>
      <c r="H116" s="8">
        <f>IFERROR(__xludf.DUMMYFUNCTION("""COMPUTED_VALUE"""),0.52112676056338)</f>
        <v>0.5211267606</v>
      </c>
      <c r="I116" s="8">
        <f>IFERROR(__xludf.DUMMYFUNCTION("""COMPUTED_VALUE"""),0.510395707578806)</f>
        <v>0.5103957076</v>
      </c>
      <c r="J116" s="8">
        <f>IFERROR(__xludf.DUMMYFUNCTION("""COMPUTED_VALUE"""),0.492957746478873)</f>
        <v>0.4929577465</v>
      </c>
      <c r="K116" s="8">
        <f>IFERROR(__xludf.DUMMYFUNCTION("""COMPUTED_VALUE"""),0.469483568075117)</f>
        <v>0.4694835681</v>
      </c>
      <c r="L116" s="8">
        <f>IFERROR(__xludf.DUMMYFUNCTION("""COMPUTED_VALUE"""),0.463447350771294)</f>
        <v>0.4634473508</v>
      </c>
      <c r="M116" s="8">
        <f>IFERROR(__xludf.DUMMYFUNCTION("""COMPUTED_VALUE"""),0.457411133467471)</f>
        <v>0.4574111335</v>
      </c>
      <c r="N116" s="8">
        <f>IFERROR(__xludf.DUMMYFUNCTION("""COMPUTED_VALUE"""),0.447350771294433)</f>
        <v>0.4473507713</v>
      </c>
      <c r="O116" s="8">
        <f>IFERROR(__xludf.DUMMYFUNCTION("""COMPUTED_VALUE"""),0.407780013413816)</f>
        <v>0.4077800134</v>
      </c>
      <c r="P116" s="8">
        <f>IFERROR(__xludf.DUMMYFUNCTION("""COMPUTED_VALUE"""),0.354795439302481)</f>
        <v>0.3547954393</v>
      </c>
      <c r="Q116" s="8">
        <f>IFERROR(__xludf.DUMMYFUNCTION("""COMPUTED_VALUE"""),0.287726358148893)</f>
        <v>0.2877263581</v>
      </c>
      <c r="R116" s="8">
        <f>IFERROR(__xludf.DUMMYFUNCTION("""COMPUTED_VALUE"""),0.257046979865771)</f>
        <v>0.2570469799</v>
      </c>
      <c r="S116" s="8">
        <f>IFERROR(__xludf.DUMMYFUNCTION("""COMPUTED_VALUE"""),0.2248322147651)</f>
        <v>0.2248322148</v>
      </c>
      <c r="T116" s="8">
        <f>IFERROR(__xludf.DUMMYFUNCTION("""COMPUTED_VALUE"""),0.194630872483221)</f>
        <v>0.1946308725</v>
      </c>
      <c r="U116" s="8">
        <f>IFERROR(__xludf.DUMMYFUNCTION("""COMPUTED_VALUE"""),0.146520146520146)</f>
        <v>0.1465201465</v>
      </c>
      <c r="V116" s="8">
        <f>IFERROR(__xludf.DUMMYFUNCTION("""COMPUTED_VALUE"""),0.102425876010781)</f>
        <v>0.102425876</v>
      </c>
      <c r="W116" s="8">
        <f>IFERROR(__xludf.DUMMYFUNCTION("""COMPUTED_VALUE"""),0.111111111111111)</f>
        <v>0.1111111111</v>
      </c>
      <c r="X116" s="8">
        <f>IFERROR(__xludf.DUMMYFUNCTION("""COMPUTED_VALUE"""),0.0263157894736842)</f>
        <v>0.02631578947</v>
      </c>
      <c r="Y116" s="8">
        <f>IFERROR(__xludf.DUMMYFUNCTION("""COMPUTED_VALUE"""),0.0454545454545454)</f>
        <v>0.04545454545</v>
      </c>
      <c r="Z116" s="8">
        <f>IFERROR(__xludf.DUMMYFUNCTION("""COMPUTED_VALUE"""),0.0)</f>
        <v>0</v>
      </c>
      <c r="AA116" s="8">
        <f>IFERROR(__xludf.DUMMYFUNCTION("""COMPUTED_VALUE"""),0.0)</f>
        <v>0</v>
      </c>
      <c r="AB116" s="8">
        <f>IFERROR(__xludf.DUMMYFUNCTION("""COMPUTED_VALUE"""),0.0)</f>
        <v>0</v>
      </c>
      <c r="AC116" s="8">
        <f>IFERROR(__xludf.DUMMYFUNCTION("""COMPUTED_VALUE"""),0.0)</f>
        <v>0</v>
      </c>
    </row>
    <row r="117" ht="15.75" customHeight="1">
      <c r="A117" s="6" t="str">
        <f>IFERROR(__xludf.DUMMYFUNCTION("""COMPUTED_VALUE"""),"600fd3dce36442cc62b42d3dc874d91d13e1d8e4")</f>
        <v>600fd3dce36442cc62b42d3dc874d91d13e1d8e4</v>
      </c>
      <c r="B117" s="6" t="str">
        <f>IFERROR(__xludf.DUMMYFUNCTION("""COMPUTED_VALUE"""),"Solo Leveling Respawn")</f>
        <v>Solo Leveling Respawn</v>
      </c>
      <c r="C117" s="6" t="str">
        <f>IFERROR(__xludf.DUMMYFUNCTION("""COMPUTED_VALUE"""),"System and Superpower")</f>
        <v>System and Superpower</v>
      </c>
      <c r="D117" s="11">
        <f>IFERROR(__xludf.DUMMYFUNCTION("""COMPUTED_VALUE"""),69.0)</f>
        <v>69</v>
      </c>
      <c r="E117" s="8">
        <f>IFERROR(__xludf.DUMMYFUNCTION("""COMPUTED_VALUE"""),0.985507246376811)</f>
        <v>0.9855072464</v>
      </c>
      <c r="F117" s="8">
        <f>IFERROR(__xludf.DUMMYFUNCTION("""COMPUTED_VALUE"""),0.492753623188405)</f>
        <v>0.4927536232</v>
      </c>
      <c r="G117" s="8">
        <f>IFERROR(__xludf.DUMMYFUNCTION("""COMPUTED_VALUE"""),0.333333333333333)</f>
        <v>0.3333333333</v>
      </c>
      <c r="H117" s="8">
        <f>IFERROR(__xludf.DUMMYFUNCTION("""COMPUTED_VALUE"""),0.275362318840579)</f>
        <v>0.2753623188</v>
      </c>
      <c r="I117" s="8">
        <f>IFERROR(__xludf.DUMMYFUNCTION("""COMPUTED_VALUE"""),0.231884057971014)</f>
        <v>0.231884058</v>
      </c>
      <c r="J117" s="8">
        <f>IFERROR(__xludf.DUMMYFUNCTION("""COMPUTED_VALUE"""),0.191176470588235)</f>
        <v>0.1911764706</v>
      </c>
      <c r="K117" s="8">
        <f>IFERROR(__xludf.DUMMYFUNCTION("""COMPUTED_VALUE"""),0.147058823529411)</f>
        <v>0.1470588235</v>
      </c>
      <c r="L117" s="8">
        <f>IFERROR(__xludf.DUMMYFUNCTION("""COMPUTED_VALUE"""),0.151515151515151)</f>
        <v>0.1515151515</v>
      </c>
      <c r="M117" s="8">
        <f>IFERROR(__xludf.DUMMYFUNCTION("""COMPUTED_VALUE"""),0.138461538461538)</f>
        <v>0.1384615385</v>
      </c>
      <c r="N117" s="8">
        <f>IFERROR(__xludf.DUMMYFUNCTION("""COMPUTED_VALUE"""),0.109375)</f>
        <v>0.109375</v>
      </c>
      <c r="O117" s="8">
        <f>IFERROR(__xludf.DUMMYFUNCTION("""COMPUTED_VALUE"""),0.111111111111111)</f>
        <v>0.1111111111</v>
      </c>
      <c r="P117" s="8">
        <f>IFERROR(__xludf.DUMMYFUNCTION("""COMPUTED_VALUE"""),0.114754098360655)</f>
        <v>0.1147540984</v>
      </c>
      <c r="Q117" s="8">
        <f>IFERROR(__xludf.DUMMYFUNCTION("""COMPUTED_VALUE"""),0.0526315789473684)</f>
        <v>0.05263157895</v>
      </c>
      <c r="R117" s="8">
        <f>IFERROR(__xludf.DUMMYFUNCTION("""COMPUTED_VALUE"""),0.0192307692307692)</f>
        <v>0.01923076923</v>
      </c>
      <c r="S117" s="8">
        <f>IFERROR(__xludf.DUMMYFUNCTION("""COMPUTED_VALUE"""),0.0444444444444444)</f>
        <v>0.04444444444</v>
      </c>
      <c r="T117" s="8">
        <f>IFERROR(__xludf.DUMMYFUNCTION("""COMPUTED_VALUE"""),0.027027027027027)</f>
        <v>0.02702702703</v>
      </c>
      <c r="U117" s="8">
        <f>IFERROR(__xludf.DUMMYFUNCTION("""COMPUTED_VALUE"""),0.032258064516129)</f>
        <v>0.03225806452</v>
      </c>
      <c r="V117" s="8">
        <f>IFERROR(__xludf.DUMMYFUNCTION("""COMPUTED_VALUE"""),0.0)</f>
        <v>0</v>
      </c>
      <c r="W117" s="8">
        <f>IFERROR(__xludf.DUMMYFUNCTION("""COMPUTED_VALUE"""),0.0)</f>
        <v>0</v>
      </c>
      <c r="X117" s="8">
        <f>IFERROR(__xludf.DUMMYFUNCTION("""COMPUTED_VALUE"""),0.0)</f>
        <v>0</v>
      </c>
      <c r="Y117" s="8">
        <f>IFERROR(__xludf.DUMMYFUNCTION("""COMPUTED_VALUE"""),0.0)</f>
        <v>0</v>
      </c>
      <c r="Z117" s="8">
        <f>IFERROR(__xludf.DUMMYFUNCTION("""COMPUTED_VALUE"""),0.0)</f>
        <v>0</v>
      </c>
      <c r="AA117" s="8">
        <f>IFERROR(__xludf.DUMMYFUNCTION("""COMPUTED_VALUE"""),0.0)</f>
        <v>0</v>
      </c>
      <c r="AB117" s="8">
        <f>IFERROR(__xludf.DUMMYFUNCTION("""COMPUTED_VALUE"""),0.0)</f>
        <v>0</v>
      </c>
      <c r="AC117" s="8">
        <f>IFERROR(__xludf.DUMMYFUNCTION("""COMPUTED_VALUE"""),0.0)</f>
        <v>0</v>
      </c>
    </row>
    <row r="118" ht="15.75" customHeight="1">
      <c r="A118" s="6" t="str">
        <f>IFERROR(__xludf.DUMMYFUNCTION("""COMPUTED_VALUE"""),"607c0f609185406d26ef53f75ec53702dfb292d7")</f>
        <v>607c0f609185406d26ef53f75ec53702dfb292d7</v>
      </c>
      <c r="B118" s="6" t="str">
        <f>IFERROR(__xludf.DUMMYFUNCTION("""COMPUTED_VALUE"""),"The Chaosborn Child")</f>
        <v>The Chaosborn Child</v>
      </c>
      <c r="C118" s="6" t="str">
        <f>IFERROR(__xludf.DUMMYFUNCTION("""COMPUTED_VALUE"""),"Fantasy")</f>
        <v>Fantasy</v>
      </c>
      <c r="D118" s="11">
        <f>IFERROR(__xludf.DUMMYFUNCTION("""COMPUTED_VALUE"""),44.0)</f>
        <v>44</v>
      </c>
      <c r="E118" s="8">
        <f>IFERROR(__xludf.DUMMYFUNCTION("""COMPUTED_VALUE"""),0.977272727272727)</f>
        <v>0.9772727273</v>
      </c>
      <c r="F118" s="8">
        <f>IFERROR(__xludf.DUMMYFUNCTION("""COMPUTED_VALUE"""),0.568181818181818)</f>
        <v>0.5681818182</v>
      </c>
      <c r="G118" s="8">
        <f>IFERROR(__xludf.DUMMYFUNCTION("""COMPUTED_VALUE"""),0.5)</f>
        <v>0.5</v>
      </c>
      <c r="H118" s="8">
        <f>IFERROR(__xludf.DUMMYFUNCTION("""COMPUTED_VALUE"""),0.522727272727272)</f>
        <v>0.5227272727</v>
      </c>
      <c r="I118" s="8">
        <f>IFERROR(__xludf.DUMMYFUNCTION("""COMPUTED_VALUE"""),0.477272727272727)</f>
        <v>0.4772727273</v>
      </c>
      <c r="J118" s="8">
        <f>IFERROR(__xludf.DUMMYFUNCTION("""COMPUTED_VALUE"""),0.454545454545454)</f>
        <v>0.4545454545</v>
      </c>
      <c r="K118" s="8">
        <f>IFERROR(__xludf.DUMMYFUNCTION("""COMPUTED_VALUE"""),0.454545454545454)</f>
        <v>0.4545454545</v>
      </c>
      <c r="L118" s="8">
        <f>IFERROR(__xludf.DUMMYFUNCTION("""COMPUTED_VALUE"""),0.409090909090909)</f>
        <v>0.4090909091</v>
      </c>
      <c r="M118" s="8">
        <f>IFERROR(__xludf.DUMMYFUNCTION("""COMPUTED_VALUE"""),0.41860465116279)</f>
        <v>0.4186046512</v>
      </c>
      <c r="N118" s="8">
        <f>IFERROR(__xludf.DUMMYFUNCTION("""COMPUTED_VALUE"""),0.372093023255813)</f>
        <v>0.3720930233</v>
      </c>
      <c r="O118" s="8">
        <f>IFERROR(__xludf.DUMMYFUNCTION("""COMPUTED_VALUE"""),0.309523809523809)</f>
        <v>0.3095238095</v>
      </c>
      <c r="P118" s="8">
        <f>IFERROR(__xludf.DUMMYFUNCTION("""COMPUTED_VALUE"""),0.275862068965517)</f>
        <v>0.275862069</v>
      </c>
      <c r="Q118" s="8">
        <f>IFERROR(__xludf.DUMMYFUNCTION("""COMPUTED_VALUE"""),0.111111111111111)</f>
        <v>0.1111111111</v>
      </c>
      <c r="R118" s="8">
        <f>IFERROR(__xludf.DUMMYFUNCTION("""COMPUTED_VALUE"""),0.0)</f>
        <v>0</v>
      </c>
      <c r="S118" s="8">
        <f>IFERROR(__xludf.DUMMYFUNCTION("""COMPUTED_VALUE"""),0.0)</f>
        <v>0</v>
      </c>
      <c r="T118" s="8">
        <f>IFERROR(__xludf.DUMMYFUNCTION("""COMPUTED_VALUE"""),0.0)</f>
        <v>0</v>
      </c>
      <c r="U118" s="8">
        <f>IFERROR(__xludf.DUMMYFUNCTION("""COMPUTED_VALUE"""),0.0)</f>
        <v>0</v>
      </c>
      <c r="V118" s="8">
        <f>IFERROR(__xludf.DUMMYFUNCTION("""COMPUTED_VALUE"""),0.0)</f>
        <v>0</v>
      </c>
      <c r="W118" s="8">
        <f>IFERROR(__xludf.DUMMYFUNCTION("""COMPUTED_VALUE"""),0.0)</f>
        <v>0</v>
      </c>
      <c r="X118" s="8">
        <f>IFERROR(__xludf.DUMMYFUNCTION("""COMPUTED_VALUE"""),0.0)</f>
        <v>0</v>
      </c>
      <c r="Y118" s="8">
        <f>IFERROR(__xludf.DUMMYFUNCTION("""COMPUTED_VALUE"""),0.0)</f>
        <v>0</v>
      </c>
      <c r="Z118" s="8">
        <f>IFERROR(__xludf.DUMMYFUNCTION("""COMPUTED_VALUE"""),0.0)</f>
        <v>0</v>
      </c>
      <c r="AA118" s="8">
        <f>IFERROR(__xludf.DUMMYFUNCTION("""COMPUTED_VALUE"""),0.0)</f>
        <v>0</v>
      </c>
      <c r="AB118" s="8">
        <f>IFERROR(__xludf.DUMMYFUNCTION("""COMPUTED_VALUE"""),0.0)</f>
        <v>0</v>
      </c>
      <c r="AC118" s="8">
        <f>IFERROR(__xludf.DUMMYFUNCTION("""COMPUTED_VALUE"""),0.0)</f>
        <v>0</v>
      </c>
    </row>
    <row r="119" ht="15.75" customHeight="1">
      <c r="A119" s="6" t="str">
        <f>IFERROR(__xludf.DUMMYFUNCTION("""COMPUTED_VALUE"""),"616431aa030a50bfb34a59a1919f5a8db0c29017")</f>
        <v>616431aa030a50bfb34a59a1919f5a8db0c29017</v>
      </c>
      <c r="B119" s="6" t="str">
        <f>IFERROR(__xludf.DUMMYFUNCTION("""COMPUTED_VALUE"""),"She Came Back Fabulous")</f>
        <v>She Came Back Fabulous</v>
      </c>
      <c r="C119" s="6" t="str">
        <f>IFERROR(__xludf.DUMMYFUNCTION("""COMPUTED_VALUE"""),"Romance")</f>
        <v>Romance</v>
      </c>
      <c r="D119" s="11">
        <f>IFERROR(__xludf.DUMMYFUNCTION("""COMPUTED_VALUE"""),489.0)</f>
        <v>489</v>
      </c>
      <c r="E119" s="8">
        <f>IFERROR(__xludf.DUMMYFUNCTION("""COMPUTED_VALUE"""),0.962962962962962)</f>
        <v>0.962962963</v>
      </c>
      <c r="F119" s="8">
        <f>IFERROR(__xludf.DUMMYFUNCTION("""COMPUTED_VALUE"""),0.582809224318658)</f>
        <v>0.5828092243</v>
      </c>
      <c r="G119" s="8">
        <f>IFERROR(__xludf.DUMMYFUNCTION("""COMPUTED_VALUE"""),0.536016949152542)</f>
        <v>0.5360169492</v>
      </c>
      <c r="H119" s="8">
        <f>IFERROR(__xludf.DUMMYFUNCTION("""COMPUTED_VALUE"""),0.490238611713665)</f>
        <v>0.4902386117</v>
      </c>
      <c r="I119" s="8">
        <f>IFERROR(__xludf.DUMMYFUNCTION("""COMPUTED_VALUE"""),0.433260393873085)</f>
        <v>0.4332603939</v>
      </c>
      <c r="J119" s="8">
        <f>IFERROR(__xludf.DUMMYFUNCTION("""COMPUTED_VALUE"""),0.4)</f>
        <v>0.4</v>
      </c>
      <c r="K119" s="8">
        <f>IFERROR(__xludf.DUMMYFUNCTION("""COMPUTED_VALUE"""),0.373033707865168)</f>
        <v>0.3730337079</v>
      </c>
      <c r="L119" s="8">
        <f>IFERROR(__xludf.DUMMYFUNCTION("""COMPUTED_VALUE"""),0.344262295081967)</f>
        <v>0.3442622951</v>
      </c>
      <c r="M119" s="8">
        <f>IFERROR(__xludf.DUMMYFUNCTION("""COMPUTED_VALUE"""),0.366834170854271)</f>
        <v>0.3668341709</v>
      </c>
      <c r="N119" s="8">
        <f>IFERROR(__xludf.DUMMYFUNCTION("""COMPUTED_VALUE"""),0.367713004484304)</f>
        <v>0.3677130045</v>
      </c>
      <c r="O119" s="8">
        <f>IFERROR(__xludf.DUMMYFUNCTION("""COMPUTED_VALUE"""),0.28)</f>
        <v>0.28</v>
      </c>
      <c r="P119" s="8">
        <f>IFERROR(__xludf.DUMMYFUNCTION("""COMPUTED_VALUE"""),0.328767123287671)</f>
        <v>0.3287671233</v>
      </c>
      <c r="Q119" s="8">
        <f>IFERROR(__xludf.DUMMYFUNCTION("""COMPUTED_VALUE"""),0.142857142857142)</f>
        <v>0.1428571429</v>
      </c>
      <c r="R119" s="8">
        <f>IFERROR(__xludf.DUMMYFUNCTION("""COMPUTED_VALUE"""),0.0)</f>
        <v>0</v>
      </c>
      <c r="S119" s="8">
        <f>IFERROR(__xludf.DUMMYFUNCTION("""COMPUTED_VALUE"""),0.0)</f>
        <v>0</v>
      </c>
      <c r="T119" s="8">
        <f>IFERROR(__xludf.DUMMYFUNCTION("""COMPUTED_VALUE"""),0.0)</f>
        <v>0</v>
      </c>
      <c r="U119" s="8">
        <f>IFERROR(__xludf.DUMMYFUNCTION("""COMPUTED_VALUE"""),0.0)</f>
        <v>0</v>
      </c>
      <c r="V119" s="8">
        <f>IFERROR(__xludf.DUMMYFUNCTION("""COMPUTED_VALUE"""),0.0)</f>
        <v>0</v>
      </c>
      <c r="W119" s="8">
        <f>IFERROR(__xludf.DUMMYFUNCTION("""COMPUTED_VALUE"""),0.0)</f>
        <v>0</v>
      </c>
      <c r="X119" s="8">
        <f>IFERROR(__xludf.DUMMYFUNCTION("""COMPUTED_VALUE"""),0.0)</f>
        <v>0</v>
      </c>
      <c r="Y119" s="8">
        <f>IFERROR(__xludf.DUMMYFUNCTION("""COMPUTED_VALUE"""),0.0)</f>
        <v>0</v>
      </c>
      <c r="Z119" s="8">
        <f>IFERROR(__xludf.DUMMYFUNCTION("""COMPUTED_VALUE"""),0.0)</f>
        <v>0</v>
      </c>
      <c r="AA119" s="8">
        <f>IFERROR(__xludf.DUMMYFUNCTION("""COMPUTED_VALUE"""),0.0)</f>
        <v>0</v>
      </c>
      <c r="AB119" s="8">
        <f>IFERROR(__xludf.DUMMYFUNCTION("""COMPUTED_VALUE"""),0.0)</f>
        <v>0</v>
      </c>
      <c r="AC119" s="8">
        <f>IFERROR(__xludf.DUMMYFUNCTION("""COMPUTED_VALUE"""),0.0)</f>
        <v>0</v>
      </c>
    </row>
    <row r="120" ht="15.75" customHeight="1">
      <c r="A120" s="6" t="str">
        <f>IFERROR(__xludf.DUMMYFUNCTION("""COMPUTED_VALUE"""),"6214ecac2801afde28aa63c555faf06203321c85")</f>
        <v>6214ecac2801afde28aa63c555faf06203321c85</v>
      </c>
      <c r="B120" s="6" t="str">
        <f>IFERROR(__xludf.DUMMYFUNCTION("""COMPUTED_VALUE"""),"Love Behind the Screen")</f>
        <v>Love Behind the Screen</v>
      </c>
      <c r="C120" s="6" t="str">
        <f>IFERROR(__xludf.DUMMYFUNCTION("""COMPUTED_VALUE"""),"Romance")</f>
        <v>Romance</v>
      </c>
      <c r="D120" s="11">
        <f>IFERROR(__xludf.DUMMYFUNCTION("""COMPUTED_VALUE"""),789.0)</f>
        <v>789</v>
      </c>
      <c r="E120" s="8">
        <f>IFERROR(__xludf.DUMMYFUNCTION("""COMPUTED_VALUE"""),0.961928934010152)</f>
        <v>0.961928934</v>
      </c>
      <c r="F120" s="8">
        <f>IFERROR(__xludf.DUMMYFUNCTION("""COMPUTED_VALUE"""),0.536305732484076)</f>
        <v>0.5363057325</v>
      </c>
      <c r="G120" s="8">
        <f>IFERROR(__xludf.DUMMYFUNCTION("""COMPUTED_VALUE"""),0.479591836734693)</f>
        <v>0.4795918367</v>
      </c>
      <c r="H120" s="8">
        <f>IFERROR(__xludf.DUMMYFUNCTION("""COMPUTED_VALUE"""),0.464194373401534)</f>
        <v>0.4641943734</v>
      </c>
      <c r="I120" s="8">
        <f>IFERROR(__xludf.DUMMYFUNCTION("""COMPUTED_VALUE"""),0.423273657289002)</f>
        <v>0.4232736573</v>
      </c>
      <c r="J120" s="8">
        <f>IFERROR(__xludf.DUMMYFUNCTION("""COMPUTED_VALUE"""),0.407692307692307)</f>
        <v>0.4076923077</v>
      </c>
      <c r="K120" s="8">
        <f>IFERROR(__xludf.DUMMYFUNCTION("""COMPUTED_VALUE"""),0.391527599486521)</f>
        <v>0.3915275995</v>
      </c>
      <c r="L120" s="8">
        <f>IFERROR(__xludf.DUMMYFUNCTION("""COMPUTED_VALUE"""),0.372750642673521)</f>
        <v>0.3727506427</v>
      </c>
      <c r="M120" s="8">
        <f>IFERROR(__xludf.DUMMYFUNCTION("""COMPUTED_VALUE"""),0.353925353925353)</f>
        <v>0.3539253539</v>
      </c>
      <c r="N120" s="8">
        <f>IFERROR(__xludf.DUMMYFUNCTION("""COMPUTED_VALUE"""),0.344516129032258)</f>
        <v>0.344516129</v>
      </c>
      <c r="O120" s="8">
        <f>IFERROR(__xludf.DUMMYFUNCTION("""COMPUTED_VALUE"""),0.323529411764705)</f>
        <v>0.3235294118</v>
      </c>
      <c r="P120" s="8">
        <f>IFERROR(__xludf.DUMMYFUNCTION("""COMPUTED_VALUE"""),0.204511278195488)</f>
        <v>0.2045112782</v>
      </c>
      <c r="Q120" s="8">
        <f>IFERROR(__xludf.DUMMYFUNCTION("""COMPUTED_VALUE"""),0.142570281124498)</f>
        <v>0.1425702811</v>
      </c>
      <c r="R120" s="8">
        <f>IFERROR(__xludf.DUMMYFUNCTION("""COMPUTED_VALUE"""),0.108433734939759)</f>
        <v>0.1084337349</v>
      </c>
      <c r="S120" s="8">
        <f>IFERROR(__xludf.DUMMYFUNCTION("""COMPUTED_VALUE"""),0.0786516853932584)</f>
        <v>0.07865168539</v>
      </c>
      <c r="T120" s="8">
        <f>IFERROR(__xludf.DUMMYFUNCTION("""COMPUTED_VALUE"""),0.0)</f>
        <v>0</v>
      </c>
      <c r="U120" s="8">
        <f>IFERROR(__xludf.DUMMYFUNCTION("""COMPUTED_VALUE"""),0.0)</f>
        <v>0</v>
      </c>
      <c r="V120" s="8">
        <f>IFERROR(__xludf.DUMMYFUNCTION("""COMPUTED_VALUE"""),0.0)</f>
        <v>0</v>
      </c>
      <c r="W120" s="8">
        <f>IFERROR(__xludf.DUMMYFUNCTION("""COMPUTED_VALUE"""),0.0)</f>
        <v>0</v>
      </c>
      <c r="X120" s="8">
        <f>IFERROR(__xludf.DUMMYFUNCTION("""COMPUTED_VALUE"""),0.0)</f>
        <v>0</v>
      </c>
      <c r="Y120" s="8">
        <f>IFERROR(__xludf.DUMMYFUNCTION("""COMPUTED_VALUE"""),0.0)</f>
        <v>0</v>
      </c>
      <c r="Z120" s="8">
        <f>IFERROR(__xludf.DUMMYFUNCTION("""COMPUTED_VALUE"""),0.0)</f>
        <v>0</v>
      </c>
      <c r="AA120" s="8">
        <f>IFERROR(__xludf.DUMMYFUNCTION("""COMPUTED_VALUE"""),0.0)</f>
        <v>0</v>
      </c>
      <c r="AB120" s="8">
        <f>IFERROR(__xludf.DUMMYFUNCTION("""COMPUTED_VALUE"""),0.0)</f>
        <v>0</v>
      </c>
      <c r="AC120" s="8">
        <f>IFERROR(__xludf.DUMMYFUNCTION("""COMPUTED_VALUE"""),0.0)</f>
        <v>0</v>
      </c>
    </row>
    <row r="121" ht="15.75" customHeight="1">
      <c r="A121" s="6" t="str">
        <f>IFERROR(__xludf.DUMMYFUNCTION("""COMPUTED_VALUE"""),"622c96a576425047d6bff8447205921132d7f61c")</f>
        <v>622c96a576425047d6bff8447205921132d7f61c</v>
      </c>
      <c r="B121" s="6" t="str">
        <f>IFERROR(__xludf.DUMMYFUNCTION("""COMPUTED_VALUE"""),"The Exit Nobody Expected")</f>
        <v>The Exit Nobody Expected</v>
      </c>
      <c r="C121" s="6" t="str">
        <f>IFERROR(__xludf.DUMMYFUNCTION("""COMPUTED_VALUE"""),"Suspense or Thriller")</f>
        <v>Suspense or Thriller</v>
      </c>
      <c r="D121" s="11">
        <f>IFERROR(__xludf.DUMMYFUNCTION("""COMPUTED_VALUE"""),52.0)</f>
        <v>52</v>
      </c>
      <c r="E121" s="8">
        <f>IFERROR(__xludf.DUMMYFUNCTION("""COMPUTED_VALUE"""),0.938775510204081)</f>
        <v>0.9387755102</v>
      </c>
      <c r="F121" s="8">
        <f>IFERROR(__xludf.DUMMYFUNCTION("""COMPUTED_VALUE"""),0.311111111111111)</f>
        <v>0.3111111111</v>
      </c>
      <c r="G121" s="8">
        <f>IFERROR(__xludf.DUMMYFUNCTION("""COMPUTED_VALUE"""),0.302325581395348)</f>
        <v>0.3023255814</v>
      </c>
      <c r="H121" s="8">
        <f>IFERROR(__xludf.DUMMYFUNCTION("""COMPUTED_VALUE"""),0.317073170731707)</f>
        <v>0.3170731707</v>
      </c>
      <c r="I121" s="8">
        <f>IFERROR(__xludf.DUMMYFUNCTION("""COMPUTED_VALUE"""),0.194444444444444)</f>
        <v>0.1944444444</v>
      </c>
      <c r="J121" s="8">
        <f>IFERROR(__xludf.DUMMYFUNCTION("""COMPUTED_VALUE"""),0.166666666666666)</f>
        <v>0.1666666667</v>
      </c>
      <c r="K121" s="8">
        <f>IFERROR(__xludf.DUMMYFUNCTION("""COMPUTED_VALUE"""),0.1875)</f>
        <v>0.1875</v>
      </c>
      <c r="L121" s="8">
        <f>IFERROR(__xludf.DUMMYFUNCTION("""COMPUTED_VALUE"""),0.111111111111111)</f>
        <v>0.1111111111</v>
      </c>
      <c r="M121" s="8">
        <f>IFERROR(__xludf.DUMMYFUNCTION("""COMPUTED_VALUE"""),0.115384615384615)</f>
        <v>0.1153846154</v>
      </c>
      <c r="N121" s="8">
        <f>IFERROR(__xludf.DUMMYFUNCTION("""COMPUTED_VALUE"""),0.0476190476190476)</f>
        <v>0.04761904762</v>
      </c>
      <c r="O121" s="8">
        <f>IFERROR(__xludf.DUMMYFUNCTION("""COMPUTED_VALUE"""),0.0769230769230769)</f>
        <v>0.07692307692</v>
      </c>
      <c r="P121" s="8">
        <f>IFERROR(__xludf.DUMMYFUNCTION("""COMPUTED_VALUE"""),0.0)</f>
        <v>0</v>
      </c>
      <c r="Q121" s="8">
        <f>IFERROR(__xludf.DUMMYFUNCTION("""COMPUTED_VALUE"""),0.111111111111111)</f>
        <v>0.1111111111</v>
      </c>
      <c r="R121" s="8">
        <f>IFERROR(__xludf.DUMMYFUNCTION("""COMPUTED_VALUE"""),0.0)</f>
        <v>0</v>
      </c>
      <c r="S121" s="8">
        <f>IFERROR(__xludf.DUMMYFUNCTION("""COMPUTED_VALUE"""),0.0)</f>
        <v>0</v>
      </c>
      <c r="T121" s="8">
        <f>IFERROR(__xludf.DUMMYFUNCTION("""COMPUTED_VALUE"""),0.0)</f>
        <v>0</v>
      </c>
      <c r="U121" s="8">
        <f>IFERROR(__xludf.DUMMYFUNCTION("""COMPUTED_VALUE"""),0.0)</f>
        <v>0</v>
      </c>
      <c r="V121" s="8">
        <f>IFERROR(__xludf.DUMMYFUNCTION("""COMPUTED_VALUE"""),0.0)</f>
        <v>0</v>
      </c>
      <c r="W121" s="8">
        <f>IFERROR(__xludf.DUMMYFUNCTION("""COMPUTED_VALUE"""),0.0)</f>
        <v>0</v>
      </c>
      <c r="X121" s="8">
        <f>IFERROR(__xludf.DUMMYFUNCTION("""COMPUTED_VALUE"""),0.0)</f>
        <v>0</v>
      </c>
      <c r="Y121" s="8">
        <f>IFERROR(__xludf.DUMMYFUNCTION("""COMPUTED_VALUE"""),0.0)</f>
        <v>0</v>
      </c>
      <c r="Z121" s="8">
        <f>IFERROR(__xludf.DUMMYFUNCTION("""COMPUTED_VALUE"""),0.0)</f>
        <v>0</v>
      </c>
      <c r="AA121" s="8">
        <f>IFERROR(__xludf.DUMMYFUNCTION("""COMPUTED_VALUE"""),0.0)</f>
        <v>0</v>
      </c>
      <c r="AB121" s="8">
        <f>IFERROR(__xludf.DUMMYFUNCTION("""COMPUTED_VALUE"""),0.0)</f>
        <v>0</v>
      </c>
      <c r="AC121" s="8">
        <f>IFERROR(__xludf.DUMMYFUNCTION("""COMPUTED_VALUE"""),0.0)</f>
        <v>0</v>
      </c>
    </row>
    <row r="122" ht="15.75" customHeight="1">
      <c r="A122" s="6" t="str">
        <f>IFERROR(__xludf.DUMMYFUNCTION("""COMPUTED_VALUE"""),"6346e154f10078de4f17cbc6268066519b02789f")</f>
        <v>6346e154f10078de4f17cbc6268066519b02789f</v>
      </c>
      <c r="B122" s="6" t="str">
        <f>IFERROR(__xludf.DUMMYFUNCTION("""COMPUTED_VALUE"""),"Doctor Young")</f>
        <v>Doctor Young</v>
      </c>
      <c r="C122" s="6" t="str">
        <f>IFERROR(__xludf.DUMMYFUNCTION("""COMPUTED_VALUE"""),"Suspense or Thriller")</f>
        <v>Suspense or Thriller</v>
      </c>
      <c r="D122" s="11">
        <f>IFERROR(__xludf.DUMMYFUNCTION("""COMPUTED_VALUE"""),196.0)</f>
        <v>196</v>
      </c>
      <c r="E122" s="8">
        <f>IFERROR(__xludf.DUMMYFUNCTION("""COMPUTED_VALUE"""),0.958549222797927)</f>
        <v>0.9585492228</v>
      </c>
      <c r="F122" s="8">
        <f>IFERROR(__xludf.DUMMYFUNCTION("""COMPUTED_VALUE"""),0.476439790575916)</f>
        <v>0.4764397906</v>
      </c>
      <c r="G122" s="8">
        <f>IFERROR(__xludf.DUMMYFUNCTION("""COMPUTED_VALUE"""),0.384210526315789)</f>
        <v>0.3842105263</v>
      </c>
      <c r="H122" s="8">
        <f>IFERROR(__xludf.DUMMYFUNCTION("""COMPUTED_VALUE"""),0.347826086956521)</f>
        <v>0.347826087</v>
      </c>
      <c r="I122" s="8">
        <f>IFERROR(__xludf.DUMMYFUNCTION("""COMPUTED_VALUE"""),0.315217391304347)</f>
        <v>0.3152173913</v>
      </c>
      <c r="J122" s="8">
        <f>IFERROR(__xludf.DUMMYFUNCTION("""COMPUTED_VALUE"""),0.313186813186813)</f>
        <v>0.3131868132</v>
      </c>
      <c r="K122" s="8">
        <f>IFERROR(__xludf.DUMMYFUNCTION("""COMPUTED_VALUE"""),0.283333333333333)</f>
        <v>0.2833333333</v>
      </c>
      <c r="L122" s="8">
        <f>IFERROR(__xludf.DUMMYFUNCTION("""COMPUTED_VALUE"""),0.265895953757225)</f>
        <v>0.2658959538</v>
      </c>
      <c r="M122" s="8">
        <f>IFERROR(__xludf.DUMMYFUNCTION("""COMPUTED_VALUE"""),0.238372093023255)</f>
        <v>0.238372093</v>
      </c>
      <c r="N122" s="8">
        <f>IFERROR(__xludf.DUMMYFUNCTION("""COMPUTED_VALUE"""),0.233532934131736)</f>
        <v>0.2335329341</v>
      </c>
      <c r="O122" s="8">
        <f>IFERROR(__xludf.DUMMYFUNCTION("""COMPUTED_VALUE"""),0.207692307692307)</f>
        <v>0.2076923077</v>
      </c>
      <c r="P122" s="8">
        <f>IFERROR(__xludf.DUMMYFUNCTION("""COMPUTED_VALUE"""),0.165354330708661)</f>
        <v>0.1653543307</v>
      </c>
      <c r="Q122" s="8">
        <f>IFERROR(__xludf.DUMMYFUNCTION("""COMPUTED_VALUE"""),0.130081300813008)</f>
        <v>0.1300813008</v>
      </c>
      <c r="R122" s="8">
        <f>IFERROR(__xludf.DUMMYFUNCTION("""COMPUTED_VALUE"""),0.115702479338842)</f>
        <v>0.1157024793</v>
      </c>
      <c r="S122" s="8">
        <f>IFERROR(__xludf.DUMMYFUNCTION("""COMPUTED_VALUE"""),0.0)</f>
        <v>0</v>
      </c>
      <c r="T122" s="8">
        <f>IFERROR(__xludf.DUMMYFUNCTION("""COMPUTED_VALUE"""),0.0)</f>
        <v>0</v>
      </c>
      <c r="U122" s="8">
        <f>IFERROR(__xludf.DUMMYFUNCTION("""COMPUTED_VALUE"""),0.0)</f>
        <v>0</v>
      </c>
      <c r="V122" s="8">
        <f>IFERROR(__xludf.DUMMYFUNCTION("""COMPUTED_VALUE"""),0.0)</f>
        <v>0</v>
      </c>
      <c r="W122" s="8">
        <f>IFERROR(__xludf.DUMMYFUNCTION("""COMPUTED_VALUE"""),0.0)</f>
        <v>0</v>
      </c>
      <c r="X122" s="8">
        <f>IFERROR(__xludf.DUMMYFUNCTION("""COMPUTED_VALUE"""),0.0)</f>
        <v>0</v>
      </c>
      <c r="Y122" s="8">
        <f>IFERROR(__xludf.DUMMYFUNCTION("""COMPUTED_VALUE"""),0.0)</f>
        <v>0</v>
      </c>
      <c r="Z122" s="8">
        <f>IFERROR(__xludf.DUMMYFUNCTION("""COMPUTED_VALUE"""),0.0)</f>
        <v>0</v>
      </c>
      <c r="AA122" s="8">
        <f>IFERROR(__xludf.DUMMYFUNCTION("""COMPUTED_VALUE"""),0.0)</f>
        <v>0</v>
      </c>
      <c r="AB122" s="8">
        <f>IFERROR(__xludf.DUMMYFUNCTION("""COMPUTED_VALUE"""),0.0)</f>
        <v>0</v>
      </c>
      <c r="AC122" s="8">
        <f>IFERROR(__xludf.DUMMYFUNCTION("""COMPUTED_VALUE"""),0.0)</f>
        <v>0</v>
      </c>
    </row>
    <row r="123" ht="15.75" customHeight="1">
      <c r="A123" s="6" t="str">
        <f>IFERROR(__xludf.DUMMYFUNCTION("""COMPUTED_VALUE"""),"646112abf2d6a5c232155a853f029ad1737b504e")</f>
        <v>646112abf2d6a5c232155a853f029ad1737b504e</v>
      </c>
      <c r="B123" s="6" t="str">
        <f>IFERROR(__xludf.DUMMYFUNCTION("""COMPUTED_VALUE"""),"Gatebreak")</f>
        <v>Gatebreak</v>
      </c>
      <c r="C123" s="6" t="str">
        <f>IFERROR(__xludf.DUMMYFUNCTION("""COMPUTED_VALUE"""),"Fantasy")</f>
        <v>Fantasy</v>
      </c>
      <c r="D123" s="11">
        <f>IFERROR(__xludf.DUMMYFUNCTION("""COMPUTED_VALUE"""),709.0)</f>
        <v>709</v>
      </c>
      <c r="E123" s="8">
        <f>IFERROR(__xludf.DUMMYFUNCTION("""COMPUTED_VALUE"""),0.966101694915254)</f>
        <v>0.9661016949</v>
      </c>
      <c r="F123" s="8">
        <f>IFERROR(__xludf.DUMMYFUNCTION("""COMPUTED_VALUE"""),0.679378531073446)</f>
        <v>0.6793785311</v>
      </c>
      <c r="G123" s="8">
        <f>IFERROR(__xludf.DUMMYFUNCTION("""COMPUTED_VALUE"""),0.63083451202263)</f>
        <v>0.630834512</v>
      </c>
      <c r="H123" s="8">
        <f>IFERROR(__xludf.DUMMYFUNCTION("""COMPUTED_VALUE"""),0.595744680851063)</f>
        <v>0.5957446809</v>
      </c>
      <c r="I123" s="8">
        <f>IFERROR(__xludf.DUMMYFUNCTION("""COMPUTED_VALUE"""),0.576704545454545)</f>
        <v>0.5767045455</v>
      </c>
      <c r="J123" s="8">
        <f>IFERROR(__xludf.DUMMYFUNCTION("""COMPUTED_VALUE"""),0.564102564102564)</f>
        <v>0.5641025641</v>
      </c>
      <c r="K123" s="8">
        <f>IFERROR(__xludf.DUMMYFUNCTION("""COMPUTED_VALUE"""),0.559829059829059)</f>
        <v>0.5598290598</v>
      </c>
      <c r="L123" s="8">
        <f>IFERROR(__xludf.DUMMYFUNCTION("""COMPUTED_VALUE"""),0.552068473609129)</f>
        <v>0.5520684736</v>
      </c>
      <c r="M123" s="8">
        <f>IFERROR(__xludf.DUMMYFUNCTION("""COMPUTED_VALUE"""),0.539229671897289)</f>
        <v>0.5392296719</v>
      </c>
      <c r="N123" s="8">
        <f>IFERROR(__xludf.DUMMYFUNCTION("""COMPUTED_VALUE"""),0.536480686695278)</f>
        <v>0.5364806867</v>
      </c>
      <c r="O123" s="8">
        <f>IFERROR(__xludf.DUMMYFUNCTION("""COMPUTED_VALUE"""),0.465991316931982)</f>
        <v>0.4659913169</v>
      </c>
      <c r="P123" s="8">
        <f>IFERROR(__xludf.DUMMYFUNCTION("""COMPUTED_VALUE"""),0.352422907488986)</f>
        <v>0.3524229075</v>
      </c>
      <c r="Q123" s="8">
        <f>IFERROR(__xludf.DUMMYFUNCTION("""COMPUTED_VALUE"""),0.250379362670713)</f>
        <v>0.2503793627</v>
      </c>
      <c r="R123" s="8">
        <f>IFERROR(__xludf.DUMMYFUNCTION("""COMPUTED_VALUE"""),0.170506912442396)</f>
        <v>0.1705069124</v>
      </c>
      <c r="S123" s="8">
        <f>IFERROR(__xludf.DUMMYFUNCTION("""COMPUTED_VALUE"""),0.131868131868131)</f>
        <v>0.1318681319</v>
      </c>
      <c r="T123" s="8">
        <f>IFERROR(__xludf.DUMMYFUNCTION("""COMPUTED_VALUE"""),0.11639344262295)</f>
        <v>0.1163934426</v>
      </c>
      <c r="U123" s="8">
        <f>IFERROR(__xludf.DUMMYFUNCTION("""COMPUTED_VALUE"""),0.0833333333333333)</f>
        <v>0.08333333333</v>
      </c>
      <c r="V123" s="8">
        <f>IFERROR(__xludf.DUMMYFUNCTION("""COMPUTED_VALUE"""),0.0)</f>
        <v>0</v>
      </c>
      <c r="W123" s="8">
        <f>IFERROR(__xludf.DUMMYFUNCTION("""COMPUTED_VALUE"""),0.0)</f>
        <v>0</v>
      </c>
      <c r="X123" s="8">
        <f>IFERROR(__xludf.DUMMYFUNCTION("""COMPUTED_VALUE"""),0.0)</f>
        <v>0</v>
      </c>
      <c r="Y123" s="8">
        <f>IFERROR(__xludf.DUMMYFUNCTION("""COMPUTED_VALUE"""),0.0)</f>
        <v>0</v>
      </c>
      <c r="Z123" s="8">
        <f>IFERROR(__xludf.DUMMYFUNCTION("""COMPUTED_VALUE"""),0.0)</f>
        <v>0</v>
      </c>
      <c r="AA123" s="8">
        <f>IFERROR(__xludf.DUMMYFUNCTION("""COMPUTED_VALUE"""),0.0)</f>
        <v>0</v>
      </c>
      <c r="AB123" s="8">
        <f>IFERROR(__xludf.DUMMYFUNCTION("""COMPUTED_VALUE"""),0.0)</f>
        <v>0</v>
      </c>
      <c r="AC123" s="8">
        <f>IFERROR(__xludf.DUMMYFUNCTION("""COMPUTED_VALUE"""),0.0)</f>
        <v>0</v>
      </c>
    </row>
    <row r="124" ht="15.75" customHeight="1">
      <c r="A124" s="6" t="str">
        <f>IFERROR(__xludf.DUMMYFUNCTION("""COMPUTED_VALUE"""),"6537ebcf99ebb2572c378cc92edd07b6d165b13b")</f>
        <v>6537ebcf99ebb2572c378cc92edd07b6d165b13b</v>
      </c>
      <c r="B124" s="6" t="str">
        <f>IFERROR(__xludf.DUMMYFUNCTION("""COMPUTED_VALUE"""),"The Legendary Beast Archi")</f>
        <v>The Legendary Beast Archi</v>
      </c>
      <c r="C124" s="6" t="str">
        <f>IFERROR(__xludf.DUMMYFUNCTION("""COMPUTED_VALUE"""),"Fantasy")</f>
        <v>Fantasy</v>
      </c>
      <c r="D124" s="11">
        <f>IFERROR(__xludf.DUMMYFUNCTION("""COMPUTED_VALUE"""),511.0)</f>
        <v>511</v>
      </c>
      <c r="E124" s="8">
        <f>IFERROR(__xludf.DUMMYFUNCTION("""COMPUTED_VALUE"""),0.994117647058823)</f>
        <v>0.9941176471</v>
      </c>
      <c r="F124" s="8">
        <f>IFERROR(__xludf.DUMMYFUNCTION("""COMPUTED_VALUE"""),0.58695652173913)</f>
        <v>0.5869565217</v>
      </c>
      <c r="G124" s="8">
        <f>IFERROR(__xludf.DUMMYFUNCTION("""COMPUTED_VALUE"""),0.529644268774703)</f>
        <v>0.5296442688</v>
      </c>
      <c r="H124" s="8">
        <f>IFERROR(__xludf.DUMMYFUNCTION("""COMPUTED_VALUE"""),0.488142292490118)</f>
        <v>0.4881422925</v>
      </c>
      <c r="I124" s="8">
        <f>IFERROR(__xludf.DUMMYFUNCTION("""COMPUTED_VALUE"""),0.455268389662027)</f>
        <v>0.4552683897</v>
      </c>
      <c r="J124" s="8">
        <f>IFERROR(__xludf.DUMMYFUNCTION("""COMPUTED_VALUE"""),0.410462776659959)</f>
        <v>0.4104627767</v>
      </c>
      <c r="K124" s="8">
        <f>IFERROR(__xludf.DUMMYFUNCTION("""COMPUTED_VALUE"""),0.40506329113924)</f>
        <v>0.4050632911</v>
      </c>
      <c r="L124" s="8">
        <f>IFERROR(__xludf.DUMMYFUNCTION("""COMPUTED_VALUE"""),0.378865979381443)</f>
        <v>0.3788659794</v>
      </c>
      <c r="M124" s="8">
        <f>IFERROR(__xludf.DUMMYFUNCTION("""COMPUTED_VALUE"""),0.356200527704485)</f>
        <v>0.3562005277</v>
      </c>
      <c r="N124" s="8">
        <f>IFERROR(__xludf.DUMMYFUNCTION("""COMPUTED_VALUE"""),0.324786324786324)</f>
        <v>0.3247863248</v>
      </c>
      <c r="O124" s="8">
        <f>IFERROR(__xludf.DUMMYFUNCTION("""COMPUTED_VALUE"""),0.0)</f>
        <v>0</v>
      </c>
      <c r="P124" s="8">
        <f>IFERROR(__xludf.DUMMYFUNCTION("""COMPUTED_VALUE"""),0.0)</f>
        <v>0</v>
      </c>
      <c r="Q124" s="8">
        <f>IFERROR(__xludf.DUMMYFUNCTION("""COMPUTED_VALUE"""),0.0)</f>
        <v>0</v>
      </c>
      <c r="R124" s="8">
        <f>IFERROR(__xludf.DUMMYFUNCTION("""COMPUTED_VALUE"""),0.0)</f>
        <v>0</v>
      </c>
      <c r="S124" s="8">
        <f>IFERROR(__xludf.DUMMYFUNCTION("""COMPUTED_VALUE"""),0.0)</f>
        <v>0</v>
      </c>
      <c r="T124" s="8">
        <f>IFERROR(__xludf.DUMMYFUNCTION("""COMPUTED_VALUE"""),0.0)</f>
        <v>0</v>
      </c>
      <c r="U124" s="8">
        <f>IFERROR(__xludf.DUMMYFUNCTION("""COMPUTED_VALUE"""),0.0)</f>
        <v>0</v>
      </c>
      <c r="V124" s="8">
        <f>IFERROR(__xludf.DUMMYFUNCTION("""COMPUTED_VALUE"""),0.0)</f>
        <v>0</v>
      </c>
      <c r="W124" s="8">
        <f>IFERROR(__xludf.DUMMYFUNCTION("""COMPUTED_VALUE"""),0.0)</f>
        <v>0</v>
      </c>
      <c r="X124" s="8">
        <f>IFERROR(__xludf.DUMMYFUNCTION("""COMPUTED_VALUE"""),0.0)</f>
        <v>0</v>
      </c>
      <c r="Y124" s="8">
        <f>IFERROR(__xludf.DUMMYFUNCTION("""COMPUTED_VALUE"""),0.0)</f>
        <v>0</v>
      </c>
      <c r="Z124" s="8">
        <f>IFERROR(__xludf.DUMMYFUNCTION("""COMPUTED_VALUE"""),0.0)</f>
        <v>0</v>
      </c>
      <c r="AA124" s="8">
        <f>IFERROR(__xludf.DUMMYFUNCTION("""COMPUTED_VALUE"""),0.0)</f>
        <v>0</v>
      </c>
      <c r="AB124" s="8">
        <f>IFERROR(__xludf.DUMMYFUNCTION("""COMPUTED_VALUE"""),0.0)</f>
        <v>0</v>
      </c>
      <c r="AC124" s="8">
        <f>IFERROR(__xludf.DUMMYFUNCTION("""COMPUTED_VALUE"""),0.0)</f>
        <v>0</v>
      </c>
    </row>
    <row r="125" ht="15.75" customHeight="1">
      <c r="A125" s="6" t="str">
        <f>IFERROR(__xludf.DUMMYFUNCTION("""COMPUTED_VALUE"""),"66e5597d741c6d87c2bc8e35ec83065242c0e34d")</f>
        <v>66e5597d741c6d87c2bc8e35ec83065242c0e34d</v>
      </c>
      <c r="B125" s="6" t="str">
        <f>IFERROR(__xludf.DUMMYFUNCTION("""COMPUTED_VALUE"""),"Sky Lord")</f>
        <v>Sky Lord</v>
      </c>
      <c r="C125" s="6" t="str">
        <f>IFERROR(__xludf.DUMMYFUNCTION("""COMPUTED_VALUE"""),"Fantasy")</f>
        <v>Fantasy</v>
      </c>
      <c r="D125" s="11">
        <f>IFERROR(__xludf.DUMMYFUNCTION("""COMPUTED_VALUE"""),581.0)</f>
        <v>581</v>
      </c>
      <c r="E125" s="8">
        <f>IFERROR(__xludf.DUMMYFUNCTION("""COMPUTED_VALUE"""),0.975820379965457)</f>
        <v>0.97582038</v>
      </c>
      <c r="F125" s="8">
        <f>IFERROR(__xludf.DUMMYFUNCTION("""COMPUTED_VALUE"""),0.682926829268292)</f>
        <v>0.6829268293</v>
      </c>
      <c r="G125" s="8">
        <f>IFERROR(__xludf.DUMMYFUNCTION("""COMPUTED_VALUE"""),0.639372822299651)</f>
        <v>0.6393728223</v>
      </c>
      <c r="H125" s="8">
        <f>IFERROR(__xludf.DUMMYFUNCTION("""COMPUTED_VALUE"""),0.622574955908289)</f>
        <v>0.6225749559</v>
      </c>
      <c r="I125" s="8">
        <f>IFERROR(__xludf.DUMMYFUNCTION("""COMPUTED_VALUE"""),0.563604240282685)</f>
        <v>0.5636042403</v>
      </c>
      <c r="J125" s="8">
        <f>IFERROR(__xludf.DUMMYFUNCTION("""COMPUTED_VALUE"""),0.53763440860215)</f>
        <v>0.5376344086</v>
      </c>
      <c r="K125" s="8">
        <f>IFERROR(__xludf.DUMMYFUNCTION("""COMPUTED_VALUE"""),0.505395683453237)</f>
        <v>0.5053956835</v>
      </c>
      <c r="L125" s="8">
        <f>IFERROR(__xludf.DUMMYFUNCTION("""COMPUTED_VALUE"""),0.469835466179159)</f>
        <v>0.4698354662</v>
      </c>
      <c r="M125" s="8">
        <f>IFERROR(__xludf.DUMMYFUNCTION("""COMPUTED_VALUE"""),0.453358208955223)</f>
        <v>0.453358209</v>
      </c>
      <c r="N125" s="8">
        <f>IFERROR(__xludf.DUMMYFUNCTION("""COMPUTED_VALUE"""),0.435582822085889)</f>
        <v>0.4355828221</v>
      </c>
      <c r="O125" s="8">
        <f>IFERROR(__xludf.DUMMYFUNCTION("""COMPUTED_VALUE"""),0.478260869565217)</f>
        <v>0.4782608696</v>
      </c>
      <c r="P125" s="8">
        <f>IFERROR(__xludf.DUMMYFUNCTION("""COMPUTED_VALUE"""),0.428571428571428)</f>
        <v>0.4285714286</v>
      </c>
      <c r="Q125" s="8">
        <f>IFERROR(__xludf.DUMMYFUNCTION("""COMPUTED_VALUE"""),0.0)</f>
        <v>0</v>
      </c>
      <c r="R125" s="8">
        <f>IFERROR(__xludf.DUMMYFUNCTION("""COMPUTED_VALUE"""),0.0)</f>
        <v>0</v>
      </c>
      <c r="S125" s="8">
        <f>IFERROR(__xludf.DUMMYFUNCTION("""COMPUTED_VALUE"""),0.0)</f>
        <v>0</v>
      </c>
      <c r="T125" s="8">
        <f>IFERROR(__xludf.DUMMYFUNCTION("""COMPUTED_VALUE"""),0.0)</f>
        <v>0</v>
      </c>
      <c r="U125" s="8">
        <f>IFERROR(__xludf.DUMMYFUNCTION("""COMPUTED_VALUE"""),0.0)</f>
        <v>0</v>
      </c>
      <c r="V125" s="8">
        <f>IFERROR(__xludf.DUMMYFUNCTION("""COMPUTED_VALUE"""),0.0)</f>
        <v>0</v>
      </c>
      <c r="W125" s="8">
        <f>IFERROR(__xludf.DUMMYFUNCTION("""COMPUTED_VALUE"""),0.0)</f>
        <v>0</v>
      </c>
      <c r="X125" s="8">
        <f>IFERROR(__xludf.DUMMYFUNCTION("""COMPUTED_VALUE"""),0.0)</f>
        <v>0</v>
      </c>
      <c r="Y125" s="8">
        <f>IFERROR(__xludf.DUMMYFUNCTION("""COMPUTED_VALUE"""),0.0)</f>
        <v>0</v>
      </c>
      <c r="Z125" s="8">
        <f>IFERROR(__xludf.DUMMYFUNCTION("""COMPUTED_VALUE"""),0.0)</f>
        <v>0</v>
      </c>
      <c r="AA125" s="8">
        <f>IFERROR(__xludf.DUMMYFUNCTION("""COMPUTED_VALUE"""),0.0)</f>
        <v>0</v>
      </c>
      <c r="AB125" s="8">
        <f>IFERROR(__xludf.DUMMYFUNCTION("""COMPUTED_VALUE"""),0.0)</f>
        <v>0</v>
      </c>
      <c r="AC125" s="8">
        <f>IFERROR(__xludf.DUMMYFUNCTION("""COMPUTED_VALUE"""),0.0)</f>
        <v>0</v>
      </c>
    </row>
    <row r="126" ht="15.75" customHeight="1">
      <c r="A126" s="6" t="str">
        <f>IFERROR(__xludf.DUMMYFUNCTION("""COMPUTED_VALUE"""),"69e29d606b65c300fffe9a9af149d4b81b170a78")</f>
        <v>69e29d606b65c300fffe9a9af149d4b81b170a78</v>
      </c>
      <c r="B126" s="6" t="str">
        <f>IFERROR(__xludf.DUMMYFUNCTION("""COMPUTED_VALUE"""),"Unexpectedly Entwined")</f>
        <v>Unexpectedly Entwined</v>
      </c>
      <c r="C126" s="6" t="str">
        <f>IFERROR(__xludf.DUMMYFUNCTION("""COMPUTED_VALUE"""),"Romance")</f>
        <v>Romance</v>
      </c>
      <c r="D126" s="11">
        <f>IFERROR(__xludf.DUMMYFUNCTION("""COMPUTED_VALUE"""),129.0)</f>
        <v>129</v>
      </c>
      <c r="E126" s="8">
        <f>IFERROR(__xludf.DUMMYFUNCTION("""COMPUTED_VALUE"""),0.953488372093023)</f>
        <v>0.9534883721</v>
      </c>
      <c r="F126" s="8">
        <f>IFERROR(__xludf.DUMMYFUNCTION("""COMPUTED_VALUE"""),0.596899224806201)</f>
        <v>0.5968992248</v>
      </c>
      <c r="G126" s="8">
        <f>IFERROR(__xludf.DUMMYFUNCTION("""COMPUTED_VALUE"""),0.550387596899224)</f>
        <v>0.5503875969</v>
      </c>
      <c r="H126" s="8">
        <f>IFERROR(__xludf.DUMMYFUNCTION("""COMPUTED_VALUE"""),0.4765625)</f>
        <v>0.4765625</v>
      </c>
      <c r="I126" s="8">
        <f>IFERROR(__xludf.DUMMYFUNCTION("""COMPUTED_VALUE"""),0.453125)</f>
        <v>0.453125</v>
      </c>
      <c r="J126" s="8">
        <f>IFERROR(__xludf.DUMMYFUNCTION("""COMPUTED_VALUE"""),0.390625)</f>
        <v>0.390625</v>
      </c>
      <c r="K126" s="8">
        <f>IFERROR(__xludf.DUMMYFUNCTION("""COMPUTED_VALUE"""),0.359375)</f>
        <v>0.359375</v>
      </c>
      <c r="L126" s="8">
        <f>IFERROR(__xludf.DUMMYFUNCTION("""COMPUTED_VALUE"""),0.3671875)</f>
        <v>0.3671875</v>
      </c>
      <c r="M126" s="8">
        <f>IFERROR(__xludf.DUMMYFUNCTION("""COMPUTED_VALUE"""),0.3203125)</f>
        <v>0.3203125</v>
      </c>
      <c r="N126" s="8">
        <f>IFERROR(__xludf.DUMMYFUNCTION("""COMPUTED_VALUE"""),0.328125)</f>
        <v>0.328125</v>
      </c>
      <c r="O126" s="8">
        <f>IFERROR(__xludf.DUMMYFUNCTION("""COMPUTED_VALUE"""),0.251968503937007)</f>
        <v>0.2519685039</v>
      </c>
      <c r="P126" s="8">
        <f>IFERROR(__xludf.DUMMYFUNCTION("""COMPUTED_VALUE"""),0.144)</f>
        <v>0.144</v>
      </c>
      <c r="Q126" s="8">
        <f>IFERROR(__xludf.DUMMYFUNCTION("""COMPUTED_VALUE"""),0.1)</f>
        <v>0.1</v>
      </c>
      <c r="R126" s="8">
        <f>IFERROR(__xludf.DUMMYFUNCTION("""COMPUTED_VALUE"""),0.0985915492957746)</f>
        <v>0.0985915493</v>
      </c>
      <c r="S126" s="8">
        <f>IFERROR(__xludf.DUMMYFUNCTION("""COMPUTED_VALUE"""),0.145454545454545)</f>
        <v>0.1454545455</v>
      </c>
      <c r="T126" s="8">
        <f>IFERROR(__xludf.DUMMYFUNCTION("""COMPUTED_VALUE"""),0.027027027027027)</f>
        <v>0.02702702703</v>
      </c>
      <c r="U126" s="8">
        <f>IFERROR(__xludf.DUMMYFUNCTION("""COMPUTED_VALUE"""),0.0)</f>
        <v>0</v>
      </c>
      <c r="V126" s="8">
        <f>IFERROR(__xludf.DUMMYFUNCTION("""COMPUTED_VALUE"""),0.0)</f>
        <v>0</v>
      </c>
      <c r="W126" s="8">
        <f>IFERROR(__xludf.DUMMYFUNCTION("""COMPUTED_VALUE"""),0.0)</f>
        <v>0</v>
      </c>
      <c r="X126" s="8">
        <f>IFERROR(__xludf.DUMMYFUNCTION("""COMPUTED_VALUE"""),0.0)</f>
        <v>0</v>
      </c>
      <c r="Y126" s="8">
        <f>IFERROR(__xludf.DUMMYFUNCTION("""COMPUTED_VALUE"""),0.0)</f>
        <v>0</v>
      </c>
      <c r="Z126" s="8">
        <f>IFERROR(__xludf.DUMMYFUNCTION("""COMPUTED_VALUE"""),0.0)</f>
        <v>0</v>
      </c>
      <c r="AA126" s="8">
        <f>IFERROR(__xludf.DUMMYFUNCTION("""COMPUTED_VALUE"""),0.0)</f>
        <v>0</v>
      </c>
      <c r="AB126" s="8">
        <f>IFERROR(__xludf.DUMMYFUNCTION("""COMPUTED_VALUE"""),0.0)</f>
        <v>0</v>
      </c>
      <c r="AC126" s="8">
        <f>IFERROR(__xludf.DUMMYFUNCTION("""COMPUTED_VALUE"""),0.0)</f>
        <v>0</v>
      </c>
    </row>
    <row r="127" ht="15.75" customHeight="1">
      <c r="A127" s="6" t="str">
        <f>IFERROR(__xludf.DUMMYFUNCTION("""COMPUTED_VALUE"""),"69e2eb3772b49e749fed57ae96a86147dde154cb")</f>
        <v>69e2eb3772b49e749fed57ae96a86147dde154cb</v>
      </c>
      <c r="B127" s="6" t="str">
        <f>IFERROR(__xludf.DUMMYFUNCTION("""COMPUTED_VALUE"""),"The Alpha She Chose")</f>
        <v>The Alpha She Chose</v>
      </c>
      <c r="C127" s="6" t="str">
        <f>IFERROR(__xludf.DUMMYFUNCTION("""COMPUTED_VALUE"""),"Romantasy")</f>
        <v>Romantasy</v>
      </c>
      <c r="D127" s="11">
        <f>IFERROR(__xludf.DUMMYFUNCTION("""COMPUTED_VALUE"""),668.0)</f>
        <v>668</v>
      </c>
      <c r="E127" s="8">
        <f>IFERROR(__xludf.DUMMYFUNCTION("""COMPUTED_VALUE"""),0.957894736842105)</f>
        <v>0.9578947368</v>
      </c>
      <c r="F127" s="8">
        <f>IFERROR(__xludf.DUMMYFUNCTION("""COMPUTED_VALUE"""),0.636500754147812)</f>
        <v>0.6365007541</v>
      </c>
      <c r="G127" s="8">
        <f>IFERROR(__xludf.DUMMYFUNCTION("""COMPUTED_VALUE"""),0.607575757575757)</f>
        <v>0.6075757576</v>
      </c>
      <c r="H127" s="8">
        <f>IFERROR(__xludf.DUMMYFUNCTION("""COMPUTED_VALUE"""),0.576864535768645)</f>
        <v>0.5768645358</v>
      </c>
      <c r="I127" s="8">
        <f>IFERROR(__xludf.DUMMYFUNCTION("""COMPUTED_VALUE"""),0.546564885496183)</f>
        <v>0.5465648855</v>
      </c>
      <c r="J127" s="8">
        <f>IFERROR(__xludf.DUMMYFUNCTION("""COMPUTED_VALUE"""),0.526073619631901)</f>
        <v>0.5260736196</v>
      </c>
      <c r="K127" s="8">
        <f>IFERROR(__xludf.DUMMYFUNCTION("""COMPUTED_VALUE"""),0.509230769230769)</f>
        <v>0.5092307692</v>
      </c>
      <c r="L127" s="8">
        <f>IFERROR(__xludf.DUMMYFUNCTION("""COMPUTED_VALUE"""),0.489984591679506)</f>
        <v>0.4899845917</v>
      </c>
      <c r="M127" s="8">
        <f>IFERROR(__xludf.DUMMYFUNCTION("""COMPUTED_VALUE"""),0.474339035769828)</f>
        <v>0.4743390358</v>
      </c>
      <c r="N127" s="8">
        <f>IFERROR(__xludf.DUMMYFUNCTION("""COMPUTED_VALUE"""),0.463949843260188)</f>
        <v>0.4639498433</v>
      </c>
      <c r="O127" s="8">
        <f>IFERROR(__xludf.DUMMYFUNCTION("""COMPUTED_VALUE"""),0.429059829059829)</f>
        <v>0.4290598291</v>
      </c>
      <c r="P127" s="8">
        <f>IFERROR(__xludf.DUMMYFUNCTION("""COMPUTED_VALUE"""),0.338053097345132)</f>
        <v>0.3380530973</v>
      </c>
      <c r="Q127" s="8">
        <f>IFERROR(__xludf.DUMMYFUNCTION("""COMPUTED_VALUE"""),0.285974499089253)</f>
        <v>0.2859744991</v>
      </c>
      <c r="R127" s="8">
        <f>IFERROR(__xludf.DUMMYFUNCTION("""COMPUTED_VALUE"""),0.234468937875751)</f>
        <v>0.2344689379</v>
      </c>
      <c r="S127" s="8">
        <f>IFERROR(__xludf.DUMMYFUNCTION("""COMPUTED_VALUE"""),0.117647058823529)</f>
        <v>0.1176470588</v>
      </c>
      <c r="T127" s="8">
        <f>IFERROR(__xludf.DUMMYFUNCTION("""COMPUTED_VALUE"""),0.0)</f>
        <v>0</v>
      </c>
      <c r="U127" s="8">
        <f>IFERROR(__xludf.DUMMYFUNCTION("""COMPUTED_VALUE"""),0.0)</f>
        <v>0</v>
      </c>
      <c r="V127" s="8">
        <f>IFERROR(__xludf.DUMMYFUNCTION("""COMPUTED_VALUE"""),0.0)</f>
        <v>0</v>
      </c>
      <c r="W127" s="8">
        <f>IFERROR(__xludf.DUMMYFUNCTION("""COMPUTED_VALUE"""),0.0)</f>
        <v>0</v>
      </c>
      <c r="X127" s="8">
        <f>IFERROR(__xludf.DUMMYFUNCTION("""COMPUTED_VALUE"""),0.0)</f>
        <v>0</v>
      </c>
      <c r="Y127" s="8">
        <f>IFERROR(__xludf.DUMMYFUNCTION("""COMPUTED_VALUE"""),0.0)</f>
        <v>0</v>
      </c>
      <c r="Z127" s="8">
        <f>IFERROR(__xludf.DUMMYFUNCTION("""COMPUTED_VALUE"""),0.0)</f>
        <v>0</v>
      </c>
      <c r="AA127" s="8">
        <f>IFERROR(__xludf.DUMMYFUNCTION("""COMPUTED_VALUE"""),0.0)</f>
        <v>0</v>
      </c>
      <c r="AB127" s="8">
        <f>IFERROR(__xludf.DUMMYFUNCTION("""COMPUTED_VALUE"""),0.0)</f>
        <v>0</v>
      </c>
      <c r="AC127" s="8">
        <f>IFERROR(__xludf.DUMMYFUNCTION("""COMPUTED_VALUE"""),0.0)</f>
        <v>0</v>
      </c>
    </row>
    <row r="128" ht="15.75" customHeight="1">
      <c r="A128" s="6" t="str">
        <f>IFERROR(__xludf.DUMMYFUNCTION("""COMPUTED_VALUE"""),"6c13ac0e01a86e60a2d75bbcee5bb8f9be472700")</f>
        <v>6c13ac0e01a86e60a2d75bbcee5bb8f9be472700</v>
      </c>
      <c r="B128" s="6" t="str">
        <f>IFERROR(__xludf.DUMMYFUNCTION("""COMPUTED_VALUE"""),"Fated to You")</f>
        <v>Fated to You</v>
      </c>
      <c r="C128" s="6" t="str">
        <f>IFERROR(__xludf.DUMMYFUNCTION("""COMPUTED_VALUE"""),"Romance")</f>
        <v>Romance</v>
      </c>
      <c r="D128" s="11">
        <f>IFERROR(__xludf.DUMMYFUNCTION("""COMPUTED_VALUE"""),94.0)</f>
        <v>94</v>
      </c>
      <c r="E128" s="8">
        <f>IFERROR(__xludf.DUMMYFUNCTION("""COMPUTED_VALUE"""),0.52127659574468)</f>
        <v>0.5212765957</v>
      </c>
      <c r="F128" s="8">
        <f>IFERROR(__xludf.DUMMYFUNCTION("""COMPUTED_VALUE"""),0.351063829787234)</f>
        <v>0.3510638298</v>
      </c>
      <c r="G128" s="8">
        <f>IFERROR(__xludf.DUMMYFUNCTION("""COMPUTED_VALUE"""),0.351063829787234)</f>
        <v>0.3510638298</v>
      </c>
      <c r="H128" s="8">
        <f>IFERROR(__xludf.DUMMYFUNCTION("""COMPUTED_VALUE"""),0.311827956989247)</f>
        <v>0.311827957</v>
      </c>
      <c r="I128" s="8">
        <f>IFERROR(__xludf.DUMMYFUNCTION("""COMPUTED_VALUE"""),0.247311827956989)</f>
        <v>0.247311828</v>
      </c>
      <c r="J128" s="8">
        <f>IFERROR(__xludf.DUMMYFUNCTION("""COMPUTED_VALUE"""),0.247311827956989)</f>
        <v>0.247311828</v>
      </c>
      <c r="K128" s="8">
        <f>IFERROR(__xludf.DUMMYFUNCTION("""COMPUTED_VALUE"""),0.236559139784946)</f>
        <v>0.2365591398</v>
      </c>
      <c r="L128" s="8">
        <f>IFERROR(__xludf.DUMMYFUNCTION("""COMPUTED_VALUE"""),0.236559139784946)</f>
        <v>0.2365591398</v>
      </c>
      <c r="M128" s="8">
        <f>IFERROR(__xludf.DUMMYFUNCTION("""COMPUTED_VALUE"""),0.217391304347826)</f>
        <v>0.2173913043</v>
      </c>
      <c r="N128" s="8">
        <f>IFERROR(__xludf.DUMMYFUNCTION("""COMPUTED_VALUE"""),0.252747252747252)</f>
        <v>0.2527472527</v>
      </c>
      <c r="O128" s="8">
        <f>IFERROR(__xludf.DUMMYFUNCTION("""COMPUTED_VALUE"""),0.195402298850574)</f>
        <v>0.1954022989</v>
      </c>
      <c r="P128" s="8">
        <f>IFERROR(__xludf.DUMMYFUNCTION("""COMPUTED_VALUE"""),0.218390804597701)</f>
        <v>0.2183908046</v>
      </c>
      <c r="Q128" s="8">
        <f>IFERROR(__xludf.DUMMYFUNCTION("""COMPUTED_VALUE"""),0.0930232558139534)</f>
        <v>0.09302325581</v>
      </c>
      <c r="R128" s="8">
        <f>IFERROR(__xludf.DUMMYFUNCTION("""COMPUTED_VALUE"""),0.0714285714285714)</f>
        <v>0.07142857143</v>
      </c>
      <c r="S128" s="8">
        <f>IFERROR(__xludf.DUMMYFUNCTION("""COMPUTED_VALUE"""),0.0606060606060606)</f>
        <v>0.06060606061</v>
      </c>
      <c r="T128" s="8">
        <f>IFERROR(__xludf.DUMMYFUNCTION("""COMPUTED_VALUE"""),0.0508474576271186)</f>
        <v>0.05084745763</v>
      </c>
      <c r="U128" s="8">
        <f>IFERROR(__xludf.DUMMYFUNCTION("""COMPUTED_VALUE"""),0.0344827586206896)</f>
        <v>0.03448275862</v>
      </c>
      <c r="V128" s="8">
        <f>IFERROR(__xludf.DUMMYFUNCTION("""COMPUTED_VALUE"""),0.0172413793103448)</f>
        <v>0.01724137931</v>
      </c>
      <c r="W128" s="8">
        <f>IFERROR(__xludf.DUMMYFUNCTION("""COMPUTED_VALUE"""),0.0)</f>
        <v>0</v>
      </c>
      <c r="X128" s="8">
        <f>IFERROR(__xludf.DUMMYFUNCTION("""COMPUTED_VALUE"""),0.0175438596491228)</f>
        <v>0.01754385965</v>
      </c>
      <c r="Y128" s="8">
        <f>IFERROR(__xludf.DUMMYFUNCTION("""COMPUTED_VALUE"""),0.0)</f>
        <v>0</v>
      </c>
      <c r="Z128" s="8">
        <f>IFERROR(__xludf.DUMMYFUNCTION("""COMPUTED_VALUE"""),0.0)</f>
        <v>0</v>
      </c>
      <c r="AA128" s="8">
        <f>IFERROR(__xludf.DUMMYFUNCTION("""COMPUTED_VALUE"""),0.0)</f>
        <v>0</v>
      </c>
      <c r="AB128" s="8">
        <f>IFERROR(__xludf.DUMMYFUNCTION("""COMPUTED_VALUE"""),0.0)</f>
        <v>0</v>
      </c>
      <c r="AC128" s="8">
        <f>IFERROR(__xludf.DUMMYFUNCTION("""COMPUTED_VALUE"""),0.0)</f>
        <v>0</v>
      </c>
    </row>
    <row r="129" ht="15.75" customHeight="1">
      <c r="A129" s="6" t="str">
        <f>IFERROR(__xludf.DUMMYFUNCTION("""COMPUTED_VALUE"""),"6e9cd8b5ce597e73f12a6a180c18888a89f8aac3")</f>
        <v>6e9cd8b5ce597e73f12a6a180c18888a89f8aac3</v>
      </c>
      <c r="B129" s="6" t="str">
        <f>IFERROR(__xludf.DUMMYFUNCTION("""COMPUTED_VALUE"""),"Sovereign Retribution")</f>
        <v>Sovereign Retribution</v>
      </c>
      <c r="C129" s="6" t="str">
        <f>IFERROR(__xludf.DUMMYFUNCTION("""COMPUTED_VALUE"""),"Drama")</f>
        <v>Drama</v>
      </c>
      <c r="D129" s="11">
        <f>IFERROR(__xludf.DUMMYFUNCTION("""COMPUTED_VALUE"""),770.0)</f>
        <v>770</v>
      </c>
      <c r="E129" s="8">
        <f>IFERROR(__xludf.DUMMYFUNCTION("""COMPUTED_VALUE"""),0.963636363636363)</f>
        <v>0.9636363636</v>
      </c>
      <c r="F129" s="8">
        <f>IFERROR(__xludf.DUMMYFUNCTION("""COMPUTED_VALUE"""),0.78051948051948)</f>
        <v>0.7805194805</v>
      </c>
      <c r="G129" s="8">
        <f>IFERROR(__xludf.DUMMYFUNCTION("""COMPUTED_VALUE"""),0.745123537061118)</f>
        <v>0.7451235371</v>
      </c>
      <c r="H129" s="8">
        <f>IFERROR(__xludf.DUMMYFUNCTION("""COMPUTED_VALUE"""),0.719115734720416)</f>
        <v>0.7191157347</v>
      </c>
      <c r="I129" s="8">
        <f>IFERROR(__xludf.DUMMYFUNCTION("""COMPUTED_VALUE"""),0.693107932379713)</f>
        <v>0.6931079324</v>
      </c>
      <c r="J129" s="8">
        <f>IFERROR(__xludf.DUMMYFUNCTION("""COMPUTED_VALUE"""),0.677083333333333)</f>
        <v>0.6770833333</v>
      </c>
      <c r="K129" s="8">
        <f>IFERROR(__xludf.DUMMYFUNCTION("""COMPUTED_VALUE"""),0.657552083333333)</f>
        <v>0.6575520833</v>
      </c>
      <c r="L129" s="8">
        <f>IFERROR(__xludf.DUMMYFUNCTION("""COMPUTED_VALUE"""),0.636245110821382)</f>
        <v>0.6362451108</v>
      </c>
      <c r="M129" s="8">
        <f>IFERROR(__xludf.DUMMYFUNCTION("""COMPUTED_VALUE"""),0.62532637075718)</f>
        <v>0.6253263708</v>
      </c>
      <c r="N129" s="8">
        <f>IFERROR(__xludf.DUMMYFUNCTION("""COMPUTED_VALUE"""),0.613071895424836)</f>
        <v>0.6130718954</v>
      </c>
      <c r="O129" s="8">
        <f>IFERROR(__xludf.DUMMYFUNCTION("""COMPUTED_VALUE"""),0.546666666666666)</f>
        <v>0.5466666667</v>
      </c>
      <c r="P129" s="8">
        <f>IFERROR(__xludf.DUMMYFUNCTION("""COMPUTED_VALUE"""),0.427556818181818)</f>
        <v>0.4275568182</v>
      </c>
      <c r="Q129" s="8">
        <f>IFERROR(__xludf.DUMMYFUNCTION("""COMPUTED_VALUE"""),0.284313725490196)</f>
        <v>0.2843137255</v>
      </c>
      <c r="R129" s="8">
        <f>IFERROR(__xludf.DUMMYFUNCTION("""COMPUTED_VALUE"""),0.297872340425531)</f>
        <v>0.2978723404</v>
      </c>
      <c r="S129" s="8">
        <f>IFERROR(__xludf.DUMMYFUNCTION("""COMPUTED_VALUE"""),0.133333333333333)</f>
        <v>0.1333333333</v>
      </c>
      <c r="T129" s="8">
        <f>IFERROR(__xludf.DUMMYFUNCTION("""COMPUTED_VALUE"""),0.0)</f>
        <v>0</v>
      </c>
      <c r="U129" s="8">
        <f>IFERROR(__xludf.DUMMYFUNCTION("""COMPUTED_VALUE"""),0.0)</f>
        <v>0</v>
      </c>
      <c r="V129" s="8">
        <f>IFERROR(__xludf.DUMMYFUNCTION("""COMPUTED_VALUE"""),0.0)</f>
        <v>0</v>
      </c>
      <c r="W129" s="8">
        <f>IFERROR(__xludf.DUMMYFUNCTION("""COMPUTED_VALUE"""),0.0)</f>
        <v>0</v>
      </c>
      <c r="X129" s="8">
        <f>IFERROR(__xludf.DUMMYFUNCTION("""COMPUTED_VALUE"""),0.0)</f>
        <v>0</v>
      </c>
      <c r="Y129" s="8">
        <f>IFERROR(__xludf.DUMMYFUNCTION("""COMPUTED_VALUE"""),0.0)</f>
        <v>0</v>
      </c>
      <c r="Z129" s="8">
        <f>IFERROR(__xludf.DUMMYFUNCTION("""COMPUTED_VALUE"""),0.0)</f>
        <v>0</v>
      </c>
      <c r="AA129" s="8">
        <f>IFERROR(__xludf.DUMMYFUNCTION("""COMPUTED_VALUE"""),0.0)</f>
        <v>0</v>
      </c>
      <c r="AB129" s="8">
        <f>IFERROR(__xludf.DUMMYFUNCTION("""COMPUTED_VALUE"""),0.0)</f>
        <v>0</v>
      </c>
      <c r="AC129" s="8">
        <f>IFERROR(__xludf.DUMMYFUNCTION("""COMPUTED_VALUE"""),0.0)</f>
        <v>0</v>
      </c>
    </row>
    <row r="130" ht="15.75" customHeight="1">
      <c r="A130" s="6" t="str">
        <f>IFERROR(__xludf.DUMMYFUNCTION("""COMPUTED_VALUE"""),"6f82cdfa2792a89aec9172918610c124246ad8bd")</f>
        <v>6f82cdfa2792a89aec9172918610c124246ad8bd</v>
      </c>
      <c r="B130" s="6" t="str">
        <f>IFERROR(__xludf.DUMMYFUNCTION("""COMPUTED_VALUE"""),"Hector's Rise to Power")</f>
        <v>Hector's Rise to Power</v>
      </c>
      <c r="C130" s="6" t="str">
        <f>IFERROR(__xludf.DUMMYFUNCTION("""COMPUTED_VALUE"""),"Drama")</f>
        <v>Drama</v>
      </c>
      <c r="D130" s="11">
        <f>IFERROR(__xludf.DUMMYFUNCTION("""COMPUTED_VALUE"""),70.0)</f>
        <v>70</v>
      </c>
      <c r="E130" s="8">
        <f>IFERROR(__xludf.DUMMYFUNCTION("""COMPUTED_VALUE"""),0.957142857142857)</f>
        <v>0.9571428571</v>
      </c>
      <c r="F130" s="8">
        <f>IFERROR(__xludf.DUMMYFUNCTION("""COMPUTED_VALUE"""),0.8)</f>
        <v>0.8</v>
      </c>
      <c r="G130" s="8">
        <f>IFERROR(__xludf.DUMMYFUNCTION("""COMPUTED_VALUE"""),0.6)</f>
        <v>0.6</v>
      </c>
      <c r="H130" s="8">
        <f>IFERROR(__xludf.DUMMYFUNCTION("""COMPUTED_VALUE"""),0.542857142857142)</f>
        <v>0.5428571429</v>
      </c>
      <c r="I130" s="8">
        <f>IFERROR(__xludf.DUMMYFUNCTION("""COMPUTED_VALUE"""),0.442857142857142)</f>
        <v>0.4428571429</v>
      </c>
      <c r="J130" s="8">
        <f>IFERROR(__xludf.DUMMYFUNCTION("""COMPUTED_VALUE"""),0.441176470588235)</f>
        <v>0.4411764706</v>
      </c>
      <c r="K130" s="8">
        <f>IFERROR(__xludf.DUMMYFUNCTION("""COMPUTED_VALUE"""),0.378787878787878)</f>
        <v>0.3787878788</v>
      </c>
      <c r="L130" s="8">
        <f>IFERROR(__xludf.DUMMYFUNCTION("""COMPUTED_VALUE"""),0.363636363636363)</f>
        <v>0.3636363636</v>
      </c>
      <c r="M130" s="8">
        <f>IFERROR(__xludf.DUMMYFUNCTION("""COMPUTED_VALUE"""),0.318181818181818)</f>
        <v>0.3181818182</v>
      </c>
      <c r="N130" s="8">
        <f>IFERROR(__xludf.DUMMYFUNCTION("""COMPUTED_VALUE"""),0.287878787878787)</f>
        <v>0.2878787879</v>
      </c>
      <c r="O130" s="8">
        <f>IFERROR(__xludf.DUMMYFUNCTION("""COMPUTED_VALUE"""),0.21875)</f>
        <v>0.21875</v>
      </c>
      <c r="P130" s="8">
        <f>IFERROR(__xludf.DUMMYFUNCTION("""COMPUTED_VALUE"""),0.170731707317073)</f>
        <v>0.1707317073</v>
      </c>
      <c r="Q130" s="8">
        <f>IFERROR(__xludf.DUMMYFUNCTION("""COMPUTED_VALUE"""),0.0857142857142857)</f>
        <v>0.08571428571</v>
      </c>
      <c r="R130" s="8">
        <f>IFERROR(__xludf.DUMMYFUNCTION("""COMPUTED_VALUE"""),0.0)</f>
        <v>0</v>
      </c>
      <c r="S130" s="8">
        <f>IFERROR(__xludf.DUMMYFUNCTION("""COMPUTED_VALUE"""),0.0)</f>
        <v>0</v>
      </c>
      <c r="T130" s="8">
        <f>IFERROR(__xludf.DUMMYFUNCTION("""COMPUTED_VALUE"""),0.0)</f>
        <v>0</v>
      </c>
      <c r="U130" s="8">
        <f>IFERROR(__xludf.DUMMYFUNCTION("""COMPUTED_VALUE"""),0.0)</f>
        <v>0</v>
      </c>
      <c r="V130" s="8">
        <f>IFERROR(__xludf.DUMMYFUNCTION("""COMPUTED_VALUE"""),0.0)</f>
        <v>0</v>
      </c>
      <c r="W130" s="8">
        <f>IFERROR(__xludf.DUMMYFUNCTION("""COMPUTED_VALUE"""),0.0)</f>
        <v>0</v>
      </c>
      <c r="X130" s="8">
        <f>IFERROR(__xludf.DUMMYFUNCTION("""COMPUTED_VALUE"""),0.0)</f>
        <v>0</v>
      </c>
      <c r="Y130" s="8">
        <f>IFERROR(__xludf.DUMMYFUNCTION("""COMPUTED_VALUE"""),0.0)</f>
        <v>0</v>
      </c>
      <c r="Z130" s="8">
        <f>IFERROR(__xludf.DUMMYFUNCTION("""COMPUTED_VALUE"""),0.0)</f>
        <v>0</v>
      </c>
      <c r="AA130" s="8">
        <f>IFERROR(__xludf.DUMMYFUNCTION("""COMPUTED_VALUE"""),0.0)</f>
        <v>0</v>
      </c>
      <c r="AB130" s="8">
        <f>IFERROR(__xludf.DUMMYFUNCTION("""COMPUTED_VALUE"""),0.0)</f>
        <v>0</v>
      </c>
      <c r="AC130" s="8">
        <f>IFERROR(__xludf.DUMMYFUNCTION("""COMPUTED_VALUE"""),0.0)</f>
        <v>0</v>
      </c>
    </row>
    <row r="131" ht="15.75" customHeight="1">
      <c r="A131" s="6" t="str">
        <f>IFERROR(__xludf.DUMMYFUNCTION("""COMPUTED_VALUE"""),"6f907f1e2ab28d03dcc8246bf380f11b97d00c06")</f>
        <v>6f907f1e2ab28d03dcc8246bf380f11b97d00c06</v>
      </c>
      <c r="B131" s="6" t="str">
        <f>IFERROR(__xludf.DUMMYFUNCTION("""COMPUTED_VALUE"""),"CEO Inherited Bride ")</f>
        <v>CEO Inherited Bride </v>
      </c>
      <c r="C131" s="6" t="str">
        <f>IFERROR(__xludf.DUMMYFUNCTION("""COMPUTED_VALUE"""),"Romance")</f>
        <v>Romance</v>
      </c>
      <c r="D131" s="11">
        <f>IFERROR(__xludf.DUMMYFUNCTION("""COMPUTED_VALUE"""),46.0)</f>
        <v>46</v>
      </c>
      <c r="E131" s="8">
        <f>IFERROR(__xludf.DUMMYFUNCTION("""COMPUTED_VALUE"""),1.0)</f>
        <v>1</v>
      </c>
      <c r="F131" s="8">
        <f>IFERROR(__xludf.DUMMYFUNCTION("""COMPUTED_VALUE"""),0.717391304347826)</f>
        <v>0.7173913043</v>
      </c>
      <c r="G131" s="8">
        <f>IFERROR(__xludf.DUMMYFUNCTION("""COMPUTED_VALUE"""),0.630434782608695)</f>
        <v>0.6304347826</v>
      </c>
      <c r="H131" s="8">
        <f>IFERROR(__xludf.DUMMYFUNCTION("""COMPUTED_VALUE"""),0.608695652173913)</f>
        <v>0.6086956522</v>
      </c>
      <c r="I131" s="8">
        <f>IFERROR(__xludf.DUMMYFUNCTION("""COMPUTED_VALUE"""),0.565217391304347)</f>
        <v>0.5652173913</v>
      </c>
      <c r="J131" s="8">
        <f>IFERROR(__xludf.DUMMYFUNCTION("""COMPUTED_VALUE"""),0.543478260869565)</f>
        <v>0.5434782609</v>
      </c>
      <c r="K131" s="8">
        <f>IFERROR(__xludf.DUMMYFUNCTION("""COMPUTED_VALUE"""),0.521739130434782)</f>
        <v>0.5217391304</v>
      </c>
      <c r="L131" s="8">
        <f>IFERROR(__xludf.DUMMYFUNCTION("""COMPUTED_VALUE"""),0.456521739130434)</f>
        <v>0.4565217391</v>
      </c>
      <c r="M131" s="8">
        <f>IFERROR(__xludf.DUMMYFUNCTION("""COMPUTED_VALUE"""),0.434782608695652)</f>
        <v>0.4347826087</v>
      </c>
      <c r="N131" s="8">
        <f>IFERROR(__xludf.DUMMYFUNCTION("""COMPUTED_VALUE"""),0.413043478260869)</f>
        <v>0.4130434783</v>
      </c>
      <c r="O131" s="8">
        <f>IFERROR(__xludf.DUMMYFUNCTION("""COMPUTED_VALUE"""),0.311111111111111)</f>
        <v>0.3111111111</v>
      </c>
      <c r="P131" s="8">
        <f>IFERROR(__xludf.DUMMYFUNCTION("""COMPUTED_VALUE"""),0.25)</f>
        <v>0.25</v>
      </c>
      <c r="Q131" s="8">
        <f>IFERROR(__xludf.DUMMYFUNCTION("""COMPUTED_VALUE"""),0.175)</f>
        <v>0.175</v>
      </c>
      <c r="R131" s="8">
        <f>IFERROR(__xludf.DUMMYFUNCTION("""COMPUTED_VALUE"""),0.1)</f>
        <v>0.1</v>
      </c>
      <c r="S131" s="8">
        <f>IFERROR(__xludf.DUMMYFUNCTION("""COMPUTED_VALUE"""),0.0384615384615384)</f>
        <v>0.03846153846</v>
      </c>
      <c r="T131" s="8">
        <f>IFERROR(__xludf.DUMMYFUNCTION("""COMPUTED_VALUE"""),0.111111111111111)</f>
        <v>0.1111111111</v>
      </c>
      <c r="U131" s="8">
        <f>IFERROR(__xludf.DUMMYFUNCTION("""COMPUTED_VALUE"""),0.0)</f>
        <v>0</v>
      </c>
      <c r="V131" s="8">
        <f>IFERROR(__xludf.DUMMYFUNCTION("""COMPUTED_VALUE"""),0.0)</f>
        <v>0</v>
      </c>
      <c r="W131" s="8">
        <f>IFERROR(__xludf.DUMMYFUNCTION("""COMPUTED_VALUE"""),0.0)</f>
        <v>0</v>
      </c>
      <c r="X131" s="8">
        <f>IFERROR(__xludf.DUMMYFUNCTION("""COMPUTED_VALUE"""),0.0)</f>
        <v>0</v>
      </c>
      <c r="Y131" s="8">
        <f>IFERROR(__xludf.DUMMYFUNCTION("""COMPUTED_VALUE"""),0.0)</f>
        <v>0</v>
      </c>
      <c r="Z131" s="8">
        <f>IFERROR(__xludf.DUMMYFUNCTION("""COMPUTED_VALUE"""),0.0)</f>
        <v>0</v>
      </c>
      <c r="AA131" s="8">
        <f>IFERROR(__xludf.DUMMYFUNCTION("""COMPUTED_VALUE"""),0.0)</f>
        <v>0</v>
      </c>
      <c r="AB131" s="8">
        <f>IFERROR(__xludf.DUMMYFUNCTION("""COMPUTED_VALUE"""),0.0)</f>
        <v>0</v>
      </c>
      <c r="AC131" s="8">
        <f>IFERROR(__xludf.DUMMYFUNCTION("""COMPUTED_VALUE"""),0.0)</f>
        <v>0</v>
      </c>
    </row>
    <row r="132" ht="15.75" customHeight="1">
      <c r="A132" s="6" t="str">
        <f>IFERROR(__xludf.DUMMYFUNCTION("""COMPUTED_VALUE"""),"71bfacd374965f4c980894477e36ea695b41c609")</f>
        <v>71bfacd374965f4c980894477e36ea695b41c609</v>
      </c>
      <c r="B132" s="6" t="str">
        <f>IFERROR(__xludf.DUMMYFUNCTION("""COMPUTED_VALUE"""),"Bride Who Didn't Want Him")</f>
        <v>Bride Who Didn't Want Him</v>
      </c>
      <c r="C132" s="6" t="str">
        <f>IFERROR(__xludf.DUMMYFUNCTION("""COMPUTED_VALUE"""),"Romance")</f>
        <v>Romance</v>
      </c>
      <c r="D132" s="11">
        <f>IFERROR(__xludf.DUMMYFUNCTION("""COMPUTED_VALUE"""),551.0)</f>
        <v>551</v>
      </c>
      <c r="E132" s="8">
        <f>IFERROR(__xludf.DUMMYFUNCTION("""COMPUTED_VALUE"""),0.978221415607985)</f>
        <v>0.9782214156</v>
      </c>
      <c r="F132" s="8">
        <f>IFERROR(__xludf.DUMMYFUNCTION("""COMPUTED_VALUE"""),0.573502722323049)</f>
        <v>0.5735027223</v>
      </c>
      <c r="G132" s="8">
        <f>IFERROR(__xludf.DUMMYFUNCTION("""COMPUTED_VALUE"""),0.506352087114337)</f>
        <v>0.5063520871</v>
      </c>
      <c r="H132" s="8">
        <f>IFERROR(__xludf.DUMMYFUNCTION("""COMPUTED_VALUE"""),0.448275862068965)</f>
        <v>0.4482758621</v>
      </c>
      <c r="I132" s="8">
        <f>IFERROR(__xludf.DUMMYFUNCTION("""COMPUTED_VALUE"""),0.424682395644283)</f>
        <v>0.4246823956</v>
      </c>
      <c r="J132" s="8">
        <f>IFERROR(__xludf.DUMMYFUNCTION("""COMPUTED_VALUE"""),0.404718693284936)</f>
        <v>0.4047186933</v>
      </c>
      <c r="K132" s="8">
        <f>IFERROR(__xludf.DUMMYFUNCTION("""COMPUTED_VALUE"""),0.392014519056261)</f>
        <v>0.3920145191</v>
      </c>
      <c r="L132" s="8">
        <f>IFERROR(__xludf.DUMMYFUNCTION("""COMPUTED_VALUE"""),0.37568058076225)</f>
        <v>0.3756805808</v>
      </c>
      <c r="M132" s="8">
        <f>IFERROR(__xludf.DUMMYFUNCTION("""COMPUTED_VALUE"""),0.37568058076225)</f>
        <v>0.3756805808</v>
      </c>
      <c r="N132" s="8">
        <f>IFERROR(__xludf.DUMMYFUNCTION("""COMPUTED_VALUE"""),0.361818181818181)</f>
        <v>0.3618181818</v>
      </c>
      <c r="O132" s="8">
        <f>IFERROR(__xludf.DUMMYFUNCTION("""COMPUTED_VALUE"""),0.333333333333333)</f>
        <v>0.3333333333</v>
      </c>
      <c r="P132" s="8">
        <f>IFERROR(__xludf.DUMMYFUNCTION("""COMPUTED_VALUE"""),0.25)</f>
        <v>0.25</v>
      </c>
      <c r="Q132" s="8">
        <f>IFERROR(__xludf.DUMMYFUNCTION("""COMPUTED_VALUE"""),0.136538461538461)</f>
        <v>0.1365384615</v>
      </c>
      <c r="R132" s="8">
        <f>IFERROR(__xludf.DUMMYFUNCTION("""COMPUTED_VALUE"""),0.0)</f>
        <v>0</v>
      </c>
      <c r="S132" s="8">
        <f>IFERROR(__xludf.DUMMYFUNCTION("""COMPUTED_VALUE"""),0.0)</f>
        <v>0</v>
      </c>
      <c r="T132" s="8">
        <f>IFERROR(__xludf.DUMMYFUNCTION("""COMPUTED_VALUE"""),0.0)</f>
        <v>0</v>
      </c>
      <c r="U132" s="8">
        <f>IFERROR(__xludf.DUMMYFUNCTION("""COMPUTED_VALUE"""),0.0)</f>
        <v>0</v>
      </c>
      <c r="V132" s="8">
        <f>IFERROR(__xludf.DUMMYFUNCTION("""COMPUTED_VALUE"""),0.0)</f>
        <v>0</v>
      </c>
      <c r="W132" s="8">
        <f>IFERROR(__xludf.DUMMYFUNCTION("""COMPUTED_VALUE"""),0.0)</f>
        <v>0</v>
      </c>
      <c r="X132" s="8">
        <f>IFERROR(__xludf.DUMMYFUNCTION("""COMPUTED_VALUE"""),0.0)</f>
        <v>0</v>
      </c>
      <c r="Y132" s="8">
        <f>IFERROR(__xludf.DUMMYFUNCTION("""COMPUTED_VALUE"""),0.0)</f>
        <v>0</v>
      </c>
      <c r="Z132" s="8">
        <f>IFERROR(__xludf.DUMMYFUNCTION("""COMPUTED_VALUE"""),0.0)</f>
        <v>0</v>
      </c>
      <c r="AA132" s="8">
        <f>IFERROR(__xludf.DUMMYFUNCTION("""COMPUTED_VALUE"""),0.0)</f>
        <v>0</v>
      </c>
      <c r="AB132" s="8">
        <f>IFERROR(__xludf.DUMMYFUNCTION("""COMPUTED_VALUE"""),0.0)</f>
        <v>0</v>
      </c>
      <c r="AC132" s="8">
        <f>IFERROR(__xludf.DUMMYFUNCTION("""COMPUTED_VALUE"""),0.0)</f>
        <v>0</v>
      </c>
    </row>
    <row r="133" ht="15.75" customHeight="1">
      <c r="A133" s="6" t="str">
        <f>IFERROR(__xludf.DUMMYFUNCTION("""COMPUTED_VALUE"""),"730a3d0d6b094f151aed0a3dff6794a1d2fedee3")</f>
        <v>730a3d0d6b094f151aed0a3dff6794a1d2fedee3</v>
      </c>
      <c r="B133" s="6" t="str">
        <f>IFERROR(__xludf.DUMMYFUNCTION("""COMPUTED_VALUE"""),"Her Beauty Is Reborn")</f>
        <v>Her Beauty Is Reborn</v>
      </c>
      <c r="C133" s="6" t="str">
        <f>IFERROR(__xludf.DUMMYFUNCTION("""COMPUTED_VALUE"""),"Romance")</f>
        <v>Romance</v>
      </c>
      <c r="D133" s="11">
        <f>IFERROR(__xludf.DUMMYFUNCTION("""COMPUTED_VALUE"""),3234.0)</f>
        <v>3234</v>
      </c>
      <c r="E133" s="8">
        <f>IFERROR(__xludf.DUMMYFUNCTION("""COMPUTED_VALUE"""),0.959492888064316)</f>
        <v>0.9594928881</v>
      </c>
      <c r="F133" s="8">
        <f>IFERROR(__xludf.DUMMYFUNCTION("""COMPUTED_VALUE"""),0.60204081632653)</f>
        <v>0.6020408163</v>
      </c>
      <c r="G133" s="8">
        <f>IFERROR(__xludf.DUMMYFUNCTION("""COMPUTED_VALUE"""),0.544526901669758)</f>
        <v>0.5445269017</v>
      </c>
      <c r="H133" s="8">
        <f>IFERROR(__xludf.DUMMYFUNCTION("""COMPUTED_VALUE"""),0.508658008658008)</f>
        <v>0.5086580087</v>
      </c>
      <c r="I133" s="8">
        <f>IFERROR(__xludf.DUMMYFUNCTION("""COMPUTED_VALUE"""),0.488559059987631)</f>
        <v>0.48855906</v>
      </c>
      <c r="J133" s="8">
        <f>IFERROR(__xludf.DUMMYFUNCTION("""COMPUTED_VALUE"""),0.466914038342609)</f>
        <v>0.4669140383</v>
      </c>
      <c r="K133" s="8">
        <f>IFERROR(__xludf.DUMMYFUNCTION("""COMPUTED_VALUE"""),0.45021645021645)</f>
        <v>0.4502164502</v>
      </c>
      <c r="L133" s="8">
        <f>IFERROR(__xludf.DUMMYFUNCTION("""COMPUTED_VALUE"""),0.436262376237623)</f>
        <v>0.4362623762</v>
      </c>
      <c r="M133" s="8">
        <f>IFERROR(__xludf.DUMMYFUNCTION("""COMPUTED_VALUE"""),0.426670792079207)</f>
        <v>0.4266707921</v>
      </c>
      <c r="N133" s="8">
        <f>IFERROR(__xludf.DUMMYFUNCTION("""COMPUTED_VALUE"""),0.417388613861386)</f>
        <v>0.4173886139</v>
      </c>
      <c r="O133" s="8">
        <f>IFERROR(__xludf.DUMMYFUNCTION("""COMPUTED_VALUE"""),0.382444168734491)</f>
        <v>0.3824441687</v>
      </c>
      <c r="P133" s="8">
        <f>IFERROR(__xludf.DUMMYFUNCTION("""COMPUTED_VALUE"""),0.329906542056074)</f>
        <v>0.3299065421</v>
      </c>
      <c r="Q133" s="8">
        <f>IFERROR(__xludf.DUMMYFUNCTION("""COMPUTED_VALUE"""),0.273611546909319)</f>
        <v>0.2736115469</v>
      </c>
      <c r="R133" s="8">
        <f>IFERROR(__xludf.DUMMYFUNCTION("""COMPUTED_VALUE"""),0.218271827182718)</f>
        <v>0.2182718272</v>
      </c>
      <c r="S133" s="8">
        <f>IFERROR(__xludf.DUMMYFUNCTION("""COMPUTED_VALUE"""),0.188997821350762)</f>
        <v>0.1889978214</v>
      </c>
      <c r="T133" s="8">
        <f>IFERROR(__xludf.DUMMYFUNCTION("""COMPUTED_VALUE"""),0.16656346749226)</f>
        <v>0.1665634675</v>
      </c>
      <c r="U133" s="8">
        <f>IFERROR(__xludf.DUMMYFUNCTION("""COMPUTED_VALUE"""),0.136974789915966)</f>
        <v>0.1369747899</v>
      </c>
      <c r="V133" s="8">
        <f>IFERROR(__xludf.DUMMYFUNCTION("""COMPUTED_VALUE"""),0.123395853899308)</f>
        <v>0.1233958539</v>
      </c>
      <c r="W133" s="8">
        <f>IFERROR(__xludf.DUMMYFUNCTION("""COMPUTED_VALUE"""),0.106951871657754)</f>
        <v>0.1069518717</v>
      </c>
      <c r="X133" s="8">
        <f>IFERROR(__xludf.DUMMYFUNCTION("""COMPUTED_VALUE"""),0.0917874396135265)</f>
        <v>0.09178743961</v>
      </c>
      <c r="Y133" s="8">
        <f>IFERROR(__xludf.DUMMYFUNCTION("""COMPUTED_VALUE"""),0.0144927536231884)</f>
        <v>0.01449275362</v>
      </c>
      <c r="Z133" s="8">
        <f>IFERROR(__xludf.DUMMYFUNCTION("""COMPUTED_VALUE"""),0.0)</f>
        <v>0</v>
      </c>
      <c r="AA133" s="8">
        <f>IFERROR(__xludf.DUMMYFUNCTION("""COMPUTED_VALUE"""),0.0)</f>
        <v>0</v>
      </c>
      <c r="AB133" s="8">
        <f>IFERROR(__xludf.DUMMYFUNCTION("""COMPUTED_VALUE"""),0.0)</f>
        <v>0</v>
      </c>
      <c r="AC133" s="8">
        <f>IFERROR(__xludf.DUMMYFUNCTION("""COMPUTED_VALUE"""),0.0)</f>
        <v>0</v>
      </c>
    </row>
    <row r="134" ht="15.75" customHeight="1">
      <c r="A134" s="6" t="str">
        <f>IFERROR(__xludf.DUMMYFUNCTION("""COMPUTED_VALUE"""),"7315dca13e406894d8407cd6d050c5d3b69eec10")</f>
        <v>7315dca13e406894d8407cd6d050c5d3b69eec10</v>
      </c>
      <c r="B134" s="6" t="str">
        <f>IFERROR(__xludf.DUMMYFUNCTION("""COMPUTED_VALUE"""),"The Uncle Who Chose Me")</f>
        <v>The Uncle Who Chose Me</v>
      </c>
      <c r="C134" s="6" t="str">
        <f>IFERROR(__xludf.DUMMYFUNCTION("""COMPUTED_VALUE"""),"Romance")</f>
        <v>Romance</v>
      </c>
      <c r="D134" s="11">
        <f>IFERROR(__xludf.DUMMYFUNCTION("""COMPUTED_VALUE"""),490.0)</f>
        <v>490</v>
      </c>
      <c r="E134" s="8">
        <f>IFERROR(__xludf.DUMMYFUNCTION("""COMPUTED_VALUE"""),0.981632653061224)</f>
        <v>0.9816326531</v>
      </c>
      <c r="F134" s="8">
        <f>IFERROR(__xludf.DUMMYFUNCTION("""COMPUTED_VALUE"""),0.620408163265306)</f>
        <v>0.6204081633</v>
      </c>
      <c r="G134" s="8">
        <f>IFERROR(__xludf.DUMMYFUNCTION("""COMPUTED_VALUE"""),0.508163265306122)</f>
        <v>0.5081632653</v>
      </c>
      <c r="H134" s="8">
        <f>IFERROR(__xludf.DUMMYFUNCTION("""COMPUTED_VALUE"""),0.465306122448979)</f>
        <v>0.4653061224</v>
      </c>
      <c r="I134" s="8">
        <f>IFERROR(__xludf.DUMMYFUNCTION("""COMPUTED_VALUE"""),0.416326530612244)</f>
        <v>0.4163265306</v>
      </c>
      <c r="J134" s="8">
        <f>IFERROR(__xludf.DUMMYFUNCTION("""COMPUTED_VALUE"""),0.389795918367346)</f>
        <v>0.3897959184</v>
      </c>
      <c r="K134" s="8">
        <f>IFERROR(__xludf.DUMMYFUNCTION("""COMPUTED_VALUE"""),0.373469387755102)</f>
        <v>0.3734693878</v>
      </c>
      <c r="L134" s="8">
        <f>IFERROR(__xludf.DUMMYFUNCTION("""COMPUTED_VALUE"""),0.355828220858895)</f>
        <v>0.3558282209</v>
      </c>
      <c r="M134" s="8">
        <f>IFERROR(__xludf.DUMMYFUNCTION("""COMPUTED_VALUE"""),0.34560327198364)</f>
        <v>0.345603272</v>
      </c>
      <c r="N134" s="8">
        <f>IFERROR(__xludf.DUMMYFUNCTION("""COMPUTED_VALUE"""),0.316973415132924)</f>
        <v>0.3169734151</v>
      </c>
      <c r="O134" s="8">
        <f>IFERROR(__xludf.DUMMYFUNCTION("""COMPUTED_VALUE"""),0.254098360655737)</f>
        <v>0.2540983607</v>
      </c>
      <c r="P134" s="8">
        <f>IFERROR(__xludf.DUMMYFUNCTION("""COMPUTED_VALUE"""),0.177453027139874)</f>
        <v>0.1774530271</v>
      </c>
      <c r="Q134" s="8">
        <f>IFERROR(__xludf.DUMMYFUNCTION("""COMPUTED_VALUE"""),0.0808510638297872)</f>
        <v>0.08085106383</v>
      </c>
      <c r="R134" s="8">
        <f>IFERROR(__xludf.DUMMYFUNCTION("""COMPUTED_VALUE"""),0.0)</f>
        <v>0</v>
      </c>
      <c r="S134" s="8">
        <f>IFERROR(__xludf.DUMMYFUNCTION("""COMPUTED_VALUE"""),0.0)</f>
        <v>0</v>
      </c>
      <c r="T134" s="8">
        <f>IFERROR(__xludf.DUMMYFUNCTION("""COMPUTED_VALUE"""),0.0)</f>
        <v>0</v>
      </c>
      <c r="U134" s="8">
        <f>IFERROR(__xludf.DUMMYFUNCTION("""COMPUTED_VALUE"""),0.0)</f>
        <v>0</v>
      </c>
      <c r="V134" s="8">
        <f>IFERROR(__xludf.DUMMYFUNCTION("""COMPUTED_VALUE"""),0.0)</f>
        <v>0</v>
      </c>
      <c r="W134" s="8">
        <f>IFERROR(__xludf.DUMMYFUNCTION("""COMPUTED_VALUE"""),0.0)</f>
        <v>0</v>
      </c>
      <c r="X134" s="8">
        <f>IFERROR(__xludf.DUMMYFUNCTION("""COMPUTED_VALUE"""),0.0)</f>
        <v>0</v>
      </c>
      <c r="Y134" s="8">
        <f>IFERROR(__xludf.DUMMYFUNCTION("""COMPUTED_VALUE"""),0.0)</f>
        <v>0</v>
      </c>
      <c r="Z134" s="8">
        <f>IFERROR(__xludf.DUMMYFUNCTION("""COMPUTED_VALUE"""),0.0)</f>
        <v>0</v>
      </c>
      <c r="AA134" s="8">
        <f>IFERROR(__xludf.DUMMYFUNCTION("""COMPUTED_VALUE"""),0.0)</f>
        <v>0</v>
      </c>
      <c r="AB134" s="8">
        <f>IFERROR(__xludf.DUMMYFUNCTION("""COMPUTED_VALUE"""),0.0)</f>
        <v>0</v>
      </c>
      <c r="AC134" s="8">
        <f>IFERROR(__xludf.DUMMYFUNCTION("""COMPUTED_VALUE"""),0.0)</f>
        <v>0</v>
      </c>
    </row>
    <row r="135" ht="15.75" customHeight="1">
      <c r="A135" s="6" t="str">
        <f>IFERROR(__xludf.DUMMYFUNCTION("""COMPUTED_VALUE"""),"749524eadbd429949b1a44242bd8fb3559f3626c")</f>
        <v>749524eadbd429949b1a44242bd8fb3559f3626c</v>
      </c>
      <c r="B135" s="6" t="str">
        <f>IFERROR(__xludf.DUMMYFUNCTION("""COMPUTED_VALUE"""),"Monarch of His Shadows")</f>
        <v>Monarch of His Shadows</v>
      </c>
      <c r="C135" s="6" t="str">
        <f>IFERROR(__xludf.DUMMYFUNCTION("""COMPUTED_VALUE"""),"Fantasy")</f>
        <v>Fantasy</v>
      </c>
      <c r="D135" s="11">
        <f>IFERROR(__xludf.DUMMYFUNCTION("""COMPUTED_VALUE"""),68.0)</f>
        <v>68</v>
      </c>
      <c r="E135" s="8">
        <f>IFERROR(__xludf.DUMMYFUNCTION("""COMPUTED_VALUE"""),0.940298507462686)</f>
        <v>0.9402985075</v>
      </c>
      <c r="F135" s="8">
        <f>IFERROR(__xludf.DUMMYFUNCTION("""COMPUTED_VALUE"""),0.567164179104477)</f>
        <v>0.5671641791</v>
      </c>
      <c r="G135" s="8">
        <f>IFERROR(__xludf.DUMMYFUNCTION("""COMPUTED_VALUE"""),0.507462686567164)</f>
        <v>0.5074626866</v>
      </c>
      <c r="H135" s="8">
        <f>IFERROR(__xludf.DUMMYFUNCTION("""COMPUTED_VALUE"""),0.507462686567164)</f>
        <v>0.5074626866</v>
      </c>
      <c r="I135" s="8">
        <f>IFERROR(__xludf.DUMMYFUNCTION("""COMPUTED_VALUE"""),0.439393939393939)</f>
        <v>0.4393939394</v>
      </c>
      <c r="J135" s="8">
        <f>IFERROR(__xludf.DUMMYFUNCTION("""COMPUTED_VALUE"""),0.446153846153846)</f>
        <v>0.4461538462</v>
      </c>
      <c r="K135" s="8">
        <f>IFERROR(__xludf.DUMMYFUNCTION("""COMPUTED_VALUE"""),0.43076923076923)</f>
        <v>0.4307692308</v>
      </c>
      <c r="L135" s="8">
        <f>IFERROR(__xludf.DUMMYFUNCTION("""COMPUTED_VALUE"""),0.4)</f>
        <v>0.4</v>
      </c>
      <c r="M135" s="8">
        <f>IFERROR(__xludf.DUMMYFUNCTION("""COMPUTED_VALUE"""),0.369230769230769)</f>
        <v>0.3692307692</v>
      </c>
      <c r="N135" s="8">
        <f>IFERROR(__xludf.DUMMYFUNCTION("""COMPUTED_VALUE"""),0.369230769230769)</f>
        <v>0.3692307692</v>
      </c>
      <c r="O135" s="8">
        <f>IFERROR(__xludf.DUMMYFUNCTION("""COMPUTED_VALUE"""),0.269841269841269)</f>
        <v>0.2698412698</v>
      </c>
      <c r="P135" s="8">
        <f>IFERROR(__xludf.DUMMYFUNCTION("""COMPUTED_VALUE"""),0.126984126984126)</f>
        <v>0.126984127</v>
      </c>
      <c r="Q135" s="8">
        <f>IFERROR(__xludf.DUMMYFUNCTION("""COMPUTED_VALUE"""),0.0)</f>
        <v>0</v>
      </c>
      <c r="R135" s="8">
        <f>IFERROR(__xludf.DUMMYFUNCTION("""COMPUTED_VALUE"""),0.0)</f>
        <v>0</v>
      </c>
      <c r="S135" s="8">
        <f>IFERROR(__xludf.DUMMYFUNCTION("""COMPUTED_VALUE"""),0.0)</f>
        <v>0</v>
      </c>
      <c r="T135" s="8">
        <f>IFERROR(__xludf.DUMMYFUNCTION("""COMPUTED_VALUE"""),0.0)</f>
        <v>0</v>
      </c>
      <c r="U135" s="8">
        <f>IFERROR(__xludf.DUMMYFUNCTION("""COMPUTED_VALUE"""),0.0)</f>
        <v>0</v>
      </c>
      <c r="V135" s="8">
        <f>IFERROR(__xludf.DUMMYFUNCTION("""COMPUTED_VALUE"""),0.0)</f>
        <v>0</v>
      </c>
      <c r="W135" s="8">
        <f>IFERROR(__xludf.DUMMYFUNCTION("""COMPUTED_VALUE"""),0.0)</f>
        <v>0</v>
      </c>
      <c r="X135" s="8">
        <f>IFERROR(__xludf.DUMMYFUNCTION("""COMPUTED_VALUE"""),0.0)</f>
        <v>0</v>
      </c>
      <c r="Y135" s="8">
        <f>IFERROR(__xludf.DUMMYFUNCTION("""COMPUTED_VALUE"""),0.0)</f>
        <v>0</v>
      </c>
      <c r="Z135" s="8">
        <f>IFERROR(__xludf.DUMMYFUNCTION("""COMPUTED_VALUE"""),0.0)</f>
        <v>0</v>
      </c>
      <c r="AA135" s="8">
        <f>IFERROR(__xludf.DUMMYFUNCTION("""COMPUTED_VALUE"""),0.0)</f>
        <v>0</v>
      </c>
      <c r="AB135" s="8">
        <f>IFERROR(__xludf.DUMMYFUNCTION("""COMPUTED_VALUE"""),0.0)</f>
        <v>0</v>
      </c>
      <c r="AC135" s="8">
        <f>IFERROR(__xludf.DUMMYFUNCTION("""COMPUTED_VALUE"""),0.0)</f>
        <v>0</v>
      </c>
    </row>
    <row r="136" ht="15.75" customHeight="1">
      <c r="A136" s="6" t="str">
        <f>IFERROR(__xludf.DUMMYFUNCTION("""COMPUTED_VALUE"""),"75537e31c1c79bdbb6ca1cd286c8e6bcb2697a51")</f>
        <v>75537e31c1c79bdbb6ca1cd286c8e6bcb2697a51</v>
      </c>
      <c r="B136" s="6" t="str">
        <f>IFERROR(__xludf.DUMMYFUNCTION("""COMPUTED_VALUE"""),"The Story of the CEO and the Heiress")</f>
        <v>The Story of the CEO and the Heiress</v>
      </c>
      <c r="C136" s="6" t="str">
        <f>IFERROR(__xludf.DUMMYFUNCTION("""COMPUTED_VALUE"""),"Romance")</f>
        <v>Romance</v>
      </c>
      <c r="D136" s="11">
        <f>IFERROR(__xludf.DUMMYFUNCTION("""COMPUTED_VALUE"""),5242.0)</f>
        <v>5242</v>
      </c>
      <c r="E136" s="8">
        <f>IFERROR(__xludf.DUMMYFUNCTION("""COMPUTED_VALUE"""),0.941962581137838)</f>
        <v>0.9419625811</v>
      </c>
      <c r="F136" s="8">
        <f>IFERROR(__xludf.DUMMYFUNCTION("""COMPUTED_VALUE"""),0.552837760366902)</f>
        <v>0.5528377604</v>
      </c>
      <c r="G136" s="8">
        <f>IFERROR(__xludf.DUMMYFUNCTION("""COMPUTED_VALUE"""),0.490049751243781)</f>
        <v>0.4900497512</v>
      </c>
      <c r="H136" s="8">
        <f>IFERROR(__xludf.DUMMYFUNCTION("""COMPUTED_VALUE"""),0.461509000382995)</f>
        <v>0.4615090004</v>
      </c>
      <c r="I136" s="8">
        <f>IFERROR(__xludf.DUMMYFUNCTION("""COMPUTED_VALUE"""),0.434840935224223)</f>
        <v>0.4348409352</v>
      </c>
      <c r="J136" s="8">
        <f>IFERROR(__xludf.DUMMYFUNCTION("""COMPUTED_VALUE"""),0.417881811204911)</f>
        <v>0.4178818112</v>
      </c>
      <c r="K136" s="8">
        <f>IFERROR(__xludf.DUMMYFUNCTION("""COMPUTED_VALUE"""),0.405602455871066)</f>
        <v>0.4056024559</v>
      </c>
      <c r="L136" s="8">
        <f>IFERROR(__xludf.DUMMYFUNCTION("""COMPUTED_VALUE"""),0.401229823212913)</f>
        <v>0.4012298232</v>
      </c>
      <c r="M136" s="8">
        <f>IFERROR(__xludf.DUMMYFUNCTION("""COMPUTED_VALUE"""),0.390811226451364)</f>
        <v>0.3908112265</v>
      </c>
      <c r="N136" s="8">
        <f>IFERROR(__xludf.DUMMYFUNCTION("""COMPUTED_VALUE"""),0.381034814387382)</f>
        <v>0.3810348144</v>
      </c>
      <c r="O136" s="8">
        <f>IFERROR(__xludf.DUMMYFUNCTION("""COMPUTED_VALUE"""),0.369325864400231)</f>
        <v>0.3693258644</v>
      </c>
      <c r="P136" s="8">
        <f>IFERROR(__xludf.DUMMYFUNCTION("""COMPUTED_VALUE"""),0.331846392552366)</f>
        <v>0.3318463926</v>
      </c>
      <c r="Q136" s="8">
        <f>IFERROR(__xludf.DUMMYFUNCTION("""COMPUTED_VALUE"""),0.278451310129057)</f>
        <v>0.2784513101</v>
      </c>
      <c r="R136" s="8">
        <f>IFERROR(__xludf.DUMMYFUNCTION("""COMPUTED_VALUE"""),0.234381139489194)</f>
        <v>0.2343811395</v>
      </c>
      <c r="S136" s="8">
        <f>IFERROR(__xludf.DUMMYFUNCTION("""COMPUTED_VALUE"""),0.20260663507109)</f>
        <v>0.2026066351</v>
      </c>
      <c r="T136" s="8">
        <f>IFERROR(__xludf.DUMMYFUNCTION("""COMPUTED_VALUE"""),0.132423984086388)</f>
        <v>0.1324239841</v>
      </c>
      <c r="U136" s="8">
        <f>IFERROR(__xludf.DUMMYFUNCTION("""COMPUTED_VALUE"""),0.108943687891056)</f>
        <v>0.1089436879</v>
      </c>
      <c r="V136" s="8">
        <f>IFERROR(__xludf.DUMMYFUNCTION("""COMPUTED_VALUE"""),0.0802230802230802)</f>
        <v>0.08022308022</v>
      </c>
      <c r="W136" s="8">
        <f>IFERROR(__xludf.DUMMYFUNCTION("""COMPUTED_VALUE"""),0.0613993336506425)</f>
        <v>0.06139933365</v>
      </c>
      <c r="X136" s="8">
        <f>IFERROR(__xludf.DUMMYFUNCTION("""COMPUTED_VALUE"""),0.0)</f>
        <v>0</v>
      </c>
      <c r="Y136" s="8">
        <f>IFERROR(__xludf.DUMMYFUNCTION("""COMPUTED_VALUE"""),0.0)</f>
        <v>0</v>
      </c>
      <c r="Z136" s="8">
        <f>IFERROR(__xludf.DUMMYFUNCTION("""COMPUTED_VALUE"""),0.0)</f>
        <v>0</v>
      </c>
      <c r="AA136" s="8">
        <f>IFERROR(__xludf.DUMMYFUNCTION("""COMPUTED_VALUE"""),0.0)</f>
        <v>0</v>
      </c>
      <c r="AB136" s="8">
        <f>IFERROR(__xludf.DUMMYFUNCTION("""COMPUTED_VALUE"""),0.0)</f>
        <v>0</v>
      </c>
      <c r="AC136" s="8">
        <f>IFERROR(__xludf.DUMMYFUNCTION("""COMPUTED_VALUE"""),0.0)</f>
        <v>0</v>
      </c>
    </row>
    <row r="137" ht="15.75" customHeight="1">
      <c r="A137" s="6" t="str">
        <f>IFERROR(__xludf.DUMMYFUNCTION("""COMPUTED_VALUE"""),"767e135d338072c6a947db01691ead3f3174c6e1")</f>
        <v>767e135d338072c6a947db01691ead3f3174c6e1</v>
      </c>
      <c r="B137" s="6" t="str">
        <f>IFERROR(__xludf.DUMMYFUNCTION("""COMPUTED_VALUE"""),"The Hidden Heir Returns")</f>
        <v>The Hidden Heir Returns</v>
      </c>
      <c r="C137" s="6" t="str">
        <f>IFERROR(__xludf.DUMMYFUNCTION("""COMPUTED_VALUE"""),"Drama")</f>
        <v>Drama</v>
      </c>
      <c r="D137" s="11">
        <f>IFERROR(__xludf.DUMMYFUNCTION("""COMPUTED_VALUE"""),3209.0)</f>
        <v>3209</v>
      </c>
      <c r="E137" s="8">
        <f>IFERROR(__xludf.DUMMYFUNCTION("""COMPUTED_VALUE"""),0.857990012484394)</f>
        <v>0.8579900125</v>
      </c>
      <c r="F137" s="8">
        <f>IFERROR(__xludf.DUMMYFUNCTION("""COMPUTED_VALUE"""),0.477265600501724)</f>
        <v>0.4772656005</v>
      </c>
      <c r="G137" s="8">
        <f>IFERROR(__xludf.DUMMYFUNCTION("""COMPUTED_VALUE"""),0.436163522012578)</f>
        <v>0.436163522</v>
      </c>
      <c r="H137" s="8">
        <f>IFERROR(__xludf.DUMMYFUNCTION("""COMPUTED_VALUE"""),0.399367088607594)</f>
        <v>0.3993670886</v>
      </c>
      <c r="I137" s="8">
        <f>IFERROR(__xludf.DUMMYFUNCTION("""COMPUTED_VALUE"""),0.369089178038717)</f>
        <v>0.369089178</v>
      </c>
      <c r="J137" s="8">
        <f>IFERROR(__xludf.DUMMYFUNCTION("""COMPUTED_VALUE"""),0.348311026131293)</f>
        <v>0.3483110261</v>
      </c>
      <c r="K137" s="8">
        <f>IFERROR(__xludf.DUMMYFUNCTION("""COMPUTED_VALUE"""),0.336636828644501)</f>
        <v>0.3366368286</v>
      </c>
      <c r="L137" s="8">
        <f>IFERROR(__xludf.DUMMYFUNCTION("""COMPUTED_VALUE"""),0.317363344051446)</f>
        <v>0.3173633441</v>
      </c>
      <c r="M137" s="8">
        <f>IFERROR(__xludf.DUMMYFUNCTION("""COMPUTED_VALUE"""),0.306477602320335)</f>
        <v>0.3064776023</v>
      </c>
      <c r="N137" s="8">
        <f>IFERROR(__xludf.DUMMYFUNCTION("""COMPUTED_VALUE"""),0.289465153970826)</f>
        <v>0.289465154</v>
      </c>
      <c r="O137" s="8">
        <f>IFERROR(__xludf.DUMMYFUNCTION("""COMPUTED_VALUE"""),0.255382577012255)</f>
        <v>0.255382577</v>
      </c>
      <c r="P137" s="8">
        <f>IFERROR(__xludf.DUMMYFUNCTION("""COMPUTED_VALUE"""),0.2291807718348)</f>
        <v>0.2291807718</v>
      </c>
      <c r="Q137" s="8">
        <f>IFERROR(__xludf.DUMMYFUNCTION("""COMPUTED_VALUE"""),0.171001068756679)</f>
        <v>0.1710010688</v>
      </c>
      <c r="R137" s="8">
        <f>IFERROR(__xludf.DUMMYFUNCTION("""COMPUTED_VALUE"""),0.118724807621839)</f>
        <v>0.1187248076</v>
      </c>
      <c r="S137" s="8">
        <f>IFERROR(__xludf.DUMMYFUNCTION("""COMPUTED_VALUE"""),0.0909090909090909)</f>
        <v>0.09090909091</v>
      </c>
      <c r="T137" s="8">
        <f>IFERROR(__xludf.DUMMYFUNCTION("""COMPUTED_VALUE"""),0.0728682170542635)</f>
        <v>0.07286821705</v>
      </c>
      <c r="U137" s="8">
        <f>IFERROR(__xludf.DUMMYFUNCTION("""COMPUTED_VALUE"""),0.0622473726758286)</f>
        <v>0.06224737268</v>
      </c>
      <c r="V137" s="8">
        <f>IFERROR(__xludf.DUMMYFUNCTION("""COMPUTED_VALUE"""),0.0574468085106383)</f>
        <v>0.05744680851</v>
      </c>
      <c r="W137" s="8">
        <f>IFERROR(__xludf.DUMMYFUNCTION("""COMPUTED_VALUE"""),0.0515232974910394)</f>
        <v>0.05152329749</v>
      </c>
      <c r="X137" s="8">
        <f>IFERROR(__xludf.DUMMYFUNCTION("""COMPUTED_VALUE"""),0.0473563218390804)</f>
        <v>0.04735632184</v>
      </c>
      <c r="Y137" s="8">
        <f>IFERROR(__xludf.DUMMYFUNCTION("""COMPUTED_VALUE"""),0.0469279148524431)</f>
        <v>0.04692791485</v>
      </c>
      <c r="Z137" s="8">
        <f>IFERROR(__xludf.DUMMYFUNCTION("""COMPUTED_VALUE"""),0.0392256749872643)</f>
        <v>0.03922567499</v>
      </c>
      <c r="AA137" s="8">
        <f>IFERROR(__xludf.DUMMYFUNCTION("""COMPUTED_VALUE"""),0.0294426919032597)</f>
        <v>0.0294426919</v>
      </c>
      <c r="AB137" s="8">
        <f>IFERROR(__xludf.DUMMYFUNCTION("""COMPUTED_VALUE"""),0.0199789695057833)</f>
        <v>0.01997896951</v>
      </c>
      <c r="AC137" s="8">
        <f>IFERROR(__xludf.DUMMYFUNCTION("""COMPUTED_VALUE"""),6.42260757867694E-4)</f>
        <v>0.0006422607579</v>
      </c>
    </row>
    <row r="138" ht="15.75" customHeight="1">
      <c r="A138" s="6" t="str">
        <f>IFERROR(__xludf.DUMMYFUNCTION("""COMPUTED_VALUE"""),"778663539ccabc8ee781b66d2bf6ff6a7f527163")</f>
        <v>778663539ccabc8ee781b66d2bf6ff6a7f527163</v>
      </c>
      <c r="B138" s="6" t="str">
        <f>IFERROR(__xludf.DUMMYFUNCTION("""COMPUTED_VALUE"""),"The Lazuras Engine System")</f>
        <v>The Lazuras Engine System</v>
      </c>
      <c r="C138" s="6" t="str">
        <f>IFERROR(__xludf.DUMMYFUNCTION("""COMPUTED_VALUE"""),"System and Superpower")</f>
        <v>System and Superpower</v>
      </c>
      <c r="D138" s="11">
        <f>IFERROR(__xludf.DUMMYFUNCTION("""COMPUTED_VALUE"""),51.0)</f>
        <v>51</v>
      </c>
      <c r="E138" s="8">
        <f>IFERROR(__xludf.DUMMYFUNCTION("""COMPUTED_VALUE"""),0.92156862745098)</f>
        <v>0.9215686275</v>
      </c>
      <c r="F138" s="8">
        <f>IFERROR(__xludf.DUMMYFUNCTION("""COMPUTED_VALUE"""),0.470588235294117)</f>
        <v>0.4705882353</v>
      </c>
      <c r="G138" s="8">
        <f>IFERROR(__xludf.DUMMYFUNCTION("""COMPUTED_VALUE"""),0.411764705882352)</f>
        <v>0.4117647059</v>
      </c>
      <c r="H138" s="8">
        <f>IFERROR(__xludf.DUMMYFUNCTION("""COMPUTED_VALUE"""),0.333333333333333)</f>
        <v>0.3333333333</v>
      </c>
      <c r="I138" s="8">
        <f>IFERROR(__xludf.DUMMYFUNCTION("""COMPUTED_VALUE"""),0.333333333333333)</f>
        <v>0.3333333333</v>
      </c>
      <c r="J138" s="8">
        <f>IFERROR(__xludf.DUMMYFUNCTION("""COMPUTED_VALUE"""),0.313725490196078)</f>
        <v>0.3137254902</v>
      </c>
      <c r="K138" s="8">
        <f>IFERROR(__xludf.DUMMYFUNCTION("""COMPUTED_VALUE"""),0.313725490196078)</f>
        <v>0.3137254902</v>
      </c>
      <c r="L138" s="8">
        <f>IFERROR(__xludf.DUMMYFUNCTION("""COMPUTED_VALUE"""),0.313725490196078)</f>
        <v>0.3137254902</v>
      </c>
      <c r="M138" s="8">
        <f>IFERROR(__xludf.DUMMYFUNCTION("""COMPUTED_VALUE"""),0.274509803921568)</f>
        <v>0.2745098039</v>
      </c>
      <c r="N138" s="8">
        <f>IFERROR(__xludf.DUMMYFUNCTION("""COMPUTED_VALUE"""),0.235294117647058)</f>
        <v>0.2352941176</v>
      </c>
      <c r="O138" s="8">
        <f>IFERROR(__xludf.DUMMYFUNCTION("""COMPUTED_VALUE"""),0.145833333333333)</f>
        <v>0.1458333333</v>
      </c>
      <c r="P138" s="8">
        <f>IFERROR(__xludf.DUMMYFUNCTION("""COMPUTED_VALUE"""),0.0975609756097561)</f>
        <v>0.09756097561</v>
      </c>
      <c r="Q138" s="8">
        <f>IFERROR(__xludf.DUMMYFUNCTION("""COMPUTED_VALUE"""),0.0384615384615384)</f>
        <v>0.03846153846</v>
      </c>
      <c r="R138" s="8">
        <f>IFERROR(__xludf.DUMMYFUNCTION("""COMPUTED_VALUE"""),0.0)</f>
        <v>0</v>
      </c>
      <c r="S138" s="8">
        <f>IFERROR(__xludf.DUMMYFUNCTION("""COMPUTED_VALUE"""),0.0)</f>
        <v>0</v>
      </c>
      <c r="T138" s="8">
        <f>IFERROR(__xludf.DUMMYFUNCTION("""COMPUTED_VALUE"""),0.0)</f>
        <v>0</v>
      </c>
      <c r="U138" s="8">
        <f>IFERROR(__xludf.DUMMYFUNCTION("""COMPUTED_VALUE"""),0.0)</f>
        <v>0</v>
      </c>
      <c r="V138" s="8">
        <f>IFERROR(__xludf.DUMMYFUNCTION("""COMPUTED_VALUE"""),0.0)</f>
        <v>0</v>
      </c>
      <c r="W138" s="8">
        <f>IFERROR(__xludf.DUMMYFUNCTION("""COMPUTED_VALUE"""),0.0)</f>
        <v>0</v>
      </c>
      <c r="X138" s="8">
        <f>IFERROR(__xludf.DUMMYFUNCTION("""COMPUTED_VALUE"""),0.0)</f>
        <v>0</v>
      </c>
      <c r="Y138" s="8">
        <f>IFERROR(__xludf.DUMMYFUNCTION("""COMPUTED_VALUE"""),0.0)</f>
        <v>0</v>
      </c>
      <c r="Z138" s="8">
        <f>IFERROR(__xludf.DUMMYFUNCTION("""COMPUTED_VALUE"""),0.0)</f>
        <v>0</v>
      </c>
      <c r="AA138" s="8">
        <f>IFERROR(__xludf.DUMMYFUNCTION("""COMPUTED_VALUE"""),0.0)</f>
        <v>0</v>
      </c>
      <c r="AB138" s="8">
        <f>IFERROR(__xludf.DUMMYFUNCTION("""COMPUTED_VALUE"""),0.0)</f>
        <v>0</v>
      </c>
      <c r="AC138" s="8">
        <f>IFERROR(__xludf.DUMMYFUNCTION("""COMPUTED_VALUE"""),0.0)</f>
        <v>0</v>
      </c>
    </row>
    <row r="139" ht="15.75" customHeight="1">
      <c r="A139" s="6" t="str">
        <f>IFERROR(__xludf.DUMMYFUNCTION("""COMPUTED_VALUE"""),"7b3a625b0f5bbaa9080a6795b2d70e994716f8a5")</f>
        <v>7b3a625b0f5bbaa9080a6795b2d70e994716f8a5</v>
      </c>
      <c r="B139" s="6" t="str">
        <f>IFERROR(__xludf.DUMMYFUNCTION("""COMPUTED_VALUE"""),"Unexpectedly Yours")</f>
        <v>Unexpectedly Yours</v>
      </c>
      <c r="C139" s="6" t="str">
        <f>IFERROR(__xludf.DUMMYFUNCTION("""COMPUTED_VALUE"""),"Romance")</f>
        <v>Romance</v>
      </c>
      <c r="D139" s="11">
        <f>IFERROR(__xludf.DUMMYFUNCTION("""COMPUTED_VALUE"""),149.0)</f>
        <v>149</v>
      </c>
      <c r="E139" s="8">
        <f>IFERROR(__xludf.DUMMYFUNCTION("""COMPUTED_VALUE"""),0.934306569343065)</f>
        <v>0.9343065693</v>
      </c>
      <c r="F139" s="8">
        <f>IFERROR(__xludf.DUMMYFUNCTION("""COMPUTED_VALUE"""),0.381818181818181)</f>
        <v>0.3818181818</v>
      </c>
      <c r="G139" s="8">
        <f>IFERROR(__xludf.DUMMYFUNCTION("""COMPUTED_VALUE"""),0.34375)</f>
        <v>0.34375</v>
      </c>
      <c r="H139" s="8">
        <f>IFERROR(__xludf.DUMMYFUNCTION("""COMPUTED_VALUE"""),0.254237288135593)</f>
        <v>0.2542372881</v>
      </c>
      <c r="I139" s="8">
        <f>IFERROR(__xludf.DUMMYFUNCTION("""COMPUTED_VALUE"""),0.309090909090909)</f>
        <v>0.3090909091</v>
      </c>
      <c r="J139" s="8">
        <f>IFERROR(__xludf.DUMMYFUNCTION("""COMPUTED_VALUE"""),0.238095238095238)</f>
        <v>0.2380952381</v>
      </c>
      <c r="K139" s="8">
        <f>IFERROR(__xludf.DUMMYFUNCTION("""COMPUTED_VALUE"""),0.268292682926829)</f>
        <v>0.2682926829</v>
      </c>
      <c r="L139" s="8">
        <f>IFERROR(__xludf.DUMMYFUNCTION("""COMPUTED_VALUE"""),0.268292682926829)</f>
        <v>0.2682926829</v>
      </c>
      <c r="M139" s="8">
        <f>IFERROR(__xludf.DUMMYFUNCTION("""COMPUTED_VALUE"""),0.219512195121951)</f>
        <v>0.2195121951</v>
      </c>
      <c r="N139" s="8">
        <f>IFERROR(__xludf.DUMMYFUNCTION("""COMPUTED_VALUE"""),0.219512195121951)</f>
        <v>0.2195121951</v>
      </c>
      <c r="O139" s="8">
        <f>IFERROR(__xludf.DUMMYFUNCTION("""COMPUTED_VALUE"""),0.0606060606060606)</f>
        <v>0.06060606061</v>
      </c>
      <c r="P139" s="8">
        <f>IFERROR(__xludf.DUMMYFUNCTION("""COMPUTED_VALUE"""),0.074074074074074)</f>
        <v>0.07407407407</v>
      </c>
      <c r="Q139" s="8">
        <f>IFERROR(__xludf.DUMMYFUNCTION("""COMPUTED_VALUE"""),0.0)</f>
        <v>0</v>
      </c>
      <c r="R139" s="8">
        <f>IFERROR(__xludf.DUMMYFUNCTION("""COMPUTED_VALUE"""),0.0)</f>
        <v>0</v>
      </c>
      <c r="S139" s="8">
        <f>IFERROR(__xludf.DUMMYFUNCTION("""COMPUTED_VALUE"""),0.0)</f>
        <v>0</v>
      </c>
      <c r="T139" s="8">
        <f>IFERROR(__xludf.DUMMYFUNCTION("""COMPUTED_VALUE"""),0.0)</f>
        <v>0</v>
      </c>
      <c r="U139" s="8">
        <f>IFERROR(__xludf.DUMMYFUNCTION("""COMPUTED_VALUE"""),0.0)</f>
        <v>0</v>
      </c>
      <c r="V139" s="8">
        <f>IFERROR(__xludf.DUMMYFUNCTION("""COMPUTED_VALUE"""),0.0)</f>
        <v>0</v>
      </c>
      <c r="W139" s="8">
        <f>IFERROR(__xludf.DUMMYFUNCTION("""COMPUTED_VALUE"""),0.0)</f>
        <v>0</v>
      </c>
      <c r="X139" s="8">
        <f>IFERROR(__xludf.DUMMYFUNCTION("""COMPUTED_VALUE"""),0.0)</f>
        <v>0</v>
      </c>
      <c r="Y139" s="8">
        <f>IFERROR(__xludf.DUMMYFUNCTION("""COMPUTED_VALUE"""),0.0)</f>
        <v>0</v>
      </c>
      <c r="Z139" s="8">
        <f>IFERROR(__xludf.DUMMYFUNCTION("""COMPUTED_VALUE"""),0.0)</f>
        <v>0</v>
      </c>
      <c r="AA139" s="8">
        <f>IFERROR(__xludf.DUMMYFUNCTION("""COMPUTED_VALUE"""),0.0)</f>
        <v>0</v>
      </c>
      <c r="AB139" s="8">
        <f>IFERROR(__xludf.DUMMYFUNCTION("""COMPUTED_VALUE"""),0.0)</f>
        <v>0</v>
      </c>
      <c r="AC139" s="8">
        <f>IFERROR(__xludf.DUMMYFUNCTION("""COMPUTED_VALUE"""),0.0)</f>
        <v>0</v>
      </c>
    </row>
    <row r="140" ht="15.75" customHeight="1">
      <c r="A140" s="6" t="str">
        <f>IFERROR(__xludf.DUMMYFUNCTION("""COMPUTED_VALUE"""),"7c9e3c835e58a5ec8e21381910eaaf785ea5ddfc")</f>
        <v>7c9e3c835e58a5ec8e21381910eaaf785ea5ddfc</v>
      </c>
      <c r="B140" s="6" t="str">
        <f>IFERROR(__xludf.DUMMYFUNCTION("""COMPUTED_VALUE"""),"I Do ... Or Do I? ")</f>
        <v>I Do ... Or Do I? </v>
      </c>
      <c r="C140" s="6" t="str">
        <f>IFERROR(__xludf.DUMMYFUNCTION("""COMPUTED_VALUE"""),"Romance")</f>
        <v>Romance</v>
      </c>
      <c r="D140" s="11">
        <f>IFERROR(__xludf.DUMMYFUNCTION("""COMPUTED_VALUE"""),278.0)</f>
        <v>278</v>
      </c>
      <c r="E140" s="8">
        <f>IFERROR(__xludf.DUMMYFUNCTION("""COMPUTED_VALUE"""),0.974729241877256)</f>
        <v>0.9747292419</v>
      </c>
      <c r="F140" s="8">
        <f>IFERROR(__xludf.DUMMYFUNCTION("""COMPUTED_VALUE"""),0.589090909090909)</f>
        <v>0.5890909091</v>
      </c>
      <c r="G140" s="8">
        <f>IFERROR(__xludf.DUMMYFUNCTION("""COMPUTED_VALUE"""),0.551094890510949)</f>
        <v>0.5510948905</v>
      </c>
      <c r="H140" s="8">
        <f>IFERROR(__xludf.DUMMYFUNCTION("""COMPUTED_VALUE"""),0.53076923076923)</f>
        <v>0.5307692308</v>
      </c>
      <c r="I140" s="8">
        <f>IFERROR(__xludf.DUMMYFUNCTION("""COMPUTED_VALUE"""),0.504)</f>
        <v>0.504</v>
      </c>
      <c r="J140" s="8">
        <f>IFERROR(__xludf.DUMMYFUNCTION("""COMPUTED_VALUE"""),0.493927125506072)</f>
        <v>0.4939271255</v>
      </c>
      <c r="K140" s="8">
        <f>IFERROR(__xludf.DUMMYFUNCTION("""COMPUTED_VALUE"""),0.4625)</f>
        <v>0.4625</v>
      </c>
      <c r="L140" s="8">
        <f>IFERROR(__xludf.DUMMYFUNCTION("""COMPUTED_VALUE"""),0.412017167381974)</f>
        <v>0.4120171674</v>
      </c>
      <c r="M140" s="8">
        <f>IFERROR(__xludf.DUMMYFUNCTION("""COMPUTED_VALUE"""),0.364928909952606)</f>
        <v>0.36492891</v>
      </c>
      <c r="N140" s="8">
        <f>IFERROR(__xludf.DUMMYFUNCTION("""COMPUTED_VALUE"""),0.375)</f>
        <v>0.375</v>
      </c>
      <c r="O140" s="8">
        <f>IFERROR(__xludf.DUMMYFUNCTION("""COMPUTED_VALUE"""),0.454545454545454)</f>
        <v>0.4545454545</v>
      </c>
      <c r="P140" s="8">
        <f>IFERROR(__xludf.DUMMYFUNCTION("""COMPUTED_VALUE"""),0.254901960784313)</f>
        <v>0.2549019608</v>
      </c>
      <c r="Q140" s="8">
        <f>IFERROR(__xludf.DUMMYFUNCTION("""COMPUTED_VALUE"""),0.17391304347826)</f>
        <v>0.1739130435</v>
      </c>
      <c r="R140" s="8">
        <f>IFERROR(__xludf.DUMMYFUNCTION("""COMPUTED_VALUE"""),0.0)</f>
        <v>0</v>
      </c>
      <c r="S140" s="8">
        <f>IFERROR(__xludf.DUMMYFUNCTION("""COMPUTED_VALUE"""),0.0)</f>
        <v>0</v>
      </c>
      <c r="T140" s="8">
        <f>IFERROR(__xludf.DUMMYFUNCTION("""COMPUTED_VALUE"""),0.0)</f>
        <v>0</v>
      </c>
      <c r="U140" s="8">
        <f>IFERROR(__xludf.DUMMYFUNCTION("""COMPUTED_VALUE"""),0.0)</f>
        <v>0</v>
      </c>
      <c r="V140" s="8">
        <f>IFERROR(__xludf.DUMMYFUNCTION("""COMPUTED_VALUE"""),0.0)</f>
        <v>0</v>
      </c>
      <c r="W140" s="8">
        <f>IFERROR(__xludf.DUMMYFUNCTION("""COMPUTED_VALUE"""),0.0)</f>
        <v>0</v>
      </c>
      <c r="X140" s="8">
        <f>IFERROR(__xludf.DUMMYFUNCTION("""COMPUTED_VALUE"""),0.0)</f>
        <v>0</v>
      </c>
      <c r="Y140" s="8">
        <f>IFERROR(__xludf.DUMMYFUNCTION("""COMPUTED_VALUE"""),0.0)</f>
        <v>0</v>
      </c>
      <c r="Z140" s="8">
        <f>IFERROR(__xludf.DUMMYFUNCTION("""COMPUTED_VALUE"""),0.0)</f>
        <v>0</v>
      </c>
      <c r="AA140" s="8">
        <f>IFERROR(__xludf.DUMMYFUNCTION("""COMPUTED_VALUE"""),0.0)</f>
        <v>0</v>
      </c>
      <c r="AB140" s="8">
        <f>IFERROR(__xludf.DUMMYFUNCTION("""COMPUTED_VALUE"""),0.0)</f>
        <v>0</v>
      </c>
      <c r="AC140" s="8">
        <f>IFERROR(__xludf.DUMMYFUNCTION("""COMPUTED_VALUE"""),0.0)</f>
        <v>0</v>
      </c>
    </row>
    <row r="141" ht="15.75" customHeight="1">
      <c r="A141" s="6" t="str">
        <f>IFERROR(__xludf.DUMMYFUNCTION("""COMPUTED_VALUE"""),"7d18c26c9a61af0d543d74280e7328e01a907988")</f>
        <v>7d18c26c9a61af0d543d74280e7328e01a907988</v>
      </c>
      <c r="B141" s="6" t="str">
        <f>IFERROR(__xludf.DUMMYFUNCTION("""COMPUTED_VALUE"""),"Empire of Love and War")</f>
        <v>Empire of Love and War</v>
      </c>
      <c r="C141" s="6" t="str">
        <f>IFERROR(__xludf.DUMMYFUNCTION("""COMPUTED_VALUE"""),"Romance")</f>
        <v>Romance</v>
      </c>
      <c r="D141" s="11">
        <f>IFERROR(__xludf.DUMMYFUNCTION("""COMPUTED_VALUE"""),457.0)</f>
        <v>457</v>
      </c>
      <c r="E141" s="8">
        <f>IFERROR(__xludf.DUMMYFUNCTION("""COMPUTED_VALUE"""),0.966887417218543)</f>
        <v>0.9668874172</v>
      </c>
      <c r="F141" s="8">
        <f>IFERROR(__xludf.DUMMYFUNCTION("""COMPUTED_VALUE"""),0.619369369369369)</f>
        <v>0.6193693694</v>
      </c>
      <c r="G141" s="8">
        <f>IFERROR(__xludf.DUMMYFUNCTION("""COMPUTED_VALUE"""),0.589569160997732)</f>
        <v>0.589569161</v>
      </c>
      <c r="H141" s="8">
        <f>IFERROR(__xludf.DUMMYFUNCTION("""COMPUTED_VALUE"""),0.558411214953271)</f>
        <v>0.558411215</v>
      </c>
      <c r="I141" s="8">
        <f>IFERROR(__xludf.DUMMYFUNCTION("""COMPUTED_VALUE"""),0.521327014218009)</f>
        <v>0.5213270142</v>
      </c>
      <c r="J141" s="8">
        <f>IFERROR(__xludf.DUMMYFUNCTION("""COMPUTED_VALUE"""),0.484261501210653)</f>
        <v>0.4842615012</v>
      </c>
      <c r="K141" s="8">
        <f>IFERROR(__xludf.DUMMYFUNCTION("""COMPUTED_VALUE"""),0.451127819548872)</f>
        <v>0.4511278195</v>
      </c>
      <c r="L141" s="8">
        <f>IFERROR(__xludf.DUMMYFUNCTION("""COMPUTED_VALUE"""),0.416413373860182)</f>
        <v>0.4164133739</v>
      </c>
      <c r="M141" s="8">
        <f>IFERROR(__xludf.DUMMYFUNCTION("""COMPUTED_VALUE"""),0.419014084507042)</f>
        <v>0.4190140845</v>
      </c>
      <c r="N141" s="8">
        <f>IFERROR(__xludf.DUMMYFUNCTION("""COMPUTED_VALUE"""),0.39366515837104)</f>
        <v>0.3936651584</v>
      </c>
      <c r="O141" s="8">
        <f>IFERROR(__xludf.DUMMYFUNCTION("""COMPUTED_VALUE"""),0.30939226519337)</f>
        <v>0.3093922652</v>
      </c>
      <c r="P141" s="8">
        <f>IFERROR(__xludf.DUMMYFUNCTION("""COMPUTED_VALUE"""),0.180327868852459)</f>
        <v>0.1803278689</v>
      </c>
      <c r="Q141" s="8">
        <f>IFERROR(__xludf.DUMMYFUNCTION("""COMPUTED_VALUE"""),0.0769230769230769)</f>
        <v>0.07692307692</v>
      </c>
      <c r="R141" s="8">
        <f>IFERROR(__xludf.DUMMYFUNCTION("""COMPUTED_VALUE"""),0.0)</f>
        <v>0</v>
      </c>
      <c r="S141" s="8">
        <f>IFERROR(__xludf.DUMMYFUNCTION("""COMPUTED_VALUE"""),0.0)</f>
        <v>0</v>
      </c>
      <c r="T141" s="8">
        <f>IFERROR(__xludf.DUMMYFUNCTION("""COMPUTED_VALUE"""),0.0)</f>
        <v>0</v>
      </c>
      <c r="U141" s="8">
        <f>IFERROR(__xludf.DUMMYFUNCTION("""COMPUTED_VALUE"""),0.0)</f>
        <v>0</v>
      </c>
      <c r="V141" s="8">
        <f>IFERROR(__xludf.DUMMYFUNCTION("""COMPUTED_VALUE"""),0.0)</f>
        <v>0</v>
      </c>
      <c r="W141" s="8">
        <f>IFERROR(__xludf.DUMMYFUNCTION("""COMPUTED_VALUE"""),0.0)</f>
        <v>0</v>
      </c>
      <c r="X141" s="8">
        <f>IFERROR(__xludf.DUMMYFUNCTION("""COMPUTED_VALUE"""),0.0)</f>
        <v>0</v>
      </c>
      <c r="Y141" s="8">
        <f>IFERROR(__xludf.DUMMYFUNCTION("""COMPUTED_VALUE"""),0.0)</f>
        <v>0</v>
      </c>
      <c r="Z141" s="8">
        <f>IFERROR(__xludf.DUMMYFUNCTION("""COMPUTED_VALUE"""),0.0)</f>
        <v>0</v>
      </c>
      <c r="AA141" s="8">
        <f>IFERROR(__xludf.DUMMYFUNCTION("""COMPUTED_VALUE"""),0.0)</f>
        <v>0</v>
      </c>
      <c r="AB141" s="8">
        <f>IFERROR(__xludf.DUMMYFUNCTION("""COMPUTED_VALUE"""),0.0)</f>
        <v>0</v>
      </c>
      <c r="AC141" s="8">
        <f>IFERROR(__xludf.DUMMYFUNCTION("""COMPUTED_VALUE"""),0.0)</f>
        <v>0</v>
      </c>
    </row>
    <row r="142" ht="15.75" customHeight="1">
      <c r="A142" s="6" t="str">
        <f>IFERROR(__xludf.DUMMYFUNCTION("""COMPUTED_VALUE"""),"7dcd0d4c632448440b17285c811990532a31efec")</f>
        <v>7dcd0d4c632448440b17285c811990532a31efec</v>
      </c>
      <c r="B142" s="6" t="str">
        <f>IFERROR(__xludf.DUMMYFUNCTION("""COMPUTED_VALUE"""),"The Scentless Luna")</f>
        <v>The Scentless Luna</v>
      </c>
      <c r="C142" s="6" t="str">
        <f>IFERROR(__xludf.DUMMYFUNCTION("""COMPUTED_VALUE"""),"Romantasy")</f>
        <v>Romantasy</v>
      </c>
      <c r="D142" s="11">
        <f>IFERROR(__xludf.DUMMYFUNCTION("""COMPUTED_VALUE"""),405.0)</f>
        <v>405</v>
      </c>
      <c r="E142" s="8">
        <f>IFERROR(__xludf.DUMMYFUNCTION("""COMPUTED_VALUE"""),0.985)</f>
        <v>0.985</v>
      </c>
      <c r="F142" s="8">
        <f>IFERROR(__xludf.DUMMYFUNCTION("""COMPUTED_VALUE"""),0.569037656903765)</f>
        <v>0.5690376569</v>
      </c>
      <c r="G142" s="8">
        <f>IFERROR(__xludf.DUMMYFUNCTION("""COMPUTED_VALUE"""),0.5)</f>
        <v>0.5</v>
      </c>
      <c r="H142" s="8">
        <f>IFERROR(__xludf.DUMMYFUNCTION("""COMPUTED_VALUE"""),0.407407407407407)</f>
        <v>0.4074074074</v>
      </c>
      <c r="I142" s="8">
        <f>IFERROR(__xludf.DUMMYFUNCTION("""COMPUTED_VALUE"""),0.382716049382716)</f>
        <v>0.3827160494</v>
      </c>
      <c r="J142" s="8">
        <f>IFERROR(__xludf.DUMMYFUNCTION("""COMPUTED_VALUE"""),0.37037037037037)</f>
        <v>0.3703703704</v>
      </c>
      <c r="K142" s="8">
        <f>IFERROR(__xludf.DUMMYFUNCTION("""COMPUTED_VALUE"""),0.333333333333333)</f>
        <v>0.3333333333</v>
      </c>
      <c r="L142" s="8">
        <f>IFERROR(__xludf.DUMMYFUNCTION("""COMPUTED_VALUE"""),0.2875)</f>
        <v>0.2875</v>
      </c>
      <c r="M142" s="8">
        <f>IFERROR(__xludf.DUMMYFUNCTION("""COMPUTED_VALUE"""),0.2625)</f>
        <v>0.2625</v>
      </c>
      <c r="N142" s="8">
        <f>IFERROR(__xludf.DUMMYFUNCTION("""COMPUTED_VALUE"""),0.278481012658227)</f>
        <v>0.2784810127</v>
      </c>
      <c r="O142" s="8">
        <f>IFERROR(__xludf.DUMMYFUNCTION("""COMPUTED_VALUE"""),0.236842105263157)</f>
        <v>0.2368421053</v>
      </c>
      <c r="P142" s="8">
        <f>IFERROR(__xludf.DUMMYFUNCTION("""COMPUTED_VALUE"""),0.146666666666666)</f>
        <v>0.1466666667</v>
      </c>
      <c r="Q142" s="8">
        <f>IFERROR(__xludf.DUMMYFUNCTION("""COMPUTED_VALUE"""),0.1)</f>
        <v>0.1</v>
      </c>
      <c r="R142" s="8">
        <f>IFERROR(__xludf.DUMMYFUNCTION("""COMPUTED_VALUE"""),0.17391304347826)</f>
        <v>0.1739130435</v>
      </c>
      <c r="S142" s="8">
        <f>IFERROR(__xludf.DUMMYFUNCTION("""COMPUTED_VALUE"""),0.0)</f>
        <v>0</v>
      </c>
      <c r="T142" s="8">
        <f>IFERROR(__xludf.DUMMYFUNCTION("""COMPUTED_VALUE"""),0.0)</f>
        <v>0</v>
      </c>
      <c r="U142" s="8">
        <f>IFERROR(__xludf.DUMMYFUNCTION("""COMPUTED_VALUE"""),0.0)</f>
        <v>0</v>
      </c>
      <c r="V142" s="8">
        <f>IFERROR(__xludf.DUMMYFUNCTION("""COMPUTED_VALUE"""),0.0)</f>
        <v>0</v>
      </c>
      <c r="W142" s="8">
        <f>IFERROR(__xludf.DUMMYFUNCTION("""COMPUTED_VALUE"""),0.0)</f>
        <v>0</v>
      </c>
      <c r="X142" s="8">
        <f>IFERROR(__xludf.DUMMYFUNCTION("""COMPUTED_VALUE"""),0.0)</f>
        <v>0</v>
      </c>
      <c r="Y142" s="8">
        <f>IFERROR(__xludf.DUMMYFUNCTION("""COMPUTED_VALUE"""),0.0)</f>
        <v>0</v>
      </c>
      <c r="Z142" s="8">
        <f>IFERROR(__xludf.DUMMYFUNCTION("""COMPUTED_VALUE"""),0.0)</f>
        <v>0</v>
      </c>
      <c r="AA142" s="8">
        <f>IFERROR(__xludf.DUMMYFUNCTION("""COMPUTED_VALUE"""),0.0)</f>
        <v>0</v>
      </c>
      <c r="AB142" s="8">
        <f>IFERROR(__xludf.DUMMYFUNCTION("""COMPUTED_VALUE"""),0.0)</f>
        <v>0</v>
      </c>
      <c r="AC142" s="8">
        <f>IFERROR(__xludf.DUMMYFUNCTION("""COMPUTED_VALUE"""),0.0)</f>
        <v>0</v>
      </c>
    </row>
    <row r="143" ht="15.75" customHeight="1">
      <c r="A143" s="6" t="str">
        <f>IFERROR(__xludf.DUMMYFUNCTION("""COMPUTED_VALUE"""),"7fb3b080b1ad8976195f7a18e1df497bc23037fa")</f>
        <v>7fb3b080b1ad8976195f7a18e1df497bc23037fa</v>
      </c>
      <c r="B143" s="6" t="str">
        <f>IFERROR(__xludf.DUMMYFUNCTION("""COMPUTED_VALUE"""),"The Ghostwalker")</f>
        <v>The Ghostwalker</v>
      </c>
      <c r="C143" s="6" t="str">
        <f>IFERROR(__xludf.DUMMYFUNCTION("""COMPUTED_VALUE"""),"Suspense or Thriller")</f>
        <v>Suspense or Thriller</v>
      </c>
      <c r="D143" s="11">
        <f>IFERROR(__xludf.DUMMYFUNCTION("""COMPUTED_VALUE"""),1175.0)</f>
        <v>1175</v>
      </c>
      <c r="E143" s="8">
        <f>IFERROR(__xludf.DUMMYFUNCTION("""COMPUTED_VALUE"""),0.985507246376811)</f>
        <v>0.9855072464</v>
      </c>
      <c r="F143" s="8">
        <f>IFERROR(__xludf.DUMMYFUNCTION("""COMPUTED_VALUE"""),0.43076923076923)</f>
        <v>0.4307692308</v>
      </c>
      <c r="G143" s="8">
        <f>IFERROR(__xludf.DUMMYFUNCTION("""COMPUTED_VALUE"""),0.335042735042735)</f>
        <v>0.335042735</v>
      </c>
      <c r="H143" s="8">
        <f>IFERROR(__xludf.DUMMYFUNCTION("""COMPUTED_VALUE"""),0.291595197255574)</f>
        <v>0.2915951973</v>
      </c>
      <c r="I143" s="8">
        <f>IFERROR(__xludf.DUMMYFUNCTION("""COMPUTED_VALUE"""),0.261168384879725)</f>
        <v>0.2611683849</v>
      </c>
      <c r="J143" s="8">
        <f>IFERROR(__xludf.DUMMYFUNCTION("""COMPUTED_VALUE"""),0.234079173838209)</f>
        <v>0.2340791738</v>
      </c>
      <c r="K143" s="8">
        <f>IFERROR(__xludf.DUMMYFUNCTION("""COMPUTED_VALUE"""),0.208981001727115)</f>
        <v>0.2089810017</v>
      </c>
      <c r="L143" s="8">
        <f>IFERROR(__xludf.DUMMYFUNCTION("""COMPUTED_VALUE"""),0.195482189400521)</f>
        <v>0.1954821894</v>
      </c>
      <c r="M143" s="8">
        <f>IFERROR(__xludf.DUMMYFUNCTION("""COMPUTED_VALUE"""),0.180313588850174)</f>
        <v>0.1803135889</v>
      </c>
      <c r="N143" s="8">
        <f>IFERROR(__xludf.DUMMYFUNCTION("""COMPUTED_VALUE"""),0.168281938325991)</f>
        <v>0.1682819383</v>
      </c>
      <c r="O143" s="8">
        <f>IFERROR(__xludf.DUMMYFUNCTION("""COMPUTED_VALUE"""),0.131658291457286)</f>
        <v>0.1316582915</v>
      </c>
      <c r="P143" s="8">
        <f>IFERROR(__xludf.DUMMYFUNCTION("""COMPUTED_VALUE"""),0.0975056689342403)</f>
        <v>0.09750566893</v>
      </c>
      <c r="Q143" s="8">
        <f>IFERROR(__xludf.DUMMYFUNCTION("""COMPUTED_VALUE"""),0.0)</f>
        <v>0</v>
      </c>
      <c r="R143" s="8">
        <f>IFERROR(__xludf.DUMMYFUNCTION("""COMPUTED_VALUE"""),0.0)</f>
        <v>0</v>
      </c>
      <c r="S143" s="8">
        <f>IFERROR(__xludf.DUMMYFUNCTION("""COMPUTED_VALUE"""),0.0)</f>
        <v>0</v>
      </c>
      <c r="T143" s="8">
        <f>IFERROR(__xludf.DUMMYFUNCTION("""COMPUTED_VALUE"""),0.0)</f>
        <v>0</v>
      </c>
      <c r="U143" s="8">
        <f>IFERROR(__xludf.DUMMYFUNCTION("""COMPUTED_VALUE"""),0.0)</f>
        <v>0</v>
      </c>
      <c r="V143" s="8">
        <f>IFERROR(__xludf.DUMMYFUNCTION("""COMPUTED_VALUE"""),0.0)</f>
        <v>0</v>
      </c>
      <c r="W143" s="8">
        <f>IFERROR(__xludf.DUMMYFUNCTION("""COMPUTED_VALUE"""),0.0)</f>
        <v>0</v>
      </c>
      <c r="X143" s="8">
        <f>IFERROR(__xludf.DUMMYFUNCTION("""COMPUTED_VALUE"""),0.0)</f>
        <v>0</v>
      </c>
      <c r="Y143" s="8">
        <f>IFERROR(__xludf.DUMMYFUNCTION("""COMPUTED_VALUE"""),0.0)</f>
        <v>0</v>
      </c>
      <c r="Z143" s="8">
        <f>IFERROR(__xludf.DUMMYFUNCTION("""COMPUTED_VALUE"""),0.0)</f>
        <v>0</v>
      </c>
      <c r="AA143" s="8">
        <f>IFERROR(__xludf.DUMMYFUNCTION("""COMPUTED_VALUE"""),0.0)</f>
        <v>0</v>
      </c>
      <c r="AB143" s="8">
        <f>IFERROR(__xludf.DUMMYFUNCTION("""COMPUTED_VALUE"""),0.0)</f>
        <v>0</v>
      </c>
      <c r="AC143" s="8">
        <f>IFERROR(__xludf.DUMMYFUNCTION("""COMPUTED_VALUE"""),0.0)</f>
        <v>0</v>
      </c>
    </row>
    <row r="144" ht="15.75" customHeight="1">
      <c r="A144" s="6" t="str">
        <f>IFERROR(__xludf.DUMMYFUNCTION("""COMPUTED_VALUE"""),"7fd747e6520471a8653824ad1a2ba2ad33b91835")</f>
        <v>7fd747e6520471a8653824ad1a2ba2ad33b91835</v>
      </c>
      <c r="B144" s="6" t="str">
        <f>IFERROR(__xludf.DUMMYFUNCTION("""COMPUTED_VALUE"""),"Evolution Online")</f>
        <v>Evolution Online</v>
      </c>
      <c r="C144" s="6" t="str">
        <f>IFERROR(__xludf.DUMMYFUNCTION("""COMPUTED_VALUE"""),"Fantasy")</f>
        <v>Fantasy</v>
      </c>
      <c r="D144" s="11">
        <f>IFERROR(__xludf.DUMMYFUNCTION("""COMPUTED_VALUE"""),48.0)</f>
        <v>48</v>
      </c>
      <c r="E144" s="8">
        <f>IFERROR(__xludf.DUMMYFUNCTION("""COMPUTED_VALUE"""),0.958333333333333)</f>
        <v>0.9583333333</v>
      </c>
      <c r="F144" s="8">
        <f>IFERROR(__xludf.DUMMYFUNCTION("""COMPUTED_VALUE"""),0.565217391304347)</f>
        <v>0.5652173913</v>
      </c>
      <c r="G144" s="8">
        <f>IFERROR(__xludf.DUMMYFUNCTION("""COMPUTED_VALUE"""),0.347826086956521)</f>
        <v>0.347826087</v>
      </c>
      <c r="H144" s="8">
        <f>IFERROR(__xludf.DUMMYFUNCTION("""COMPUTED_VALUE"""),0.333333333333333)</f>
        <v>0.3333333333</v>
      </c>
      <c r="I144" s="8">
        <f>IFERROR(__xludf.DUMMYFUNCTION("""COMPUTED_VALUE"""),0.333333333333333)</f>
        <v>0.3333333333</v>
      </c>
      <c r="J144" s="8">
        <f>IFERROR(__xludf.DUMMYFUNCTION("""COMPUTED_VALUE"""),0.333333333333333)</f>
        <v>0.3333333333</v>
      </c>
      <c r="K144" s="8">
        <f>IFERROR(__xludf.DUMMYFUNCTION("""COMPUTED_VALUE"""),0.288888888888888)</f>
        <v>0.2888888889</v>
      </c>
      <c r="L144" s="8">
        <f>IFERROR(__xludf.DUMMYFUNCTION("""COMPUTED_VALUE"""),0.244444444444444)</f>
        <v>0.2444444444</v>
      </c>
      <c r="M144" s="8">
        <f>IFERROR(__xludf.DUMMYFUNCTION("""COMPUTED_VALUE"""),0.222222222222222)</f>
        <v>0.2222222222</v>
      </c>
      <c r="N144" s="8">
        <f>IFERROR(__xludf.DUMMYFUNCTION("""COMPUTED_VALUE"""),0.2)</f>
        <v>0.2</v>
      </c>
      <c r="O144" s="8">
        <f>IFERROR(__xludf.DUMMYFUNCTION("""COMPUTED_VALUE"""),0.13953488372093)</f>
        <v>0.1395348837</v>
      </c>
      <c r="P144" s="8">
        <f>IFERROR(__xludf.DUMMYFUNCTION("""COMPUTED_VALUE"""),0.0952380952380952)</f>
        <v>0.09523809524</v>
      </c>
      <c r="Q144" s="8">
        <f>IFERROR(__xludf.DUMMYFUNCTION("""COMPUTED_VALUE"""),0.1)</f>
        <v>0.1</v>
      </c>
      <c r="R144" s="8">
        <f>IFERROR(__xludf.DUMMYFUNCTION("""COMPUTED_VALUE"""),0.0)</f>
        <v>0</v>
      </c>
      <c r="S144" s="8">
        <f>IFERROR(__xludf.DUMMYFUNCTION("""COMPUTED_VALUE"""),0.0)</f>
        <v>0</v>
      </c>
      <c r="T144" s="8">
        <f>IFERROR(__xludf.DUMMYFUNCTION("""COMPUTED_VALUE"""),0.0)</f>
        <v>0</v>
      </c>
      <c r="U144" s="8">
        <f>IFERROR(__xludf.DUMMYFUNCTION("""COMPUTED_VALUE"""),0.0)</f>
        <v>0</v>
      </c>
      <c r="V144" s="8">
        <f>IFERROR(__xludf.DUMMYFUNCTION("""COMPUTED_VALUE"""),0.0)</f>
        <v>0</v>
      </c>
      <c r="W144" s="8">
        <f>IFERROR(__xludf.DUMMYFUNCTION("""COMPUTED_VALUE"""),0.0)</f>
        <v>0</v>
      </c>
      <c r="X144" s="8">
        <f>IFERROR(__xludf.DUMMYFUNCTION("""COMPUTED_VALUE"""),0.0)</f>
        <v>0</v>
      </c>
      <c r="Y144" s="8">
        <f>IFERROR(__xludf.DUMMYFUNCTION("""COMPUTED_VALUE"""),0.0)</f>
        <v>0</v>
      </c>
      <c r="Z144" s="8">
        <f>IFERROR(__xludf.DUMMYFUNCTION("""COMPUTED_VALUE"""),0.0)</f>
        <v>0</v>
      </c>
      <c r="AA144" s="8">
        <f>IFERROR(__xludf.DUMMYFUNCTION("""COMPUTED_VALUE"""),0.0)</f>
        <v>0</v>
      </c>
      <c r="AB144" s="8">
        <f>IFERROR(__xludf.DUMMYFUNCTION("""COMPUTED_VALUE"""),0.0)</f>
        <v>0</v>
      </c>
      <c r="AC144" s="8">
        <f>IFERROR(__xludf.DUMMYFUNCTION("""COMPUTED_VALUE"""),0.0)</f>
        <v>0</v>
      </c>
    </row>
    <row r="145" ht="15.75" customHeight="1">
      <c r="A145" s="6" t="str">
        <f>IFERROR(__xludf.DUMMYFUNCTION("""COMPUTED_VALUE"""),"80e6be6f7d165552c60a2fc7cbf39746d2ab2466")</f>
        <v>80e6be6f7d165552c60a2fc7cbf39746d2ab2466</v>
      </c>
      <c r="B145" s="6" t="str">
        <f>IFERROR(__xludf.DUMMYFUNCTION("""COMPUTED_VALUE"""),"Marked by Him: True Mate")</f>
        <v>Marked by Him: True Mate</v>
      </c>
      <c r="C145" s="6" t="str">
        <f>IFERROR(__xludf.DUMMYFUNCTION("""COMPUTED_VALUE"""),"Romantasy")</f>
        <v>Romantasy</v>
      </c>
      <c r="D145" s="11">
        <f>IFERROR(__xludf.DUMMYFUNCTION("""COMPUTED_VALUE"""),975.0)</f>
        <v>975</v>
      </c>
      <c r="E145" s="8">
        <f>IFERROR(__xludf.DUMMYFUNCTION("""COMPUTED_VALUE"""),0.965128205128205)</f>
        <v>0.9651282051</v>
      </c>
      <c r="F145" s="8">
        <f>IFERROR(__xludf.DUMMYFUNCTION("""COMPUTED_VALUE"""),0.617043121149897)</f>
        <v>0.6170431211</v>
      </c>
      <c r="G145" s="8">
        <f>IFERROR(__xludf.DUMMYFUNCTION("""COMPUTED_VALUE"""),0.563206577595066)</f>
        <v>0.5632065776</v>
      </c>
      <c r="H145" s="8">
        <f>IFERROR(__xludf.DUMMYFUNCTION("""COMPUTED_VALUE"""),0.5344295991778)</f>
        <v>0.5344295992</v>
      </c>
      <c r="I145" s="8">
        <f>IFERROR(__xludf.DUMMYFUNCTION("""COMPUTED_VALUE"""),0.515962924819773)</f>
        <v>0.5159629248</v>
      </c>
      <c r="J145" s="8">
        <f>IFERROR(__xludf.DUMMYFUNCTION("""COMPUTED_VALUE"""),0.488659793814433)</f>
        <v>0.4886597938</v>
      </c>
      <c r="K145" s="8">
        <f>IFERROR(__xludf.DUMMYFUNCTION("""COMPUTED_VALUE"""),0.47781217750258)</f>
        <v>0.4778121775</v>
      </c>
      <c r="L145" s="8">
        <f>IFERROR(__xludf.DUMMYFUNCTION("""COMPUTED_VALUE"""),0.468879668049792)</f>
        <v>0.468879668</v>
      </c>
      <c r="M145" s="8">
        <f>IFERROR(__xludf.DUMMYFUNCTION("""COMPUTED_VALUE"""),0.452083333333333)</f>
        <v>0.4520833333</v>
      </c>
      <c r="N145" s="8">
        <f>IFERROR(__xludf.DUMMYFUNCTION("""COMPUTED_VALUE"""),0.452665941240478)</f>
        <v>0.4526659412</v>
      </c>
      <c r="O145" s="8">
        <f>IFERROR(__xludf.DUMMYFUNCTION("""COMPUTED_VALUE"""),0.463917525773195)</f>
        <v>0.4639175258</v>
      </c>
      <c r="P145" s="8">
        <f>IFERROR(__xludf.DUMMYFUNCTION("""COMPUTED_VALUE"""),0.386481802426343)</f>
        <v>0.3864818024</v>
      </c>
      <c r="Q145" s="8">
        <f>IFERROR(__xludf.DUMMYFUNCTION("""COMPUTED_VALUE"""),0.241106719367588)</f>
        <v>0.2411067194</v>
      </c>
      <c r="R145" s="8">
        <f>IFERROR(__xludf.DUMMYFUNCTION("""COMPUTED_VALUE"""),0.12)</f>
        <v>0.12</v>
      </c>
      <c r="S145" s="8">
        <f>IFERROR(__xludf.DUMMYFUNCTION("""COMPUTED_VALUE"""),0.0)</f>
        <v>0</v>
      </c>
      <c r="T145" s="8">
        <f>IFERROR(__xludf.DUMMYFUNCTION("""COMPUTED_VALUE"""),0.0)</f>
        <v>0</v>
      </c>
      <c r="U145" s="8">
        <f>IFERROR(__xludf.DUMMYFUNCTION("""COMPUTED_VALUE"""),0.0)</f>
        <v>0</v>
      </c>
      <c r="V145" s="8">
        <f>IFERROR(__xludf.DUMMYFUNCTION("""COMPUTED_VALUE"""),0.0)</f>
        <v>0</v>
      </c>
      <c r="W145" s="8">
        <f>IFERROR(__xludf.DUMMYFUNCTION("""COMPUTED_VALUE"""),0.0)</f>
        <v>0</v>
      </c>
      <c r="X145" s="8">
        <f>IFERROR(__xludf.DUMMYFUNCTION("""COMPUTED_VALUE"""),0.0)</f>
        <v>0</v>
      </c>
      <c r="Y145" s="8">
        <f>IFERROR(__xludf.DUMMYFUNCTION("""COMPUTED_VALUE"""),0.0)</f>
        <v>0</v>
      </c>
      <c r="Z145" s="8">
        <f>IFERROR(__xludf.DUMMYFUNCTION("""COMPUTED_VALUE"""),0.0)</f>
        <v>0</v>
      </c>
      <c r="AA145" s="8">
        <f>IFERROR(__xludf.DUMMYFUNCTION("""COMPUTED_VALUE"""),0.0)</f>
        <v>0</v>
      </c>
      <c r="AB145" s="8">
        <f>IFERROR(__xludf.DUMMYFUNCTION("""COMPUTED_VALUE"""),0.0)</f>
        <v>0</v>
      </c>
      <c r="AC145" s="8">
        <f>IFERROR(__xludf.DUMMYFUNCTION("""COMPUTED_VALUE"""),0.0)</f>
        <v>0</v>
      </c>
    </row>
    <row r="146" ht="15.75" customHeight="1">
      <c r="A146" s="6" t="str">
        <f>IFERROR(__xludf.DUMMYFUNCTION("""COMPUTED_VALUE"""),"820e3a2951adfcd3997c3ea5696cb62bc975f0a0")</f>
        <v>820e3a2951adfcd3997c3ea5696cb62bc975f0a0</v>
      </c>
      <c r="B146" s="6" t="str">
        <f>IFERROR(__xludf.DUMMYFUNCTION("""COMPUTED_VALUE"""),"The Return of Master ")</f>
        <v>The Return of Master </v>
      </c>
      <c r="C146" s="6" t="str">
        <f>IFERROR(__xludf.DUMMYFUNCTION("""COMPUTED_VALUE"""),"Fantasy")</f>
        <v>Fantasy</v>
      </c>
      <c r="D146" s="11">
        <f>IFERROR(__xludf.DUMMYFUNCTION("""COMPUTED_VALUE"""),22.0)</f>
        <v>22</v>
      </c>
      <c r="E146" s="8">
        <f>IFERROR(__xludf.DUMMYFUNCTION("""COMPUTED_VALUE"""),0.954545454545454)</f>
        <v>0.9545454545</v>
      </c>
      <c r="F146" s="8">
        <f>IFERROR(__xludf.DUMMYFUNCTION("""COMPUTED_VALUE"""),0.863636363636363)</f>
        <v>0.8636363636</v>
      </c>
      <c r="G146" s="8">
        <f>IFERROR(__xludf.DUMMYFUNCTION("""COMPUTED_VALUE"""),0.818181818181818)</f>
        <v>0.8181818182</v>
      </c>
      <c r="H146" s="8">
        <f>IFERROR(__xludf.DUMMYFUNCTION("""COMPUTED_VALUE"""),0.681818181818181)</f>
        <v>0.6818181818</v>
      </c>
      <c r="I146" s="8">
        <f>IFERROR(__xludf.DUMMYFUNCTION("""COMPUTED_VALUE"""),0.681818181818181)</f>
        <v>0.6818181818</v>
      </c>
      <c r="J146" s="8">
        <f>IFERROR(__xludf.DUMMYFUNCTION("""COMPUTED_VALUE"""),0.681818181818181)</f>
        <v>0.6818181818</v>
      </c>
      <c r="K146" s="8">
        <f>IFERROR(__xludf.DUMMYFUNCTION("""COMPUTED_VALUE"""),0.681818181818181)</f>
        <v>0.6818181818</v>
      </c>
      <c r="L146" s="8">
        <f>IFERROR(__xludf.DUMMYFUNCTION("""COMPUTED_VALUE"""),0.636363636363636)</f>
        <v>0.6363636364</v>
      </c>
      <c r="M146" s="8">
        <f>IFERROR(__xludf.DUMMYFUNCTION("""COMPUTED_VALUE"""),0.59090909090909)</f>
        <v>0.5909090909</v>
      </c>
      <c r="N146" s="8">
        <f>IFERROR(__xludf.DUMMYFUNCTION("""COMPUTED_VALUE"""),0.636363636363636)</f>
        <v>0.6363636364</v>
      </c>
      <c r="O146" s="8">
        <f>IFERROR(__xludf.DUMMYFUNCTION("""COMPUTED_VALUE"""),0.409090909090909)</f>
        <v>0.4090909091</v>
      </c>
      <c r="P146" s="8">
        <f>IFERROR(__xludf.DUMMYFUNCTION("""COMPUTED_VALUE"""),0.142857142857142)</f>
        <v>0.1428571429</v>
      </c>
      <c r="Q146" s="8">
        <f>IFERROR(__xludf.DUMMYFUNCTION("""COMPUTED_VALUE"""),0.0)</f>
        <v>0</v>
      </c>
      <c r="R146" s="8">
        <f>IFERROR(__xludf.DUMMYFUNCTION("""COMPUTED_VALUE"""),0.0)</f>
        <v>0</v>
      </c>
      <c r="S146" s="8">
        <f>IFERROR(__xludf.DUMMYFUNCTION("""COMPUTED_VALUE"""),0.0)</f>
        <v>0</v>
      </c>
      <c r="T146" s="8">
        <f>IFERROR(__xludf.DUMMYFUNCTION("""COMPUTED_VALUE"""),0.0)</f>
        <v>0</v>
      </c>
      <c r="U146" s="8">
        <f>IFERROR(__xludf.DUMMYFUNCTION("""COMPUTED_VALUE"""),0.0)</f>
        <v>0</v>
      </c>
      <c r="V146" s="8">
        <f>IFERROR(__xludf.DUMMYFUNCTION("""COMPUTED_VALUE"""),0.0)</f>
        <v>0</v>
      </c>
      <c r="W146" s="8">
        <f>IFERROR(__xludf.DUMMYFUNCTION("""COMPUTED_VALUE"""),0.0)</f>
        <v>0</v>
      </c>
      <c r="X146" s="8">
        <f>IFERROR(__xludf.DUMMYFUNCTION("""COMPUTED_VALUE"""),0.0)</f>
        <v>0</v>
      </c>
      <c r="Y146" s="8">
        <f>IFERROR(__xludf.DUMMYFUNCTION("""COMPUTED_VALUE"""),0.0)</f>
        <v>0</v>
      </c>
      <c r="Z146" s="8">
        <f>IFERROR(__xludf.DUMMYFUNCTION("""COMPUTED_VALUE"""),0.0)</f>
        <v>0</v>
      </c>
      <c r="AA146" s="8">
        <f>IFERROR(__xludf.DUMMYFUNCTION("""COMPUTED_VALUE"""),0.0)</f>
        <v>0</v>
      </c>
      <c r="AB146" s="8">
        <f>IFERROR(__xludf.DUMMYFUNCTION("""COMPUTED_VALUE"""),0.0)</f>
        <v>0</v>
      </c>
      <c r="AC146" s="8">
        <f>IFERROR(__xludf.DUMMYFUNCTION("""COMPUTED_VALUE"""),0.0)</f>
        <v>0</v>
      </c>
    </row>
    <row r="147" ht="15.75" customHeight="1">
      <c r="A147" s="6" t="str">
        <f>IFERROR(__xludf.DUMMYFUNCTION("""COMPUTED_VALUE"""),"82ff8ba01d1e1fbcea7c734b687b1a9ff858733d")</f>
        <v>82ff8ba01d1e1fbcea7c734b687b1a9ff858733d</v>
      </c>
      <c r="B147" s="6" t="str">
        <f>IFERROR(__xludf.DUMMYFUNCTION("""COMPUTED_VALUE"""),"Twin Realms Traveler")</f>
        <v>Twin Realms Traveler</v>
      </c>
      <c r="C147" s="6" t="str">
        <f>IFERROR(__xludf.DUMMYFUNCTION("""COMPUTED_VALUE"""),"System and Superpower")</f>
        <v>System and Superpower</v>
      </c>
      <c r="D147" s="11">
        <f>IFERROR(__xludf.DUMMYFUNCTION("""COMPUTED_VALUE"""),16.0)</f>
        <v>16</v>
      </c>
      <c r="E147" s="8">
        <f>IFERROR(__xludf.DUMMYFUNCTION("""COMPUTED_VALUE"""),1.0)</f>
        <v>1</v>
      </c>
      <c r="F147" s="8">
        <f>IFERROR(__xludf.DUMMYFUNCTION("""COMPUTED_VALUE"""),0.25)</f>
        <v>0.25</v>
      </c>
      <c r="G147" s="8">
        <f>IFERROR(__xludf.DUMMYFUNCTION("""COMPUTED_VALUE"""),0.125)</f>
        <v>0.125</v>
      </c>
      <c r="H147" s="8">
        <f>IFERROR(__xludf.DUMMYFUNCTION("""COMPUTED_VALUE"""),0.133333333333333)</f>
        <v>0.1333333333</v>
      </c>
      <c r="I147" s="8">
        <f>IFERROR(__xludf.DUMMYFUNCTION("""COMPUTED_VALUE"""),0.133333333333333)</f>
        <v>0.1333333333</v>
      </c>
      <c r="J147" s="8">
        <f>IFERROR(__xludf.DUMMYFUNCTION("""COMPUTED_VALUE"""),0.133333333333333)</f>
        <v>0.1333333333</v>
      </c>
      <c r="K147" s="8">
        <f>IFERROR(__xludf.DUMMYFUNCTION("""COMPUTED_VALUE"""),0.133333333333333)</f>
        <v>0.1333333333</v>
      </c>
      <c r="L147" s="8">
        <f>IFERROR(__xludf.DUMMYFUNCTION("""COMPUTED_VALUE"""),0.133333333333333)</f>
        <v>0.1333333333</v>
      </c>
      <c r="M147" s="8">
        <f>IFERROR(__xludf.DUMMYFUNCTION("""COMPUTED_VALUE"""),0.133333333333333)</f>
        <v>0.1333333333</v>
      </c>
      <c r="N147" s="8">
        <f>IFERROR(__xludf.DUMMYFUNCTION("""COMPUTED_VALUE"""),0.133333333333333)</f>
        <v>0.1333333333</v>
      </c>
      <c r="O147" s="8">
        <f>IFERROR(__xludf.DUMMYFUNCTION("""COMPUTED_VALUE"""),0.133333333333333)</f>
        <v>0.1333333333</v>
      </c>
      <c r="P147" s="8">
        <f>IFERROR(__xludf.DUMMYFUNCTION("""COMPUTED_VALUE"""),0.142857142857142)</f>
        <v>0.1428571429</v>
      </c>
      <c r="Q147" s="8">
        <f>IFERROR(__xludf.DUMMYFUNCTION("""COMPUTED_VALUE"""),0.2)</f>
        <v>0.2</v>
      </c>
      <c r="R147" s="8">
        <f>IFERROR(__xludf.DUMMYFUNCTION("""COMPUTED_VALUE"""),0.222222222222222)</f>
        <v>0.2222222222</v>
      </c>
      <c r="S147" s="8">
        <f>IFERROR(__xludf.DUMMYFUNCTION("""COMPUTED_VALUE"""),0.333333333333333)</f>
        <v>0.3333333333</v>
      </c>
      <c r="T147" s="8">
        <f>IFERROR(__xludf.DUMMYFUNCTION("""COMPUTED_VALUE"""),0.4)</f>
        <v>0.4</v>
      </c>
      <c r="U147" s="8">
        <f>IFERROR(__xludf.DUMMYFUNCTION("""COMPUTED_VALUE"""),0.5)</f>
        <v>0.5</v>
      </c>
      <c r="V147" s="8">
        <f>IFERROR(__xludf.DUMMYFUNCTION("""COMPUTED_VALUE"""),0.0)</f>
        <v>0</v>
      </c>
      <c r="W147" s="8">
        <f>IFERROR(__xludf.DUMMYFUNCTION("""COMPUTED_VALUE"""),0.0)</f>
        <v>0</v>
      </c>
      <c r="X147" s="8">
        <f>IFERROR(__xludf.DUMMYFUNCTION("""COMPUTED_VALUE"""),0.0)</f>
        <v>0</v>
      </c>
      <c r="Y147" s="8">
        <f>IFERROR(__xludf.DUMMYFUNCTION("""COMPUTED_VALUE"""),0.0)</f>
        <v>0</v>
      </c>
      <c r="Z147" s="8">
        <f>IFERROR(__xludf.DUMMYFUNCTION("""COMPUTED_VALUE"""),0.0)</f>
        <v>0</v>
      </c>
      <c r="AA147" s="8">
        <f>IFERROR(__xludf.DUMMYFUNCTION("""COMPUTED_VALUE"""),0.0)</f>
        <v>0</v>
      </c>
      <c r="AB147" s="8">
        <f>IFERROR(__xludf.DUMMYFUNCTION("""COMPUTED_VALUE"""),0.0)</f>
        <v>0</v>
      </c>
      <c r="AC147" s="8">
        <f>IFERROR(__xludf.DUMMYFUNCTION("""COMPUTED_VALUE"""),0.0)</f>
        <v>0</v>
      </c>
    </row>
    <row r="148" ht="15.75" customHeight="1">
      <c r="A148" s="6" t="str">
        <f>IFERROR(__xludf.DUMMYFUNCTION("""COMPUTED_VALUE"""),"84289ce4a2b527c3aa47651760eaff877da6adad")</f>
        <v>84289ce4a2b527c3aa47651760eaff877da6adad</v>
      </c>
      <c r="B148" s="6" t="str">
        <f>IFERROR(__xludf.DUMMYFUNCTION("""COMPUTED_VALUE"""),"Contracted by Love")</f>
        <v>Contracted by Love</v>
      </c>
      <c r="C148" s="6" t="str">
        <f>IFERROR(__xludf.DUMMYFUNCTION("""COMPUTED_VALUE"""),"Romance")</f>
        <v>Romance</v>
      </c>
      <c r="D148" s="11">
        <f>IFERROR(__xludf.DUMMYFUNCTION("""COMPUTED_VALUE"""),614.0)</f>
        <v>614</v>
      </c>
      <c r="E148" s="8">
        <f>IFERROR(__xludf.DUMMYFUNCTION("""COMPUTED_VALUE"""),0.986970684039087)</f>
        <v>0.986970684</v>
      </c>
      <c r="F148" s="8">
        <f>IFERROR(__xludf.DUMMYFUNCTION("""COMPUTED_VALUE"""),0.542483660130718)</f>
        <v>0.5424836601</v>
      </c>
      <c r="G148" s="8">
        <f>IFERROR(__xludf.DUMMYFUNCTION("""COMPUTED_VALUE"""),0.49673202614379)</f>
        <v>0.4967320261</v>
      </c>
      <c r="H148" s="8">
        <f>IFERROR(__xludf.DUMMYFUNCTION("""COMPUTED_VALUE"""),0.46078431372549)</f>
        <v>0.4607843137</v>
      </c>
      <c r="I148" s="8">
        <f>IFERROR(__xludf.DUMMYFUNCTION("""COMPUTED_VALUE"""),0.419934640522875)</f>
        <v>0.4199346405</v>
      </c>
      <c r="J148" s="8">
        <f>IFERROR(__xludf.DUMMYFUNCTION("""COMPUTED_VALUE"""),0.391162029459901)</f>
        <v>0.3911620295</v>
      </c>
      <c r="K148" s="8">
        <f>IFERROR(__xludf.DUMMYFUNCTION("""COMPUTED_VALUE"""),0.364975450081833)</f>
        <v>0.3649754501</v>
      </c>
      <c r="L148" s="8">
        <f>IFERROR(__xludf.DUMMYFUNCTION("""COMPUTED_VALUE"""),0.345335515548281)</f>
        <v>0.3453355155</v>
      </c>
      <c r="M148" s="8">
        <f>IFERROR(__xludf.DUMMYFUNCTION("""COMPUTED_VALUE"""),0.315270935960591)</f>
        <v>0.315270936</v>
      </c>
      <c r="N148" s="8">
        <f>IFERROR(__xludf.DUMMYFUNCTION("""COMPUTED_VALUE"""),0.313628899835796)</f>
        <v>0.3136288998</v>
      </c>
      <c r="O148" s="8">
        <f>IFERROR(__xludf.DUMMYFUNCTION("""COMPUTED_VALUE"""),0.272206303724928)</f>
        <v>0.2722063037</v>
      </c>
      <c r="P148" s="8">
        <f>IFERROR(__xludf.DUMMYFUNCTION("""COMPUTED_VALUE"""),0.333333333333333)</f>
        <v>0.3333333333</v>
      </c>
      <c r="Q148" s="8">
        <f>IFERROR(__xludf.DUMMYFUNCTION("""COMPUTED_VALUE"""),0.0)</f>
        <v>0</v>
      </c>
      <c r="R148" s="8">
        <f>IFERROR(__xludf.DUMMYFUNCTION("""COMPUTED_VALUE"""),0.0)</f>
        <v>0</v>
      </c>
      <c r="S148" s="8">
        <f>IFERROR(__xludf.DUMMYFUNCTION("""COMPUTED_VALUE"""),0.0)</f>
        <v>0</v>
      </c>
      <c r="T148" s="8">
        <f>IFERROR(__xludf.DUMMYFUNCTION("""COMPUTED_VALUE"""),0.0)</f>
        <v>0</v>
      </c>
      <c r="U148" s="8">
        <f>IFERROR(__xludf.DUMMYFUNCTION("""COMPUTED_VALUE"""),0.0)</f>
        <v>0</v>
      </c>
      <c r="V148" s="8">
        <f>IFERROR(__xludf.DUMMYFUNCTION("""COMPUTED_VALUE"""),0.0)</f>
        <v>0</v>
      </c>
      <c r="W148" s="8">
        <f>IFERROR(__xludf.DUMMYFUNCTION("""COMPUTED_VALUE"""),0.0)</f>
        <v>0</v>
      </c>
      <c r="X148" s="8">
        <f>IFERROR(__xludf.DUMMYFUNCTION("""COMPUTED_VALUE"""),0.0)</f>
        <v>0</v>
      </c>
      <c r="Y148" s="8">
        <f>IFERROR(__xludf.DUMMYFUNCTION("""COMPUTED_VALUE"""),0.0)</f>
        <v>0</v>
      </c>
      <c r="Z148" s="8">
        <f>IFERROR(__xludf.DUMMYFUNCTION("""COMPUTED_VALUE"""),0.0)</f>
        <v>0</v>
      </c>
      <c r="AA148" s="8">
        <f>IFERROR(__xludf.DUMMYFUNCTION("""COMPUTED_VALUE"""),0.0)</f>
        <v>0</v>
      </c>
      <c r="AB148" s="8">
        <f>IFERROR(__xludf.DUMMYFUNCTION("""COMPUTED_VALUE"""),0.0)</f>
        <v>0</v>
      </c>
      <c r="AC148" s="8">
        <f>IFERROR(__xludf.DUMMYFUNCTION("""COMPUTED_VALUE"""),0.0)</f>
        <v>0</v>
      </c>
    </row>
    <row r="149" ht="15.75" customHeight="1">
      <c r="A149" s="6" t="str">
        <f>IFERROR(__xludf.DUMMYFUNCTION("""COMPUTED_VALUE"""),"87b65acb9b6fcd4bc45f30d46f017fa847a0ce3c")</f>
        <v>87b65acb9b6fcd4bc45f30d46f017fa847a0ce3c</v>
      </c>
      <c r="B149" s="6" t="str">
        <f>IFERROR(__xludf.DUMMYFUNCTION("""COMPUTED_VALUE"""),"The Wife's Sweet Revenge")</f>
        <v>The Wife's Sweet Revenge</v>
      </c>
      <c r="C149" s="6" t="str">
        <f>IFERROR(__xludf.DUMMYFUNCTION("""COMPUTED_VALUE"""),"Romance")</f>
        <v>Romance</v>
      </c>
      <c r="D149" s="11">
        <f>IFERROR(__xludf.DUMMYFUNCTION("""COMPUTED_VALUE"""),86.0)</f>
        <v>86</v>
      </c>
      <c r="E149" s="8">
        <f>IFERROR(__xludf.DUMMYFUNCTION("""COMPUTED_VALUE"""),0.944444444444444)</f>
        <v>0.9444444444</v>
      </c>
      <c r="F149" s="8">
        <f>IFERROR(__xludf.DUMMYFUNCTION("""COMPUTED_VALUE"""),0.714285714285714)</f>
        <v>0.7142857143</v>
      </c>
      <c r="G149" s="8">
        <f>IFERROR(__xludf.DUMMYFUNCTION("""COMPUTED_VALUE"""),0.714285714285714)</f>
        <v>0.7142857143</v>
      </c>
      <c r="H149" s="8">
        <f>IFERROR(__xludf.DUMMYFUNCTION("""COMPUTED_VALUE"""),0.571428571428571)</f>
        <v>0.5714285714</v>
      </c>
      <c r="I149" s="8">
        <f>IFERROR(__xludf.DUMMYFUNCTION("""COMPUTED_VALUE"""),0.428571428571428)</f>
        <v>0.4285714286</v>
      </c>
      <c r="J149" s="8">
        <f>IFERROR(__xludf.DUMMYFUNCTION("""COMPUTED_VALUE"""),0.666666666666666)</f>
        <v>0.6666666667</v>
      </c>
      <c r="K149" s="8">
        <f>IFERROR(__xludf.DUMMYFUNCTION("""COMPUTED_VALUE"""),0.666666666666666)</f>
        <v>0.6666666667</v>
      </c>
      <c r="L149" s="8">
        <f>IFERROR(__xludf.DUMMYFUNCTION("""COMPUTED_VALUE"""),0.666666666666666)</f>
        <v>0.6666666667</v>
      </c>
      <c r="M149" s="8">
        <f>IFERROR(__xludf.DUMMYFUNCTION("""COMPUTED_VALUE"""),0.6)</f>
        <v>0.6</v>
      </c>
      <c r="N149" s="8">
        <f>IFERROR(__xludf.DUMMYFUNCTION("""COMPUTED_VALUE"""),0.5)</f>
        <v>0.5</v>
      </c>
      <c r="O149" s="8">
        <f>IFERROR(__xludf.DUMMYFUNCTION("""COMPUTED_VALUE"""),0.0)</f>
        <v>0</v>
      </c>
      <c r="P149" s="8">
        <f>IFERROR(__xludf.DUMMYFUNCTION("""COMPUTED_VALUE"""),0.0)</f>
        <v>0</v>
      </c>
      <c r="Q149" s="8">
        <f>IFERROR(__xludf.DUMMYFUNCTION("""COMPUTED_VALUE"""),0.0)</f>
        <v>0</v>
      </c>
      <c r="R149" s="8">
        <f>IFERROR(__xludf.DUMMYFUNCTION("""COMPUTED_VALUE"""),0.0)</f>
        <v>0</v>
      </c>
      <c r="S149" s="8">
        <f>IFERROR(__xludf.DUMMYFUNCTION("""COMPUTED_VALUE"""),0.0)</f>
        <v>0</v>
      </c>
      <c r="T149" s="8">
        <f>IFERROR(__xludf.DUMMYFUNCTION("""COMPUTED_VALUE"""),0.0)</f>
        <v>0</v>
      </c>
      <c r="U149" s="8">
        <f>IFERROR(__xludf.DUMMYFUNCTION("""COMPUTED_VALUE"""),0.0)</f>
        <v>0</v>
      </c>
      <c r="V149" s="8">
        <f>IFERROR(__xludf.DUMMYFUNCTION("""COMPUTED_VALUE"""),0.0)</f>
        <v>0</v>
      </c>
      <c r="W149" s="8">
        <f>IFERROR(__xludf.DUMMYFUNCTION("""COMPUTED_VALUE"""),0.0)</f>
        <v>0</v>
      </c>
      <c r="X149" s="8">
        <f>IFERROR(__xludf.DUMMYFUNCTION("""COMPUTED_VALUE"""),0.0)</f>
        <v>0</v>
      </c>
      <c r="Y149" s="8">
        <f>IFERROR(__xludf.DUMMYFUNCTION("""COMPUTED_VALUE"""),0.0)</f>
        <v>0</v>
      </c>
      <c r="Z149" s="8">
        <f>IFERROR(__xludf.DUMMYFUNCTION("""COMPUTED_VALUE"""),0.0)</f>
        <v>0</v>
      </c>
      <c r="AA149" s="8">
        <f>IFERROR(__xludf.DUMMYFUNCTION("""COMPUTED_VALUE"""),0.0)</f>
        <v>0</v>
      </c>
      <c r="AB149" s="8">
        <f>IFERROR(__xludf.DUMMYFUNCTION("""COMPUTED_VALUE"""),0.0)</f>
        <v>0</v>
      </c>
      <c r="AC149" s="8">
        <f>IFERROR(__xludf.DUMMYFUNCTION("""COMPUTED_VALUE"""),0.0)</f>
        <v>0</v>
      </c>
    </row>
    <row r="150" ht="15.75" customHeight="1">
      <c r="A150" s="6" t="str">
        <f>IFERROR(__xludf.DUMMYFUNCTION("""COMPUTED_VALUE"""),"8824fc43e4267c5a0e2b7acff644eae4b8b2222d")</f>
        <v>8824fc43e4267c5a0e2b7acff644eae4b8b2222d</v>
      </c>
      <c r="B150" s="6" t="str">
        <f>IFERROR(__xludf.DUMMYFUNCTION("""COMPUTED_VALUE"""),"Was It Only Lust?")</f>
        <v>Was It Only Lust?</v>
      </c>
      <c r="C150" s="6" t="str">
        <f>IFERROR(__xludf.DUMMYFUNCTION("""COMPUTED_VALUE"""),"Romance")</f>
        <v>Romance</v>
      </c>
      <c r="D150" s="11">
        <f>IFERROR(__xludf.DUMMYFUNCTION("""COMPUTED_VALUE"""),588.0)</f>
        <v>588</v>
      </c>
      <c r="E150" s="8">
        <f>IFERROR(__xludf.DUMMYFUNCTION("""COMPUTED_VALUE"""),0.96938775510204)</f>
        <v>0.9693877551</v>
      </c>
      <c r="F150" s="8">
        <f>IFERROR(__xludf.DUMMYFUNCTION("""COMPUTED_VALUE"""),0.566326530612244)</f>
        <v>0.5663265306</v>
      </c>
      <c r="G150" s="8">
        <f>IFERROR(__xludf.DUMMYFUNCTION("""COMPUTED_VALUE"""),0.498299319727891)</f>
        <v>0.4982993197</v>
      </c>
      <c r="H150" s="8">
        <f>IFERROR(__xludf.DUMMYFUNCTION("""COMPUTED_VALUE"""),0.467687074829932)</f>
        <v>0.4676870748</v>
      </c>
      <c r="I150" s="8">
        <f>IFERROR(__xludf.DUMMYFUNCTION("""COMPUTED_VALUE"""),0.44047619047619)</f>
        <v>0.4404761905</v>
      </c>
      <c r="J150" s="8">
        <f>IFERROR(__xludf.DUMMYFUNCTION("""COMPUTED_VALUE"""),0.438775510204081)</f>
        <v>0.4387755102</v>
      </c>
      <c r="K150" s="8">
        <f>IFERROR(__xludf.DUMMYFUNCTION("""COMPUTED_VALUE"""),0.413265306122449)</f>
        <v>0.4132653061</v>
      </c>
      <c r="L150" s="8">
        <f>IFERROR(__xludf.DUMMYFUNCTION("""COMPUTED_VALUE"""),0.36472602739726)</f>
        <v>0.3647260274</v>
      </c>
      <c r="M150" s="8">
        <f>IFERROR(__xludf.DUMMYFUNCTION("""COMPUTED_VALUE"""),0.338487972508591)</f>
        <v>0.3384879725</v>
      </c>
      <c r="N150" s="8">
        <f>IFERROR(__xludf.DUMMYFUNCTION("""COMPUTED_VALUE"""),0.310996563573883)</f>
        <v>0.3109965636</v>
      </c>
      <c r="O150" s="8">
        <f>IFERROR(__xludf.DUMMYFUNCTION("""COMPUTED_VALUE"""),0.204506065857885)</f>
        <v>0.2045060659</v>
      </c>
      <c r="P150" s="8">
        <f>IFERROR(__xludf.DUMMYFUNCTION("""COMPUTED_VALUE"""),0.103690685413005)</f>
        <v>0.1036906854</v>
      </c>
      <c r="Q150" s="8">
        <f>IFERROR(__xludf.DUMMYFUNCTION("""COMPUTED_VALUE"""),0.0985915492957746)</f>
        <v>0.0985915493</v>
      </c>
      <c r="R150" s="8">
        <f>IFERROR(__xludf.DUMMYFUNCTION("""COMPUTED_VALUE"""),0.0)</f>
        <v>0</v>
      </c>
      <c r="S150" s="8">
        <f>IFERROR(__xludf.DUMMYFUNCTION("""COMPUTED_VALUE"""),0.0)</f>
        <v>0</v>
      </c>
      <c r="T150" s="8">
        <f>IFERROR(__xludf.DUMMYFUNCTION("""COMPUTED_VALUE"""),0.0)</f>
        <v>0</v>
      </c>
      <c r="U150" s="8">
        <f>IFERROR(__xludf.DUMMYFUNCTION("""COMPUTED_VALUE"""),0.0)</f>
        <v>0</v>
      </c>
      <c r="V150" s="8">
        <f>IFERROR(__xludf.DUMMYFUNCTION("""COMPUTED_VALUE"""),0.0)</f>
        <v>0</v>
      </c>
      <c r="W150" s="8">
        <f>IFERROR(__xludf.DUMMYFUNCTION("""COMPUTED_VALUE"""),0.0)</f>
        <v>0</v>
      </c>
      <c r="X150" s="8">
        <f>IFERROR(__xludf.DUMMYFUNCTION("""COMPUTED_VALUE"""),0.0)</f>
        <v>0</v>
      </c>
      <c r="Y150" s="8">
        <f>IFERROR(__xludf.DUMMYFUNCTION("""COMPUTED_VALUE"""),0.0)</f>
        <v>0</v>
      </c>
      <c r="Z150" s="8">
        <f>IFERROR(__xludf.DUMMYFUNCTION("""COMPUTED_VALUE"""),0.0)</f>
        <v>0</v>
      </c>
      <c r="AA150" s="8">
        <f>IFERROR(__xludf.DUMMYFUNCTION("""COMPUTED_VALUE"""),0.0)</f>
        <v>0</v>
      </c>
      <c r="AB150" s="8">
        <f>IFERROR(__xludf.DUMMYFUNCTION("""COMPUTED_VALUE"""),0.0)</f>
        <v>0</v>
      </c>
      <c r="AC150" s="8">
        <f>IFERROR(__xludf.DUMMYFUNCTION("""COMPUTED_VALUE"""),0.0)</f>
        <v>0</v>
      </c>
    </row>
    <row r="151" ht="15.75" customHeight="1">
      <c r="A151" s="6" t="str">
        <f>IFERROR(__xludf.DUMMYFUNCTION("""COMPUTED_VALUE"""),"8aab13cef66595bf85428c05007cefe16b733ba5")</f>
        <v>8aab13cef66595bf85428c05007cefe16b733ba5</v>
      </c>
      <c r="B151" s="6" t="str">
        <f>IFERROR(__xludf.DUMMYFUNCTION("""COMPUTED_VALUE"""),"Reborn Heartbeat")</f>
        <v>Reborn Heartbeat</v>
      </c>
      <c r="C151" s="6" t="str">
        <f>IFERROR(__xludf.DUMMYFUNCTION("""COMPUTED_VALUE"""),"Romance")</f>
        <v>Romance</v>
      </c>
      <c r="D151" s="11">
        <f>IFERROR(__xludf.DUMMYFUNCTION("""COMPUTED_VALUE"""),1125.0)</f>
        <v>1125</v>
      </c>
      <c r="E151" s="8">
        <f>IFERROR(__xludf.DUMMYFUNCTION("""COMPUTED_VALUE"""),0.947508896797153)</f>
        <v>0.9475088968</v>
      </c>
      <c r="F151" s="8">
        <f>IFERROR(__xludf.DUMMYFUNCTION("""COMPUTED_VALUE"""),0.616964285714285)</f>
        <v>0.6169642857</v>
      </c>
      <c r="G151" s="8">
        <f>IFERROR(__xludf.DUMMYFUNCTION("""COMPUTED_VALUE"""),0.567084078711985)</f>
        <v>0.5670840787</v>
      </c>
      <c r="H151" s="8">
        <f>IFERROR(__xludf.DUMMYFUNCTION("""COMPUTED_VALUE"""),0.539426523297491)</f>
        <v>0.5394265233</v>
      </c>
      <c r="I151" s="8">
        <f>IFERROR(__xludf.DUMMYFUNCTION("""COMPUTED_VALUE"""),0.529569892473118)</f>
        <v>0.5295698925</v>
      </c>
      <c r="J151" s="8">
        <f>IFERROR(__xludf.DUMMYFUNCTION("""COMPUTED_VALUE"""),0.5004500450045)</f>
        <v>0.500450045</v>
      </c>
      <c r="K151" s="8">
        <f>IFERROR(__xludf.DUMMYFUNCTION("""COMPUTED_VALUE"""),0.495022624434389)</f>
        <v>0.4950226244</v>
      </c>
      <c r="L151" s="8">
        <f>IFERROR(__xludf.DUMMYFUNCTION("""COMPUTED_VALUE"""),0.484545454545454)</f>
        <v>0.4845454545</v>
      </c>
      <c r="M151" s="8">
        <f>IFERROR(__xludf.DUMMYFUNCTION("""COMPUTED_VALUE"""),0.470373746581586)</f>
        <v>0.4703737466</v>
      </c>
      <c r="N151" s="8">
        <f>IFERROR(__xludf.DUMMYFUNCTION("""COMPUTED_VALUE"""),0.472527472527472)</f>
        <v>0.4725274725</v>
      </c>
      <c r="O151" s="8">
        <f>IFERROR(__xludf.DUMMYFUNCTION("""COMPUTED_VALUE"""),0.463483146067415)</f>
        <v>0.4634831461</v>
      </c>
      <c r="P151" s="8">
        <f>IFERROR(__xludf.DUMMYFUNCTION("""COMPUTED_VALUE"""),0.326454033771106)</f>
        <v>0.3264540338</v>
      </c>
      <c r="Q151" s="8">
        <f>IFERROR(__xludf.DUMMYFUNCTION("""COMPUTED_VALUE"""),0.253068932955618)</f>
        <v>0.253068933</v>
      </c>
      <c r="R151" s="8">
        <f>IFERROR(__xludf.DUMMYFUNCTION("""COMPUTED_VALUE"""),0.0)</f>
        <v>0</v>
      </c>
      <c r="S151" s="8">
        <f>IFERROR(__xludf.DUMMYFUNCTION("""COMPUTED_VALUE"""),0.0)</f>
        <v>0</v>
      </c>
      <c r="T151" s="8">
        <f>IFERROR(__xludf.DUMMYFUNCTION("""COMPUTED_VALUE"""),0.0)</f>
        <v>0</v>
      </c>
      <c r="U151" s="8">
        <f>IFERROR(__xludf.DUMMYFUNCTION("""COMPUTED_VALUE"""),0.0)</f>
        <v>0</v>
      </c>
      <c r="V151" s="8">
        <f>IFERROR(__xludf.DUMMYFUNCTION("""COMPUTED_VALUE"""),0.0)</f>
        <v>0</v>
      </c>
      <c r="W151" s="8">
        <f>IFERROR(__xludf.DUMMYFUNCTION("""COMPUTED_VALUE"""),0.0)</f>
        <v>0</v>
      </c>
      <c r="X151" s="8">
        <f>IFERROR(__xludf.DUMMYFUNCTION("""COMPUTED_VALUE"""),0.0)</f>
        <v>0</v>
      </c>
      <c r="Y151" s="8">
        <f>IFERROR(__xludf.DUMMYFUNCTION("""COMPUTED_VALUE"""),0.0)</f>
        <v>0</v>
      </c>
      <c r="Z151" s="8">
        <f>IFERROR(__xludf.DUMMYFUNCTION("""COMPUTED_VALUE"""),0.0)</f>
        <v>0</v>
      </c>
      <c r="AA151" s="8">
        <f>IFERROR(__xludf.DUMMYFUNCTION("""COMPUTED_VALUE"""),0.0)</f>
        <v>0</v>
      </c>
      <c r="AB151" s="8">
        <f>IFERROR(__xludf.DUMMYFUNCTION("""COMPUTED_VALUE"""),0.0)</f>
        <v>0</v>
      </c>
      <c r="AC151" s="8">
        <f>IFERROR(__xludf.DUMMYFUNCTION("""COMPUTED_VALUE"""),0.0)</f>
        <v>0</v>
      </c>
    </row>
    <row r="152" ht="15.75" customHeight="1">
      <c r="A152" s="6" t="str">
        <f>IFERROR(__xludf.DUMMYFUNCTION("""COMPUTED_VALUE"""),"8b0fd7aa03d26e2de1586a0fe7c91505431575cc")</f>
        <v>8b0fd7aa03d26e2de1586a0fe7c91505431575cc</v>
      </c>
      <c r="B152" s="6" t="str">
        <f>IFERROR(__xludf.DUMMYFUNCTION("""COMPUTED_VALUE"""),"The Midnight Luna")</f>
        <v>The Midnight Luna</v>
      </c>
      <c r="C152" s="6" t="str">
        <f>IFERROR(__xludf.DUMMYFUNCTION("""COMPUTED_VALUE"""),"Romantasy")</f>
        <v>Romantasy</v>
      </c>
      <c r="D152" s="11">
        <f>IFERROR(__xludf.DUMMYFUNCTION("""COMPUTED_VALUE"""),1001.0)</f>
        <v>1001</v>
      </c>
      <c r="E152" s="8">
        <f>IFERROR(__xludf.DUMMYFUNCTION("""COMPUTED_VALUE"""),0.973026973026973)</f>
        <v>0.973026973</v>
      </c>
      <c r="F152" s="8">
        <f>IFERROR(__xludf.DUMMYFUNCTION("""COMPUTED_VALUE"""),0.632632632632632)</f>
        <v>0.6326326326</v>
      </c>
      <c r="G152" s="8">
        <f>IFERROR(__xludf.DUMMYFUNCTION("""COMPUTED_VALUE"""),0.567567567567567)</f>
        <v>0.5675675676</v>
      </c>
      <c r="H152" s="8">
        <f>IFERROR(__xludf.DUMMYFUNCTION("""COMPUTED_VALUE"""),0.528112449799196)</f>
        <v>0.5281124498</v>
      </c>
      <c r="I152" s="8">
        <f>IFERROR(__xludf.DUMMYFUNCTION("""COMPUTED_VALUE"""),0.506024096385542)</f>
        <v>0.5060240964</v>
      </c>
      <c r="J152" s="8">
        <f>IFERROR(__xludf.DUMMYFUNCTION("""COMPUTED_VALUE"""),0.489447236180904)</f>
        <v>0.4894472362</v>
      </c>
      <c r="K152" s="8">
        <f>IFERROR(__xludf.DUMMYFUNCTION("""COMPUTED_VALUE"""),0.479313824419778)</f>
        <v>0.4793138244</v>
      </c>
      <c r="L152" s="8">
        <f>IFERROR(__xludf.DUMMYFUNCTION("""COMPUTED_VALUE"""),0.453987730061349)</f>
        <v>0.4539877301</v>
      </c>
      <c r="M152" s="8">
        <f>IFERROR(__xludf.DUMMYFUNCTION("""COMPUTED_VALUE"""),0.439425051334702)</f>
        <v>0.4394250513</v>
      </c>
      <c r="N152" s="8">
        <f>IFERROR(__xludf.DUMMYFUNCTION("""COMPUTED_VALUE"""),0.428865979381443)</f>
        <v>0.4288659794</v>
      </c>
      <c r="O152" s="8">
        <f>IFERROR(__xludf.DUMMYFUNCTION("""COMPUTED_VALUE"""),0.398245614035087)</f>
        <v>0.398245614</v>
      </c>
      <c r="P152" s="8">
        <f>IFERROR(__xludf.DUMMYFUNCTION("""COMPUTED_VALUE"""),0.25)</f>
        <v>0.25</v>
      </c>
      <c r="Q152" s="8">
        <f>IFERROR(__xludf.DUMMYFUNCTION("""COMPUTED_VALUE"""),0.0)</f>
        <v>0</v>
      </c>
      <c r="R152" s="8">
        <f>IFERROR(__xludf.DUMMYFUNCTION("""COMPUTED_VALUE"""),0.0)</f>
        <v>0</v>
      </c>
      <c r="S152" s="8">
        <f>IFERROR(__xludf.DUMMYFUNCTION("""COMPUTED_VALUE"""),0.0)</f>
        <v>0</v>
      </c>
      <c r="T152" s="8">
        <f>IFERROR(__xludf.DUMMYFUNCTION("""COMPUTED_VALUE"""),0.0)</f>
        <v>0</v>
      </c>
      <c r="U152" s="8">
        <f>IFERROR(__xludf.DUMMYFUNCTION("""COMPUTED_VALUE"""),0.0)</f>
        <v>0</v>
      </c>
      <c r="V152" s="8">
        <f>IFERROR(__xludf.DUMMYFUNCTION("""COMPUTED_VALUE"""),0.0)</f>
        <v>0</v>
      </c>
      <c r="W152" s="8">
        <f>IFERROR(__xludf.DUMMYFUNCTION("""COMPUTED_VALUE"""),0.0)</f>
        <v>0</v>
      </c>
      <c r="X152" s="8">
        <f>IFERROR(__xludf.DUMMYFUNCTION("""COMPUTED_VALUE"""),0.0)</f>
        <v>0</v>
      </c>
      <c r="Y152" s="8">
        <f>IFERROR(__xludf.DUMMYFUNCTION("""COMPUTED_VALUE"""),0.0)</f>
        <v>0</v>
      </c>
      <c r="Z152" s="8">
        <f>IFERROR(__xludf.DUMMYFUNCTION("""COMPUTED_VALUE"""),0.0)</f>
        <v>0</v>
      </c>
      <c r="AA152" s="8">
        <f>IFERROR(__xludf.DUMMYFUNCTION("""COMPUTED_VALUE"""),0.0)</f>
        <v>0</v>
      </c>
      <c r="AB152" s="8">
        <f>IFERROR(__xludf.DUMMYFUNCTION("""COMPUTED_VALUE"""),0.0)</f>
        <v>0</v>
      </c>
      <c r="AC152" s="8">
        <f>IFERROR(__xludf.DUMMYFUNCTION("""COMPUTED_VALUE"""),0.0)</f>
        <v>0</v>
      </c>
    </row>
    <row r="153" ht="15.75" customHeight="1">
      <c r="A153" s="6" t="str">
        <f>IFERROR(__xludf.DUMMYFUNCTION("""COMPUTED_VALUE"""),"8bba1c491698de2d4d33abe2f115e5d666e141b2")</f>
        <v>8bba1c491698de2d4d33abe2f115e5d666e141b2</v>
      </c>
      <c r="B153" s="6" t="str">
        <f>IFERROR(__xludf.DUMMYFUNCTION("""COMPUTED_VALUE"""),"Until He Remembers Me")</f>
        <v>Until He Remembers Me</v>
      </c>
      <c r="C153" s="6" t="str">
        <f>IFERROR(__xludf.DUMMYFUNCTION("""COMPUTED_VALUE"""),"Romance")</f>
        <v>Romance</v>
      </c>
      <c r="D153" s="11">
        <f>IFERROR(__xludf.DUMMYFUNCTION("""COMPUTED_VALUE"""),121.0)</f>
        <v>121</v>
      </c>
      <c r="E153" s="8">
        <f>IFERROR(__xludf.DUMMYFUNCTION("""COMPUTED_VALUE"""),0.957264957264957)</f>
        <v>0.9572649573</v>
      </c>
      <c r="F153" s="8">
        <f>IFERROR(__xludf.DUMMYFUNCTION("""COMPUTED_VALUE"""),0.576576576576576)</f>
        <v>0.5765765766</v>
      </c>
      <c r="G153" s="8">
        <f>IFERROR(__xludf.DUMMYFUNCTION("""COMPUTED_VALUE"""),0.532110091743119)</f>
        <v>0.5321100917</v>
      </c>
      <c r="H153" s="8">
        <f>IFERROR(__xludf.DUMMYFUNCTION("""COMPUTED_VALUE"""),0.471153846153846)</f>
        <v>0.4711538462</v>
      </c>
      <c r="I153" s="8">
        <f>IFERROR(__xludf.DUMMYFUNCTION("""COMPUTED_VALUE"""),0.46078431372549)</f>
        <v>0.4607843137</v>
      </c>
      <c r="J153" s="8">
        <f>IFERROR(__xludf.DUMMYFUNCTION("""COMPUTED_VALUE"""),0.387755102040816)</f>
        <v>0.387755102</v>
      </c>
      <c r="K153" s="8">
        <f>IFERROR(__xludf.DUMMYFUNCTION("""COMPUTED_VALUE"""),0.340425531914893)</f>
        <v>0.3404255319</v>
      </c>
      <c r="L153" s="8">
        <f>IFERROR(__xludf.DUMMYFUNCTION("""COMPUTED_VALUE"""),0.318681318681318)</f>
        <v>0.3186813187</v>
      </c>
      <c r="M153" s="8">
        <f>IFERROR(__xludf.DUMMYFUNCTION("""COMPUTED_VALUE"""),0.280898876404494)</f>
        <v>0.2808988764</v>
      </c>
      <c r="N153" s="8">
        <f>IFERROR(__xludf.DUMMYFUNCTION("""COMPUTED_VALUE"""),0.277108433734939)</f>
        <v>0.2771084337</v>
      </c>
      <c r="O153" s="8">
        <f>IFERROR(__xludf.DUMMYFUNCTION("""COMPUTED_VALUE"""),0.236842105263157)</f>
        <v>0.2368421053</v>
      </c>
      <c r="P153" s="8">
        <f>IFERROR(__xludf.DUMMYFUNCTION("""COMPUTED_VALUE"""),0.164383561643835)</f>
        <v>0.1643835616</v>
      </c>
      <c r="Q153" s="8">
        <f>IFERROR(__xludf.DUMMYFUNCTION("""COMPUTED_VALUE"""),0.0)</f>
        <v>0</v>
      </c>
      <c r="R153" s="8">
        <f>IFERROR(__xludf.DUMMYFUNCTION("""COMPUTED_VALUE"""),0.0)</f>
        <v>0</v>
      </c>
      <c r="S153" s="8">
        <f>IFERROR(__xludf.DUMMYFUNCTION("""COMPUTED_VALUE"""),0.0)</f>
        <v>0</v>
      </c>
      <c r="T153" s="8">
        <f>IFERROR(__xludf.DUMMYFUNCTION("""COMPUTED_VALUE"""),0.0)</f>
        <v>0</v>
      </c>
      <c r="U153" s="8">
        <f>IFERROR(__xludf.DUMMYFUNCTION("""COMPUTED_VALUE"""),0.0)</f>
        <v>0</v>
      </c>
      <c r="V153" s="8">
        <f>IFERROR(__xludf.DUMMYFUNCTION("""COMPUTED_VALUE"""),0.0)</f>
        <v>0</v>
      </c>
      <c r="W153" s="8">
        <f>IFERROR(__xludf.DUMMYFUNCTION("""COMPUTED_VALUE"""),0.0)</f>
        <v>0</v>
      </c>
      <c r="X153" s="8">
        <f>IFERROR(__xludf.DUMMYFUNCTION("""COMPUTED_VALUE"""),0.0)</f>
        <v>0</v>
      </c>
      <c r="Y153" s="8">
        <f>IFERROR(__xludf.DUMMYFUNCTION("""COMPUTED_VALUE"""),0.0)</f>
        <v>0</v>
      </c>
      <c r="Z153" s="8">
        <f>IFERROR(__xludf.DUMMYFUNCTION("""COMPUTED_VALUE"""),0.0)</f>
        <v>0</v>
      </c>
      <c r="AA153" s="8">
        <f>IFERROR(__xludf.DUMMYFUNCTION("""COMPUTED_VALUE"""),0.0)</f>
        <v>0</v>
      </c>
      <c r="AB153" s="8">
        <f>IFERROR(__xludf.DUMMYFUNCTION("""COMPUTED_VALUE"""),0.0)</f>
        <v>0</v>
      </c>
      <c r="AC153" s="8">
        <f>IFERROR(__xludf.DUMMYFUNCTION("""COMPUTED_VALUE"""),0.0)</f>
        <v>0</v>
      </c>
    </row>
    <row r="154" ht="15.75" customHeight="1">
      <c r="A154" s="6" t="str">
        <f>IFERROR(__xludf.DUMMYFUNCTION("""COMPUTED_VALUE"""),"8bcd1b852cfa9d73ac3583317066946ad2b0abf7")</f>
        <v>8bcd1b852cfa9d73ac3583317066946ad2b0abf7</v>
      </c>
      <c r="B154" s="6" t="str">
        <f>IFERROR(__xludf.DUMMYFUNCTION("""COMPUTED_VALUE"""),"Heir to Draconic Dominion")</f>
        <v>Heir to Draconic Dominion</v>
      </c>
      <c r="C154" s="6" t="str">
        <f>IFERROR(__xludf.DUMMYFUNCTION("""COMPUTED_VALUE"""),"Fantasy")</f>
        <v>Fantasy</v>
      </c>
      <c r="D154" s="11">
        <f>IFERROR(__xludf.DUMMYFUNCTION("""COMPUTED_VALUE"""),863.0)</f>
        <v>863</v>
      </c>
      <c r="E154" s="8">
        <f>IFERROR(__xludf.DUMMYFUNCTION("""COMPUTED_VALUE"""),0.975666280417149)</f>
        <v>0.9756662804</v>
      </c>
      <c r="F154" s="8">
        <f>IFERROR(__xludf.DUMMYFUNCTION("""COMPUTED_VALUE"""),0.645760743321719)</f>
        <v>0.6457607433</v>
      </c>
      <c r="G154" s="8">
        <f>IFERROR(__xludf.DUMMYFUNCTION("""COMPUTED_VALUE"""),0.604190919674039)</f>
        <v>0.6041909197</v>
      </c>
      <c r="H154" s="8">
        <f>IFERROR(__xludf.DUMMYFUNCTION("""COMPUTED_VALUE"""),0.579929988331388)</f>
        <v>0.5799299883</v>
      </c>
      <c r="I154" s="8">
        <f>IFERROR(__xludf.DUMMYFUNCTION("""COMPUTED_VALUE"""),0.55672514619883)</f>
        <v>0.5567251462</v>
      </c>
      <c r="J154" s="8">
        <f>IFERROR(__xludf.DUMMYFUNCTION("""COMPUTED_VALUE"""),0.545667447306791)</f>
        <v>0.5456674473</v>
      </c>
      <c r="K154" s="8">
        <f>IFERROR(__xludf.DUMMYFUNCTION("""COMPUTED_VALUE"""),0.529342723004694)</f>
        <v>0.529342723</v>
      </c>
      <c r="L154" s="8">
        <f>IFERROR(__xludf.DUMMYFUNCTION("""COMPUTED_VALUE"""),0.51303317535545)</f>
        <v>0.5130331754</v>
      </c>
      <c r="M154" s="8">
        <f>IFERROR(__xludf.DUMMYFUNCTION("""COMPUTED_VALUE"""),0.495238095238095)</f>
        <v>0.4952380952</v>
      </c>
      <c r="N154" s="8">
        <f>IFERROR(__xludf.DUMMYFUNCTION("""COMPUTED_VALUE"""),0.485611510791366)</f>
        <v>0.4856115108</v>
      </c>
      <c r="O154" s="8">
        <f>IFERROR(__xludf.DUMMYFUNCTION("""COMPUTED_VALUE"""),0.446886446886446)</f>
        <v>0.4468864469</v>
      </c>
      <c r="P154" s="8">
        <f>IFERROR(__xludf.DUMMYFUNCTION("""COMPUTED_VALUE"""),0.366925064599483)</f>
        <v>0.3669250646</v>
      </c>
      <c r="Q154" s="8">
        <f>IFERROR(__xludf.DUMMYFUNCTION("""COMPUTED_VALUE"""),0.214862681744749)</f>
        <v>0.2148626817</v>
      </c>
      <c r="R154" s="8">
        <f>IFERROR(__xludf.DUMMYFUNCTION("""COMPUTED_VALUE"""),0.153846153846153)</f>
        <v>0.1538461538</v>
      </c>
      <c r="S154" s="8">
        <f>IFERROR(__xludf.DUMMYFUNCTION("""COMPUTED_VALUE"""),0.0)</f>
        <v>0</v>
      </c>
      <c r="T154" s="8">
        <f>IFERROR(__xludf.DUMMYFUNCTION("""COMPUTED_VALUE"""),0.0)</f>
        <v>0</v>
      </c>
      <c r="U154" s="8">
        <f>IFERROR(__xludf.DUMMYFUNCTION("""COMPUTED_VALUE"""),0.0)</f>
        <v>0</v>
      </c>
      <c r="V154" s="8">
        <f>IFERROR(__xludf.DUMMYFUNCTION("""COMPUTED_VALUE"""),0.0)</f>
        <v>0</v>
      </c>
      <c r="W154" s="8">
        <f>IFERROR(__xludf.DUMMYFUNCTION("""COMPUTED_VALUE"""),0.0)</f>
        <v>0</v>
      </c>
      <c r="X154" s="8">
        <f>IFERROR(__xludf.DUMMYFUNCTION("""COMPUTED_VALUE"""),0.0)</f>
        <v>0</v>
      </c>
      <c r="Y154" s="8">
        <f>IFERROR(__xludf.DUMMYFUNCTION("""COMPUTED_VALUE"""),0.0)</f>
        <v>0</v>
      </c>
      <c r="Z154" s="8">
        <f>IFERROR(__xludf.DUMMYFUNCTION("""COMPUTED_VALUE"""),0.0)</f>
        <v>0</v>
      </c>
      <c r="AA154" s="8">
        <f>IFERROR(__xludf.DUMMYFUNCTION("""COMPUTED_VALUE"""),0.0)</f>
        <v>0</v>
      </c>
      <c r="AB154" s="8">
        <f>IFERROR(__xludf.DUMMYFUNCTION("""COMPUTED_VALUE"""),0.0)</f>
        <v>0</v>
      </c>
      <c r="AC154" s="8">
        <f>IFERROR(__xludf.DUMMYFUNCTION("""COMPUTED_VALUE"""),0.0)</f>
        <v>0</v>
      </c>
    </row>
    <row r="155" ht="15.75" customHeight="1">
      <c r="A155" s="6" t="str">
        <f>IFERROR(__xludf.DUMMYFUNCTION("""COMPUTED_VALUE"""),"8e36a60de34dcee5a96156507eb902741b36cc77")</f>
        <v>8e36a60de34dcee5a96156507eb902741b36cc77</v>
      </c>
      <c r="B155" s="6" t="str">
        <f>IFERROR(__xludf.DUMMYFUNCTION("""COMPUTED_VALUE"""),"It's Crystal")</f>
        <v>It's Crystal</v>
      </c>
      <c r="C155" s="6" t="str">
        <f>IFERROR(__xludf.DUMMYFUNCTION("""COMPUTED_VALUE"""),"Romance")</f>
        <v>Romance</v>
      </c>
      <c r="D155" s="11">
        <f>IFERROR(__xludf.DUMMYFUNCTION("""COMPUTED_VALUE"""),494.0)</f>
        <v>494</v>
      </c>
      <c r="E155" s="8">
        <f>IFERROR(__xludf.DUMMYFUNCTION("""COMPUTED_VALUE"""),0.963562753036437)</f>
        <v>0.963562753</v>
      </c>
      <c r="F155" s="8">
        <f>IFERROR(__xludf.DUMMYFUNCTION("""COMPUTED_VALUE"""),0.680161943319838)</f>
        <v>0.6801619433</v>
      </c>
      <c r="G155" s="8">
        <f>IFERROR(__xludf.DUMMYFUNCTION("""COMPUTED_VALUE"""),0.629554655870445)</f>
        <v>0.6295546559</v>
      </c>
      <c r="H155" s="8">
        <f>IFERROR(__xludf.DUMMYFUNCTION("""COMPUTED_VALUE"""),0.607287449392712)</f>
        <v>0.6072874494</v>
      </c>
      <c r="I155" s="8">
        <f>IFERROR(__xludf.DUMMYFUNCTION("""COMPUTED_VALUE"""),0.613360323886639)</f>
        <v>0.6133603239</v>
      </c>
      <c r="J155" s="8">
        <f>IFERROR(__xludf.DUMMYFUNCTION("""COMPUTED_VALUE"""),0.585020242914979)</f>
        <v>0.5850202429</v>
      </c>
      <c r="K155" s="8">
        <f>IFERROR(__xludf.DUMMYFUNCTION("""COMPUTED_VALUE"""),0.558704453441295)</f>
        <v>0.5587044534</v>
      </c>
      <c r="L155" s="8">
        <f>IFERROR(__xludf.DUMMYFUNCTION("""COMPUTED_VALUE"""),0.520242914979757)</f>
        <v>0.520242915</v>
      </c>
      <c r="M155" s="8">
        <f>IFERROR(__xludf.DUMMYFUNCTION("""COMPUTED_VALUE"""),0.487854251012145)</f>
        <v>0.487854251</v>
      </c>
      <c r="N155" s="8">
        <f>IFERROR(__xludf.DUMMYFUNCTION("""COMPUTED_VALUE"""),0.481781376518218)</f>
        <v>0.4817813765</v>
      </c>
      <c r="O155" s="8">
        <f>IFERROR(__xludf.DUMMYFUNCTION("""COMPUTED_VALUE"""),0.406122448979591)</f>
        <v>0.406122449</v>
      </c>
      <c r="P155" s="8">
        <f>IFERROR(__xludf.DUMMYFUNCTION("""COMPUTED_VALUE"""),0.276073619631901)</f>
        <v>0.2760736196</v>
      </c>
      <c r="Q155" s="8">
        <f>IFERROR(__xludf.DUMMYFUNCTION("""COMPUTED_VALUE"""),0.155172413793103)</f>
        <v>0.1551724138</v>
      </c>
      <c r="R155" s="8">
        <f>IFERROR(__xludf.DUMMYFUNCTION("""COMPUTED_VALUE"""),0.102564102564102)</f>
        <v>0.1025641026</v>
      </c>
      <c r="S155" s="8">
        <f>IFERROR(__xludf.DUMMYFUNCTION("""COMPUTED_VALUE"""),0.0)</f>
        <v>0</v>
      </c>
      <c r="T155" s="8">
        <f>IFERROR(__xludf.DUMMYFUNCTION("""COMPUTED_VALUE"""),0.0)</f>
        <v>0</v>
      </c>
      <c r="U155" s="8">
        <f>IFERROR(__xludf.DUMMYFUNCTION("""COMPUTED_VALUE"""),0.0)</f>
        <v>0</v>
      </c>
      <c r="V155" s="8">
        <f>IFERROR(__xludf.DUMMYFUNCTION("""COMPUTED_VALUE"""),0.0)</f>
        <v>0</v>
      </c>
      <c r="W155" s="8">
        <f>IFERROR(__xludf.DUMMYFUNCTION("""COMPUTED_VALUE"""),0.0)</f>
        <v>0</v>
      </c>
      <c r="X155" s="8">
        <f>IFERROR(__xludf.DUMMYFUNCTION("""COMPUTED_VALUE"""),0.0)</f>
        <v>0</v>
      </c>
      <c r="Y155" s="8">
        <f>IFERROR(__xludf.DUMMYFUNCTION("""COMPUTED_VALUE"""),0.0)</f>
        <v>0</v>
      </c>
      <c r="Z155" s="8">
        <f>IFERROR(__xludf.DUMMYFUNCTION("""COMPUTED_VALUE"""),0.0)</f>
        <v>0</v>
      </c>
      <c r="AA155" s="8">
        <f>IFERROR(__xludf.DUMMYFUNCTION("""COMPUTED_VALUE"""),0.0)</f>
        <v>0</v>
      </c>
      <c r="AB155" s="8">
        <f>IFERROR(__xludf.DUMMYFUNCTION("""COMPUTED_VALUE"""),0.0)</f>
        <v>0</v>
      </c>
      <c r="AC155" s="8">
        <f>IFERROR(__xludf.DUMMYFUNCTION("""COMPUTED_VALUE"""),0.0)</f>
        <v>0</v>
      </c>
    </row>
    <row r="156" ht="15.75" customHeight="1">
      <c r="A156" s="6" t="str">
        <f>IFERROR(__xludf.DUMMYFUNCTION("""COMPUTED_VALUE"""),"8e3c4698dede52f8548d10d283645c3e3f83c04a")</f>
        <v>8e3c4698dede52f8548d10d283645c3e3f83c04a</v>
      </c>
      <c r="B156" s="6" t="str">
        <f>IFERROR(__xludf.DUMMYFUNCTION("""COMPUTED_VALUE"""),"The Celestial God’s Heir")</f>
        <v>The Celestial God’s Heir</v>
      </c>
      <c r="C156" s="6" t="str">
        <f>IFERROR(__xludf.DUMMYFUNCTION("""COMPUTED_VALUE"""),"Fantasy")</f>
        <v>Fantasy</v>
      </c>
      <c r="D156" s="11">
        <f>IFERROR(__xludf.DUMMYFUNCTION("""COMPUTED_VALUE"""),82.0)</f>
        <v>82</v>
      </c>
      <c r="E156" s="8">
        <f>IFERROR(__xludf.DUMMYFUNCTION("""COMPUTED_VALUE"""),0.975609756097561)</f>
        <v>0.9756097561</v>
      </c>
      <c r="F156" s="8">
        <f>IFERROR(__xludf.DUMMYFUNCTION("""COMPUTED_VALUE"""),0.548780487804878)</f>
        <v>0.5487804878</v>
      </c>
      <c r="G156" s="8">
        <f>IFERROR(__xludf.DUMMYFUNCTION("""COMPUTED_VALUE"""),0.47560975609756)</f>
        <v>0.4756097561</v>
      </c>
      <c r="H156" s="8">
        <f>IFERROR(__xludf.DUMMYFUNCTION("""COMPUTED_VALUE"""),0.441558441558441)</f>
        <v>0.4415584416</v>
      </c>
      <c r="I156" s="8">
        <f>IFERROR(__xludf.DUMMYFUNCTION("""COMPUTED_VALUE"""),0.391891891891891)</f>
        <v>0.3918918919</v>
      </c>
      <c r="J156" s="8">
        <f>IFERROR(__xludf.DUMMYFUNCTION("""COMPUTED_VALUE"""),0.352941176470588)</f>
        <v>0.3529411765</v>
      </c>
      <c r="K156" s="8">
        <f>IFERROR(__xludf.DUMMYFUNCTION("""COMPUTED_VALUE"""),0.353846153846153)</f>
        <v>0.3538461538</v>
      </c>
      <c r="L156" s="8">
        <f>IFERROR(__xludf.DUMMYFUNCTION("""COMPUTED_VALUE"""),0.349206349206349)</f>
        <v>0.3492063492</v>
      </c>
      <c r="M156" s="8">
        <f>IFERROR(__xludf.DUMMYFUNCTION("""COMPUTED_VALUE"""),0.349206349206349)</f>
        <v>0.3492063492</v>
      </c>
      <c r="N156" s="8">
        <f>IFERROR(__xludf.DUMMYFUNCTION("""COMPUTED_VALUE"""),0.298245614035087)</f>
        <v>0.298245614</v>
      </c>
      <c r="O156" s="8">
        <f>IFERROR(__xludf.DUMMYFUNCTION("""COMPUTED_VALUE"""),0.0)</f>
        <v>0</v>
      </c>
      <c r="P156" s="8">
        <f>IFERROR(__xludf.DUMMYFUNCTION("""COMPUTED_VALUE"""),0.0)</f>
        <v>0</v>
      </c>
      <c r="Q156" s="8">
        <f>IFERROR(__xludf.DUMMYFUNCTION("""COMPUTED_VALUE"""),0.0)</f>
        <v>0</v>
      </c>
      <c r="R156" s="8">
        <f>IFERROR(__xludf.DUMMYFUNCTION("""COMPUTED_VALUE"""),0.0)</f>
        <v>0</v>
      </c>
      <c r="S156" s="8">
        <f>IFERROR(__xludf.DUMMYFUNCTION("""COMPUTED_VALUE"""),0.0)</f>
        <v>0</v>
      </c>
      <c r="T156" s="8">
        <f>IFERROR(__xludf.DUMMYFUNCTION("""COMPUTED_VALUE"""),0.0)</f>
        <v>0</v>
      </c>
      <c r="U156" s="8">
        <f>IFERROR(__xludf.DUMMYFUNCTION("""COMPUTED_VALUE"""),0.0)</f>
        <v>0</v>
      </c>
      <c r="V156" s="8">
        <f>IFERROR(__xludf.DUMMYFUNCTION("""COMPUTED_VALUE"""),0.0)</f>
        <v>0</v>
      </c>
      <c r="W156" s="8">
        <f>IFERROR(__xludf.DUMMYFUNCTION("""COMPUTED_VALUE"""),0.0)</f>
        <v>0</v>
      </c>
      <c r="X156" s="8">
        <f>IFERROR(__xludf.DUMMYFUNCTION("""COMPUTED_VALUE"""),0.0)</f>
        <v>0</v>
      </c>
      <c r="Y156" s="8">
        <f>IFERROR(__xludf.DUMMYFUNCTION("""COMPUTED_VALUE"""),0.0)</f>
        <v>0</v>
      </c>
      <c r="Z156" s="8">
        <f>IFERROR(__xludf.DUMMYFUNCTION("""COMPUTED_VALUE"""),0.0)</f>
        <v>0</v>
      </c>
      <c r="AA156" s="8">
        <f>IFERROR(__xludf.DUMMYFUNCTION("""COMPUTED_VALUE"""),0.0)</f>
        <v>0</v>
      </c>
      <c r="AB156" s="8">
        <f>IFERROR(__xludf.DUMMYFUNCTION("""COMPUTED_VALUE"""),0.0)</f>
        <v>0</v>
      </c>
      <c r="AC156" s="8">
        <f>IFERROR(__xludf.DUMMYFUNCTION("""COMPUTED_VALUE"""),0.0)</f>
        <v>0</v>
      </c>
    </row>
    <row r="157" ht="15.75" customHeight="1">
      <c r="A157" s="6" t="str">
        <f>IFERROR(__xludf.DUMMYFUNCTION("""COMPUTED_VALUE"""),"8f0fa62650413483426bef0ac7d66ca7627ab11f")</f>
        <v>8f0fa62650413483426bef0ac7d66ca7627ab11f</v>
      </c>
      <c r="B157" s="6" t="str">
        <f>IFERROR(__xludf.DUMMYFUNCTION("""COMPUTED_VALUE"""),"The Mind Reader: A Son-in-Law’s Revenge")</f>
        <v>The Mind Reader: A Son-in-Law’s Revenge</v>
      </c>
      <c r="C157" s="6" t="str">
        <f>IFERROR(__xludf.DUMMYFUNCTION("""COMPUTED_VALUE"""),"Drama")</f>
        <v>Drama</v>
      </c>
      <c r="D157" s="11">
        <f>IFERROR(__xludf.DUMMYFUNCTION("""COMPUTED_VALUE"""),553.0)</f>
        <v>553</v>
      </c>
      <c r="E157" s="8">
        <f>IFERROR(__xludf.DUMMYFUNCTION("""COMPUTED_VALUE"""),0.958498023715415)</f>
        <v>0.9584980237</v>
      </c>
      <c r="F157" s="8">
        <f>IFERROR(__xludf.DUMMYFUNCTION("""COMPUTED_VALUE"""),0.727941176470588)</f>
        <v>0.7279411765</v>
      </c>
      <c r="G157" s="8">
        <f>IFERROR(__xludf.DUMMYFUNCTION("""COMPUTED_VALUE"""),0.622340425531914)</f>
        <v>0.6223404255</v>
      </c>
      <c r="H157" s="8">
        <f>IFERROR(__xludf.DUMMYFUNCTION("""COMPUTED_VALUE"""),0.58284023668639)</f>
        <v>0.5828402367</v>
      </c>
      <c r="I157" s="8">
        <f>IFERROR(__xludf.DUMMYFUNCTION("""COMPUTED_VALUE"""),0.520710059171597)</f>
        <v>0.5207100592</v>
      </c>
      <c r="J157" s="8">
        <f>IFERROR(__xludf.DUMMYFUNCTION("""COMPUTED_VALUE"""),0.467455621301775)</f>
        <v>0.4674556213</v>
      </c>
      <c r="K157" s="8">
        <f>IFERROR(__xludf.DUMMYFUNCTION("""COMPUTED_VALUE"""),0.431952662721893)</f>
        <v>0.4319526627</v>
      </c>
      <c r="L157" s="8">
        <f>IFERROR(__xludf.DUMMYFUNCTION("""COMPUTED_VALUE"""),0.390532544378698)</f>
        <v>0.3905325444</v>
      </c>
      <c r="M157" s="8">
        <f>IFERROR(__xludf.DUMMYFUNCTION("""COMPUTED_VALUE"""),0.387573964497041)</f>
        <v>0.3875739645</v>
      </c>
      <c r="N157" s="8">
        <f>IFERROR(__xludf.DUMMYFUNCTION("""COMPUTED_VALUE"""),0.356083086053412)</f>
        <v>0.3560830861</v>
      </c>
      <c r="O157" s="8">
        <f>IFERROR(__xludf.DUMMYFUNCTION("""COMPUTED_VALUE"""),0.320474777448071)</f>
        <v>0.3204747774</v>
      </c>
      <c r="P157" s="8">
        <f>IFERROR(__xludf.DUMMYFUNCTION("""COMPUTED_VALUE"""),0.237388724035608)</f>
        <v>0.237388724</v>
      </c>
      <c r="Q157" s="8">
        <f>IFERROR(__xludf.DUMMYFUNCTION("""COMPUTED_VALUE"""),0.0716417910447761)</f>
        <v>0.07164179104</v>
      </c>
      <c r="R157" s="8">
        <f>IFERROR(__xludf.DUMMYFUNCTION("""COMPUTED_VALUE"""),0.0328358208955223)</f>
        <v>0.0328358209</v>
      </c>
      <c r="S157" s="8">
        <f>IFERROR(__xludf.DUMMYFUNCTION("""COMPUTED_VALUE"""),0.0)</f>
        <v>0</v>
      </c>
      <c r="T157" s="8">
        <f>IFERROR(__xludf.DUMMYFUNCTION("""COMPUTED_VALUE"""),0.0)</f>
        <v>0</v>
      </c>
      <c r="U157" s="8">
        <f>IFERROR(__xludf.DUMMYFUNCTION("""COMPUTED_VALUE"""),0.0)</f>
        <v>0</v>
      </c>
      <c r="V157" s="8">
        <f>IFERROR(__xludf.DUMMYFUNCTION("""COMPUTED_VALUE"""),0.0)</f>
        <v>0</v>
      </c>
      <c r="W157" s="8">
        <f>IFERROR(__xludf.DUMMYFUNCTION("""COMPUTED_VALUE"""),0.0)</f>
        <v>0</v>
      </c>
      <c r="X157" s="8">
        <f>IFERROR(__xludf.DUMMYFUNCTION("""COMPUTED_VALUE"""),0.0)</f>
        <v>0</v>
      </c>
      <c r="Y157" s="8">
        <f>IFERROR(__xludf.DUMMYFUNCTION("""COMPUTED_VALUE"""),0.0)</f>
        <v>0</v>
      </c>
      <c r="Z157" s="8">
        <f>IFERROR(__xludf.DUMMYFUNCTION("""COMPUTED_VALUE"""),0.0)</f>
        <v>0</v>
      </c>
      <c r="AA157" s="8">
        <f>IFERROR(__xludf.DUMMYFUNCTION("""COMPUTED_VALUE"""),0.0)</f>
        <v>0</v>
      </c>
      <c r="AB157" s="8">
        <f>IFERROR(__xludf.DUMMYFUNCTION("""COMPUTED_VALUE"""),0.0)</f>
        <v>0</v>
      </c>
      <c r="AC157" s="8">
        <f>IFERROR(__xludf.DUMMYFUNCTION("""COMPUTED_VALUE"""),0.0)</f>
        <v>0</v>
      </c>
    </row>
    <row r="158" ht="15.75" customHeight="1">
      <c r="A158" s="6" t="str">
        <f>IFERROR(__xludf.DUMMYFUNCTION("""COMPUTED_VALUE"""),"8f9097f70a41e0a3a637a3eb2b6551e036eb16b7")</f>
        <v>8f9097f70a41e0a3a637a3eb2b6551e036eb16b7</v>
      </c>
      <c r="B158" s="6" t="str">
        <f>IFERROR(__xludf.DUMMYFUNCTION("""COMPUTED_VALUE"""),"The Devine Root")</f>
        <v>The Devine Root</v>
      </c>
      <c r="C158" s="6" t="str">
        <f>IFERROR(__xludf.DUMMYFUNCTION("""COMPUTED_VALUE"""),"Fantasy")</f>
        <v>Fantasy</v>
      </c>
      <c r="D158" s="11">
        <f>IFERROR(__xludf.DUMMYFUNCTION("""COMPUTED_VALUE"""),132.0)</f>
        <v>132</v>
      </c>
      <c r="E158" s="8">
        <f>IFERROR(__xludf.DUMMYFUNCTION("""COMPUTED_VALUE"""),1.0)</f>
        <v>1</v>
      </c>
      <c r="F158" s="8">
        <f>IFERROR(__xludf.DUMMYFUNCTION("""COMPUTED_VALUE"""),0.5)</f>
        <v>0.5</v>
      </c>
      <c r="G158" s="8">
        <f>IFERROR(__xludf.DUMMYFUNCTION("""COMPUTED_VALUE"""),0.5)</f>
        <v>0.5</v>
      </c>
      <c r="H158" s="8">
        <f>IFERROR(__xludf.DUMMYFUNCTION("""COMPUTED_VALUE"""),0.5)</f>
        <v>0.5</v>
      </c>
      <c r="I158" s="8">
        <f>IFERROR(__xludf.DUMMYFUNCTION("""COMPUTED_VALUE"""),0.0)</f>
        <v>0</v>
      </c>
      <c r="J158" s="8">
        <f>IFERROR(__xludf.DUMMYFUNCTION("""COMPUTED_VALUE"""),0.5)</f>
        <v>0.5</v>
      </c>
      <c r="K158" s="8">
        <f>IFERROR(__xludf.DUMMYFUNCTION("""COMPUTED_VALUE"""),1.0)</f>
        <v>1</v>
      </c>
      <c r="L158" s="8">
        <f>IFERROR(__xludf.DUMMYFUNCTION("""COMPUTED_VALUE"""),1.0)</f>
        <v>1</v>
      </c>
      <c r="M158" s="8">
        <f>IFERROR(__xludf.DUMMYFUNCTION("""COMPUTED_VALUE"""),1.0)</f>
        <v>1</v>
      </c>
      <c r="N158" s="8">
        <f>IFERROR(__xludf.DUMMYFUNCTION("""COMPUTED_VALUE"""),1.0)</f>
        <v>1</v>
      </c>
      <c r="O158" s="8">
        <f>IFERROR(__xludf.DUMMYFUNCTION("""COMPUTED_VALUE"""),0.0)</f>
        <v>0</v>
      </c>
      <c r="P158" s="8">
        <f>IFERROR(__xludf.DUMMYFUNCTION("""COMPUTED_VALUE"""),0.0)</f>
        <v>0</v>
      </c>
      <c r="Q158" s="8">
        <f>IFERROR(__xludf.DUMMYFUNCTION("""COMPUTED_VALUE"""),0.0)</f>
        <v>0</v>
      </c>
      <c r="R158" s="8">
        <f>IFERROR(__xludf.DUMMYFUNCTION("""COMPUTED_VALUE"""),0.0)</f>
        <v>0</v>
      </c>
      <c r="S158" s="8">
        <f>IFERROR(__xludf.DUMMYFUNCTION("""COMPUTED_VALUE"""),0.0)</f>
        <v>0</v>
      </c>
      <c r="T158" s="8">
        <f>IFERROR(__xludf.DUMMYFUNCTION("""COMPUTED_VALUE"""),0.0)</f>
        <v>0</v>
      </c>
      <c r="U158" s="8">
        <f>IFERROR(__xludf.DUMMYFUNCTION("""COMPUTED_VALUE"""),0.0)</f>
        <v>0</v>
      </c>
      <c r="V158" s="8">
        <f>IFERROR(__xludf.DUMMYFUNCTION("""COMPUTED_VALUE"""),0.0)</f>
        <v>0</v>
      </c>
      <c r="W158" s="8">
        <f>IFERROR(__xludf.DUMMYFUNCTION("""COMPUTED_VALUE"""),0.0)</f>
        <v>0</v>
      </c>
      <c r="X158" s="8">
        <f>IFERROR(__xludf.DUMMYFUNCTION("""COMPUTED_VALUE"""),0.0)</f>
        <v>0</v>
      </c>
      <c r="Y158" s="8">
        <f>IFERROR(__xludf.DUMMYFUNCTION("""COMPUTED_VALUE"""),0.0)</f>
        <v>0</v>
      </c>
      <c r="Z158" s="8">
        <f>IFERROR(__xludf.DUMMYFUNCTION("""COMPUTED_VALUE"""),0.0)</f>
        <v>0</v>
      </c>
      <c r="AA158" s="8">
        <f>IFERROR(__xludf.DUMMYFUNCTION("""COMPUTED_VALUE"""),0.0)</f>
        <v>0</v>
      </c>
      <c r="AB158" s="8">
        <f>IFERROR(__xludf.DUMMYFUNCTION("""COMPUTED_VALUE"""),0.0)</f>
        <v>0</v>
      </c>
      <c r="AC158" s="8">
        <f>IFERROR(__xludf.DUMMYFUNCTION("""COMPUTED_VALUE"""),0.0)</f>
        <v>0</v>
      </c>
    </row>
    <row r="159" ht="15.75" customHeight="1">
      <c r="A159" s="6" t="str">
        <f>IFERROR(__xludf.DUMMYFUNCTION("""COMPUTED_VALUE"""),"8fc0fc1659f3b419e6fa13d9cb59b0e57bfec096")</f>
        <v>8fc0fc1659f3b419e6fa13d9cb59b0e57bfec096</v>
      </c>
      <c r="B159" s="6" t="str">
        <f>IFERROR(__xludf.DUMMYFUNCTION("""COMPUTED_VALUE"""),"The Exiled Heir")</f>
        <v>The Exiled Heir</v>
      </c>
      <c r="C159" s="6" t="str">
        <f>IFERROR(__xludf.DUMMYFUNCTION("""COMPUTED_VALUE"""),"Drama")</f>
        <v>Drama</v>
      </c>
      <c r="D159" s="11">
        <f>IFERROR(__xludf.DUMMYFUNCTION("""COMPUTED_VALUE"""),4927.0)</f>
        <v>4927</v>
      </c>
      <c r="E159" s="8">
        <f>IFERROR(__xludf.DUMMYFUNCTION("""COMPUTED_VALUE"""),0.947774842511684)</f>
        <v>0.9477748425</v>
      </c>
      <c r="F159" s="8">
        <f>IFERROR(__xludf.DUMMYFUNCTION("""COMPUTED_VALUE"""),0.6875)</f>
        <v>0.6875</v>
      </c>
      <c r="G159" s="8">
        <f>IFERROR(__xludf.DUMMYFUNCTION("""COMPUTED_VALUE"""),0.623726049735018)</f>
        <v>0.6237260497</v>
      </c>
      <c r="H159" s="8">
        <f>IFERROR(__xludf.DUMMYFUNCTION("""COMPUTED_VALUE"""),0.58679206706195)</f>
        <v>0.5867920671</v>
      </c>
      <c r="I159" s="8">
        <f>IFERROR(__xludf.DUMMYFUNCTION("""COMPUTED_VALUE"""),0.548453185822577)</f>
        <v>0.5484531858</v>
      </c>
      <c r="J159" s="8">
        <f>IFERROR(__xludf.DUMMYFUNCTION("""COMPUTED_VALUE"""),0.523926884370507)</f>
        <v>0.5239268844</v>
      </c>
      <c r="K159" s="8">
        <f>IFERROR(__xludf.DUMMYFUNCTION("""COMPUTED_VALUE"""),0.493421052631578)</f>
        <v>0.4934210526</v>
      </c>
      <c r="L159" s="8">
        <f>IFERROR(__xludf.DUMMYFUNCTION("""COMPUTED_VALUE"""),0.475051546391752)</f>
        <v>0.4750515464</v>
      </c>
      <c r="M159" s="8">
        <f>IFERROR(__xludf.DUMMYFUNCTION("""COMPUTED_VALUE"""),0.457886044591246)</f>
        <v>0.4578860446</v>
      </c>
      <c r="N159" s="8">
        <f>IFERROR(__xludf.DUMMYFUNCTION("""COMPUTED_VALUE"""),0.440653432588916)</f>
        <v>0.4406534326</v>
      </c>
      <c r="O159" s="8">
        <f>IFERROR(__xludf.DUMMYFUNCTION("""COMPUTED_VALUE"""),0.405095009396533)</f>
        <v>0.4050950094</v>
      </c>
      <c r="P159" s="8">
        <f>IFERROR(__xludf.DUMMYFUNCTION("""COMPUTED_VALUE"""),0.32073067119796)</f>
        <v>0.3207306712</v>
      </c>
      <c r="Q159" s="8">
        <f>IFERROR(__xludf.DUMMYFUNCTION("""COMPUTED_VALUE"""),0.214990138067061)</f>
        <v>0.2149901381</v>
      </c>
      <c r="R159" s="8">
        <f>IFERROR(__xludf.DUMMYFUNCTION("""COMPUTED_VALUE"""),0.148911533117183)</f>
        <v>0.1489115331</v>
      </c>
      <c r="S159" s="8">
        <f>IFERROR(__xludf.DUMMYFUNCTION("""COMPUTED_VALUE"""),0.12489270386266)</f>
        <v>0.1248927039</v>
      </c>
      <c r="T159" s="8">
        <f>IFERROR(__xludf.DUMMYFUNCTION("""COMPUTED_VALUE"""),0.0790067720090293)</f>
        <v>0.07900677201</v>
      </c>
      <c r="U159" s="8">
        <f>IFERROR(__xludf.DUMMYFUNCTION("""COMPUTED_VALUE"""),0.0)</f>
        <v>0</v>
      </c>
      <c r="V159" s="8">
        <f>IFERROR(__xludf.DUMMYFUNCTION("""COMPUTED_VALUE"""),0.0)</f>
        <v>0</v>
      </c>
      <c r="W159" s="8">
        <f>IFERROR(__xludf.DUMMYFUNCTION("""COMPUTED_VALUE"""),0.0)</f>
        <v>0</v>
      </c>
      <c r="X159" s="8">
        <f>IFERROR(__xludf.DUMMYFUNCTION("""COMPUTED_VALUE"""),0.0)</f>
        <v>0</v>
      </c>
      <c r="Y159" s="8">
        <f>IFERROR(__xludf.DUMMYFUNCTION("""COMPUTED_VALUE"""),0.0)</f>
        <v>0</v>
      </c>
      <c r="Z159" s="8">
        <f>IFERROR(__xludf.DUMMYFUNCTION("""COMPUTED_VALUE"""),0.0)</f>
        <v>0</v>
      </c>
      <c r="AA159" s="8">
        <f>IFERROR(__xludf.DUMMYFUNCTION("""COMPUTED_VALUE"""),0.0)</f>
        <v>0</v>
      </c>
      <c r="AB159" s="8">
        <f>IFERROR(__xludf.DUMMYFUNCTION("""COMPUTED_VALUE"""),0.0)</f>
        <v>0</v>
      </c>
      <c r="AC159" s="8">
        <f>IFERROR(__xludf.DUMMYFUNCTION("""COMPUTED_VALUE"""),0.0)</f>
        <v>0</v>
      </c>
    </row>
    <row r="160" ht="15.75" customHeight="1">
      <c r="A160" s="6" t="str">
        <f>IFERROR(__xludf.DUMMYFUNCTION("""COMPUTED_VALUE"""),"9187815245dbab381e06e99b89e34db3f811e066")</f>
        <v>9187815245dbab381e06e99b89e34db3f811e066</v>
      </c>
      <c r="B160" s="6" t="str">
        <f>IFERROR(__xludf.DUMMYFUNCTION("""COMPUTED_VALUE"""),"Billionaire's Pursuit")</f>
        <v>Billionaire's Pursuit</v>
      </c>
      <c r="C160" s="6" t="str">
        <f>IFERROR(__xludf.DUMMYFUNCTION("""COMPUTED_VALUE"""),"Romance")</f>
        <v>Romance</v>
      </c>
      <c r="D160" s="11">
        <f>IFERROR(__xludf.DUMMYFUNCTION("""COMPUTED_VALUE"""),133.0)</f>
        <v>133</v>
      </c>
      <c r="E160" s="8">
        <f>IFERROR(__xludf.DUMMYFUNCTION("""COMPUTED_VALUE"""),0.968992248062015)</f>
        <v>0.9689922481</v>
      </c>
      <c r="F160" s="8">
        <f>IFERROR(__xludf.DUMMYFUNCTION("""COMPUTED_VALUE"""),0.475)</f>
        <v>0.475</v>
      </c>
      <c r="G160" s="8">
        <f>IFERROR(__xludf.DUMMYFUNCTION("""COMPUTED_VALUE"""),0.424528301886792)</f>
        <v>0.4245283019</v>
      </c>
      <c r="H160" s="8">
        <f>IFERROR(__xludf.DUMMYFUNCTION("""COMPUTED_VALUE"""),0.397849462365591)</f>
        <v>0.3978494624</v>
      </c>
      <c r="I160" s="8">
        <f>IFERROR(__xludf.DUMMYFUNCTION("""COMPUTED_VALUE"""),0.375)</f>
        <v>0.375</v>
      </c>
      <c r="J160" s="8">
        <f>IFERROR(__xludf.DUMMYFUNCTION("""COMPUTED_VALUE"""),0.306818181818181)</f>
        <v>0.3068181818</v>
      </c>
      <c r="K160" s="8">
        <f>IFERROR(__xludf.DUMMYFUNCTION("""COMPUTED_VALUE"""),0.306818181818181)</f>
        <v>0.3068181818</v>
      </c>
      <c r="L160" s="8">
        <f>IFERROR(__xludf.DUMMYFUNCTION("""COMPUTED_VALUE"""),0.329545454545454)</f>
        <v>0.3295454545</v>
      </c>
      <c r="M160" s="8">
        <f>IFERROR(__xludf.DUMMYFUNCTION("""COMPUTED_VALUE"""),0.25)</f>
        <v>0.25</v>
      </c>
      <c r="N160" s="8">
        <f>IFERROR(__xludf.DUMMYFUNCTION("""COMPUTED_VALUE"""),0.25)</f>
        <v>0.25</v>
      </c>
      <c r="O160" s="8">
        <f>IFERROR(__xludf.DUMMYFUNCTION("""COMPUTED_VALUE"""),0.227848101265822)</f>
        <v>0.2278481013</v>
      </c>
      <c r="P160" s="8">
        <f>IFERROR(__xludf.DUMMYFUNCTION("""COMPUTED_VALUE"""),0.0897435897435897)</f>
        <v>0.08974358974</v>
      </c>
      <c r="Q160" s="8">
        <f>IFERROR(__xludf.DUMMYFUNCTION("""COMPUTED_VALUE"""),0.0)</f>
        <v>0</v>
      </c>
      <c r="R160" s="8">
        <f>IFERROR(__xludf.DUMMYFUNCTION("""COMPUTED_VALUE"""),0.0)</f>
        <v>0</v>
      </c>
      <c r="S160" s="8">
        <f>IFERROR(__xludf.DUMMYFUNCTION("""COMPUTED_VALUE"""),0.0)</f>
        <v>0</v>
      </c>
      <c r="T160" s="8">
        <f>IFERROR(__xludf.DUMMYFUNCTION("""COMPUTED_VALUE"""),0.0)</f>
        <v>0</v>
      </c>
      <c r="U160" s="8">
        <f>IFERROR(__xludf.DUMMYFUNCTION("""COMPUTED_VALUE"""),0.0)</f>
        <v>0</v>
      </c>
      <c r="V160" s="8">
        <f>IFERROR(__xludf.DUMMYFUNCTION("""COMPUTED_VALUE"""),0.0)</f>
        <v>0</v>
      </c>
      <c r="W160" s="8">
        <f>IFERROR(__xludf.DUMMYFUNCTION("""COMPUTED_VALUE"""),0.0)</f>
        <v>0</v>
      </c>
      <c r="X160" s="8">
        <f>IFERROR(__xludf.DUMMYFUNCTION("""COMPUTED_VALUE"""),0.0)</f>
        <v>0</v>
      </c>
      <c r="Y160" s="8">
        <f>IFERROR(__xludf.DUMMYFUNCTION("""COMPUTED_VALUE"""),0.0)</f>
        <v>0</v>
      </c>
      <c r="Z160" s="8">
        <f>IFERROR(__xludf.DUMMYFUNCTION("""COMPUTED_VALUE"""),0.0)</f>
        <v>0</v>
      </c>
      <c r="AA160" s="8">
        <f>IFERROR(__xludf.DUMMYFUNCTION("""COMPUTED_VALUE"""),0.0)</f>
        <v>0</v>
      </c>
      <c r="AB160" s="8">
        <f>IFERROR(__xludf.DUMMYFUNCTION("""COMPUTED_VALUE"""),0.0)</f>
        <v>0</v>
      </c>
      <c r="AC160" s="8">
        <f>IFERROR(__xludf.DUMMYFUNCTION("""COMPUTED_VALUE"""),0.0)</f>
        <v>0</v>
      </c>
    </row>
    <row r="161" ht="15.75" customHeight="1">
      <c r="A161" s="6" t="str">
        <f>IFERROR(__xludf.DUMMYFUNCTION("""COMPUTED_VALUE"""),"91df72ab8ef7c2a2797ba2a98264b6e4037cebc4")</f>
        <v>91df72ab8ef7c2a2797ba2a98264b6e4037cebc4</v>
      </c>
      <c r="B161" s="6" t="str">
        <f>IFERROR(__xludf.DUMMYFUNCTION("""COMPUTED_VALUE"""),"The Upgrade Gamer")</f>
        <v>The Upgrade Gamer</v>
      </c>
      <c r="C161" s="6" t="str">
        <f>IFERROR(__xludf.DUMMYFUNCTION("""COMPUTED_VALUE"""),"System and Superpower")</f>
        <v>System and Superpower</v>
      </c>
      <c r="D161" s="11">
        <f>IFERROR(__xludf.DUMMYFUNCTION("""COMPUTED_VALUE"""),548.0)</f>
        <v>548</v>
      </c>
      <c r="E161" s="8">
        <f>IFERROR(__xludf.DUMMYFUNCTION("""COMPUTED_VALUE"""),0.990859232175502)</f>
        <v>0.9908592322</v>
      </c>
      <c r="F161" s="8">
        <f>IFERROR(__xludf.DUMMYFUNCTION("""COMPUTED_VALUE"""),0.669117647058823)</f>
        <v>0.6691176471</v>
      </c>
      <c r="G161" s="8">
        <f>IFERROR(__xludf.DUMMYFUNCTION("""COMPUTED_VALUE"""),0.549815498154981)</f>
        <v>0.5498154982</v>
      </c>
      <c r="H161" s="8">
        <f>IFERROR(__xludf.DUMMYFUNCTION("""COMPUTED_VALUE"""),0.48051948051948)</f>
        <v>0.4805194805</v>
      </c>
      <c r="I161" s="8">
        <f>IFERROR(__xludf.DUMMYFUNCTION("""COMPUTED_VALUE"""),0.439703153988868)</f>
        <v>0.439703154</v>
      </c>
      <c r="J161" s="8">
        <f>IFERROR(__xludf.DUMMYFUNCTION("""COMPUTED_VALUE"""),0.409005628517823)</f>
        <v>0.4090056285</v>
      </c>
      <c r="K161" s="8">
        <f>IFERROR(__xludf.DUMMYFUNCTION("""COMPUTED_VALUE"""),0.390566037735849)</f>
        <v>0.3905660377</v>
      </c>
      <c r="L161" s="8">
        <f>IFERROR(__xludf.DUMMYFUNCTION("""COMPUTED_VALUE"""),0.35361216730038)</f>
        <v>0.3536121673</v>
      </c>
      <c r="M161" s="8">
        <f>IFERROR(__xludf.DUMMYFUNCTION("""COMPUTED_VALUE"""),0.308285163776493)</f>
        <v>0.3082851638</v>
      </c>
      <c r="N161" s="8">
        <f>IFERROR(__xludf.DUMMYFUNCTION("""COMPUTED_VALUE"""),0.304166666666666)</f>
        <v>0.3041666667</v>
      </c>
      <c r="O161" s="8">
        <f>IFERROR(__xludf.DUMMYFUNCTION("""COMPUTED_VALUE"""),0.266666666666666)</f>
        <v>0.2666666667</v>
      </c>
      <c r="P161" s="8">
        <f>IFERROR(__xludf.DUMMYFUNCTION("""COMPUTED_VALUE"""),0.23076923076923)</f>
        <v>0.2307692308</v>
      </c>
      <c r="Q161" s="8">
        <f>IFERROR(__xludf.DUMMYFUNCTION("""COMPUTED_VALUE"""),0.0)</f>
        <v>0</v>
      </c>
      <c r="R161" s="8">
        <f>IFERROR(__xludf.DUMMYFUNCTION("""COMPUTED_VALUE"""),0.0)</f>
        <v>0</v>
      </c>
      <c r="S161" s="8">
        <f>IFERROR(__xludf.DUMMYFUNCTION("""COMPUTED_VALUE"""),0.0)</f>
        <v>0</v>
      </c>
      <c r="T161" s="8">
        <f>IFERROR(__xludf.DUMMYFUNCTION("""COMPUTED_VALUE"""),0.0)</f>
        <v>0</v>
      </c>
      <c r="U161" s="8">
        <f>IFERROR(__xludf.DUMMYFUNCTION("""COMPUTED_VALUE"""),0.0)</f>
        <v>0</v>
      </c>
      <c r="V161" s="8">
        <f>IFERROR(__xludf.DUMMYFUNCTION("""COMPUTED_VALUE"""),0.0)</f>
        <v>0</v>
      </c>
      <c r="W161" s="8">
        <f>IFERROR(__xludf.DUMMYFUNCTION("""COMPUTED_VALUE"""),0.0)</f>
        <v>0</v>
      </c>
      <c r="X161" s="8">
        <f>IFERROR(__xludf.DUMMYFUNCTION("""COMPUTED_VALUE"""),0.0)</f>
        <v>0</v>
      </c>
      <c r="Y161" s="8">
        <f>IFERROR(__xludf.DUMMYFUNCTION("""COMPUTED_VALUE"""),0.0)</f>
        <v>0</v>
      </c>
      <c r="Z161" s="8">
        <f>IFERROR(__xludf.DUMMYFUNCTION("""COMPUTED_VALUE"""),0.0)</f>
        <v>0</v>
      </c>
      <c r="AA161" s="8">
        <f>IFERROR(__xludf.DUMMYFUNCTION("""COMPUTED_VALUE"""),0.0)</f>
        <v>0</v>
      </c>
      <c r="AB161" s="8">
        <f>IFERROR(__xludf.DUMMYFUNCTION("""COMPUTED_VALUE"""),0.0)</f>
        <v>0</v>
      </c>
      <c r="AC161" s="8">
        <f>IFERROR(__xludf.DUMMYFUNCTION("""COMPUTED_VALUE"""),0.0)</f>
        <v>0</v>
      </c>
    </row>
    <row r="162" ht="15.75" customHeight="1">
      <c r="A162" s="6" t="str">
        <f>IFERROR(__xludf.DUMMYFUNCTION("""COMPUTED_VALUE"""),"9236a79ea4f06488372a41ebcc7a4f0fbfc7b1c3")</f>
        <v>9236a79ea4f06488372a41ebcc7a4f0fbfc7b1c3</v>
      </c>
      <c r="B162" s="6" t="str">
        <f>IFERROR(__xludf.DUMMYFUNCTION("""COMPUTED_VALUE"""),"King of Mercenaries")</f>
        <v>King of Mercenaries</v>
      </c>
      <c r="C162" s="6" t="str">
        <f>IFERROR(__xludf.DUMMYFUNCTION("""COMPUTED_VALUE"""),"Suspense or Thriller")</f>
        <v>Suspense or Thriller</v>
      </c>
      <c r="D162" s="11">
        <f>IFERROR(__xludf.DUMMYFUNCTION("""COMPUTED_VALUE"""),67.0)</f>
        <v>67</v>
      </c>
      <c r="E162" s="8">
        <f>IFERROR(__xludf.DUMMYFUNCTION("""COMPUTED_VALUE"""),1.0)</f>
        <v>1</v>
      </c>
      <c r="F162" s="8">
        <f>IFERROR(__xludf.DUMMYFUNCTION("""COMPUTED_VALUE"""),0.293103448275862)</f>
        <v>0.2931034483</v>
      </c>
      <c r="G162" s="8">
        <f>IFERROR(__xludf.DUMMYFUNCTION("""COMPUTED_VALUE"""),0.30188679245283)</f>
        <v>0.3018867925</v>
      </c>
      <c r="H162" s="8">
        <f>IFERROR(__xludf.DUMMYFUNCTION("""COMPUTED_VALUE"""),0.24390243902439)</f>
        <v>0.243902439</v>
      </c>
      <c r="I162" s="8">
        <f>IFERROR(__xludf.DUMMYFUNCTION("""COMPUTED_VALUE"""),0.205128205128205)</f>
        <v>0.2051282051</v>
      </c>
      <c r="J162" s="8">
        <f>IFERROR(__xludf.DUMMYFUNCTION("""COMPUTED_VALUE"""),0.151515151515151)</f>
        <v>0.1515151515</v>
      </c>
      <c r="K162" s="8">
        <f>IFERROR(__xludf.DUMMYFUNCTION("""COMPUTED_VALUE"""),0.129032258064516)</f>
        <v>0.1290322581</v>
      </c>
      <c r="L162" s="8">
        <f>IFERROR(__xludf.DUMMYFUNCTION("""COMPUTED_VALUE"""),0.0416666666666666)</f>
        <v>0.04166666667</v>
      </c>
      <c r="M162" s="8">
        <f>IFERROR(__xludf.DUMMYFUNCTION("""COMPUTED_VALUE"""),0.05)</f>
        <v>0.05</v>
      </c>
      <c r="N162" s="8">
        <f>IFERROR(__xludf.DUMMYFUNCTION("""COMPUTED_VALUE"""),0.0769230769230769)</f>
        <v>0.07692307692</v>
      </c>
      <c r="O162" s="8">
        <f>IFERROR(__xludf.DUMMYFUNCTION("""COMPUTED_VALUE"""),0.0)</f>
        <v>0</v>
      </c>
      <c r="P162" s="8">
        <f>IFERROR(__xludf.DUMMYFUNCTION("""COMPUTED_VALUE"""),0.0)</f>
        <v>0</v>
      </c>
      <c r="Q162" s="8">
        <f>IFERROR(__xludf.DUMMYFUNCTION("""COMPUTED_VALUE"""),0.0)</f>
        <v>0</v>
      </c>
      <c r="R162" s="8">
        <f>IFERROR(__xludf.DUMMYFUNCTION("""COMPUTED_VALUE"""),0.0)</f>
        <v>0</v>
      </c>
      <c r="S162" s="8">
        <f>IFERROR(__xludf.DUMMYFUNCTION("""COMPUTED_VALUE"""),0.0)</f>
        <v>0</v>
      </c>
      <c r="T162" s="8">
        <f>IFERROR(__xludf.DUMMYFUNCTION("""COMPUTED_VALUE"""),0.0)</f>
        <v>0</v>
      </c>
      <c r="U162" s="8">
        <f>IFERROR(__xludf.DUMMYFUNCTION("""COMPUTED_VALUE"""),0.0)</f>
        <v>0</v>
      </c>
      <c r="V162" s="8">
        <f>IFERROR(__xludf.DUMMYFUNCTION("""COMPUTED_VALUE"""),0.0)</f>
        <v>0</v>
      </c>
      <c r="W162" s="8">
        <f>IFERROR(__xludf.DUMMYFUNCTION("""COMPUTED_VALUE"""),0.0)</f>
        <v>0</v>
      </c>
      <c r="X162" s="8">
        <f>IFERROR(__xludf.DUMMYFUNCTION("""COMPUTED_VALUE"""),0.0)</f>
        <v>0</v>
      </c>
      <c r="Y162" s="8">
        <f>IFERROR(__xludf.DUMMYFUNCTION("""COMPUTED_VALUE"""),0.0)</f>
        <v>0</v>
      </c>
      <c r="Z162" s="8">
        <f>IFERROR(__xludf.DUMMYFUNCTION("""COMPUTED_VALUE"""),0.0)</f>
        <v>0</v>
      </c>
      <c r="AA162" s="8">
        <f>IFERROR(__xludf.DUMMYFUNCTION("""COMPUTED_VALUE"""),0.0)</f>
        <v>0</v>
      </c>
      <c r="AB162" s="8">
        <f>IFERROR(__xludf.DUMMYFUNCTION("""COMPUTED_VALUE"""),0.0)</f>
        <v>0</v>
      </c>
      <c r="AC162" s="8">
        <f>IFERROR(__xludf.DUMMYFUNCTION("""COMPUTED_VALUE"""),0.0)</f>
        <v>0</v>
      </c>
    </row>
    <row r="163" ht="15.75" customHeight="1">
      <c r="A163" s="6" t="str">
        <f>IFERROR(__xludf.DUMMYFUNCTION("""COMPUTED_VALUE"""),"94d808231f41a64988f80a2739e6a748f1278c28")</f>
        <v>94d808231f41a64988f80a2739e6a748f1278c28</v>
      </c>
      <c r="B163" s="6" t="str">
        <f>IFERROR(__xludf.DUMMYFUNCTION("""COMPUTED_VALUE"""),"My Amazing Husband's Life")</f>
        <v>My Amazing Husband's Life</v>
      </c>
      <c r="C163" s="6" t="str">
        <f>IFERROR(__xludf.DUMMYFUNCTION("""COMPUTED_VALUE"""),"Drama")</f>
        <v>Drama</v>
      </c>
      <c r="D163" s="11">
        <f>IFERROR(__xludf.DUMMYFUNCTION("""COMPUTED_VALUE"""),371.0)</f>
        <v>371</v>
      </c>
      <c r="E163" s="8">
        <f>IFERROR(__xludf.DUMMYFUNCTION("""COMPUTED_VALUE"""),0.97910447761194)</f>
        <v>0.9791044776</v>
      </c>
      <c r="F163" s="8">
        <f>IFERROR(__xludf.DUMMYFUNCTION("""COMPUTED_VALUE"""),0.571884984025559)</f>
        <v>0.571884984</v>
      </c>
      <c r="G163" s="8">
        <f>IFERROR(__xludf.DUMMYFUNCTION("""COMPUTED_VALUE"""),0.488215488215488)</f>
        <v>0.4882154882</v>
      </c>
      <c r="H163" s="8">
        <f>IFERROR(__xludf.DUMMYFUNCTION("""COMPUTED_VALUE"""),0.435483870967741)</f>
        <v>0.435483871</v>
      </c>
      <c r="I163" s="8">
        <f>IFERROR(__xludf.DUMMYFUNCTION("""COMPUTED_VALUE"""),0.384955752212389)</f>
        <v>0.3849557522</v>
      </c>
      <c r="J163" s="8">
        <f>IFERROR(__xludf.DUMMYFUNCTION("""COMPUTED_VALUE"""),0.368159203980099)</f>
        <v>0.368159204</v>
      </c>
      <c r="K163" s="8">
        <f>IFERROR(__xludf.DUMMYFUNCTION("""COMPUTED_VALUE"""),0.335106382978723)</f>
        <v>0.335106383</v>
      </c>
      <c r="L163" s="8">
        <f>IFERROR(__xludf.DUMMYFUNCTION("""COMPUTED_VALUE"""),0.318471337579617)</f>
        <v>0.3184713376</v>
      </c>
      <c r="M163" s="8">
        <f>IFERROR(__xludf.DUMMYFUNCTION("""COMPUTED_VALUE"""),0.304347826086956)</f>
        <v>0.3043478261</v>
      </c>
      <c r="N163" s="8">
        <f>IFERROR(__xludf.DUMMYFUNCTION("""COMPUTED_VALUE"""),0.305084745762711)</f>
        <v>0.3050847458</v>
      </c>
      <c r="O163" s="8">
        <f>IFERROR(__xludf.DUMMYFUNCTION("""COMPUTED_VALUE"""),0.244444444444444)</f>
        <v>0.2444444444</v>
      </c>
      <c r="P163" s="8">
        <f>IFERROR(__xludf.DUMMYFUNCTION("""COMPUTED_VALUE"""),0.222222222222222)</f>
        <v>0.2222222222</v>
      </c>
      <c r="Q163" s="8">
        <f>IFERROR(__xludf.DUMMYFUNCTION("""COMPUTED_VALUE"""),0.0)</f>
        <v>0</v>
      </c>
      <c r="R163" s="8">
        <f>IFERROR(__xludf.DUMMYFUNCTION("""COMPUTED_VALUE"""),0.0)</f>
        <v>0</v>
      </c>
      <c r="S163" s="8">
        <f>IFERROR(__xludf.DUMMYFUNCTION("""COMPUTED_VALUE"""),0.0)</f>
        <v>0</v>
      </c>
      <c r="T163" s="8">
        <f>IFERROR(__xludf.DUMMYFUNCTION("""COMPUTED_VALUE"""),0.0)</f>
        <v>0</v>
      </c>
      <c r="U163" s="8">
        <f>IFERROR(__xludf.DUMMYFUNCTION("""COMPUTED_VALUE"""),0.0)</f>
        <v>0</v>
      </c>
      <c r="V163" s="8">
        <f>IFERROR(__xludf.DUMMYFUNCTION("""COMPUTED_VALUE"""),0.0)</f>
        <v>0</v>
      </c>
      <c r="W163" s="8">
        <f>IFERROR(__xludf.DUMMYFUNCTION("""COMPUTED_VALUE"""),0.0)</f>
        <v>0</v>
      </c>
      <c r="X163" s="8">
        <f>IFERROR(__xludf.DUMMYFUNCTION("""COMPUTED_VALUE"""),0.0)</f>
        <v>0</v>
      </c>
      <c r="Y163" s="8">
        <f>IFERROR(__xludf.DUMMYFUNCTION("""COMPUTED_VALUE"""),0.0)</f>
        <v>0</v>
      </c>
      <c r="Z163" s="8">
        <f>IFERROR(__xludf.DUMMYFUNCTION("""COMPUTED_VALUE"""),0.0)</f>
        <v>0</v>
      </c>
      <c r="AA163" s="8">
        <f>IFERROR(__xludf.DUMMYFUNCTION("""COMPUTED_VALUE"""),0.0)</f>
        <v>0</v>
      </c>
      <c r="AB163" s="8">
        <f>IFERROR(__xludf.DUMMYFUNCTION("""COMPUTED_VALUE"""),0.0)</f>
        <v>0</v>
      </c>
      <c r="AC163" s="8">
        <f>IFERROR(__xludf.DUMMYFUNCTION("""COMPUTED_VALUE"""),0.0)</f>
        <v>0</v>
      </c>
    </row>
    <row r="164" ht="15.75" customHeight="1">
      <c r="A164" s="6" t="str">
        <f>IFERROR(__xludf.DUMMYFUNCTION("""COMPUTED_VALUE"""),"95cfee76565a1eb0481e08f4f0da75fa4a0cdb74")</f>
        <v>95cfee76565a1eb0481e08f4f0da75fa4a0cdb74</v>
      </c>
      <c r="B164" s="6" t="str">
        <f>IFERROR(__xludf.DUMMYFUNCTION("""COMPUTED_VALUE"""),"Revenge Called Athena")</f>
        <v>Revenge Called Athena</v>
      </c>
      <c r="C164" s="6" t="str">
        <f>IFERROR(__xludf.DUMMYFUNCTION("""COMPUTED_VALUE"""),"Drama")</f>
        <v>Drama</v>
      </c>
      <c r="D164" s="11">
        <f>IFERROR(__xludf.DUMMYFUNCTION("""COMPUTED_VALUE"""),964.0)</f>
        <v>964</v>
      </c>
      <c r="E164" s="8">
        <f>IFERROR(__xludf.DUMMYFUNCTION("""COMPUTED_VALUE"""),0.950155763239875)</f>
        <v>0.9501557632</v>
      </c>
      <c r="F164" s="8">
        <f>IFERROR(__xludf.DUMMYFUNCTION("""COMPUTED_VALUE"""),0.703742203742203)</f>
        <v>0.7037422037</v>
      </c>
      <c r="G164" s="8">
        <f>IFERROR(__xludf.DUMMYFUNCTION("""COMPUTED_VALUE"""),0.66008316008316)</f>
        <v>0.6600831601</v>
      </c>
      <c r="H164" s="8">
        <f>IFERROR(__xludf.DUMMYFUNCTION("""COMPUTED_VALUE"""),0.632674297606659)</f>
        <v>0.6326742976</v>
      </c>
      <c r="I164" s="8">
        <f>IFERROR(__xludf.DUMMYFUNCTION("""COMPUTED_VALUE"""),0.612903225806451)</f>
        <v>0.6129032258</v>
      </c>
      <c r="J164" s="8">
        <f>IFERROR(__xludf.DUMMYFUNCTION("""COMPUTED_VALUE"""),0.589528795811518)</f>
        <v>0.5895287958</v>
      </c>
      <c r="K164" s="8">
        <f>IFERROR(__xludf.DUMMYFUNCTION("""COMPUTED_VALUE"""),0.564397905759162)</f>
        <v>0.5643979058</v>
      </c>
      <c r="L164" s="8">
        <f>IFERROR(__xludf.DUMMYFUNCTION("""COMPUTED_VALUE"""),0.534663865546218)</f>
        <v>0.5346638655</v>
      </c>
      <c r="M164" s="8">
        <f>IFERROR(__xludf.DUMMYFUNCTION("""COMPUTED_VALUE"""),0.526315789473684)</f>
        <v>0.5263157895</v>
      </c>
      <c r="N164" s="8">
        <f>IFERROR(__xludf.DUMMYFUNCTION("""COMPUTED_VALUE"""),0.515991471215351)</f>
        <v>0.5159914712</v>
      </c>
      <c r="O164" s="8">
        <f>IFERROR(__xludf.DUMMYFUNCTION("""COMPUTED_VALUE"""),0.515151515151515)</f>
        <v>0.5151515152</v>
      </c>
      <c r="P164" s="8">
        <f>IFERROR(__xludf.DUMMYFUNCTION("""COMPUTED_VALUE"""),0.378892733564013)</f>
        <v>0.3788927336</v>
      </c>
      <c r="Q164" s="8">
        <f>IFERROR(__xludf.DUMMYFUNCTION("""COMPUTED_VALUE"""),0.282952548330404)</f>
        <v>0.2829525483</v>
      </c>
      <c r="R164" s="8">
        <f>IFERROR(__xludf.DUMMYFUNCTION("""COMPUTED_VALUE"""),0.125)</f>
        <v>0.125</v>
      </c>
      <c r="S164" s="8">
        <f>IFERROR(__xludf.DUMMYFUNCTION("""COMPUTED_VALUE"""),0.333333333333333)</f>
        <v>0.3333333333</v>
      </c>
      <c r="T164" s="8">
        <f>IFERROR(__xludf.DUMMYFUNCTION("""COMPUTED_VALUE"""),0.0)</f>
        <v>0</v>
      </c>
      <c r="U164" s="8">
        <f>IFERROR(__xludf.DUMMYFUNCTION("""COMPUTED_VALUE"""),0.0)</f>
        <v>0</v>
      </c>
      <c r="V164" s="8">
        <f>IFERROR(__xludf.DUMMYFUNCTION("""COMPUTED_VALUE"""),0.0)</f>
        <v>0</v>
      </c>
      <c r="W164" s="8">
        <f>IFERROR(__xludf.DUMMYFUNCTION("""COMPUTED_VALUE"""),0.0)</f>
        <v>0</v>
      </c>
      <c r="X164" s="8">
        <f>IFERROR(__xludf.DUMMYFUNCTION("""COMPUTED_VALUE"""),0.0)</f>
        <v>0</v>
      </c>
      <c r="Y164" s="8">
        <f>IFERROR(__xludf.DUMMYFUNCTION("""COMPUTED_VALUE"""),0.0)</f>
        <v>0</v>
      </c>
      <c r="Z164" s="8">
        <f>IFERROR(__xludf.DUMMYFUNCTION("""COMPUTED_VALUE"""),0.0)</f>
        <v>0</v>
      </c>
      <c r="AA164" s="8">
        <f>IFERROR(__xludf.DUMMYFUNCTION("""COMPUTED_VALUE"""),0.0)</f>
        <v>0</v>
      </c>
      <c r="AB164" s="8">
        <f>IFERROR(__xludf.DUMMYFUNCTION("""COMPUTED_VALUE"""),0.0)</f>
        <v>0</v>
      </c>
      <c r="AC164" s="8">
        <f>IFERROR(__xludf.DUMMYFUNCTION("""COMPUTED_VALUE"""),0.0)</f>
        <v>0</v>
      </c>
    </row>
    <row r="165" ht="15.75" customHeight="1">
      <c r="A165" s="6" t="str">
        <f>IFERROR(__xludf.DUMMYFUNCTION("""COMPUTED_VALUE"""),"964c4dbd3e851f0d215e0fc68b9c364303676665")</f>
        <v>964c4dbd3e851f0d215e0fc68b9c364303676665</v>
      </c>
      <c r="B165" s="6" t="str">
        <f>IFERROR(__xludf.DUMMYFUNCTION("""COMPUTED_VALUE"""),"The Governor's Wife")</f>
        <v>The Governor's Wife</v>
      </c>
      <c r="C165" s="6" t="str">
        <f>IFERROR(__xludf.DUMMYFUNCTION("""COMPUTED_VALUE"""),"Romance")</f>
        <v>Romance</v>
      </c>
      <c r="D165" s="11">
        <f>IFERROR(__xludf.DUMMYFUNCTION("""COMPUTED_VALUE"""),222.0)</f>
        <v>222</v>
      </c>
      <c r="E165" s="8">
        <f>IFERROR(__xludf.DUMMYFUNCTION("""COMPUTED_VALUE"""),0.953917050691244)</f>
        <v>0.9539170507</v>
      </c>
      <c r="F165" s="8">
        <f>IFERROR(__xludf.DUMMYFUNCTION("""COMPUTED_VALUE"""),0.797029702970297)</f>
        <v>0.797029703</v>
      </c>
      <c r="G165" s="8">
        <f>IFERROR(__xludf.DUMMYFUNCTION("""COMPUTED_VALUE"""),0.786096256684492)</f>
        <v>0.7860962567</v>
      </c>
      <c r="H165" s="8">
        <f>IFERROR(__xludf.DUMMYFUNCTION("""COMPUTED_VALUE"""),0.72189349112426)</f>
        <v>0.7218934911</v>
      </c>
      <c r="I165" s="8">
        <f>IFERROR(__xludf.DUMMYFUNCTION("""COMPUTED_VALUE"""),0.671052631578947)</f>
        <v>0.6710526316</v>
      </c>
      <c r="J165" s="8">
        <f>IFERROR(__xludf.DUMMYFUNCTION("""COMPUTED_VALUE"""),0.58695652173913)</f>
        <v>0.5869565217</v>
      </c>
      <c r="K165" s="8">
        <f>IFERROR(__xludf.DUMMYFUNCTION("""COMPUTED_VALUE"""),0.564885496183206)</f>
        <v>0.5648854962</v>
      </c>
      <c r="L165" s="8">
        <f>IFERROR(__xludf.DUMMYFUNCTION("""COMPUTED_VALUE"""),0.567307692307692)</f>
        <v>0.5673076923</v>
      </c>
      <c r="M165" s="8">
        <f>IFERROR(__xludf.DUMMYFUNCTION("""COMPUTED_VALUE"""),0.511627906976744)</f>
        <v>0.511627907</v>
      </c>
      <c r="N165" s="8">
        <f>IFERROR(__xludf.DUMMYFUNCTION("""COMPUTED_VALUE"""),0.415094339622641)</f>
        <v>0.4150943396</v>
      </c>
      <c r="O165" s="8">
        <f>IFERROR(__xludf.DUMMYFUNCTION("""COMPUTED_VALUE"""),0.428571428571428)</f>
        <v>0.4285714286</v>
      </c>
      <c r="P165" s="8">
        <f>IFERROR(__xludf.DUMMYFUNCTION("""COMPUTED_VALUE"""),0.285714285714285)</f>
        <v>0.2857142857</v>
      </c>
      <c r="Q165" s="8">
        <f>IFERROR(__xludf.DUMMYFUNCTION("""COMPUTED_VALUE"""),0.0)</f>
        <v>0</v>
      </c>
      <c r="R165" s="8">
        <f>IFERROR(__xludf.DUMMYFUNCTION("""COMPUTED_VALUE"""),0.0)</f>
        <v>0</v>
      </c>
      <c r="S165" s="8">
        <f>IFERROR(__xludf.DUMMYFUNCTION("""COMPUTED_VALUE"""),0.0)</f>
        <v>0</v>
      </c>
      <c r="T165" s="8">
        <f>IFERROR(__xludf.DUMMYFUNCTION("""COMPUTED_VALUE"""),0.0)</f>
        <v>0</v>
      </c>
      <c r="U165" s="8">
        <f>IFERROR(__xludf.DUMMYFUNCTION("""COMPUTED_VALUE"""),0.0)</f>
        <v>0</v>
      </c>
      <c r="V165" s="8">
        <f>IFERROR(__xludf.DUMMYFUNCTION("""COMPUTED_VALUE"""),0.0)</f>
        <v>0</v>
      </c>
      <c r="W165" s="8">
        <f>IFERROR(__xludf.DUMMYFUNCTION("""COMPUTED_VALUE"""),0.0)</f>
        <v>0</v>
      </c>
      <c r="X165" s="8">
        <f>IFERROR(__xludf.DUMMYFUNCTION("""COMPUTED_VALUE"""),0.0)</f>
        <v>0</v>
      </c>
      <c r="Y165" s="8">
        <f>IFERROR(__xludf.DUMMYFUNCTION("""COMPUTED_VALUE"""),0.0)</f>
        <v>0</v>
      </c>
      <c r="Z165" s="8">
        <f>IFERROR(__xludf.DUMMYFUNCTION("""COMPUTED_VALUE"""),0.0)</f>
        <v>0</v>
      </c>
      <c r="AA165" s="8">
        <f>IFERROR(__xludf.DUMMYFUNCTION("""COMPUTED_VALUE"""),0.0)</f>
        <v>0</v>
      </c>
      <c r="AB165" s="8">
        <f>IFERROR(__xludf.DUMMYFUNCTION("""COMPUTED_VALUE"""),0.0)</f>
        <v>0</v>
      </c>
      <c r="AC165" s="8">
        <f>IFERROR(__xludf.DUMMYFUNCTION("""COMPUTED_VALUE"""),0.0)</f>
        <v>0</v>
      </c>
    </row>
    <row r="166" ht="15.75" customHeight="1">
      <c r="A166" s="6" t="str">
        <f>IFERROR(__xludf.DUMMYFUNCTION("""COMPUTED_VALUE"""),"96f6721dc499b730f42b02d86e640d682f4f665d")</f>
        <v>96f6721dc499b730f42b02d86e640d682f4f665d</v>
      </c>
      <c r="B166" s="6" t="str">
        <f>IFERROR(__xludf.DUMMYFUNCTION("""COMPUTED_VALUE"""),"Last Witch of Swendel")</f>
        <v>Last Witch of Swendel</v>
      </c>
      <c r="C166" s="6" t="str">
        <f>IFERROR(__xludf.DUMMYFUNCTION("""COMPUTED_VALUE"""),"Romantasy")</f>
        <v>Romantasy</v>
      </c>
      <c r="D166" s="11">
        <f>IFERROR(__xludf.DUMMYFUNCTION("""COMPUTED_VALUE"""),2242.0)</f>
        <v>2242</v>
      </c>
      <c r="E166" s="8">
        <f>IFERROR(__xludf.DUMMYFUNCTION("""COMPUTED_VALUE"""),0.966547725245316)</f>
        <v>0.9665477252</v>
      </c>
      <c r="F166" s="8">
        <f>IFERROR(__xludf.DUMMYFUNCTION("""COMPUTED_VALUE"""),0.564480142793395)</f>
        <v>0.5644801428</v>
      </c>
      <c r="G166" s="8">
        <f>IFERROR(__xludf.DUMMYFUNCTION("""COMPUTED_VALUE"""),0.518072289156626)</f>
        <v>0.5180722892</v>
      </c>
      <c r="H166" s="8">
        <f>IFERROR(__xludf.DUMMYFUNCTION("""COMPUTED_VALUE"""),0.474553571428571)</f>
        <v>0.4745535714</v>
      </c>
      <c r="I166" s="8">
        <f>IFERROR(__xludf.DUMMYFUNCTION("""COMPUTED_VALUE"""),0.448214285714285)</f>
        <v>0.4482142857</v>
      </c>
      <c r="J166" s="8">
        <f>IFERROR(__xludf.DUMMYFUNCTION("""COMPUTED_VALUE"""),0.434122376060741)</f>
        <v>0.4341223761</v>
      </c>
      <c r="K166" s="8">
        <f>IFERROR(__xludf.DUMMYFUNCTION("""COMPUTED_VALUE"""),0.416703885663242)</f>
        <v>0.4167038857</v>
      </c>
      <c r="L166" s="8">
        <f>IFERROR(__xludf.DUMMYFUNCTION("""COMPUTED_VALUE"""),0.401071907101384)</f>
        <v>0.4010719071</v>
      </c>
      <c r="M166" s="8">
        <f>IFERROR(__xludf.DUMMYFUNCTION("""COMPUTED_VALUE"""),0.394372487717731)</f>
        <v>0.3943724877</v>
      </c>
      <c r="N166" s="8">
        <f>IFERROR(__xludf.DUMMYFUNCTION("""COMPUTED_VALUE"""),0.386678587393831)</f>
        <v>0.3866785874</v>
      </c>
      <c r="O166" s="8">
        <f>IFERROR(__xludf.DUMMYFUNCTION("""COMPUTED_VALUE"""),0.355575459023734)</f>
        <v>0.355575459</v>
      </c>
      <c r="P166" s="8">
        <f>IFERROR(__xludf.DUMMYFUNCTION("""COMPUTED_VALUE"""),0.281855020261143)</f>
        <v>0.2818550203</v>
      </c>
      <c r="Q166" s="8">
        <f>IFERROR(__xludf.DUMMYFUNCTION("""COMPUTED_VALUE"""),0.240791896869244)</f>
        <v>0.2407918969</v>
      </c>
      <c r="R166" s="8">
        <f>IFERROR(__xludf.DUMMYFUNCTION("""COMPUTED_VALUE"""),0.187889581478183)</f>
        <v>0.1878895815</v>
      </c>
      <c r="S166" s="8">
        <f>IFERROR(__xludf.DUMMYFUNCTION("""COMPUTED_VALUE"""),0.132127955493741)</f>
        <v>0.1321279555</v>
      </c>
      <c r="T166" s="8">
        <f>IFERROR(__xludf.DUMMYFUNCTION("""COMPUTED_VALUE"""),0.104258443465491)</f>
        <v>0.1042584435</v>
      </c>
      <c r="U166" s="8">
        <f>IFERROR(__xludf.DUMMYFUNCTION("""COMPUTED_VALUE"""),0.0844854070660522)</f>
        <v>0.08448540707</v>
      </c>
      <c r="V166" s="8">
        <f>IFERROR(__xludf.DUMMYFUNCTION("""COMPUTED_VALUE"""),0.0686695278969957)</f>
        <v>0.0686695279</v>
      </c>
      <c r="W166" s="8">
        <f>IFERROR(__xludf.DUMMYFUNCTION("""COMPUTED_VALUE"""),0.0789473684210526)</f>
        <v>0.07894736842</v>
      </c>
      <c r="X166" s="8">
        <f>IFERROR(__xludf.DUMMYFUNCTION("""COMPUTED_VALUE"""),0.0)</f>
        <v>0</v>
      </c>
      <c r="Y166" s="8">
        <f>IFERROR(__xludf.DUMMYFUNCTION("""COMPUTED_VALUE"""),0.0)</f>
        <v>0</v>
      </c>
      <c r="Z166" s="8">
        <f>IFERROR(__xludf.DUMMYFUNCTION("""COMPUTED_VALUE"""),0.0)</f>
        <v>0</v>
      </c>
      <c r="AA166" s="8">
        <f>IFERROR(__xludf.DUMMYFUNCTION("""COMPUTED_VALUE"""),0.0)</f>
        <v>0</v>
      </c>
      <c r="AB166" s="8">
        <f>IFERROR(__xludf.DUMMYFUNCTION("""COMPUTED_VALUE"""),0.0)</f>
        <v>0</v>
      </c>
      <c r="AC166" s="8">
        <f>IFERROR(__xludf.DUMMYFUNCTION("""COMPUTED_VALUE"""),0.0)</f>
        <v>0</v>
      </c>
    </row>
    <row r="167" ht="15.75" customHeight="1">
      <c r="A167" s="6" t="str">
        <f>IFERROR(__xludf.DUMMYFUNCTION("""COMPUTED_VALUE"""),"97bf3d3427830d8b1bc0c5929b0c0832cbf02a25")</f>
        <v>97bf3d3427830d8b1bc0c5929b0c0832cbf02a25</v>
      </c>
      <c r="B167" s="6" t="str">
        <f>IFERROR(__xludf.DUMMYFUNCTION("""COMPUTED_VALUE"""),"The Miraculous Physician")</f>
        <v>The Miraculous Physician</v>
      </c>
      <c r="C167" s="6" t="str">
        <f>IFERROR(__xludf.DUMMYFUNCTION("""COMPUTED_VALUE"""),"System and Superpower")</f>
        <v>System and Superpower</v>
      </c>
      <c r="D167" s="11">
        <f>IFERROR(__xludf.DUMMYFUNCTION("""COMPUTED_VALUE"""),179.0)</f>
        <v>179</v>
      </c>
      <c r="E167" s="8">
        <f>IFERROR(__xludf.DUMMYFUNCTION("""COMPUTED_VALUE"""),0.958823529411764)</f>
        <v>0.9588235294</v>
      </c>
      <c r="F167" s="8">
        <f>IFERROR(__xludf.DUMMYFUNCTION("""COMPUTED_VALUE"""),0.525316455696202)</f>
        <v>0.5253164557</v>
      </c>
      <c r="G167" s="8">
        <f>IFERROR(__xludf.DUMMYFUNCTION("""COMPUTED_VALUE"""),0.42)</f>
        <v>0.42</v>
      </c>
      <c r="H167" s="8">
        <f>IFERROR(__xludf.DUMMYFUNCTION("""COMPUTED_VALUE"""),0.363636363636363)</f>
        <v>0.3636363636</v>
      </c>
      <c r="I167" s="8">
        <f>IFERROR(__xludf.DUMMYFUNCTION("""COMPUTED_VALUE"""),0.345323741007194)</f>
        <v>0.345323741</v>
      </c>
      <c r="J167" s="8">
        <f>IFERROR(__xludf.DUMMYFUNCTION("""COMPUTED_VALUE"""),0.305343511450381)</f>
        <v>0.3053435115</v>
      </c>
      <c r="K167" s="8">
        <f>IFERROR(__xludf.DUMMYFUNCTION("""COMPUTED_VALUE"""),0.26771653543307)</f>
        <v>0.2677165354</v>
      </c>
      <c r="L167" s="8">
        <f>IFERROR(__xludf.DUMMYFUNCTION("""COMPUTED_VALUE"""),0.227272727272727)</f>
        <v>0.2272727273</v>
      </c>
      <c r="M167" s="8">
        <f>IFERROR(__xludf.DUMMYFUNCTION("""COMPUTED_VALUE"""),0.195652173913043)</f>
        <v>0.1956521739</v>
      </c>
      <c r="N167" s="8">
        <f>IFERROR(__xludf.DUMMYFUNCTION("""COMPUTED_VALUE"""),0.148148148148148)</f>
        <v>0.1481481481</v>
      </c>
      <c r="O167" s="8">
        <f>IFERROR(__xludf.DUMMYFUNCTION("""COMPUTED_VALUE"""),1.0)</f>
        <v>1</v>
      </c>
      <c r="P167" s="8">
        <f>IFERROR(__xludf.DUMMYFUNCTION("""COMPUTED_VALUE"""),1.0)</f>
        <v>1</v>
      </c>
      <c r="Q167" s="8">
        <f>IFERROR(__xludf.DUMMYFUNCTION("""COMPUTED_VALUE"""),0.0)</f>
        <v>0</v>
      </c>
      <c r="R167" s="8">
        <f>IFERROR(__xludf.DUMMYFUNCTION("""COMPUTED_VALUE"""),0.0)</f>
        <v>0</v>
      </c>
      <c r="S167" s="8">
        <f>IFERROR(__xludf.DUMMYFUNCTION("""COMPUTED_VALUE"""),0.0)</f>
        <v>0</v>
      </c>
      <c r="T167" s="8">
        <f>IFERROR(__xludf.DUMMYFUNCTION("""COMPUTED_VALUE"""),0.0)</f>
        <v>0</v>
      </c>
      <c r="U167" s="8">
        <f>IFERROR(__xludf.DUMMYFUNCTION("""COMPUTED_VALUE"""),0.0)</f>
        <v>0</v>
      </c>
      <c r="V167" s="8">
        <f>IFERROR(__xludf.DUMMYFUNCTION("""COMPUTED_VALUE"""),0.0)</f>
        <v>0</v>
      </c>
      <c r="W167" s="8">
        <f>IFERROR(__xludf.DUMMYFUNCTION("""COMPUTED_VALUE"""),0.0)</f>
        <v>0</v>
      </c>
      <c r="X167" s="8">
        <f>IFERROR(__xludf.DUMMYFUNCTION("""COMPUTED_VALUE"""),0.0)</f>
        <v>0</v>
      </c>
      <c r="Y167" s="8">
        <f>IFERROR(__xludf.DUMMYFUNCTION("""COMPUTED_VALUE"""),0.0)</f>
        <v>0</v>
      </c>
      <c r="Z167" s="8">
        <f>IFERROR(__xludf.DUMMYFUNCTION("""COMPUTED_VALUE"""),0.0)</f>
        <v>0</v>
      </c>
      <c r="AA167" s="8">
        <f>IFERROR(__xludf.DUMMYFUNCTION("""COMPUTED_VALUE"""),0.0)</f>
        <v>0</v>
      </c>
      <c r="AB167" s="8">
        <f>IFERROR(__xludf.DUMMYFUNCTION("""COMPUTED_VALUE"""),0.0)</f>
        <v>0</v>
      </c>
      <c r="AC167" s="8">
        <f>IFERROR(__xludf.DUMMYFUNCTION("""COMPUTED_VALUE"""),0.0)</f>
        <v>0</v>
      </c>
    </row>
    <row r="168" ht="15.75" customHeight="1">
      <c r="A168" s="6" t="str">
        <f>IFERROR(__xludf.DUMMYFUNCTION("""COMPUTED_VALUE"""),"97d2593a35303e42da5da630e9d8848fa086fc93")</f>
        <v>97d2593a35303e42da5da630e9d8848fa086fc93</v>
      </c>
      <c r="B168" s="6" t="str">
        <f>IFERROR(__xludf.DUMMYFUNCTION("""COMPUTED_VALUE"""),"Spying on My Rebel Alpha")</f>
        <v>Spying on My Rebel Alpha</v>
      </c>
      <c r="C168" s="6" t="str">
        <f>IFERROR(__xludf.DUMMYFUNCTION("""COMPUTED_VALUE"""),"Romantasy")</f>
        <v>Romantasy</v>
      </c>
      <c r="D168" s="11">
        <f>IFERROR(__xludf.DUMMYFUNCTION("""COMPUTED_VALUE"""),1361.0)</f>
        <v>1361</v>
      </c>
      <c r="E168" s="8">
        <f>IFERROR(__xludf.DUMMYFUNCTION("""COMPUTED_VALUE"""),0.972814107274063)</f>
        <v>0.9728141073</v>
      </c>
      <c r="F168" s="8">
        <f>IFERROR(__xludf.DUMMYFUNCTION("""COMPUTED_VALUE"""),0.544452608376194)</f>
        <v>0.5444526084</v>
      </c>
      <c r="G168" s="8">
        <f>IFERROR(__xludf.DUMMYFUNCTION("""COMPUTED_VALUE"""),0.473181484202792)</f>
        <v>0.4731814842</v>
      </c>
      <c r="H168" s="8">
        <f>IFERROR(__xludf.DUMMYFUNCTION("""COMPUTED_VALUE"""),0.427205882352941)</f>
        <v>0.4272058824</v>
      </c>
      <c r="I168" s="8">
        <f>IFERROR(__xludf.DUMMYFUNCTION("""COMPUTED_VALUE"""),0.390441176470588)</f>
        <v>0.3904411765</v>
      </c>
      <c r="J168" s="8">
        <f>IFERROR(__xludf.DUMMYFUNCTION("""COMPUTED_VALUE"""),0.364705882352941)</f>
        <v>0.3647058824</v>
      </c>
      <c r="K168" s="8">
        <f>IFERROR(__xludf.DUMMYFUNCTION("""COMPUTED_VALUE"""),0.353676470588235)</f>
        <v>0.3536764706</v>
      </c>
      <c r="L168" s="8">
        <f>IFERROR(__xludf.DUMMYFUNCTION("""COMPUTED_VALUE"""),0.340456890198968)</f>
        <v>0.3404568902</v>
      </c>
      <c r="M168" s="8">
        <f>IFERROR(__xludf.DUMMYFUNCTION("""COMPUTED_VALUE"""),0.328369322412509)</f>
        <v>0.3283693224</v>
      </c>
      <c r="N168" s="8">
        <f>IFERROR(__xludf.DUMMYFUNCTION("""COMPUTED_VALUE"""),0.325056433408577)</f>
        <v>0.3250564334</v>
      </c>
      <c r="O168" s="8">
        <f>IFERROR(__xludf.DUMMYFUNCTION("""COMPUTED_VALUE"""),0.284109149277688)</f>
        <v>0.2841091493</v>
      </c>
      <c r="P168" s="8">
        <f>IFERROR(__xludf.DUMMYFUNCTION("""COMPUTED_VALUE"""),0.227096774193548)</f>
        <v>0.2270967742</v>
      </c>
      <c r="Q168" s="8">
        <f>IFERROR(__xludf.DUMMYFUNCTION("""COMPUTED_VALUE"""),0.139240506329113)</f>
        <v>0.1392405063</v>
      </c>
      <c r="R168" s="8">
        <f>IFERROR(__xludf.DUMMYFUNCTION("""COMPUTED_VALUE"""),0.0)</f>
        <v>0</v>
      </c>
      <c r="S168" s="8">
        <f>IFERROR(__xludf.DUMMYFUNCTION("""COMPUTED_VALUE"""),0.0)</f>
        <v>0</v>
      </c>
      <c r="T168" s="8">
        <f>IFERROR(__xludf.DUMMYFUNCTION("""COMPUTED_VALUE"""),0.0)</f>
        <v>0</v>
      </c>
      <c r="U168" s="8">
        <f>IFERROR(__xludf.DUMMYFUNCTION("""COMPUTED_VALUE"""),0.0)</f>
        <v>0</v>
      </c>
      <c r="V168" s="8">
        <f>IFERROR(__xludf.DUMMYFUNCTION("""COMPUTED_VALUE"""),0.0)</f>
        <v>0</v>
      </c>
      <c r="W168" s="8">
        <f>IFERROR(__xludf.DUMMYFUNCTION("""COMPUTED_VALUE"""),0.0)</f>
        <v>0</v>
      </c>
      <c r="X168" s="8">
        <f>IFERROR(__xludf.DUMMYFUNCTION("""COMPUTED_VALUE"""),0.0)</f>
        <v>0</v>
      </c>
      <c r="Y168" s="8">
        <f>IFERROR(__xludf.DUMMYFUNCTION("""COMPUTED_VALUE"""),0.0)</f>
        <v>0</v>
      </c>
      <c r="Z168" s="8">
        <f>IFERROR(__xludf.DUMMYFUNCTION("""COMPUTED_VALUE"""),0.0)</f>
        <v>0</v>
      </c>
      <c r="AA168" s="8">
        <f>IFERROR(__xludf.DUMMYFUNCTION("""COMPUTED_VALUE"""),0.0)</f>
        <v>0</v>
      </c>
      <c r="AB168" s="8">
        <f>IFERROR(__xludf.DUMMYFUNCTION("""COMPUTED_VALUE"""),0.0)</f>
        <v>0</v>
      </c>
      <c r="AC168" s="8">
        <f>IFERROR(__xludf.DUMMYFUNCTION("""COMPUTED_VALUE"""),0.0)</f>
        <v>0</v>
      </c>
    </row>
    <row r="169" ht="15.75" customHeight="1">
      <c r="A169" s="6" t="str">
        <f>IFERROR(__xludf.DUMMYFUNCTION("""COMPUTED_VALUE"""),"9897c34ca7143cb319fd56943504e8f8be1550c2")</f>
        <v>9897c34ca7143cb319fd56943504e8f8be1550c2</v>
      </c>
      <c r="B169" s="6" t="str">
        <f>IFERROR(__xludf.DUMMYFUNCTION("""COMPUTED_VALUE"""),"Priced Royal Kiss")</f>
        <v>Priced Royal Kiss</v>
      </c>
      <c r="C169" s="6" t="str">
        <f>IFERROR(__xludf.DUMMYFUNCTION("""COMPUTED_VALUE"""),"Drama")</f>
        <v>Drama</v>
      </c>
      <c r="D169" s="11">
        <f>IFERROR(__xludf.DUMMYFUNCTION("""COMPUTED_VALUE"""),128.0)</f>
        <v>128</v>
      </c>
      <c r="E169" s="8">
        <f>IFERROR(__xludf.DUMMYFUNCTION("""COMPUTED_VALUE"""),0.951612903225806)</f>
        <v>0.9516129032</v>
      </c>
      <c r="F169" s="8">
        <f>IFERROR(__xludf.DUMMYFUNCTION("""COMPUTED_VALUE"""),0.56910569105691)</f>
        <v>0.5691056911</v>
      </c>
      <c r="G169" s="8">
        <f>IFERROR(__xludf.DUMMYFUNCTION("""COMPUTED_VALUE"""),0.52892561983471)</f>
        <v>0.5289256198</v>
      </c>
      <c r="H169" s="8">
        <f>IFERROR(__xludf.DUMMYFUNCTION("""COMPUTED_VALUE"""),0.504201680672268)</f>
        <v>0.5042016807</v>
      </c>
      <c r="I169" s="8">
        <f>IFERROR(__xludf.DUMMYFUNCTION("""COMPUTED_VALUE"""),0.482758620689655)</f>
        <v>0.4827586207</v>
      </c>
      <c r="J169" s="8">
        <f>IFERROR(__xludf.DUMMYFUNCTION("""COMPUTED_VALUE"""),0.414414414414414)</f>
        <v>0.4144144144</v>
      </c>
      <c r="K169" s="8">
        <f>IFERROR(__xludf.DUMMYFUNCTION("""COMPUTED_VALUE"""),0.453703703703703)</f>
        <v>0.4537037037</v>
      </c>
      <c r="L169" s="8">
        <f>IFERROR(__xludf.DUMMYFUNCTION("""COMPUTED_VALUE"""),0.451923076923076)</f>
        <v>0.4519230769</v>
      </c>
      <c r="M169" s="8">
        <f>IFERROR(__xludf.DUMMYFUNCTION("""COMPUTED_VALUE"""),0.461538461538461)</f>
        <v>0.4615384615</v>
      </c>
      <c r="N169" s="8">
        <f>IFERROR(__xludf.DUMMYFUNCTION("""COMPUTED_VALUE"""),0.463917525773195)</f>
        <v>0.4639175258</v>
      </c>
      <c r="O169" s="8">
        <f>IFERROR(__xludf.DUMMYFUNCTION("""COMPUTED_VALUE"""),0.426666666666666)</f>
        <v>0.4266666667</v>
      </c>
      <c r="P169" s="8">
        <f>IFERROR(__xludf.DUMMYFUNCTION("""COMPUTED_VALUE"""),0.338028169014084)</f>
        <v>0.338028169</v>
      </c>
      <c r="Q169" s="8">
        <f>IFERROR(__xludf.DUMMYFUNCTION("""COMPUTED_VALUE"""),0.205882352941176)</f>
        <v>0.2058823529</v>
      </c>
      <c r="R169" s="8">
        <f>IFERROR(__xludf.DUMMYFUNCTION("""COMPUTED_VALUE"""),0.21311475409836)</f>
        <v>0.2131147541</v>
      </c>
      <c r="S169" s="8">
        <f>IFERROR(__xludf.DUMMYFUNCTION("""COMPUTED_VALUE"""),0.166666666666666)</f>
        <v>0.1666666667</v>
      </c>
      <c r="T169" s="8">
        <f>IFERROR(__xludf.DUMMYFUNCTION("""COMPUTED_VALUE"""),0.130434782608695)</f>
        <v>0.1304347826</v>
      </c>
      <c r="U169" s="8">
        <f>IFERROR(__xludf.DUMMYFUNCTION("""COMPUTED_VALUE"""),0.025)</f>
        <v>0.025</v>
      </c>
      <c r="V169" s="8">
        <f>IFERROR(__xludf.DUMMYFUNCTION("""COMPUTED_VALUE"""),0.0)</f>
        <v>0</v>
      </c>
      <c r="W169" s="8">
        <f>IFERROR(__xludf.DUMMYFUNCTION("""COMPUTED_VALUE"""),0.0)</f>
        <v>0</v>
      </c>
      <c r="X169" s="8">
        <f>IFERROR(__xludf.DUMMYFUNCTION("""COMPUTED_VALUE"""),0.0)</f>
        <v>0</v>
      </c>
      <c r="Y169" s="8">
        <f>IFERROR(__xludf.DUMMYFUNCTION("""COMPUTED_VALUE"""),0.0)</f>
        <v>0</v>
      </c>
      <c r="Z169" s="8">
        <f>IFERROR(__xludf.DUMMYFUNCTION("""COMPUTED_VALUE"""),0.0)</f>
        <v>0</v>
      </c>
      <c r="AA169" s="8">
        <f>IFERROR(__xludf.DUMMYFUNCTION("""COMPUTED_VALUE"""),0.0)</f>
        <v>0</v>
      </c>
      <c r="AB169" s="8">
        <f>IFERROR(__xludf.DUMMYFUNCTION("""COMPUTED_VALUE"""),0.0)</f>
        <v>0</v>
      </c>
      <c r="AC169" s="8">
        <f>IFERROR(__xludf.DUMMYFUNCTION("""COMPUTED_VALUE"""),0.0)</f>
        <v>0</v>
      </c>
    </row>
    <row r="170" ht="15.75" customHeight="1">
      <c r="A170" s="6" t="str">
        <f>IFERROR(__xludf.DUMMYFUNCTION("""COMPUTED_VALUE"""),"9b25cb8fec3919f6398cf69f6cec44382a44749e")</f>
        <v>9b25cb8fec3919f6398cf69f6cec44382a44749e</v>
      </c>
      <c r="B170" s="6" t="str">
        <f>IFERROR(__xludf.DUMMYFUNCTION("""COMPUTED_VALUE"""),"The Immortal's Mark")</f>
        <v>The Immortal's Mark</v>
      </c>
      <c r="C170" s="6" t="str">
        <f>IFERROR(__xludf.DUMMYFUNCTION("""COMPUTED_VALUE"""),"Romantasy")</f>
        <v>Romantasy</v>
      </c>
      <c r="D170" s="11">
        <f>IFERROR(__xludf.DUMMYFUNCTION("""COMPUTED_VALUE"""),1226.0)</f>
        <v>1226</v>
      </c>
      <c r="E170" s="8">
        <f>IFERROR(__xludf.DUMMYFUNCTION("""COMPUTED_VALUE"""),0.972839506172839)</f>
        <v>0.9728395062</v>
      </c>
      <c r="F170" s="8">
        <f>IFERROR(__xludf.DUMMYFUNCTION("""COMPUTED_VALUE"""),0.605132450331125)</f>
        <v>0.6051324503</v>
      </c>
      <c r="G170" s="8">
        <f>IFERROR(__xludf.DUMMYFUNCTION("""COMPUTED_VALUE"""),0.513715710723192)</f>
        <v>0.5137157107</v>
      </c>
      <c r="H170" s="8">
        <f>IFERROR(__xludf.DUMMYFUNCTION("""COMPUTED_VALUE"""),0.435875943000838)</f>
        <v>0.435875943</v>
      </c>
      <c r="I170" s="8">
        <f>IFERROR(__xludf.DUMMYFUNCTION("""COMPUTED_VALUE"""),0.393097643097643)</f>
        <v>0.3930976431</v>
      </c>
      <c r="J170" s="8">
        <f>IFERROR(__xludf.DUMMYFUNCTION("""COMPUTED_VALUE"""),0.364406779661016)</f>
        <v>0.3644067797</v>
      </c>
      <c r="K170" s="8">
        <f>IFERROR(__xludf.DUMMYFUNCTION("""COMPUTED_VALUE"""),0.333901192504258)</f>
        <v>0.3339011925</v>
      </c>
      <c r="L170" s="8">
        <f>IFERROR(__xludf.DUMMYFUNCTION("""COMPUTED_VALUE"""),0.312392426850258)</f>
        <v>0.3123924269</v>
      </c>
      <c r="M170" s="8">
        <f>IFERROR(__xludf.DUMMYFUNCTION("""COMPUTED_VALUE"""),0.306563039723661)</f>
        <v>0.3065630397</v>
      </c>
      <c r="N170" s="8">
        <f>IFERROR(__xludf.DUMMYFUNCTION("""COMPUTED_VALUE"""),0.289703315881326)</f>
        <v>0.2897033159</v>
      </c>
      <c r="O170" s="8">
        <f>IFERROR(__xludf.DUMMYFUNCTION("""COMPUTED_VALUE"""),0.249097472924187)</f>
        <v>0.2490974729</v>
      </c>
      <c r="P170" s="8">
        <f>IFERROR(__xludf.DUMMYFUNCTION("""COMPUTED_VALUE"""),0.193887297039159)</f>
        <v>0.193887297</v>
      </c>
      <c r="Q170" s="8">
        <f>IFERROR(__xludf.DUMMYFUNCTION("""COMPUTED_VALUE"""),0.133037694013303)</f>
        <v>0.133037694</v>
      </c>
      <c r="R170" s="8">
        <f>IFERROR(__xludf.DUMMYFUNCTION("""COMPUTED_VALUE"""),0.112079701120797)</f>
        <v>0.1120797011</v>
      </c>
      <c r="S170" s="8">
        <f>IFERROR(__xludf.DUMMYFUNCTION("""COMPUTED_VALUE"""),0.0718232044198895)</f>
        <v>0.07182320442</v>
      </c>
      <c r="T170" s="8">
        <f>IFERROR(__xludf.DUMMYFUNCTION("""COMPUTED_VALUE"""),0.0703125)</f>
        <v>0.0703125</v>
      </c>
      <c r="U170" s="8">
        <f>IFERROR(__xludf.DUMMYFUNCTION("""COMPUTED_VALUE"""),0.0869565217391304)</f>
        <v>0.08695652174</v>
      </c>
      <c r="V170" s="8">
        <f>IFERROR(__xludf.DUMMYFUNCTION("""COMPUTED_VALUE"""),0.0)</f>
        <v>0</v>
      </c>
      <c r="W170" s="8">
        <f>IFERROR(__xludf.DUMMYFUNCTION("""COMPUTED_VALUE"""),0.0)</f>
        <v>0</v>
      </c>
      <c r="X170" s="8">
        <f>IFERROR(__xludf.DUMMYFUNCTION("""COMPUTED_VALUE"""),0.0)</f>
        <v>0</v>
      </c>
      <c r="Y170" s="8">
        <f>IFERROR(__xludf.DUMMYFUNCTION("""COMPUTED_VALUE"""),0.0)</f>
        <v>0</v>
      </c>
      <c r="Z170" s="8">
        <f>IFERROR(__xludf.DUMMYFUNCTION("""COMPUTED_VALUE"""),0.0)</f>
        <v>0</v>
      </c>
      <c r="AA170" s="8">
        <f>IFERROR(__xludf.DUMMYFUNCTION("""COMPUTED_VALUE"""),0.0)</f>
        <v>0</v>
      </c>
      <c r="AB170" s="8">
        <f>IFERROR(__xludf.DUMMYFUNCTION("""COMPUTED_VALUE"""),0.0)</f>
        <v>0</v>
      </c>
      <c r="AC170" s="8">
        <f>IFERROR(__xludf.DUMMYFUNCTION("""COMPUTED_VALUE"""),0.0)</f>
        <v>0</v>
      </c>
    </row>
    <row r="171" ht="15.75" customHeight="1">
      <c r="A171" s="6" t="str">
        <f>IFERROR(__xludf.DUMMYFUNCTION("""COMPUTED_VALUE"""),"9c5a320e8591b0aad996347bc17f53479097ac00")</f>
        <v>9c5a320e8591b0aad996347bc17f53479097ac00</v>
      </c>
      <c r="B171" s="6" t="str">
        <f>IFERROR(__xludf.DUMMYFUNCTION("""COMPUTED_VALUE"""),"Dad's a Billionaire")</f>
        <v>Dad's a Billionaire</v>
      </c>
      <c r="C171" s="6" t="str">
        <f>IFERROR(__xludf.DUMMYFUNCTION("""COMPUTED_VALUE"""),"Romance")</f>
        <v>Romance</v>
      </c>
      <c r="D171" s="11">
        <f>IFERROR(__xludf.DUMMYFUNCTION("""COMPUTED_VALUE"""),132.0)</f>
        <v>132</v>
      </c>
      <c r="E171" s="8">
        <f>IFERROR(__xludf.DUMMYFUNCTION("""COMPUTED_VALUE"""),0.983606557377049)</f>
        <v>0.9836065574</v>
      </c>
      <c r="F171" s="8">
        <f>IFERROR(__xludf.DUMMYFUNCTION("""COMPUTED_VALUE"""),0.581395348837209)</f>
        <v>0.5813953488</v>
      </c>
      <c r="G171" s="8">
        <f>IFERROR(__xludf.DUMMYFUNCTION("""COMPUTED_VALUE"""),0.486111111111111)</f>
        <v>0.4861111111</v>
      </c>
      <c r="H171" s="8">
        <f>IFERROR(__xludf.DUMMYFUNCTION("""COMPUTED_VALUE"""),0.5)</f>
        <v>0.5</v>
      </c>
      <c r="I171" s="8">
        <f>IFERROR(__xludf.DUMMYFUNCTION("""COMPUTED_VALUE"""),0.462962962962962)</f>
        <v>0.462962963</v>
      </c>
      <c r="J171" s="8">
        <f>IFERROR(__xludf.DUMMYFUNCTION("""COMPUTED_VALUE"""),0.409090909090909)</f>
        <v>0.4090909091</v>
      </c>
      <c r="K171" s="8">
        <f>IFERROR(__xludf.DUMMYFUNCTION("""COMPUTED_VALUE"""),0.317073170731707)</f>
        <v>0.3170731707</v>
      </c>
      <c r="L171" s="8">
        <f>IFERROR(__xludf.DUMMYFUNCTION("""COMPUTED_VALUE"""),0.439024390243902)</f>
        <v>0.4390243902</v>
      </c>
      <c r="M171" s="8">
        <f>IFERROR(__xludf.DUMMYFUNCTION("""COMPUTED_VALUE"""),0.390243902439024)</f>
        <v>0.3902439024</v>
      </c>
      <c r="N171" s="8">
        <f>IFERROR(__xludf.DUMMYFUNCTION("""COMPUTED_VALUE"""),0.341463414634146)</f>
        <v>0.3414634146</v>
      </c>
      <c r="O171" s="8">
        <f>IFERROR(__xludf.DUMMYFUNCTION("""COMPUTED_VALUE"""),0.35)</f>
        <v>0.35</v>
      </c>
      <c r="P171" s="8">
        <f>IFERROR(__xludf.DUMMYFUNCTION("""COMPUTED_VALUE"""),0.21875)</f>
        <v>0.21875</v>
      </c>
      <c r="Q171" s="8">
        <f>IFERROR(__xludf.DUMMYFUNCTION("""COMPUTED_VALUE"""),0.0)</f>
        <v>0</v>
      </c>
      <c r="R171" s="8">
        <f>IFERROR(__xludf.DUMMYFUNCTION("""COMPUTED_VALUE"""),0.0)</f>
        <v>0</v>
      </c>
      <c r="S171" s="8">
        <f>IFERROR(__xludf.DUMMYFUNCTION("""COMPUTED_VALUE"""),0.0)</f>
        <v>0</v>
      </c>
      <c r="T171" s="8">
        <f>IFERROR(__xludf.DUMMYFUNCTION("""COMPUTED_VALUE"""),0.0)</f>
        <v>0</v>
      </c>
      <c r="U171" s="8">
        <f>IFERROR(__xludf.DUMMYFUNCTION("""COMPUTED_VALUE"""),0.0)</f>
        <v>0</v>
      </c>
      <c r="V171" s="8">
        <f>IFERROR(__xludf.DUMMYFUNCTION("""COMPUTED_VALUE"""),0.0)</f>
        <v>0</v>
      </c>
      <c r="W171" s="8">
        <f>IFERROR(__xludf.DUMMYFUNCTION("""COMPUTED_VALUE"""),0.0)</f>
        <v>0</v>
      </c>
      <c r="X171" s="8">
        <f>IFERROR(__xludf.DUMMYFUNCTION("""COMPUTED_VALUE"""),0.0)</f>
        <v>0</v>
      </c>
      <c r="Y171" s="8">
        <f>IFERROR(__xludf.DUMMYFUNCTION("""COMPUTED_VALUE"""),0.0)</f>
        <v>0</v>
      </c>
      <c r="Z171" s="8">
        <f>IFERROR(__xludf.DUMMYFUNCTION("""COMPUTED_VALUE"""),0.0)</f>
        <v>0</v>
      </c>
      <c r="AA171" s="8">
        <f>IFERROR(__xludf.DUMMYFUNCTION("""COMPUTED_VALUE"""),0.0)</f>
        <v>0</v>
      </c>
      <c r="AB171" s="8">
        <f>IFERROR(__xludf.DUMMYFUNCTION("""COMPUTED_VALUE"""),0.0)</f>
        <v>0</v>
      </c>
      <c r="AC171" s="8">
        <f>IFERROR(__xludf.DUMMYFUNCTION("""COMPUTED_VALUE"""),0.0)</f>
        <v>0</v>
      </c>
    </row>
    <row r="172" ht="15.75" customHeight="1">
      <c r="A172" s="6" t="str">
        <f>IFERROR(__xludf.DUMMYFUNCTION("""COMPUTED_VALUE"""),"9d3f3024e967ac2c104ada98aa10c481cd0f9e38")</f>
        <v>9d3f3024e967ac2c104ada98aa10c481cd0f9e38</v>
      </c>
      <c r="B172" s="6" t="str">
        <f>IFERROR(__xludf.DUMMYFUNCTION("""COMPUTED_VALUE"""),"The Wrong Mrs. Carter")</f>
        <v>The Wrong Mrs. Carter</v>
      </c>
      <c r="C172" s="6" t="str">
        <f>IFERROR(__xludf.DUMMYFUNCTION("""COMPUTED_VALUE"""),"Romance")</f>
        <v>Romance</v>
      </c>
      <c r="D172" s="11">
        <f>IFERROR(__xludf.DUMMYFUNCTION("""COMPUTED_VALUE"""),164.0)</f>
        <v>164</v>
      </c>
      <c r="E172" s="8">
        <f>IFERROR(__xludf.DUMMYFUNCTION("""COMPUTED_VALUE"""),0.941605839416058)</f>
        <v>0.9416058394</v>
      </c>
      <c r="F172" s="8">
        <f>IFERROR(__xludf.DUMMYFUNCTION("""COMPUTED_VALUE"""),0.7)</f>
        <v>0.7</v>
      </c>
      <c r="G172" s="8">
        <f>IFERROR(__xludf.DUMMYFUNCTION("""COMPUTED_VALUE"""),0.652173913043478)</f>
        <v>0.652173913</v>
      </c>
      <c r="H172" s="8">
        <f>IFERROR(__xludf.DUMMYFUNCTION("""COMPUTED_VALUE"""),0.608695652173913)</f>
        <v>0.6086956522</v>
      </c>
      <c r="I172" s="8">
        <f>IFERROR(__xludf.DUMMYFUNCTION("""COMPUTED_VALUE"""),0.521739130434782)</f>
        <v>0.5217391304</v>
      </c>
      <c r="J172" s="8">
        <f>IFERROR(__xludf.DUMMYFUNCTION("""COMPUTED_VALUE"""),0.5)</f>
        <v>0.5</v>
      </c>
      <c r="K172" s="8">
        <f>IFERROR(__xludf.DUMMYFUNCTION("""COMPUTED_VALUE"""),0.456521739130434)</f>
        <v>0.4565217391</v>
      </c>
      <c r="L172" s="8">
        <f>IFERROR(__xludf.DUMMYFUNCTION("""COMPUTED_VALUE"""),0.391304347826087)</f>
        <v>0.3913043478</v>
      </c>
      <c r="M172" s="8">
        <f>IFERROR(__xludf.DUMMYFUNCTION("""COMPUTED_VALUE"""),0.372093023255813)</f>
        <v>0.3720930233</v>
      </c>
      <c r="N172" s="8">
        <f>IFERROR(__xludf.DUMMYFUNCTION("""COMPUTED_VALUE"""),0.441860465116279)</f>
        <v>0.4418604651</v>
      </c>
      <c r="O172" s="8">
        <f>IFERROR(__xludf.DUMMYFUNCTION("""COMPUTED_VALUE"""),0.19047619047619)</f>
        <v>0.1904761905</v>
      </c>
      <c r="P172" s="8">
        <f>IFERROR(__xludf.DUMMYFUNCTION("""COMPUTED_VALUE"""),0.121951219512195)</f>
        <v>0.1219512195</v>
      </c>
      <c r="Q172" s="8">
        <f>IFERROR(__xludf.DUMMYFUNCTION("""COMPUTED_VALUE"""),0.027027027027027)</f>
        <v>0.02702702703</v>
      </c>
      <c r="R172" s="8">
        <f>IFERROR(__xludf.DUMMYFUNCTION("""COMPUTED_VALUE"""),0.0)</f>
        <v>0</v>
      </c>
      <c r="S172" s="8">
        <f>IFERROR(__xludf.DUMMYFUNCTION("""COMPUTED_VALUE"""),0.0)</f>
        <v>0</v>
      </c>
      <c r="T172" s="8">
        <f>IFERROR(__xludf.DUMMYFUNCTION("""COMPUTED_VALUE"""),0.0)</f>
        <v>0</v>
      </c>
      <c r="U172" s="8">
        <f>IFERROR(__xludf.DUMMYFUNCTION("""COMPUTED_VALUE"""),0.0)</f>
        <v>0</v>
      </c>
      <c r="V172" s="8">
        <f>IFERROR(__xludf.DUMMYFUNCTION("""COMPUTED_VALUE"""),0.0)</f>
        <v>0</v>
      </c>
      <c r="W172" s="8">
        <f>IFERROR(__xludf.DUMMYFUNCTION("""COMPUTED_VALUE"""),0.0)</f>
        <v>0</v>
      </c>
      <c r="X172" s="8">
        <f>IFERROR(__xludf.DUMMYFUNCTION("""COMPUTED_VALUE"""),0.0)</f>
        <v>0</v>
      </c>
      <c r="Y172" s="8">
        <f>IFERROR(__xludf.DUMMYFUNCTION("""COMPUTED_VALUE"""),0.0)</f>
        <v>0</v>
      </c>
      <c r="Z172" s="8">
        <f>IFERROR(__xludf.DUMMYFUNCTION("""COMPUTED_VALUE"""),0.0)</f>
        <v>0</v>
      </c>
      <c r="AA172" s="8">
        <f>IFERROR(__xludf.DUMMYFUNCTION("""COMPUTED_VALUE"""),0.0)</f>
        <v>0</v>
      </c>
      <c r="AB172" s="8">
        <f>IFERROR(__xludf.DUMMYFUNCTION("""COMPUTED_VALUE"""),0.0)</f>
        <v>0</v>
      </c>
      <c r="AC172" s="8">
        <f>IFERROR(__xludf.DUMMYFUNCTION("""COMPUTED_VALUE"""),0.0)</f>
        <v>0</v>
      </c>
    </row>
    <row r="173" ht="15.75" customHeight="1">
      <c r="A173" s="6" t="str">
        <f>IFERROR(__xludf.DUMMYFUNCTION("""COMPUTED_VALUE"""),"9eb4932b6e7663416bee5ea2d2dd1b2ced5727be")</f>
        <v>9eb4932b6e7663416bee5ea2d2dd1b2ced5727be</v>
      </c>
      <c r="B173" s="6" t="str">
        <f>IFERROR(__xludf.DUMMYFUNCTION("""COMPUTED_VALUE"""),"Rise of the God Mage")</f>
        <v>Rise of the God Mage</v>
      </c>
      <c r="C173" s="6" t="str">
        <f>IFERROR(__xludf.DUMMYFUNCTION("""COMPUTED_VALUE"""),"Fantasy")</f>
        <v>Fantasy</v>
      </c>
      <c r="D173" s="11">
        <f>IFERROR(__xludf.DUMMYFUNCTION("""COMPUTED_VALUE"""),580.0)</f>
        <v>580</v>
      </c>
      <c r="E173" s="8">
        <f>IFERROR(__xludf.DUMMYFUNCTION("""COMPUTED_VALUE"""),0.987910189982728)</f>
        <v>0.98791019</v>
      </c>
      <c r="F173" s="8">
        <f>IFERROR(__xludf.DUMMYFUNCTION("""COMPUTED_VALUE"""),0.729166666666666)</f>
        <v>0.7291666667</v>
      </c>
      <c r="G173" s="8">
        <f>IFERROR(__xludf.DUMMYFUNCTION("""COMPUTED_VALUE"""),0.657391304347826)</f>
        <v>0.6573913043</v>
      </c>
      <c r="H173" s="8">
        <f>IFERROR(__xludf.DUMMYFUNCTION("""COMPUTED_VALUE"""),0.628721541155866)</f>
        <v>0.6287215412</v>
      </c>
      <c r="I173" s="8">
        <f>IFERROR(__xludf.DUMMYFUNCTION("""COMPUTED_VALUE"""),0.586994727592267)</f>
        <v>0.5869947276</v>
      </c>
      <c r="J173" s="8">
        <f>IFERROR(__xludf.DUMMYFUNCTION("""COMPUTED_VALUE"""),0.545780969479353)</f>
        <v>0.5457809695</v>
      </c>
      <c r="K173" s="8">
        <f>IFERROR(__xludf.DUMMYFUNCTION("""COMPUTED_VALUE"""),0.541825095057034)</f>
        <v>0.5418250951</v>
      </c>
      <c r="L173" s="8">
        <f>IFERROR(__xludf.DUMMYFUNCTION("""COMPUTED_VALUE"""),0.519512195121951)</f>
        <v>0.5195121951</v>
      </c>
      <c r="M173" s="8">
        <f>IFERROR(__xludf.DUMMYFUNCTION("""COMPUTED_VALUE"""),0.511278195488721)</f>
        <v>0.5112781955</v>
      </c>
      <c r="N173" s="8">
        <f>IFERROR(__xludf.DUMMYFUNCTION("""COMPUTED_VALUE"""),0.457943925233644)</f>
        <v>0.4579439252</v>
      </c>
      <c r="O173" s="8">
        <f>IFERROR(__xludf.DUMMYFUNCTION("""COMPUTED_VALUE"""),0.53125)</f>
        <v>0.53125</v>
      </c>
      <c r="P173" s="8">
        <f>IFERROR(__xludf.DUMMYFUNCTION("""COMPUTED_VALUE"""),0.5)</f>
        <v>0.5</v>
      </c>
      <c r="Q173" s="8">
        <f>IFERROR(__xludf.DUMMYFUNCTION("""COMPUTED_VALUE"""),0.0)</f>
        <v>0</v>
      </c>
      <c r="R173" s="8">
        <f>IFERROR(__xludf.DUMMYFUNCTION("""COMPUTED_VALUE"""),0.0)</f>
        <v>0</v>
      </c>
      <c r="S173" s="8">
        <f>IFERROR(__xludf.DUMMYFUNCTION("""COMPUTED_VALUE"""),0.0)</f>
        <v>0</v>
      </c>
      <c r="T173" s="8">
        <f>IFERROR(__xludf.DUMMYFUNCTION("""COMPUTED_VALUE"""),0.0)</f>
        <v>0</v>
      </c>
      <c r="U173" s="8">
        <f>IFERROR(__xludf.DUMMYFUNCTION("""COMPUTED_VALUE"""),0.0)</f>
        <v>0</v>
      </c>
      <c r="V173" s="8">
        <f>IFERROR(__xludf.DUMMYFUNCTION("""COMPUTED_VALUE"""),0.0)</f>
        <v>0</v>
      </c>
      <c r="W173" s="8">
        <f>IFERROR(__xludf.DUMMYFUNCTION("""COMPUTED_VALUE"""),0.0)</f>
        <v>0</v>
      </c>
      <c r="X173" s="8">
        <f>IFERROR(__xludf.DUMMYFUNCTION("""COMPUTED_VALUE"""),0.0)</f>
        <v>0</v>
      </c>
      <c r="Y173" s="8">
        <f>IFERROR(__xludf.DUMMYFUNCTION("""COMPUTED_VALUE"""),0.0)</f>
        <v>0</v>
      </c>
      <c r="Z173" s="8">
        <f>IFERROR(__xludf.DUMMYFUNCTION("""COMPUTED_VALUE"""),0.0)</f>
        <v>0</v>
      </c>
      <c r="AA173" s="8">
        <f>IFERROR(__xludf.DUMMYFUNCTION("""COMPUTED_VALUE"""),0.0)</f>
        <v>0</v>
      </c>
      <c r="AB173" s="8">
        <f>IFERROR(__xludf.DUMMYFUNCTION("""COMPUTED_VALUE"""),0.0)</f>
        <v>0</v>
      </c>
      <c r="AC173" s="8">
        <f>IFERROR(__xludf.DUMMYFUNCTION("""COMPUTED_VALUE"""),0.0)</f>
        <v>0</v>
      </c>
    </row>
    <row r="174" ht="15.75" customHeight="1">
      <c r="A174" s="6" t="str">
        <f>IFERROR(__xludf.DUMMYFUNCTION("""COMPUTED_VALUE"""),"9f288c1b7bcd6e6181338579ca44a178a5b21573")</f>
        <v>9f288c1b7bcd6e6181338579ca44a178a5b21573</v>
      </c>
      <c r="B174" s="6" t="str">
        <f>IFERROR(__xludf.DUMMYFUNCTION("""COMPUTED_VALUE"""),"Vows of Blood &amp; Diamonds")</f>
        <v>Vows of Blood &amp; Diamonds</v>
      </c>
      <c r="C174" s="6" t="str">
        <f>IFERROR(__xludf.DUMMYFUNCTION("""COMPUTED_VALUE"""),"Romance")</f>
        <v>Romance</v>
      </c>
      <c r="D174" s="11">
        <f>IFERROR(__xludf.DUMMYFUNCTION("""COMPUTED_VALUE"""),92.0)</f>
        <v>92</v>
      </c>
      <c r="E174" s="8">
        <f>IFERROR(__xludf.DUMMYFUNCTION("""COMPUTED_VALUE"""),0.988636363636363)</f>
        <v>0.9886363636</v>
      </c>
      <c r="F174" s="8">
        <f>IFERROR(__xludf.DUMMYFUNCTION("""COMPUTED_VALUE"""),0.364705882352941)</f>
        <v>0.3647058824</v>
      </c>
      <c r="G174" s="8">
        <f>IFERROR(__xludf.DUMMYFUNCTION("""COMPUTED_VALUE"""),0.317073170731707)</f>
        <v>0.3170731707</v>
      </c>
      <c r="H174" s="8">
        <f>IFERROR(__xludf.DUMMYFUNCTION("""COMPUTED_VALUE"""),0.315068493150684)</f>
        <v>0.3150684932</v>
      </c>
      <c r="I174" s="8">
        <f>IFERROR(__xludf.DUMMYFUNCTION("""COMPUTED_VALUE"""),0.279411764705882)</f>
        <v>0.2794117647</v>
      </c>
      <c r="J174" s="8">
        <f>IFERROR(__xludf.DUMMYFUNCTION("""COMPUTED_VALUE"""),0.21311475409836)</f>
        <v>0.2131147541</v>
      </c>
      <c r="K174" s="8">
        <f>IFERROR(__xludf.DUMMYFUNCTION("""COMPUTED_VALUE"""),0.218181818181818)</f>
        <v>0.2181818182</v>
      </c>
      <c r="L174" s="8">
        <f>IFERROR(__xludf.DUMMYFUNCTION("""COMPUTED_VALUE"""),0.170212765957446)</f>
        <v>0.170212766</v>
      </c>
      <c r="M174" s="8">
        <f>IFERROR(__xludf.DUMMYFUNCTION("""COMPUTED_VALUE"""),0.152173913043478)</f>
        <v>0.152173913</v>
      </c>
      <c r="N174" s="8">
        <f>IFERROR(__xludf.DUMMYFUNCTION("""COMPUTED_VALUE"""),0.105263157894736)</f>
        <v>0.1052631579</v>
      </c>
      <c r="O174" s="8">
        <f>IFERROR(__xludf.DUMMYFUNCTION("""COMPUTED_VALUE"""),0.0909090909090909)</f>
        <v>0.09090909091</v>
      </c>
      <c r="P174" s="8">
        <f>IFERROR(__xludf.DUMMYFUNCTION("""COMPUTED_VALUE"""),0.0909090909090909)</f>
        <v>0.09090909091</v>
      </c>
      <c r="Q174" s="8">
        <f>IFERROR(__xludf.DUMMYFUNCTION("""COMPUTED_VALUE"""),0.222222222222222)</f>
        <v>0.2222222222</v>
      </c>
      <c r="R174" s="8">
        <f>IFERROR(__xludf.DUMMYFUNCTION("""COMPUTED_VALUE"""),0.142857142857142)</f>
        <v>0.1428571429</v>
      </c>
      <c r="S174" s="8">
        <f>IFERROR(__xludf.DUMMYFUNCTION("""COMPUTED_VALUE"""),0.0)</f>
        <v>0</v>
      </c>
      <c r="T174" s="8">
        <f>IFERROR(__xludf.DUMMYFUNCTION("""COMPUTED_VALUE"""),0.0)</f>
        <v>0</v>
      </c>
      <c r="U174" s="8">
        <f>IFERROR(__xludf.DUMMYFUNCTION("""COMPUTED_VALUE"""),0.0)</f>
        <v>0</v>
      </c>
      <c r="V174" s="8">
        <f>IFERROR(__xludf.DUMMYFUNCTION("""COMPUTED_VALUE"""),0.0)</f>
        <v>0</v>
      </c>
      <c r="W174" s="8">
        <f>IFERROR(__xludf.DUMMYFUNCTION("""COMPUTED_VALUE"""),0.0)</f>
        <v>0</v>
      </c>
      <c r="X174" s="8">
        <f>IFERROR(__xludf.DUMMYFUNCTION("""COMPUTED_VALUE"""),0.0)</f>
        <v>0</v>
      </c>
      <c r="Y174" s="8">
        <f>IFERROR(__xludf.DUMMYFUNCTION("""COMPUTED_VALUE"""),0.0)</f>
        <v>0</v>
      </c>
      <c r="Z174" s="8">
        <f>IFERROR(__xludf.DUMMYFUNCTION("""COMPUTED_VALUE"""),0.0)</f>
        <v>0</v>
      </c>
      <c r="AA174" s="8">
        <f>IFERROR(__xludf.DUMMYFUNCTION("""COMPUTED_VALUE"""),0.0)</f>
        <v>0</v>
      </c>
      <c r="AB174" s="8">
        <f>IFERROR(__xludf.DUMMYFUNCTION("""COMPUTED_VALUE"""),0.0)</f>
        <v>0</v>
      </c>
      <c r="AC174" s="8">
        <f>IFERROR(__xludf.DUMMYFUNCTION("""COMPUTED_VALUE"""),0.0)</f>
        <v>0</v>
      </c>
    </row>
    <row r="175" ht="15.75" customHeight="1">
      <c r="A175" s="6" t="str">
        <f>IFERROR(__xludf.DUMMYFUNCTION("""COMPUTED_VALUE"""),"a028c06a528d6bc1425340cbedd71880abd4ad2b")</f>
        <v>a028c06a528d6bc1425340cbedd71880abd4ad2b</v>
      </c>
      <c r="B175" s="6" t="str">
        <f>IFERROR(__xludf.DUMMYFUNCTION("""COMPUTED_VALUE"""),"Rejected Luna's Secret")</f>
        <v>Rejected Luna's Secret</v>
      </c>
      <c r="C175" s="6" t="str">
        <f>IFERROR(__xludf.DUMMYFUNCTION("""COMPUTED_VALUE"""),"Romantasy")</f>
        <v>Romantasy</v>
      </c>
      <c r="D175" s="11">
        <f>IFERROR(__xludf.DUMMYFUNCTION("""COMPUTED_VALUE"""),346.0)</f>
        <v>346</v>
      </c>
      <c r="E175" s="8">
        <f>IFERROR(__xludf.DUMMYFUNCTION("""COMPUTED_VALUE"""),0.98501872659176)</f>
        <v>0.9850187266</v>
      </c>
      <c r="F175" s="8">
        <f>IFERROR(__xludf.DUMMYFUNCTION("""COMPUTED_VALUE"""),0.657407407407407)</f>
        <v>0.6574074074</v>
      </c>
      <c r="G175" s="8">
        <f>IFERROR(__xludf.DUMMYFUNCTION("""COMPUTED_VALUE"""),0.522727272727272)</f>
        <v>0.5227272727</v>
      </c>
      <c r="H175" s="8">
        <f>IFERROR(__xludf.DUMMYFUNCTION("""COMPUTED_VALUE"""),0.0)</f>
        <v>0</v>
      </c>
      <c r="I175" s="8">
        <f>IFERROR(__xludf.DUMMYFUNCTION("""COMPUTED_VALUE"""),0.0)</f>
        <v>0</v>
      </c>
      <c r="J175" s="8">
        <f>IFERROR(__xludf.DUMMYFUNCTION("""COMPUTED_VALUE"""),0.0)</f>
        <v>0</v>
      </c>
      <c r="K175" s="8">
        <f>IFERROR(__xludf.DUMMYFUNCTION("""COMPUTED_VALUE"""),0.0)</f>
        <v>0</v>
      </c>
      <c r="L175" s="8">
        <f>IFERROR(__xludf.DUMMYFUNCTION("""COMPUTED_VALUE"""),0.0)</f>
        <v>0</v>
      </c>
      <c r="M175" s="8">
        <f>IFERROR(__xludf.DUMMYFUNCTION("""COMPUTED_VALUE"""),0.0)</f>
        <v>0</v>
      </c>
      <c r="N175" s="8">
        <f>IFERROR(__xludf.DUMMYFUNCTION("""COMPUTED_VALUE"""),0.0)</f>
        <v>0</v>
      </c>
      <c r="O175" s="8">
        <f>IFERROR(__xludf.DUMMYFUNCTION("""COMPUTED_VALUE"""),0.0)</f>
        <v>0</v>
      </c>
      <c r="P175" s="8">
        <f>IFERROR(__xludf.DUMMYFUNCTION("""COMPUTED_VALUE"""),0.0)</f>
        <v>0</v>
      </c>
      <c r="Q175" s="8">
        <f>IFERROR(__xludf.DUMMYFUNCTION("""COMPUTED_VALUE"""),0.0)</f>
        <v>0</v>
      </c>
      <c r="R175" s="8">
        <f>IFERROR(__xludf.DUMMYFUNCTION("""COMPUTED_VALUE"""),0.0)</f>
        <v>0</v>
      </c>
      <c r="S175" s="8">
        <f>IFERROR(__xludf.DUMMYFUNCTION("""COMPUTED_VALUE"""),0.0)</f>
        <v>0</v>
      </c>
      <c r="T175" s="8">
        <f>IFERROR(__xludf.DUMMYFUNCTION("""COMPUTED_VALUE"""),0.0)</f>
        <v>0</v>
      </c>
      <c r="U175" s="8">
        <f>IFERROR(__xludf.DUMMYFUNCTION("""COMPUTED_VALUE"""),0.0)</f>
        <v>0</v>
      </c>
      <c r="V175" s="8">
        <f>IFERROR(__xludf.DUMMYFUNCTION("""COMPUTED_VALUE"""),0.0)</f>
        <v>0</v>
      </c>
      <c r="W175" s="8">
        <f>IFERROR(__xludf.DUMMYFUNCTION("""COMPUTED_VALUE"""),0.0)</f>
        <v>0</v>
      </c>
      <c r="X175" s="8">
        <f>IFERROR(__xludf.DUMMYFUNCTION("""COMPUTED_VALUE"""),0.0)</f>
        <v>0</v>
      </c>
      <c r="Y175" s="8">
        <f>IFERROR(__xludf.DUMMYFUNCTION("""COMPUTED_VALUE"""),0.0)</f>
        <v>0</v>
      </c>
      <c r="Z175" s="8">
        <f>IFERROR(__xludf.DUMMYFUNCTION("""COMPUTED_VALUE"""),0.0)</f>
        <v>0</v>
      </c>
      <c r="AA175" s="8">
        <f>IFERROR(__xludf.DUMMYFUNCTION("""COMPUTED_VALUE"""),0.0)</f>
        <v>0</v>
      </c>
      <c r="AB175" s="8">
        <f>IFERROR(__xludf.DUMMYFUNCTION("""COMPUTED_VALUE"""),0.0)</f>
        <v>0</v>
      </c>
      <c r="AC175" s="8">
        <f>IFERROR(__xludf.DUMMYFUNCTION("""COMPUTED_VALUE"""),0.0)</f>
        <v>0</v>
      </c>
    </row>
    <row r="176" ht="15.75" customHeight="1">
      <c r="A176" s="6" t="str">
        <f>IFERROR(__xludf.DUMMYFUNCTION("""COMPUTED_VALUE"""),"a09fd281233c0dee7a45d32647f68bb0142a3b96")</f>
        <v>a09fd281233c0dee7a45d32647f68bb0142a3b96</v>
      </c>
      <c r="B176" s="6" t="str">
        <f>IFERROR(__xludf.DUMMYFUNCTION("""COMPUTED_VALUE"""),"The Comatose Billionaire")</f>
        <v>The Comatose Billionaire</v>
      </c>
      <c r="C176" s="6" t="str">
        <f>IFERROR(__xludf.DUMMYFUNCTION("""COMPUTED_VALUE"""),"Romance")</f>
        <v>Romance</v>
      </c>
      <c r="D176" s="11">
        <f>IFERROR(__xludf.DUMMYFUNCTION("""COMPUTED_VALUE"""),606.0)</f>
        <v>606</v>
      </c>
      <c r="E176" s="8">
        <f>IFERROR(__xludf.DUMMYFUNCTION("""COMPUTED_VALUE"""),0.957024793388429)</f>
        <v>0.9570247934</v>
      </c>
      <c r="F176" s="8">
        <f>IFERROR(__xludf.DUMMYFUNCTION("""COMPUTED_VALUE"""),0.649586776859504)</f>
        <v>0.6495867769</v>
      </c>
      <c r="G176" s="8">
        <f>IFERROR(__xludf.DUMMYFUNCTION("""COMPUTED_VALUE"""),0.585123966942148)</f>
        <v>0.5851239669</v>
      </c>
      <c r="H176" s="8">
        <f>IFERROR(__xludf.DUMMYFUNCTION("""COMPUTED_VALUE"""),0.557947019867549)</f>
        <v>0.5579470199</v>
      </c>
      <c r="I176" s="8">
        <f>IFERROR(__xludf.DUMMYFUNCTION("""COMPUTED_VALUE"""),0.534768211920529)</f>
        <v>0.5347682119</v>
      </c>
      <c r="J176" s="8">
        <f>IFERROR(__xludf.DUMMYFUNCTION("""COMPUTED_VALUE"""),0.529801324503311)</f>
        <v>0.5298013245</v>
      </c>
      <c r="K176" s="8">
        <f>IFERROR(__xludf.DUMMYFUNCTION("""COMPUTED_VALUE"""),0.495033112582781)</f>
        <v>0.4950331126</v>
      </c>
      <c r="L176" s="8">
        <f>IFERROR(__xludf.DUMMYFUNCTION("""COMPUTED_VALUE"""),0.451986754966887)</f>
        <v>0.451986755</v>
      </c>
      <c r="M176" s="8">
        <f>IFERROR(__xludf.DUMMYFUNCTION("""COMPUTED_VALUE"""),0.428807947019867)</f>
        <v>0.428807947</v>
      </c>
      <c r="N176" s="8">
        <f>IFERROR(__xludf.DUMMYFUNCTION("""COMPUTED_VALUE"""),0.374172185430463)</f>
        <v>0.3741721854</v>
      </c>
      <c r="O176" s="8">
        <f>IFERROR(__xludf.DUMMYFUNCTION("""COMPUTED_VALUE"""),0.31)</f>
        <v>0.31</v>
      </c>
      <c r="P176" s="8">
        <f>IFERROR(__xludf.DUMMYFUNCTION("""COMPUTED_VALUE"""),0.194871794871794)</f>
        <v>0.1948717949</v>
      </c>
      <c r="Q176" s="8">
        <f>IFERROR(__xludf.DUMMYFUNCTION("""COMPUTED_VALUE"""),0.101398601398601)</f>
        <v>0.1013986014</v>
      </c>
      <c r="R176" s="8">
        <f>IFERROR(__xludf.DUMMYFUNCTION("""COMPUTED_VALUE"""),0.0554371002132196)</f>
        <v>0.05543710021</v>
      </c>
      <c r="S176" s="8">
        <f>IFERROR(__xludf.DUMMYFUNCTION("""COMPUTED_VALUE"""),0.0)</f>
        <v>0</v>
      </c>
      <c r="T176" s="8">
        <f>IFERROR(__xludf.DUMMYFUNCTION("""COMPUTED_VALUE"""),0.0)</f>
        <v>0</v>
      </c>
      <c r="U176" s="8">
        <f>IFERROR(__xludf.DUMMYFUNCTION("""COMPUTED_VALUE"""),0.0)</f>
        <v>0</v>
      </c>
      <c r="V176" s="8">
        <f>IFERROR(__xludf.DUMMYFUNCTION("""COMPUTED_VALUE"""),0.0)</f>
        <v>0</v>
      </c>
      <c r="W176" s="8">
        <f>IFERROR(__xludf.DUMMYFUNCTION("""COMPUTED_VALUE"""),0.0)</f>
        <v>0</v>
      </c>
      <c r="X176" s="8">
        <f>IFERROR(__xludf.DUMMYFUNCTION("""COMPUTED_VALUE"""),0.0)</f>
        <v>0</v>
      </c>
      <c r="Y176" s="8">
        <f>IFERROR(__xludf.DUMMYFUNCTION("""COMPUTED_VALUE"""),0.0)</f>
        <v>0</v>
      </c>
      <c r="Z176" s="8">
        <f>IFERROR(__xludf.DUMMYFUNCTION("""COMPUTED_VALUE"""),0.0)</f>
        <v>0</v>
      </c>
      <c r="AA176" s="8">
        <f>IFERROR(__xludf.DUMMYFUNCTION("""COMPUTED_VALUE"""),0.0)</f>
        <v>0</v>
      </c>
      <c r="AB176" s="8">
        <f>IFERROR(__xludf.DUMMYFUNCTION("""COMPUTED_VALUE"""),0.0)</f>
        <v>0</v>
      </c>
      <c r="AC176" s="8">
        <f>IFERROR(__xludf.DUMMYFUNCTION("""COMPUTED_VALUE"""),0.0)</f>
        <v>0</v>
      </c>
    </row>
    <row r="177" ht="15.75" customHeight="1">
      <c r="A177" s="6" t="str">
        <f>IFERROR(__xludf.DUMMYFUNCTION("""COMPUTED_VALUE"""),"a0f8c5bd5bdb02bdaa499febc39e36611127769b")</f>
        <v>a0f8c5bd5bdb02bdaa499febc39e36611127769b</v>
      </c>
      <c r="B177" s="6" t="str">
        <f>IFERROR(__xludf.DUMMYFUNCTION("""COMPUTED_VALUE"""),"The Wedding He Stole")</f>
        <v>The Wedding He Stole</v>
      </c>
      <c r="C177" s="6" t="str">
        <f>IFERROR(__xludf.DUMMYFUNCTION("""COMPUTED_VALUE"""),"Romance")</f>
        <v>Romance</v>
      </c>
      <c r="D177" s="11">
        <f>IFERROR(__xludf.DUMMYFUNCTION("""COMPUTED_VALUE"""),517.0)</f>
        <v>517</v>
      </c>
      <c r="E177" s="8">
        <f>IFERROR(__xludf.DUMMYFUNCTION("""COMPUTED_VALUE"""),0.963249516441005)</f>
        <v>0.9632495164</v>
      </c>
      <c r="F177" s="8">
        <f>IFERROR(__xludf.DUMMYFUNCTION("""COMPUTED_VALUE"""),0.687984496124031)</f>
        <v>0.6879844961</v>
      </c>
      <c r="G177" s="8">
        <f>IFERROR(__xludf.DUMMYFUNCTION("""COMPUTED_VALUE"""),0.655038759689922)</f>
        <v>0.6550387597</v>
      </c>
      <c r="H177" s="8">
        <f>IFERROR(__xludf.DUMMYFUNCTION("""COMPUTED_VALUE"""),0.625242718446602)</f>
        <v>0.6252427184</v>
      </c>
      <c r="I177" s="8">
        <f>IFERROR(__xludf.DUMMYFUNCTION("""COMPUTED_VALUE"""),0.576699029126213)</f>
        <v>0.5766990291</v>
      </c>
      <c r="J177" s="8">
        <f>IFERROR(__xludf.DUMMYFUNCTION("""COMPUTED_VALUE"""),0.477669902912621)</f>
        <v>0.4776699029</v>
      </c>
      <c r="K177" s="8">
        <f>IFERROR(__xludf.DUMMYFUNCTION("""COMPUTED_VALUE"""),0.429961089494163)</f>
        <v>0.4299610895</v>
      </c>
      <c r="L177" s="8">
        <f>IFERROR(__xludf.DUMMYFUNCTION("""COMPUTED_VALUE"""),0.415204678362573)</f>
        <v>0.4152046784</v>
      </c>
      <c r="M177" s="8">
        <f>IFERROR(__xludf.DUMMYFUNCTION("""COMPUTED_VALUE"""),0.345703125)</f>
        <v>0.345703125</v>
      </c>
      <c r="N177" s="8">
        <f>IFERROR(__xludf.DUMMYFUNCTION("""COMPUTED_VALUE"""),0.317025440313111)</f>
        <v>0.3170254403</v>
      </c>
      <c r="O177" s="8">
        <f>IFERROR(__xludf.DUMMYFUNCTION("""COMPUTED_VALUE"""),0.221556886227544)</f>
        <v>0.2215568862</v>
      </c>
      <c r="P177" s="8">
        <f>IFERROR(__xludf.DUMMYFUNCTION("""COMPUTED_VALUE"""),0.104325699745547)</f>
        <v>0.1043256997</v>
      </c>
      <c r="Q177" s="8">
        <f>IFERROR(__xludf.DUMMYFUNCTION("""COMPUTED_VALUE"""),0.0)</f>
        <v>0</v>
      </c>
      <c r="R177" s="8">
        <f>IFERROR(__xludf.DUMMYFUNCTION("""COMPUTED_VALUE"""),0.0)</f>
        <v>0</v>
      </c>
      <c r="S177" s="8">
        <f>IFERROR(__xludf.DUMMYFUNCTION("""COMPUTED_VALUE"""),0.0)</f>
        <v>0</v>
      </c>
      <c r="T177" s="8">
        <f>IFERROR(__xludf.DUMMYFUNCTION("""COMPUTED_VALUE"""),0.0)</f>
        <v>0</v>
      </c>
      <c r="U177" s="8">
        <f>IFERROR(__xludf.DUMMYFUNCTION("""COMPUTED_VALUE"""),0.0)</f>
        <v>0</v>
      </c>
      <c r="V177" s="8">
        <f>IFERROR(__xludf.DUMMYFUNCTION("""COMPUTED_VALUE"""),0.0)</f>
        <v>0</v>
      </c>
      <c r="W177" s="8">
        <f>IFERROR(__xludf.DUMMYFUNCTION("""COMPUTED_VALUE"""),0.0)</f>
        <v>0</v>
      </c>
      <c r="X177" s="8">
        <f>IFERROR(__xludf.DUMMYFUNCTION("""COMPUTED_VALUE"""),0.0)</f>
        <v>0</v>
      </c>
      <c r="Y177" s="8">
        <f>IFERROR(__xludf.DUMMYFUNCTION("""COMPUTED_VALUE"""),0.0)</f>
        <v>0</v>
      </c>
      <c r="Z177" s="8">
        <f>IFERROR(__xludf.DUMMYFUNCTION("""COMPUTED_VALUE"""),0.0)</f>
        <v>0</v>
      </c>
      <c r="AA177" s="8">
        <f>IFERROR(__xludf.DUMMYFUNCTION("""COMPUTED_VALUE"""),0.0)</f>
        <v>0</v>
      </c>
      <c r="AB177" s="8">
        <f>IFERROR(__xludf.DUMMYFUNCTION("""COMPUTED_VALUE"""),0.0)</f>
        <v>0</v>
      </c>
      <c r="AC177" s="8">
        <f>IFERROR(__xludf.DUMMYFUNCTION("""COMPUTED_VALUE"""),0.0)</f>
        <v>0</v>
      </c>
    </row>
    <row r="178" ht="15.75" customHeight="1">
      <c r="A178" s="6" t="str">
        <f>IFERROR(__xludf.DUMMYFUNCTION("""COMPUTED_VALUE"""),"a20d15b2c087672afecf4c46baa7e9368a4cbb9f")</f>
        <v>a20d15b2c087672afecf4c46baa7e9368a4cbb9f</v>
      </c>
      <c r="B178" s="6" t="str">
        <f>IFERROR(__xludf.DUMMYFUNCTION("""COMPUTED_VALUE"""),"Secrets and Bloodline")</f>
        <v>Secrets and Bloodline</v>
      </c>
      <c r="C178" s="6" t="str">
        <f>IFERROR(__xludf.DUMMYFUNCTION("""COMPUTED_VALUE"""),"Romance")</f>
        <v>Romance</v>
      </c>
      <c r="D178" s="11">
        <f>IFERROR(__xludf.DUMMYFUNCTION("""COMPUTED_VALUE"""),116.0)</f>
        <v>116</v>
      </c>
      <c r="E178" s="8">
        <f>IFERROR(__xludf.DUMMYFUNCTION("""COMPUTED_VALUE"""),0.973684210526315)</f>
        <v>0.9736842105</v>
      </c>
      <c r="F178" s="8">
        <f>IFERROR(__xludf.DUMMYFUNCTION("""COMPUTED_VALUE"""),0.518518518518518)</f>
        <v>0.5185185185</v>
      </c>
      <c r="G178" s="8">
        <f>IFERROR(__xludf.DUMMYFUNCTION("""COMPUTED_VALUE"""),0.490384615384615)</f>
        <v>0.4903846154</v>
      </c>
      <c r="H178" s="8">
        <f>IFERROR(__xludf.DUMMYFUNCTION("""COMPUTED_VALUE"""),0.422680412371134)</f>
        <v>0.4226804124</v>
      </c>
      <c r="I178" s="8">
        <f>IFERROR(__xludf.DUMMYFUNCTION("""COMPUTED_VALUE"""),0.4)</f>
        <v>0.4</v>
      </c>
      <c r="J178" s="8">
        <f>IFERROR(__xludf.DUMMYFUNCTION("""COMPUTED_VALUE"""),0.337078651685393)</f>
        <v>0.3370786517</v>
      </c>
      <c r="K178" s="8">
        <f>IFERROR(__xludf.DUMMYFUNCTION("""COMPUTED_VALUE"""),0.36144578313253)</f>
        <v>0.3614457831</v>
      </c>
      <c r="L178" s="8">
        <f>IFERROR(__xludf.DUMMYFUNCTION("""COMPUTED_VALUE"""),0.337837837837837)</f>
        <v>0.3378378378</v>
      </c>
      <c r="M178" s="8">
        <f>IFERROR(__xludf.DUMMYFUNCTION("""COMPUTED_VALUE"""),0.366197183098591)</f>
        <v>0.3661971831</v>
      </c>
      <c r="N178" s="8">
        <f>IFERROR(__xludf.DUMMYFUNCTION("""COMPUTED_VALUE"""),0.352941176470588)</f>
        <v>0.3529411765</v>
      </c>
      <c r="O178" s="8">
        <f>IFERROR(__xludf.DUMMYFUNCTION("""COMPUTED_VALUE"""),0.377777777777777)</f>
        <v>0.3777777778</v>
      </c>
      <c r="P178" s="8">
        <f>IFERROR(__xludf.DUMMYFUNCTION("""COMPUTED_VALUE"""),0.295454545454545)</f>
        <v>0.2954545455</v>
      </c>
      <c r="Q178" s="8">
        <f>IFERROR(__xludf.DUMMYFUNCTION("""COMPUTED_VALUE"""),0.142857142857142)</f>
        <v>0.1428571429</v>
      </c>
      <c r="R178" s="8">
        <f>IFERROR(__xludf.DUMMYFUNCTION("""COMPUTED_VALUE"""),0.0)</f>
        <v>0</v>
      </c>
      <c r="S178" s="8">
        <f>IFERROR(__xludf.DUMMYFUNCTION("""COMPUTED_VALUE"""),0.0)</f>
        <v>0</v>
      </c>
      <c r="T178" s="8">
        <f>IFERROR(__xludf.DUMMYFUNCTION("""COMPUTED_VALUE"""),0.0)</f>
        <v>0</v>
      </c>
      <c r="U178" s="8">
        <f>IFERROR(__xludf.DUMMYFUNCTION("""COMPUTED_VALUE"""),0.0)</f>
        <v>0</v>
      </c>
      <c r="V178" s="8">
        <f>IFERROR(__xludf.DUMMYFUNCTION("""COMPUTED_VALUE"""),0.0)</f>
        <v>0</v>
      </c>
      <c r="W178" s="8">
        <f>IFERROR(__xludf.DUMMYFUNCTION("""COMPUTED_VALUE"""),0.0)</f>
        <v>0</v>
      </c>
      <c r="X178" s="8">
        <f>IFERROR(__xludf.DUMMYFUNCTION("""COMPUTED_VALUE"""),0.0)</f>
        <v>0</v>
      </c>
      <c r="Y178" s="8">
        <f>IFERROR(__xludf.DUMMYFUNCTION("""COMPUTED_VALUE"""),0.0)</f>
        <v>0</v>
      </c>
      <c r="Z178" s="8">
        <f>IFERROR(__xludf.DUMMYFUNCTION("""COMPUTED_VALUE"""),0.0)</f>
        <v>0</v>
      </c>
      <c r="AA178" s="8">
        <f>IFERROR(__xludf.DUMMYFUNCTION("""COMPUTED_VALUE"""),0.0)</f>
        <v>0</v>
      </c>
      <c r="AB178" s="8">
        <f>IFERROR(__xludf.DUMMYFUNCTION("""COMPUTED_VALUE"""),0.0)</f>
        <v>0</v>
      </c>
      <c r="AC178" s="8">
        <f>IFERROR(__xludf.DUMMYFUNCTION("""COMPUTED_VALUE"""),0.0)</f>
        <v>0</v>
      </c>
    </row>
    <row r="179" ht="15.75" customHeight="1">
      <c r="A179" s="6" t="str">
        <f>IFERROR(__xludf.DUMMYFUNCTION("""COMPUTED_VALUE"""),"a3d40a3745a853e245e802a317e3934318836a28")</f>
        <v>a3d40a3745a853e245e802a317e3934318836a28</v>
      </c>
      <c r="B179" s="6" t="str">
        <f>IFERROR(__xludf.DUMMYFUNCTION("""COMPUTED_VALUE"""),"The Amazing Idiot Man")</f>
        <v>The Amazing Idiot Man</v>
      </c>
      <c r="C179" s="6" t="str">
        <f>IFERROR(__xludf.DUMMYFUNCTION("""COMPUTED_VALUE"""),"Drama")</f>
        <v>Drama</v>
      </c>
      <c r="D179" s="11">
        <f>IFERROR(__xludf.DUMMYFUNCTION("""COMPUTED_VALUE"""),548.0)</f>
        <v>548</v>
      </c>
      <c r="E179" s="8">
        <f>IFERROR(__xludf.DUMMYFUNCTION("""COMPUTED_VALUE"""),0.967153284671532)</f>
        <v>0.9671532847</v>
      </c>
      <c r="F179" s="8">
        <f>IFERROR(__xludf.DUMMYFUNCTION("""COMPUTED_VALUE"""),0.555758683729433)</f>
        <v>0.5557586837</v>
      </c>
      <c r="G179" s="8">
        <f>IFERROR(__xludf.DUMMYFUNCTION("""COMPUTED_VALUE"""),0.491773308957952)</f>
        <v>0.491773309</v>
      </c>
      <c r="H179" s="8">
        <f>IFERROR(__xludf.DUMMYFUNCTION("""COMPUTED_VALUE"""),0.438756855575868)</f>
        <v>0.4387568556</v>
      </c>
      <c r="I179" s="8">
        <f>IFERROR(__xludf.DUMMYFUNCTION("""COMPUTED_VALUE"""),0.408424908424908)</f>
        <v>0.4084249084</v>
      </c>
      <c r="J179" s="8">
        <f>IFERROR(__xludf.DUMMYFUNCTION("""COMPUTED_VALUE"""),0.39010989010989)</f>
        <v>0.3901098901</v>
      </c>
      <c r="K179" s="8">
        <f>IFERROR(__xludf.DUMMYFUNCTION("""COMPUTED_VALUE"""),0.362637362637362)</f>
        <v>0.3626373626</v>
      </c>
      <c r="L179" s="8">
        <f>IFERROR(__xludf.DUMMYFUNCTION("""COMPUTED_VALUE"""),0.335164835164835)</f>
        <v>0.3351648352</v>
      </c>
      <c r="M179" s="8">
        <f>IFERROR(__xludf.DUMMYFUNCTION("""COMPUTED_VALUE"""),0.326007326007326)</f>
        <v>0.326007326</v>
      </c>
      <c r="N179" s="8">
        <f>IFERROR(__xludf.DUMMYFUNCTION("""COMPUTED_VALUE"""),0.309963099630996)</f>
        <v>0.3099630996</v>
      </c>
      <c r="O179" s="8">
        <f>IFERROR(__xludf.DUMMYFUNCTION("""COMPUTED_VALUE"""),0.24860853432282)</f>
        <v>0.2486085343</v>
      </c>
      <c r="P179" s="8">
        <f>IFERROR(__xludf.DUMMYFUNCTION("""COMPUTED_VALUE"""),0.182674199623352)</f>
        <v>0.1826741996</v>
      </c>
      <c r="Q179" s="8">
        <f>IFERROR(__xludf.DUMMYFUNCTION("""COMPUTED_VALUE"""),0.0)</f>
        <v>0</v>
      </c>
      <c r="R179" s="8">
        <f>IFERROR(__xludf.DUMMYFUNCTION("""COMPUTED_VALUE"""),0.0)</f>
        <v>0</v>
      </c>
      <c r="S179" s="8">
        <f>IFERROR(__xludf.DUMMYFUNCTION("""COMPUTED_VALUE"""),0.0)</f>
        <v>0</v>
      </c>
      <c r="T179" s="8">
        <f>IFERROR(__xludf.DUMMYFUNCTION("""COMPUTED_VALUE"""),0.0)</f>
        <v>0</v>
      </c>
      <c r="U179" s="8">
        <f>IFERROR(__xludf.DUMMYFUNCTION("""COMPUTED_VALUE"""),0.0)</f>
        <v>0</v>
      </c>
      <c r="V179" s="8">
        <f>IFERROR(__xludf.DUMMYFUNCTION("""COMPUTED_VALUE"""),0.0)</f>
        <v>0</v>
      </c>
      <c r="W179" s="8">
        <f>IFERROR(__xludf.DUMMYFUNCTION("""COMPUTED_VALUE"""),0.0)</f>
        <v>0</v>
      </c>
      <c r="X179" s="8">
        <f>IFERROR(__xludf.DUMMYFUNCTION("""COMPUTED_VALUE"""),0.0)</f>
        <v>0</v>
      </c>
      <c r="Y179" s="8">
        <f>IFERROR(__xludf.DUMMYFUNCTION("""COMPUTED_VALUE"""),0.0)</f>
        <v>0</v>
      </c>
      <c r="Z179" s="8">
        <f>IFERROR(__xludf.DUMMYFUNCTION("""COMPUTED_VALUE"""),0.0)</f>
        <v>0</v>
      </c>
      <c r="AA179" s="8">
        <f>IFERROR(__xludf.DUMMYFUNCTION("""COMPUTED_VALUE"""),0.0)</f>
        <v>0</v>
      </c>
      <c r="AB179" s="8">
        <f>IFERROR(__xludf.DUMMYFUNCTION("""COMPUTED_VALUE"""),0.0)</f>
        <v>0</v>
      </c>
      <c r="AC179" s="8">
        <f>IFERROR(__xludf.DUMMYFUNCTION("""COMPUTED_VALUE"""),0.0)</f>
        <v>0</v>
      </c>
    </row>
    <row r="180" ht="15.75" customHeight="1">
      <c r="A180" s="6" t="str">
        <f>IFERROR(__xludf.DUMMYFUNCTION("""COMPUTED_VALUE"""),"a48f5e77f994307c8a39968302f28c62b0c654af")</f>
        <v>a48f5e77f994307c8a39968302f28c62b0c654af</v>
      </c>
      <c r="B180" s="6" t="str">
        <f>IFERROR(__xludf.DUMMYFUNCTION("""COMPUTED_VALUE"""),"Battle Master")</f>
        <v>Battle Master</v>
      </c>
      <c r="C180" s="6" t="str">
        <f>IFERROR(__xludf.DUMMYFUNCTION("""COMPUTED_VALUE"""),"Fantasy")</f>
        <v>Fantasy</v>
      </c>
      <c r="D180" s="11">
        <f>IFERROR(__xludf.DUMMYFUNCTION("""COMPUTED_VALUE"""),470.0)</f>
        <v>470</v>
      </c>
      <c r="E180" s="8">
        <f>IFERROR(__xludf.DUMMYFUNCTION("""COMPUTED_VALUE"""),0.983529411764705)</f>
        <v>0.9835294118</v>
      </c>
      <c r="F180" s="8">
        <f>IFERROR(__xludf.DUMMYFUNCTION("""COMPUTED_VALUE"""),0.62566844919786)</f>
        <v>0.6256684492</v>
      </c>
      <c r="G180" s="8">
        <f>IFERROR(__xludf.DUMMYFUNCTION("""COMPUTED_VALUE"""),0.596610169491525)</f>
        <v>0.5966101695</v>
      </c>
      <c r="H180" s="8">
        <f>IFERROR(__xludf.DUMMYFUNCTION("""COMPUTED_VALUE"""),0.428571428571428)</f>
        <v>0.4285714286</v>
      </c>
      <c r="I180" s="8">
        <f>IFERROR(__xludf.DUMMYFUNCTION("""COMPUTED_VALUE"""),0.381818181818181)</f>
        <v>0.3818181818</v>
      </c>
      <c r="J180" s="8">
        <f>IFERROR(__xludf.DUMMYFUNCTION("""COMPUTED_VALUE"""),0.4)</f>
        <v>0.4</v>
      </c>
      <c r="K180" s="8">
        <f>IFERROR(__xludf.DUMMYFUNCTION("""COMPUTED_VALUE"""),1.0)</f>
        <v>1</v>
      </c>
      <c r="L180" s="8">
        <f>IFERROR(__xludf.DUMMYFUNCTION("""COMPUTED_VALUE"""),0.0)</f>
        <v>0</v>
      </c>
      <c r="M180" s="8">
        <f>IFERROR(__xludf.DUMMYFUNCTION("""COMPUTED_VALUE"""),0.0)</f>
        <v>0</v>
      </c>
      <c r="N180" s="8">
        <f>IFERROR(__xludf.DUMMYFUNCTION("""COMPUTED_VALUE"""),0.0)</f>
        <v>0</v>
      </c>
      <c r="O180" s="8">
        <f>IFERROR(__xludf.DUMMYFUNCTION("""COMPUTED_VALUE"""),0.0)</f>
        <v>0</v>
      </c>
      <c r="P180" s="8">
        <f>IFERROR(__xludf.DUMMYFUNCTION("""COMPUTED_VALUE"""),0.0)</f>
        <v>0</v>
      </c>
      <c r="Q180" s="8">
        <f>IFERROR(__xludf.DUMMYFUNCTION("""COMPUTED_VALUE"""),0.0)</f>
        <v>0</v>
      </c>
      <c r="R180" s="8">
        <f>IFERROR(__xludf.DUMMYFUNCTION("""COMPUTED_VALUE"""),0.0)</f>
        <v>0</v>
      </c>
      <c r="S180" s="8">
        <f>IFERROR(__xludf.DUMMYFUNCTION("""COMPUTED_VALUE"""),0.0)</f>
        <v>0</v>
      </c>
      <c r="T180" s="8">
        <f>IFERROR(__xludf.DUMMYFUNCTION("""COMPUTED_VALUE"""),0.0)</f>
        <v>0</v>
      </c>
      <c r="U180" s="8">
        <f>IFERROR(__xludf.DUMMYFUNCTION("""COMPUTED_VALUE"""),0.0)</f>
        <v>0</v>
      </c>
      <c r="V180" s="8">
        <f>IFERROR(__xludf.DUMMYFUNCTION("""COMPUTED_VALUE"""),0.0)</f>
        <v>0</v>
      </c>
      <c r="W180" s="8">
        <f>IFERROR(__xludf.DUMMYFUNCTION("""COMPUTED_VALUE"""),0.0)</f>
        <v>0</v>
      </c>
      <c r="X180" s="8">
        <f>IFERROR(__xludf.DUMMYFUNCTION("""COMPUTED_VALUE"""),0.0)</f>
        <v>0</v>
      </c>
      <c r="Y180" s="8">
        <f>IFERROR(__xludf.DUMMYFUNCTION("""COMPUTED_VALUE"""),0.0)</f>
        <v>0</v>
      </c>
      <c r="Z180" s="8">
        <f>IFERROR(__xludf.DUMMYFUNCTION("""COMPUTED_VALUE"""),0.0)</f>
        <v>0</v>
      </c>
      <c r="AA180" s="8">
        <f>IFERROR(__xludf.DUMMYFUNCTION("""COMPUTED_VALUE"""),0.0)</f>
        <v>0</v>
      </c>
      <c r="AB180" s="8">
        <f>IFERROR(__xludf.DUMMYFUNCTION("""COMPUTED_VALUE"""),0.0)</f>
        <v>0</v>
      </c>
      <c r="AC180" s="8">
        <f>IFERROR(__xludf.DUMMYFUNCTION("""COMPUTED_VALUE"""),0.0)</f>
        <v>0</v>
      </c>
    </row>
    <row r="181" ht="15.75" customHeight="1">
      <c r="A181" s="6" t="str">
        <f>IFERROR(__xludf.DUMMYFUNCTION("""COMPUTED_VALUE"""),"a4dd4053a025d38e2c0410dbcf348862c41c4c5b")</f>
        <v>a4dd4053a025d38e2c0410dbcf348862c41c4c5b</v>
      </c>
      <c r="B181" s="6" t="str">
        <f>IFERROR(__xludf.DUMMYFUNCTION("""COMPUTED_VALUE"""),"Twin Betrayal, Enemy Love")</f>
        <v>Twin Betrayal, Enemy Love</v>
      </c>
      <c r="C181" s="6" t="str">
        <f>IFERROR(__xludf.DUMMYFUNCTION("""COMPUTED_VALUE"""),"Romance")</f>
        <v>Romance</v>
      </c>
      <c r="D181" s="11">
        <f>IFERROR(__xludf.DUMMYFUNCTION("""COMPUTED_VALUE"""),551.0)</f>
        <v>551</v>
      </c>
      <c r="E181" s="8">
        <f>IFERROR(__xludf.DUMMYFUNCTION("""COMPUTED_VALUE"""),0.950998185117967)</f>
        <v>0.9509981851</v>
      </c>
      <c r="F181" s="8">
        <f>IFERROR(__xludf.DUMMYFUNCTION("""COMPUTED_VALUE"""),0.588021778584392)</f>
        <v>0.5880217786</v>
      </c>
      <c r="G181" s="8">
        <f>IFERROR(__xludf.DUMMYFUNCTION("""COMPUTED_VALUE"""),0.508166969147005)</f>
        <v>0.5081669691</v>
      </c>
      <c r="H181" s="8">
        <f>IFERROR(__xludf.DUMMYFUNCTION("""COMPUTED_VALUE"""),0.479128856624319)</f>
        <v>0.4791288566</v>
      </c>
      <c r="I181" s="8">
        <f>IFERROR(__xludf.DUMMYFUNCTION("""COMPUTED_VALUE"""),0.480943738656987)</f>
        <v>0.4809437387</v>
      </c>
      <c r="J181" s="8">
        <f>IFERROR(__xludf.DUMMYFUNCTION("""COMPUTED_VALUE"""),0.422867513611615)</f>
        <v>0.4228675136</v>
      </c>
      <c r="K181" s="8">
        <f>IFERROR(__xludf.DUMMYFUNCTION("""COMPUTED_VALUE"""),0.392014519056261)</f>
        <v>0.3920145191</v>
      </c>
      <c r="L181" s="8">
        <f>IFERROR(__xludf.DUMMYFUNCTION("""COMPUTED_VALUE"""),0.378181818181818)</f>
        <v>0.3781818182</v>
      </c>
      <c r="M181" s="8">
        <f>IFERROR(__xludf.DUMMYFUNCTION("""COMPUTED_VALUE"""),0.345454545454545)</f>
        <v>0.3454545455</v>
      </c>
      <c r="N181" s="8">
        <f>IFERROR(__xludf.DUMMYFUNCTION("""COMPUTED_VALUE"""),0.318181818181818)</f>
        <v>0.3181818182</v>
      </c>
      <c r="O181" s="8">
        <f>IFERROR(__xludf.DUMMYFUNCTION("""COMPUTED_VALUE"""),0.278181818181818)</f>
        <v>0.2781818182</v>
      </c>
      <c r="P181" s="8">
        <f>IFERROR(__xludf.DUMMYFUNCTION("""COMPUTED_VALUE"""),0.210237659963436)</f>
        <v>0.21023766</v>
      </c>
      <c r="Q181" s="8">
        <f>IFERROR(__xludf.DUMMYFUNCTION("""COMPUTED_VALUE"""),0.159259259259259)</f>
        <v>0.1592592593</v>
      </c>
      <c r="R181" s="8">
        <f>IFERROR(__xludf.DUMMYFUNCTION("""COMPUTED_VALUE"""),0.10337552742616)</f>
        <v>0.1033755274</v>
      </c>
      <c r="S181" s="8">
        <f>IFERROR(__xludf.DUMMYFUNCTION("""COMPUTED_VALUE"""),0.0683962264150943)</f>
        <v>0.06839622642</v>
      </c>
      <c r="T181" s="8">
        <f>IFERROR(__xludf.DUMMYFUNCTION("""COMPUTED_VALUE"""),0.0)</f>
        <v>0</v>
      </c>
      <c r="U181" s="8">
        <f>IFERROR(__xludf.DUMMYFUNCTION("""COMPUTED_VALUE"""),0.0)</f>
        <v>0</v>
      </c>
      <c r="V181" s="8">
        <f>IFERROR(__xludf.DUMMYFUNCTION("""COMPUTED_VALUE"""),0.0)</f>
        <v>0</v>
      </c>
      <c r="W181" s="8">
        <f>IFERROR(__xludf.DUMMYFUNCTION("""COMPUTED_VALUE"""),0.0)</f>
        <v>0</v>
      </c>
      <c r="X181" s="8">
        <f>IFERROR(__xludf.DUMMYFUNCTION("""COMPUTED_VALUE"""),0.0)</f>
        <v>0</v>
      </c>
      <c r="Y181" s="8">
        <f>IFERROR(__xludf.DUMMYFUNCTION("""COMPUTED_VALUE"""),0.0)</f>
        <v>0</v>
      </c>
      <c r="Z181" s="8">
        <f>IFERROR(__xludf.DUMMYFUNCTION("""COMPUTED_VALUE"""),0.0)</f>
        <v>0</v>
      </c>
      <c r="AA181" s="8">
        <f>IFERROR(__xludf.DUMMYFUNCTION("""COMPUTED_VALUE"""),0.0)</f>
        <v>0</v>
      </c>
      <c r="AB181" s="8">
        <f>IFERROR(__xludf.DUMMYFUNCTION("""COMPUTED_VALUE"""),0.0)</f>
        <v>0</v>
      </c>
      <c r="AC181" s="8">
        <f>IFERROR(__xludf.DUMMYFUNCTION("""COMPUTED_VALUE"""),0.0)</f>
        <v>0</v>
      </c>
    </row>
    <row r="182" ht="15.75" customHeight="1">
      <c r="A182" s="6" t="str">
        <f>IFERROR(__xludf.DUMMYFUNCTION("""COMPUTED_VALUE"""),"a58a0944241952550b248f5ed8bc3d2647482fe5")</f>
        <v>a58a0944241952550b248f5ed8bc3d2647482fe5</v>
      </c>
      <c r="B182" s="6" t="str">
        <f>IFERROR(__xludf.DUMMYFUNCTION("""COMPUTED_VALUE"""),"Miraculous Eyes")</f>
        <v>Miraculous Eyes</v>
      </c>
      <c r="C182" s="6" t="str">
        <f>IFERROR(__xludf.DUMMYFUNCTION("""COMPUTED_VALUE"""),"Drama")</f>
        <v>Drama</v>
      </c>
      <c r="D182" s="11">
        <f>IFERROR(__xludf.DUMMYFUNCTION("""COMPUTED_VALUE"""),516.0)</f>
        <v>516</v>
      </c>
      <c r="E182" s="8">
        <f>IFERROR(__xludf.DUMMYFUNCTION("""COMPUTED_VALUE"""),0.986434108527131)</f>
        <v>0.9864341085</v>
      </c>
      <c r="F182" s="8">
        <f>IFERROR(__xludf.DUMMYFUNCTION("""COMPUTED_VALUE"""),0.645348837209302)</f>
        <v>0.6453488372</v>
      </c>
      <c r="G182" s="8">
        <f>IFERROR(__xludf.DUMMYFUNCTION("""COMPUTED_VALUE"""),0.579457364341085)</f>
        <v>0.5794573643</v>
      </c>
      <c r="H182" s="8">
        <f>IFERROR(__xludf.DUMMYFUNCTION("""COMPUTED_VALUE"""),0.514563106796116)</f>
        <v>0.5145631068</v>
      </c>
      <c r="I182" s="8">
        <f>IFERROR(__xludf.DUMMYFUNCTION("""COMPUTED_VALUE"""),0.454368932038834)</f>
        <v>0.454368932</v>
      </c>
      <c r="J182" s="8">
        <f>IFERROR(__xludf.DUMMYFUNCTION("""COMPUTED_VALUE"""),0.398832684824902)</f>
        <v>0.3988326848</v>
      </c>
      <c r="K182" s="8">
        <f>IFERROR(__xludf.DUMMYFUNCTION("""COMPUTED_VALUE"""),0.36964980544747)</f>
        <v>0.3696498054</v>
      </c>
      <c r="L182" s="8">
        <f>IFERROR(__xludf.DUMMYFUNCTION("""COMPUTED_VALUE"""),0.339181286549707)</f>
        <v>0.3391812865</v>
      </c>
      <c r="M182" s="8">
        <f>IFERROR(__xludf.DUMMYFUNCTION("""COMPUTED_VALUE"""),0.32943469785575)</f>
        <v>0.3294346979</v>
      </c>
      <c r="N182" s="8">
        <f>IFERROR(__xludf.DUMMYFUNCTION("""COMPUTED_VALUE"""),0.31640625)</f>
        <v>0.31640625</v>
      </c>
      <c r="O182" s="8">
        <f>IFERROR(__xludf.DUMMYFUNCTION("""COMPUTED_VALUE"""),0.21484375)</f>
        <v>0.21484375</v>
      </c>
      <c r="P182" s="8">
        <f>IFERROR(__xludf.DUMMYFUNCTION("""COMPUTED_VALUE"""),0.0978473581213307)</f>
        <v>0.09784735812</v>
      </c>
      <c r="Q182" s="8">
        <f>IFERROR(__xludf.DUMMYFUNCTION("""COMPUTED_VALUE"""),0.0229885057471264)</f>
        <v>0.02298850575</v>
      </c>
      <c r="R182" s="8">
        <f>IFERROR(__xludf.DUMMYFUNCTION("""COMPUTED_VALUE"""),0.0)</f>
        <v>0</v>
      </c>
      <c r="S182" s="8">
        <f>IFERROR(__xludf.DUMMYFUNCTION("""COMPUTED_VALUE"""),0.0)</f>
        <v>0</v>
      </c>
      <c r="T182" s="8">
        <f>IFERROR(__xludf.DUMMYFUNCTION("""COMPUTED_VALUE"""),0.0)</f>
        <v>0</v>
      </c>
      <c r="U182" s="8">
        <f>IFERROR(__xludf.DUMMYFUNCTION("""COMPUTED_VALUE"""),0.0)</f>
        <v>0</v>
      </c>
      <c r="V182" s="8">
        <f>IFERROR(__xludf.DUMMYFUNCTION("""COMPUTED_VALUE"""),0.0)</f>
        <v>0</v>
      </c>
      <c r="W182" s="8">
        <f>IFERROR(__xludf.DUMMYFUNCTION("""COMPUTED_VALUE"""),0.0)</f>
        <v>0</v>
      </c>
      <c r="X182" s="8">
        <f>IFERROR(__xludf.DUMMYFUNCTION("""COMPUTED_VALUE"""),0.0)</f>
        <v>0</v>
      </c>
      <c r="Y182" s="8">
        <f>IFERROR(__xludf.DUMMYFUNCTION("""COMPUTED_VALUE"""),0.0)</f>
        <v>0</v>
      </c>
      <c r="Z182" s="8">
        <f>IFERROR(__xludf.DUMMYFUNCTION("""COMPUTED_VALUE"""),0.0)</f>
        <v>0</v>
      </c>
      <c r="AA182" s="8">
        <f>IFERROR(__xludf.DUMMYFUNCTION("""COMPUTED_VALUE"""),0.0)</f>
        <v>0</v>
      </c>
      <c r="AB182" s="8">
        <f>IFERROR(__xludf.DUMMYFUNCTION("""COMPUTED_VALUE"""),0.0)</f>
        <v>0</v>
      </c>
      <c r="AC182" s="8">
        <f>IFERROR(__xludf.DUMMYFUNCTION("""COMPUTED_VALUE"""),0.0)</f>
        <v>0</v>
      </c>
    </row>
    <row r="183" ht="15.75" customHeight="1">
      <c r="A183" s="6" t="str">
        <f>IFERROR(__xludf.DUMMYFUNCTION("""COMPUTED_VALUE"""),"a6268ee1800866a09bab6b47c61f885556992b45")</f>
        <v>a6268ee1800866a09bab6b47c61f885556992b45</v>
      </c>
      <c r="B183" s="6" t="str">
        <f>IFERROR(__xludf.DUMMYFUNCTION("""COMPUTED_VALUE"""),"The System Creation: Intergalactic Entry")</f>
        <v>The System Creation: Intergalactic Entry</v>
      </c>
      <c r="C183" s="6" t="str">
        <f>IFERROR(__xludf.DUMMYFUNCTION("""COMPUTED_VALUE"""),"System and Superpower")</f>
        <v>System and Superpower</v>
      </c>
      <c r="D183" s="11">
        <f>IFERROR(__xludf.DUMMYFUNCTION("""COMPUTED_VALUE"""),7459.0)</f>
        <v>7459</v>
      </c>
      <c r="E183" s="8">
        <f>IFERROR(__xludf.DUMMYFUNCTION("""COMPUTED_VALUE"""),0.939495572846793)</f>
        <v>0.9394955728</v>
      </c>
      <c r="F183" s="8">
        <f>IFERROR(__xludf.DUMMYFUNCTION("""COMPUTED_VALUE"""),0.499395079983868)</f>
        <v>0.49939508</v>
      </c>
      <c r="G183" s="8">
        <f>IFERROR(__xludf.DUMMYFUNCTION("""COMPUTED_VALUE"""),0.435600968002151)</f>
        <v>0.435600968</v>
      </c>
      <c r="H183" s="8">
        <f>IFERROR(__xludf.DUMMYFUNCTION("""COMPUTED_VALUE"""),0.392222820236813)</f>
        <v>0.3922228202</v>
      </c>
      <c r="I183" s="8">
        <f>IFERROR(__xludf.DUMMYFUNCTION("""COMPUTED_VALUE"""),0.372744411527067)</f>
        <v>0.3727444115</v>
      </c>
      <c r="J183" s="8">
        <f>IFERROR(__xludf.DUMMYFUNCTION("""COMPUTED_VALUE"""),0.352830188679245)</f>
        <v>0.3528301887</v>
      </c>
      <c r="K183" s="8">
        <f>IFERROR(__xludf.DUMMYFUNCTION("""COMPUTED_VALUE"""),0.340259039395574)</f>
        <v>0.3402590394</v>
      </c>
      <c r="L183" s="8">
        <f>IFERROR(__xludf.DUMMYFUNCTION("""COMPUTED_VALUE"""),0.328424750067549)</f>
        <v>0.3284247501</v>
      </c>
      <c r="M183" s="8">
        <f>IFERROR(__xludf.DUMMYFUNCTION("""COMPUTED_VALUE"""),0.314679643146796)</f>
        <v>0.3146796431</v>
      </c>
      <c r="N183" s="8">
        <f>IFERROR(__xludf.DUMMYFUNCTION("""COMPUTED_VALUE"""),0.300419315568781)</f>
        <v>0.3004193156</v>
      </c>
      <c r="O183" s="8">
        <f>IFERROR(__xludf.DUMMYFUNCTION("""COMPUTED_VALUE"""),0.276133586749932)</f>
        <v>0.2761335867</v>
      </c>
      <c r="P183" s="8">
        <f>IFERROR(__xludf.DUMMYFUNCTION("""COMPUTED_VALUE"""),0.229783171962361)</f>
        <v>0.229783172</v>
      </c>
      <c r="Q183" s="8">
        <f>IFERROR(__xludf.DUMMYFUNCTION("""COMPUTED_VALUE"""),0.181267217630854)</f>
        <v>0.1812672176</v>
      </c>
      <c r="R183" s="8">
        <f>IFERROR(__xludf.DUMMYFUNCTION("""COMPUTED_VALUE"""),0.160210293303818)</f>
        <v>0.1602102933</v>
      </c>
      <c r="S183" s="8">
        <f>IFERROR(__xludf.DUMMYFUNCTION("""COMPUTED_VALUE"""),0.143888888888888)</f>
        <v>0.1438888889</v>
      </c>
      <c r="T183" s="8">
        <f>IFERROR(__xludf.DUMMYFUNCTION("""COMPUTED_VALUE"""),0.131920234276948)</f>
        <v>0.1319202343</v>
      </c>
      <c r="U183" s="8">
        <f>IFERROR(__xludf.DUMMYFUNCTION("""COMPUTED_VALUE"""),0.123178251121076)</f>
        <v>0.1231782511</v>
      </c>
      <c r="V183" s="8">
        <f>IFERROR(__xludf.DUMMYFUNCTION("""COMPUTED_VALUE"""),0.115509226651641)</f>
        <v>0.1155092267</v>
      </c>
      <c r="W183" s="8">
        <f>IFERROR(__xludf.DUMMYFUNCTION("""COMPUTED_VALUE"""),0.105687606112054)</f>
        <v>0.1056876061</v>
      </c>
      <c r="X183" s="8">
        <f>IFERROR(__xludf.DUMMYFUNCTION("""COMPUTED_VALUE"""),0.0958007117437722)</f>
        <v>0.09580071174</v>
      </c>
      <c r="Y183" s="8">
        <f>IFERROR(__xludf.DUMMYFUNCTION("""COMPUTED_VALUE"""),0.0794162826420891)</f>
        <v>0.07941628264</v>
      </c>
      <c r="Z183" s="8">
        <f>IFERROR(__xludf.DUMMYFUNCTION("""COMPUTED_VALUE"""),0.0709046454767726)</f>
        <v>0.07090464548</v>
      </c>
      <c r="AA183" s="8">
        <f>IFERROR(__xludf.DUMMYFUNCTION("""COMPUTED_VALUE"""),0.0633802816901408)</f>
        <v>0.06338028169</v>
      </c>
      <c r="AB183" s="8">
        <f>IFERROR(__xludf.DUMMYFUNCTION("""COMPUTED_VALUE"""),0.0517277053589902)</f>
        <v>0.05172770536</v>
      </c>
      <c r="AC183" s="8">
        <f>IFERROR(__xludf.DUMMYFUNCTION("""COMPUTED_VALUE"""),0.0415578247447162)</f>
        <v>0.04155782474</v>
      </c>
    </row>
    <row r="184" ht="15.75" customHeight="1">
      <c r="A184" s="6" t="str">
        <f>IFERROR(__xludf.DUMMYFUNCTION("""COMPUTED_VALUE"""),"a6f94887cb30090252bc97e34a7a53c7a6555b8d")</f>
        <v>a6f94887cb30090252bc97e34a7a53c7a6555b8d</v>
      </c>
      <c r="B184" s="6" t="str">
        <f>IFERROR(__xludf.DUMMYFUNCTION("""COMPUTED_VALUE"""),"A Surrogate Bride for a Paralyzed Ceo")</f>
        <v>A Surrogate Bride for a Paralyzed Ceo</v>
      </c>
      <c r="C184" s="6" t="str">
        <f>IFERROR(__xludf.DUMMYFUNCTION("""COMPUTED_VALUE"""),"Drama")</f>
        <v>Drama</v>
      </c>
      <c r="D184" s="11">
        <f>IFERROR(__xludf.DUMMYFUNCTION("""COMPUTED_VALUE"""),4743.0)</f>
        <v>4743</v>
      </c>
      <c r="E184" s="8">
        <f>IFERROR(__xludf.DUMMYFUNCTION("""COMPUTED_VALUE"""),0.895147679324894)</f>
        <v>0.8951476793</v>
      </c>
      <c r="F184" s="8">
        <f>IFERROR(__xludf.DUMMYFUNCTION("""COMPUTED_VALUE"""),0.575859886051909)</f>
        <v>0.5758598861</v>
      </c>
      <c r="G184" s="8">
        <f>IFERROR(__xludf.DUMMYFUNCTION("""COMPUTED_VALUE"""),0.521950189953566)</f>
        <v>0.52195019</v>
      </c>
      <c r="H184" s="8">
        <f>IFERROR(__xludf.DUMMYFUNCTION("""COMPUTED_VALUE"""),0.480253431890179)</f>
        <v>0.4802534319</v>
      </c>
      <c r="I184" s="8">
        <f>IFERROR(__xludf.DUMMYFUNCTION("""COMPUTED_VALUE"""),0.462090813093981)</f>
        <v>0.4620908131</v>
      </c>
      <c r="J184" s="8">
        <f>IFERROR(__xludf.DUMMYFUNCTION("""COMPUTED_VALUE"""),0.446534234995773)</f>
        <v>0.446534235</v>
      </c>
      <c r="K184" s="8">
        <f>IFERROR(__xludf.DUMMYFUNCTION("""COMPUTED_VALUE"""),0.432163989856297)</f>
        <v>0.4321639899</v>
      </c>
      <c r="L184" s="8">
        <f>IFERROR(__xludf.DUMMYFUNCTION("""COMPUTED_VALUE"""),0.412473572938689)</f>
        <v>0.4124735729</v>
      </c>
      <c r="M184" s="8">
        <f>IFERROR(__xludf.DUMMYFUNCTION("""COMPUTED_VALUE"""),0.397969972510044)</f>
        <v>0.3979699725</v>
      </c>
      <c r="N184" s="8">
        <f>IFERROR(__xludf.DUMMYFUNCTION("""COMPUTED_VALUE"""),0.385950063478628)</f>
        <v>0.3859500635</v>
      </c>
      <c r="O184" s="8">
        <f>IFERROR(__xludf.DUMMYFUNCTION("""COMPUTED_VALUE"""),0.349936413734633)</f>
        <v>0.3499364137</v>
      </c>
      <c r="P184" s="8">
        <f>IFERROR(__xludf.DUMMYFUNCTION("""COMPUTED_VALUE"""),0.318972835314091)</f>
        <v>0.3189728353</v>
      </c>
      <c r="Q184" s="8">
        <f>IFERROR(__xludf.DUMMYFUNCTION("""COMPUTED_VALUE"""),0.277482458005528)</f>
        <v>0.277482458</v>
      </c>
      <c r="R184" s="8">
        <f>IFERROR(__xludf.DUMMYFUNCTION("""COMPUTED_VALUE"""),0.239505646707862)</f>
        <v>0.2395056467</v>
      </c>
      <c r="S184" s="8">
        <f>IFERROR(__xludf.DUMMYFUNCTION("""COMPUTED_VALUE"""),0.21208885091841)</f>
        <v>0.2120888509</v>
      </c>
      <c r="T184" s="8">
        <f>IFERROR(__xludf.DUMMYFUNCTION("""COMPUTED_VALUE"""),0.178219940094137)</f>
        <v>0.1782199401</v>
      </c>
      <c r="U184" s="8">
        <f>IFERROR(__xludf.DUMMYFUNCTION("""COMPUTED_VALUE"""),0.159845725305335)</f>
        <v>0.1598457253</v>
      </c>
      <c r="V184" s="8">
        <f>IFERROR(__xludf.DUMMYFUNCTION("""COMPUTED_VALUE"""),0.139951359717001)</f>
        <v>0.1399513597</v>
      </c>
      <c r="W184" s="8">
        <f>IFERROR(__xludf.DUMMYFUNCTION("""COMPUTED_VALUE"""),0.131632653061224)</f>
        <v>0.1316326531</v>
      </c>
      <c r="X184" s="8">
        <f>IFERROR(__xludf.DUMMYFUNCTION("""COMPUTED_VALUE"""),0.123635371179039)</f>
        <v>0.1236353712</v>
      </c>
      <c r="Y184" s="8">
        <f>IFERROR(__xludf.DUMMYFUNCTION("""COMPUTED_VALUE"""),0.0848696757787666)</f>
        <v>0.08486967578</v>
      </c>
      <c r="Z184" s="8">
        <f>IFERROR(__xludf.DUMMYFUNCTION("""COMPUTED_VALUE"""),0.0644677661169415)</f>
        <v>0.06446776612</v>
      </c>
      <c r="AA184" s="8">
        <f>IFERROR(__xludf.DUMMYFUNCTION("""COMPUTED_VALUE"""),0.0458298926507019)</f>
        <v>0.04582989265</v>
      </c>
      <c r="AB184" s="8">
        <f>IFERROR(__xludf.DUMMYFUNCTION("""COMPUTED_VALUE"""),0.0358291226458429)</f>
        <v>0.03582912265</v>
      </c>
      <c r="AC184" s="8">
        <f>IFERROR(__xludf.DUMMYFUNCTION("""COMPUTED_VALUE"""),0.0192743764172335)</f>
        <v>0.01927437642</v>
      </c>
    </row>
    <row r="185" ht="15.75" customHeight="1">
      <c r="A185" s="6" t="str">
        <f>IFERROR(__xludf.DUMMYFUNCTION("""COMPUTED_VALUE"""),"a830c3a71510f0594792edb43a5e99b9da02d7e7")</f>
        <v>a830c3a71510f0594792edb43a5e99b9da02d7e7</v>
      </c>
      <c r="B185" s="6" t="str">
        <f>IFERROR(__xludf.DUMMYFUNCTION("""COMPUTED_VALUE"""),"Married to a Dying Prince")</f>
        <v>Married to a Dying Prince</v>
      </c>
      <c r="C185" s="6" t="str">
        <f>IFERROR(__xludf.DUMMYFUNCTION("""COMPUTED_VALUE"""),"Romantasy")</f>
        <v>Romantasy</v>
      </c>
      <c r="D185" s="11">
        <f>IFERROR(__xludf.DUMMYFUNCTION("""COMPUTED_VALUE"""),484.0)</f>
        <v>484</v>
      </c>
      <c r="E185" s="8">
        <f>IFERROR(__xludf.DUMMYFUNCTION("""COMPUTED_VALUE"""),0.971074380165289)</f>
        <v>0.9710743802</v>
      </c>
      <c r="F185" s="8">
        <f>IFERROR(__xludf.DUMMYFUNCTION("""COMPUTED_VALUE"""),0.52892561983471)</f>
        <v>0.5289256198</v>
      </c>
      <c r="G185" s="8">
        <f>IFERROR(__xludf.DUMMYFUNCTION("""COMPUTED_VALUE"""),0.480331262939958)</f>
        <v>0.4803312629</v>
      </c>
      <c r="H185" s="8">
        <f>IFERROR(__xludf.DUMMYFUNCTION("""COMPUTED_VALUE"""),0.422360248447205)</f>
        <v>0.4223602484</v>
      </c>
      <c r="I185" s="8">
        <f>IFERROR(__xludf.DUMMYFUNCTION("""COMPUTED_VALUE"""),0.41701244813278)</f>
        <v>0.4170124481</v>
      </c>
      <c r="J185" s="8">
        <f>IFERROR(__xludf.DUMMYFUNCTION("""COMPUTED_VALUE"""),0.399168399168399)</f>
        <v>0.3991683992</v>
      </c>
      <c r="K185" s="8">
        <f>IFERROR(__xludf.DUMMYFUNCTION("""COMPUTED_VALUE"""),0.382536382536382)</f>
        <v>0.3825363825</v>
      </c>
      <c r="L185" s="8">
        <f>IFERROR(__xludf.DUMMYFUNCTION("""COMPUTED_VALUE"""),0.379958246346555)</f>
        <v>0.3799582463</v>
      </c>
      <c r="M185" s="8">
        <f>IFERROR(__xludf.DUMMYFUNCTION("""COMPUTED_VALUE"""),0.374476987447698)</f>
        <v>0.3744769874</v>
      </c>
      <c r="N185" s="8">
        <f>IFERROR(__xludf.DUMMYFUNCTION("""COMPUTED_VALUE"""),0.364779874213836)</f>
        <v>0.3647798742</v>
      </c>
      <c r="O185" s="8">
        <f>IFERROR(__xludf.DUMMYFUNCTION("""COMPUTED_VALUE"""),0.342494714587737)</f>
        <v>0.3424947146</v>
      </c>
      <c r="P185" s="8">
        <f>IFERROR(__xludf.DUMMYFUNCTION("""COMPUTED_VALUE"""),0.272532188841201)</f>
        <v>0.2725321888</v>
      </c>
      <c r="Q185" s="8">
        <f>IFERROR(__xludf.DUMMYFUNCTION("""COMPUTED_VALUE"""),0.223214285714285)</f>
        <v>0.2232142857</v>
      </c>
      <c r="R185" s="8">
        <f>IFERROR(__xludf.DUMMYFUNCTION("""COMPUTED_VALUE"""),0.0)</f>
        <v>0</v>
      </c>
      <c r="S185" s="8">
        <f>IFERROR(__xludf.DUMMYFUNCTION("""COMPUTED_VALUE"""),0.0)</f>
        <v>0</v>
      </c>
      <c r="T185" s="8">
        <f>IFERROR(__xludf.DUMMYFUNCTION("""COMPUTED_VALUE"""),0.0)</f>
        <v>0</v>
      </c>
      <c r="U185" s="8">
        <f>IFERROR(__xludf.DUMMYFUNCTION("""COMPUTED_VALUE"""),0.0)</f>
        <v>0</v>
      </c>
      <c r="V185" s="8">
        <f>IFERROR(__xludf.DUMMYFUNCTION("""COMPUTED_VALUE"""),0.0)</f>
        <v>0</v>
      </c>
      <c r="W185" s="8">
        <f>IFERROR(__xludf.DUMMYFUNCTION("""COMPUTED_VALUE"""),0.0)</f>
        <v>0</v>
      </c>
      <c r="X185" s="8">
        <f>IFERROR(__xludf.DUMMYFUNCTION("""COMPUTED_VALUE"""),0.0)</f>
        <v>0</v>
      </c>
      <c r="Y185" s="8">
        <f>IFERROR(__xludf.DUMMYFUNCTION("""COMPUTED_VALUE"""),0.0)</f>
        <v>0</v>
      </c>
      <c r="Z185" s="8">
        <f>IFERROR(__xludf.DUMMYFUNCTION("""COMPUTED_VALUE"""),0.0)</f>
        <v>0</v>
      </c>
      <c r="AA185" s="8">
        <f>IFERROR(__xludf.DUMMYFUNCTION("""COMPUTED_VALUE"""),0.0)</f>
        <v>0</v>
      </c>
      <c r="AB185" s="8">
        <f>IFERROR(__xludf.DUMMYFUNCTION("""COMPUTED_VALUE"""),0.0)</f>
        <v>0</v>
      </c>
      <c r="AC185" s="8">
        <f>IFERROR(__xludf.DUMMYFUNCTION("""COMPUTED_VALUE"""),0.0)</f>
        <v>0</v>
      </c>
    </row>
    <row r="186" ht="15.75" customHeight="1">
      <c r="A186" s="6" t="str">
        <f>IFERROR(__xludf.DUMMYFUNCTION("""COMPUTED_VALUE"""),"a877c7bd8a3facfb24f79b876674d1437dd52fb5")</f>
        <v>a877c7bd8a3facfb24f79b876674d1437dd52fb5</v>
      </c>
      <c r="B186" s="6" t="str">
        <f>IFERROR(__xludf.DUMMYFUNCTION("""COMPUTED_VALUE"""),"Dragon System Awakening")</f>
        <v>Dragon System Awakening</v>
      </c>
      <c r="C186" s="6" t="str">
        <f>IFERROR(__xludf.DUMMYFUNCTION("""COMPUTED_VALUE"""),"System and Superpower")</f>
        <v>System and Superpower</v>
      </c>
      <c r="D186" s="11">
        <f>IFERROR(__xludf.DUMMYFUNCTION("""COMPUTED_VALUE"""),16686.0)</f>
        <v>16686</v>
      </c>
      <c r="E186" s="8">
        <f>IFERROR(__xludf.DUMMYFUNCTION("""COMPUTED_VALUE"""),0.954439182303219)</f>
        <v>0.9544391823</v>
      </c>
      <c r="F186" s="8">
        <f>IFERROR(__xludf.DUMMYFUNCTION("""COMPUTED_VALUE"""),0.694741265458038)</f>
        <v>0.6947412655</v>
      </c>
      <c r="G186" s="8">
        <f>IFERROR(__xludf.DUMMYFUNCTION("""COMPUTED_VALUE"""),0.646242566228149)</f>
        <v>0.6462425662</v>
      </c>
      <c r="H186" s="8">
        <f>IFERROR(__xludf.DUMMYFUNCTION("""COMPUTED_VALUE"""),0.615083899681241)</f>
        <v>0.6150838997</v>
      </c>
      <c r="I186" s="8">
        <f>IFERROR(__xludf.DUMMYFUNCTION("""COMPUTED_VALUE"""),0.585038517091959)</f>
        <v>0.5850385171</v>
      </c>
      <c r="J186" s="8">
        <f>IFERROR(__xludf.DUMMYFUNCTION("""COMPUTED_VALUE"""),0.567692956558414)</f>
        <v>0.5676929566</v>
      </c>
      <c r="K186" s="8">
        <f>IFERROR(__xludf.DUMMYFUNCTION("""COMPUTED_VALUE"""),0.548426004100832)</f>
        <v>0.5484260041</v>
      </c>
      <c r="L186" s="8">
        <f>IFERROR(__xludf.DUMMYFUNCTION("""COMPUTED_VALUE"""),0.533321249471331)</f>
        <v>0.5333212495</v>
      </c>
      <c r="M186" s="8">
        <f>IFERROR(__xludf.DUMMYFUNCTION("""COMPUTED_VALUE"""),0.516780552700006)</f>
        <v>0.5167805527</v>
      </c>
      <c r="N186" s="8">
        <f>IFERROR(__xludf.DUMMYFUNCTION("""COMPUTED_VALUE"""),0.50302700084756)</f>
        <v>0.5030270008</v>
      </c>
      <c r="O186" s="8">
        <f>IFERROR(__xludf.DUMMYFUNCTION("""COMPUTED_VALUE"""),0.454528853177501)</f>
        <v>0.4545288532</v>
      </c>
      <c r="P186" s="8">
        <f>IFERROR(__xludf.DUMMYFUNCTION("""COMPUTED_VALUE"""),0.381592681279548)</f>
        <v>0.3815926813</v>
      </c>
      <c r="Q186" s="8">
        <f>IFERROR(__xludf.DUMMYFUNCTION("""COMPUTED_VALUE"""),0.294191443984443)</f>
        <v>0.294191444</v>
      </c>
      <c r="R186" s="8">
        <f>IFERROR(__xludf.DUMMYFUNCTION("""COMPUTED_VALUE"""),0.25786283891547)</f>
        <v>0.2578628389</v>
      </c>
      <c r="S186" s="8">
        <f>IFERROR(__xludf.DUMMYFUNCTION("""COMPUTED_VALUE"""),0.231617113850616)</f>
        <v>0.2316171139</v>
      </c>
      <c r="T186" s="8">
        <f>IFERROR(__xludf.DUMMYFUNCTION("""COMPUTED_VALUE"""),0.20829972214753)</f>
        <v>0.2082997221</v>
      </c>
      <c r="U186" s="8">
        <f>IFERROR(__xludf.DUMMYFUNCTION("""COMPUTED_VALUE"""),0.189880188275566)</f>
        <v>0.1898801883</v>
      </c>
      <c r="V186" s="8">
        <f>IFERROR(__xludf.DUMMYFUNCTION("""COMPUTED_VALUE"""),0.167056378280072)</f>
        <v>0.1670563783</v>
      </c>
      <c r="W186" s="8">
        <f>IFERROR(__xludf.DUMMYFUNCTION("""COMPUTED_VALUE"""),0.144703610161937)</f>
        <v>0.1447036102</v>
      </c>
      <c r="X186" s="8">
        <f>IFERROR(__xludf.DUMMYFUNCTION("""COMPUTED_VALUE"""),0.127107887579329)</f>
        <v>0.1271078876</v>
      </c>
      <c r="Y186" s="8">
        <f>IFERROR(__xludf.DUMMYFUNCTION("""COMPUTED_VALUE"""),0.0827702702702702)</f>
        <v>0.08277027027</v>
      </c>
      <c r="Z186" s="8">
        <f>IFERROR(__xludf.DUMMYFUNCTION("""COMPUTED_VALUE"""),0.0)</f>
        <v>0</v>
      </c>
      <c r="AA186" s="8">
        <f>IFERROR(__xludf.DUMMYFUNCTION("""COMPUTED_VALUE"""),0.0)</f>
        <v>0</v>
      </c>
      <c r="AB186" s="8">
        <f>IFERROR(__xludf.DUMMYFUNCTION("""COMPUTED_VALUE"""),0.0)</f>
        <v>0</v>
      </c>
      <c r="AC186" s="8">
        <f>IFERROR(__xludf.DUMMYFUNCTION("""COMPUTED_VALUE"""),0.0)</f>
        <v>0</v>
      </c>
    </row>
    <row r="187" ht="15.75" customHeight="1">
      <c r="A187" s="6" t="str">
        <f>IFERROR(__xludf.DUMMYFUNCTION("""COMPUTED_VALUE"""),"a901618b218023453e7ca53e9fa1d9940b094e69")</f>
        <v>a901618b218023453e7ca53e9fa1d9940b094e69</v>
      </c>
      <c r="B187" s="6" t="str">
        <f>IFERROR(__xludf.DUMMYFUNCTION("""COMPUTED_VALUE"""),"The Devil's New Assistant")</f>
        <v>The Devil's New Assistant</v>
      </c>
      <c r="C187" s="6" t="str">
        <f>IFERROR(__xludf.DUMMYFUNCTION("""COMPUTED_VALUE"""),"Romance")</f>
        <v>Romance</v>
      </c>
      <c r="D187" s="11">
        <f>IFERROR(__xludf.DUMMYFUNCTION("""COMPUTED_VALUE"""),167.0)</f>
        <v>167</v>
      </c>
      <c r="E187" s="8">
        <f>IFERROR(__xludf.DUMMYFUNCTION("""COMPUTED_VALUE"""),0.957446808510638)</f>
        <v>0.9574468085</v>
      </c>
      <c r="F187" s="8">
        <f>IFERROR(__xludf.DUMMYFUNCTION("""COMPUTED_VALUE"""),0.469696969696969)</f>
        <v>0.4696969697</v>
      </c>
      <c r="G187" s="8">
        <f>IFERROR(__xludf.DUMMYFUNCTION("""COMPUTED_VALUE"""),0.408163265306122)</f>
        <v>0.4081632653</v>
      </c>
      <c r="H187" s="8">
        <f>IFERROR(__xludf.DUMMYFUNCTION("""COMPUTED_VALUE"""),0.3)</f>
        <v>0.3</v>
      </c>
      <c r="I187" s="8">
        <f>IFERROR(__xludf.DUMMYFUNCTION("""COMPUTED_VALUE"""),0.296296296296296)</f>
        <v>0.2962962963</v>
      </c>
      <c r="J187" s="8">
        <f>IFERROR(__xludf.DUMMYFUNCTION("""COMPUTED_VALUE"""),0.375)</f>
        <v>0.375</v>
      </c>
      <c r="K187" s="8">
        <f>IFERROR(__xludf.DUMMYFUNCTION("""COMPUTED_VALUE"""),0.4)</f>
        <v>0.4</v>
      </c>
      <c r="L187" s="8">
        <f>IFERROR(__xludf.DUMMYFUNCTION("""COMPUTED_VALUE"""),0.466666666666666)</f>
        <v>0.4666666667</v>
      </c>
      <c r="M187" s="8">
        <f>IFERROR(__xludf.DUMMYFUNCTION("""COMPUTED_VALUE"""),0.466666666666666)</f>
        <v>0.4666666667</v>
      </c>
      <c r="N187" s="8">
        <f>IFERROR(__xludf.DUMMYFUNCTION("""COMPUTED_VALUE"""),0.5)</f>
        <v>0.5</v>
      </c>
      <c r="O187" s="8">
        <f>IFERROR(__xludf.DUMMYFUNCTION("""COMPUTED_VALUE"""),0.5)</f>
        <v>0.5</v>
      </c>
      <c r="P187" s="8">
        <f>IFERROR(__xludf.DUMMYFUNCTION("""COMPUTED_VALUE"""),0.5)</f>
        <v>0.5</v>
      </c>
      <c r="Q187" s="8">
        <f>IFERROR(__xludf.DUMMYFUNCTION("""COMPUTED_VALUE"""),0.0)</f>
        <v>0</v>
      </c>
      <c r="R187" s="8">
        <f>IFERROR(__xludf.DUMMYFUNCTION("""COMPUTED_VALUE"""),0.0)</f>
        <v>0</v>
      </c>
      <c r="S187" s="8">
        <f>IFERROR(__xludf.DUMMYFUNCTION("""COMPUTED_VALUE"""),0.0)</f>
        <v>0</v>
      </c>
      <c r="T187" s="8">
        <f>IFERROR(__xludf.DUMMYFUNCTION("""COMPUTED_VALUE"""),0.0)</f>
        <v>0</v>
      </c>
      <c r="U187" s="8">
        <f>IFERROR(__xludf.DUMMYFUNCTION("""COMPUTED_VALUE"""),0.0)</f>
        <v>0</v>
      </c>
      <c r="V187" s="8">
        <f>IFERROR(__xludf.DUMMYFUNCTION("""COMPUTED_VALUE"""),0.0)</f>
        <v>0</v>
      </c>
      <c r="W187" s="8">
        <f>IFERROR(__xludf.DUMMYFUNCTION("""COMPUTED_VALUE"""),0.0)</f>
        <v>0</v>
      </c>
      <c r="X187" s="8">
        <f>IFERROR(__xludf.DUMMYFUNCTION("""COMPUTED_VALUE"""),0.0)</f>
        <v>0</v>
      </c>
      <c r="Y187" s="8">
        <f>IFERROR(__xludf.DUMMYFUNCTION("""COMPUTED_VALUE"""),0.0)</f>
        <v>0</v>
      </c>
      <c r="Z187" s="8">
        <f>IFERROR(__xludf.DUMMYFUNCTION("""COMPUTED_VALUE"""),0.0)</f>
        <v>0</v>
      </c>
      <c r="AA187" s="8">
        <f>IFERROR(__xludf.DUMMYFUNCTION("""COMPUTED_VALUE"""),0.0)</f>
        <v>0</v>
      </c>
      <c r="AB187" s="8">
        <f>IFERROR(__xludf.DUMMYFUNCTION("""COMPUTED_VALUE"""),0.0)</f>
        <v>0</v>
      </c>
      <c r="AC187" s="8">
        <f>IFERROR(__xludf.DUMMYFUNCTION("""COMPUTED_VALUE"""),0.0)</f>
        <v>0</v>
      </c>
    </row>
    <row r="188" ht="15.75" customHeight="1">
      <c r="A188" s="6" t="str">
        <f>IFERROR(__xludf.DUMMYFUNCTION("""COMPUTED_VALUE"""),"a92aaf29dca1833b578f42a2abbcdab8db2ff12e")</f>
        <v>a92aaf29dca1833b578f42a2abbcdab8db2ff12e</v>
      </c>
      <c r="B188" s="6" t="str">
        <f>IFERROR(__xludf.DUMMYFUNCTION("""COMPUTED_VALUE"""),"Bought for the Ice Ceo")</f>
        <v>Bought for the Ice Ceo</v>
      </c>
      <c r="C188" s="6" t="str">
        <f>IFERROR(__xludf.DUMMYFUNCTION("""COMPUTED_VALUE"""),"Romance")</f>
        <v>Romance</v>
      </c>
      <c r="D188" s="11">
        <f>IFERROR(__xludf.DUMMYFUNCTION("""COMPUTED_VALUE"""),594.0)</f>
        <v>594</v>
      </c>
      <c r="E188" s="8">
        <f>IFERROR(__xludf.DUMMYFUNCTION("""COMPUTED_VALUE"""),0.96964586846543)</f>
        <v>0.9696458685</v>
      </c>
      <c r="F188" s="8">
        <f>IFERROR(__xludf.DUMMYFUNCTION("""COMPUTED_VALUE"""),0.698145025295109)</f>
        <v>0.6981450253</v>
      </c>
      <c r="G188" s="8">
        <f>IFERROR(__xludf.DUMMYFUNCTION("""COMPUTED_VALUE"""),0.630691399662731)</f>
        <v>0.6306913997</v>
      </c>
      <c r="H188" s="8">
        <f>IFERROR(__xludf.DUMMYFUNCTION("""COMPUTED_VALUE"""),0.587837837837837)</f>
        <v>0.5878378378</v>
      </c>
      <c r="I188" s="8">
        <f>IFERROR(__xludf.DUMMYFUNCTION("""COMPUTED_VALUE"""),0.543918918918919)</f>
        <v>0.5439189189</v>
      </c>
      <c r="J188" s="8">
        <f>IFERROR(__xludf.DUMMYFUNCTION("""COMPUTED_VALUE"""),0.512690355329949)</f>
        <v>0.5126903553</v>
      </c>
      <c r="K188" s="8">
        <f>IFERROR(__xludf.DUMMYFUNCTION("""COMPUTED_VALUE"""),0.495769881556683)</f>
        <v>0.4957698816</v>
      </c>
      <c r="L188" s="8">
        <f>IFERROR(__xludf.DUMMYFUNCTION("""COMPUTED_VALUE"""),0.468697123519458)</f>
        <v>0.4686971235</v>
      </c>
      <c r="M188" s="8">
        <f>IFERROR(__xludf.DUMMYFUNCTION("""COMPUTED_VALUE"""),0.461928934010152)</f>
        <v>0.461928934</v>
      </c>
      <c r="N188" s="8">
        <f>IFERROR(__xludf.DUMMYFUNCTION("""COMPUTED_VALUE"""),0.431472081218274)</f>
        <v>0.4314720812</v>
      </c>
      <c r="O188" s="8">
        <f>IFERROR(__xludf.DUMMYFUNCTION("""COMPUTED_VALUE"""),0.377551020408163)</f>
        <v>0.3775510204</v>
      </c>
      <c r="P188" s="8">
        <f>IFERROR(__xludf.DUMMYFUNCTION("""COMPUTED_VALUE"""),0.234079173838209)</f>
        <v>0.2340791738</v>
      </c>
      <c r="Q188" s="8">
        <f>IFERROR(__xludf.DUMMYFUNCTION("""COMPUTED_VALUE"""),0.0905861456483126)</f>
        <v>0.09058614565</v>
      </c>
      <c r="R188" s="8">
        <f>IFERROR(__xludf.DUMMYFUNCTION("""COMPUTED_VALUE"""),0.0)</f>
        <v>0</v>
      </c>
      <c r="S188" s="8">
        <f>IFERROR(__xludf.DUMMYFUNCTION("""COMPUTED_VALUE"""),0.0)</f>
        <v>0</v>
      </c>
      <c r="T188" s="8">
        <f>IFERROR(__xludf.DUMMYFUNCTION("""COMPUTED_VALUE"""),0.0)</f>
        <v>0</v>
      </c>
      <c r="U188" s="8">
        <f>IFERROR(__xludf.DUMMYFUNCTION("""COMPUTED_VALUE"""),0.0)</f>
        <v>0</v>
      </c>
      <c r="V188" s="8">
        <f>IFERROR(__xludf.DUMMYFUNCTION("""COMPUTED_VALUE"""),0.0)</f>
        <v>0</v>
      </c>
      <c r="W188" s="8">
        <f>IFERROR(__xludf.DUMMYFUNCTION("""COMPUTED_VALUE"""),0.0)</f>
        <v>0</v>
      </c>
      <c r="X188" s="8">
        <f>IFERROR(__xludf.DUMMYFUNCTION("""COMPUTED_VALUE"""),0.0)</f>
        <v>0</v>
      </c>
      <c r="Y188" s="8">
        <f>IFERROR(__xludf.DUMMYFUNCTION("""COMPUTED_VALUE"""),0.0)</f>
        <v>0</v>
      </c>
      <c r="Z188" s="8">
        <f>IFERROR(__xludf.DUMMYFUNCTION("""COMPUTED_VALUE"""),0.0)</f>
        <v>0</v>
      </c>
      <c r="AA188" s="8">
        <f>IFERROR(__xludf.DUMMYFUNCTION("""COMPUTED_VALUE"""),0.0)</f>
        <v>0</v>
      </c>
      <c r="AB188" s="8">
        <f>IFERROR(__xludf.DUMMYFUNCTION("""COMPUTED_VALUE"""),0.0)</f>
        <v>0</v>
      </c>
      <c r="AC188" s="8">
        <f>IFERROR(__xludf.DUMMYFUNCTION("""COMPUTED_VALUE"""),0.0)</f>
        <v>0</v>
      </c>
    </row>
    <row r="189" ht="15.75" customHeight="1">
      <c r="A189" s="6" t="str">
        <f>IFERROR(__xludf.DUMMYFUNCTION("""COMPUTED_VALUE"""),"a978831eb87b7d63024465fa4df9a779feeaaf5a")</f>
        <v>a978831eb87b7d63024465fa4df9a779feeaaf5a</v>
      </c>
      <c r="B189" s="6" t="str">
        <f>IFERROR(__xludf.DUMMYFUNCTION("""COMPUTED_VALUE"""),"Extreme Medical Sage")</f>
        <v>Extreme Medical Sage</v>
      </c>
      <c r="C189" s="6" t="str">
        <f>IFERROR(__xludf.DUMMYFUNCTION("""COMPUTED_VALUE"""),"Fantasy")</f>
        <v>Fantasy</v>
      </c>
      <c r="D189" s="11">
        <f>IFERROR(__xludf.DUMMYFUNCTION("""COMPUTED_VALUE"""),423.0)</f>
        <v>423</v>
      </c>
      <c r="E189" s="8">
        <f>IFERROR(__xludf.DUMMYFUNCTION("""COMPUTED_VALUE"""),0.956937799043062)</f>
        <v>0.956937799</v>
      </c>
      <c r="F189" s="8">
        <f>IFERROR(__xludf.DUMMYFUNCTION("""COMPUTED_VALUE"""),0.636585365853658)</f>
        <v>0.6365853659</v>
      </c>
      <c r="G189" s="8">
        <f>IFERROR(__xludf.DUMMYFUNCTION("""COMPUTED_VALUE"""),0.541984732824427)</f>
        <v>0.5419847328</v>
      </c>
      <c r="H189" s="8">
        <f>IFERROR(__xludf.DUMMYFUNCTION("""COMPUTED_VALUE"""),0.520958083832335)</f>
        <v>0.5209580838</v>
      </c>
      <c r="I189" s="8">
        <f>IFERROR(__xludf.DUMMYFUNCTION("""COMPUTED_VALUE"""),0.488958990536277)</f>
        <v>0.4889589905</v>
      </c>
      <c r="J189" s="8">
        <f>IFERROR(__xludf.DUMMYFUNCTION("""COMPUTED_VALUE"""),0.47945205479452)</f>
        <v>0.4794520548</v>
      </c>
      <c r="K189" s="8">
        <f>IFERROR(__xludf.DUMMYFUNCTION("""COMPUTED_VALUE"""),0.434163701067615)</f>
        <v>0.4341637011</v>
      </c>
      <c r="L189" s="8">
        <f>IFERROR(__xludf.DUMMYFUNCTION("""COMPUTED_VALUE"""),0.395522388059701)</f>
        <v>0.3955223881</v>
      </c>
      <c r="M189" s="8">
        <f>IFERROR(__xludf.DUMMYFUNCTION("""COMPUTED_VALUE"""),0.384)</f>
        <v>0.384</v>
      </c>
      <c r="N189" s="8">
        <f>IFERROR(__xludf.DUMMYFUNCTION("""COMPUTED_VALUE"""),0.391111111111111)</f>
        <v>0.3911111111</v>
      </c>
      <c r="O189" s="8">
        <f>IFERROR(__xludf.DUMMYFUNCTION("""COMPUTED_VALUE"""),0.3475935828877)</f>
        <v>0.3475935829</v>
      </c>
      <c r="P189" s="8">
        <f>IFERROR(__xludf.DUMMYFUNCTION("""COMPUTED_VALUE"""),0.25)</f>
        <v>0.25</v>
      </c>
      <c r="Q189" s="8">
        <f>IFERROR(__xludf.DUMMYFUNCTION("""COMPUTED_VALUE"""),0.0784313725490196)</f>
        <v>0.07843137255</v>
      </c>
      <c r="R189" s="8">
        <f>IFERROR(__xludf.DUMMYFUNCTION("""COMPUTED_VALUE"""),0.0612244897959183)</f>
        <v>0.0612244898</v>
      </c>
      <c r="S189" s="8">
        <f>IFERROR(__xludf.DUMMYFUNCTION("""COMPUTED_VALUE"""),0.0222222222222222)</f>
        <v>0.02222222222</v>
      </c>
      <c r="T189" s="8">
        <f>IFERROR(__xludf.DUMMYFUNCTION("""COMPUTED_VALUE"""),0.0227272727272727)</f>
        <v>0.02272727273</v>
      </c>
      <c r="U189" s="8">
        <f>IFERROR(__xludf.DUMMYFUNCTION("""COMPUTED_VALUE"""),0.024390243902439)</f>
        <v>0.0243902439</v>
      </c>
      <c r="V189" s="8">
        <f>IFERROR(__xludf.DUMMYFUNCTION("""COMPUTED_VALUE"""),0.0263157894736842)</f>
        <v>0.02631578947</v>
      </c>
      <c r="W189" s="8">
        <f>IFERROR(__xludf.DUMMYFUNCTION("""COMPUTED_VALUE"""),0.03125)</f>
        <v>0.03125</v>
      </c>
      <c r="X189" s="8">
        <f>IFERROR(__xludf.DUMMYFUNCTION("""COMPUTED_VALUE"""),0.032258064516129)</f>
        <v>0.03225806452</v>
      </c>
      <c r="Y189" s="8">
        <f>IFERROR(__xludf.DUMMYFUNCTION("""COMPUTED_VALUE"""),0.0344827586206896)</f>
        <v>0.03448275862</v>
      </c>
      <c r="Z189" s="8">
        <f>IFERROR(__xludf.DUMMYFUNCTION("""COMPUTED_VALUE"""),0.0454545454545454)</f>
        <v>0.04545454545</v>
      </c>
      <c r="AA189" s="8">
        <f>IFERROR(__xludf.DUMMYFUNCTION("""COMPUTED_VALUE"""),0.0588235294117647)</f>
        <v>0.05882352941</v>
      </c>
      <c r="AB189" s="8">
        <f>IFERROR(__xludf.DUMMYFUNCTION("""COMPUTED_VALUE"""),0.0588235294117647)</f>
        <v>0.05882352941</v>
      </c>
      <c r="AC189" s="8">
        <f>IFERROR(__xludf.DUMMYFUNCTION("""COMPUTED_VALUE"""),0.0588235294117647)</f>
        <v>0.05882352941</v>
      </c>
    </row>
    <row r="190" ht="15.75" customHeight="1">
      <c r="A190" s="6" t="str">
        <f>IFERROR(__xludf.DUMMYFUNCTION("""COMPUTED_VALUE"""),"a9dd2d51d9347ce1a50ee64d1a38a6c33539ebc1")</f>
        <v>a9dd2d51d9347ce1a50ee64d1a38a6c33539ebc1</v>
      </c>
      <c r="B190" s="6" t="str">
        <f>IFERROR(__xludf.DUMMYFUNCTION("""COMPUTED_VALUE"""),"Billionaires Love Me")</f>
        <v>Billionaires Love Me</v>
      </c>
      <c r="C190" s="6" t="str">
        <f>IFERROR(__xludf.DUMMYFUNCTION("""COMPUTED_VALUE"""),"Romance")</f>
        <v>Romance</v>
      </c>
      <c r="D190" s="11">
        <f>IFERROR(__xludf.DUMMYFUNCTION("""COMPUTED_VALUE"""),233.0)</f>
        <v>233</v>
      </c>
      <c r="E190" s="8">
        <f>IFERROR(__xludf.DUMMYFUNCTION("""COMPUTED_VALUE"""),0.974025974025974)</f>
        <v>0.974025974</v>
      </c>
      <c r="F190" s="8">
        <f>IFERROR(__xludf.DUMMYFUNCTION("""COMPUTED_VALUE"""),0.585585585585585)</f>
        <v>0.5855855856</v>
      </c>
      <c r="G190" s="8">
        <f>IFERROR(__xludf.DUMMYFUNCTION("""COMPUTED_VALUE"""),0.488479262672811)</f>
        <v>0.4884792627</v>
      </c>
      <c r="H190" s="8">
        <f>IFERROR(__xludf.DUMMYFUNCTION("""COMPUTED_VALUE"""),0.448)</f>
        <v>0.448</v>
      </c>
      <c r="I190" s="8">
        <f>IFERROR(__xludf.DUMMYFUNCTION("""COMPUTED_VALUE"""),0.433734939759036)</f>
        <v>0.4337349398</v>
      </c>
      <c r="J190" s="8">
        <f>IFERROR(__xludf.DUMMYFUNCTION("""COMPUTED_VALUE"""),0.421686746987951)</f>
        <v>0.421686747</v>
      </c>
      <c r="K190" s="8">
        <f>IFERROR(__xludf.DUMMYFUNCTION("""COMPUTED_VALUE"""),0.385542168674698)</f>
        <v>0.3855421687</v>
      </c>
      <c r="L190" s="8">
        <f>IFERROR(__xludf.DUMMYFUNCTION("""COMPUTED_VALUE"""),0.325301204819277)</f>
        <v>0.3253012048</v>
      </c>
      <c r="M190" s="8">
        <f>IFERROR(__xludf.DUMMYFUNCTION("""COMPUTED_VALUE"""),0.313253012048192)</f>
        <v>0.313253012</v>
      </c>
      <c r="N190" s="8">
        <f>IFERROR(__xludf.DUMMYFUNCTION("""COMPUTED_VALUE"""),0.277108433734939)</f>
        <v>0.2771084337</v>
      </c>
      <c r="O190" s="8">
        <f>IFERROR(__xludf.DUMMYFUNCTION("""COMPUTED_VALUE"""),0.294871794871794)</f>
        <v>0.2948717949</v>
      </c>
      <c r="P190" s="8">
        <f>IFERROR(__xludf.DUMMYFUNCTION("""COMPUTED_VALUE"""),0.256756756756756)</f>
        <v>0.2567567568</v>
      </c>
      <c r="Q190" s="8">
        <f>IFERROR(__xludf.DUMMYFUNCTION("""COMPUTED_VALUE"""),0.203389830508474)</f>
        <v>0.2033898305</v>
      </c>
      <c r="R190" s="8">
        <f>IFERROR(__xludf.DUMMYFUNCTION("""COMPUTED_VALUE"""),0.172413793103448)</f>
        <v>0.1724137931</v>
      </c>
      <c r="S190" s="8">
        <f>IFERROR(__xludf.DUMMYFUNCTION("""COMPUTED_VALUE"""),0.0)</f>
        <v>0</v>
      </c>
      <c r="T190" s="8">
        <f>IFERROR(__xludf.DUMMYFUNCTION("""COMPUTED_VALUE"""),0.0)</f>
        <v>0</v>
      </c>
      <c r="U190" s="8">
        <f>IFERROR(__xludf.DUMMYFUNCTION("""COMPUTED_VALUE"""),0.0)</f>
        <v>0</v>
      </c>
      <c r="V190" s="8">
        <f>IFERROR(__xludf.DUMMYFUNCTION("""COMPUTED_VALUE"""),0.0)</f>
        <v>0</v>
      </c>
      <c r="W190" s="8">
        <f>IFERROR(__xludf.DUMMYFUNCTION("""COMPUTED_VALUE"""),0.0)</f>
        <v>0</v>
      </c>
      <c r="X190" s="8">
        <f>IFERROR(__xludf.DUMMYFUNCTION("""COMPUTED_VALUE"""),0.0)</f>
        <v>0</v>
      </c>
      <c r="Y190" s="8">
        <f>IFERROR(__xludf.DUMMYFUNCTION("""COMPUTED_VALUE"""),0.0)</f>
        <v>0</v>
      </c>
      <c r="Z190" s="8">
        <f>IFERROR(__xludf.DUMMYFUNCTION("""COMPUTED_VALUE"""),0.0)</f>
        <v>0</v>
      </c>
      <c r="AA190" s="8">
        <f>IFERROR(__xludf.DUMMYFUNCTION("""COMPUTED_VALUE"""),0.0)</f>
        <v>0</v>
      </c>
      <c r="AB190" s="8">
        <f>IFERROR(__xludf.DUMMYFUNCTION("""COMPUTED_VALUE"""),0.0)</f>
        <v>0</v>
      </c>
      <c r="AC190" s="8">
        <f>IFERROR(__xludf.DUMMYFUNCTION("""COMPUTED_VALUE"""),0.0)</f>
        <v>0</v>
      </c>
    </row>
    <row r="191" ht="15.75" customHeight="1">
      <c r="A191" s="6" t="str">
        <f>IFERROR(__xludf.DUMMYFUNCTION("""COMPUTED_VALUE"""),"aaa698f296d8b031a8ae9b94897fb07edda92f97")</f>
        <v>aaa698f296d8b031a8ae9b94897fb07edda92f97</v>
      </c>
      <c r="B191" s="6" t="str">
        <f>IFERROR(__xludf.DUMMYFUNCTION("""COMPUTED_VALUE"""),"A Heart Divided")</f>
        <v>A Heart Divided</v>
      </c>
      <c r="C191" s="6" t="str">
        <f>IFERROR(__xludf.DUMMYFUNCTION("""COMPUTED_VALUE"""),"Romance")</f>
        <v>Romance</v>
      </c>
      <c r="D191" s="11">
        <f>IFERROR(__xludf.DUMMYFUNCTION("""COMPUTED_VALUE"""),150.0)</f>
        <v>150</v>
      </c>
      <c r="E191" s="8">
        <f>IFERROR(__xludf.DUMMYFUNCTION("""COMPUTED_VALUE"""),0.913333333333333)</f>
        <v>0.9133333333</v>
      </c>
      <c r="F191" s="8">
        <f>IFERROR(__xludf.DUMMYFUNCTION("""COMPUTED_VALUE"""),0.706666666666666)</f>
        <v>0.7066666667</v>
      </c>
      <c r="G191" s="8">
        <f>IFERROR(__xludf.DUMMYFUNCTION("""COMPUTED_VALUE"""),0.633333333333333)</f>
        <v>0.6333333333</v>
      </c>
      <c r="H191" s="8">
        <f>IFERROR(__xludf.DUMMYFUNCTION("""COMPUTED_VALUE"""),0.6)</f>
        <v>0.6</v>
      </c>
      <c r="I191" s="8">
        <f>IFERROR(__xludf.DUMMYFUNCTION("""COMPUTED_VALUE"""),0.573333333333333)</f>
        <v>0.5733333333</v>
      </c>
      <c r="J191" s="8">
        <f>IFERROR(__xludf.DUMMYFUNCTION("""COMPUTED_VALUE"""),0.546666666666666)</f>
        <v>0.5466666667</v>
      </c>
      <c r="K191" s="8">
        <f>IFERROR(__xludf.DUMMYFUNCTION("""COMPUTED_VALUE"""),0.513333333333333)</f>
        <v>0.5133333333</v>
      </c>
      <c r="L191" s="8">
        <f>IFERROR(__xludf.DUMMYFUNCTION("""COMPUTED_VALUE"""),0.48)</f>
        <v>0.48</v>
      </c>
      <c r="M191" s="8">
        <f>IFERROR(__xludf.DUMMYFUNCTION("""COMPUTED_VALUE"""),0.44)</f>
        <v>0.44</v>
      </c>
      <c r="N191" s="8">
        <f>IFERROR(__xludf.DUMMYFUNCTION("""COMPUTED_VALUE"""),0.393333333333333)</f>
        <v>0.3933333333</v>
      </c>
      <c r="O191" s="8">
        <f>IFERROR(__xludf.DUMMYFUNCTION("""COMPUTED_VALUE"""),0.32)</f>
        <v>0.32</v>
      </c>
      <c r="P191" s="8">
        <f>IFERROR(__xludf.DUMMYFUNCTION("""COMPUTED_VALUE"""),0.208053691275167)</f>
        <v>0.2080536913</v>
      </c>
      <c r="Q191" s="8">
        <f>IFERROR(__xludf.DUMMYFUNCTION("""COMPUTED_VALUE"""),0.0821917808219178)</f>
        <v>0.08219178082</v>
      </c>
      <c r="R191" s="8">
        <f>IFERROR(__xludf.DUMMYFUNCTION("""COMPUTED_VALUE"""),0.0616438356164383)</f>
        <v>0.06164383562</v>
      </c>
      <c r="S191" s="8">
        <f>IFERROR(__xludf.DUMMYFUNCTION("""COMPUTED_VALUE"""),0.0)</f>
        <v>0</v>
      </c>
      <c r="T191" s="8">
        <f>IFERROR(__xludf.DUMMYFUNCTION("""COMPUTED_VALUE"""),0.0)</f>
        <v>0</v>
      </c>
      <c r="U191" s="8">
        <f>IFERROR(__xludf.DUMMYFUNCTION("""COMPUTED_VALUE"""),0.0)</f>
        <v>0</v>
      </c>
      <c r="V191" s="8">
        <f>IFERROR(__xludf.DUMMYFUNCTION("""COMPUTED_VALUE"""),0.0)</f>
        <v>0</v>
      </c>
      <c r="W191" s="8">
        <f>IFERROR(__xludf.DUMMYFUNCTION("""COMPUTED_VALUE"""),0.0)</f>
        <v>0</v>
      </c>
      <c r="X191" s="8">
        <f>IFERROR(__xludf.DUMMYFUNCTION("""COMPUTED_VALUE"""),0.0)</f>
        <v>0</v>
      </c>
      <c r="Y191" s="8">
        <f>IFERROR(__xludf.DUMMYFUNCTION("""COMPUTED_VALUE"""),0.0)</f>
        <v>0</v>
      </c>
      <c r="Z191" s="8">
        <f>IFERROR(__xludf.DUMMYFUNCTION("""COMPUTED_VALUE"""),0.0)</f>
        <v>0</v>
      </c>
      <c r="AA191" s="8">
        <f>IFERROR(__xludf.DUMMYFUNCTION("""COMPUTED_VALUE"""),0.0)</f>
        <v>0</v>
      </c>
      <c r="AB191" s="8">
        <f>IFERROR(__xludf.DUMMYFUNCTION("""COMPUTED_VALUE"""),0.0)</f>
        <v>0</v>
      </c>
      <c r="AC191" s="8">
        <f>IFERROR(__xludf.DUMMYFUNCTION("""COMPUTED_VALUE"""),0.0)</f>
        <v>0</v>
      </c>
    </row>
    <row r="192" ht="15.75" customHeight="1">
      <c r="A192" s="6" t="str">
        <f>IFERROR(__xludf.DUMMYFUNCTION("""COMPUTED_VALUE"""),"aab4996493c32f1ec5e010a7e9b25c3e280e1445")</f>
        <v>aab4996493c32f1ec5e010a7e9b25c3e280e1445</v>
      </c>
      <c r="B192" s="6" t="str">
        <f>IFERROR(__xludf.DUMMYFUNCTION("""COMPUTED_VALUE"""),"Love Forever")</f>
        <v>Love Forever</v>
      </c>
      <c r="C192" s="6" t="str">
        <f>IFERROR(__xludf.DUMMYFUNCTION("""COMPUTED_VALUE"""),"Romance")</f>
        <v>Romance</v>
      </c>
      <c r="D192" s="11">
        <f>IFERROR(__xludf.DUMMYFUNCTION("""COMPUTED_VALUE"""),81.0)</f>
        <v>81</v>
      </c>
      <c r="E192" s="8">
        <f>IFERROR(__xludf.DUMMYFUNCTION("""COMPUTED_VALUE"""),0.987654320987654)</f>
        <v>0.987654321</v>
      </c>
      <c r="F192" s="8">
        <f>IFERROR(__xludf.DUMMYFUNCTION("""COMPUTED_VALUE"""),0.617283950617283)</f>
        <v>0.6172839506</v>
      </c>
      <c r="G192" s="8">
        <f>IFERROR(__xludf.DUMMYFUNCTION("""COMPUTED_VALUE"""),0.506172839506172)</f>
        <v>0.5061728395</v>
      </c>
      <c r="H192" s="8">
        <f>IFERROR(__xludf.DUMMYFUNCTION("""COMPUTED_VALUE"""),0.45679012345679)</f>
        <v>0.4567901235</v>
      </c>
      <c r="I192" s="8">
        <f>IFERROR(__xludf.DUMMYFUNCTION("""COMPUTED_VALUE"""),0.407407407407407)</f>
        <v>0.4074074074</v>
      </c>
      <c r="J192" s="8">
        <f>IFERROR(__xludf.DUMMYFUNCTION("""COMPUTED_VALUE"""),0.382716049382716)</f>
        <v>0.3827160494</v>
      </c>
      <c r="K192" s="8">
        <f>IFERROR(__xludf.DUMMYFUNCTION("""COMPUTED_VALUE"""),0.37037037037037)</f>
        <v>0.3703703704</v>
      </c>
      <c r="L192" s="8">
        <f>IFERROR(__xludf.DUMMYFUNCTION("""COMPUTED_VALUE"""),0.37037037037037)</f>
        <v>0.3703703704</v>
      </c>
      <c r="M192" s="8">
        <f>IFERROR(__xludf.DUMMYFUNCTION("""COMPUTED_VALUE"""),0.4)</f>
        <v>0.4</v>
      </c>
      <c r="N192" s="8">
        <f>IFERROR(__xludf.DUMMYFUNCTION("""COMPUTED_VALUE"""),0.3125)</f>
        <v>0.3125</v>
      </c>
      <c r="O192" s="8">
        <f>IFERROR(__xludf.DUMMYFUNCTION("""COMPUTED_VALUE"""),0.3375)</f>
        <v>0.3375</v>
      </c>
      <c r="P192" s="8">
        <f>IFERROR(__xludf.DUMMYFUNCTION("""COMPUTED_VALUE"""),0.175)</f>
        <v>0.175</v>
      </c>
      <c r="Q192" s="8">
        <f>IFERROR(__xludf.DUMMYFUNCTION("""COMPUTED_VALUE"""),0.10126582278481)</f>
        <v>0.1012658228</v>
      </c>
      <c r="R192" s="8">
        <f>IFERROR(__xludf.DUMMYFUNCTION("""COMPUTED_VALUE"""),0.0759493670886076)</f>
        <v>0.07594936709</v>
      </c>
      <c r="S192" s="8">
        <f>IFERROR(__xludf.DUMMYFUNCTION("""COMPUTED_VALUE"""),0.0)</f>
        <v>0</v>
      </c>
      <c r="T192" s="8">
        <f>IFERROR(__xludf.DUMMYFUNCTION("""COMPUTED_VALUE"""),0.0)</f>
        <v>0</v>
      </c>
      <c r="U192" s="8">
        <f>IFERROR(__xludf.DUMMYFUNCTION("""COMPUTED_VALUE"""),0.0)</f>
        <v>0</v>
      </c>
      <c r="V192" s="8">
        <f>IFERROR(__xludf.DUMMYFUNCTION("""COMPUTED_VALUE"""),0.0)</f>
        <v>0</v>
      </c>
      <c r="W192" s="8">
        <f>IFERROR(__xludf.DUMMYFUNCTION("""COMPUTED_VALUE"""),0.0)</f>
        <v>0</v>
      </c>
      <c r="X192" s="8">
        <f>IFERROR(__xludf.DUMMYFUNCTION("""COMPUTED_VALUE"""),0.0)</f>
        <v>0</v>
      </c>
      <c r="Y192" s="8">
        <f>IFERROR(__xludf.DUMMYFUNCTION("""COMPUTED_VALUE"""),0.0)</f>
        <v>0</v>
      </c>
      <c r="Z192" s="8">
        <f>IFERROR(__xludf.DUMMYFUNCTION("""COMPUTED_VALUE"""),0.0)</f>
        <v>0</v>
      </c>
      <c r="AA192" s="8">
        <f>IFERROR(__xludf.DUMMYFUNCTION("""COMPUTED_VALUE"""),0.0)</f>
        <v>0</v>
      </c>
      <c r="AB192" s="8">
        <f>IFERROR(__xludf.DUMMYFUNCTION("""COMPUTED_VALUE"""),0.0)</f>
        <v>0</v>
      </c>
      <c r="AC192" s="8">
        <f>IFERROR(__xludf.DUMMYFUNCTION("""COMPUTED_VALUE"""),0.0)</f>
        <v>0</v>
      </c>
    </row>
    <row r="193" ht="15.75" customHeight="1">
      <c r="A193" s="6" t="str">
        <f>IFERROR(__xludf.DUMMYFUNCTION("""COMPUTED_VALUE"""),"ab0abb1b032efe35c0bd9be9cb6f80f8738dc1c9")</f>
        <v>ab0abb1b032efe35c0bd9be9cb6f80f8738dc1c9</v>
      </c>
      <c r="B193" s="6" t="str">
        <f>IFERROR(__xludf.DUMMYFUNCTION("""COMPUTED_VALUE"""),"Kaizen Aritoku Rise")</f>
        <v>Kaizen Aritoku Rise</v>
      </c>
      <c r="C193" s="6" t="str">
        <f>IFERROR(__xludf.DUMMYFUNCTION("""COMPUTED_VALUE"""),"System and Superpower")</f>
        <v>System and Superpower</v>
      </c>
      <c r="D193" s="11">
        <f>IFERROR(__xludf.DUMMYFUNCTION("""COMPUTED_VALUE"""),25.0)</f>
        <v>25</v>
      </c>
      <c r="E193" s="8">
        <f>IFERROR(__xludf.DUMMYFUNCTION("""COMPUTED_VALUE"""),1.0)</f>
        <v>1</v>
      </c>
      <c r="F193" s="8">
        <f>IFERROR(__xludf.DUMMYFUNCTION("""COMPUTED_VALUE"""),0.52)</f>
        <v>0.52</v>
      </c>
      <c r="G193" s="8">
        <f>IFERROR(__xludf.DUMMYFUNCTION("""COMPUTED_VALUE"""),0.44)</f>
        <v>0.44</v>
      </c>
      <c r="H193" s="8">
        <f>IFERROR(__xludf.DUMMYFUNCTION("""COMPUTED_VALUE"""),0.4)</f>
        <v>0.4</v>
      </c>
      <c r="I193" s="8">
        <f>IFERROR(__xludf.DUMMYFUNCTION("""COMPUTED_VALUE"""),0.36)</f>
        <v>0.36</v>
      </c>
      <c r="J193" s="8">
        <f>IFERROR(__xludf.DUMMYFUNCTION("""COMPUTED_VALUE"""),0.36)</f>
        <v>0.36</v>
      </c>
      <c r="K193" s="8">
        <f>IFERROR(__xludf.DUMMYFUNCTION("""COMPUTED_VALUE"""),0.36)</f>
        <v>0.36</v>
      </c>
      <c r="L193" s="8">
        <f>IFERROR(__xludf.DUMMYFUNCTION("""COMPUTED_VALUE"""),0.291666666666666)</f>
        <v>0.2916666667</v>
      </c>
      <c r="M193" s="8">
        <f>IFERROR(__xludf.DUMMYFUNCTION("""COMPUTED_VALUE"""),0.291666666666666)</f>
        <v>0.2916666667</v>
      </c>
      <c r="N193" s="8">
        <f>IFERROR(__xludf.DUMMYFUNCTION("""COMPUTED_VALUE"""),0.333333333333333)</f>
        <v>0.3333333333</v>
      </c>
      <c r="O193" s="8">
        <f>IFERROR(__xludf.DUMMYFUNCTION("""COMPUTED_VALUE"""),0.125)</f>
        <v>0.125</v>
      </c>
      <c r="P193" s="8">
        <f>IFERROR(__xludf.DUMMYFUNCTION("""COMPUTED_VALUE"""),0.0833333333333333)</f>
        <v>0.08333333333</v>
      </c>
      <c r="Q193" s="8">
        <f>IFERROR(__xludf.DUMMYFUNCTION("""COMPUTED_VALUE"""),0.0454545454545454)</f>
        <v>0.04545454545</v>
      </c>
      <c r="R193" s="8">
        <f>IFERROR(__xludf.DUMMYFUNCTION("""COMPUTED_VALUE"""),0.0)</f>
        <v>0</v>
      </c>
      <c r="S193" s="8">
        <f>IFERROR(__xludf.DUMMYFUNCTION("""COMPUTED_VALUE"""),0.0)</f>
        <v>0</v>
      </c>
      <c r="T193" s="8">
        <f>IFERROR(__xludf.DUMMYFUNCTION("""COMPUTED_VALUE"""),0.0)</f>
        <v>0</v>
      </c>
      <c r="U193" s="8">
        <f>IFERROR(__xludf.DUMMYFUNCTION("""COMPUTED_VALUE"""),0.0)</f>
        <v>0</v>
      </c>
      <c r="V193" s="8">
        <f>IFERROR(__xludf.DUMMYFUNCTION("""COMPUTED_VALUE"""),0.0)</f>
        <v>0</v>
      </c>
      <c r="W193" s="8">
        <f>IFERROR(__xludf.DUMMYFUNCTION("""COMPUTED_VALUE"""),0.0)</f>
        <v>0</v>
      </c>
      <c r="X193" s="8">
        <f>IFERROR(__xludf.DUMMYFUNCTION("""COMPUTED_VALUE"""),0.0)</f>
        <v>0</v>
      </c>
      <c r="Y193" s="8">
        <f>IFERROR(__xludf.DUMMYFUNCTION("""COMPUTED_VALUE"""),0.0)</f>
        <v>0</v>
      </c>
      <c r="Z193" s="8">
        <f>IFERROR(__xludf.DUMMYFUNCTION("""COMPUTED_VALUE"""),0.0)</f>
        <v>0</v>
      </c>
      <c r="AA193" s="8">
        <f>IFERROR(__xludf.DUMMYFUNCTION("""COMPUTED_VALUE"""),0.0)</f>
        <v>0</v>
      </c>
      <c r="AB193" s="8">
        <f>IFERROR(__xludf.DUMMYFUNCTION("""COMPUTED_VALUE"""),0.0)</f>
        <v>0</v>
      </c>
      <c r="AC193" s="8">
        <f>IFERROR(__xludf.DUMMYFUNCTION("""COMPUTED_VALUE"""),0.0)</f>
        <v>0</v>
      </c>
    </row>
    <row r="194" ht="15.75" customHeight="1">
      <c r="A194" s="6" t="str">
        <f>IFERROR(__xludf.DUMMYFUNCTION("""COMPUTED_VALUE"""),"abe99e0d615e9d7ebbf5d941810842cf64a74c6c")</f>
        <v>abe99e0d615e9d7ebbf5d941810842cf64a74c6c</v>
      </c>
      <c r="B194" s="6" t="str">
        <f>IFERROR(__xludf.DUMMYFUNCTION("""COMPUTED_VALUE"""),"Forgetting You, Lily")</f>
        <v>Forgetting You, Lily</v>
      </c>
      <c r="C194" s="6" t="str">
        <f>IFERROR(__xludf.DUMMYFUNCTION("""COMPUTED_VALUE"""),"Romance")</f>
        <v>Romance</v>
      </c>
      <c r="D194" s="11">
        <f>IFERROR(__xludf.DUMMYFUNCTION("""COMPUTED_VALUE"""),86.0)</f>
        <v>86</v>
      </c>
      <c r="E194" s="8">
        <f>IFERROR(__xludf.DUMMYFUNCTION("""COMPUTED_VALUE"""),0.987012987012987)</f>
        <v>0.987012987</v>
      </c>
      <c r="F194" s="8">
        <f>IFERROR(__xludf.DUMMYFUNCTION("""COMPUTED_VALUE"""),0.428571428571428)</f>
        <v>0.4285714286</v>
      </c>
      <c r="G194" s="8">
        <f>IFERROR(__xludf.DUMMYFUNCTION("""COMPUTED_VALUE"""),0.283582089552238)</f>
        <v>0.2835820896</v>
      </c>
      <c r="H194" s="8">
        <f>IFERROR(__xludf.DUMMYFUNCTION("""COMPUTED_VALUE"""),0.25)</f>
        <v>0.25</v>
      </c>
      <c r="I194" s="8">
        <f>IFERROR(__xludf.DUMMYFUNCTION("""COMPUTED_VALUE"""),0.210526315789473)</f>
        <v>0.2105263158</v>
      </c>
      <c r="J194" s="8">
        <f>IFERROR(__xludf.DUMMYFUNCTION("""COMPUTED_VALUE"""),0.2)</f>
        <v>0.2</v>
      </c>
      <c r="K194" s="8">
        <f>IFERROR(__xludf.DUMMYFUNCTION("""COMPUTED_VALUE"""),0.173076923076923)</f>
        <v>0.1730769231</v>
      </c>
      <c r="L194" s="8">
        <f>IFERROR(__xludf.DUMMYFUNCTION("""COMPUTED_VALUE"""),0.2)</f>
        <v>0.2</v>
      </c>
      <c r="M194" s="8">
        <f>IFERROR(__xludf.DUMMYFUNCTION("""COMPUTED_VALUE"""),0.2)</f>
        <v>0.2</v>
      </c>
      <c r="N194" s="8">
        <f>IFERROR(__xludf.DUMMYFUNCTION("""COMPUTED_VALUE"""),0.15625)</f>
        <v>0.15625</v>
      </c>
      <c r="O194" s="8">
        <f>IFERROR(__xludf.DUMMYFUNCTION("""COMPUTED_VALUE"""),0.0434782608695652)</f>
        <v>0.04347826087</v>
      </c>
      <c r="P194" s="8">
        <f>IFERROR(__xludf.DUMMYFUNCTION("""COMPUTED_VALUE"""),0.0)</f>
        <v>0</v>
      </c>
      <c r="Q194" s="8">
        <f>IFERROR(__xludf.DUMMYFUNCTION("""COMPUTED_VALUE"""),0.0)</f>
        <v>0</v>
      </c>
      <c r="R194" s="8">
        <f>IFERROR(__xludf.DUMMYFUNCTION("""COMPUTED_VALUE"""),0.0)</f>
        <v>0</v>
      </c>
      <c r="S194" s="8">
        <f>IFERROR(__xludf.DUMMYFUNCTION("""COMPUTED_VALUE"""),0.0)</f>
        <v>0</v>
      </c>
      <c r="T194" s="8">
        <f>IFERROR(__xludf.DUMMYFUNCTION("""COMPUTED_VALUE"""),0.0)</f>
        <v>0</v>
      </c>
      <c r="U194" s="8">
        <f>IFERROR(__xludf.DUMMYFUNCTION("""COMPUTED_VALUE"""),0.0)</f>
        <v>0</v>
      </c>
      <c r="V194" s="8">
        <f>IFERROR(__xludf.DUMMYFUNCTION("""COMPUTED_VALUE"""),0.0)</f>
        <v>0</v>
      </c>
      <c r="W194" s="8">
        <f>IFERROR(__xludf.DUMMYFUNCTION("""COMPUTED_VALUE"""),0.0)</f>
        <v>0</v>
      </c>
      <c r="X194" s="8">
        <f>IFERROR(__xludf.DUMMYFUNCTION("""COMPUTED_VALUE"""),0.0)</f>
        <v>0</v>
      </c>
      <c r="Y194" s="8">
        <f>IFERROR(__xludf.DUMMYFUNCTION("""COMPUTED_VALUE"""),0.0)</f>
        <v>0</v>
      </c>
      <c r="Z194" s="8">
        <f>IFERROR(__xludf.DUMMYFUNCTION("""COMPUTED_VALUE"""),0.0)</f>
        <v>0</v>
      </c>
      <c r="AA194" s="8">
        <f>IFERROR(__xludf.DUMMYFUNCTION("""COMPUTED_VALUE"""),0.0)</f>
        <v>0</v>
      </c>
      <c r="AB194" s="8">
        <f>IFERROR(__xludf.DUMMYFUNCTION("""COMPUTED_VALUE"""),0.0)</f>
        <v>0</v>
      </c>
      <c r="AC194" s="8">
        <f>IFERROR(__xludf.DUMMYFUNCTION("""COMPUTED_VALUE"""),0.0)</f>
        <v>0</v>
      </c>
    </row>
    <row r="195" ht="15.75" customHeight="1">
      <c r="A195" s="6" t="str">
        <f>IFERROR(__xludf.DUMMYFUNCTION("""COMPUTED_VALUE"""),"ac20da1af1ee60dd2020e8ff294c8c9dcf5be7ba")</f>
        <v>ac20da1af1ee60dd2020e8ff294c8c9dcf5be7ba</v>
      </c>
      <c r="B195" s="6" t="str">
        <f>IFERROR(__xludf.DUMMYFUNCTION("""COMPUTED_VALUE"""),"General Drake")</f>
        <v>General Drake</v>
      </c>
      <c r="C195" s="6" t="str">
        <f>IFERROR(__xludf.DUMMYFUNCTION("""COMPUTED_VALUE"""),"Suspense or Thriller")</f>
        <v>Suspense or Thriller</v>
      </c>
      <c r="D195" s="11">
        <f>IFERROR(__xludf.DUMMYFUNCTION("""COMPUTED_VALUE"""),109.0)</f>
        <v>109</v>
      </c>
      <c r="E195" s="8">
        <f>IFERROR(__xludf.DUMMYFUNCTION("""COMPUTED_VALUE"""),0.990825688073394)</f>
        <v>0.9908256881</v>
      </c>
      <c r="F195" s="8">
        <f>IFERROR(__xludf.DUMMYFUNCTION("""COMPUTED_VALUE"""),0.770642201834862)</f>
        <v>0.7706422018</v>
      </c>
      <c r="G195" s="8">
        <f>IFERROR(__xludf.DUMMYFUNCTION("""COMPUTED_VALUE"""),0.678899082568807)</f>
        <v>0.6788990826</v>
      </c>
      <c r="H195" s="8">
        <f>IFERROR(__xludf.DUMMYFUNCTION("""COMPUTED_VALUE"""),0.633027522935779)</f>
        <v>0.6330275229</v>
      </c>
      <c r="I195" s="8">
        <f>IFERROR(__xludf.DUMMYFUNCTION("""COMPUTED_VALUE"""),0.587155963302752)</f>
        <v>0.5871559633</v>
      </c>
      <c r="J195" s="8">
        <f>IFERROR(__xludf.DUMMYFUNCTION("""COMPUTED_VALUE"""),0.541284403669724)</f>
        <v>0.5412844037</v>
      </c>
      <c r="K195" s="8">
        <f>IFERROR(__xludf.DUMMYFUNCTION("""COMPUTED_VALUE"""),0.495412844036697)</f>
        <v>0.495412844</v>
      </c>
      <c r="L195" s="8">
        <f>IFERROR(__xludf.DUMMYFUNCTION("""COMPUTED_VALUE"""),0.42)</f>
        <v>0.42</v>
      </c>
      <c r="M195" s="8">
        <f>IFERROR(__xludf.DUMMYFUNCTION("""COMPUTED_VALUE"""),0.41)</f>
        <v>0.41</v>
      </c>
      <c r="N195" s="8">
        <f>IFERROR(__xludf.DUMMYFUNCTION("""COMPUTED_VALUE"""),0.4)</f>
        <v>0.4</v>
      </c>
      <c r="O195" s="8">
        <f>IFERROR(__xludf.DUMMYFUNCTION("""COMPUTED_VALUE"""),0.333333333333333)</f>
        <v>0.3333333333</v>
      </c>
      <c r="P195" s="8">
        <f>IFERROR(__xludf.DUMMYFUNCTION("""COMPUTED_VALUE"""),0.188235294117647)</f>
        <v>0.1882352941</v>
      </c>
      <c r="Q195" s="8">
        <f>IFERROR(__xludf.DUMMYFUNCTION("""COMPUTED_VALUE"""),0.170731707317073)</f>
        <v>0.1707317073</v>
      </c>
      <c r="R195" s="8">
        <f>IFERROR(__xludf.DUMMYFUNCTION("""COMPUTED_VALUE"""),0.0)</f>
        <v>0</v>
      </c>
      <c r="S195" s="8">
        <f>IFERROR(__xludf.DUMMYFUNCTION("""COMPUTED_VALUE"""),0.0)</f>
        <v>0</v>
      </c>
      <c r="T195" s="8">
        <f>IFERROR(__xludf.DUMMYFUNCTION("""COMPUTED_VALUE"""),0.0)</f>
        <v>0</v>
      </c>
      <c r="U195" s="8">
        <f>IFERROR(__xludf.DUMMYFUNCTION("""COMPUTED_VALUE"""),0.0)</f>
        <v>0</v>
      </c>
      <c r="V195" s="8">
        <f>IFERROR(__xludf.DUMMYFUNCTION("""COMPUTED_VALUE"""),0.0)</f>
        <v>0</v>
      </c>
      <c r="W195" s="8">
        <f>IFERROR(__xludf.DUMMYFUNCTION("""COMPUTED_VALUE"""),0.0)</f>
        <v>0</v>
      </c>
      <c r="X195" s="8">
        <f>IFERROR(__xludf.DUMMYFUNCTION("""COMPUTED_VALUE"""),0.0)</f>
        <v>0</v>
      </c>
      <c r="Y195" s="8">
        <f>IFERROR(__xludf.DUMMYFUNCTION("""COMPUTED_VALUE"""),0.0)</f>
        <v>0</v>
      </c>
      <c r="Z195" s="8">
        <f>IFERROR(__xludf.DUMMYFUNCTION("""COMPUTED_VALUE"""),0.0)</f>
        <v>0</v>
      </c>
      <c r="AA195" s="8">
        <f>IFERROR(__xludf.DUMMYFUNCTION("""COMPUTED_VALUE"""),0.0)</f>
        <v>0</v>
      </c>
      <c r="AB195" s="8">
        <f>IFERROR(__xludf.DUMMYFUNCTION("""COMPUTED_VALUE"""),0.0)</f>
        <v>0</v>
      </c>
      <c r="AC195" s="8">
        <f>IFERROR(__xludf.DUMMYFUNCTION("""COMPUTED_VALUE"""),0.0)</f>
        <v>0</v>
      </c>
    </row>
    <row r="196" ht="15.75" customHeight="1">
      <c r="A196" s="6" t="str">
        <f>IFERROR(__xludf.DUMMYFUNCTION("""COMPUTED_VALUE"""),"ad2e8d85f798bb8f66e9add56b1e29d7018e06fb")</f>
        <v>ad2e8d85f798bb8f66e9add56b1e29d7018e06fb</v>
      </c>
      <c r="B196" s="6" t="str">
        <f>IFERROR(__xludf.DUMMYFUNCTION("""COMPUTED_VALUE"""),"Embezzling Simp Funds")</f>
        <v>Embezzling Simp Funds</v>
      </c>
      <c r="C196" s="6" t="str">
        <f>IFERROR(__xludf.DUMMYFUNCTION("""COMPUTED_VALUE"""),"System and Superpower")</f>
        <v>System and Superpower</v>
      </c>
      <c r="D196" s="11">
        <f>IFERROR(__xludf.DUMMYFUNCTION("""COMPUTED_VALUE"""),524.0)</f>
        <v>524</v>
      </c>
      <c r="E196" s="8">
        <f>IFERROR(__xludf.DUMMYFUNCTION("""COMPUTED_VALUE"""),0.99236641221374)</f>
        <v>0.9923664122</v>
      </c>
      <c r="F196" s="8">
        <f>IFERROR(__xludf.DUMMYFUNCTION("""COMPUTED_VALUE"""),0.508604206500956)</f>
        <v>0.5086042065</v>
      </c>
      <c r="G196" s="8">
        <f>IFERROR(__xludf.DUMMYFUNCTION("""COMPUTED_VALUE"""),0.447418738049713)</f>
        <v>0.447418738</v>
      </c>
      <c r="H196" s="8">
        <f>IFERROR(__xludf.DUMMYFUNCTION("""COMPUTED_VALUE"""),0.403441682600382)</f>
        <v>0.4034416826</v>
      </c>
      <c r="I196" s="8">
        <f>IFERROR(__xludf.DUMMYFUNCTION("""COMPUTED_VALUE"""),0.367816091954023)</f>
        <v>0.367816092</v>
      </c>
      <c r="J196" s="8">
        <f>IFERROR(__xludf.DUMMYFUNCTION("""COMPUTED_VALUE"""),0.346743295019157)</f>
        <v>0.346743295</v>
      </c>
      <c r="K196" s="8">
        <f>IFERROR(__xludf.DUMMYFUNCTION("""COMPUTED_VALUE"""),0.325670498084291)</f>
        <v>0.3256704981</v>
      </c>
      <c r="L196" s="8">
        <f>IFERROR(__xludf.DUMMYFUNCTION("""COMPUTED_VALUE"""),0.296934865900383)</f>
        <v>0.2969348659</v>
      </c>
      <c r="M196" s="8">
        <f>IFERROR(__xludf.DUMMYFUNCTION("""COMPUTED_VALUE"""),0.291746641074856)</f>
        <v>0.2917466411</v>
      </c>
      <c r="N196" s="8">
        <f>IFERROR(__xludf.DUMMYFUNCTION("""COMPUTED_VALUE"""),0.28214971209213)</f>
        <v>0.2821497121</v>
      </c>
      <c r="O196" s="8">
        <f>IFERROR(__xludf.DUMMYFUNCTION("""COMPUTED_VALUE"""),0.20997920997921)</f>
        <v>0.20997921</v>
      </c>
      <c r="P196" s="8">
        <f>IFERROR(__xludf.DUMMYFUNCTION("""COMPUTED_VALUE"""),0.174358974358974)</f>
        <v>0.1743589744</v>
      </c>
      <c r="Q196" s="8">
        <f>IFERROR(__xludf.DUMMYFUNCTION("""COMPUTED_VALUE"""),0.171428571428571)</f>
        <v>0.1714285714</v>
      </c>
      <c r="R196" s="8">
        <f>IFERROR(__xludf.DUMMYFUNCTION("""COMPUTED_VALUE"""),0.142857142857142)</f>
        <v>0.1428571429</v>
      </c>
      <c r="S196" s="8">
        <f>IFERROR(__xludf.DUMMYFUNCTION("""COMPUTED_VALUE"""),0.0769230769230769)</f>
        <v>0.07692307692</v>
      </c>
      <c r="T196" s="8">
        <f>IFERROR(__xludf.DUMMYFUNCTION("""COMPUTED_VALUE"""),0.0909090909090909)</f>
        <v>0.09090909091</v>
      </c>
      <c r="U196" s="8">
        <f>IFERROR(__xludf.DUMMYFUNCTION("""COMPUTED_VALUE"""),0.105263157894736)</f>
        <v>0.1052631579</v>
      </c>
      <c r="V196" s="8">
        <f>IFERROR(__xludf.DUMMYFUNCTION("""COMPUTED_VALUE"""),0.0588235294117647)</f>
        <v>0.05882352941</v>
      </c>
      <c r="W196" s="8">
        <f>IFERROR(__xludf.DUMMYFUNCTION("""COMPUTED_VALUE"""),0.0625)</f>
        <v>0.0625</v>
      </c>
      <c r="X196" s="8">
        <f>IFERROR(__xludf.DUMMYFUNCTION("""COMPUTED_VALUE"""),0.0)</f>
        <v>0</v>
      </c>
      <c r="Y196" s="8">
        <f>IFERROR(__xludf.DUMMYFUNCTION("""COMPUTED_VALUE"""),0.0)</f>
        <v>0</v>
      </c>
      <c r="Z196" s="8">
        <f>IFERROR(__xludf.DUMMYFUNCTION("""COMPUTED_VALUE"""),0.0)</f>
        <v>0</v>
      </c>
      <c r="AA196" s="8">
        <f>IFERROR(__xludf.DUMMYFUNCTION("""COMPUTED_VALUE"""),0.0)</f>
        <v>0</v>
      </c>
      <c r="AB196" s="8">
        <f>IFERROR(__xludf.DUMMYFUNCTION("""COMPUTED_VALUE"""),0.0)</f>
        <v>0</v>
      </c>
      <c r="AC196" s="8">
        <f>IFERROR(__xludf.DUMMYFUNCTION("""COMPUTED_VALUE"""),0.0)</f>
        <v>0</v>
      </c>
    </row>
    <row r="197" ht="15.75" customHeight="1">
      <c r="A197" s="6" t="str">
        <f>IFERROR(__xludf.DUMMYFUNCTION("""COMPUTED_VALUE"""),"ad877b024bb7b2c30b52737ab2d9d8d49cc89f77")</f>
        <v>ad877b024bb7b2c30b52737ab2d9d8d49cc89f77</v>
      </c>
      <c r="B197" s="6" t="str">
        <f>IFERROR(__xludf.DUMMYFUNCTION("""COMPUTED_VALUE"""),"The Master at Heart Work ")</f>
        <v>The Master at Heart Work </v>
      </c>
      <c r="C197" s="6" t="str">
        <f>IFERROR(__xludf.DUMMYFUNCTION("""COMPUTED_VALUE"""),"System and Superpower")</f>
        <v>System and Superpower</v>
      </c>
      <c r="D197" s="11">
        <f>IFERROR(__xludf.DUMMYFUNCTION("""COMPUTED_VALUE"""),134.0)</f>
        <v>134</v>
      </c>
      <c r="E197" s="8">
        <f>IFERROR(__xludf.DUMMYFUNCTION("""COMPUTED_VALUE"""),0.962686567164179)</f>
        <v>0.9626865672</v>
      </c>
      <c r="F197" s="8">
        <f>IFERROR(__xludf.DUMMYFUNCTION("""COMPUTED_VALUE"""),0.753731343283582)</f>
        <v>0.7537313433</v>
      </c>
      <c r="G197" s="8">
        <f>IFERROR(__xludf.DUMMYFUNCTION("""COMPUTED_VALUE"""),0.716417910447761)</f>
        <v>0.7164179104</v>
      </c>
      <c r="H197" s="8">
        <f>IFERROR(__xludf.DUMMYFUNCTION("""COMPUTED_VALUE"""),0.656716417910447)</f>
        <v>0.6567164179</v>
      </c>
      <c r="I197" s="8">
        <f>IFERROR(__xludf.DUMMYFUNCTION("""COMPUTED_VALUE"""),0.641791044776119)</f>
        <v>0.6417910448</v>
      </c>
      <c r="J197" s="8">
        <f>IFERROR(__xludf.DUMMYFUNCTION("""COMPUTED_VALUE"""),0.548872180451127)</f>
        <v>0.5488721805</v>
      </c>
      <c r="K197" s="8">
        <f>IFERROR(__xludf.DUMMYFUNCTION("""COMPUTED_VALUE"""),0.515151515151515)</f>
        <v>0.5151515152</v>
      </c>
      <c r="L197" s="8">
        <f>IFERROR(__xludf.DUMMYFUNCTION("""COMPUTED_VALUE"""),0.503816793893129)</f>
        <v>0.5038167939</v>
      </c>
      <c r="M197" s="8">
        <f>IFERROR(__xludf.DUMMYFUNCTION("""COMPUTED_VALUE"""),0.480916030534351)</f>
        <v>0.4809160305</v>
      </c>
      <c r="N197" s="8">
        <f>IFERROR(__xludf.DUMMYFUNCTION("""COMPUTED_VALUE"""),0.435114503816793)</f>
        <v>0.4351145038</v>
      </c>
      <c r="O197" s="8">
        <f>IFERROR(__xludf.DUMMYFUNCTION("""COMPUTED_VALUE"""),0.362204724409448)</f>
        <v>0.3622047244</v>
      </c>
      <c r="P197" s="8">
        <f>IFERROR(__xludf.DUMMYFUNCTION("""COMPUTED_VALUE"""),0.258064516129032)</f>
        <v>0.2580645161</v>
      </c>
      <c r="Q197" s="8">
        <f>IFERROR(__xludf.DUMMYFUNCTION("""COMPUTED_VALUE"""),0.172413793103448)</f>
        <v>0.1724137931</v>
      </c>
      <c r="R197" s="8">
        <f>IFERROR(__xludf.DUMMYFUNCTION("""COMPUTED_VALUE"""),0.162162162162162)</f>
        <v>0.1621621622</v>
      </c>
      <c r="S197" s="8">
        <f>IFERROR(__xludf.DUMMYFUNCTION("""COMPUTED_VALUE"""),0.17)</f>
        <v>0.17</v>
      </c>
      <c r="T197" s="8">
        <f>IFERROR(__xludf.DUMMYFUNCTION("""COMPUTED_VALUE"""),0.117021276595744)</f>
        <v>0.1170212766</v>
      </c>
      <c r="U197" s="8">
        <f>IFERROR(__xludf.DUMMYFUNCTION("""COMPUTED_VALUE"""),0.0933333333333333)</f>
        <v>0.09333333333</v>
      </c>
      <c r="V197" s="8">
        <f>IFERROR(__xludf.DUMMYFUNCTION("""COMPUTED_VALUE"""),0.0923076923076923)</f>
        <v>0.09230769231</v>
      </c>
      <c r="W197" s="8">
        <f>IFERROR(__xludf.DUMMYFUNCTION("""COMPUTED_VALUE"""),0.0689655172413793)</f>
        <v>0.06896551724</v>
      </c>
      <c r="X197" s="8">
        <f>IFERROR(__xludf.DUMMYFUNCTION("""COMPUTED_VALUE"""),0.0232558139534883)</f>
        <v>0.02325581395</v>
      </c>
      <c r="Y197" s="8">
        <f>IFERROR(__xludf.DUMMYFUNCTION("""COMPUTED_VALUE"""),0.0)</f>
        <v>0</v>
      </c>
      <c r="Z197" s="8">
        <f>IFERROR(__xludf.DUMMYFUNCTION("""COMPUTED_VALUE"""),0.0)</f>
        <v>0</v>
      </c>
      <c r="AA197" s="8">
        <f>IFERROR(__xludf.DUMMYFUNCTION("""COMPUTED_VALUE"""),0.0)</f>
        <v>0</v>
      </c>
      <c r="AB197" s="8">
        <f>IFERROR(__xludf.DUMMYFUNCTION("""COMPUTED_VALUE"""),0.0)</f>
        <v>0</v>
      </c>
      <c r="AC197" s="8">
        <f>IFERROR(__xludf.DUMMYFUNCTION("""COMPUTED_VALUE"""),0.0)</f>
        <v>0</v>
      </c>
    </row>
    <row r="198" ht="15.75" customHeight="1">
      <c r="A198" s="6" t="str">
        <f>IFERROR(__xludf.DUMMYFUNCTION("""COMPUTED_VALUE"""),"afc4914ba536580c6c21a79231a73b9e6dc67e1a")</f>
        <v>afc4914ba536580c6c21a79231a73b9e6dc67e1a</v>
      </c>
      <c r="B198" s="6" t="str">
        <f>IFERROR(__xludf.DUMMYFUNCTION("""COMPUTED_VALUE"""),"Her Cupid Curse")</f>
        <v>Her Cupid Curse</v>
      </c>
      <c r="C198" s="6" t="str">
        <f>IFERROR(__xludf.DUMMYFUNCTION("""COMPUTED_VALUE"""),"Romance")</f>
        <v>Romance</v>
      </c>
      <c r="D198" s="11">
        <f>IFERROR(__xludf.DUMMYFUNCTION("""COMPUTED_VALUE"""),441.0)</f>
        <v>441</v>
      </c>
      <c r="E198" s="8">
        <f>IFERROR(__xludf.DUMMYFUNCTION("""COMPUTED_VALUE"""),0.975)</f>
        <v>0.975</v>
      </c>
      <c r="F198" s="8">
        <f>IFERROR(__xludf.DUMMYFUNCTION("""COMPUTED_VALUE"""),0.652582159624413)</f>
        <v>0.6525821596</v>
      </c>
      <c r="G198" s="8">
        <f>IFERROR(__xludf.DUMMYFUNCTION("""COMPUTED_VALUE"""),0.603911980440097)</f>
        <v>0.6039119804</v>
      </c>
      <c r="H198" s="8">
        <f>IFERROR(__xludf.DUMMYFUNCTION("""COMPUTED_VALUE"""),0.549071618037135)</f>
        <v>0.549071618</v>
      </c>
      <c r="I198" s="8">
        <f>IFERROR(__xludf.DUMMYFUNCTION("""COMPUTED_VALUE"""),0.498525073746312)</f>
        <v>0.4985250737</v>
      </c>
      <c r="J198" s="8">
        <f>IFERROR(__xludf.DUMMYFUNCTION("""COMPUTED_VALUE"""),0.457792207792207)</f>
        <v>0.4577922078</v>
      </c>
      <c r="K198" s="8">
        <f>IFERROR(__xludf.DUMMYFUNCTION("""COMPUTED_VALUE"""),0.44140625)</f>
        <v>0.44140625</v>
      </c>
      <c r="L198" s="8">
        <f>IFERROR(__xludf.DUMMYFUNCTION("""COMPUTED_VALUE"""),0.424460431654676)</f>
        <v>0.4244604317</v>
      </c>
      <c r="M198" s="8">
        <f>IFERROR(__xludf.DUMMYFUNCTION("""COMPUTED_VALUE"""),0.38095238095238)</f>
        <v>0.380952381</v>
      </c>
      <c r="N198" s="8">
        <f>IFERROR(__xludf.DUMMYFUNCTION("""COMPUTED_VALUE"""),0.214285714285714)</f>
        <v>0.2142857143</v>
      </c>
      <c r="O198" s="8">
        <f>IFERROR(__xludf.DUMMYFUNCTION("""COMPUTED_VALUE"""),0.444444444444444)</f>
        <v>0.4444444444</v>
      </c>
      <c r="P198" s="8">
        <f>IFERROR(__xludf.DUMMYFUNCTION("""COMPUTED_VALUE"""),0.0)</f>
        <v>0</v>
      </c>
      <c r="Q198" s="8">
        <f>IFERROR(__xludf.DUMMYFUNCTION("""COMPUTED_VALUE"""),0.0)</f>
        <v>0</v>
      </c>
      <c r="R198" s="8">
        <f>IFERROR(__xludf.DUMMYFUNCTION("""COMPUTED_VALUE"""),0.0)</f>
        <v>0</v>
      </c>
      <c r="S198" s="8">
        <f>IFERROR(__xludf.DUMMYFUNCTION("""COMPUTED_VALUE"""),0.0)</f>
        <v>0</v>
      </c>
      <c r="T198" s="8">
        <f>IFERROR(__xludf.DUMMYFUNCTION("""COMPUTED_VALUE"""),0.0)</f>
        <v>0</v>
      </c>
      <c r="U198" s="8">
        <f>IFERROR(__xludf.DUMMYFUNCTION("""COMPUTED_VALUE"""),0.0)</f>
        <v>0</v>
      </c>
      <c r="V198" s="8">
        <f>IFERROR(__xludf.DUMMYFUNCTION("""COMPUTED_VALUE"""),0.0)</f>
        <v>0</v>
      </c>
      <c r="W198" s="8">
        <f>IFERROR(__xludf.DUMMYFUNCTION("""COMPUTED_VALUE"""),0.0)</f>
        <v>0</v>
      </c>
      <c r="X198" s="8">
        <f>IFERROR(__xludf.DUMMYFUNCTION("""COMPUTED_VALUE"""),0.0)</f>
        <v>0</v>
      </c>
      <c r="Y198" s="8">
        <f>IFERROR(__xludf.DUMMYFUNCTION("""COMPUTED_VALUE"""),0.0)</f>
        <v>0</v>
      </c>
      <c r="Z198" s="8">
        <f>IFERROR(__xludf.DUMMYFUNCTION("""COMPUTED_VALUE"""),0.0)</f>
        <v>0</v>
      </c>
      <c r="AA198" s="8">
        <f>IFERROR(__xludf.DUMMYFUNCTION("""COMPUTED_VALUE"""),0.0)</f>
        <v>0</v>
      </c>
      <c r="AB198" s="8">
        <f>IFERROR(__xludf.DUMMYFUNCTION("""COMPUTED_VALUE"""),0.0)</f>
        <v>0</v>
      </c>
      <c r="AC198" s="8">
        <f>IFERROR(__xludf.DUMMYFUNCTION("""COMPUTED_VALUE"""),0.0)</f>
        <v>0</v>
      </c>
    </row>
    <row r="199" ht="15.75" customHeight="1">
      <c r="A199" s="6" t="str">
        <f>IFERROR(__xludf.DUMMYFUNCTION("""COMPUTED_VALUE"""),"b035f182bb6d36439bba21081e89b0cb80ad7d57")</f>
        <v>b035f182bb6d36439bba21081e89b0cb80ad7d57</v>
      </c>
      <c r="B199" s="6" t="str">
        <f>IFERROR(__xludf.DUMMYFUNCTION("""COMPUTED_VALUE"""),"Glory After Loss")</f>
        <v>Glory After Loss</v>
      </c>
      <c r="C199" s="6" t="str">
        <f>IFERROR(__xludf.DUMMYFUNCTION("""COMPUTED_VALUE"""),"System and Superpower")</f>
        <v>System and Superpower</v>
      </c>
      <c r="D199" s="11">
        <f>IFERROR(__xludf.DUMMYFUNCTION("""COMPUTED_VALUE"""),141.0)</f>
        <v>141</v>
      </c>
      <c r="E199" s="8">
        <f>IFERROR(__xludf.DUMMYFUNCTION("""COMPUTED_VALUE"""),0.964539007092198)</f>
        <v>0.9645390071</v>
      </c>
      <c r="F199" s="8">
        <f>IFERROR(__xludf.DUMMYFUNCTION("""COMPUTED_VALUE"""),0.744680851063829)</f>
        <v>0.7446808511</v>
      </c>
      <c r="G199" s="8">
        <f>IFERROR(__xludf.DUMMYFUNCTION("""COMPUTED_VALUE"""),0.666666666666666)</f>
        <v>0.6666666667</v>
      </c>
      <c r="H199" s="8">
        <f>IFERROR(__xludf.DUMMYFUNCTION("""COMPUTED_VALUE"""),0.624113475177305)</f>
        <v>0.6241134752</v>
      </c>
      <c r="I199" s="8">
        <f>IFERROR(__xludf.DUMMYFUNCTION("""COMPUTED_VALUE"""),0.571428571428571)</f>
        <v>0.5714285714</v>
      </c>
      <c r="J199" s="8">
        <f>IFERROR(__xludf.DUMMYFUNCTION("""COMPUTED_VALUE"""),0.56115107913669)</f>
        <v>0.5611510791</v>
      </c>
      <c r="K199" s="8">
        <f>IFERROR(__xludf.DUMMYFUNCTION("""COMPUTED_VALUE"""),0.525179856115107)</f>
        <v>0.5251798561</v>
      </c>
      <c r="L199" s="8">
        <f>IFERROR(__xludf.DUMMYFUNCTION("""COMPUTED_VALUE"""),0.489208633093525)</f>
        <v>0.4892086331</v>
      </c>
      <c r="M199" s="8">
        <f>IFERROR(__xludf.DUMMYFUNCTION("""COMPUTED_VALUE"""),0.482014388489208)</f>
        <v>0.4820143885</v>
      </c>
      <c r="N199" s="8">
        <f>IFERROR(__xludf.DUMMYFUNCTION("""COMPUTED_VALUE"""),0.446043165467625)</f>
        <v>0.4460431655</v>
      </c>
      <c r="O199" s="8">
        <f>IFERROR(__xludf.DUMMYFUNCTION("""COMPUTED_VALUE"""),0.38235294117647)</f>
        <v>0.3823529412</v>
      </c>
      <c r="P199" s="8">
        <f>IFERROR(__xludf.DUMMYFUNCTION("""COMPUTED_VALUE"""),0.318181818181818)</f>
        <v>0.3181818182</v>
      </c>
      <c r="Q199" s="8">
        <f>IFERROR(__xludf.DUMMYFUNCTION("""COMPUTED_VALUE"""),0.214285714285714)</f>
        <v>0.2142857143</v>
      </c>
      <c r="R199" s="8">
        <f>IFERROR(__xludf.DUMMYFUNCTION("""COMPUTED_VALUE"""),0.0)</f>
        <v>0</v>
      </c>
      <c r="S199" s="8">
        <f>IFERROR(__xludf.DUMMYFUNCTION("""COMPUTED_VALUE"""),0.0)</f>
        <v>0</v>
      </c>
      <c r="T199" s="8">
        <f>IFERROR(__xludf.DUMMYFUNCTION("""COMPUTED_VALUE"""),0.0)</f>
        <v>0</v>
      </c>
      <c r="U199" s="8">
        <f>IFERROR(__xludf.DUMMYFUNCTION("""COMPUTED_VALUE"""),0.0)</f>
        <v>0</v>
      </c>
      <c r="V199" s="8">
        <f>IFERROR(__xludf.DUMMYFUNCTION("""COMPUTED_VALUE"""),0.0)</f>
        <v>0</v>
      </c>
      <c r="W199" s="8">
        <f>IFERROR(__xludf.DUMMYFUNCTION("""COMPUTED_VALUE"""),0.0)</f>
        <v>0</v>
      </c>
      <c r="X199" s="8">
        <f>IFERROR(__xludf.DUMMYFUNCTION("""COMPUTED_VALUE"""),0.0)</f>
        <v>0</v>
      </c>
      <c r="Y199" s="8">
        <f>IFERROR(__xludf.DUMMYFUNCTION("""COMPUTED_VALUE"""),0.0)</f>
        <v>0</v>
      </c>
      <c r="Z199" s="8">
        <f>IFERROR(__xludf.DUMMYFUNCTION("""COMPUTED_VALUE"""),0.0)</f>
        <v>0</v>
      </c>
      <c r="AA199" s="8">
        <f>IFERROR(__xludf.DUMMYFUNCTION("""COMPUTED_VALUE"""),0.0)</f>
        <v>0</v>
      </c>
      <c r="AB199" s="8">
        <f>IFERROR(__xludf.DUMMYFUNCTION("""COMPUTED_VALUE"""),0.0)</f>
        <v>0</v>
      </c>
      <c r="AC199" s="8">
        <f>IFERROR(__xludf.DUMMYFUNCTION("""COMPUTED_VALUE"""),0.0)</f>
        <v>0</v>
      </c>
    </row>
    <row r="200" ht="15.75" customHeight="1">
      <c r="A200" s="6" t="str">
        <f>IFERROR(__xludf.DUMMYFUNCTION("""COMPUTED_VALUE"""),"b0cb1a15751b32389e6dc5643df14e64f65a78e6")</f>
        <v>b0cb1a15751b32389e6dc5643df14e64f65a78e6</v>
      </c>
      <c r="B200" s="6" t="str">
        <f>IFERROR(__xludf.DUMMYFUNCTION("""COMPUTED_VALUE"""),"Desire of the Billionaire")</f>
        <v>Desire of the Billionaire</v>
      </c>
      <c r="C200" s="6" t="str">
        <f>IFERROR(__xludf.DUMMYFUNCTION("""COMPUTED_VALUE"""),"Romance")</f>
        <v>Romance</v>
      </c>
      <c r="D200" s="11">
        <f>IFERROR(__xludf.DUMMYFUNCTION("""COMPUTED_VALUE"""),13.0)</f>
        <v>13</v>
      </c>
      <c r="E200" s="8">
        <f>IFERROR(__xludf.DUMMYFUNCTION("""COMPUTED_VALUE"""),1.0)</f>
        <v>1</v>
      </c>
      <c r="F200" s="8">
        <f>IFERROR(__xludf.DUMMYFUNCTION("""COMPUTED_VALUE"""),0.538461538461538)</f>
        <v>0.5384615385</v>
      </c>
      <c r="G200" s="8">
        <f>IFERROR(__xludf.DUMMYFUNCTION("""COMPUTED_VALUE"""),0.615384615384615)</f>
        <v>0.6153846154</v>
      </c>
      <c r="H200" s="8">
        <f>IFERROR(__xludf.DUMMYFUNCTION("""COMPUTED_VALUE"""),0.307692307692307)</f>
        <v>0.3076923077</v>
      </c>
      <c r="I200" s="8">
        <f>IFERROR(__xludf.DUMMYFUNCTION("""COMPUTED_VALUE"""),0.416666666666666)</f>
        <v>0.4166666667</v>
      </c>
      <c r="J200" s="8">
        <f>IFERROR(__xludf.DUMMYFUNCTION("""COMPUTED_VALUE"""),0.416666666666666)</f>
        <v>0.4166666667</v>
      </c>
      <c r="K200" s="8">
        <f>IFERROR(__xludf.DUMMYFUNCTION("""COMPUTED_VALUE"""),0.25)</f>
        <v>0.25</v>
      </c>
      <c r="L200" s="8">
        <f>IFERROR(__xludf.DUMMYFUNCTION("""COMPUTED_VALUE"""),0.25)</f>
        <v>0.25</v>
      </c>
      <c r="M200" s="8">
        <f>IFERROR(__xludf.DUMMYFUNCTION("""COMPUTED_VALUE"""),0.333333333333333)</f>
        <v>0.3333333333</v>
      </c>
      <c r="N200" s="8">
        <f>IFERROR(__xludf.DUMMYFUNCTION("""COMPUTED_VALUE"""),0.333333333333333)</f>
        <v>0.3333333333</v>
      </c>
      <c r="O200" s="8">
        <f>IFERROR(__xludf.DUMMYFUNCTION("""COMPUTED_VALUE"""),0.0833333333333333)</f>
        <v>0.08333333333</v>
      </c>
      <c r="P200" s="8">
        <f>IFERROR(__xludf.DUMMYFUNCTION("""COMPUTED_VALUE"""),0.0909090909090909)</f>
        <v>0.09090909091</v>
      </c>
      <c r="Q200" s="8">
        <f>IFERROR(__xludf.DUMMYFUNCTION("""COMPUTED_VALUE"""),0.0)</f>
        <v>0</v>
      </c>
      <c r="R200" s="8">
        <f>IFERROR(__xludf.DUMMYFUNCTION("""COMPUTED_VALUE"""),0.0)</f>
        <v>0</v>
      </c>
      <c r="S200" s="8">
        <f>IFERROR(__xludf.DUMMYFUNCTION("""COMPUTED_VALUE"""),0.0)</f>
        <v>0</v>
      </c>
      <c r="T200" s="8">
        <f>IFERROR(__xludf.DUMMYFUNCTION("""COMPUTED_VALUE"""),0.0)</f>
        <v>0</v>
      </c>
      <c r="U200" s="8">
        <f>IFERROR(__xludf.DUMMYFUNCTION("""COMPUTED_VALUE"""),0.0)</f>
        <v>0</v>
      </c>
      <c r="V200" s="8">
        <f>IFERROR(__xludf.DUMMYFUNCTION("""COMPUTED_VALUE"""),0.0)</f>
        <v>0</v>
      </c>
      <c r="W200" s="8">
        <f>IFERROR(__xludf.DUMMYFUNCTION("""COMPUTED_VALUE"""),0.0)</f>
        <v>0</v>
      </c>
      <c r="X200" s="8">
        <f>IFERROR(__xludf.DUMMYFUNCTION("""COMPUTED_VALUE"""),0.0)</f>
        <v>0</v>
      </c>
      <c r="Y200" s="8">
        <f>IFERROR(__xludf.DUMMYFUNCTION("""COMPUTED_VALUE"""),0.0)</f>
        <v>0</v>
      </c>
      <c r="Z200" s="8">
        <f>IFERROR(__xludf.DUMMYFUNCTION("""COMPUTED_VALUE"""),0.0)</f>
        <v>0</v>
      </c>
      <c r="AA200" s="8">
        <f>IFERROR(__xludf.DUMMYFUNCTION("""COMPUTED_VALUE"""),0.0)</f>
        <v>0</v>
      </c>
      <c r="AB200" s="8">
        <f>IFERROR(__xludf.DUMMYFUNCTION("""COMPUTED_VALUE"""),0.0)</f>
        <v>0</v>
      </c>
      <c r="AC200" s="8">
        <f>IFERROR(__xludf.DUMMYFUNCTION("""COMPUTED_VALUE"""),0.0)</f>
        <v>0</v>
      </c>
    </row>
    <row r="201" ht="15.75" customHeight="1">
      <c r="A201" s="6" t="str">
        <f>IFERROR(__xludf.DUMMYFUNCTION("""COMPUTED_VALUE"""),"b164057dc6b8df1ba1289d383220147f237b7dfa")</f>
        <v>b164057dc6b8df1ba1289d383220147f237b7dfa</v>
      </c>
      <c r="B201" s="6" t="str">
        <f>IFERROR(__xludf.DUMMYFUNCTION("""COMPUTED_VALUE"""),"Rush Marriage")</f>
        <v>Rush Marriage</v>
      </c>
      <c r="C201" s="6" t="str">
        <f>IFERROR(__xludf.DUMMYFUNCTION("""COMPUTED_VALUE"""),"Romance")</f>
        <v>Romance</v>
      </c>
      <c r="D201" s="11">
        <f>IFERROR(__xludf.DUMMYFUNCTION("""COMPUTED_VALUE"""),604.0)</f>
        <v>604</v>
      </c>
      <c r="E201" s="8">
        <f>IFERROR(__xludf.DUMMYFUNCTION("""COMPUTED_VALUE"""),0.97682119205298)</f>
        <v>0.9768211921</v>
      </c>
      <c r="F201" s="8">
        <f>IFERROR(__xludf.DUMMYFUNCTION("""COMPUTED_VALUE"""),0.660033167495854)</f>
        <v>0.6600331675</v>
      </c>
      <c r="G201" s="8">
        <f>IFERROR(__xludf.DUMMYFUNCTION("""COMPUTED_VALUE"""),0.538971807628524)</f>
        <v>0.5389718076</v>
      </c>
      <c r="H201" s="8">
        <f>IFERROR(__xludf.DUMMYFUNCTION("""COMPUTED_VALUE"""),0.486710963455149)</f>
        <v>0.4867109635</v>
      </c>
      <c r="I201" s="8">
        <f>IFERROR(__xludf.DUMMYFUNCTION("""COMPUTED_VALUE"""),0.446843853820598)</f>
        <v>0.4468438538</v>
      </c>
      <c r="J201" s="8">
        <f>IFERROR(__xludf.DUMMYFUNCTION("""COMPUTED_VALUE"""),0.439267886855241)</f>
        <v>0.4392678869</v>
      </c>
      <c r="K201" s="8">
        <f>IFERROR(__xludf.DUMMYFUNCTION("""COMPUTED_VALUE"""),0.384359400998336)</f>
        <v>0.384359401</v>
      </c>
      <c r="L201" s="8">
        <f>IFERROR(__xludf.DUMMYFUNCTION("""COMPUTED_VALUE"""),0.342762063227953)</f>
        <v>0.3427620632</v>
      </c>
      <c r="M201" s="8">
        <f>IFERROR(__xludf.DUMMYFUNCTION("""COMPUTED_VALUE"""),0.321131447587354)</f>
        <v>0.3211314476</v>
      </c>
      <c r="N201" s="8">
        <f>IFERROR(__xludf.DUMMYFUNCTION("""COMPUTED_VALUE"""),0.309484193011647)</f>
        <v>0.309484193</v>
      </c>
      <c r="O201" s="8">
        <f>IFERROR(__xludf.DUMMYFUNCTION("""COMPUTED_VALUE"""),0.316498316498316)</f>
        <v>0.3164983165</v>
      </c>
      <c r="P201" s="8">
        <f>IFERROR(__xludf.DUMMYFUNCTION("""COMPUTED_VALUE"""),0.206132879045996)</f>
        <v>0.206132879</v>
      </c>
      <c r="Q201" s="8">
        <f>IFERROR(__xludf.DUMMYFUNCTION("""COMPUTED_VALUE"""),0.160493827160493)</f>
        <v>0.1604938272</v>
      </c>
      <c r="R201" s="8">
        <f>IFERROR(__xludf.DUMMYFUNCTION("""COMPUTED_VALUE"""),0.116883116883116)</f>
        <v>0.1168831169</v>
      </c>
      <c r="S201" s="8">
        <f>IFERROR(__xludf.DUMMYFUNCTION("""COMPUTED_VALUE"""),0.0789473684210526)</f>
        <v>0.07894736842</v>
      </c>
      <c r="T201" s="8">
        <f>IFERROR(__xludf.DUMMYFUNCTION("""COMPUTED_VALUE"""),0.08)</f>
        <v>0.08</v>
      </c>
      <c r="U201" s="8">
        <f>IFERROR(__xludf.DUMMYFUNCTION("""COMPUTED_VALUE"""),0.0454545454545454)</f>
        <v>0.04545454545</v>
      </c>
      <c r="V201" s="8">
        <f>IFERROR(__xludf.DUMMYFUNCTION("""COMPUTED_VALUE"""),0.0166666666666666)</f>
        <v>0.01666666667</v>
      </c>
      <c r="W201" s="8">
        <f>IFERROR(__xludf.DUMMYFUNCTION("""COMPUTED_VALUE"""),0.0)</f>
        <v>0</v>
      </c>
      <c r="X201" s="8">
        <f>IFERROR(__xludf.DUMMYFUNCTION("""COMPUTED_VALUE"""),0.0)</f>
        <v>0</v>
      </c>
      <c r="Y201" s="8">
        <f>IFERROR(__xludf.DUMMYFUNCTION("""COMPUTED_VALUE"""),0.0)</f>
        <v>0</v>
      </c>
      <c r="Z201" s="8">
        <f>IFERROR(__xludf.DUMMYFUNCTION("""COMPUTED_VALUE"""),0.0)</f>
        <v>0</v>
      </c>
      <c r="AA201" s="8">
        <f>IFERROR(__xludf.DUMMYFUNCTION("""COMPUTED_VALUE"""),0.0)</f>
        <v>0</v>
      </c>
      <c r="AB201" s="8">
        <f>IFERROR(__xludf.DUMMYFUNCTION("""COMPUTED_VALUE"""),0.0)</f>
        <v>0</v>
      </c>
      <c r="AC201" s="8">
        <f>IFERROR(__xludf.DUMMYFUNCTION("""COMPUTED_VALUE"""),0.0)</f>
        <v>0</v>
      </c>
    </row>
    <row r="202" ht="15.75" customHeight="1">
      <c r="A202" s="6" t="str">
        <f>IFERROR(__xludf.DUMMYFUNCTION("""COMPUTED_VALUE"""),"b26d8e5052a2beb1af4ffc462d31141bb635a5b5")</f>
        <v>b26d8e5052a2beb1af4ffc462d31141bb635a5b5</v>
      </c>
      <c r="B202" s="6" t="str">
        <f>IFERROR(__xludf.DUMMYFUNCTION("""COMPUTED_VALUE"""),"The Revenge Marriage")</f>
        <v>The Revenge Marriage</v>
      </c>
      <c r="C202" s="6" t="str">
        <f>IFERROR(__xludf.DUMMYFUNCTION("""COMPUTED_VALUE"""),"Romance")</f>
        <v>Romance</v>
      </c>
      <c r="D202" s="11">
        <f>IFERROR(__xludf.DUMMYFUNCTION("""COMPUTED_VALUE"""),655.0)</f>
        <v>655</v>
      </c>
      <c r="E202" s="8">
        <f>IFERROR(__xludf.DUMMYFUNCTION("""COMPUTED_VALUE"""),0.964885496183206)</f>
        <v>0.9648854962</v>
      </c>
      <c r="F202" s="8">
        <f>IFERROR(__xludf.DUMMYFUNCTION("""COMPUTED_VALUE"""),0.669724770642201)</f>
        <v>0.6697247706</v>
      </c>
      <c r="G202" s="8">
        <f>IFERROR(__xludf.DUMMYFUNCTION("""COMPUTED_VALUE"""),0.613149847094801)</f>
        <v>0.6131498471</v>
      </c>
      <c r="H202" s="8">
        <f>IFERROR(__xludf.DUMMYFUNCTION("""COMPUTED_VALUE"""),0.542113323124042)</f>
        <v>0.5421133231</v>
      </c>
      <c r="I202" s="8">
        <f>IFERROR(__xludf.DUMMYFUNCTION("""COMPUTED_VALUE"""),0.505359877488514)</f>
        <v>0.5053598775</v>
      </c>
      <c r="J202" s="8">
        <f>IFERROR(__xludf.DUMMYFUNCTION("""COMPUTED_VALUE"""),0.494640122511485)</f>
        <v>0.4946401225</v>
      </c>
      <c r="K202" s="8">
        <f>IFERROR(__xludf.DUMMYFUNCTION("""COMPUTED_VALUE"""),0.459293394777265)</f>
        <v>0.4592933948</v>
      </c>
      <c r="L202" s="8">
        <f>IFERROR(__xludf.DUMMYFUNCTION("""COMPUTED_VALUE"""),0.439324116743471)</f>
        <v>0.4393241167</v>
      </c>
      <c r="M202" s="8">
        <f>IFERROR(__xludf.DUMMYFUNCTION("""COMPUTED_VALUE"""),0.417818740399385)</f>
        <v>0.4178187404</v>
      </c>
      <c r="N202" s="8">
        <f>IFERROR(__xludf.DUMMYFUNCTION("""COMPUTED_VALUE"""),0.403993855606758)</f>
        <v>0.4039938556</v>
      </c>
      <c r="O202" s="8">
        <f>IFERROR(__xludf.DUMMYFUNCTION("""COMPUTED_VALUE"""),0.325038880248833)</f>
        <v>0.3250388802</v>
      </c>
      <c r="P202" s="8">
        <f>IFERROR(__xludf.DUMMYFUNCTION("""COMPUTED_VALUE"""),0.22432859399684)</f>
        <v>0.224328594</v>
      </c>
      <c r="Q202" s="8">
        <f>IFERROR(__xludf.DUMMYFUNCTION("""COMPUTED_VALUE"""),0.15016501650165)</f>
        <v>0.1501650165</v>
      </c>
      <c r="R202" s="8">
        <f>IFERROR(__xludf.DUMMYFUNCTION("""COMPUTED_VALUE"""),0.0837988826815642)</f>
        <v>0.08379888268</v>
      </c>
      <c r="S202" s="8">
        <f>IFERROR(__xludf.DUMMYFUNCTION("""COMPUTED_VALUE"""),0.0797101449275362)</f>
        <v>0.07971014493</v>
      </c>
      <c r="T202" s="8">
        <f>IFERROR(__xludf.DUMMYFUNCTION("""COMPUTED_VALUE"""),0.0)</f>
        <v>0</v>
      </c>
      <c r="U202" s="8">
        <f>IFERROR(__xludf.DUMMYFUNCTION("""COMPUTED_VALUE"""),0.0)</f>
        <v>0</v>
      </c>
      <c r="V202" s="8">
        <f>IFERROR(__xludf.DUMMYFUNCTION("""COMPUTED_VALUE"""),0.0)</f>
        <v>0</v>
      </c>
      <c r="W202" s="8">
        <f>IFERROR(__xludf.DUMMYFUNCTION("""COMPUTED_VALUE"""),0.0)</f>
        <v>0</v>
      </c>
      <c r="X202" s="8">
        <f>IFERROR(__xludf.DUMMYFUNCTION("""COMPUTED_VALUE"""),0.0)</f>
        <v>0</v>
      </c>
      <c r="Y202" s="8">
        <f>IFERROR(__xludf.DUMMYFUNCTION("""COMPUTED_VALUE"""),0.0)</f>
        <v>0</v>
      </c>
      <c r="Z202" s="8">
        <f>IFERROR(__xludf.DUMMYFUNCTION("""COMPUTED_VALUE"""),0.0)</f>
        <v>0</v>
      </c>
      <c r="AA202" s="8">
        <f>IFERROR(__xludf.DUMMYFUNCTION("""COMPUTED_VALUE"""),0.0)</f>
        <v>0</v>
      </c>
      <c r="AB202" s="8">
        <f>IFERROR(__xludf.DUMMYFUNCTION("""COMPUTED_VALUE"""),0.0)</f>
        <v>0</v>
      </c>
      <c r="AC202" s="8">
        <f>IFERROR(__xludf.DUMMYFUNCTION("""COMPUTED_VALUE"""),0.0)</f>
        <v>0</v>
      </c>
    </row>
    <row r="203" ht="15.75" customHeight="1">
      <c r="A203" s="6" t="str">
        <f>IFERROR(__xludf.DUMMYFUNCTION("""COMPUTED_VALUE"""),"b2e0e008665e30068057a1556346d5473a8ed579")</f>
        <v>b2e0e008665e30068057a1556346d5473a8ed579</v>
      </c>
      <c r="B203" s="6" t="str">
        <f>IFERROR(__xludf.DUMMYFUNCTION("""COMPUTED_VALUE"""),"Legend of Cursed Blood ")</f>
        <v>Legend of Cursed Blood </v>
      </c>
      <c r="C203" s="6" t="str">
        <f>IFERROR(__xludf.DUMMYFUNCTION("""COMPUTED_VALUE"""),"Fantasy")</f>
        <v>Fantasy</v>
      </c>
      <c r="D203" s="11">
        <f>IFERROR(__xludf.DUMMYFUNCTION("""COMPUTED_VALUE"""),320.0)</f>
        <v>320</v>
      </c>
      <c r="E203" s="8">
        <f>IFERROR(__xludf.DUMMYFUNCTION("""COMPUTED_VALUE"""),0.977564102564102)</f>
        <v>0.9775641026</v>
      </c>
      <c r="F203" s="8">
        <f>IFERROR(__xludf.DUMMYFUNCTION("""COMPUTED_VALUE"""),0.5)</f>
        <v>0.5</v>
      </c>
      <c r="G203" s="8">
        <f>IFERROR(__xludf.DUMMYFUNCTION("""COMPUTED_VALUE"""),0.429530201342281)</f>
        <v>0.4295302013</v>
      </c>
      <c r="H203" s="8">
        <f>IFERROR(__xludf.DUMMYFUNCTION("""COMPUTED_VALUE"""),0.382978723404255)</f>
        <v>0.3829787234</v>
      </c>
      <c r="I203" s="8">
        <f>IFERROR(__xludf.DUMMYFUNCTION("""COMPUTED_VALUE"""),0.322463768115942)</f>
        <v>0.3224637681</v>
      </c>
      <c r="J203" s="8">
        <f>IFERROR(__xludf.DUMMYFUNCTION("""COMPUTED_VALUE"""),0.268382352941176)</f>
        <v>0.2683823529</v>
      </c>
      <c r="K203" s="8">
        <f>IFERROR(__xludf.DUMMYFUNCTION("""COMPUTED_VALUE"""),0.241509433962264)</f>
        <v>0.241509434</v>
      </c>
      <c r="L203" s="8">
        <f>IFERROR(__xludf.DUMMYFUNCTION("""COMPUTED_VALUE"""),0.247058823529411)</f>
        <v>0.2470588235</v>
      </c>
      <c r="M203" s="8">
        <f>IFERROR(__xludf.DUMMYFUNCTION("""COMPUTED_VALUE"""),0.220338983050847)</f>
        <v>0.2203389831</v>
      </c>
      <c r="N203" s="8">
        <f>IFERROR(__xludf.DUMMYFUNCTION("""COMPUTED_VALUE"""),0.234146341463414)</f>
        <v>0.2341463415</v>
      </c>
      <c r="O203" s="8">
        <f>IFERROR(__xludf.DUMMYFUNCTION("""COMPUTED_VALUE"""),0.15)</f>
        <v>0.15</v>
      </c>
      <c r="P203" s="8">
        <f>IFERROR(__xludf.DUMMYFUNCTION("""COMPUTED_VALUE"""),0.0909090909090909)</f>
        <v>0.09090909091</v>
      </c>
      <c r="Q203" s="8">
        <f>IFERROR(__xludf.DUMMYFUNCTION("""COMPUTED_VALUE"""),0.0496453900709219)</f>
        <v>0.04964539007</v>
      </c>
      <c r="R203" s="8">
        <f>IFERROR(__xludf.DUMMYFUNCTION("""COMPUTED_VALUE"""),0.0390625)</f>
        <v>0.0390625</v>
      </c>
      <c r="S203" s="8">
        <f>IFERROR(__xludf.DUMMYFUNCTION("""COMPUTED_VALUE"""),0.0263157894736842)</f>
        <v>0.02631578947</v>
      </c>
      <c r="T203" s="8">
        <f>IFERROR(__xludf.DUMMYFUNCTION("""COMPUTED_VALUE"""),0.0099009900990099)</f>
        <v>0.009900990099</v>
      </c>
      <c r="U203" s="8">
        <f>IFERROR(__xludf.DUMMYFUNCTION("""COMPUTED_VALUE"""),0.0117647058823529)</f>
        <v>0.01176470588</v>
      </c>
      <c r="V203" s="8">
        <f>IFERROR(__xludf.DUMMYFUNCTION("""COMPUTED_VALUE"""),0.0131578947368421)</f>
        <v>0.01315789474</v>
      </c>
      <c r="W203" s="8">
        <f>IFERROR(__xludf.DUMMYFUNCTION("""COMPUTED_VALUE"""),0.0)</f>
        <v>0</v>
      </c>
      <c r="X203" s="8">
        <f>IFERROR(__xludf.DUMMYFUNCTION("""COMPUTED_VALUE"""),0.0)</f>
        <v>0</v>
      </c>
      <c r="Y203" s="8">
        <f>IFERROR(__xludf.DUMMYFUNCTION("""COMPUTED_VALUE"""),0.0)</f>
        <v>0</v>
      </c>
      <c r="Z203" s="8">
        <f>IFERROR(__xludf.DUMMYFUNCTION("""COMPUTED_VALUE"""),0.0)</f>
        <v>0</v>
      </c>
      <c r="AA203" s="8">
        <f>IFERROR(__xludf.DUMMYFUNCTION("""COMPUTED_VALUE"""),0.0)</f>
        <v>0</v>
      </c>
      <c r="AB203" s="8">
        <f>IFERROR(__xludf.DUMMYFUNCTION("""COMPUTED_VALUE"""),0.0)</f>
        <v>0</v>
      </c>
      <c r="AC203" s="8">
        <f>IFERROR(__xludf.DUMMYFUNCTION("""COMPUTED_VALUE"""),0.0)</f>
        <v>0</v>
      </c>
    </row>
    <row r="204" ht="15.75" customHeight="1">
      <c r="A204" s="6" t="str">
        <f>IFERROR(__xludf.DUMMYFUNCTION("""COMPUTED_VALUE"""),"b4357a596922bd37b47ec2573cd92ac18997c713")</f>
        <v>b4357a596922bd37b47ec2573cd92ac18997c713</v>
      </c>
      <c r="B204" s="6" t="str">
        <f>IFERROR(__xludf.DUMMYFUNCTION("""COMPUTED_VALUE"""),"Immortal Ascension")</f>
        <v>Immortal Ascension</v>
      </c>
      <c r="C204" s="6" t="str">
        <f>IFERROR(__xludf.DUMMYFUNCTION("""COMPUTED_VALUE"""),"System and Superpower")</f>
        <v>System and Superpower</v>
      </c>
      <c r="D204" s="11">
        <f>IFERROR(__xludf.DUMMYFUNCTION("""COMPUTED_VALUE"""),619.0)</f>
        <v>619</v>
      </c>
      <c r="E204" s="8">
        <f>IFERROR(__xludf.DUMMYFUNCTION("""COMPUTED_VALUE"""),0.982229402261712)</f>
        <v>0.9822294023</v>
      </c>
      <c r="F204" s="8">
        <f>IFERROR(__xludf.DUMMYFUNCTION("""COMPUTED_VALUE"""),0.537964458804523)</f>
        <v>0.5379644588</v>
      </c>
      <c r="G204" s="8">
        <f>IFERROR(__xludf.DUMMYFUNCTION("""COMPUTED_VALUE"""),0.451456310679611)</f>
        <v>0.4514563107</v>
      </c>
      <c r="H204" s="8">
        <f>IFERROR(__xludf.DUMMYFUNCTION("""COMPUTED_VALUE"""),0.425566343042071)</f>
        <v>0.425566343</v>
      </c>
      <c r="I204" s="8">
        <f>IFERROR(__xludf.DUMMYFUNCTION("""COMPUTED_VALUE"""),0.406807131280389)</f>
        <v>0.4068071313</v>
      </c>
      <c r="J204" s="8">
        <f>IFERROR(__xludf.DUMMYFUNCTION("""COMPUTED_VALUE"""),0.366288492706645)</f>
        <v>0.3662884927</v>
      </c>
      <c r="K204" s="8">
        <f>IFERROR(__xludf.DUMMYFUNCTION("""COMPUTED_VALUE"""),0.340356564019448)</f>
        <v>0.340356564</v>
      </c>
      <c r="L204" s="8">
        <f>IFERROR(__xludf.DUMMYFUNCTION("""COMPUTED_VALUE"""),0.298217179902755)</f>
        <v>0.2982171799</v>
      </c>
      <c r="M204" s="8">
        <f>IFERROR(__xludf.DUMMYFUNCTION("""COMPUTED_VALUE"""),0.274350649350649)</f>
        <v>0.2743506494</v>
      </c>
      <c r="N204" s="8">
        <f>IFERROR(__xludf.DUMMYFUNCTION("""COMPUTED_VALUE"""),0.262642740619902)</f>
        <v>0.2626427406</v>
      </c>
      <c r="O204" s="8">
        <f>IFERROR(__xludf.DUMMYFUNCTION("""COMPUTED_VALUE"""),0.201309328968903)</f>
        <v>0.201309329</v>
      </c>
      <c r="P204" s="8">
        <f>IFERROR(__xludf.DUMMYFUNCTION("""COMPUTED_VALUE"""),0.0996677740863787)</f>
        <v>0.09966777409</v>
      </c>
      <c r="Q204" s="8">
        <f>IFERROR(__xludf.DUMMYFUNCTION("""COMPUTED_VALUE"""),0.0625)</f>
        <v>0.0625</v>
      </c>
      <c r="R204" s="8">
        <f>IFERROR(__xludf.DUMMYFUNCTION("""COMPUTED_VALUE"""),0.0714285714285714)</f>
        <v>0.07142857143</v>
      </c>
      <c r="S204" s="8">
        <f>IFERROR(__xludf.DUMMYFUNCTION("""COMPUTED_VALUE"""),0.0)</f>
        <v>0</v>
      </c>
      <c r="T204" s="8">
        <f>IFERROR(__xludf.DUMMYFUNCTION("""COMPUTED_VALUE"""),0.0)</f>
        <v>0</v>
      </c>
      <c r="U204" s="8">
        <f>IFERROR(__xludf.DUMMYFUNCTION("""COMPUTED_VALUE"""),0.0)</f>
        <v>0</v>
      </c>
      <c r="V204" s="8">
        <f>IFERROR(__xludf.DUMMYFUNCTION("""COMPUTED_VALUE"""),0.0)</f>
        <v>0</v>
      </c>
      <c r="W204" s="8">
        <f>IFERROR(__xludf.DUMMYFUNCTION("""COMPUTED_VALUE"""),0.0)</f>
        <v>0</v>
      </c>
      <c r="X204" s="8">
        <f>IFERROR(__xludf.DUMMYFUNCTION("""COMPUTED_VALUE"""),0.0)</f>
        <v>0</v>
      </c>
      <c r="Y204" s="8">
        <f>IFERROR(__xludf.DUMMYFUNCTION("""COMPUTED_VALUE"""),0.0)</f>
        <v>0</v>
      </c>
      <c r="Z204" s="8">
        <f>IFERROR(__xludf.DUMMYFUNCTION("""COMPUTED_VALUE"""),0.0)</f>
        <v>0</v>
      </c>
      <c r="AA204" s="8">
        <f>IFERROR(__xludf.DUMMYFUNCTION("""COMPUTED_VALUE"""),0.0)</f>
        <v>0</v>
      </c>
      <c r="AB204" s="8">
        <f>IFERROR(__xludf.DUMMYFUNCTION("""COMPUTED_VALUE"""),0.0)</f>
        <v>0</v>
      </c>
      <c r="AC204" s="8">
        <f>IFERROR(__xludf.DUMMYFUNCTION("""COMPUTED_VALUE"""),0.0)</f>
        <v>0</v>
      </c>
    </row>
    <row r="205" ht="15.75" customHeight="1">
      <c r="A205" s="6" t="str">
        <f>IFERROR(__xludf.DUMMYFUNCTION("""COMPUTED_VALUE"""),"b4ba67822e15bf23c0044676b09f1aeb405d154f")</f>
        <v>b4ba67822e15bf23c0044676b09f1aeb405d154f</v>
      </c>
      <c r="B205" s="6" t="str">
        <f>IFERROR(__xludf.DUMMYFUNCTION("""COMPUTED_VALUE"""),"The Twin Affair")</f>
        <v>The Twin Affair</v>
      </c>
      <c r="C205" s="6" t="str">
        <f>IFERROR(__xludf.DUMMYFUNCTION("""COMPUTED_VALUE"""),"Romantasy")</f>
        <v>Romantasy</v>
      </c>
      <c r="D205" s="11">
        <f>IFERROR(__xludf.DUMMYFUNCTION("""COMPUTED_VALUE"""),1424.0)</f>
        <v>1424</v>
      </c>
      <c r="E205" s="8">
        <f>IFERROR(__xludf.DUMMYFUNCTION("""COMPUTED_VALUE"""),0.941713483146067)</f>
        <v>0.9417134831</v>
      </c>
      <c r="F205" s="8">
        <f>IFERROR(__xludf.DUMMYFUNCTION("""COMPUTED_VALUE"""),0.673455056179775)</f>
        <v>0.6734550562</v>
      </c>
      <c r="G205" s="8">
        <f>IFERROR(__xludf.DUMMYFUNCTION("""COMPUTED_VALUE"""),0.632724719101123)</f>
        <v>0.6327247191</v>
      </c>
      <c r="H205" s="8">
        <f>IFERROR(__xludf.DUMMYFUNCTION("""COMPUTED_VALUE"""),0.605337078651685)</f>
        <v>0.6053370787</v>
      </c>
      <c r="I205" s="8">
        <f>IFERROR(__xludf.DUMMYFUNCTION("""COMPUTED_VALUE"""),0.576544943820224)</f>
        <v>0.5765449438</v>
      </c>
      <c r="J205" s="8">
        <f>IFERROR(__xludf.DUMMYFUNCTION("""COMPUTED_VALUE"""),0.554775280898876)</f>
        <v>0.5547752809</v>
      </c>
      <c r="K205" s="8">
        <f>IFERROR(__xludf.DUMMYFUNCTION("""COMPUTED_VALUE"""),0.544241573033707)</f>
        <v>0.544241573</v>
      </c>
      <c r="L205" s="8">
        <f>IFERROR(__xludf.DUMMYFUNCTION("""COMPUTED_VALUE"""),0.514747191011236)</f>
        <v>0.514747191</v>
      </c>
      <c r="M205" s="8">
        <f>IFERROR(__xludf.DUMMYFUNCTION("""COMPUTED_VALUE"""),0.499297752808988)</f>
        <v>0.4992977528</v>
      </c>
      <c r="N205" s="8">
        <f>IFERROR(__xludf.DUMMYFUNCTION("""COMPUTED_VALUE"""),0.485252808988764)</f>
        <v>0.485252809</v>
      </c>
      <c r="O205" s="8">
        <f>IFERROR(__xludf.DUMMYFUNCTION("""COMPUTED_VALUE"""),0.464185393258426)</f>
        <v>0.4641853933</v>
      </c>
      <c r="P205" s="8">
        <f>IFERROR(__xludf.DUMMYFUNCTION("""COMPUTED_VALUE"""),0.426460239268121)</f>
        <v>0.4264602393</v>
      </c>
      <c r="Q205" s="8">
        <f>IFERROR(__xludf.DUMMYFUNCTION("""COMPUTED_VALUE"""),0.262190812720848)</f>
        <v>0.2621908127</v>
      </c>
      <c r="R205" s="8">
        <f>IFERROR(__xludf.DUMMYFUNCTION("""COMPUTED_VALUE"""),0.138888888888888)</f>
        <v>0.1388888889</v>
      </c>
      <c r="S205" s="8">
        <f>IFERROR(__xludf.DUMMYFUNCTION("""COMPUTED_VALUE"""),0.0)</f>
        <v>0</v>
      </c>
      <c r="T205" s="8">
        <f>IFERROR(__xludf.DUMMYFUNCTION("""COMPUTED_VALUE"""),0.0)</f>
        <v>0</v>
      </c>
      <c r="U205" s="8">
        <f>IFERROR(__xludf.DUMMYFUNCTION("""COMPUTED_VALUE"""),0.0)</f>
        <v>0</v>
      </c>
      <c r="V205" s="8">
        <f>IFERROR(__xludf.DUMMYFUNCTION("""COMPUTED_VALUE"""),0.0)</f>
        <v>0</v>
      </c>
      <c r="W205" s="8">
        <f>IFERROR(__xludf.DUMMYFUNCTION("""COMPUTED_VALUE"""),0.0)</f>
        <v>0</v>
      </c>
      <c r="X205" s="8">
        <f>IFERROR(__xludf.DUMMYFUNCTION("""COMPUTED_VALUE"""),0.0)</f>
        <v>0</v>
      </c>
      <c r="Y205" s="8">
        <f>IFERROR(__xludf.DUMMYFUNCTION("""COMPUTED_VALUE"""),0.0)</f>
        <v>0</v>
      </c>
      <c r="Z205" s="8">
        <f>IFERROR(__xludf.DUMMYFUNCTION("""COMPUTED_VALUE"""),0.0)</f>
        <v>0</v>
      </c>
      <c r="AA205" s="8">
        <f>IFERROR(__xludf.DUMMYFUNCTION("""COMPUTED_VALUE"""),0.0)</f>
        <v>0</v>
      </c>
      <c r="AB205" s="8">
        <f>IFERROR(__xludf.DUMMYFUNCTION("""COMPUTED_VALUE"""),0.0)</f>
        <v>0</v>
      </c>
      <c r="AC205" s="8">
        <f>IFERROR(__xludf.DUMMYFUNCTION("""COMPUTED_VALUE"""),0.0)</f>
        <v>0</v>
      </c>
    </row>
    <row r="206" ht="15.75" customHeight="1">
      <c r="A206" s="6" t="str">
        <f>IFERROR(__xludf.DUMMYFUNCTION("""COMPUTED_VALUE"""),"b6ceacf9ec08a19cb30826c8277260c2339da0b3")</f>
        <v>b6ceacf9ec08a19cb30826c8277260c2339da0b3</v>
      </c>
      <c r="B206" s="6" t="str">
        <f>IFERROR(__xludf.DUMMYFUNCTION("""COMPUTED_VALUE"""),"Ruthless Betrayal ")</f>
        <v>Ruthless Betrayal </v>
      </c>
      <c r="C206" s="6" t="str">
        <f>IFERROR(__xludf.DUMMYFUNCTION("""COMPUTED_VALUE"""),"Romance")</f>
        <v>Romance</v>
      </c>
      <c r="D206" s="11">
        <f>IFERROR(__xludf.DUMMYFUNCTION("""COMPUTED_VALUE"""),256.0)</f>
        <v>256</v>
      </c>
      <c r="E206" s="8">
        <f>IFERROR(__xludf.DUMMYFUNCTION("""COMPUTED_VALUE"""),0.960474308300395)</f>
        <v>0.9604743083</v>
      </c>
      <c r="F206" s="8">
        <f>IFERROR(__xludf.DUMMYFUNCTION("""COMPUTED_VALUE"""),0.517928286852589)</f>
        <v>0.5179282869</v>
      </c>
      <c r="G206" s="8">
        <f>IFERROR(__xludf.DUMMYFUNCTION("""COMPUTED_VALUE"""),0.408906882591093)</f>
        <v>0.4089068826</v>
      </c>
      <c r="H206" s="8">
        <f>IFERROR(__xludf.DUMMYFUNCTION("""COMPUTED_VALUE"""),0.378600823045267)</f>
        <v>0.378600823</v>
      </c>
      <c r="I206" s="8">
        <f>IFERROR(__xludf.DUMMYFUNCTION("""COMPUTED_VALUE"""),0.366255144032921)</f>
        <v>0.366255144</v>
      </c>
      <c r="J206" s="8">
        <f>IFERROR(__xludf.DUMMYFUNCTION("""COMPUTED_VALUE"""),0.333333333333333)</f>
        <v>0.3333333333</v>
      </c>
      <c r="K206" s="8">
        <f>IFERROR(__xludf.DUMMYFUNCTION("""COMPUTED_VALUE"""),0.286919831223628)</f>
        <v>0.2869198312</v>
      </c>
      <c r="L206" s="8">
        <f>IFERROR(__xludf.DUMMYFUNCTION("""COMPUTED_VALUE"""),0.25)</f>
        <v>0.25</v>
      </c>
      <c r="M206" s="8">
        <f>IFERROR(__xludf.DUMMYFUNCTION("""COMPUTED_VALUE"""),0.28)</f>
        <v>0.28</v>
      </c>
      <c r="N206" s="8">
        <f>IFERROR(__xludf.DUMMYFUNCTION("""COMPUTED_VALUE"""),0.231481481481481)</f>
        <v>0.2314814815</v>
      </c>
      <c r="O206" s="8">
        <f>IFERROR(__xludf.DUMMYFUNCTION("""COMPUTED_VALUE"""),0.223958333333333)</f>
        <v>0.2239583333</v>
      </c>
      <c r="P206" s="8">
        <f>IFERROR(__xludf.DUMMYFUNCTION("""COMPUTED_VALUE"""),0.074074074074074)</f>
        <v>0.07407407407</v>
      </c>
      <c r="Q206" s="8">
        <f>IFERROR(__xludf.DUMMYFUNCTION("""COMPUTED_VALUE"""),0.04)</f>
        <v>0.04</v>
      </c>
      <c r="R206" s="8">
        <f>IFERROR(__xludf.DUMMYFUNCTION("""COMPUTED_VALUE"""),0.0)</f>
        <v>0</v>
      </c>
      <c r="S206" s="8">
        <f>IFERROR(__xludf.DUMMYFUNCTION("""COMPUTED_VALUE"""),0.0)</f>
        <v>0</v>
      </c>
      <c r="T206" s="8">
        <f>IFERROR(__xludf.DUMMYFUNCTION("""COMPUTED_VALUE"""),0.0)</f>
        <v>0</v>
      </c>
      <c r="U206" s="8">
        <f>IFERROR(__xludf.DUMMYFUNCTION("""COMPUTED_VALUE"""),0.0)</f>
        <v>0</v>
      </c>
      <c r="V206" s="8">
        <f>IFERROR(__xludf.DUMMYFUNCTION("""COMPUTED_VALUE"""),0.0)</f>
        <v>0</v>
      </c>
      <c r="W206" s="8">
        <f>IFERROR(__xludf.DUMMYFUNCTION("""COMPUTED_VALUE"""),0.0)</f>
        <v>0</v>
      </c>
      <c r="X206" s="8">
        <f>IFERROR(__xludf.DUMMYFUNCTION("""COMPUTED_VALUE"""),0.0)</f>
        <v>0</v>
      </c>
      <c r="Y206" s="8">
        <f>IFERROR(__xludf.DUMMYFUNCTION("""COMPUTED_VALUE"""),0.0)</f>
        <v>0</v>
      </c>
      <c r="Z206" s="8">
        <f>IFERROR(__xludf.DUMMYFUNCTION("""COMPUTED_VALUE"""),0.0)</f>
        <v>0</v>
      </c>
      <c r="AA206" s="8">
        <f>IFERROR(__xludf.DUMMYFUNCTION("""COMPUTED_VALUE"""),0.0)</f>
        <v>0</v>
      </c>
      <c r="AB206" s="8">
        <f>IFERROR(__xludf.DUMMYFUNCTION("""COMPUTED_VALUE"""),0.0)</f>
        <v>0</v>
      </c>
      <c r="AC206" s="8">
        <f>IFERROR(__xludf.DUMMYFUNCTION("""COMPUTED_VALUE"""),0.0)</f>
        <v>0</v>
      </c>
    </row>
    <row r="207" ht="15.75" customHeight="1">
      <c r="A207" s="6" t="str">
        <f>IFERROR(__xludf.DUMMYFUNCTION("""COMPUTED_VALUE"""),"b6dcffd8fcb56899f1036740aa43dcb9b648ffe5")</f>
        <v>b6dcffd8fcb56899f1036740aa43dcb9b648ffe5</v>
      </c>
      <c r="B207" s="6" t="str">
        <f>IFERROR(__xludf.DUMMYFUNCTION("""COMPUTED_VALUE"""),"His Zealous Years Ahead")</f>
        <v>His Zealous Years Ahead</v>
      </c>
      <c r="C207" s="6" t="str">
        <f>IFERROR(__xludf.DUMMYFUNCTION("""COMPUTED_VALUE"""),"Fantasy")</f>
        <v>Fantasy</v>
      </c>
      <c r="D207" s="11">
        <f>IFERROR(__xludf.DUMMYFUNCTION("""COMPUTED_VALUE"""),144.0)</f>
        <v>144</v>
      </c>
      <c r="E207" s="8">
        <f>IFERROR(__xludf.DUMMYFUNCTION("""COMPUTED_VALUE"""),0.97037037037037)</f>
        <v>0.9703703704</v>
      </c>
      <c r="F207" s="8">
        <f>IFERROR(__xludf.DUMMYFUNCTION("""COMPUTED_VALUE"""),0.503937007874015)</f>
        <v>0.5039370079</v>
      </c>
      <c r="G207" s="8">
        <f>IFERROR(__xludf.DUMMYFUNCTION("""COMPUTED_VALUE"""),0.430894308943089)</f>
        <v>0.4308943089</v>
      </c>
      <c r="H207" s="8">
        <f>IFERROR(__xludf.DUMMYFUNCTION("""COMPUTED_VALUE"""),0.368421052631578)</f>
        <v>0.3684210526</v>
      </c>
      <c r="I207" s="8">
        <f>IFERROR(__xludf.DUMMYFUNCTION("""COMPUTED_VALUE"""),0.339449541284403)</f>
        <v>0.3394495413</v>
      </c>
      <c r="J207" s="8">
        <f>IFERROR(__xludf.DUMMYFUNCTION("""COMPUTED_VALUE"""),0.32258064516129)</f>
        <v>0.3225806452</v>
      </c>
      <c r="K207" s="8">
        <f>IFERROR(__xludf.DUMMYFUNCTION("""COMPUTED_VALUE"""),0.264367816091954)</f>
        <v>0.2643678161</v>
      </c>
      <c r="L207" s="8">
        <f>IFERROR(__xludf.DUMMYFUNCTION("""COMPUTED_VALUE"""),0.25)</f>
        <v>0.25</v>
      </c>
      <c r="M207" s="8">
        <f>IFERROR(__xludf.DUMMYFUNCTION("""COMPUTED_VALUE"""),0.197183098591549)</f>
        <v>0.1971830986</v>
      </c>
      <c r="N207" s="8">
        <f>IFERROR(__xludf.DUMMYFUNCTION("""COMPUTED_VALUE"""),0.220338983050847)</f>
        <v>0.2203389831</v>
      </c>
      <c r="O207" s="8">
        <f>IFERROR(__xludf.DUMMYFUNCTION("""COMPUTED_VALUE"""),0.344827586206896)</f>
        <v>0.3448275862</v>
      </c>
      <c r="P207" s="8">
        <f>IFERROR(__xludf.DUMMYFUNCTION("""COMPUTED_VALUE"""),0.0714285714285714)</f>
        <v>0.07142857143</v>
      </c>
      <c r="Q207" s="8">
        <f>IFERROR(__xludf.DUMMYFUNCTION("""COMPUTED_VALUE"""),0.0)</f>
        <v>0</v>
      </c>
      <c r="R207" s="8">
        <f>IFERROR(__xludf.DUMMYFUNCTION("""COMPUTED_VALUE"""),0.0)</f>
        <v>0</v>
      </c>
      <c r="S207" s="8">
        <f>IFERROR(__xludf.DUMMYFUNCTION("""COMPUTED_VALUE"""),0.0)</f>
        <v>0</v>
      </c>
      <c r="T207" s="8">
        <f>IFERROR(__xludf.DUMMYFUNCTION("""COMPUTED_VALUE"""),0.0)</f>
        <v>0</v>
      </c>
      <c r="U207" s="8">
        <f>IFERROR(__xludf.DUMMYFUNCTION("""COMPUTED_VALUE"""),0.0)</f>
        <v>0</v>
      </c>
      <c r="V207" s="8">
        <f>IFERROR(__xludf.DUMMYFUNCTION("""COMPUTED_VALUE"""),0.0)</f>
        <v>0</v>
      </c>
      <c r="W207" s="8">
        <f>IFERROR(__xludf.DUMMYFUNCTION("""COMPUTED_VALUE"""),0.0)</f>
        <v>0</v>
      </c>
      <c r="X207" s="8">
        <f>IFERROR(__xludf.DUMMYFUNCTION("""COMPUTED_VALUE"""),0.0)</f>
        <v>0</v>
      </c>
      <c r="Y207" s="8">
        <f>IFERROR(__xludf.DUMMYFUNCTION("""COMPUTED_VALUE"""),0.0)</f>
        <v>0</v>
      </c>
      <c r="Z207" s="8">
        <f>IFERROR(__xludf.DUMMYFUNCTION("""COMPUTED_VALUE"""),0.0)</f>
        <v>0</v>
      </c>
      <c r="AA207" s="8">
        <f>IFERROR(__xludf.DUMMYFUNCTION("""COMPUTED_VALUE"""),0.0)</f>
        <v>0</v>
      </c>
      <c r="AB207" s="8">
        <f>IFERROR(__xludf.DUMMYFUNCTION("""COMPUTED_VALUE"""),0.0)</f>
        <v>0</v>
      </c>
      <c r="AC207" s="8">
        <f>IFERROR(__xludf.DUMMYFUNCTION("""COMPUTED_VALUE"""),0.0)</f>
        <v>0</v>
      </c>
    </row>
    <row r="208" ht="15.75" customHeight="1">
      <c r="A208" s="6" t="str">
        <f>IFERROR(__xludf.DUMMYFUNCTION("""COMPUTED_VALUE"""),"b7410aeb19f92f7df4ccab821b5a28bfd7d73027")</f>
        <v>b7410aeb19f92f7df4ccab821b5a28bfd7d73027</v>
      </c>
      <c r="B208" s="6" t="str">
        <f>IFERROR(__xludf.DUMMYFUNCTION("""COMPUTED_VALUE"""),"Alpha Regulus")</f>
        <v>Alpha Regulus</v>
      </c>
      <c r="C208" s="6" t="str">
        <f>IFERROR(__xludf.DUMMYFUNCTION("""COMPUTED_VALUE"""),"Romantasy")</f>
        <v>Romantasy</v>
      </c>
      <c r="D208" s="11">
        <f>IFERROR(__xludf.DUMMYFUNCTION("""COMPUTED_VALUE"""),968.0)</f>
        <v>968</v>
      </c>
      <c r="E208" s="8">
        <f>IFERROR(__xludf.DUMMYFUNCTION("""COMPUTED_VALUE"""),0.980371900826446)</f>
        <v>0.9803719008</v>
      </c>
      <c r="F208" s="8">
        <f>IFERROR(__xludf.DUMMYFUNCTION("""COMPUTED_VALUE"""),0.547150259067357)</f>
        <v>0.5471502591</v>
      </c>
      <c r="G208" s="8">
        <f>IFERROR(__xludf.DUMMYFUNCTION("""COMPUTED_VALUE"""),0.439834024896265)</f>
        <v>0.4398340249</v>
      </c>
      <c r="H208" s="8">
        <f>IFERROR(__xludf.DUMMYFUNCTION("""COMPUTED_VALUE"""),0.373831775700934)</f>
        <v>0.3738317757</v>
      </c>
      <c r="I208" s="8">
        <f>IFERROR(__xludf.DUMMYFUNCTION("""COMPUTED_VALUE"""),0.315680166147455)</f>
        <v>0.3156801661</v>
      </c>
      <c r="J208" s="8">
        <f>IFERROR(__xludf.DUMMYFUNCTION("""COMPUTED_VALUE"""),0.285565939771547)</f>
        <v>0.2855659398</v>
      </c>
      <c r="K208" s="8">
        <f>IFERROR(__xludf.DUMMYFUNCTION("""COMPUTED_VALUE"""),0.262720664589823)</f>
        <v>0.2627206646</v>
      </c>
      <c r="L208" s="8">
        <f>IFERROR(__xludf.DUMMYFUNCTION("""COMPUTED_VALUE"""),0.22533748701973)</f>
        <v>0.225337487</v>
      </c>
      <c r="M208" s="8">
        <f>IFERROR(__xludf.DUMMYFUNCTION("""COMPUTED_VALUE"""),0.204569055036344)</f>
        <v>0.204569055</v>
      </c>
      <c r="N208" s="8">
        <f>IFERROR(__xludf.DUMMYFUNCTION("""COMPUTED_VALUE"""),0.194386694386694)</f>
        <v>0.1943866944</v>
      </c>
      <c r="O208" s="8">
        <f>IFERROR(__xludf.DUMMYFUNCTION("""COMPUTED_VALUE"""),0.14)</f>
        <v>0.14</v>
      </c>
      <c r="P208" s="8">
        <f>IFERROR(__xludf.DUMMYFUNCTION("""COMPUTED_VALUE"""),0.146084337349397)</f>
        <v>0.1460843373</v>
      </c>
      <c r="Q208" s="8">
        <f>IFERROR(__xludf.DUMMYFUNCTION("""COMPUTED_VALUE"""),0.105839416058394)</f>
        <v>0.1058394161</v>
      </c>
      <c r="R208" s="8">
        <f>IFERROR(__xludf.DUMMYFUNCTION("""COMPUTED_VALUE"""),0.0714285714285714)</f>
        <v>0.07142857143</v>
      </c>
      <c r="S208" s="8">
        <f>IFERROR(__xludf.DUMMYFUNCTION("""COMPUTED_VALUE"""),0.0612244897959183)</f>
        <v>0.0612244898</v>
      </c>
      <c r="T208" s="8">
        <f>IFERROR(__xludf.DUMMYFUNCTION("""COMPUTED_VALUE"""),0.0550284629981024)</f>
        <v>0.055028463</v>
      </c>
      <c r="U208" s="8">
        <f>IFERROR(__xludf.DUMMYFUNCTION("""COMPUTED_VALUE"""),0.0534351145038167)</f>
        <v>0.0534351145</v>
      </c>
      <c r="V208" s="8">
        <f>IFERROR(__xludf.DUMMYFUNCTION("""COMPUTED_VALUE"""),0.0419847328244274)</f>
        <v>0.04198473282</v>
      </c>
      <c r="W208" s="8">
        <f>IFERROR(__xludf.DUMMYFUNCTION("""COMPUTED_VALUE"""),0.0423076923076923)</f>
        <v>0.04230769231</v>
      </c>
      <c r="X208" s="8">
        <f>IFERROR(__xludf.DUMMYFUNCTION("""COMPUTED_VALUE"""),0.0349514563106796)</f>
        <v>0.03495145631</v>
      </c>
      <c r="Y208" s="8">
        <f>IFERROR(__xludf.DUMMYFUNCTION("""COMPUTED_VALUE"""),0.0)</f>
        <v>0</v>
      </c>
      <c r="Z208" s="8">
        <f>IFERROR(__xludf.DUMMYFUNCTION("""COMPUTED_VALUE"""),0.0)</f>
        <v>0</v>
      </c>
      <c r="AA208" s="8">
        <f>IFERROR(__xludf.DUMMYFUNCTION("""COMPUTED_VALUE"""),0.0)</f>
        <v>0</v>
      </c>
      <c r="AB208" s="8">
        <f>IFERROR(__xludf.DUMMYFUNCTION("""COMPUTED_VALUE"""),0.0)</f>
        <v>0</v>
      </c>
      <c r="AC208" s="8">
        <f>IFERROR(__xludf.DUMMYFUNCTION("""COMPUTED_VALUE"""),0.0)</f>
        <v>0</v>
      </c>
    </row>
    <row r="209" ht="15.75" customHeight="1">
      <c r="A209" s="6" t="str">
        <f>IFERROR(__xludf.DUMMYFUNCTION("""COMPUTED_VALUE"""),"b7e62e1ec65efcef334c2161afd00edf7b5a2b09")</f>
        <v>b7e62e1ec65efcef334c2161afd00edf7b5a2b09</v>
      </c>
      <c r="B209" s="6" t="str">
        <f>IFERROR(__xludf.DUMMYFUNCTION("""COMPUTED_VALUE"""),"Thrones and Passion")</f>
        <v>Thrones and Passion</v>
      </c>
      <c r="C209" s="6" t="str">
        <f>IFERROR(__xludf.DUMMYFUNCTION("""COMPUTED_VALUE"""),"Romance")</f>
        <v>Romance</v>
      </c>
      <c r="D209" s="11">
        <f>IFERROR(__xludf.DUMMYFUNCTION("""COMPUTED_VALUE"""),444.0)</f>
        <v>444</v>
      </c>
      <c r="E209" s="8">
        <f>IFERROR(__xludf.DUMMYFUNCTION("""COMPUTED_VALUE"""),0.993023255813953)</f>
        <v>0.9930232558</v>
      </c>
      <c r="F209" s="8">
        <f>IFERROR(__xludf.DUMMYFUNCTION("""COMPUTED_VALUE"""),0.479674796747967)</f>
        <v>0.4796747967</v>
      </c>
      <c r="G209" s="8">
        <f>IFERROR(__xludf.DUMMYFUNCTION("""COMPUTED_VALUE"""),0.383522727272727)</f>
        <v>0.3835227273</v>
      </c>
      <c r="H209" s="8">
        <f>IFERROR(__xludf.DUMMYFUNCTION("""COMPUTED_VALUE"""),0.339339339339339)</f>
        <v>0.3393393393</v>
      </c>
      <c r="I209" s="8">
        <f>IFERROR(__xludf.DUMMYFUNCTION("""COMPUTED_VALUE"""),0.315950920245398)</f>
        <v>0.3159509202</v>
      </c>
      <c r="J209" s="8">
        <f>IFERROR(__xludf.DUMMYFUNCTION("""COMPUTED_VALUE"""),0.296529968454258)</f>
        <v>0.2965299685</v>
      </c>
      <c r="K209" s="8">
        <f>IFERROR(__xludf.DUMMYFUNCTION("""COMPUTED_VALUE"""),0.294871794871794)</f>
        <v>0.2948717949</v>
      </c>
      <c r="L209" s="8">
        <f>IFERROR(__xludf.DUMMYFUNCTION("""COMPUTED_VALUE"""),0.282758620689655)</f>
        <v>0.2827586207</v>
      </c>
      <c r="M209" s="8">
        <f>IFERROR(__xludf.DUMMYFUNCTION("""COMPUTED_VALUE"""),0.250980392156862)</f>
        <v>0.2509803922</v>
      </c>
      <c r="N209" s="8">
        <f>IFERROR(__xludf.DUMMYFUNCTION("""COMPUTED_VALUE"""),0.205263157894736)</f>
        <v>0.2052631579</v>
      </c>
      <c r="O209" s="8">
        <f>IFERROR(__xludf.DUMMYFUNCTION("""COMPUTED_VALUE"""),0.24)</f>
        <v>0.24</v>
      </c>
      <c r="P209" s="8">
        <f>IFERROR(__xludf.DUMMYFUNCTION("""COMPUTED_VALUE"""),0.0833333333333333)</f>
        <v>0.08333333333</v>
      </c>
      <c r="Q209" s="8">
        <f>IFERROR(__xludf.DUMMYFUNCTION("""COMPUTED_VALUE"""),0.0)</f>
        <v>0</v>
      </c>
      <c r="R209" s="8">
        <f>IFERROR(__xludf.DUMMYFUNCTION("""COMPUTED_VALUE"""),0.0)</f>
        <v>0</v>
      </c>
      <c r="S209" s="8">
        <f>IFERROR(__xludf.DUMMYFUNCTION("""COMPUTED_VALUE"""),0.0)</f>
        <v>0</v>
      </c>
      <c r="T209" s="8">
        <f>IFERROR(__xludf.DUMMYFUNCTION("""COMPUTED_VALUE"""),0.0)</f>
        <v>0</v>
      </c>
      <c r="U209" s="8">
        <f>IFERROR(__xludf.DUMMYFUNCTION("""COMPUTED_VALUE"""),0.0)</f>
        <v>0</v>
      </c>
      <c r="V209" s="8">
        <f>IFERROR(__xludf.DUMMYFUNCTION("""COMPUTED_VALUE"""),0.0)</f>
        <v>0</v>
      </c>
      <c r="W209" s="8">
        <f>IFERROR(__xludf.DUMMYFUNCTION("""COMPUTED_VALUE"""),0.0)</f>
        <v>0</v>
      </c>
      <c r="X209" s="8">
        <f>IFERROR(__xludf.DUMMYFUNCTION("""COMPUTED_VALUE"""),0.0)</f>
        <v>0</v>
      </c>
      <c r="Y209" s="8">
        <f>IFERROR(__xludf.DUMMYFUNCTION("""COMPUTED_VALUE"""),0.0)</f>
        <v>0</v>
      </c>
      <c r="Z209" s="8">
        <f>IFERROR(__xludf.DUMMYFUNCTION("""COMPUTED_VALUE"""),0.0)</f>
        <v>0</v>
      </c>
      <c r="AA209" s="8">
        <f>IFERROR(__xludf.DUMMYFUNCTION("""COMPUTED_VALUE"""),0.0)</f>
        <v>0</v>
      </c>
      <c r="AB209" s="8">
        <f>IFERROR(__xludf.DUMMYFUNCTION("""COMPUTED_VALUE"""),0.0)</f>
        <v>0</v>
      </c>
      <c r="AC209" s="8">
        <f>IFERROR(__xludf.DUMMYFUNCTION("""COMPUTED_VALUE"""),0.0)</f>
        <v>0</v>
      </c>
    </row>
    <row r="210" ht="15.75" customHeight="1">
      <c r="A210" s="6" t="str">
        <f>IFERROR(__xludf.DUMMYFUNCTION("""COMPUTED_VALUE"""),"ba0633322d2e3b1f5dc385fdef11110ad663eca3")</f>
        <v>ba0633322d2e3b1f5dc385fdef11110ad663eca3</v>
      </c>
      <c r="B210" s="6" t="str">
        <f>IFERROR(__xludf.DUMMYFUNCTION("""COMPUTED_VALUE"""),"Fated Billionaire Love")</f>
        <v>Fated Billionaire Love</v>
      </c>
      <c r="C210" s="6" t="str">
        <f>IFERROR(__xludf.DUMMYFUNCTION("""COMPUTED_VALUE"""),"Romance")</f>
        <v>Romance</v>
      </c>
      <c r="D210" s="11">
        <f>IFERROR(__xludf.DUMMYFUNCTION("""COMPUTED_VALUE"""),293.0)</f>
        <v>293</v>
      </c>
      <c r="E210" s="8">
        <f>IFERROR(__xludf.DUMMYFUNCTION("""COMPUTED_VALUE"""),0.969283276450511)</f>
        <v>0.9692832765</v>
      </c>
      <c r="F210" s="8">
        <f>IFERROR(__xludf.DUMMYFUNCTION("""COMPUTED_VALUE"""),0.703071672354948)</f>
        <v>0.7030716724</v>
      </c>
      <c r="G210" s="8">
        <f>IFERROR(__xludf.DUMMYFUNCTION("""COMPUTED_VALUE"""),0.563139931740614)</f>
        <v>0.5631399317</v>
      </c>
      <c r="H210" s="8">
        <f>IFERROR(__xludf.DUMMYFUNCTION("""COMPUTED_VALUE"""),0.474402730375426)</f>
        <v>0.4744027304</v>
      </c>
      <c r="I210" s="8">
        <f>IFERROR(__xludf.DUMMYFUNCTION("""COMPUTED_VALUE"""),0.41296928327645)</f>
        <v>0.4129692833</v>
      </c>
      <c r="J210" s="8">
        <f>IFERROR(__xludf.DUMMYFUNCTION("""COMPUTED_VALUE"""),0.361774744027303)</f>
        <v>0.361774744</v>
      </c>
      <c r="K210" s="8">
        <f>IFERROR(__xludf.DUMMYFUNCTION("""COMPUTED_VALUE"""),0.341296928327645)</f>
        <v>0.3412969283</v>
      </c>
      <c r="L210" s="8">
        <f>IFERROR(__xludf.DUMMYFUNCTION("""COMPUTED_VALUE"""),0.318493150684931)</f>
        <v>0.3184931507</v>
      </c>
      <c r="M210" s="8">
        <f>IFERROR(__xludf.DUMMYFUNCTION("""COMPUTED_VALUE"""),0.308219178082191)</f>
        <v>0.3082191781</v>
      </c>
      <c r="N210" s="8">
        <f>IFERROR(__xludf.DUMMYFUNCTION("""COMPUTED_VALUE"""),0.294520547945205)</f>
        <v>0.2945205479</v>
      </c>
      <c r="O210" s="8">
        <f>IFERROR(__xludf.DUMMYFUNCTION("""COMPUTED_VALUE"""),0.234482758620689)</f>
        <v>0.2344827586</v>
      </c>
      <c r="P210" s="8">
        <f>IFERROR(__xludf.DUMMYFUNCTION("""COMPUTED_VALUE"""),0.185314685314685)</f>
        <v>0.1853146853</v>
      </c>
      <c r="Q210" s="8">
        <f>IFERROR(__xludf.DUMMYFUNCTION("""COMPUTED_VALUE"""),0.111510791366906)</f>
        <v>0.1115107914</v>
      </c>
      <c r="R210" s="8">
        <f>IFERROR(__xludf.DUMMYFUNCTION("""COMPUTED_VALUE"""),0.0)</f>
        <v>0</v>
      </c>
      <c r="S210" s="8">
        <f>IFERROR(__xludf.DUMMYFUNCTION("""COMPUTED_VALUE"""),0.0)</f>
        <v>0</v>
      </c>
      <c r="T210" s="8">
        <f>IFERROR(__xludf.DUMMYFUNCTION("""COMPUTED_VALUE"""),0.0)</f>
        <v>0</v>
      </c>
      <c r="U210" s="8">
        <f>IFERROR(__xludf.DUMMYFUNCTION("""COMPUTED_VALUE"""),0.0)</f>
        <v>0</v>
      </c>
      <c r="V210" s="8">
        <f>IFERROR(__xludf.DUMMYFUNCTION("""COMPUTED_VALUE"""),0.0)</f>
        <v>0</v>
      </c>
      <c r="W210" s="8">
        <f>IFERROR(__xludf.DUMMYFUNCTION("""COMPUTED_VALUE"""),0.0)</f>
        <v>0</v>
      </c>
      <c r="X210" s="8">
        <f>IFERROR(__xludf.DUMMYFUNCTION("""COMPUTED_VALUE"""),0.0)</f>
        <v>0</v>
      </c>
      <c r="Y210" s="8">
        <f>IFERROR(__xludf.DUMMYFUNCTION("""COMPUTED_VALUE"""),0.0)</f>
        <v>0</v>
      </c>
      <c r="Z210" s="8">
        <f>IFERROR(__xludf.DUMMYFUNCTION("""COMPUTED_VALUE"""),0.0)</f>
        <v>0</v>
      </c>
      <c r="AA210" s="8">
        <f>IFERROR(__xludf.DUMMYFUNCTION("""COMPUTED_VALUE"""),0.0)</f>
        <v>0</v>
      </c>
      <c r="AB210" s="8">
        <f>IFERROR(__xludf.DUMMYFUNCTION("""COMPUTED_VALUE"""),0.0)</f>
        <v>0</v>
      </c>
      <c r="AC210" s="8">
        <f>IFERROR(__xludf.DUMMYFUNCTION("""COMPUTED_VALUE"""),0.0)</f>
        <v>0</v>
      </c>
    </row>
    <row r="211" ht="15.75" customHeight="1">
      <c r="A211" s="6" t="str">
        <f>IFERROR(__xludf.DUMMYFUNCTION("""COMPUTED_VALUE"""),"ba1065d04424754ef65327a97989402f6a123e5a")</f>
        <v>ba1065d04424754ef65327a97989402f6a123e5a</v>
      </c>
      <c r="B211" s="6" t="str">
        <f>IFERROR(__xludf.DUMMYFUNCTION("""COMPUTED_VALUE"""),"Yours by Accident")</f>
        <v>Yours by Accident</v>
      </c>
      <c r="C211" s="6" t="str">
        <f>IFERROR(__xludf.DUMMYFUNCTION("""COMPUTED_VALUE"""),"Romance")</f>
        <v>Romance</v>
      </c>
      <c r="D211" s="11">
        <f>IFERROR(__xludf.DUMMYFUNCTION("""COMPUTED_VALUE"""),157.0)</f>
        <v>157</v>
      </c>
      <c r="E211" s="8">
        <f>IFERROR(__xludf.DUMMYFUNCTION("""COMPUTED_VALUE"""),0.98051948051948)</f>
        <v>0.9805194805</v>
      </c>
      <c r="F211" s="8">
        <f>IFERROR(__xludf.DUMMYFUNCTION("""COMPUTED_VALUE"""),0.52027027027027)</f>
        <v>0.5202702703</v>
      </c>
      <c r="G211" s="8">
        <f>IFERROR(__xludf.DUMMYFUNCTION("""COMPUTED_VALUE"""),0.386206896551724)</f>
        <v>0.3862068966</v>
      </c>
      <c r="H211" s="8">
        <f>IFERROR(__xludf.DUMMYFUNCTION("""COMPUTED_VALUE"""),0.345070422535211)</f>
        <v>0.3450704225</v>
      </c>
      <c r="I211" s="8">
        <f>IFERROR(__xludf.DUMMYFUNCTION("""COMPUTED_VALUE"""),0.267605633802816)</f>
        <v>0.2676056338</v>
      </c>
      <c r="J211" s="8">
        <f>IFERROR(__xludf.DUMMYFUNCTION("""COMPUTED_VALUE"""),0.25)</f>
        <v>0.25</v>
      </c>
      <c r="K211" s="8">
        <f>IFERROR(__xludf.DUMMYFUNCTION("""COMPUTED_VALUE"""),0.237410071942446)</f>
        <v>0.2374100719</v>
      </c>
      <c r="L211" s="8">
        <f>IFERROR(__xludf.DUMMYFUNCTION("""COMPUTED_VALUE"""),0.223076923076923)</f>
        <v>0.2230769231</v>
      </c>
      <c r="M211" s="8">
        <f>IFERROR(__xludf.DUMMYFUNCTION("""COMPUTED_VALUE"""),0.216)</f>
        <v>0.216</v>
      </c>
      <c r="N211" s="8">
        <f>IFERROR(__xludf.DUMMYFUNCTION("""COMPUTED_VALUE"""),0.193277310924369)</f>
        <v>0.1932773109</v>
      </c>
      <c r="O211" s="8">
        <f>IFERROR(__xludf.DUMMYFUNCTION("""COMPUTED_VALUE"""),0.148514851485148)</f>
        <v>0.1485148515</v>
      </c>
      <c r="P211" s="8">
        <f>IFERROR(__xludf.DUMMYFUNCTION("""COMPUTED_VALUE"""),0.0947368421052631)</f>
        <v>0.09473684211</v>
      </c>
      <c r="Q211" s="8">
        <f>IFERROR(__xludf.DUMMYFUNCTION("""COMPUTED_VALUE"""),0.0659340659340659)</f>
        <v>0.06593406593</v>
      </c>
      <c r="R211" s="8">
        <f>IFERROR(__xludf.DUMMYFUNCTION("""COMPUTED_VALUE"""),0.0329670329670329)</f>
        <v>0.03296703297</v>
      </c>
      <c r="S211" s="8">
        <f>IFERROR(__xludf.DUMMYFUNCTION("""COMPUTED_VALUE"""),0.0116279069767441)</f>
        <v>0.01162790698</v>
      </c>
      <c r="T211" s="8">
        <f>IFERROR(__xludf.DUMMYFUNCTION("""COMPUTED_VALUE"""),0.0)</f>
        <v>0</v>
      </c>
      <c r="U211" s="8">
        <f>IFERROR(__xludf.DUMMYFUNCTION("""COMPUTED_VALUE"""),0.0)</f>
        <v>0</v>
      </c>
      <c r="V211" s="8">
        <f>IFERROR(__xludf.DUMMYFUNCTION("""COMPUTED_VALUE"""),0.0)</f>
        <v>0</v>
      </c>
      <c r="W211" s="8">
        <f>IFERROR(__xludf.DUMMYFUNCTION("""COMPUTED_VALUE"""),0.0)</f>
        <v>0</v>
      </c>
      <c r="X211" s="8">
        <f>IFERROR(__xludf.DUMMYFUNCTION("""COMPUTED_VALUE"""),0.0)</f>
        <v>0</v>
      </c>
      <c r="Y211" s="8">
        <f>IFERROR(__xludf.DUMMYFUNCTION("""COMPUTED_VALUE"""),0.0)</f>
        <v>0</v>
      </c>
      <c r="Z211" s="8">
        <f>IFERROR(__xludf.DUMMYFUNCTION("""COMPUTED_VALUE"""),0.0)</f>
        <v>0</v>
      </c>
      <c r="AA211" s="8">
        <f>IFERROR(__xludf.DUMMYFUNCTION("""COMPUTED_VALUE"""),0.0)</f>
        <v>0</v>
      </c>
      <c r="AB211" s="8">
        <f>IFERROR(__xludf.DUMMYFUNCTION("""COMPUTED_VALUE"""),0.0)</f>
        <v>0</v>
      </c>
      <c r="AC211" s="8">
        <f>IFERROR(__xludf.DUMMYFUNCTION("""COMPUTED_VALUE"""),0.0)</f>
        <v>0</v>
      </c>
    </row>
    <row r="212" ht="15.75" customHeight="1">
      <c r="A212" s="6" t="str">
        <f>IFERROR(__xludf.DUMMYFUNCTION("""COMPUTED_VALUE"""),"bb2f281964ff5fb7528074b3b2b73409bbf91d2a")</f>
        <v>bb2f281964ff5fb7528074b3b2b73409bbf91d2a</v>
      </c>
      <c r="B212" s="6" t="str">
        <f>IFERROR(__xludf.DUMMYFUNCTION("""COMPUTED_VALUE"""),"My Money Minting System")</f>
        <v>My Money Minting System</v>
      </c>
      <c r="C212" s="6" t="str">
        <f>IFERROR(__xludf.DUMMYFUNCTION("""COMPUTED_VALUE"""),"System and Superpower")</f>
        <v>System and Superpower</v>
      </c>
      <c r="D212" s="11">
        <f>IFERROR(__xludf.DUMMYFUNCTION("""COMPUTED_VALUE"""),751.0)</f>
        <v>751</v>
      </c>
      <c r="E212" s="8">
        <f>IFERROR(__xludf.DUMMYFUNCTION("""COMPUTED_VALUE"""),0.981233243967828)</f>
        <v>0.981233244</v>
      </c>
      <c r="F212" s="8">
        <f>IFERROR(__xludf.DUMMYFUNCTION("""COMPUTED_VALUE"""),0.6828125)</f>
        <v>0.6828125</v>
      </c>
      <c r="G212" s="8">
        <f>IFERROR(__xludf.DUMMYFUNCTION("""COMPUTED_VALUE"""),0.575959933222036)</f>
        <v>0.5759599332</v>
      </c>
      <c r="H212" s="8">
        <f>IFERROR(__xludf.DUMMYFUNCTION("""COMPUTED_VALUE"""),0.559681697612732)</f>
        <v>0.5596816976</v>
      </c>
      <c r="I212" s="8">
        <f>IFERROR(__xludf.DUMMYFUNCTION("""COMPUTED_VALUE"""),0.494915254237288)</f>
        <v>0.4949152542</v>
      </c>
      <c r="J212" s="8">
        <f>IFERROR(__xludf.DUMMYFUNCTION("""COMPUTED_VALUE"""),0.471962616822429)</f>
        <v>0.4719626168</v>
      </c>
      <c r="K212" s="8">
        <f>IFERROR(__xludf.DUMMYFUNCTION("""COMPUTED_VALUE"""),0.40566037735849)</f>
        <v>0.4056603774</v>
      </c>
      <c r="L212" s="8">
        <f>IFERROR(__xludf.DUMMYFUNCTION("""COMPUTED_VALUE"""),0.364928909952606)</f>
        <v>0.36492891</v>
      </c>
      <c r="M212" s="8">
        <f>IFERROR(__xludf.DUMMYFUNCTION("""COMPUTED_VALUE"""),0.350710900473933)</f>
        <v>0.3507109005</v>
      </c>
      <c r="N212" s="8">
        <f>IFERROR(__xludf.DUMMYFUNCTION("""COMPUTED_VALUE"""),0.350961538461538)</f>
        <v>0.3509615385</v>
      </c>
      <c r="O212" s="8">
        <f>IFERROR(__xludf.DUMMYFUNCTION("""COMPUTED_VALUE"""),0.232673267326732)</f>
        <v>0.2326732673</v>
      </c>
      <c r="P212" s="8">
        <f>IFERROR(__xludf.DUMMYFUNCTION("""COMPUTED_VALUE"""),0.127272727272727)</f>
        <v>0.1272727273</v>
      </c>
      <c r="Q212" s="8">
        <f>IFERROR(__xludf.DUMMYFUNCTION("""COMPUTED_VALUE"""),0.0505050505050505)</f>
        <v>0.05050505051</v>
      </c>
      <c r="R212" s="8">
        <f>IFERROR(__xludf.DUMMYFUNCTION("""COMPUTED_VALUE"""),0.0)</f>
        <v>0</v>
      </c>
      <c r="S212" s="8">
        <f>IFERROR(__xludf.DUMMYFUNCTION("""COMPUTED_VALUE"""),0.0)</f>
        <v>0</v>
      </c>
      <c r="T212" s="8">
        <f>IFERROR(__xludf.DUMMYFUNCTION("""COMPUTED_VALUE"""),0.0)</f>
        <v>0</v>
      </c>
      <c r="U212" s="8">
        <f>IFERROR(__xludf.DUMMYFUNCTION("""COMPUTED_VALUE"""),0.0)</f>
        <v>0</v>
      </c>
      <c r="V212" s="8">
        <f>IFERROR(__xludf.DUMMYFUNCTION("""COMPUTED_VALUE"""),0.0)</f>
        <v>0</v>
      </c>
      <c r="W212" s="8">
        <f>IFERROR(__xludf.DUMMYFUNCTION("""COMPUTED_VALUE"""),0.0)</f>
        <v>0</v>
      </c>
      <c r="X212" s="8">
        <f>IFERROR(__xludf.DUMMYFUNCTION("""COMPUTED_VALUE"""),0.0)</f>
        <v>0</v>
      </c>
      <c r="Y212" s="8">
        <f>IFERROR(__xludf.DUMMYFUNCTION("""COMPUTED_VALUE"""),0.0)</f>
        <v>0</v>
      </c>
      <c r="Z212" s="8">
        <f>IFERROR(__xludf.DUMMYFUNCTION("""COMPUTED_VALUE"""),0.0)</f>
        <v>0</v>
      </c>
      <c r="AA212" s="8">
        <f>IFERROR(__xludf.DUMMYFUNCTION("""COMPUTED_VALUE"""),0.0)</f>
        <v>0</v>
      </c>
      <c r="AB212" s="8">
        <f>IFERROR(__xludf.DUMMYFUNCTION("""COMPUTED_VALUE"""),0.0)</f>
        <v>0</v>
      </c>
      <c r="AC212" s="8">
        <f>IFERROR(__xludf.DUMMYFUNCTION("""COMPUTED_VALUE"""),0.0)</f>
        <v>0</v>
      </c>
    </row>
    <row r="213" ht="15.75" customHeight="1">
      <c r="A213" s="6" t="str">
        <f>IFERROR(__xludf.DUMMYFUNCTION("""COMPUTED_VALUE"""),"bb8bdc13e3c19f2845f457b91284273ad6ddf8f2")</f>
        <v>bb8bdc13e3c19f2845f457b91284273ad6ddf8f2</v>
      </c>
      <c r="B213" s="6" t="str">
        <f>IFERROR(__xludf.DUMMYFUNCTION("""COMPUTED_VALUE"""),"His Four Little Rascals")</f>
        <v>His Four Little Rascals</v>
      </c>
      <c r="C213" s="6" t="str">
        <f>IFERROR(__xludf.DUMMYFUNCTION("""COMPUTED_VALUE"""),"Romance")</f>
        <v>Romance</v>
      </c>
      <c r="D213" s="11">
        <f>IFERROR(__xludf.DUMMYFUNCTION("""COMPUTED_VALUE"""),6290.0)</f>
        <v>6290</v>
      </c>
      <c r="E213" s="8">
        <f>IFERROR(__xludf.DUMMYFUNCTION("""COMPUTED_VALUE"""),0.950389569088885)</f>
        <v>0.9503895691</v>
      </c>
      <c r="F213" s="8">
        <f>IFERROR(__xludf.DUMMYFUNCTION("""COMPUTED_VALUE"""),0.629712104342293)</f>
        <v>0.6297121043</v>
      </c>
      <c r="G213" s="8">
        <f>IFERROR(__xludf.DUMMYFUNCTION("""COMPUTED_VALUE"""),0.536430162265351)</f>
        <v>0.5364301623</v>
      </c>
      <c r="H213" s="8">
        <f>IFERROR(__xludf.DUMMYFUNCTION("""COMPUTED_VALUE"""),0.517186505410566)</f>
        <v>0.5171865054</v>
      </c>
      <c r="I213" s="8">
        <f>IFERROR(__xludf.DUMMYFUNCTION("""COMPUTED_VALUE"""),0.50198949546395)</f>
        <v>0.5019894955</v>
      </c>
      <c r="J213" s="8">
        <f>IFERROR(__xludf.DUMMYFUNCTION("""COMPUTED_VALUE"""),0.485432256010189)</f>
        <v>0.485432256</v>
      </c>
      <c r="K213" s="8">
        <f>IFERROR(__xludf.DUMMYFUNCTION("""COMPUTED_VALUE"""),0.472359407360203)</f>
        <v>0.4723594074</v>
      </c>
      <c r="L213" s="8">
        <f>IFERROR(__xludf.DUMMYFUNCTION("""COMPUTED_VALUE"""),0.471478648820905)</f>
        <v>0.4714786488</v>
      </c>
      <c r="M213" s="8">
        <f>IFERROR(__xludf.DUMMYFUNCTION("""COMPUTED_VALUE"""),0.457762193178195)</f>
        <v>0.4577621932</v>
      </c>
      <c r="N213" s="8">
        <f>IFERROR(__xludf.DUMMYFUNCTION("""COMPUTED_VALUE"""),0.450661565439183)</f>
        <v>0.4506615654</v>
      </c>
      <c r="O213" s="8">
        <f>IFERROR(__xludf.DUMMYFUNCTION("""COMPUTED_VALUE"""),0.427680997283043)</f>
        <v>0.4276809973</v>
      </c>
      <c r="P213" s="8">
        <f>IFERROR(__xludf.DUMMYFUNCTION("""COMPUTED_VALUE"""),0.379426373978529)</f>
        <v>0.379426374</v>
      </c>
      <c r="Q213" s="8">
        <f>IFERROR(__xludf.DUMMYFUNCTION("""COMPUTED_VALUE"""),0.311904377321918)</f>
        <v>0.3119043773</v>
      </c>
      <c r="R213" s="8">
        <f>IFERROR(__xludf.DUMMYFUNCTION("""COMPUTED_VALUE"""),0.232301255230125)</f>
        <v>0.2323012552</v>
      </c>
      <c r="S213" s="8">
        <f>IFERROR(__xludf.DUMMYFUNCTION("""COMPUTED_VALUE"""),0.19513130151428)</f>
        <v>0.1951313015</v>
      </c>
      <c r="T213" s="8">
        <f>IFERROR(__xludf.DUMMYFUNCTION("""COMPUTED_VALUE"""),0.154727150235796)</f>
        <v>0.1547271502</v>
      </c>
      <c r="U213" s="8">
        <f>IFERROR(__xludf.DUMMYFUNCTION("""COMPUTED_VALUE"""),0.104791759964173)</f>
        <v>0.10479176</v>
      </c>
      <c r="V213" s="8">
        <f>IFERROR(__xludf.DUMMYFUNCTION("""COMPUTED_VALUE"""),0.0853008377760853)</f>
        <v>0.08530083778</v>
      </c>
      <c r="W213" s="8">
        <f>IFERROR(__xludf.DUMMYFUNCTION("""COMPUTED_VALUE"""),0.0676470588235294)</f>
        <v>0.06764705882</v>
      </c>
      <c r="X213" s="8">
        <f>IFERROR(__xludf.DUMMYFUNCTION("""COMPUTED_VALUE"""),0.0578947368421052)</f>
        <v>0.05789473684</v>
      </c>
      <c r="Y213" s="8">
        <f>IFERROR(__xludf.DUMMYFUNCTION("""COMPUTED_VALUE"""),0.0382653061224489)</f>
        <v>0.03826530612</v>
      </c>
      <c r="Z213" s="8">
        <f>IFERROR(__xludf.DUMMYFUNCTION("""COMPUTED_VALUE"""),0.0666666666666666)</f>
        <v>0.06666666667</v>
      </c>
      <c r="AA213" s="8">
        <f>IFERROR(__xludf.DUMMYFUNCTION("""COMPUTED_VALUE"""),0.0)</f>
        <v>0</v>
      </c>
      <c r="AB213" s="8">
        <f>IFERROR(__xludf.DUMMYFUNCTION("""COMPUTED_VALUE"""),0.0)</f>
        <v>0</v>
      </c>
      <c r="AC213" s="8">
        <f>IFERROR(__xludf.DUMMYFUNCTION("""COMPUTED_VALUE"""),0.0)</f>
        <v>0</v>
      </c>
    </row>
    <row r="214" ht="15.75" customHeight="1">
      <c r="A214" s="6" t="str">
        <f>IFERROR(__xludf.DUMMYFUNCTION("""COMPUTED_VALUE"""),"bbaf98e4e43fc8963698d00c4a338957fb765b85")</f>
        <v>bbaf98e4e43fc8963698d00c4a338957fb765b85</v>
      </c>
      <c r="B214" s="6" t="str">
        <f>IFERROR(__xludf.DUMMYFUNCTION("""COMPUTED_VALUE"""),"Artifact Spirit System")</f>
        <v>Artifact Spirit System</v>
      </c>
      <c r="C214" s="6" t="str">
        <f>IFERROR(__xludf.DUMMYFUNCTION("""COMPUTED_VALUE"""),"System and Superpower")</f>
        <v>System and Superpower</v>
      </c>
      <c r="D214" s="11">
        <f>IFERROR(__xludf.DUMMYFUNCTION("""COMPUTED_VALUE"""),3278.0)</f>
        <v>3278</v>
      </c>
      <c r="E214" s="8">
        <f>IFERROR(__xludf.DUMMYFUNCTION("""COMPUTED_VALUE"""),0.976344086021505)</f>
        <v>0.976344086</v>
      </c>
      <c r="F214" s="8">
        <f>IFERROR(__xludf.DUMMYFUNCTION("""COMPUTED_VALUE"""),0.637325038880248)</f>
        <v>0.6373250389</v>
      </c>
      <c r="G214" s="8">
        <f>IFERROR(__xludf.DUMMYFUNCTION("""COMPUTED_VALUE"""),0.558510638297872)</f>
        <v>0.5585106383</v>
      </c>
      <c r="H214" s="8">
        <f>IFERROR(__xludf.DUMMYFUNCTION("""COMPUTED_VALUE"""),0.514006924771797)</f>
        <v>0.5140069248</v>
      </c>
      <c r="I214" s="8">
        <f>IFERROR(__xludf.DUMMYFUNCTION("""COMPUTED_VALUE"""),0.481844016419324)</f>
        <v>0.4818440164</v>
      </c>
      <c r="J214" s="8">
        <f>IFERROR(__xludf.DUMMYFUNCTION("""COMPUTED_VALUE"""),0.455788804071246)</f>
        <v>0.4557888041</v>
      </c>
      <c r="K214" s="8">
        <f>IFERROR(__xludf.DUMMYFUNCTION("""COMPUTED_VALUE"""),0.432578897035384)</f>
        <v>0.432578897</v>
      </c>
      <c r="L214" s="8">
        <f>IFERROR(__xludf.DUMMYFUNCTION("""COMPUTED_VALUE"""),0.412483912483912)</f>
        <v>0.4124839125</v>
      </c>
      <c r="M214" s="8">
        <f>IFERROR(__xludf.DUMMYFUNCTION("""COMPUTED_VALUE"""),0.397613673008706)</f>
        <v>0.397613673</v>
      </c>
      <c r="N214" s="8">
        <f>IFERROR(__xludf.DUMMYFUNCTION("""COMPUTED_VALUE"""),0.38556566970091)</f>
        <v>0.3855656697</v>
      </c>
      <c r="O214" s="8">
        <f>IFERROR(__xludf.DUMMYFUNCTION("""COMPUTED_VALUE"""),0.341633466135458)</f>
        <v>0.3416334661</v>
      </c>
      <c r="P214" s="8">
        <f>IFERROR(__xludf.DUMMYFUNCTION("""COMPUTED_VALUE"""),0.306106264869151)</f>
        <v>0.3061062649</v>
      </c>
      <c r="Q214" s="8">
        <f>IFERROR(__xludf.DUMMYFUNCTION("""COMPUTED_VALUE"""),0.208137715179968)</f>
        <v>0.2081377152</v>
      </c>
      <c r="R214" s="8">
        <f>IFERROR(__xludf.DUMMYFUNCTION("""COMPUTED_VALUE"""),0.145089285714285)</f>
        <v>0.1450892857</v>
      </c>
      <c r="S214" s="8">
        <f>IFERROR(__xludf.DUMMYFUNCTION("""COMPUTED_VALUE"""),0.0)</f>
        <v>0</v>
      </c>
      <c r="T214" s="8">
        <f>IFERROR(__xludf.DUMMYFUNCTION("""COMPUTED_VALUE"""),0.0)</f>
        <v>0</v>
      </c>
      <c r="U214" s="8">
        <f>IFERROR(__xludf.DUMMYFUNCTION("""COMPUTED_VALUE"""),0.0)</f>
        <v>0</v>
      </c>
      <c r="V214" s="8">
        <f>IFERROR(__xludf.DUMMYFUNCTION("""COMPUTED_VALUE"""),0.0)</f>
        <v>0</v>
      </c>
      <c r="W214" s="8">
        <f>IFERROR(__xludf.DUMMYFUNCTION("""COMPUTED_VALUE"""),0.0)</f>
        <v>0</v>
      </c>
      <c r="X214" s="8">
        <f>IFERROR(__xludf.DUMMYFUNCTION("""COMPUTED_VALUE"""),0.0)</f>
        <v>0</v>
      </c>
      <c r="Y214" s="8">
        <f>IFERROR(__xludf.DUMMYFUNCTION("""COMPUTED_VALUE"""),0.0)</f>
        <v>0</v>
      </c>
      <c r="Z214" s="8">
        <f>IFERROR(__xludf.DUMMYFUNCTION("""COMPUTED_VALUE"""),0.0)</f>
        <v>0</v>
      </c>
      <c r="AA214" s="8">
        <f>IFERROR(__xludf.DUMMYFUNCTION("""COMPUTED_VALUE"""),0.0)</f>
        <v>0</v>
      </c>
      <c r="AB214" s="8">
        <f>IFERROR(__xludf.DUMMYFUNCTION("""COMPUTED_VALUE"""),0.0)</f>
        <v>0</v>
      </c>
      <c r="AC214" s="8">
        <f>IFERROR(__xludf.DUMMYFUNCTION("""COMPUTED_VALUE"""),0.0)</f>
        <v>0</v>
      </c>
    </row>
    <row r="215" ht="15.75" customHeight="1">
      <c r="A215" s="6" t="str">
        <f>IFERROR(__xludf.DUMMYFUNCTION("""COMPUTED_VALUE"""),"bbfdf49252139aecaf606478dbe29039803604ae")</f>
        <v>bbfdf49252139aecaf606478dbe29039803604ae</v>
      </c>
      <c r="B215" s="6" t="str">
        <f>IFERROR(__xludf.DUMMYFUNCTION("""COMPUTED_VALUE"""),"Alchemist of HARRY POTTER")</f>
        <v>Alchemist of HARRY POTTER</v>
      </c>
      <c r="C215" s="6" t="str">
        <f>IFERROR(__xludf.DUMMYFUNCTION("""COMPUTED_VALUE"""),"Fantasy")</f>
        <v>Fantasy</v>
      </c>
      <c r="D215" s="11">
        <f>IFERROR(__xludf.DUMMYFUNCTION("""COMPUTED_VALUE"""),238.0)</f>
        <v>238</v>
      </c>
      <c r="E215" s="8">
        <f>IFERROR(__xludf.DUMMYFUNCTION("""COMPUTED_VALUE"""),0.994444444444444)</f>
        <v>0.9944444444</v>
      </c>
      <c r="F215" s="8">
        <f>IFERROR(__xludf.DUMMYFUNCTION("""COMPUTED_VALUE"""),0.48780487804878)</f>
        <v>0.487804878</v>
      </c>
      <c r="G215" s="8">
        <f>IFERROR(__xludf.DUMMYFUNCTION("""COMPUTED_VALUE"""),0.294117647058823)</f>
        <v>0.2941176471</v>
      </c>
      <c r="H215" s="8">
        <f>IFERROR(__xludf.DUMMYFUNCTION("""COMPUTED_VALUE"""),0.333333333333333)</f>
        <v>0.3333333333</v>
      </c>
      <c r="I215" s="8">
        <f>IFERROR(__xludf.DUMMYFUNCTION("""COMPUTED_VALUE"""),0.25)</f>
        <v>0.25</v>
      </c>
      <c r="J215" s="8">
        <f>IFERROR(__xludf.DUMMYFUNCTION("""COMPUTED_VALUE"""),0.4)</f>
        <v>0.4</v>
      </c>
      <c r="K215" s="8">
        <f>IFERROR(__xludf.DUMMYFUNCTION("""COMPUTED_VALUE"""),0.571428571428571)</f>
        <v>0.5714285714</v>
      </c>
      <c r="L215" s="8">
        <f>IFERROR(__xludf.DUMMYFUNCTION("""COMPUTED_VALUE"""),0.333333333333333)</f>
        <v>0.3333333333</v>
      </c>
      <c r="M215" s="8">
        <f>IFERROR(__xludf.DUMMYFUNCTION("""COMPUTED_VALUE"""),0.2)</f>
        <v>0.2</v>
      </c>
      <c r="N215" s="8">
        <f>IFERROR(__xludf.DUMMYFUNCTION("""COMPUTED_VALUE"""),0.4)</f>
        <v>0.4</v>
      </c>
      <c r="O215" s="8">
        <f>IFERROR(__xludf.DUMMYFUNCTION("""COMPUTED_VALUE"""),0.25)</f>
        <v>0.25</v>
      </c>
      <c r="P215" s="8">
        <f>IFERROR(__xludf.DUMMYFUNCTION("""COMPUTED_VALUE"""),0.25)</f>
        <v>0.25</v>
      </c>
      <c r="Q215" s="8">
        <f>IFERROR(__xludf.DUMMYFUNCTION("""COMPUTED_VALUE"""),1.0)</f>
        <v>1</v>
      </c>
      <c r="R215" s="8">
        <f>IFERROR(__xludf.DUMMYFUNCTION("""COMPUTED_VALUE"""),0.0)</f>
        <v>0</v>
      </c>
      <c r="S215" s="8">
        <f>IFERROR(__xludf.DUMMYFUNCTION("""COMPUTED_VALUE"""),0.0)</f>
        <v>0</v>
      </c>
      <c r="T215" s="8">
        <f>IFERROR(__xludf.DUMMYFUNCTION("""COMPUTED_VALUE"""),0.0)</f>
        <v>0</v>
      </c>
      <c r="U215" s="8">
        <f>IFERROR(__xludf.DUMMYFUNCTION("""COMPUTED_VALUE"""),0.0)</f>
        <v>0</v>
      </c>
      <c r="V215" s="8">
        <f>IFERROR(__xludf.DUMMYFUNCTION("""COMPUTED_VALUE"""),0.0)</f>
        <v>0</v>
      </c>
      <c r="W215" s="8">
        <f>IFERROR(__xludf.DUMMYFUNCTION("""COMPUTED_VALUE"""),0.0)</f>
        <v>0</v>
      </c>
      <c r="X215" s="8">
        <f>IFERROR(__xludf.DUMMYFUNCTION("""COMPUTED_VALUE"""),0.0)</f>
        <v>0</v>
      </c>
      <c r="Y215" s="8">
        <f>IFERROR(__xludf.DUMMYFUNCTION("""COMPUTED_VALUE"""),0.0)</f>
        <v>0</v>
      </c>
      <c r="Z215" s="8">
        <f>IFERROR(__xludf.DUMMYFUNCTION("""COMPUTED_VALUE"""),0.0)</f>
        <v>0</v>
      </c>
      <c r="AA215" s="8">
        <f>IFERROR(__xludf.DUMMYFUNCTION("""COMPUTED_VALUE"""),0.0)</f>
        <v>0</v>
      </c>
      <c r="AB215" s="8">
        <f>IFERROR(__xludf.DUMMYFUNCTION("""COMPUTED_VALUE"""),0.0)</f>
        <v>0</v>
      </c>
      <c r="AC215" s="8">
        <f>IFERROR(__xludf.DUMMYFUNCTION("""COMPUTED_VALUE"""),0.0)</f>
        <v>0</v>
      </c>
    </row>
    <row r="216" ht="15.75" customHeight="1">
      <c r="A216" s="6" t="str">
        <f>IFERROR(__xludf.DUMMYFUNCTION("""COMPUTED_VALUE"""),"be6caef02859b458c7e726aab639c65f41c8e1be")</f>
        <v>be6caef02859b458c7e726aab639c65f41c8e1be</v>
      </c>
      <c r="B216" s="6" t="str">
        <f>IFERROR(__xludf.DUMMYFUNCTION("""COMPUTED_VALUE"""),"Natural Godly Martial Art")</f>
        <v>Natural Godly Martial Art</v>
      </c>
      <c r="C216" s="6" t="str">
        <f>IFERROR(__xludf.DUMMYFUNCTION("""COMPUTED_VALUE"""),"Fantasy")</f>
        <v>Fantasy</v>
      </c>
      <c r="D216" s="11">
        <f>IFERROR(__xludf.DUMMYFUNCTION("""COMPUTED_VALUE"""),548.0)</f>
        <v>548</v>
      </c>
      <c r="E216" s="8">
        <f>IFERROR(__xludf.DUMMYFUNCTION("""COMPUTED_VALUE"""),0.985347985347985)</f>
        <v>0.9853479853</v>
      </c>
      <c r="F216" s="8">
        <f>IFERROR(__xludf.DUMMYFUNCTION("""COMPUTED_VALUE"""),0.558490566037735)</f>
        <v>0.558490566</v>
      </c>
      <c r="G216" s="8">
        <f>IFERROR(__xludf.DUMMYFUNCTION("""COMPUTED_VALUE"""),0.487179487179487)</f>
        <v>0.4871794872</v>
      </c>
      <c r="H216" s="8">
        <f>IFERROR(__xludf.DUMMYFUNCTION("""COMPUTED_VALUE"""),0.38876889848812)</f>
        <v>0.3887688985</v>
      </c>
      <c r="I216" s="8">
        <f>IFERROR(__xludf.DUMMYFUNCTION("""COMPUTED_VALUE"""),0.34931506849315)</f>
        <v>0.3493150685</v>
      </c>
      <c r="J216" s="8">
        <f>IFERROR(__xludf.DUMMYFUNCTION("""COMPUTED_VALUE"""),0.339901477832512)</f>
        <v>0.3399014778</v>
      </c>
      <c r="K216" s="8">
        <f>IFERROR(__xludf.DUMMYFUNCTION("""COMPUTED_VALUE"""),0.325814536340852)</f>
        <v>0.3258145363</v>
      </c>
      <c r="L216" s="8">
        <f>IFERROR(__xludf.DUMMYFUNCTION("""COMPUTED_VALUE"""),0.317415730337078)</f>
        <v>0.3174157303</v>
      </c>
      <c r="M216" s="8">
        <f>IFERROR(__xludf.DUMMYFUNCTION("""COMPUTED_VALUE"""),0.269102990033222)</f>
        <v>0.26910299</v>
      </c>
      <c r="N216" s="8">
        <f>IFERROR(__xludf.DUMMYFUNCTION("""COMPUTED_VALUE"""),0.25311203319502)</f>
        <v>0.2531120332</v>
      </c>
      <c r="O216" s="8">
        <f>IFERROR(__xludf.DUMMYFUNCTION("""COMPUTED_VALUE"""),0.365384615384615)</f>
        <v>0.3653846154</v>
      </c>
      <c r="P216" s="8">
        <f>IFERROR(__xludf.DUMMYFUNCTION("""COMPUTED_VALUE"""),0.326530612244897)</f>
        <v>0.3265306122</v>
      </c>
      <c r="Q216" s="8">
        <f>IFERROR(__xludf.DUMMYFUNCTION("""COMPUTED_VALUE"""),0.0)</f>
        <v>0</v>
      </c>
      <c r="R216" s="8">
        <f>IFERROR(__xludf.DUMMYFUNCTION("""COMPUTED_VALUE"""),0.0)</f>
        <v>0</v>
      </c>
      <c r="S216" s="8">
        <f>IFERROR(__xludf.DUMMYFUNCTION("""COMPUTED_VALUE"""),0.0)</f>
        <v>0</v>
      </c>
      <c r="T216" s="8">
        <f>IFERROR(__xludf.DUMMYFUNCTION("""COMPUTED_VALUE"""),0.0)</f>
        <v>0</v>
      </c>
      <c r="U216" s="8">
        <f>IFERROR(__xludf.DUMMYFUNCTION("""COMPUTED_VALUE"""),0.0)</f>
        <v>0</v>
      </c>
      <c r="V216" s="8">
        <f>IFERROR(__xludf.DUMMYFUNCTION("""COMPUTED_VALUE"""),0.0)</f>
        <v>0</v>
      </c>
      <c r="W216" s="8">
        <f>IFERROR(__xludf.DUMMYFUNCTION("""COMPUTED_VALUE"""),0.0)</f>
        <v>0</v>
      </c>
      <c r="X216" s="8">
        <f>IFERROR(__xludf.DUMMYFUNCTION("""COMPUTED_VALUE"""),0.0)</f>
        <v>0</v>
      </c>
      <c r="Y216" s="8">
        <f>IFERROR(__xludf.DUMMYFUNCTION("""COMPUTED_VALUE"""),0.0)</f>
        <v>0</v>
      </c>
      <c r="Z216" s="8">
        <f>IFERROR(__xludf.DUMMYFUNCTION("""COMPUTED_VALUE"""),0.0)</f>
        <v>0</v>
      </c>
      <c r="AA216" s="8">
        <f>IFERROR(__xludf.DUMMYFUNCTION("""COMPUTED_VALUE"""),0.0)</f>
        <v>0</v>
      </c>
      <c r="AB216" s="8">
        <f>IFERROR(__xludf.DUMMYFUNCTION("""COMPUTED_VALUE"""),0.0)</f>
        <v>0</v>
      </c>
      <c r="AC216" s="8">
        <f>IFERROR(__xludf.DUMMYFUNCTION("""COMPUTED_VALUE"""),0.0)</f>
        <v>0</v>
      </c>
    </row>
    <row r="217" ht="15.75" customHeight="1">
      <c r="A217" s="6" t="str">
        <f>IFERROR(__xludf.DUMMYFUNCTION("""COMPUTED_VALUE"""),"bf3632f1f9e1f3a7b864a989bb8f495a629a43cb")</f>
        <v>bf3632f1f9e1f3a7b864a989bb8f495a629a43cb</v>
      </c>
      <c r="B217" s="6" t="str">
        <f>IFERROR(__xludf.DUMMYFUNCTION("""COMPUTED_VALUE"""),"Her Secret Twins")</f>
        <v>Her Secret Twins</v>
      </c>
      <c r="C217" s="6" t="str">
        <f>IFERROR(__xludf.DUMMYFUNCTION("""COMPUTED_VALUE"""),"Romance")</f>
        <v>Romance</v>
      </c>
      <c r="D217" s="11">
        <f>IFERROR(__xludf.DUMMYFUNCTION("""COMPUTED_VALUE"""),2454.0)</f>
        <v>2454</v>
      </c>
      <c r="E217" s="8">
        <f>IFERROR(__xludf.DUMMYFUNCTION("""COMPUTED_VALUE"""),0.938060309698451)</f>
        <v>0.9380603097</v>
      </c>
      <c r="F217" s="8">
        <f>IFERROR(__xludf.DUMMYFUNCTION("""COMPUTED_VALUE"""),0.784841075794621)</f>
        <v>0.7848410758</v>
      </c>
      <c r="G217" s="8">
        <f>IFERROR(__xludf.DUMMYFUNCTION("""COMPUTED_VALUE"""),0.733496332518337)</f>
        <v>0.7334963325</v>
      </c>
      <c r="H217" s="8">
        <f>IFERROR(__xludf.DUMMYFUNCTION("""COMPUTED_VALUE"""),0.69641401792991)</f>
        <v>0.6964140179</v>
      </c>
      <c r="I217" s="8">
        <f>IFERROR(__xludf.DUMMYFUNCTION("""COMPUTED_VALUE"""),0.675907052588666)</f>
        <v>0.6759070526</v>
      </c>
      <c r="J217" s="8">
        <f>IFERROR(__xludf.DUMMYFUNCTION("""COMPUTED_VALUE"""),0.659730722154222)</f>
        <v>0.6597307222</v>
      </c>
      <c r="K217" s="8">
        <f>IFERROR(__xludf.DUMMYFUNCTION("""COMPUTED_VALUE"""),0.640962872297021)</f>
        <v>0.6409628723</v>
      </c>
      <c r="L217" s="8">
        <f>IFERROR(__xludf.DUMMYFUNCTION("""COMPUTED_VALUE"""),0.62749898000816)</f>
        <v>0.62749898</v>
      </c>
      <c r="M217" s="8">
        <f>IFERROR(__xludf.DUMMYFUNCTION("""COMPUTED_VALUE"""),0.619591836734693)</f>
        <v>0.6195918367</v>
      </c>
      <c r="N217" s="8">
        <f>IFERROR(__xludf.DUMMYFUNCTION("""COMPUTED_VALUE"""),0.613246116107931)</f>
        <v>0.6132461161</v>
      </c>
      <c r="O217" s="8">
        <f>IFERROR(__xludf.DUMMYFUNCTION("""COMPUTED_VALUE"""),0.564113068414584)</f>
        <v>0.5641130684</v>
      </c>
      <c r="P217" s="8">
        <f>IFERROR(__xludf.DUMMYFUNCTION("""COMPUTED_VALUE"""),0.543621399176954)</f>
        <v>0.5436213992</v>
      </c>
      <c r="Q217" s="8">
        <f>IFERROR(__xludf.DUMMYFUNCTION("""COMPUTED_VALUE"""),0.429883138564273)</f>
        <v>0.4298831386</v>
      </c>
      <c r="R217" s="8">
        <f>IFERROR(__xludf.DUMMYFUNCTION("""COMPUTED_VALUE"""),0.367123287671232)</f>
        <v>0.3671232877</v>
      </c>
      <c r="S217" s="8">
        <f>IFERROR(__xludf.DUMMYFUNCTION("""COMPUTED_VALUE"""),0.286061588330632)</f>
        <v>0.2860615883</v>
      </c>
      <c r="T217" s="8">
        <f>IFERROR(__xludf.DUMMYFUNCTION("""COMPUTED_VALUE"""),0.198540145985401)</f>
        <v>0.198540146</v>
      </c>
      <c r="U217" s="8">
        <f>IFERROR(__xludf.DUMMYFUNCTION("""COMPUTED_VALUE"""),0.146387832699619)</f>
        <v>0.1463878327</v>
      </c>
      <c r="V217" s="8">
        <f>IFERROR(__xludf.DUMMYFUNCTION("""COMPUTED_VALUE"""),0.127802690582959)</f>
        <v>0.1278026906</v>
      </c>
      <c r="W217" s="8">
        <f>IFERROR(__xludf.DUMMYFUNCTION("""COMPUTED_VALUE"""),0.0946291560102301)</f>
        <v>0.09462915601</v>
      </c>
      <c r="X217" s="8">
        <f>IFERROR(__xludf.DUMMYFUNCTION("""COMPUTED_VALUE"""),0.0804953560371517)</f>
        <v>0.08049535604</v>
      </c>
      <c r="Y217" s="8">
        <f>IFERROR(__xludf.DUMMYFUNCTION("""COMPUTED_VALUE"""),0.0478260869565217)</f>
        <v>0.04782608696</v>
      </c>
      <c r="Z217" s="8">
        <f>IFERROR(__xludf.DUMMYFUNCTION("""COMPUTED_VALUE"""),0.016)</f>
        <v>0.016</v>
      </c>
      <c r="AA217" s="8">
        <f>IFERROR(__xludf.DUMMYFUNCTION("""COMPUTED_VALUE"""),0.0)</f>
        <v>0</v>
      </c>
      <c r="AB217" s="8">
        <f>IFERROR(__xludf.DUMMYFUNCTION("""COMPUTED_VALUE"""),0.0)</f>
        <v>0</v>
      </c>
      <c r="AC217" s="8">
        <f>IFERROR(__xludf.DUMMYFUNCTION("""COMPUTED_VALUE"""),0.0)</f>
        <v>0</v>
      </c>
    </row>
    <row r="218" ht="15.75" customHeight="1">
      <c r="A218" s="6" t="str">
        <f>IFERROR(__xludf.DUMMYFUNCTION("""COMPUTED_VALUE"""),"c04c6d5eb020135b9855b7b2290092294bd33d99")</f>
        <v>c04c6d5eb020135b9855b7b2290092294bd33d99</v>
      </c>
      <c r="B218" s="6" t="str">
        <f>IFERROR(__xludf.DUMMYFUNCTION("""COMPUTED_VALUE"""),"My Crimson Bite")</f>
        <v>My Crimson Bite</v>
      </c>
      <c r="C218" s="6" t="str">
        <f>IFERROR(__xludf.DUMMYFUNCTION("""COMPUTED_VALUE"""),"Romantasy")</f>
        <v>Romantasy</v>
      </c>
      <c r="D218" s="11">
        <f>IFERROR(__xludf.DUMMYFUNCTION("""COMPUTED_VALUE"""),121.0)</f>
        <v>121</v>
      </c>
      <c r="E218" s="8">
        <f>IFERROR(__xludf.DUMMYFUNCTION("""COMPUTED_VALUE"""),0.982300884955752)</f>
        <v>0.982300885</v>
      </c>
      <c r="F218" s="8">
        <f>IFERROR(__xludf.DUMMYFUNCTION("""COMPUTED_VALUE"""),0.472222222222222)</f>
        <v>0.4722222222</v>
      </c>
      <c r="G218" s="8">
        <f>IFERROR(__xludf.DUMMYFUNCTION("""COMPUTED_VALUE"""),0.40566037735849)</f>
        <v>0.4056603774</v>
      </c>
      <c r="H218" s="8">
        <f>IFERROR(__xludf.DUMMYFUNCTION("""COMPUTED_VALUE"""),0.387096774193548)</f>
        <v>0.3870967742</v>
      </c>
      <c r="I218" s="8">
        <f>IFERROR(__xludf.DUMMYFUNCTION("""COMPUTED_VALUE"""),0.365853658536585)</f>
        <v>0.3658536585</v>
      </c>
      <c r="J218" s="8">
        <f>IFERROR(__xludf.DUMMYFUNCTION("""COMPUTED_VALUE"""),0.444444444444444)</f>
        <v>0.4444444444</v>
      </c>
      <c r="K218" s="8">
        <f>IFERROR(__xludf.DUMMYFUNCTION("""COMPUTED_VALUE"""),0.422222222222222)</f>
        <v>0.4222222222</v>
      </c>
      <c r="L218" s="8">
        <f>IFERROR(__xludf.DUMMYFUNCTION("""COMPUTED_VALUE"""),0.4)</f>
        <v>0.4</v>
      </c>
      <c r="M218" s="8">
        <f>IFERROR(__xludf.DUMMYFUNCTION("""COMPUTED_VALUE"""),0.355555555555555)</f>
        <v>0.3555555556</v>
      </c>
      <c r="N218" s="8">
        <f>IFERROR(__xludf.DUMMYFUNCTION("""COMPUTED_VALUE"""),0.355555555555555)</f>
        <v>0.3555555556</v>
      </c>
      <c r="O218" s="8">
        <f>IFERROR(__xludf.DUMMYFUNCTION("""COMPUTED_VALUE"""),0.34090909090909)</f>
        <v>0.3409090909</v>
      </c>
      <c r="P218" s="8">
        <f>IFERROR(__xludf.DUMMYFUNCTION("""COMPUTED_VALUE"""),0.275)</f>
        <v>0.275</v>
      </c>
      <c r="Q218" s="8">
        <f>IFERROR(__xludf.DUMMYFUNCTION("""COMPUTED_VALUE"""),0.129032258064516)</f>
        <v>0.1290322581</v>
      </c>
      <c r="R218" s="8">
        <f>IFERROR(__xludf.DUMMYFUNCTION("""COMPUTED_VALUE"""),0.0)</f>
        <v>0</v>
      </c>
      <c r="S218" s="8">
        <f>IFERROR(__xludf.DUMMYFUNCTION("""COMPUTED_VALUE"""),0.0)</f>
        <v>0</v>
      </c>
      <c r="T218" s="8">
        <f>IFERROR(__xludf.DUMMYFUNCTION("""COMPUTED_VALUE"""),0.0)</f>
        <v>0</v>
      </c>
      <c r="U218" s="8">
        <f>IFERROR(__xludf.DUMMYFUNCTION("""COMPUTED_VALUE"""),0.0)</f>
        <v>0</v>
      </c>
      <c r="V218" s="8">
        <f>IFERROR(__xludf.DUMMYFUNCTION("""COMPUTED_VALUE"""),0.0)</f>
        <v>0</v>
      </c>
      <c r="W218" s="8">
        <f>IFERROR(__xludf.DUMMYFUNCTION("""COMPUTED_VALUE"""),0.0)</f>
        <v>0</v>
      </c>
      <c r="X218" s="8">
        <f>IFERROR(__xludf.DUMMYFUNCTION("""COMPUTED_VALUE"""),0.0)</f>
        <v>0</v>
      </c>
      <c r="Y218" s="8">
        <f>IFERROR(__xludf.DUMMYFUNCTION("""COMPUTED_VALUE"""),0.0)</f>
        <v>0</v>
      </c>
      <c r="Z218" s="8">
        <f>IFERROR(__xludf.DUMMYFUNCTION("""COMPUTED_VALUE"""),0.0)</f>
        <v>0</v>
      </c>
      <c r="AA218" s="8">
        <f>IFERROR(__xludf.DUMMYFUNCTION("""COMPUTED_VALUE"""),0.0)</f>
        <v>0</v>
      </c>
      <c r="AB218" s="8">
        <f>IFERROR(__xludf.DUMMYFUNCTION("""COMPUTED_VALUE"""),0.0)</f>
        <v>0</v>
      </c>
      <c r="AC218" s="8">
        <f>IFERROR(__xludf.DUMMYFUNCTION("""COMPUTED_VALUE"""),0.0)</f>
        <v>0</v>
      </c>
    </row>
    <row r="219" ht="15.75" customHeight="1">
      <c r="A219" s="6" t="str">
        <f>IFERROR(__xludf.DUMMYFUNCTION("""COMPUTED_VALUE"""),"c2045ffb46d0538ca44af5ee011be0b36e81c395")</f>
        <v>c2045ffb46d0538ca44af5ee011be0b36e81c395</v>
      </c>
      <c r="B219" s="6" t="str">
        <f>IFERROR(__xludf.DUMMYFUNCTION("""COMPUTED_VALUE"""),"A Marriage of Ashes")</f>
        <v>A Marriage of Ashes</v>
      </c>
      <c r="C219" s="6" t="str">
        <f>IFERROR(__xludf.DUMMYFUNCTION("""COMPUTED_VALUE"""),"Romance")</f>
        <v>Romance</v>
      </c>
      <c r="D219" s="11">
        <f>IFERROR(__xludf.DUMMYFUNCTION("""COMPUTED_VALUE"""),427.0)</f>
        <v>427</v>
      </c>
      <c r="E219" s="8">
        <f>IFERROR(__xludf.DUMMYFUNCTION("""COMPUTED_VALUE"""),0.983606557377049)</f>
        <v>0.9836065574</v>
      </c>
      <c r="F219" s="8">
        <f>IFERROR(__xludf.DUMMYFUNCTION("""COMPUTED_VALUE"""),0.229508196721311)</f>
        <v>0.2295081967</v>
      </c>
      <c r="G219" s="8">
        <f>IFERROR(__xludf.DUMMYFUNCTION("""COMPUTED_VALUE"""),0.14519906323185)</f>
        <v>0.1451990632</v>
      </c>
      <c r="H219" s="8">
        <f>IFERROR(__xludf.DUMMYFUNCTION("""COMPUTED_VALUE"""),0.107981220657277)</f>
        <v>0.1079812207</v>
      </c>
      <c r="I219" s="8">
        <f>IFERROR(__xludf.DUMMYFUNCTION("""COMPUTED_VALUE"""),0.096244131455399)</f>
        <v>0.09624413146</v>
      </c>
      <c r="J219" s="8">
        <f>IFERROR(__xludf.DUMMYFUNCTION("""COMPUTED_VALUE"""),0.0751173708920187)</f>
        <v>0.07511737089</v>
      </c>
      <c r="K219" s="8">
        <f>IFERROR(__xludf.DUMMYFUNCTION("""COMPUTED_VALUE"""),0.0586854460093896)</f>
        <v>0.05868544601</v>
      </c>
      <c r="L219" s="8">
        <f>IFERROR(__xludf.DUMMYFUNCTION("""COMPUTED_VALUE"""),0.0539906103286385)</f>
        <v>0.05399061033</v>
      </c>
      <c r="M219" s="8">
        <f>IFERROR(__xludf.DUMMYFUNCTION("""COMPUTED_VALUE"""),0.0492957746478873)</f>
        <v>0.04929577465</v>
      </c>
      <c r="N219" s="8">
        <f>IFERROR(__xludf.DUMMYFUNCTION("""COMPUTED_VALUE"""),0.0352112676056338)</f>
        <v>0.03521126761</v>
      </c>
      <c r="O219" s="8">
        <f>IFERROR(__xludf.DUMMYFUNCTION("""COMPUTED_VALUE"""),0.00954653937947494)</f>
        <v>0.009546539379</v>
      </c>
      <c r="P219" s="8">
        <f>IFERROR(__xludf.DUMMYFUNCTION("""COMPUTED_VALUE"""),0.0)</f>
        <v>0</v>
      </c>
      <c r="Q219" s="8">
        <f>IFERROR(__xludf.DUMMYFUNCTION("""COMPUTED_VALUE"""),0.0)</f>
        <v>0</v>
      </c>
      <c r="R219" s="8">
        <f>IFERROR(__xludf.DUMMYFUNCTION("""COMPUTED_VALUE"""),0.0)</f>
        <v>0</v>
      </c>
      <c r="S219" s="8">
        <f>IFERROR(__xludf.DUMMYFUNCTION("""COMPUTED_VALUE"""),0.0)</f>
        <v>0</v>
      </c>
      <c r="T219" s="8">
        <f>IFERROR(__xludf.DUMMYFUNCTION("""COMPUTED_VALUE"""),0.0)</f>
        <v>0</v>
      </c>
      <c r="U219" s="8">
        <f>IFERROR(__xludf.DUMMYFUNCTION("""COMPUTED_VALUE"""),0.0)</f>
        <v>0</v>
      </c>
      <c r="V219" s="8">
        <f>IFERROR(__xludf.DUMMYFUNCTION("""COMPUTED_VALUE"""),0.0)</f>
        <v>0</v>
      </c>
      <c r="W219" s="8">
        <f>IFERROR(__xludf.DUMMYFUNCTION("""COMPUTED_VALUE"""),0.0)</f>
        <v>0</v>
      </c>
      <c r="X219" s="8">
        <f>IFERROR(__xludf.DUMMYFUNCTION("""COMPUTED_VALUE"""),0.0)</f>
        <v>0</v>
      </c>
      <c r="Y219" s="8">
        <f>IFERROR(__xludf.DUMMYFUNCTION("""COMPUTED_VALUE"""),0.0)</f>
        <v>0</v>
      </c>
      <c r="Z219" s="8">
        <f>IFERROR(__xludf.DUMMYFUNCTION("""COMPUTED_VALUE"""),0.0)</f>
        <v>0</v>
      </c>
      <c r="AA219" s="8">
        <f>IFERROR(__xludf.DUMMYFUNCTION("""COMPUTED_VALUE"""),0.0)</f>
        <v>0</v>
      </c>
      <c r="AB219" s="8">
        <f>IFERROR(__xludf.DUMMYFUNCTION("""COMPUTED_VALUE"""),0.0)</f>
        <v>0</v>
      </c>
      <c r="AC219" s="8">
        <f>IFERROR(__xludf.DUMMYFUNCTION("""COMPUTED_VALUE"""),0.0)</f>
        <v>0</v>
      </c>
    </row>
    <row r="220" ht="15.75" customHeight="1">
      <c r="A220" s="6" t="str">
        <f>IFERROR(__xludf.DUMMYFUNCTION("""COMPUTED_VALUE"""),"c4463ba00f6c126612324139644418680a50dd75")</f>
        <v>c4463ba00f6c126612324139644418680a50dd75</v>
      </c>
      <c r="B220" s="6" t="str">
        <f>IFERROR(__xludf.DUMMYFUNCTION("""COMPUTED_VALUE"""),"Bloodstar")</f>
        <v>Bloodstar</v>
      </c>
      <c r="C220" s="6" t="str">
        <f>IFERROR(__xludf.DUMMYFUNCTION("""COMPUTED_VALUE"""),"System and Superpower")</f>
        <v>System and Superpower</v>
      </c>
      <c r="D220" s="11">
        <f>IFERROR(__xludf.DUMMYFUNCTION("""COMPUTED_VALUE"""),607.0)</f>
        <v>607</v>
      </c>
      <c r="E220" s="8">
        <f>IFERROR(__xludf.DUMMYFUNCTION("""COMPUTED_VALUE"""),0.986798679867986)</f>
        <v>0.9867986799</v>
      </c>
      <c r="F220" s="8">
        <f>IFERROR(__xludf.DUMMYFUNCTION("""COMPUTED_VALUE"""),0.727272727272727)</f>
        <v>0.7272727273</v>
      </c>
      <c r="G220" s="8">
        <f>IFERROR(__xludf.DUMMYFUNCTION("""COMPUTED_VALUE"""),0.637417218543046)</f>
        <v>0.6374172185</v>
      </c>
      <c r="H220" s="8">
        <f>IFERROR(__xludf.DUMMYFUNCTION("""COMPUTED_VALUE"""),0.551324503311258)</f>
        <v>0.5513245033</v>
      </c>
      <c r="I220" s="8">
        <f>IFERROR(__xludf.DUMMYFUNCTION("""COMPUTED_VALUE"""),0.486710963455149)</f>
        <v>0.4867109635</v>
      </c>
      <c r="J220" s="8">
        <f>IFERROR(__xludf.DUMMYFUNCTION("""COMPUTED_VALUE"""),0.443333333333333)</f>
        <v>0.4433333333</v>
      </c>
      <c r="K220" s="8">
        <f>IFERROR(__xludf.DUMMYFUNCTION("""COMPUTED_VALUE"""),0.386934673366834)</f>
        <v>0.3869346734</v>
      </c>
      <c r="L220" s="8">
        <f>IFERROR(__xludf.DUMMYFUNCTION("""COMPUTED_VALUE"""),0.33781512605042)</f>
        <v>0.3378151261</v>
      </c>
      <c r="M220" s="8">
        <f>IFERROR(__xludf.DUMMYFUNCTION("""COMPUTED_VALUE"""),0.303541315345699)</f>
        <v>0.3035413153</v>
      </c>
      <c r="N220" s="8">
        <f>IFERROR(__xludf.DUMMYFUNCTION("""COMPUTED_VALUE"""),0.294416243654822)</f>
        <v>0.2944162437</v>
      </c>
      <c r="O220" s="8">
        <f>IFERROR(__xludf.DUMMYFUNCTION("""COMPUTED_VALUE"""),0.234875444839857)</f>
        <v>0.2348754448</v>
      </c>
      <c r="P220" s="8">
        <f>IFERROR(__xludf.DUMMYFUNCTION("""COMPUTED_VALUE"""),0.333333333333333)</f>
        <v>0.3333333333</v>
      </c>
      <c r="Q220" s="8">
        <f>IFERROR(__xludf.DUMMYFUNCTION("""COMPUTED_VALUE"""),0.0)</f>
        <v>0</v>
      </c>
      <c r="R220" s="8">
        <f>IFERROR(__xludf.DUMMYFUNCTION("""COMPUTED_VALUE"""),0.0)</f>
        <v>0</v>
      </c>
      <c r="S220" s="8">
        <f>IFERROR(__xludf.DUMMYFUNCTION("""COMPUTED_VALUE"""),0.0)</f>
        <v>0</v>
      </c>
      <c r="T220" s="8">
        <f>IFERROR(__xludf.DUMMYFUNCTION("""COMPUTED_VALUE"""),0.0)</f>
        <v>0</v>
      </c>
      <c r="U220" s="8">
        <f>IFERROR(__xludf.DUMMYFUNCTION("""COMPUTED_VALUE"""),0.0)</f>
        <v>0</v>
      </c>
      <c r="V220" s="8">
        <f>IFERROR(__xludf.DUMMYFUNCTION("""COMPUTED_VALUE"""),0.0)</f>
        <v>0</v>
      </c>
      <c r="W220" s="8">
        <f>IFERROR(__xludf.DUMMYFUNCTION("""COMPUTED_VALUE"""),0.0)</f>
        <v>0</v>
      </c>
      <c r="X220" s="8">
        <f>IFERROR(__xludf.DUMMYFUNCTION("""COMPUTED_VALUE"""),0.0)</f>
        <v>0</v>
      </c>
      <c r="Y220" s="8">
        <f>IFERROR(__xludf.DUMMYFUNCTION("""COMPUTED_VALUE"""),0.0)</f>
        <v>0</v>
      </c>
      <c r="Z220" s="8">
        <f>IFERROR(__xludf.DUMMYFUNCTION("""COMPUTED_VALUE"""),0.0)</f>
        <v>0</v>
      </c>
      <c r="AA220" s="8">
        <f>IFERROR(__xludf.DUMMYFUNCTION("""COMPUTED_VALUE"""),0.0)</f>
        <v>0</v>
      </c>
      <c r="AB220" s="8">
        <f>IFERROR(__xludf.DUMMYFUNCTION("""COMPUTED_VALUE"""),0.0)</f>
        <v>0</v>
      </c>
      <c r="AC220" s="8">
        <f>IFERROR(__xludf.DUMMYFUNCTION("""COMPUTED_VALUE"""),0.0)</f>
        <v>0</v>
      </c>
    </row>
    <row r="221" ht="15.75" customHeight="1">
      <c r="A221" s="6" t="str">
        <f>IFERROR(__xludf.DUMMYFUNCTION("""COMPUTED_VALUE"""),"c6590012d529ed8d9e5750565fe5d91ddd1144d5")</f>
        <v>c6590012d529ed8d9e5750565fe5d91ddd1144d5</v>
      </c>
      <c r="B221" s="6" t="str">
        <f>IFERROR(__xludf.DUMMYFUNCTION("""COMPUTED_VALUE"""),"Rise of Charles Atticus")</f>
        <v>Rise of Charles Atticus</v>
      </c>
      <c r="C221" s="6" t="str">
        <f>IFERROR(__xludf.DUMMYFUNCTION("""COMPUTED_VALUE"""),"Fantasy")</f>
        <v>Fantasy</v>
      </c>
      <c r="D221" s="11">
        <f>IFERROR(__xludf.DUMMYFUNCTION("""COMPUTED_VALUE"""),473.0)</f>
        <v>473</v>
      </c>
      <c r="E221" s="8">
        <f>IFERROR(__xludf.DUMMYFUNCTION("""COMPUTED_VALUE"""),0.976595744680851)</f>
        <v>0.9765957447</v>
      </c>
      <c r="F221" s="8">
        <f>IFERROR(__xludf.DUMMYFUNCTION("""COMPUTED_VALUE"""),0.723456790123456)</f>
        <v>0.7234567901</v>
      </c>
      <c r="G221" s="8">
        <f>IFERROR(__xludf.DUMMYFUNCTION("""COMPUTED_VALUE"""),0.676712328767123)</f>
        <v>0.6767123288</v>
      </c>
      <c r="H221" s="8">
        <f>IFERROR(__xludf.DUMMYFUNCTION("""COMPUTED_VALUE"""),0.629870129870129)</f>
        <v>0.6298701299</v>
      </c>
      <c r="I221" s="8">
        <f>IFERROR(__xludf.DUMMYFUNCTION("""COMPUTED_VALUE"""),0.61437908496732)</f>
        <v>0.614379085</v>
      </c>
      <c r="J221" s="8">
        <f>IFERROR(__xludf.DUMMYFUNCTION("""COMPUTED_VALUE"""),0.620689655172413)</f>
        <v>0.6206896552</v>
      </c>
      <c r="K221" s="8">
        <f>IFERROR(__xludf.DUMMYFUNCTION("""COMPUTED_VALUE"""),0.444444444444444)</f>
        <v>0.4444444444</v>
      </c>
      <c r="L221" s="8">
        <f>IFERROR(__xludf.DUMMYFUNCTION("""COMPUTED_VALUE"""),0.555555555555555)</f>
        <v>0.5555555556</v>
      </c>
      <c r="M221" s="8">
        <f>IFERROR(__xludf.DUMMYFUNCTION("""COMPUTED_VALUE"""),0.444444444444444)</f>
        <v>0.4444444444</v>
      </c>
      <c r="N221" s="8">
        <f>IFERROR(__xludf.DUMMYFUNCTION("""COMPUTED_VALUE"""),0.444444444444444)</f>
        <v>0.4444444444</v>
      </c>
      <c r="O221" s="8">
        <f>IFERROR(__xludf.DUMMYFUNCTION("""COMPUTED_VALUE"""),0.571428571428571)</f>
        <v>0.5714285714</v>
      </c>
      <c r="P221" s="8">
        <f>IFERROR(__xludf.DUMMYFUNCTION("""COMPUTED_VALUE"""),0.5)</f>
        <v>0.5</v>
      </c>
      <c r="Q221" s="8">
        <f>IFERROR(__xludf.DUMMYFUNCTION("""COMPUTED_VALUE"""),0.0)</f>
        <v>0</v>
      </c>
      <c r="R221" s="8">
        <f>IFERROR(__xludf.DUMMYFUNCTION("""COMPUTED_VALUE"""),0.0)</f>
        <v>0</v>
      </c>
      <c r="S221" s="8">
        <f>IFERROR(__xludf.DUMMYFUNCTION("""COMPUTED_VALUE"""),0.0)</f>
        <v>0</v>
      </c>
      <c r="T221" s="8">
        <f>IFERROR(__xludf.DUMMYFUNCTION("""COMPUTED_VALUE"""),0.0)</f>
        <v>0</v>
      </c>
      <c r="U221" s="8">
        <f>IFERROR(__xludf.DUMMYFUNCTION("""COMPUTED_VALUE"""),0.0)</f>
        <v>0</v>
      </c>
      <c r="V221" s="8">
        <f>IFERROR(__xludf.DUMMYFUNCTION("""COMPUTED_VALUE"""),0.0)</f>
        <v>0</v>
      </c>
      <c r="W221" s="8">
        <f>IFERROR(__xludf.DUMMYFUNCTION("""COMPUTED_VALUE"""),0.0)</f>
        <v>0</v>
      </c>
      <c r="X221" s="8">
        <f>IFERROR(__xludf.DUMMYFUNCTION("""COMPUTED_VALUE"""),0.0)</f>
        <v>0</v>
      </c>
      <c r="Y221" s="8">
        <f>IFERROR(__xludf.DUMMYFUNCTION("""COMPUTED_VALUE"""),0.0)</f>
        <v>0</v>
      </c>
      <c r="Z221" s="8">
        <f>IFERROR(__xludf.DUMMYFUNCTION("""COMPUTED_VALUE"""),0.0)</f>
        <v>0</v>
      </c>
      <c r="AA221" s="8">
        <f>IFERROR(__xludf.DUMMYFUNCTION("""COMPUTED_VALUE"""),0.0)</f>
        <v>0</v>
      </c>
      <c r="AB221" s="8">
        <f>IFERROR(__xludf.DUMMYFUNCTION("""COMPUTED_VALUE"""),0.0)</f>
        <v>0</v>
      </c>
      <c r="AC221" s="8">
        <f>IFERROR(__xludf.DUMMYFUNCTION("""COMPUTED_VALUE"""),0.0)</f>
        <v>0</v>
      </c>
    </row>
    <row r="222" ht="15.75" customHeight="1">
      <c r="A222" s="6" t="str">
        <f>IFERROR(__xludf.DUMMYFUNCTION("""COMPUTED_VALUE"""),"c66d5521f195754d722c7e3daab2da20a027dd0c")</f>
        <v>c66d5521f195754d722c7e3daab2da20a027dd0c</v>
      </c>
      <c r="B222" s="6" t="str">
        <f>IFERROR(__xludf.DUMMYFUNCTION("""COMPUTED_VALUE"""),"Ceo's Heartbreaker")</f>
        <v>Ceo's Heartbreaker</v>
      </c>
      <c r="C222" s="6" t="str">
        <f>IFERROR(__xludf.DUMMYFUNCTION("""COMPUTED_VALUE"""),"Romance")</f>
        <v>Romance</v>
      </c>
      <c r="D222" s="11">
        <f>IFERROR(__xludf.DUMMYFUNCTION("""COMPUTED_VALUE"""),168.0)</f>
        <v>168</v>
      </c>
      <c r="E222" s="8">
        <f>IFERROR(__xludf.DUMMYFUNCTION("""COMPUTED_VALUE"""),0.939759036144578)</f>
        <v>0.9397590361</v>
      </c>
      <c r="F222" s="8">
        <f>IFERROR(__xludf.DUMMYFUNCTION("""COMPUTED_VALUE"""),0.63030303030303)</f>
        <v>0.6303030303</v>
      </c>
      <c r="G222" s="8">
        <f>IFERROR(__xludf.DUMMYFUNCTION("""COMPUTED_VALUE"""),0.503067484662576)</f>
        <v>0.5030674847</v>
      </c>
      <c r="H222" s="8">
        <f>IFERROR(__xludf.DUMMYFUNCTION("""COMPUTED_VALUE"""),0.462025316455696)</f>
        <v>0.4620253165</v>
      </c>
      <c r="I222" s="8">
        <f>IFERROR(__xludf.DUMMYFUNCTION("""COMPUTED_VALUE"""),0.365384615384615)</f>
        <v>0.3653846154</v>
      </c>
      <c r="J222" s="8">
        <f>IFERROR(__xludf.DUMMYFUNCTION("""COMPUTED_VALUE"""),0.376623376623376)</f>
        <v>0.3766233766</v>
      </c>
      <c r="K222" s="8">
        <f>IFERROR(__xludf.DUMMYFUNCTION("""COMPUTED_VALUE"""),0.333333333333333)</f>
        <v>0.3333333333</v>
      </c>
      <c r="L222" s="8">
        <f>IFERROR(__xludf.DUMMYFUNCTION("""COMPUTED_VALUE"""),0.333333333333333)</f>
        <v>0.3333333333</v>
      </c>
      <c r="M222" s="8">
        <f>IFERROR(__xludf.DUMMYFUNCTION("""COMPUTED_VALUE"""),0.325757575757575)</f>
        <v>0.3257575758</v>
      </c>
      <c r="N222" s="8">
        <f>IFERROR(__xludf.DUMMYFUNCTION("""COMPUTED_VALUE"""),0.353982300884955)</f>
        <v>0.3539823009</v>
      </c>
      <c r="O222" s="8">
        <f>IFERROR(__xludf.DUMMYFUNCTION("""COMPUTED_VALUE"""),0.375)</f>
        <v>0.375</v>
      </c>
      <c r="P222" s="8">
        <f>IFERROR(__xludf.DUMMYFUNCTION("""COMPUTED_VALUE"""),0.28169014084507)</f>
        <v>0.2816901408</v>
      </c>
      <c r="Q222" s="8">
        <f>IFERROR(__xludf.DUMMYFUNCTION("""COMPUTED_VALUE"""),0.112676056338028)</f>
        <v>0.1126760563</v>
      </c>
      <c r="R222" s="8">
        <f>IFERROR(__xludf.DUMMYFUNCTION("""COMPUTED_VALUE"""),0.0)</f>
        <v>0</v>
      </c>
      <c r="S222" s="8">
        <f>IFERROR(__xludf.DUMMYFUNCTION("""COMPUTED_VALUE"""),0.0)</f>
        <v>0</v>
      </c>
      <c r="T222" s="8">
        <f>IFERROR(__xludf.DUMMYFUNCTION("""COMPUTED_VALUE"""),0.0)</f>
        <v>0</v>
      </c>
      <c r="U222" s="8">
        <f>IFERROR(__xludf.DUMMYFUNCTION("""COMPUTED_VALUE"""),0.0)</f>
        <v>0</v>
      </c>
      <c r="V222" s="8">
        <f>IFERROR(__xludf.DUMMYFUNCTION("""COMPUTED_VALUE"""),0.0)</f>
        <v>0</v>
      </c>
      <c r="W222" s="8">
        <f>IFERROR(__xludf.DUMMYFUNCTION("""COMPUTED_VALUE"""),0.0)</f>
        <v>0</v>
      </c>
      <c r="X222" s="8">
        <f>IFERROR(__xludf.DUMMYFUNCTION("""COMPUTED_VALUE"""),0.0)</f>
        <v>0</v>
      </c>
      <c r="Y222" s="8">
        <f>IFERROR(__xludf.DUMMYFUNCTION("""COMPUTED_VALUE"""),0.0)</f>
        <v>0</v>
      </c>
      <c r="Z222" s="8">
        <f>IFERROR(__xludf.DUMMYFUNCTION("""COMPUTED_VALUE"""),0.0)</f>
        <v>0</v>
      </c>
      <c r="AA222" s="8">
        <f>IFERROR(__xludf.DUMMYFUNCTION("""COMPUTED_VALUE"""),0.0)</f>
        <v>0</v>
      </c>
      <c r="AB222" s="8">
        <f>IFERROR(__xludf.DUMMYFUNCTION("""COMPUTED_VALUE"""),0.0)</f>
        <v>0</v>
      </c>
      <c r="AC222" s="8">
        <f>IFERROR(__xludf.DUMMYFUNCTION("""COMPUTED_VALUE"""),0.0)</f>
        <v>0</v>
      </c>
    </row>
    <row r="223" ht="15.75" customHeight="1">
      <c r="A223" s="6" t="str">
        <f>IFERROR(__xludf.DUMMYFUNCTION("""COMPUTED_VALUE"""),"c6786de3c05a64c2f4c13acbe0e61d8d4e111aad")</f>
        <v>c6786de3c05a64c2f4c13acbe0e61d8d4e111aad</v>
      </c>
      <c r="B223" s="6" t="str">
        <f>IFERROR(__xludf.DUMMYFUNCTION("""COMPUTED_VALUE"""),"Mr. Kane's Reluctant Wife")</f>
        <v>Mr. Kane's Reluctant Wife</v>
      </c>
      <c r="C223" s="6" t="str">
        <f>IFERROR(__xludf.DUMMYFUNCTION("""COMPUTED_VALUE"""),"Romance")</f>
        <v>Romance</v>
      </c>
      <c r="D223" s="11">
        <f>IFERROR(__xludf.DUMMYFUNCTION("""COMPUTED_VALUE"""),537.0)</f>
        <v>537</v>
      </c>
      <c r="E223" s="8">
        <f>IFERROR(__xludf.DUMMYFUNCTION("""COMPUTED_VALUE"""),0.960893854748603)</f>
        <v>0.9608938547</v>
      </c>
      <c r="F223" s="8">
        <f>IFERROR(__xludf.DUMMYFUNCTION("""COMPUTED_VALUE"""),0.578358208955223)</f>
        <v>0.578358209</v>
      </c>
      <c r="G223" s="8">
        <f>IFERROR(__xludf.DUMMYFUNCTION("""COMPUTED_VALUE"""),0.53731343283582)</f>
        <v>0.5373134328</v>
      </c>
      <c r="H223" s="8">
        <f>IFERROR(__xludf.DUMMYFUNCTION("""COMPUTED_VALUE"""),0.505597014925373)</f>
        <v>0.5055970149</v>
      </c>
      <c r="I223" s="8">
        <f>IFERROR(__xludf.DUMMYFUNCTION("""COMPUTED_VALUE"""),0.468283582089552)</f>
        <v>0.4682835821</v>
      </c>
      <c r="J223" s="8">
        <f>IFERROR(__xludf.DUMMYFUNCTION("""COMPUTED_VALUE"""),0.457089552238806)</f>
        <v>0.4570895522</v>
      </c>
      <c r="K223" s="8">
        <f>IFERROR(__xludf.DUMMYFUNCTION("""COMPUTED_VALUE"""),0.440298507462686)</f>
        <v>0.4402985075</v>
      </c>
      <c r="L223" s="8">
        <f>IFERROR(__xludf.DUMMYFUNCTION("""COMPUTED_VALUE"""),0.44776119402985)</f>
        <v>0.447761194</v>
      </c>
      <c r="M223" s="8">
        <f>IFERROR(__xludf.DUMMYFUNCTION("""COMPUTED_VALUE"""),0.440298507462686)</f>
        <v>0.4402985075</v>
      </c>
      <c r="N223" s="8">
        <f>IFERROR(__xludf.DUMMYFUNCTION("""COMPUTED_VALUE"""),0.430970149253731)</f>
        <v>0.4309701493</v>
      </c>
      <c r="O223" s="8">
        <f>IFERROR(__xludf.DUMMYFUNCTION("""COMPUTED_VALUE"""),0.413857677902621)</f>
        <v>0.4138576779</v>
      </c>
      <c r="P223" s="8">
        <f>IFERROR(__xludf.DUMMYFUNCTION("""COMPUTED_VALUE"""),0.298418972332015)</f>
        <v>0.2984189723</v>
      </c>
      <c r="Q223" s="8">
        <f>IFERROR(__xludf.DUMMYFUNCTION("""COMPUTED_VALUE"""),0.214128035320088)</f>
        <v>0.2141280353</v>
      </c>
      <c r="R223" s="8">
        <f>IFERROR(__xludf.DUMMYFUNCTION("""COMPUTED_VALUE"""),0.0)</f>
        <v>0</v>
      </c>
      <c r="S223" s="8">
        <f>IFERROR(__xludf.DUMMYFUNCTION("""COMPUTED_VALUE"""),0.0)</f>
        <v>0</v>
      </c>
      <c r="T223" s="8">
        <f>IFERROR(__xludf.DUMMYFUNCTION("""COMPUTED_VALUE"""),0.0)</f>
        <v>0</v>
      </c>
      <c r="U223" s="8">
        <f>IFERROR(__xludf.DUMMYFUNCTION("""COMPUTED_VALUE"""),0.0)</f>
        <v>0</v>
      </c>
      <c r="V223" s="8">
        <f>IFERROR(__xludf.DUMMYFUNCTION("""COMPUTED_VALUE"""),0.0)</f>
        <v>0</v>
      </c>
      <c r="W223" s="8">
        <f>IFERROR(__xludf.DUMMYFUNCTION("""COMPUTED_VALUE"""),0.0)</f>
        <v>0</v>
      </c>
      <c r="X223" s="8">
        <f>IFERROR(__xludf.DUMMYFUNCTION("""COMPUTED_VALUE"""),0.0)</f>
        <v>0</v>
      </c>
      <c r="Y223" s="8">
        <f>IFERROR(__xludf.DUMMYFUNCTION("""COMPUTED_VALUE"""),0.0)</f>
        <v>0</v>
      </c>
      <c r="Z223" s="8">
        <f>IFERROR(__xludf.DUMMYFUNCTION("""COMPUTED_VALUE"""),0.0)</f>
        <v>0</v>
      </c>
      <c r="AA223" s="8">
        <f>IFERROR(__xludf.DUMMYFUNCTION("""COMPUTED_VALUE"""),0.0)</f>
        <v>0</v>
      </c>
      <c r="AB223" s="8">
        <f>IFERROR(__xludf.DUMMYFUNCTION("""COMPUTED_VALUE"""),0.0)</f>
        <v>0</v>
      </c>
      <c r="AC223" s="8">
        <f>IFERROR(__xludf.DUMMYFUNCTION("""COMPUTED_VALUE"""),0.0)</f>
        <v>0</v>
      </c>
    </row>
    <row r="224" ht="15.75" customHeight="1">
      <c r="A224" s="6" t="str">
        <f>IFERROR(__xludf.DUMMYFUNCTION("""COMPUTED_VALUE"""),"c8219b2f9d80ce631da27b15849041dbb194dc76")</f>
        <v>c8219b2f9d80ce631da27b15849041dbb194dc76</v>
      </c>
      <c r="B224" s="6" t="str">
        <f>IFERROR(__xludf.DUMMYFUNCTION("""COMPUTED_VALUE"""),"The Fire God's Heir")</f>
        <v>The Fire God's Heir</v>
      </c>
      <c r="C224" s="6" t="str">
        <f>IFERROR(__xludf.DUMMYFUNCTION("""COMPUTED_VALUE"""),"Romantasy")</f>
        <v>Romantasy</v>
      </c>
      <c r="D224" s="11">
        <f>IFERROR(__xludf.DUMMYFUNCTION("""COMPUTED_VALUE"""),509.0)</f>
        <v>509</v>
      </c>
      <c r="E224" s="8">
        <f>IFERROR(__xludf.DUMMYFUNCTION("""COMPUTED_VALUE"""),0.986984815618221)</f>
        <v>0.9869848156</v>
      </c>
      <c r="F224" s="8">
        <f>IFERROR(__xludf.DUMMYFUNCTION("""COMPUTED_VALUE"""),0.634085213032581)</f>
        <v>0.634085213</v>
      </c>
      <c r="G224" s="8">
        <f>IFERROR(__xludf.DUMMYFUNCTION("""COMPUTED_VALUE"""),0.567123287671232)</f>
        <v>0.5671232877</v>
      </c>
      <c r="H224" s="8">
        <f>IFERROR(__xludf.DUMMYFUNCTION("""COMPUTED_VALUE"""),0.41159420289855)</f>
        <v>0.4115942029</v>
      </c>
      <c r="I224" s="8">
        <f>IFERROR(__xludf.DUMMYFUNCTION("""COMPUTED_VALUE"""),0.33731343283582)</f>
        <v>0.3373134328</v>
      </c>
      <c r="J224" s="8">
        <f>IFERROR(__xludf.DUMMYFUNCTION("""COMPUTED_VALUE"""),0.31875)</f>
        <v>0.31875</v>
      </c>
      <c r="K224" s="8">
        <f>IFERROR(__xludf.DUMMYFUNCTION("""COMPUTED_VALUE"""),0.321656050955414)</f>
        <v>0.321656051</v>
      </c>
      <c r="L224" s="8">
        <f>IFERROR(__xludf.DUMMYFUNCTION("""COMPUTED_VALUE"""),0.297734627831715)</f>
        <v>0.2977346278</v>
      </c>
      <c r="M224" s="8">
        <f>IFERROR(__xludf.DUMMYFUNCTION("""COMPUTED_VALUE"""),0.254966887417218)</f>
        <v>0.2549668874</v>
      </c>
      <c r="N224" s="8">
        <f>IFERROR(__xludf.DUMMYFUNCTION("""COMPUTED_VALUE"""),0.234482758620689)</f>
        <v>0.2344827586</v>
      </c>
      <c r="O224" s="8">
        <f>IFERROR(__xludf.DUMMYFUNCTION("""COMPUTED_VALUE"""),0.150197628458498)</f>
        <v>0.1501976285</v>
      </c>
      <c r="P224" s="8">
        <f>IFERROR(__xludf.DUMMYFUNCTION("""COMPUTED_VALUE"""),0.0682730923694779)</f>
        <v>0.06827309237</v>
      </c>
      <c r="Q224" s="8">
        <f>IFERROR(__xludf.DUMMYFUNCTION("""COMPUTED_VALUE"""),0.0414507772020725)</f>
        <v>0.0414507772</v>
      </c>
      <c r="R224" s="8">
        <f>IFERROR(__xludf.DUMMYFUNCTION("""COMPUTED_VALUE"""),0.0)</f>
        <v>0</v>
      </c>
      <c r="S224" s="8">
        <f>IFERROR(__xludf.DUMMYFUNCTION("""COMPUTED_VALUE"""),0.0)</f>
        <v>0</v>
      </c>
      <c r="T224" s="8">
        <f>IFERROR(__xludf.DUMMYFUNCTION("""COMPUTED_VALUE"""),0.0)</f>
        <v>0</v>
      </c>
      <c r="U224" s="8">
        <f>IFERROR(__xludf.DUMMYFUNCTION("""COMPUTED_VALUE"""),0.0)</f>
        <v>0</v>
      </c>
      <c r="V224" s="8">
        <f>IFERROR(__xludf.DUMMYFUNCTION("""COMPUTED_VALUE"""),0.0)</f>
        <v>0</v>
      </c>
      <c r="W224" s="8">
        <f>IFERROR(__xludf.DUMMYFUNCTION("""COMPUTED_VALUE"""),0.0)</f>
        <v>0</v>
      </c>
      <c r="X224" s="8">
        <f>IFERROR(__xludf.DUMMYFUNCTION("""COMPUTED_VALUE"""),0.0)</f>
        <v>0</v>
      </c>
      <c r="Y224" s="8">
        <f>IFERROR(__xludf.DUMMYFUNCTION("""COMPUTED_VALUE"""),0.0)</f>
        <v>0</v>
      </c>
      <c r="Z224" s="8">
        <f>IFERROR(__xludf.DUMMYFUNCTION("""COMPUTED_VALUE"""),0.0)</f>
        <v>0</v>
      </c>
      <c r="AA224" s="8">
        <f>IFERROR(__xludf.DUMMYFUNCTION("""COMPUTED_VALUE"""),0.0)</f>
        <v>0</v>
      </c>
      <c r="AB224" s="8">
        <f>IFERROR(__xludf.DUMMYFUNCTION("""COMPUTED_VALUE"""),0.0)</f>
        <v>0</v>
      </c>
      <c r="AC224" s="8">
        <f>IFERROR(__xludf.DUMMYFUNCTION("""COMPUTED_VALUE"""),0.0)</f>
        <v>0</v>
      </c>
    </row>
    <row r="225" ht="15.75" customHeight="1">
      <c r="A225" s="6" t="str">
        <f>IFERROR(__xludf.DUMMYFUNCTION("""COMPUTED_VALUE"""),"c9fd6d447c06b151ec4563d30a1e1685e71bd29d")</f>
        <v>c9fd6d447c06b151ec4563d30a1e1685e71bd29d</v>
      </c>
      <c r="B225" s="6" t="str">
        <f>IFERROR(__xludf.DUMMYFUNCTION("""COMPUTED_VALUE"""),"Void Evolution System")</f>
        <v>Void Evolution System</v>
      </c>
      <c r="C225" s="6" t="str">
        <f>IFERROR(__xludf.DUMMYFUNCTION("""COMPUTED_VALUE"""),"Fantasy")</f>
        <v>Fantasy</v>
      </c>
      <c r="D225" s="11">
        <f>IFERROR(__xludf.DUMMYFUNCTION("""COMPUTED_VALUE"""),626.0)</f>
        <v>626</v>
      </c>
      <c r="E225" s="8">
        <f>IFERROR(__xludf.DUMMYFUNCTION("""COMPUTED_VALUE"""),0.987158908507223)</f>
        <v>0.9871589085</v>
      </c>
      <c r="F225" s="8">
        <f>IFERROR(__xludf.DUMMYFUNCTION("""COMPUTED_VALUE"""),0.735483870967741)</f>
        <v>0.735483871</v>
      </c>
      <c r="G225" s="8">
        <f>IFERROR(__xludf.DUMMYFUNCTION("""COMPUTED_VALUE"""),0.68780487804878)</f>
        <v>0.687804878</v>
      </c>
      <c r="H225" s="8">
        <f>IFERROR(__xludf.DUMMYFUNCTION("""COMPUTED_VALUE"""),0.648208469055374)</f>
        <v>0.6482084691</v>
      </c>
      <c r="I225" s="8">
        <f>IFERROR(__xludf.DUMMYFUNCTION("""COMPUTED_VALUE"""),0.627483443708609)</f>
        <v>0.6274834437</v>
      </c>
      <c r="J225" s="8">
        <f>IFERROR(__xludf.DUMMYFUNCTION("""COMPUTED_VALUE"""),0.600665557404326)</f>
        <v>0.6006655574</v>
      </c>
      <c r="K225" s="8">
        <f>IFERROR(__xludf.DUMMYFUNCTION("""COMPUTED_VALUE"""),0.579564489112227)</f>
        <v>0.5795644891</v>
      </c>
      <c r="L225" s="8">
        <f>IFERROR(__xludf.DUMMYFUNCTION("""COMPUTED_VALUE"""),0.547619047619047)</f>
        <v>0.5476190476</v>
      </c>
      <c r="M225" s="8">
        <f>IFERROR(__xludf.DUMMYFUNCTION("""COMPUTED_VALUE"""),0.532986111111111)</f>
        <v>0.5329861111</v>
      </c>
      <c r="N225" s="8">
        <f>IFERROR(__xludf.DUMMYFUNCTION("""COMPUTED_VALUE"""),0.514598540145985)</f>
        <v>0.5145985401</v>
      </c>
      <c r="O225" s="8">
        <f>IFERROR(__xludf.DUMMYFUNCTION("""COMPUTED_VALUE"""),0.333333333333333)</f>
        <v>0.3333333333</v>
      </c>
      <c r="P225" s="8">
        <f>IFERROR(__xludf.DUMMYFUNCTION("""COMPUTED_VALUE"""),1.0)</f>
        <v>1</v>
      </c>
      <c r="Q225" s="8">
        <f>IFERROR(__xludf.DUMMYFUNCTION("""COMPUTED_VALUE"""),0.0)</f>
        <v>0</v>
      </c>
      <c r="R225" s="8">
        <f>IFERROR(__xludf.DUMMYFUNCTION("""COMPUTED_VALUE"""),0.0)</f>
        <v>0</v>
      </c>
      <c r="S225" s="8">
        <f>IFERROR(__xludf.DUMMYFUNCTION("""COMPUTED_VALUE"""),0.0)</f>
        <v>0</v>
      </c>
      <c r="T225" s="8">
        <f>IFERROR(__xludf.DUMMYFUNCTION("""COMPUTED_VALUE"""),0.0)</f>
        <v>0</v>
      </c>
      <c r="U225" s="8">
        <f>IFERROR(__xludf.DUMMYFUNCTION("""COMPUTED_VALUE"""),0.0)</f>
        <v>0</v>
      </c>
      <c r="V225" s="8">
        <f>IFERROR(__xludf.DUMMYFUNCTION("""COMPUTED_VALUE"""),0.0)</f>
        <v>0</v>
      </c>
      <c r="W225" s="8">
        <f>IFERROR(__xludf.DUMMYFUNCTION("""COMPUTED_VALUE"""),0.0)</f>
        <v>0</v>
      </c>
      <c r="X225" s="8">
        <f>IFERROR(__xludf.DUMMYFUNCTION("""COMPUTED_VALUE"""),0.0)</f>
        <v>0</v>
      </c>
      <c r="Y225" s="8">
        <f>IFERROR(__xludf.DUMMYFUNCTION("""COMPUTED_VALUE"""),0.0)</f>
        <v>0</v>
      </c>
      <c r="Z225" s="8">
        <f>IFERROR(__xludf.DUMMYFUNCTION("""COMPUTED_VALUE"""),0.0)</f>
        <v>0</v>
      </c>
      <c r="AA225" s="8">
        <f>IFERROR(__xludf.DUMMYFUNCTION("""COMPUTED_VALUE"""),0.0)</f>
        <v>0</v>
      </c>
      <c r="AB225" s="8">
        <f>IFERROR(__xludf.DUMMYFUNCTION("""COMPUTED_VALUE"""),0.0)</f>
        <v>0</v>
      </c>
      <c r="AC225" s="8">
        <f>IFERROR(__xludf.DUMMYFUNCTION("""COMPUTED_VALUE"""),0.0)</f>
        <v>0</v>
      </c>
    </row>
    <row r="226" ht="15.75" customHeight="1">
      <c r="A226" s="6" t="str">
        <f>IFERROR(__xludf.DUMMYFUNCTION("""COMPUTED_VALUE"""),"cae77d999ed2205a1ab04a54470de972ddd8bc69")</f>
        <v>cae77d999ed2205a1ab04a54470de972ddd8bc69</v>
      </c>
      <c r="B226" s="6" t="str">
        <f>IFERROR(__xludf.DUMMYFUNCTION("""COMPUTED_VALUE"""),"Atlas of My Heart")</f>
        <v>Atlas of My Heart</v>
      </c>
      <c r="C226" s="6" t="str">
        <f>IFERROR(__xludf.DUMMYFUNCTION("""COMPUTED_VALUE"""),"Romance")</f>
        <v>Romance</v>
      </c>
      <c r="D226" s="11">
        <f>IFERROR(__xludf.DUMMYFUNCTION("""COMPUTED_VALUE"""),713.0)</f>
        <v>713</v>
      </c>
      <c r="E226" s="8">
        <f>IFERROR(__xludf.DUMMYFUNCTION("""COMPUTED_VALUE"""),0.970505617977528)</f>
        <v>0.970505618</v>
      </c>
      <c r="F226" s="8">
        <f>IFERROR(__xludf.DUMMYFUNCTION("""COMPUTED_VALUE"""),0.669014084507042)</f>
        <v>0.6690140845</v>
      </c>
      <c r="G226" s="8">
        <f>IFERROR(__xludf.DUMMYFUNCTION("""COMPUTED_VALUE"""),0.594632768361582)</f>
        <v>0.5946327684</v>
      </c>
      <c r="H226" s="8">
        <f>IFERROR(__xludf.DUMMYFUNCTION("""COMPUTED_VALUE"""),0.519094766619519)</f>
        <v>0.5190947666</v>
      </c>
      <c r="I226" s="8">
        <f>IFERROR(__xludf.DUMMYFUNCTION("""COMPUTED_VALUE"""),0.450924608819345)</f>
        <v>0.4509246088</v>
      </c>
      <c r="J226" s="8">
        <f>IFERROR(__xludf.DUMMYFUNCTION("""COMPUTED_VALUE"""),0.392857142857142)</f>
        <v>0.3928571429</v>
      </c>
      <c r="K226" s="8">
        <f>IFERROR(__xludf.DUMMYFUNCTION("""COMPUTED_VALUE"""),0.380200860832137)</f>
        <v>0.3802008608</v>
      </c>
      <c r="L226" s="8">
        <f>IFERROR(__xludf.DUMMYFUNCTION("""COMPUTED_VALUE"""),0.351156069364161)</f>
        <v>0.3511560694</v>
      </c>
      <c r="M226" s="8">
        <f>IFERROR(__xludf.DUMMYFUNCTION("""COMPUTED_VALUE"""),0.337192474674384)</f>
        <v>0.3371924747</v>
      </c>
      <c r="N226" s="8">
        <f>IFERROR(__xludf.DUMMYFUNCTION("""COMPUTED_VALUE"""),0.325547445255474)</f>
        <v>0.3255474453</v>
      </c>
      <c r="O226" s="8">
        <f>IFERROR(__xludf.DUMMYFUNCTION("""COMPUTED_VALUE"""),0.282051282051282)</f>
        <v>0.2820512821</v>
      </c>
      <c r="P226" s="8">
        <f>IFERROR(__xludf.DUMMYFUNCTION("""COMPUTED_VALUE"""),0.250759878419452)</f>
        <v>0.2507598784</v>
      </c>
      <c r="Q226" s="8">
        <f>IFERROR(__xludf.DUMMYFUNCTION("""COMPUTED_VALUE"""),0.19047619047619)</f>
        <v>0.1904761905</v>
      </c>
      <c r="R226" s="8">
        <f>IFERROR(__xludf.DUMMYFUNCTION("""COMPUTED_VALUE"""),0.0)</f>
        <v>0</v>
      </c>
      <c r="S226" s="8">
        <f>IFERROR(__xludf.DUMMYFUNCTION("""COMPUTED_VALUE"""),0.0)</f>
        <v>0</v>
      </c>
      <c r="T226" s="8">
        <f>IFERROR(__xludf.DUMMYFUNCTION("""COMPUTED_VALUE"""),0.0)</f>
        <v>0</v>
      </c>
      <c r="U226" s="8">
        <f>IFERROR(__xludf.DUMMYFUNCTION("""COMPUTED_VALUE"""),0.0)</f>
        <v>0</v>
      </c>
      <c r="V226" s="8">
        <f>IFERROR(__xludf.DUMMYFUNCTION("""COMPUTED_VALUE"""),0.0)</f>
        <v>0</v>
      </c>
      <c r="W226" s="8">
        <f>IFERROR(__xludf.DUMMYFUNCTION("""COMPUTED_VALUE"""),0.0)</f>
        <v>0</v>
      </c>
      <c r="X226" s="8">
        <f>IFERROR(__xludf.DUMMYFUNCTION("""COMPUTED_VALUE"""),0.0)</f>
        <v>0</v>
      </c>
      <c r="Y226" s="8">
        <f>IFERROR(__xludf.DUMMYFUNCTION("""COMPUTED_VALUE"""),0.0)</f>
        <v>0</v>
      </c>
      <c r="Z226" s="8">
        <f>IFERROR(__xludf.DUMMYFUNCTION("""COMPUTED_VALUE"""),0.0)</f>
        <v>0</v>
      </c>
      <c r="AA226" s="8">
        <f>IFERROR(__xludf.DUMMYFUNCTION("""COMPUTED_VALUE"""),0.0)</f>
        <v>0</v>
      </c>
      <c r="AB226" s="8">
        <f>IFERROR(__xludf.DUMMYFUNCTION("""COMPUTED_VALUE"""),0.0)</f>
        <v>0</v>
      </c>
      <c r="AC226" s="8">
        <f>IFERROR(__xludf.DUMMYFUNCTION("""COMPUTED_VALUE"""),0.0)</f>
        <v>0</v>
      </c>
    </row>
    <row r="227" ht="15.75" customHeight="1">
      <c r="A227" s="6" t="str">
        <f>IFERROR(__xludf.DUMMYFUNCTION("""COMPUTED_VALUE"""),"cc5ecb3fc21c174557bddcfbc36d821c915d89ed")</f>
        <v>cc5ecb3fc21c174557bddcfbc36d821c915d89ed</v>
      </c>
      <c r="B227" s="6" t="str">
        <f>IFERROR(__xludf.DUMMYFUNCTION("""COMPUTED_VALUE"""),"My Lovely Intruder")</f>
        <v>My Lovely Intruder</v>
      </c>
      <c r="C227" s="6" t="str">
        <f>IFERROR(__xludf.DUMMYFUNCTION("""COMPUTED_VALUE"""),"Romantasy")</f>
        <v>Romantasy</v>
      </c>
      <c r="D227" s="11">
        <f>IFERROR(__xludf.DUMMYFUNCTION("""COMPUTED_VALUE"""),111.0)</f>
        <v>111</v>
      </c>
      <c r="E227" s="8">
        <f>IFERROR(__xludf.DUMMYFUNCTION("""COMPUTED_VALUE"""),0.99074074074074)</f>
        <v>0.9907407407</v>
      </c>
      <c r="F227" s="8">
        <f>IFERROR(__xludf.DUMMYFUNCTION("""COMPUTED_VALUE"""),0.539215686274509)</f>
        <v>0.5392156863</v>
      </c>
      <c r="G227" s="8">
        <f>IFERROR(__xludf.DUMMYFUNCTION("""COMPUTED_VALUE"""),0.41)</f>
        <v>0.41</v>
      </c>
      <c r="H227" s="8">
        <f>IFERROR(__xludf.DUMMYFUNCTION("""COMPUTED_VALUE"""),0.291666666666666)</f>
        <v>0.2916666667</v>
      </c>
      <c r="I227" s="8">
        <f>IFERROR(__xludf.DUMMYFUNCTION("""COMPUTED_VALUE"""),0.274725274725274)</f>
        <v>0.2747252747</v>
      </c>
      <c r="J227" s="8">
        <f>IFERROR(__xludf.DUMMYFUNCTION("""COMPUTED_VALUE"""),0.267441860465116)</f>
        <v>0.2674418605</v>
      </c>
      <c r="K227" s="8">
        <f>IFERROR(__xludf.DUMMYFUNCTION("""COMPUTED_VALUE"""),0.268292682926829)</f>
        <v>0.2682926829</v>
      </c>
      <c r="L227" s="8">
        <f>IFERROR(__xludf.DUMMYFUNCTION("""COMPUTED_VALUE"""),0.213333333333333)</f>
        <v>0.2133333333</v>
      </c>
      <c r="M227" s="8">
        <f>IFERROR(__xludf.DUMMYFUNCTION("""COMPUTED_VALUE"""),0.2)</f>
        <v>0.2</v>
      </c>
      <c r="N227" s="8">
        <f>IFERROR(__xludf.DUMMYFUNCTION("""COMPUTED_VALUE"""),0.216666666666666)</f>
        <v>0.2166666667</v>
      </c>
      <c r="O227" s="8">
        <f>IFERROR(__xludf.DUMMYFUNCTION("""COMPUTED_VALUE"""),0.176470588235294)</f>
        <v>0.1764705882</v>
      </c>
      <c r="P227" s="8">
        <f>IFERROR(__xludf.DUMMYFUNCTION("""COMPUTED_VALUE"""),0.2)</f>
        <v>0.2</v>
      </c>
      <c r="Q227" s="8">
        <f>IFERROR(__xludf.DUMMYFUNCTION("""COMPUTED_VALUE"""),0.111111111111111)</f>
        <v>0.1111111111</v>
      </c>
      <c r="R227" s="8">
        <f>IFERROR(__xludf.DUMMYFUNCTION("""COMPUTED_VALUE"""),0.0)</f>
        <v>0</v>
      </c>
      <c r="S227" s="8">
        <f>IFERROR(__xludf.DUMMYFUNCTION("""COMPUTED_VALUE"""),0.0)</f>
        <v>0</v>
      </c>
      <c r="T227" s="8">
        <f>IFERROR(__xludf.DUMMYFUNCTION("""COMPUTED_VALUE"""),0.0)</f>
        <v>0</v>
      </c>
      <c r="U227" s="8">
        <f>IFERROR(__xludf.DUMMYFUNCTION("""COMPUTED_VALUE"""),0.0)</f>
        <v>0</v>
      </c>
      <c r="V227" s="8">
        <f>IFERROR(__xludf.DUMMYFUNCTION("""COMPUTED_VALUE"""),0.0)</f>
        <v>0</v>
      </c>
      <c r="W227" s="8">
        <f>IFERROR(__xludf.DUMMYFUNCTION("""COMPUTED_VALUE"""),0.0)</f>
        <v>0</v>
      </c>
      <c r="X227" s="8">
        <f>IFERROR(__xludf.DUMMYFUNCTION("""COMPUTED_VALUE"""),0.0)</f>
        <v>0</v>
      </c>
      <c r="Y227" s="8">
        <f>IFERROR(__xludf.DUMMYFUNCTION("""COMPUTED_VALUE"""),0.0)</f>
        <v>0</v>
      </c>
      <c r="Z227" s="8">
        <f>IFERROR(__xludf.DUMMYFUNCTION("""COMPUTED_VALUE"""),0.0)</f>
        <v>0</v>
      </c>
      <c r="AA227" s="8">
        <f>IFERROR(__xludf.DUMMYFUNCTION("""COMPUTED_VALUE"""),0.0)</f>
        <v>0</v>
      </c>
      <c r="AB227" s="8">
        <f>IFERROR(__xludf.DUMMYFUNCTION("""COMPUTED_VALUE"""),0.0)</f>
        <v>0</v>
      </c>
      <c r="AC227" s="8">
        <f>IFERROR(__xludf.DUMMYFUNCTION("""COMPUTED_VALUE"""),0.0)</f>
        <v>0</v>
      </c>
    </row>
    <row r="228" ht="15.75" customHeight="1">
      <c r="A228" s="6" t="str">
        <f>IFERROR(__xludf.DUMMYFUNCTION("""COMPUTED_VALUE"""),"cce017649e6098a735e72b5dbfed27f3c95bad78")</f>
        <v>cce017649e6098a735e72b5dbfed27f3c95bad78</v>
      </c>
      <c r="B228" s="6" t="str">
        <f>IFERROR(__xludf.DUMMYFUNCTION("""COMPUTED_VALUE"""),"Between Love and Betrayal")</f>
        <v>Between Love and Betrayal</v>
      </c>
      <c r="C228" s="6" t="str">
        <f>IFERROR(__xludf.DUMMYFUNCTION("""COMPUTED_VALUE"""),"Romance")</f>
        <v>Romance</v>
      </c>
      <c r="D228" s="11">
        <f>IFERROR(__xludf.DUMMYFUNCTION("""COMPUTED_VALUE"""),536.0)</f>
        <v>536</v>
      </c>
      <c r="E228" s="8">
        <f>IFERROR(__xludf.DUMMYFUNCTION("""COMPUTED_VALUE"""),0.98320895522388)</f>
        <v>0.9832089552</v>
      </c>
      <c r="F228" s="8">
        <f>IFERROR(__xludf.DUMMYFUNCTION("""COMPUTED_VALUE"""),0.530841121495327)</f>
        <v>0.5308411215</v>
      </c>
      <c r="G228" s="8">
        <f>IFERROR(__xludf.DUMMYFUNCTION("""COMPUTED_VALUE"""),0.489719626168224)</f>
        <v>0.4897196262</v>
      </c>
      <c r="H228" s="8">
        <f>IFERROR(__xludf.DUMMYFUNCTION("""COMPUTED_VALUE"""),0.437383177570093)</f>
        <v>0.4373831776</v>
      </c>
      <c r="I228" s="8">
        <f>IFERROR(__xludf.DUMMYFUNCTION("""COMPUTED_VALUE"""),0.382739212007504)</f>
        <v>0.382739212</v>
      </c>
      <c r="J228" s="8">
        <f>IFERROR(__xludf.DUMMYFUNCTION("""COMPUTED_VALUE"""),0.359022556390977)</f>
        <v>0.3590225564</v>
      </c>
      <c r="K228" s="8">
        <f>IFERROR(__xludf.DUMMYFUNCTION("""COMPUTED_VALUE"""),0.347744360902255)</f>
        <v>0.3477443609</v>
      </c>
      <c r="L228" s="8">
        <f>IFERROR(__xludf.DUMMYFUNCTION("""COMPUTED_VALUE"""),0.327067669172932)</f>
        <v>0.3270676692</v>
      </c>
      <c r="M228" s="8">
        <f>IFERROR(__xludf.DUMMYFUNCTION("""COMPUTED_VALUE"""),0.322033898305084)</f>
        <v>0.3220338983</v>
      </c>
      <c r="N228" s="8">
        <f>IFERROR(__xludf.DUMMYFUNCTION("""COMPUTED_VALUE"""),0.32015065913371)</f>
        <v>0.3201506591</v>
      </c>
      <c r="O228" s="8">
        <f>IFERROR(__xludf.DUMMYFUNCTION("""COMPUTED_VALUE"""),0.289523809523809)</f>
        <v>0.2895238095</v>
      </c>
      <c r="P228" s="8">
        <f>IFERROR(__xludf.DUMMYFUNCTION("""COMPUTED_VALUE"""),0.433333333333333)</f>
        <v>0.4333333333</v>
      </c>
      <c r="Q228" s="8">
        <f>IFERROR(__xludf.DUMMYFUNCTION("""COMPUTED_VALUE"""),0.297872340425531)</f>
        <v>0.2978723404</v>
      </c>
      <c r="R228" s="8">
        <f>IFERROR(__xludf.DUMMYFUNCTION("""COMPUTED_VALUE"""),0.228571428571428)</f>
        <v>0.2285714286</v>
      </c>
      <c r="S228" s="8">
        <f>IFERROR(__xludf.DUMMYFUNCTION("""COMPUTED_VALUE"""),0.0)</f>
        <v>0</v>
      </c>
      <c r="T228" s="8">
        <f>IFERROR(__xludf.DUMMYFUNCTION("""COMPUTED_VALUE"""),0.0)</f>
        <v>0</v>
      </c>
      <c r="U228" s="8">
        <f>IFERROR(__xludf.DUMMYFUNCTION("""COMPUTED_VALUE"""),0.0)</f>
        <v>0</v>
      </c>
      <c r="V228" s="8">
        <f>IFERROR(__xludf.DUMMYFUNCTION("""COMPUTED_VALUE"""),0.0)</f>
        <v>0</v>
      </c>
      <c r="W228" s="8">
        <f>IFERROR(__xludf.DUMMYFUNCTION("""COMPUTED_VALUE"""),0.0)</f>
        <v>0</v>
      </c>
      <c r="X228" s="8">
        <f>IFERROR(__xludf.DUMMYFUNCTION("""COMPUTED_VALUE"""),0.0)</f>
        <v>0</v>
      </c>
      <c r="Y228" s="8">
        <f>IFERROR(__xludf.DUMMYFUNCTION("""COMPUTED_VALUE"""),0.0)</f>
        <v>0</v>
      </c>
      <c r="Z228" s="8">
        <f>IFERROR(__xludf.DUMMYFUNCTION("""COMPUTED_VALUE"""),0.0)</f>
        <v>0</v>
      </c>
      <c r="AA228" s="8">
        <f>IFERROR(__xludf.DUMMYFUNCTION("""COMPUTED_VALUE"""),0.0)</f>
        <v>0</v>
      </c>
      <c r="AB228" s="8">
        <f>IFERROR(__xludf.DUMMYFUNCTION("""COMPUTED_VALUE"""),0.0)</f>
        <v>0</v>
      </c>
      <c r="AC228" s="8">
        <f>IFERROR(__xludf.DUMMYFUNCTION("""COMPUTED_VALUE"""),0.0)</f>
        <v>0</v>
      </c>
    </row>
    <row r="229" ht="15.75" customHeight="1">
      <c r="A229" s="6" t="str">
        <f>IFERROR(__xludf.DUMMYFUNCTION("""COMPUTED_VALUE"""),"cdb3a84d505dbefdca86cae60d3db90f949368f1")</f>
        <v>cdb3a84d505dbefdca86cae60d3db90f949368f1</v>
      </c>
      <c r="B229" s="6" t="str">
        <f>IFERROR(__xludf.DUMMYFUNCTION("""COMPUTED_VALUE"""),"Amulet of the Gods")</f>
        <v>Amulet of the Gods</v>
      </c>
      <c r="C229" s="6" t="str">
        <f>IFERROR(__xludf.DUMMYFUNCTION("""COMPUTED_VALUE"""),"System and Superpower")</f>
        <v>System and Superpower</v>
      </c>
      <c r="D229" s="11">
        <f>IFERROR(__xludf.DUMMYFUNCTION("""COMPUTED_VALUE"""),9249.0)</f>
        <v>9249</v>
      </c>
      <c r="E229" s="8">
        <f>IFERROR(__xludf.DUMMYFUNCTION("""COMPUTED_VALUE"""),0.950351541373715)</f>
        <v>0.9503515414</v>
      </c>
      <c r="F229" s="8">
        <f>IFERROR(__xludf.DUMMYFUNCTION("""COMPUTED_VALUE"""),0.639102633575376)</f>
        <v>0.6391026336</v>
      </c>
      <c r="G229" s="8">
        <f>IFERROR(__xludf.DUMMYFUNCTION("""COMPUTED_VALUE"""),0.581481079908923)</f>
        <v>0.5814810799</v>
      </c>
      <c r="H229" s="8">
        <f>IFERROR(__xludf.DUMMYFUNCTION("""COMPUTED_VALUE"""),0.542702116115029)</f>
        <v>0.5427021161</v>
      </c>
      <c r="I229" s="8">
        <f>IFERROR(__xludf.DUMMYFUNCTION("""COMPUTED_VALUE"""),0.518248968064305)</f>
        <v>0.5182489681</v>
      </c>
      <c r="J229" s="8">
        <f>IFERROR(__xludf.DUMMYFUNCTION("""COMPUTED_VALUE"""),0.496407576747224)</f>
        <v>0.4964075767</v>
      </c>
      <c r="K229" s="8">
        <f>IFERROR(__xludf.DUMMYFUNCTION("""COMPUTED_VALUE"""),0.478957697339729)</f>
        <v>0.4789576973</v>
      </c>
      <c r="L229" s="8">
        <f>IFERROR(__xludf.DUMMYFUNCTION("""COMPUTED_VALUE"""),0.464948678750818)</f>
        <v>0.4649486788</v>
      </c>
      <c r="M229" s="8">
        <f>IFERROR(__xludf.DUMMYFUNCTION("""COMPUTED_VALUE"""),0.45431693989071)</f>
        <v>0.4543169399</v>
      </c>
      <c r="N229" s="8">
        <f>IFERROR(__xludf.DUMMYFUNCTION("""COMPUTED_VALUE"""),0.447690960822937)</f>
        <v>0.4476909608</v>
      </c>
      <c r="O229" s="8">
        <f>IFERROR(__xludf.DUMMYFUNCTION("""COMPUTED_VALUE"""),0.426260180497468)</f>
        <v>0.4262601805</v>
      </c>
      <c r="P229" s="8">
        <f>IFERROR(__xludf.DUMMYFUNCTION("""COMPUTED_VALUE"""),0.380604450348721)</f>
        <v>0.3806044503</v>
      </c>
      <c r="Q229" s="8">
        <f>IFERROR(__xludf.DUMMYFUNCTION("""COMPUTED_VALUE"""),0.279852415026833)</f>
        <v>0.279852415</v>
      </c>
      <c r="R229" s="8">
        <f>IFERROR(__xludf.DUMMYFUNCTION("""COMPUTED_VALUE"""),0.218307162006893)</f>
        <v>0.218307162</v>
      </c>
      <c r="S229" s="8">
        <f>IFERROR(__xludf.DUMMYFUNCTION("""COMPUTED_VALUE"""),0.159350741002117)</f>
        <v>0.159350741</v>
      </c>
      <c r="T229" s="8">
        <f>IFERROR(__xludf.DUMMYFUNCTION("""COMPUTED_VALUE"""),0.136998567335243)</f>
        <v>0.1369985673</v>
      </c>
      <c r="U229" s="8">
        <f>IFERROR(__xludf.DUMMYFUNCTION("""COMPUTED_VALUE"""),0.106243154435925)</f>
        <v>0.1062431544</v>
      </c>
      <c r="V229" s="8">
        <f>IFERROR(__xludf.DUMMYFUNCTION("""COMPUTED_VALUE"""),0.0603514132925897)</f>
        <v>0.06035141329</v>
      </c>
      <c r="W229" s="8">
        <f>IFERROR(__xludf.DUMMYFUNCTION("""COMPUTED_VALUE"""),0.0554323725055432)</f>
        <v>0.05543237251</v>
      </c>
      <c r="X229" s="8">
        <f>IFERROR(__xludf.DUMMYFUNCTION("""COMPUTED_VALUE"""),0.0352760736196319)</f>
        <v>0.03527607362</v>
      </c>
      <c r="Y229" s="8">
        <f>IFERROR(__xludf.DUMMYFUNCTION("""COMPUTED_VALUE"""),0.0)</f>
        <v>0</v>
      </c>
      <c r="Z229" s="8">
        <f>IFERROR(__xludf.DUMMYFUNCTION("""COMPUTED_VALUE"""),0.0)</f>
        <v>0</v>
      </c>
      <c r="AA229" s="8">
        <f>IFERROR(__xludf.DUMMYFUNCTION("""COMPUTED_VALUE"""),0.0)</f>
        <v>0</v>
      </c>
      <c r="AB229" s="8">
        <f>IFERROR(__xludf.DUMMYFUNCTION("""COMPUTED_VALUE"""),0.0)</f>
        <v>0</v>
      </c>
      <c r="AC229" s="8">
        <f>IFERROR(__xludf.DUMMYFUNCTION("""COMPUTED_VALUE"""),0.0)</f>
        <v>0</v>
      </c>
    </row>
    <row r="230" ht="15.75" customHeight="1">
      <c r="A230" s="6" t="str">
        <f>IFERROR(__xludf.DUMMYFUNCTION("""COMPUTED_VALUE"""),"cec33b3e9f3607e7d8ae32858f0e715a91e937c4")</f>
        <v>cec33b3e9f3607e7d8ae32858f0e715a91e937c4</v>
      </c>
      <c r="B230" s="6" t="str">
        <f>IFERROR(__xludf.DUMMYFUNCTION("""COMPUTED_VALUE"""),"From Squalor to Moneybag")</f>
        <v>From Squalor to Moneybag</v>
      </c>
      <c r="C230" s="6" t="str">
        <f>IFERROR(__xludf.DUMMYFUNCTION("""COMPUTED_VALUE"""),"Drama")</f>
        <v>Drama</v>
      </c>
      <c r="D230" s="11">
        <f>IFERROR(__xludf.DUMMYFUNCTION("""COMPUTED_VALUE"""),590.0)</f>
        <v>590</v>
      </c>
      <c r="E230" s="8">
        <f>IFERROR(__xludf.DUMMYFUNCTION("""COMPUTED_VALUE"""),0.952631578947368)</f>
        <v>0.9526315789</v>
      </c>
      <c r="F230" s="8">
        <f>IFERROR(__xludf.DUMMYFUNCTION("""COMPUTED_VALUE"""),0.666666666666666)</f>
        <v>0.6666666667</v>
      </c>
      <c r="G230" s="8">
        <f>IFERROR(__xludf.DUMMYFUNCTION("""COMPUTED_VALUE"""),0.683026584867075)</f>
        <v>0.6830265849</v>
      </c>
      <c r="H230" s="8">
        <f>IFERROR(__xludf.DUMMYFUNCTION("""COMPUTED_VALUE"""),0.66369710467706)</f>
        <v>0.6636971047</v>
      </c>
      <c r="I230" s="8">
        <f>IFERROR(__xludf.DUMMYFUNCTION("""COMPUTED_VALUE"""),0.579908675799086)</f>
        <v>0.5799086758</v>
      </c>
      <c r="J230" s="8">
        <f>IFERROR(__xludf.DUMMYFUNCTION("""COMPUTED_VALUE"""),0.491525423728813)</f>
        <v>0.4915254237</v>
      </c>
      <c r="K230" s="8">
        <f>IFERROR(__xludf.DUMMYFUNCTION("""COMPUTED_VALUE"""),0.416256157635467)</f>
        <v>0.4162561576</v>
      </c>
      <c r="L230" s="8">
        <f>IFERROR(__xludf.DUMMYFUNCTION("""COMPUTED_VALUE"""),0.365333333333333)</f>
        <v>0.3653333333</v>
      </c>
      <c r="M230" s="8">
        <f>IFERROR(__xludf.DUMMYFUNCTION("""COMPUTED_VALUE"""),0.340236686390532)</f>
        <v>0.3402366864</v>
      </c>
      <c r="N230" s="8">
        <f>IFERROR(__xludf.DUMMYFUNCTION("""COMPUTED_VALUE"""),0.331081081081081)</f>
        <v>0.3310810811</v>
      </c>
      <c r="O230" s="8">
        <f>IFERROR(__xludf.DUMMYFUNCTION("""COMPUTED_VALUE"""),0.225092250922509)</f>
        <v>0.2250922509</v>
      </c>
      <c r="P230" s="8">
        <f>IFERROR(__xludf.DUMMYFUNCTION("""COMPUTED_VALUE"""),0.118959107806691)</f>
        <v>0.1189591078</v>
      </c>
      <c r="Q230" s="8">
        <f>IFERROR(__xludf.DUMMYFUNCTION("""COMPUTED_VALUE"""),0.0378787878787878)</f>
        <v>0.03787878788</v>
      </c>
      <c r="R230" s="8">
        <f>IFERROR(__xludf.DUMMYFUNCTION("""COMPUTED_VALUE"""),0.0307692307692307)</f>
        <v>0.03076923077</v>
      </c>
      <c r="S230" s="8">
        <f>IFERROR(__xludf.DUMMYFUNCTION("""COMPUTED_VALUE"""),0.0)</f>
        <v>0</v>
      </c>
      <c r="T230" s="8">
        <f>IFERROR(__xludf.DUMMYFUNCTION("""COMPUTED_VALUE"""),0.0)</f>
        <v>0</v>
      </c>
      <c r="U230" s="8">
        <f>IFERROR(__xludf.DUMMYFUNCTION("""COMPUTED_VALUE"""),0.0)</f>
        <v>0</v>
      </c>
      <c r="V230" s="8">
        <f>IFERROR(__xludf.DUMMYFUNCTION("""COMPUTED_VALUE"""),0.0)</f>
        <v>0</v>
      </c>
      <c r="W230" s="8">
        <f>IFERROR(__xludf.DUMMYFUNCTION("""COMPUTED_VALUE"""),0.0)</f>
        <v>0</v>
      </c>
      <c r="X230" s="8">
        <f>IFERROR(__xludf.DUMMYFUNCTION("""COMPUTED_VALUE"""),0.0)</f>
        <v>0</v>
      </c>
      <c r="Y230" s="8">
        <f>IFERROR(__xludf.DUMMYFUNCTION("""COMPUTED_VALUE"""),0.0)</f>
        <v>0</v>
      </c>
      <c r="Z230" s="8">
        <f>IFERROR(__xludf.DUMMYFUNCTION("""COMPUTED_VALUE"""),0.0)</f>
        <v>0</v>
      </c>
      <c r="AA230" s="8">
        <f>IFERROR(__xludf.DUMMYFUNCTION("""COMPUTED_VALUE"""),0.0)</f>
        <v>0</v>
      </c>
      <c r="AB230" s="8">
        <f>IFERROR(__xludf.DUMMYFUNCTION("""COMPUTED_VALUE"""),0.0)</f>
        <v>0</v>
      </c>
      <c r="AC230" s="8">
        <f>IFERROR(__xludf.DUMMYFUNCTION("""COMPUTED_VALUE"""),0.0)</f>
        <v>0</v>
      </c>
    </row>
    <row r="231" ht="15.75" customHeight="1">
      <c r="A231" s="6" t="str">
        <f>IFERROR(__xludf.DUMMYFUNCTION("""COMPUTED_VALUE"""),"d2aaef61d998c9f90c2df15eafe1acd784549269")</f>
        <v>d2aaef61d998c9f90c2df15eafe1acd784549269</v>
      </c>
      <c r="B231" s="6" t="str">
        <f>IFERROR(__xludf.DUMMYFUNCTION("""COMPUTED_VALUE"""),"Alpha Braxton")</f>
        <v>Alpha Braxton</v>
      </c>
      <c r="C231" s="6" t="str">
        <f>IFERROR(__xludf.DUMMYFUNCTION("""COMPUTED_VALUE"""),"Romantasy")</f>
        <v>Romantasy</v>
      </c>
      <c r="D231" s="11">
        <f>IFERROR(__xludf.DUMMYFUNCTION("""COMPUTED_VALUE"""),2745.0)</f>
        <v>2745</v>
      </c>
      <c r="E231" s="8">
        <f>IFERROR(__xludf.DUMMYFUNCTION("""COMPUTED_VALUE"""),0.970116618075801)</f>
        <v>0.9701166181</v>
      </c>
      <c r="F231" s="8">
        <f>IFERROR(__xludf.DUMMYFUNCTION("""COMPUTED_VALUE"""),0.679431072210065)</f>
        <v>0.6794310722</v>
      </c>
      <c r="G231" s="8">
        <f>IFERROR(__xludf.DUMMYFUNCTION("""COMPUTED_VALUE"""),0.61597374179431)</f>
        <v>0.6159737418</v>
      </c>
      <c r="H231" s="8">
        <f>IFERROR(__xludf.DUMMYFUNCTION("""COMPUTED_VALUE"""),0.578045222465353)</f>
        <v>0.5780452225</v>
      </c>
      <c r="I231" s="8">
        <f>IFERROR(__xludf.DUMMYFUNCTION("""COMPUTED_VALUE"""),0.542867566581539)</f>
        <v>0.5428675666</v>
      </c>
      <c r="J231" s="8">
        <f>IFERROR(__xludf.DUMMYFUNCTION("""COMPUTED_VALUE"""),0.510226442658875)</f>
        <v>0.5102264427</v>
      </c>
      <c r="K231" s="8">
        <f>IFERROR(__xludf.DUMMYFUNCTION("""COMPUTED_VALUE"""),0.49214468396054)</f>
        <v>0.492144684</v>
      </c>
      <c r="L231" s="8">
        <f>IFERROR(__xludf.DUMMYFUNCTION("""COMPUTED_VALUE"""),0.481183777858969)</f>
        <v>0.4811837779</v>
      </c>
      <c r="M231" s="8">
        <f>IFERROR(__xludf.DUMMYFUNCTION("""COMPUTED_VALUE"""),0.465277777777777)</f>
        <v>0.4652777778</v>
      </c>
      <c r="N231" s="8">
        <f>IFERROR(__xludf.DUMMYFUNCTION("""COMPUTED_VALUE"""),0.462157221206581)</f>
        <v>0.4621572212</v>
      </c>
      <c r="O231" s="8">
        <f>IFERROR(__xludf.DUMMYFUNCTION("""COMPUTED_VALUE"""),0.39313399778516)</f>
        <v>0.3931339978</v>
      </c>
      <c r="P231" s="8">
        <f>IFERROR(__xludf.DUMMYFUNCTION("""COMPUTED_VALUE"""),0.387356809503606)</f>
        <v>0.3873568095</v>
      </c>
      <c r="Q231" s="8">
        <f>IFERROR(__xludf.DUMMYFUNCTION("""COMPUTED_VALUE"""),0.257485029940119)</f>
        <v>0.2574850299</v>
      </c>
      <c r="R231" s="8">
        <f>IFERROR(__xludf.DUMMYFUNCTION("""COMPUTED_VALUE"""),0.176470588235294)</f>
        <v>0.1764705882</v>
      </c>
      <c r="S231" s="8">
        <f>IFERROR(__xludf.DUMMYFUNCTION("""COMPUTED_VALUE"""),0.157894736842105)</f>
        <v>0.1578947368</v>
      </c>
      <c r="T231" s="8">
        <f>IFERROR(__xludf.DUMMYFUNCTION("""COMPUTED_VALUE"""),0.0)</f>
        <v>0</v>
      </c>
      <c r="U231" s="8">
        <f>IFERROR(__xludf.DUMMYFUNCTION("""COMPUTED_VALUE"""),0.0)</f>
        <v>0</v>
      </c>
      <c r="V231" s="8">
        <f>IFERROR(__xludf.DUMMYFUNCTION("""COMPUTED_VALUE"""),0.0)</f>
        <v>0</v>
      </c>
      <c r="W231" s="8">
        <f>IFERROR(__xludf.DUMMYFUNCTION("""COMPUTED_VALUE"""),0.0)</f>
        <v>0</v>
      </c>
      <c r="X231" s="8">
        <f>IFERROR(__xludf.DUMMYFUNCTION("""COMPUTED_VALUE"""),0.0)</f>
        <v>0</v>
      </c>
      <c r="Y231" s="8">
        <f>IFERROR(__xludf.DUMMYFUNCTION("""COMPUTED_VALUE"""),0.0)</f>
        <v>0</v>
      </c>
      <c r="Z231" s="8">
        <f>IFERROR(__xludf.DUMMYFUNCTION("""COMPUTED_VALUE"""),0.0)</f>
        <v>0</v>
      </c>
      <c r="AA231" s="8">
        <f>IFERROR(__xludf.DUMMYFUNCTION("""COMPUTED_VALUE"""),0.0)</f>
        <v>0</v>
      </c>
      <c r="AB231" s="8">
        <f>IFERROR(__xludf.DUMMYFUNCTION("""COMPUTED_VALUE"""),0.0)</f>
        <v>0</v>
      </c>
      <c r="AC231" s="8">
        <f>IFERROR(__xludf.DUMMYFUNCTION("""COMPUTED_VALUE"""),0.0)</f>
        <v>0</v>
      </c>
    </row>
    <row r="232" ht="15.75" customHeight="1">
      <c r="A232" s="6" t="str">
        <f>IFERROR(__xludf.DUMMYFUNCTION("""COMPUTED_VALUE"""),"d3866fc3c89b4f6e7425ea92decf796ef97098db")</f>
        <v>d3866fc3c89b4f6e7425ea92decf796ef97098db</v>
      </c>
      <c r="B232" s="6" t="str">
        <f>IFERROR(__xludf.DUMMYFUNCTION("""COMPUTED_VALUE"""),"The Billionaire's Twins")</f>
        <v>The Billionaire's Twins</v>
      </c>
      <c r="C232" s="6" t="str">
        <f>IFERROR(__xludf.DUMMYFUNCTION("""COMPUTED_VALUE"""),"Romance")</f>
        <v>Romance</v>
      </c>
      <c r="D232" s="11">
        <f>IFERROR(__xludf.DUMMYFUNCTION("""COMPUTED_VALUE"""),506.0)</f>
        <v>506</v>
      </c>
      <c r="E232" s="8">
        <f>IFERROR(__xludf.DUMMYFUNCTION("""COMPUTED_VALUE"""),0.96192384769539)</f>
        <v>0.9619238477</v>
      </c>
      <c r="F232" s="8">
        <f>IFERROR(__xludf.DUMMYFUNCTION("""COMPUTED_VALUE"""),0.692307692307692)</f>
        <v>0.6923076923</v>
      </c>
      <c r="G232" s="8">
        <f>IFERROR(__xludf.DUMMYFUNCTION("""COMPUTED_VALUE"""),0.668024439918533)</f>
        <v>0.6680244399</v>
      </c>
      <c r="H232" s="8">
        <f>IFERROR(__xludf.DUMMYFUNCTION("""COMPUTED_VALUE"""),0.60455486542443)</f>
        <v>0.6045548654</v>
      </c>
      <c r="I232" s="8">
        <f>IFERROR(__xludf.DUMMYFUNCTION("""COMPUTED_VALUE"""),0.576519916142557)</f>
        <v>0.5765199161</v>
      </c>
      <c r="J232" s="8">
        <f>IFERROR(__xludf.DUMMYFUNCTION("""COMPUTED_VALUE"""),0.55863539445629)</f>
        <v>0.5586353945</v>
      </c>
      <c r="K232" s="8">
        <f>IFERROR(__xludf.DUMMYFUNCTION("""COMPUTED_VALUE"""),0.515086206896551)</f>
        <v>0.5150862069</v>
      </c>
      <c r="L232" s="8">
        <f>IFERROR(__xludf.DUMMYFUNCTION("""COMPUTED_VALUE"""),0.501103752759381)</f>
        <v>0.5011037528</v>
      </c>
      <c r="M232" s="8">
        <f>IFERROR(__xludf.DUMMYFUNCTION("""COMPUTED_VALUE"""),0.483173076923076)</f>
        <v>0.4831730769</v>
      </c>
      <c r="N232" s="8">
        <f>IFERROR(__xludf.DUMMYFUNCTION("""COMPUTED_VALUE"""),0.432432432432432)</f>
        <v>0.4324324324</v>
      </c>
      <c r="O232" s="8">
        <f>IFERROR(__xludf.DUMMYFUNCTION("""COMPUTED_VALUE"""),0.336134453781512)</f>
        <v>0.3361344538</v>
      </c>
      <c r="P232" s="8">
        <f>IFERROR(__xludf.DUMMYFUNCTION("""COMPUTED_VALUE"""),0.210526315789473)</f>
        <v>0.2105263158</v>
      </c>
      <c r="Q232" s="8">
        <f>IFERROR(__xludf.DUMMYFUNCTION("""COMPUTED_VALUE"""),0.0694444444444444)</f>
        <v>0.06944444444</v>
      </c>
      <c r="R232" s="8">
        <f>IFERROR(__xludf.DUMMYFUNCTION("""COMPUTED_VALUE"""),0.0666666666666666)</f>
        <v>0.06666666667</v>
      </c>
      <c r="S232" s="8">
        <f>IFERROR(__xludf.DUMMYFUNCTION("""COMPUTED_VALUE"""),0.0357142857142857)</f>
        <v>0.03571428571</v>
      </c>
      <c r="T232" s="8">
        <f>IFERROR(__xludf.DUMMYFUNCTION("""COMPUTED_VALUE"""),0.0)</f>
        <v>0</v>
      </c>
      <c r="U232" s="8">
        <f>IFERROR(__xludf.DUMMYFUNCTION("""COMPUTED_VALUE"""),0.0)</f>
        <v>0</v>
      </c>
      <c r="V232" s="8">
        <f>IFERROR(__xludf.DUMMYFUNCTION("""COMPUTED_VALUE"""),0.0)</f>
        <v>0</v>
      </c>
      <c r="W232" s="8">
        <f>IFERROR(__xludf.DUMMYFUNCTION("""COMPUTED_VALUE"""),0.0)</f>
        <v>0</v>
      </c>
      <c r="X232" s="8">
        <f>IFERROR(__xludf.DUMMYFUNCTION("""COMPUTED_VALUE"""),0.0)</f>
        <v>0</v>
      </c>
      <c r="Y232" s="8">
        <f>IFERROR(__xludf.DUMMYFUNCTION("""COMPUTED_VALUE"""),0.0)</f>
        <v>0</v>
      </c>
      <c r="Z232" s="8">
        <f>IFERROR(__xludf.DUMMYFUNCTION("""COMPUTED_VALUE"""),0.0)</f>
        <v>0</v>
      </c>
      <c r="AA232" s="8">
        <f>IFERROR(__xludf.DUMMYFUNCTION("""COMPUTED_VALUE"""),0.0)</f>
        <v>0</v>
      </c>
      <c r="AB232" s="8">
        <f>IFERROR(__xludf.DUMMYFUNCTION("""COMPUTED_VALUE"""),0.0)</f>
        <v>0</v>
      </c>
      <c r="AC232" s="8">
        <f>IFERROR(__xludf.DUMMYFUNCTION("""COMPUTED_VALUE"""),0.0)</f>
        <v>0</v>
      </c>
    </row>
    <row r="233" ht="15.75" customHeight="1">
      <c r="A233" s="6" t="str">
        <f>IFERROR(__xludf.DUMMYFUNCTION("""COMPUTED_VALUE"""),"d419897471d8bc8312abf495d27412e669ccf6d0")</f>
        <v>d419897471d8bc8312abf495d27412e669ccf6d0</v>
      </c>
      <c r="B233" s="6" t="str">
        <f>IFERROR(__xludf.DUMMYFUNCTION("""COMPUTED_VALUE"""),"His Borrowed Wife")</f>
        <v>His Borrowed Wife</v>
      </c>
      <c r="C233" s="6" t="str">
        <f>IFERROR(__xludf.DUMMYFUNCTION("""COMPUTED_VALUE"""),"Romance")</f>
        <v>Romance</v>
      </c>
      <c r="D233" s="11">
        <f>IFERROR(__xludf.DUMMYFUNCTION("""COMPUTED_VALUE"""),2504.0)</f>
        <v>2504</v>
      </c>
      <c r="E233" s="8">
        <f>IFERROR(__xludf.DUMMYFUNCTION("""COMPUTED_VALUE"""),0.969218307006885)</f>
        <v>0.969218307</v>
      </c>
      <c r="F233" s="8">
        <f>IFERROR(__xludf.DUMMYFUNCTION("""COMPUTED_VALUE"""),0.550477773161612)</f>
        <v>0.5504777732</v>
      </c>
      <c r="G233" s="8">
        <f>IFERROR(__xludf.DUMMYFUNCTION("""COMPUTED_VALUE"""),0.496439044826141)</f>
        <v>0.4964390448</v>
      </c>
      <c r="H233" s="8">
        <f>IFERROR(__xludf.DUMMYFUNCTION("""COMPUTED_VALUE"""),0.457892509521794)</f>
        <v>0.4578925095</v>
      </c>
      <c r="I233" s="8">
        <f>IFERROR(__xludf.DUMMYFUNCTION("""COMPUTED_VALUE"""),0.432950191570881)</f>
        <v>0.4329501916</v>
      </c>
      <c r="J233" s="8">
        <f>IFERROR(__xludf.DUMMYFUNCTION("""COMPUTED_VALUE"""),0.416523972602739)</f>
        <v>0.4165239726</v>
      </c>
      <c r="K233" s="8">
        <f>IFERROR(__xludf.DUMMYFUNCTION("""COMPUTED_VALUE"""),0.402318591670244)</f>
        <v>0.4023185917</v>
      </c>
      <c r="L233" s="8">
        <f>IFERROR(__xludf.DUMMYFUNCTION("""COMPUTED_VALUE"""),0.396143733567046)</f>
        <v>0.3961437336</v>
      </c>
      <c r="M233" s="8">
        <f>IFERROR(__xludf.DUMMYFUNCTION("""COMPUTED_VALUE"""),0.38602776533811)</f>
        <v>0.3860277653</v>
      </c>
      <c r="N233" s="8">
        <f>IFERROR(__xludf.DUMMYFUNCTION("""COMPUTED_VALUE"""),0.378578024007386)</f>
        <v>0.378578024</v>
      </c>
      <c r="O233" s="8">
        <f>IFERROR(__xludf.DUMMYFUNCTION("""COMPUTED_VALUE"""),0.36626746506986)</f>
        <v>0.3662674651</v>
      </c>
      <c r="P233" s="8">
        <f>IFERROR(__xludf.DUMMYFUNCTION("""COMPUTED_VALUE"""),0.346704871060171)</f>
        <v>0.3467048711</v>
      </c>
      <c r="Q233" s="8">
        <f>IFERROR(__xludf.DUMMYFUNCTION("""COMPUTED_VALUE"""),0.338709677419354)</f>
        <v>0.3387096774</v>
      </c>
      <c r="R233" s="8">
        <f>IFERROR(__xludf.DUMMYFUNCTION("""COMPUTED_VALUE"""),0.0)</f>
        <v>0</v>
      </c>
      <c r="S233" s="8">
        <f>IFERROR(__xludf.DUMMYFUNCTION("""COMPUTED_VALUE"""),0.0)</f>
        <v>0</v>
      </c>
      <c r="T233" s="8">
        <f>IFERROR(__xludf.DUMMYFUNCTION("""COMPUTED_VALUE"""),0.0)</f>
        <v>0</v>
      </c>
      <c r="U233" s="8">
        <f>IFERROR(__xludf.DUMMYFUNCTION("""COMPUTED_VALUE"""),0.0)</f>
        <v>0</v>
      </c>
      <c r="V233" s="8">
        <f>IFERROR(__xludf.DUMMYFUNCTION("""COMPUTED_VALUE"""),0.0)</f>
        <v>0</v>
      </c>
      <c r="W233" s="8">
        <f>IFERROR(__xludf.DUMMYFUNCTION("""COMPUTED_VALUE"""),0.0)</f>
        <v>0</v>
      </c>
      <c r="X233" s="8">
        <f>IFERROR(__xludf.DUMMYFUNCTION("""COMPUTED_VALUE"""),0.0)</f>
        <v>0</v>
      </c>
      <c r="Y233" s="8">
        <f>IFERROR(__xludf.DUMMYFUNCTION("""COMPUTED_VALUE"""),0.0)</f>
        <v>0</v>
      </c>
      <c r="Z233" s="8">
        <f>IFERROR(__xludf.DUMMYFUNCTION("""COMPUTED_VALUE"""),0.0)</f>
        <v>0</v>
      </c>
      <c r="AA233" s="8">
        <f>IFERROR(__xludf.DUMMYFUNCTION("""COMPUTED_VALUE"""),0.0)</f>
        <v>0</v>
      </c>
      <c r="AB233" s="8">
        <f>IFERROR(__xludf.DUMMYFUNCTION("""COMPUTED_VALUE"""),0.0)</f>
        <v>0</v>
      </c>
      <c r="AC233" s="8">
        <f>IFERROR(__xludf.DUMMYFUNCTION("""COMPUTED_VALUE"""),0.0)</f>
        <v>0</v>
      </c>
    </row>
    <row r="234" ht="15.75" customHeight="1">
      <c r="A234" s="6" t="str">
        <f>IFERROR(__xludf.DUMMYFUNCTION("""COMPUTED_VALUE"""),"d4bf13e8bbfcd2fa5b75aa042e47479d3a06188b")</f>
        <v>d4bf13e8bbfcd2fa5b75aa042e47479d3a06188b</v>
      </c>
      <c r="B234" s="6" t="str">
        <f>IFERROR(__xludf.DUMMYFUNCTION("""COMPUTED_VALUE"""),"Undead Tamer's Necro Pets")</f>
        <v>Undead Tamer's Necro Pets</v>
      </c>
      <c r="C234" s="6" t="str">
        <f>IFERROR(__xludf.DUMMYFUNCTION("""COMPUTED_VALUE"""),"Fantasy")</f>
        <v>Fantasy</v>
      </c>
      <c r="D234" s="11">
        <f>IFERROR(__xludf.DUMMYFUNCTION("""COMPUTED_VALUE"""),958.0)</f>
        <v>958</v>
      </c>
      <c r="E234" s="8">
        <f>IFERROR(__xludf.DUMMYFUNCTION("""COMPUTED_VALUE"""),0.988517745302714)</f>
        <v>0.9885177453</v>
      </c>
      <c r="F234" s="8">
        <f>IFERROR(__xludf.DUMMYFUNCTION("""COMPUTED_VALUE"""),0.54649947753396)</f>
        <v>0.5464994775</v>
      </c>
      <c r="G234" s="8">
        <f>IFERROR(__xludf.DUMMYFUNCTION("""COMPUTED_VALUE"""),0.450365726227795)</f>
        <v>0.4503657262</v>
      </c>
      <c r="H234" s="8">
        <f>IFERROR(__xludf.DUMMYFUNCTION("""COMPUTED_VALUE"""),0.392894461859979)</f>
        <v>0.3928944619</v>
      </c>
      <c r="I234" s="8">
        <f>IFERROR(__xludf.DUMMYFUNCTION("""COMPUTED_VALUE"""),0.380753138075313)</f>
        <v>0.3807531381</v>
      </c>
      <c r="J234" s="8">
        <f>IFERROR(__xludf.DUMMYFUNCTION("""COMPUTED_VALUE"""),0.357068062827225)</f>
        <v>0.3570680628</v>
      </c>
      <c r="K234" s="8">
        <f>IFERROR(__xludf.DUMMYFUNCTION("""COMPUTED_VALUE"""),0.337172774869109)</f>
        <v>0.3371727749</v>
      </c>
      <c r="L234" s="8">
        <f>IFERROR(__xludf.DUMMYFUNCTION("""COMPUTED_VALUE"""),0.320935175345377)</f>
        <v>0.3209351753</v>
      </c>
      <c r="M234" s="8">
        <f>IFERROR(__xludf.DUMMYFUNCTION("""COMPUTED_VALUE"""),0.307280513918629)</f>
        <v>0.3072805139</v>
      </c>
      <c r="N234" s="8">
        <f>IFERROR(__xludf.DUMMYFUNCTION("""COMPUTED_VALUE"""),0.299126637554585)</f>
        <v>0.2991266376</v>
      </c>
      <c r="O234" s="8">
        <f>IFERROR(__xludf.DUMMYFUNCTION("""COMPUTED_VALUE"""),0.277363184079602)</f>
        <v>0.2773631841</v>
      </c>
      <c r="P234" s="8">
        <f>IFERROR(__xludf.DUMMYFUNCTION("""COMPUTED_VALUE"""),0.25)</f>
        <v>0.25</v>
      </c>
      <c r="Q234" s="8">
        <f>IFERROR(__xludf.DUMMYFUNCTION("""COMPUTED_VALUE"""),0.0)</f>
        <v>0</v>
      </c>
      <c r="R234" s="8">
        <f>IFERROR(__xludf.DUMMYFUNCTION("""COMPUTED_VALUE"""),0.0)</f>
        <v>0</v>
      </c>
      <c r="S234" s="8">
        <f>IFERROR(__xludf.DUMMYFUNCTION("""COMPUTED_VALUE"""),0.0)</f>
        <v>0</v>
      </c>
      <c r="T234" s="8">
        <f>IFERROR(__xludf.DUMMYFUNCTION("""COMPUTED_VALUE"""),0.0)</f>
        <v>0</v>
      </c>
      <c r="U234" s="8">
        <f>IFERROR(__xludf.DUMMYFUNCTION("""COMPUTED_VALUE"""),0.0)</f>
        <v>0</v>
      </c>
      <c r="V234" s="8">
        <f>IFERROR(__xludf.DUMMYFUNCTION("""COMPUTED_VALUE"""),0.0)</f>
        <v>0</v>
      </c>
      <c r="W234" s="8">
        <f>IFERROR(__xludf.DUMMYFUNCTION("""COMPUTED_VALUE"""),0.0)</f>
        <v>0</v>
      </c>
      <c r="X234" s="8">
        <f>IFERROR(__xludf.DUMMYFUNCTION("""COMPUTED_VALUE"""),0.0)</f>
        <v>0</v>
      </c>
      <c r="Y234" s="8">
        <f>IFERROR(__xludf.DUMMYFUNCTION("""COMPUTED_VALUE"""),0.0)</f>
        <v>0</v>
      </c>
      <c r="Z234" s="8">
        <f>IFERROR(__xludf.DUMMYFUNCTION("""COMPUTED_VALUE"""),0.0)</f>
        <v>0</v>
      </c>
      <c r="AA234" s="8">
        <f>IFERROR(__xludf.DUMMYFUNCTION("""COMPUTED_VALUE"""),0.0)</f>
        <v>0</v>
      </c>
      <c r="AB234" s="8">
        <f>IFERROR(__xludf.DUMMYFUNCTION("""COMPUTED_VALUE"""),0.0)</f>
        <v>0</v>
      </c>
      <c r="AC234" s="8">
        <f>IFERROR(__xludf.DUMMYFUNCTION("""COMPUTED_VALUE"""),0.0)</f>
        <v>0</v>
      </c>
    </row>
    <row r="235" ht="15.75" customHeight="1">
      <c r="A235" s="6" t="str">
        <f>IFERROR(__xludf.DUMMYFUNCTION("""COMPUTED_VALUE"""),"d687598bacfd959af85400d722a39d5e62aad513")</f>
        <v>d687598bacfd959af85400d722a39d5e62aad513</v>
      </c>
      <c r="B235" s="6" t="str">
        <f>IFERROR(__xludf.DUMMYFUNCTION("""COMPUTED_VALUE"""),"Unexpectedly Mine")</f>
        <v>Unexpectedly Mine</v>
      </c>
      <c r="C235" s="6" t="str">
        <f>IFERROR(__xludf.DUMMYFUNCTION("""COMPUTED_VALUE"""),"Romance")</f>
        <v>Romance</v>
      </c>
      <c r="D235" s="11">
        <f>IFERROR(__xludf.DUMMYFUNCTION("""COMPUTED_VALUE"""),8647.0)</f>
        <v>8647</v>
      </c>
      <c r="E235" s="8">
        <f>IFERROR(__xludf.DUMMYFUNCTION("""COMPUTED_VALUE"""),0.951648351648351)</f>
        <v>0.9516483516</v>
      </c>
      <c r="F235" s="8">
        <f>IFERROR(__xludf.DUMMYFUNCTION("""COMPUTED_VALUE"""),0.61261574074074)</f>
        <v>0.6126157407</v>
      </c>
      <c r="G235" s="8">
        <f>IFERROR(__xludf.DUMMYFUNCTION("""COMPUTED_VALUE"""),0.561111111111111)</f>
        <v>0.5611111111</v>
      </c>
      <c r="H235" s="8">
        <f>IFERROR(__xludf.DUMMYFUNCTION("""COMPUTED_VALUE"""),0.534329049438462)</f>
        <v>0.5343290494</v>
      </c>
      <c r="I235" s="8">
        <f>IFERROR(__xludf.DUMMYFUNCTION("""COMPUTED_VALUE"""),0.514186450492182)</f>
        <v>0.5141864505</v>
      </c>
      <c r="J235" s="8">
        <f>IFERROR(__xludf.DUMMYFUNCTION("""COMPUTED_VALUE"""),0.493918684119077)</f>
        <v>0.4939186841</v>
      </c>
      <c r="K235" s="8">
        <f>IFERROR(__xludf.DUMMYFUNCTION("""COMPUTED_VALUE"""),0.474800139033715)</f>
        <v>0.474800139</v>
      </c>
      <c r="L235" s="8">
        <f>IFERROR(__xludf.DUMMYFUNCTION("""COMPUTED_VALUE"""),0.450562188478034)</f>
        <v>0.4505621885</v>
      </c>
      <c r="M235" s="8">
        <f>IFERROR(__xludf.DUMMYFUNCTION("""COMPUTED_VALUE"""),0.443826086956521)</f>
        <v>0.443826087</v>
      </c>
      <c r="N235" s="8">
        <f>IFERROR(__xludf.DUMMYFUNCTION("""COMPUTED_VALUE"""),0.433890048712595)</f>
        <v>0.4338900487</v>
      </c>
      <c r="O235" s="8">
        <f>IFERROR(__xludf.DUMMYFUNCTION("""COMPUTED_VALUE"""),0.381704202461109)</f>
        <v>0.3817042025</v>
      </c>
      <c r="P235" s="8">
        <f>IFERROR(__xludf.DUMMYFUNCTION("""COMPUTED_VALUE"""),0.345336275990242)</f>
        <v>0.345336276</v>
      </c>
      <c r="Q235" s="8">
        <f>IFERROR(__xludf.DUMMYFUNCTION("""COMPUTED_VALUE"""),0.281704902759986)</f>
        <v>0.2817049028</v>
      </c>
      <c r="R235" s="8">
        <f>IFERROR(__xludf.DUMMYFUNCTION("""COMPUTED_VALUE"""),0.246822898449341)</f>
        <v>0.2468228984</v>
      </c>
      <c r="S235" s="8">
        <f>IFERROR(__xludf.DUMMYFUNCTION("""COMPUTED_VALUE"""),0.194542129694753)</f>
        <v>0.1945421297</v>
      </c>
      <c r="T235" s="8">
        <f>IFERROR(__xludf.DUMMYFUNCTION("""COMPUTED_VALUE"""),0.168367346938775)</f>
        <v>0.1683673469</v>
      </c>
      <c r="U235" s="8">
        <f>IFERROR(__xludf.DUMMYFUNCTION("""COMPUTED_VALUE"""),0.153428377460964)</f>
        <v>0.1534283775</v>
      </c>
      <c r="V235" s="8">
        <f>IFERROR(__xludf.DUMMYFUNCTION("""COMPUTED_VALUE"""),0.131088176715553)</f>
        <v>0.1310881767</v>
      </c>
      <c r="W235" s="8">
        <f>IFERROR(__xludf.DUMMYFUNCTION("""COMPUTED_VALUE"""),0.0971947846700908)</f>
        <v>0.09719478467</v>
      </c>
      <c r="X235" s="8">
        <f>IFERROR(__xludf.DUMMYFUNCTION("""COMPUTED_VALUE"""),0.0753181723346547)</f>
        <v>0.07531817233</v>
      </c>
      <c r="Y235" s="8">
        <f>IFERROR(__xludf.DUMMYFUNCTION("""COMPUTED_VALUE"""),0.0479716677398583)</f>
        <v>0.04797166774</v>
      </c>
      <c r="Z235" s="8">
        <f>IFERROR(__xludf.DUMMYFUNCTION("""COMPUTED_VALUE"""),0.0341880341880341)</f>
        <v>0.03418803419</v>
      </c>
      <c r="AA235" s="8">
        <f>IFERROR(__xludf.DUMMYFUNCTION("""COMPUTED_VALUE"""),0.0)</f>
        <v>0</v>
      </c>
      <c r="AB235" s="8">
        <f>IFERROR(__xludf.DUMMYFUNCTION("""COMPUTED_VALUE"""),0.0)</f>
        <v>0</v>
      </c>
      <c r="AC235" s="8">
        <f>IFERROR(__xludf.DUMMYFUNCTION("""COMPUTED_VALUE"""),0.0)</f>
        <v>0</v>
      </c>
    </row>
    <row r="236" ht="15.75" customHeight="1">
      <c r="A236" s="6" t="str">
        <f>IFERROR(__xludf.DUMMYFUNCTION("""COMPUTED_VALUE"""),"d6ecb3540b1fdba82ccfa1fa9d0dbaa8fe59424c")</f>
        <v>d6ecb3540b1fdba82ccfa1fa9d0dbaa8fe59424c</v>
      </c>
      <c r="B236" s="6" t="str">
        <f>IFERROR(__xludf.DUMMYFUNCTION("""COMPUTED_VALUE"""),"Among the Undead")</f>
        <v>Among the Undead</v>
      </c>
      <c r="C236" s="6" t="str">
        <f>IFERROR(__xludf.DUMMYFUNCTION("""COMPUTED_VALUE"""),"Suspense or Thriller")</f>
        <v>Suspense or Thriller</v>
      </c>
      <c r="D236" s="11">
        <f>IFERROR(__xludf.DUMMYFUNCTION("""COMPUTED_VALUE"""),269.0)</f>
        <v>269</v>
      </c>
      <c r="E236" s="8">
        <f>IFERROR(__xludf.DUMMYFUNCTION("""COMPUTED_VALUE"""),0.977011494252873)</f>
        <v>0.9770114943</v>
      </c>
      <c r="F236" s="8">
        <f>IFERROR(__xludf.DUMMYFUNCTION("""COMPUTED_VALUE"""),0.470817120622568)</f>
        <v>0.4708171206</v>
      </c>
      <c r="G236" s="8">
        <f>IFERROR(__xludf.DUMMYFUNCTION("""COMPUTED_VALUE"""),0.350597609561753)</f>
        <v>0.3505976096</v>
      </c>
      <c r="H236" s="8">
        <f>IFERROR(__xludf.DUMMYFUNCTION("""COMPUTED_VALUE"""),0.270491803278688)</f>
        <v>0.2704918033</v>
      </c>
      <c r="I236" s="8">
        <f>IFERROR(__xludf.DUMMYFUNCTION("""COMPUTED_VALUE"""),0.215767634854771)</f>
        <v>0.2157676349</v>
      </c>
      <c r="J236" s="8">
        <f>IFERROR(__xludf.DUMMYFUNCTION("""COMPUTED_VALUE"""),0.207468879668049)</f>
        <v>0.2074688797</v>
      </c>
      <c r="K236" s="8">
        <f>IFERROR(__xludf.DUMMYFUNCTION("""COMPUTED_VALUE"""),0.172268907563025)</f>
        <v>0.1722689076</v>
      </c>
      <c r="L236" s="8">
        <f>IFERROR(__xludf.DUMMYFUNCTION("""COMPUTED_VALUE"""),0.141630901287553)</f>
        <v>0.1416309013</v>
      </c>
      <c r="M236" s="8">
        <f>IFERROR(__xludf.DUMMYFUNCTION("""COMPUTED_VALUE"""),0.125)</f>
        <v>0.125</v>
      </c>
      <c r="N236" s="8">
        <f>IFERROR(__xludf.DUMMYFUNCTION("""COMPUTED_VALUE"""),0.131578947368421)</f>
        <v>0.1315789474</v>
      </c>
      <c r="O236" s="8">
        <f>IFERROR(__xludf.DUMMYFUNCTION("""COMPUTED_VALUE"""),0.105263157894736)</f>
        <v>0.1052631579</v>
      </c>
      <c r="P236" s="8">
        <f>IFERROR(__xludf.DUMMYFUNCTION("""COMPUTED_VALUE"""),0.107692307692307)</f>
        <v>0.1076923077</v>
      </c>
      <c r="Q236" s="8">
        <f>IFERROR(__xludf.DUMMYFUNCTION("""COMPUTED_VALUE"""),0.1)</f>
        <v>0.1</v>
      </c>
      <c r="R236" s="8">
        <f>IFERROR(__xludf.DUMMYFUNCTION("""COMPUTED_VALUE"""),0.0416666666666666)</f>
        <v>0.04166666667</v>
      </c>
      <c r="S236" s="8">
        <f>IFERROR(__xludf.DUMMYFUNCTION("""COMPUTED_VALUE"""),0.0222222222222222)</f>
        <v>0.02222222222</v>
      </c>
      <c r="T236" s="8">
        <f>IFERROR(__xludf.DUMMYFUNCTION("""COMPUTED_VALUE"""),0.0476190476190476)</f>
        <v>0.04761904762</v>
      </c>
      <c r="U236" s="8">
        <f>IFERROR(__xludf.DUMMYFUNCTION("""COMPUTED_VALUE"""),0.0)</f>
        <v>0</v>
      </c>
      <c r="V236" s="8">
        <f>IFERROR(__xludf.DUMMYFUNCTION("""COMPUTED_VALUE"""),0.0)</f>
        <v>0</v>
      </c>
      <c r="W236" s="8">
        <f>IFERROR(__xludf.DUMMYFUNCTION("""COMPUTED_VALUE"""),0.0)</f>
        <v>0</v>
      </c>
      <c r="X236" s="8">
        <f>IFERROR(__xludf.DUMMYFUNCTION("""COMPUTED_VALUE"""),0.0)</f>
        <v>0</v>
      </c>
      <c r="Y236" s="8">
        <f>IFERROR(__xludf.DUMMYFUNCTION("""COMPUTED_VALUE"""),0.0)</f>
        <v>0</v>
      </c>
      <c r="Z236" s="8">
        <f>IFERROR(__xludf.DUMMYFUNCTION("""COMPUTED_VALUE"""),0.0)</f>
        <v>0</v>
      </c>
      <c r="AA236" s="8">
        <f>IFERROR(__xludf.DUMMYFUNCTION("""COMPUTED_VALUE"""),0.0)</f>
        <v>0</v>
      </c>
      <c r="AB236" s="8">
        <f>IFERROR(__xludf.DUMMYFUNCTION("""COMPUTED_VALUE"""),0.0)</f>
        <v>0</v>
      </c>
      <c r="AC236" s="8">
        <f>IFERROR(__xludf.DUMMYFUNCTION("""COMPUTED_VALUE"""),0.0)</f>
        <v>0</v>
      </c>
    </row>
    <row r="237" ht="15.75" customHeight="1">
      <c r="A237" s="6" t="str">
        <f>IFERROR(__xludf.DUMMYFUNCTION("""COMPUTED_VALUE"""),"d71fc923d0820825aefcf4bf75b7743891f7feac")</f>
        <v>d71fc923d0820825aefcf4bf75b7743891f7feac</v>
      </c>
      <c r="B237" s="6" t="str">
        <f>IFERROR(__xludf.DUMMYFUNCTION("""COMPUTED_VALUE"""),"Only One Race")</f>
        <v>Only One Race</v>
      </c>
      <c r="C237" s="6" t="str">
        <f>IFERROR(__xludf.DUMMYFUNCTION("""COMPUTED_VALUE"""),"Fantasy")</f>
        <v>Fantasy</v>
      </c>
      <c r="D237" s="11">
        <f>IFERROR(__xludf.DUMMYFUNCTION("""COMPUTED_VALUE"""),547.0)</f>
        <v>547</v>
      </c>
      <c r="E237" s="8">
        <f>IFERROR(__xludf.DUMMYFUNCTION("""COMPUTED_VALUE"""),0.968576709796672)</f>
        <v>0.9685767098</v>
      </c>
      <c r="F237" s="8">
        <f>IFERROR(__xludf.DUMMYFUNCTION("""COMPUTED_VALUE"""),0.516007532956685)</f>
        <v>0.516007533</v>
      </c>
      <c r="G237" s="8">
        <f>IFERROR(__xludf.DUMMYFUNCTION("""COMPUTED_VALUE"""),0.48076923076923)</f>
        <v>0.4807692308</v>
      </c>
      <c r="H237" s="8">
        <f>IFERROR(__xludf.DUMMYFUNCTION("""COMPUTED_VALUE"""),0.449704142011834)</f>
        <v>0.449704142</v>
      </c>
      <c r="I237" s="8">
        <f>IFERROR(__xludf.DUMMYFUNCTION("""COMPUTED_VALUE"""),0.427125506072874)</f>
        <v>0.4271255061</v>
      </c>
      <c r="J237" s="8">
        <f>IFERROR(__xludf.DUMMYFUNCTION("""COMPUTED_VALUE"""),0.383620689655172)</f>
        <v>0.3836206897</v>
      </c>
      <c r="K237" s="8">
        <f>IFERROR(__xludf.DUMMYFUNCTION("""COMPUTED_VALUE"""),0.377483443708609)</f>
        <v>0.3774834437</v>
      </c>
      <c r="L237" s="8">
        <f>IFERROR(__xludf.DUMMYFUNCTION("""COMPUTED_VALUE"""),0.362790697674418)</f>
        <v>0.3627906977</v>
      </c>
      <c r="M237" s="8">
        <f>IFERROR(__xludf.DUMMYFUNCTION("""COMPUTED_VALUE"""),0.336043360433604)</f>
        <v>0.3360433604</v>
      </c>
      <c r="N237" s="8">
        <f>IFERROR(__xludf.DUMMYFUNCTION("""COMPUTED_VALUE"""),0.33984375)</f>
        <v>0.33984375</v>
      </c>
      <c r="O237" s="8">
        <f>IFERROR(__xludf.DUMMYFUNCTION("""COMPUTED_VALUE"""),0.232558139534883)</f>
        <v>0.2325581395</v>
      </c>
      <c r="P237" s="8">
        <f>IFERROR(__xludf.DUMMYFUNCTION("""COMPUTED_VALUE"""),0.240963855421686)</f>
        <v>0.2409638554</v>
      </c>
      <c r="Q237" s="8">
        <f>IFERROR(__xludf.DUMMYFUNCTION("""COMPUTED_VALUE"""),0.121212121212121)</f>
        <v>0.1212121212</v>
      </c>
      <c r="R237" s="8">
        <f>IFERROR(__xludf.DUMMYFUNCTION("""COMPUTED_VALUE"""),0.0526315789473684)</f>
        <v>0.05263157895</v>
      </c>
      <c r="S237" s="8">
        <f>IFERROR(__xludf.DUMMYFUNCTION("""COMPUTED_VALUE"""),0.0)</f>
        <v>0</v>
      </c>
      <c r="T237" s="8">
        <f>IFERROR(__xludf.DUMMYFUNCTION("""COMPUTED_VALUE"""),0.0)</f>
        <v>0</v>
      </c>
      <c r="U237" s="8">
        <f>IFERROR(__xludf.DUMMYFUNCTION("""COMPUTED_VALUE"""),0.0)</f>
        <v>0</v>
      </c>
      <c r="V237" s="8">
        <f>IFERROR(__xludf.DUMMYFUNCTION("""COMPUTED_VALUE"""),0.0)</f>
        <v>0</v>
      </c>
      <c r="W237" s="8">
        <f>IFERROR(__xludf.DUMMYFUNCTION("""COMPUTED_VALUE"""),0.0)</f>
        <v>0</v>
      </c>
      <c r="X237" s="8">
        <f>IFERROR(__xludf.DUMMYFUNCTION("""COMPUTED_VALUE"""),0.0)</f>
        <v>0</v>
      </c>
      <c r="Y237" s="8">
        <f>IFERROR(__xludf.DUMMYFUNCTION("""COMPUTED_VALUE"""),0.0)</f>
        <v>0</v>
      </c>
      <c r="Z237" s="8">
        <f>IFERROR(__xludf.DUMMYFUNCTION("""COMPUTED_VALUE"""),0.0)</f>
        <v>0</v>
      </c>
      <c r="AA237" s="8">
        <f>IFERROR(__xludf.DUMMYFUNCTION("""COMPUTED_VALUE"""),0.0)</f>
        <v>0</v>
      </c>
      <c r="AB237" s="8">
        <f>IFERROR(__xludf.DUMMYFUNCTION("""COMPUTED_VALUE"""),0.0)</f>
        <v>0</v>
      </c>
      <c r="AC237" s="8">
        <f>IFERROR(__xludf.DUMMYFUNCTION("""COMPUTED_VALUE"""),0.0)</f>
        <v>0</v>
      </c>
    </row>
    <row r="238" ht="15.75" customHeight="1">
      <c r="A238" s="6" t="str">
        <f>IFERROR(__xludf.DUMMYFUNCTION("""COMPUTED_VALUE"""),"da2b63280d328cd78ef9102ea4f7f131a3ff6369")</f>
        <v>da2b63280d328cd78ef9102ea4f7f131a3ff6369</v>
      </c>
      <c r="B238" s="6" t="str">
        <f>IFERROR(__xludf.DUMMYFUNCTION("""COMPUTED_VALUE"""),"I Returned for Revenge")</f>
        <v>I Returned for Revenge</v>
      </c>
      <c r="C238" s="6" t="str">
        <f>IFERROR(__xludf.DUMMYFUNCTION("""COMPUTED_VALUE"""),"Romance")</f>
        <v>Romance</v>
      </c>
      <c r="D238" s="11">
        <f>IFERROR(__xludf.DUMMYFUNCTION("""COMPUTED_VALUE"""),381.0)</f>
        <v>381</v>
      </c>
      <c r="E238" s="8">
        <f>IFERROR(__xludf.DUMMYFUNCTION("""COMPUTED_VALUE"""),0.963060686015831)</f>
        <v>0.963060686</v>
      </c>
      <c r="F238" s="8">
        <f>IFERROR(__xludf.DUMMYFUNCTION("""COMPUTED_VALUE"""),0.685185185185185)</f>
        <v>0.6851851852</v>
      </c>
      <c r="G238" s="8">
        <f>IFERROR(__xludf.DUMMYFUNCTION("""COMPUTED_VALUE"""),0.609625668449197)</f>
        <v>0.6096256684</v>
      </c>
      <c r="H238" s="8">
        <f>IFERROR(__xludf.DUMMYFUNCTION("""COMPUTED_VALUE"""),0.587131367292225)</f>
        <v>0.5871313673</v>
      </c>
      <c r="I238" s="8">
        <f>IFERROR(__xludf.DUMMYFUNCTION("""COMPUTED_VALUE"""),0.565217391304347)</f>
        <v>0.5652173913</v>
      </c>
      <c r="J238" s="8">
        <f>IFERROR(__xludf.DUMMYFUNCTION("""COMPUTED_VALUE"""),0.541666666666666)</f>
        <v>0.5416666667</v>
      </c>
      <c r="K238" s="8">
        <f>IFERROR(__xludf.DUMMYFUNCTION("""COMPUTED_VALUE"""),0.504201680672268)</f>
        <v>0.5042016807</v>
      </c>
      <c r="L238" s="8">
        <f>IFERROR(__xludf.DUMMYFUNCTION("""COMPUTED_VALUE"""),0.460176991150442)</f>
        <v>0.4601769912</v>
      </c>
      <c r="M238" s="8">
        <f>IFERROR(__xludf.DUMMYFUNCTION("""COMPUTED_VALUE"""),0.470031545741324)</f>
        <v>0.4700315457</v>
      </c>
      <c r="N238" s="8">
        <f>IFERROR(__xludf.DUMMYFUNCTION("""COMPUTED_VALUE"""),0.42489270386266)</f>
        <v>0.4248927039</v>
      </c>
      <c r="O238" s="8">
        <f>IFERROR(__xludf.DUMMYFUNCTION("""COMPUTED_VALUE"""),0.28)</f>
        <v>0.28</v>
      </c>
      <c r="P238" s="8">
        <f>IFERROR(__xludf.DUMMYFUNCTION("""COMPUTED_VALUE"""),0.10204081632653)</f>
        <v>0.1020408163</v>
      </c>
      <c r="Q238" s="8">
        <f>IFERROR(__xludf.DUMMYFUNCTION("""COMPUTED_VALUE"""),0.0238095238095238)</f>
        <v>0.02380952381</v>
      </c>
      <c r="R238" s="8">
        <f>IFERROR(__xludf.DUMMYFUNCTION("""COMPUTED_VALUE"""),0.025)</f>
        <v>0.025</v>
      </c>
      <c r="S238" s="8">
        <f>IFERROR(__xludf.DUMMYFUNCTION("""COMPUTED_VALUE"""),0.0)</f>
        <v>0</v>
      </c>
      <c r="T238" s="8">
        <f>IFERROR(__xludf.DUMMYFUNCTION("""COMPUTED_VALUE"""),0.0)</f>
        <v>0</v>
      </c>
      <c r="U238" s="8">
        <f>IFERROR(__xludf.DUMMYFUNCTION("""COMPUTED_VALUE"""),0.0)</f>
        <v>0</v>
      </c>
      <c r="V238" s="8">
        <f>IFERROR(__xludf.DUMMYFUNCTION("""COMPUTED_VALUE"""),0.0)</f>
        <v>0</v>
      </c>
      <c r="W238" s="8">
        <f>IFERROR(__xludf.DUMMYFUNCTION("""COMPUTED_VALUE"""),0.0)</f>
        <v>0</v>
      </c>
      <c r="X238" s="8">
        <f>IFERROR(__xludf.DUMMYFUNCTION("""COMPUTED_VALUE"""),0.0)</f>
        <v>0</v>
      </c>
      <c r="Y238" s="8">
        <f>IFERROR(__xludf.DUMMYFUNCTION("""COMPUTED_VALUE"""),0.0)</f>
        <v>0</v>
      </c>
      <c r="Z238" s="8">
        <f>IFERROR(__xludf.DUMMYFUNCTION("""COMPUTED_VALUE"""),0.0)</f>
        <v>0</v>
      </c>
      <c r="AA238" s="8">
        <f>IFERROR(__xludf.DUMMYFUNCTION("""COMPUTED_VALUE"""),0.0)</f>
        <v>0</v>
      </c>
      <c r="AB238" s="8">
        <f>IFERROR(__xludf.DUMMYFUNCTION("""COMPUTED_VALUE"""),0.0)</f>
        <v>0</v>
      </c>
      <c r="AC238" s="8">
        <f>IFERROR(__xludf.DUMMYFUNCTION("""COMPUTED_VALUE"""),0.0)</f>
        <v>0</v>
      </c>
    </row>
    <row r="239" ht="15.75" customHeight="1">
      <c r="A239" s="6" t="str">
        <f>IFERROR(__xludf.DUMMYFUNCTION("""COMPUTED_VALUE"""),"da5271db73c1f23560f26da633ebffb91df9abd6")</f>
        <v>da5271db73c1f23560f26da633ebffb91df9abd6</v>
      </c>
      <c r="B239" s="6" t="str">
        <f>IFERROR(__xludf.DUMMYFUNCTION("""COMPUTED_VALUE"""),"Sold to the Alpha King")</f>
        <v>Sold to the Alpha King</v>
      </c>
      <c r="C239" s="6" t="str">
        <f>IFERROR(__xludf.DUMMYFUNCTION("""COMPUTED_VALUE"""),"Romance")</f>
        <v>Romance</v>
      </c>
      <c r="D239" s="11">
        <f>IFERROR(__xludf.DUMMYFUNCTION("""COMPUTED_VALUE"""),209.0)</f>
        <v>209</v>
      </c>
      <c r="E239" s="8">
        <f>IFERROR(__xludf.DUMMYFUNCTION("""COMPUTED_VALUE"""),0.975)</f>
        <v>0.975</v>
      </c>
      <c r="F239" s="8">
        <f>IFERROR(__xludf.DUMMYFUNCTION("""COMPUTED_VALUE"""),0.616580310880829)</f>
        <v>0.6165803109</v>
      </c>
      <c r="G239" s="8">
        <f>IFERROR(__xludf.DUMMYFUNCTION("""COMPUTED_VALUE"""),0.518918918918919)</f>
        <v>0.5189189189</v>
      </c>
      <c r="H239" s="8">
        <f>IFERROR(__xludf.DUMMYFUNCTION("""COMPUTED_VALUE"""),0.473372781065088)</f>
        <v>0.4733727811</v>
      </c>
      <c r="I239" s="8">
        <f>IFERROR(__xludf.DUMMYFUNCTION("""COMPUTED_VALUE"""),0.402439024390243)</f>
        <v>0.4024390244</v>
      </c>
      <c r="J239" s="8">
        <f>IFERROR(__xludf.DUMMYFUNCTION("""COMPUTED_VALUE"""),0.326666666666666)</f>
        <v>0.3266666667</v>
      </c>
      <c r="K239" s="8">
        <f>IFERROR(__xludf.DUMMYFUNCTION("""COMPUTED_VALUE"""),0.3006993006993)</f>
        <v>0.3006993007</v>
      </c>
      <c r="L239" s="8">
        <f>IFERROR(__xludf.DUMMYFUNCTION("""COMPUTED_VALUE"""),0.266666666666666)</f>
        <v>0.2666666667</v>
      </c>
      <c r="M239" s="8">
        <f>IFERROR(__xludf.DUMMYFUNCTION("""COMPUTED_VALUE"""),0.288888888888888)</f>
        <v>0.2888888889</v>
      </c>
      <c r="N239" s="8">
        <f>IFERROR(__xludf.DUMMYFUNCTION("""COMPUTED_VALUE"""),0.3)</f>
        <v>0.3</v>
      </c>
      <c r="O239" s="8">
        <f>IFERROR(__xludf.DUMMYFUNCTION("""COMPUTED_VALUE"""),0.227272727272727)</f>
        <v>0.2272727273</v>
      </c>
      <c r="P239" s="8">
        <f>IFERROR(__xludf.DUMMYFUNCTION("""COMPUTED_VALUE"""),0.23076923076923)</f>
        <v>0.2307692308</v>
      </c>
      <c r="Q239" s="8">
        <f>IFERROR(__xludf.DUMMYFUNCTION("""COMPUTED_VALUE"""),0.0)</f>
        <v>0</v>
      </c>
      <c r="R239" s="8">
        <f>IFERROR(__xludf.DUMMYFUNCTION("""COMPUTED_VALUE"""),0.0)</f>
        <v>0</v>
      </c>
      <c r="S239" s="8">
        <f>IFERROR(__xludf.DUMMYFUNCTION("""COMPUTED_VALUE"""),0.0)</f>
        <v>0</v>
      </c>
      <c r="T239" s="8">
        <f>IFERROR(__xludf.DUMMYFUNCTION("""COMPUTED_VALUE"""),0.0)</f>
        <v>0</v>
      </c>
      <c r="U239" s="8">
        <f>IFERROR(__xludf.DUMMYFUNCTION("""COMPUTED_VALUE"""),0.0)</f>
        <v>0</v>
      </c>
      <c r="V239" s="8">
        <f>IFERROR(__xludf.DUMMYFUNCTION("""COMPUTED_VALUE"""),0.0)</f>
        <v>0</v>
      </c>
      <c r="W239" s="8">
        <f>IFERROR(__xludf.DUMMYFUNCTION("""COMPUTED_VALUE"""),0.0)</f>
        <v>0</v>
      </c>
      <c r="X239" s="8">
        <f>IFERROR(__xludf.DUMMYFUNCTION("""COMPUTED_VALUE"""),0.0)</f>
        <v>0</v>
      </c>
      <c r="Y239" s="8">
        <f>IFERROR(__xludf.DUMMYFUNCTION("""COMPUTED_VALUE"""),0.0)</f>
        <v>0</v>
      </c>
      <c r="Z239" s="8">
        <f>IFERROR(__xludf.DUMMYFUNCTION("""COMPUTED_VALUE"""),0.0)</f>
        <v>0</v>
      </c>
      <c r="AA239" s="8">
        <f>IFERROR(__xludf.DUMMYFUNCTION("""COMPUTED_VALUE"""),0.0)</f>
        <v>0</v>
      </c>
      <c r="AB239" s="8">
        <f>IFERROR(__xludf.DUMMYFUNCTION("""COMPUTED_VALUE"""),0.0)</f>
        <v>0</v>
      </c>
      <c r="AC239" s="8">
        <f>IFERROR(__xludf.DUMMYFUNCTION("""COMPUTED_VALUE"""),0.0)</f>
        <v>0</v>
      </c>
    </row>
    <row r="240" ht="15.75" customHeight="1">
      <c r="A240" s="6" t="str">
        <f>IFERROR(__xludf.DUMMYFUNCTION("""COMPUTED_VALUE"""),"da8d32c5473daa3dc16575cdcd79a118bb445ffb")</f>
        <v>da8d32c5473daa3dc16575cdcd79a118bb445ffb</v>
      </c>
      <c r="B240" s="6" t="str">
        <f>IFERROR(__xludf.DUMMYFUNCTION("""COMPUTED_VALUE"""),"Bold Step Against Hoffman")</f>
        <v>Bold Step Against Hoffman</v>
      </c>
      <c r="C240" s="6" t="str">
        <f>IFERROR(__xludf.DUMMYFUNCTION("""COMPUTED_VALUE"""),"Romance")</f>
        <v>Romance</v>
      </c>
      <c r="D240" s="11">
        <f>IFERROR(__xludf.DUMMYFUNCTION("""COMPUTED_VALUE"""),365.0)</f>
        <v>365</v>
      </c>
      <c r="E240" s="8">
        <f>IFERROR(__xludf.DUMMYFUNCTION("""COMPUTED_VALUE"""),0.974719101123595)</f>
        <v>0.9747191011</v>
      </c>
      <c r="F240" s="8">
        <f>IFERROR(__xludf.DUMMYFUNCTION("""COMPUTED_VALUE"""),0.534682080924855)</f>
        <v>0.5346820809</v>
      </c>
      <c r="G240" s="8">
        <f>IFERROR(__xludf.DUMMYFUNCTION("""COMPUTED_VALUE"""),0.448377581120943)</f>
        <v>0.4483775811</v>
      </c>
      <c r="H240" s="8">
        <f>IFERROR(__xludf.DUMMYFUNCTION("""COMPUTED_VALUE"""),0.363636363636363)</f>
        <v>0.3636363636</v>
      </c>
      <c r="I240" s="8">
        <f>IFERROR(__xludf.DUMMYFUNCTION("""COMPUTED_VALUE"""),0.327272727272727)</f>
        <v>0.3272727273</v>
      </c>
      <c r="J240" s="8">
        <f>IFERROR(__xludf.DUMMYFUNCTION("""COMPUTED_VALUE"""),0.303030303030303)</f>
        <v>0.303030303</v>
      </c>
      <c r="K240" s="8">
        <f>IFERROR(__xludf.DUMMYFUNCTION("""COMPUTED_VALUE"""),0.296969696969697)</f>
        <v>0.296969697</v>
      </c>
      <c r="L240" s="8">
        <f>IFERROR(__xludf.DUMMYFUNCTION("""COMPUTED_VALUE"""),0.261398176291793)</f>
        <v>0.2613981763</v>
      </c>
      <c r="M240" s="8">
        <f>IFERROR(__xludf.DUMMYFUNCTION("""COMPUTED_VALUE"""),0.262195121951219)</f>
        <v>0.262195122</v>
      </c>
      <c r="N240" s="8">
        <f>IFERROR(__xludf.DUMMYFUNCTION("""COMPUTED_VALUE"""),0.262195121951219)</f>
        <v>0.262195122</v>
      </c>
      <c r="O240" s="8">
        <f>IFERROR(__xludf.DUMMYFUNCTION("""COMPUTED_VALUE"""),0.193146417445482)</f>
        <v>0.1931464174</v>
      </c>
      <c r="P240" s="8">
        <f>IFERROR(__xludf.DUMMYFUNCTION("""COMPUTED_VALUE"""),0.142857142857142)</f>
        <v>0.1428571429</v>
      </c>
      <c r="Q240" s="8">
        <f>IFERROR(__xludf.DUMMYFUNCTION("""COMPUTED_VALUE"""),0.113636363636363)</f>
        <v>0.1136363636</v>
      </c>
      <c r="R240" s="8">
        <f>IFERROR(__xludf.DUMMYFUNCTION("""COMPUTED_VALUE"""),0.0952380952380952)</f>
        <v>0.09523809524</v>
      </c>
      <c r="S240" s="8">
        <f>IFERROR(__xludf.DUMMYFUNCTION("""COMPUTED_VALUE"""),0.131147540983606)</f>
        <v>0.131147541</v>
      </c>
      <c r="T240" s="8">
        <f>IFERROR(__xludf.DUMMYFUNCTION("""COMPUTED_VALUE"""),0.0212765957446808)</f>
        <v>0.02127659574</v>
      </c>
      <c r="U240" s="8">
        <f>IFERROR(__xludf.DUMMYFUNCTION("""COMPUTED_VALUE"""),0.0277777777777777)</f>
        <v>0.02777777778</v>
      </c>
      <c r="V240" s="8">
        <f>IFERROR(__xludf.DUMMYFUNCTION("""COMPUTED_VALUE"""),0.0)</f>
        <v>0</v>
      </c>
      <c r="W240" s="8">
        <f>IFERROR(__xludf.DUMMYFUNCTION("""COMPUTED_VALUE"""),0.0)</f>
        <v>0</v>
      </c>
      <c r="X240" s="8">
        <f>IFERROR(__xludf.DUMMYFUNCTION("""COMPUTED_VALUE"""),0.0)</f>
        <v>0</v>
      </c>
      <c r="Y240" s="8">
        <f>IFERROR(__xludf.DUMMYFUNCTION("""COMPUTED_VALUE"""),0.0)</f>
        <v>0</v>
      </c>
      <c r="Z240" s="8">
        <f>IFERROR(__xludf.DUMMYFUNCTION("""COMPUTED_VALUE"""),0.0)</f>
        <v>0</v>
      </c>
      <c r="AA240" s="8">
        <f>IFERROR(__xludf.DUMMYFUNCTION("""COMPUTED_VALUE"""),0.0)</f>
        <v>0</v>
      </c>
      <c r="AB240" s="8">
        <f>IFERROR(__xludf.DUMMYFUNCTION("""COMPUTED_VALUE"""),0.0)</f>
        <v>0</v>
      </c>
      <c r="AC240" s="8">
        <f>IFERROR(__xludf.DUMMYFUNCTION("""COMPUTED_VALUE"""),0.0)</f>
        <v>0</v>
      </c>
    </row>
    <row r="241" ht="15.75" customHeight="1">
      <c r="A241" s="6" t="str">
        <f>IFERROR(__xludf.DUMMYFUNCTION("""COMPUTED_VALUE"""),"daa40d9ff542ace7e27440803ddf4307bbd54bdd")</f>
        <v>daa40d9ff542ace7e27440803ddf4307bbd54bdd</v>
      </c>
      <c r="B241" s="6" t="str">
        <f>IFERROR(__xludf.DUMMYFUNCTION("""COMPUTED_VALUE"""),"Villain's Harem")</f>
        <v>Villain's Harem</v>
      </c>
      <c r="C241" s="6" t="str">
        <f>IFERROR(__xludf.DUMMYFUNCTION("""COMPUTED_VALUE"""),"Romantasy")</f>
        <v>Romantasy</v>
      </c>
      <c r="D241" s="11">
        <f>IFERROR(__xludf.DUMMYFUNCTION("""COMPUTED_VALUE"""),606.0)</f>
        <v>606</v>
      </c>
      <c r="E241" s="8">
        <f>IFERROR(__xludf.DUMMYFUNCTION("""COMPUTED_VALUE"""),0.968646864686468)</f>
        <v>0.9686468647</v>
      </c>
      <c r="F241" s="8">
        <f>IFERROR(__xludf.DUMMYFUNCTION("""COMPUTED_VALUE"""),0.666666666666666)</f>
        <v>0.6666666667</v>
      </c>
      <c r="G241" s="8">
        <f>IFERROR(__xludf.DUMMYFUNCTION("""COMPUTED_VALUE"""),0.593333333333333)</f>
        <v>0.5933333333</v>
      </c>
      <c r="H241" s="8">
        <f>IFERROR(__xludf.DUMMYFUNCTION("""COMPUTED_VALUE"""),0.528523489932885)</f>
        <v>0.5285234899</v>
      </c>
      <c r="I241" s="8">
        <f>IFERROR(__xludf.DUMMYFUNCTION("""COMPUTED_VALUE"""),0.454545454545454)</f>
        <v>0.4545454545</v>
      </c>
      <c r="J241" s="8">
        <f>IFERROR(__xludf.DUMMYFUNCTION("""COMPUTED_VALUE"""),0.431972789115646)</f>
        <v>0.4319727891</v>
      </c>
      <c r="K241" s="8">
        <f>IFERROR(__xludf.DUMMYFUNCTION("""COMPUTED_VALUE"""),0.417094017094017)</f>
        <v>0.4170940171</v>
      </c>
      <c r="L241" s="8">
        <f>IFERROR(__xludf.DUMMYFUNCTION("""COMPUTED_VALUE"""),0.383015597920277)</f>
        <v>0.3830155979</v>
      </c>
      <c r="M241" s="8">
        <f>IFERROR(__xludf.DUMMYFUNCTION("""COMPUTED_VALUE"""),0.387323943661971)</f>
        <v>0.3873239437</v>
      </c>
      <c r="N241" s="8">
        <f>IFERROR(__xludf.DUMMYFUNCTION("""COMPUTED_VALUE"""),0.39375)</f>
        <v>0.39375</v>
      </c>
      <c r="O241" s="8">
        <f>IFERROR(__xludf.DUMMYFUNCTION("""COMPUTED_VALUE"""),0.425925925925925)</f>
        <v>0.4259259259</v>
      </c>
      <c r="P241" s="8">
        <f>IFERROR(__xludf.DUMMYFUNCTION("""COMPUTED_VALUE"""),0.461538461538461)</f>
        <v>0.4615384615</v>
      </c>
      <c r="Q241" s="8">
        <f>IFERROR(__xludf.DUMMYFUNCTION("""COMPUTED_VALUE"""),0.0)</f>
        <v>0</v>
      </c>
      <c r="R241" s="8">
        <f>IFERROR(__xludf.DUMMYFUNCTION("""COMPUTED_VALUE"""),0.0)</f>
        <v>0</v>
      </c>
      <c r="S241" s="8">
        <f>IFERROR(__xludf.DUMMYFUNCTION("""COMPUTED_VALUE"""),0.0)</f>
        <v>0</v>
      </c>
      <c r="T241" s="8">
        <f>IFERROR(__xludf.DUMMYFUNCTION("""COMPUTED_VALUE"""),0.0)</f>
        <v>0</v>
      </c>
      <c r="U241" s="8">
        <f>IFERROR(__xludf.DUMMYFUNCTION("""COMPUTED_VALUE"""),0.0)</f>
        <v>0</v>
      </c>
      <c r="V241" s="8">
        <f>IFERROR(__xludf.DUMMYFUNCTION("""COMPUTED_VALUE"""),0.0)</f>
        <v>0</v>
      </c>
      <c r="W241" s="8">
        <f>IFERROR(__xludf.DUMMYFUNCTION("""COMPUTED_VALUE"""),0.0)</f>
        <v>0</v>
      </c>
      <c r="X241" s="8">
        <f>IFERROR(__xludf.DUMMYFUNCTION("""COMPUTED_VALUE"""),0.0)</f>
        <v>0</v>
      </c>
      <c r="Y241" s="8">
        <f>IFERROR(__xludf.DUMMYFUNCTION("""COMPUTED_VALUE"""),0.0)</f>
        <v>0</v>
      </c>
      <c r="Z241" s="8">
        <f>IFERROR(__xludf.DUMMYFUNCTION("""COMPUTED_VALUE"""),0.0)</f>
        <v>0</v>
      </c>
      <c r="AA241" s="8">
        <f>IFERROR(__xludf.DUMMYFUNCTION("""COMPUTED_VALUE"""),0.0)</f>
        <v>0</v>
      </c>
      <c r="AB241" s="8">
        <f>IFERROR(__xludf.DUMMYFUNCTION("""COMPUTED_VALUE"""),0.0)</f>
        <v>0</v>
      </c>
      <c r="AC241" s="8">
        <f>IFERROR(__xludf.DUMMYFUNCTION("""COMPUTED_VALUE"""),0.0)</f>
        <v>0</v>
      </c>
    </row>
    <row r="242" ht="15.75" customHeight="1">
      <c r="A242" s="6" t="str">
        <f>IFERROR(__xludf.DUMMYFUNCTION("""COMPUTED_VALUE"""),"db982055d0205f85b154941a9a5fdcae32a88a7c")</f>
        <v>db982055d0205f85b154941a9a5fdcae32a88a7c</v>
      </c>
      <c r="B242" s="6" t="str">
        <f>IFERROR(__xludf.DUMMYFUNCTION("""COMPUTED_VALUE"""),"Re:system - Rebooted")</f>
        <v>Re:system - Rebooted</v>
      </c>
      <c r="C242" s="6" t="str">
        <f>IFERROR(__xludf.DUMMYFUNCTION("""COMPUTED_VALUE"""),"Fantasy")</f>
        <v>Fantasy</v>
      </c>
      <c r="D242" s="11">
        <f>IFERROR(__xludf.DUMMYFUNCTION("""COMPUTED_VALUE"""),490.0)</f>
        <v>490</v>
      </c>
      <c r="E242" s="8">
        <f>IFERROR(__xludf.DUMMYFUNCTION("""COMPUTED_VALUE"""),0.993852459016393)</f>
        <v>0.993852459</v>
      </c>
      <c r="F242" s="8">
        <f>IFERROR(__xludf.DUMMYFUNCTION("""COMPUTED_VALUE"""),0.614432989690721)</f>
        <v>0.6144329897</v>
      </c>
      <c r="G242" s="8">
        <f>IFERROR(__xludf.DUMMYFUNCTION("""COMPUTED_VALUE"""),0.549586776859504)</f>
        <v>0.5495867769</v>
      </c>
      <c r="H242" s="8">
        <f>IFERROR(__xludf.DUMMYFUNCTION("""COMPUTED_VALUE"""),0.508298755186722)</f>
        <v>0.5082987552</v>
      </c>
      <c r="I242" s="8">
        <f>IFERROR(__xludf.DUMMYFUNCTION("""COMPUTED_VALUE"""),0.473903966597077)</f>
        <v>0.4739039666</v>
      </c>
      <c r="J242" s="8">
        <f>IFERROR(__xludf.DUMMYFUNCTION("""COMPUTED_VALUE"""),0.455882352941176)</f>
        <v>0.4558823529</v>
      </c>
      <c r="K242" s="8">
        <f>IFERROR(__xludf.DUMMYFUNCTION("""COMPUTED_VALUE"""),0.417372881355932)</f>
        <v>0.4173728814</v>
      </c>
      <c r="L242" s="8">
        <f>IFERROR(__xludf.DUMMYFUNCTION("""COMPUTED_VALUE"""),0.386117136659436)</f>
        <v>0.3861171367</v>
      </c>
      <c r="M242" s="8">
        <f>IFERROR(__xludf.DUMMYFUNCTION("""COMPUTED_VALUE"""),0.375921375921375)</f>
        <v>0.3759213759</v>
      </c>
      <c r="N242" s="8">
        <f>IFERROR(__xludf.DUMMYFUNCTION("""COMPUTED_VALUE"""),0.375)</f>
        <v>0.375</v>
      </c>
      <c r="O242" s="8">
        <f>IFERROR(__xludf.DUMMYFUNCTION("""COMPUTED_VALUE"""),0.0)</f>
        <v>0</v>
      </c>
      <c r="P242" s="8">
        <f>IFERROR(__xludf.DUMMYFUNCTION("""COMPUTED_VALUE"""),0.0)</f>
        <v>0</v>
      </c>
      <c r="Q242" s="8">
        <f>IFERROR(__xludf.DUMMYFUNCTION("""COMPUTED_VALUE"""),0.0)</f>
        <v>0</v>
      </c>
      <c r="R242" s="8">
        <f>IFERROR(__xludf.DUMMYFUNCTION("""COMPUTED_VALUE"""),0.0)</f>
        <v>0</v>
      </c>
      <c r="S242" s="8">
        <f>IFERROR(__xludf.DUMMYFUNCTION("""COMPUTED_VALUE"""),0.0)</f>
        <v>0</v>
      </c>
      <c r="T242" s="8">
        <f>IFERROR(__xludf.DUMMYFUNCTION("""COMPUTED_VALUE"""),0.0)</f>
        <v>0</v>
      </c>
      <c r="U242" s="8">
        <f>IFERROR(__xludf.DUMMYFUNCTION("""COMPUTED_VALUE"""),0.0)</f>
        <v>0</v>
      </c>
      <c r="V242" s="8">
        <f>IFERROR(__xludf.DUMMYFUNCTION("""COMPUTED_VALUE"""),0.0)</f>
        <v>0</v>
      </c>
      <c r="W242" s="8">
        <f>IFERROR(__xludf.DUMMYFUNCTION("""COMPUTED_VALUE"""),0.0)</f>
        <v>0</v>
      </c>
      <c r="X242" s="8">
        <f>IFERROR(__xludf.DUMMYFUNCTION("""COMPUTED_VALUE"""),0.0)</f>
        <v>0</v>
      </c>
      <c r="Y242" s="8">
        <f>IFERROR(__xludf.DUMMYFUNCTION("""COMPUTED_VALUE"""),0.0)</f>
        <v>0</v>
      </c>
      <c r="Z242" s="8">
        <f>IFERROR(__xludf.DUMMYFUNCTION("""COMPUTED_VALUE"""),0.0)</f>
        <v>0</v>
      </c>
      <c r="AA242" s="8">
        <f>IFERROR(__xludf.DUMMYFUNCTION("""COMPUTED_VALUE"""),0.0)</f>
        <v>0</v>
      </c>
      <c r="AB242" s="8">
        <f>IFERROR(__xludf.DUMMYFUNCTION("""COMPUTED_VALUE"""),0.0)</f>
        <v>0</v>
      </c>
      <c r="AC242" s="8">
        <f>IFERROR(__xludf.DUMMYFUNCTION("""COMPUTED_VALUE"""),0.0)</f>
        <v>0</v>
      </c>
    </row>
    <row r="243" ht="15.75" customHeight="1">
      <c r="A243" s="6" t="str">
        <f>IFERROR(__xludf.DUMMYFUNCTION("""COMPUTED_VALUE"""),"ddcfd794c1c386caa644e2b1d2379bfcd4efb154")</f>
        <v>ddcfd794c1c386caa644e2b1d2379bfcd4efb154</v>
      </c>
      <c r="B243" s="6" t="str">
        <f>IFERROR(__xludf.DUMMYFUNCTION("""COMPUTED_VALUE"""),"Tycoons Love Swindled")</f>
        <v>Tycoons Love Swindled</v>
      </c>
      <c r="C243" s="6" t="str">
        <f>IFERROR(__xludf.DUMMYFUNCTION("""COMPUTED_VALUE"""),"Drama")</f>
        <v>Drama</v>
      </c>
      <c r="D243" s="11">
        <f>IFERROR(__xludf.DUMMYFUNCTION("""COMPUTED_VALUE"""),89.0)</f>
        <v>89</v>
      </c>
      <c r="E243" s="8">
        <f>IFERROR(__xludf.DUMMYFUNCTION("""COMPUTED_VALUE"""),0.93103448275862)</f>
        <v>0.9310344828</v>
      </c>
      <c r="F243" s="8">
        <f>IFERROR(__xludf.DUMMYFUNCTION("""COMPUTED_VALUE"""),0.476744186046511)</f>
        <v>0.476744186</v>
      </c>
      <c r="G243" s="8">
        <f>IFERROR(__xludf.DUMMYFUNCTION("""COMPUTED_VALUE"""),0.404761904761904)</f>
        <v>0.4047619048</v>
      </c>
      <c r="H243" s="8">
        <f>IFERROR(__xludf.DUMMYFUNCTION("""COMPUTED_VALUE"""),0.4125)</f>
        <v>0.4125</v>
      </c>
      <c r="I243" s="8">
        <f>IFERROR(__xludf.DUMMYFUNCTION("""COMPUTED_VALUE"""),0.392405063291139)</f>
        <v>0.3924050633</v>
      </c>
      <c r="J243" s="8">
        <f>IFERROR(__xludf.DUMMYFUNCTION("""COMPUTED_VALUE"""),0.36)</f>
        <v>0.36</v>
      </c>
      <c r="K243" s="8">
        <f>IFERROR(__xludf.DUMMYFUNCTION("""COMPUTED_VALUE"""),0.31081081081081)</f>
        <v>0.3108108108</v>
      </c>
      <c r="L243" s="8">
        <f>IFERROR(__xludf.DUMMYFUNCTION("""COMPUTED_VALUE"""),0.347222222222222)</f>
        <v>0.3472222222</v>
      </c>
      <c r="M243" s="8">
        <f>IFERROR(__xludf.DUMMYFUNCTION("""COMPUTED_VALUE"""),0.264705882352941)</f>
        <v>0.2647058824</v>
      </c>
      <c r="N243" s="8">
        <f>IFERROR(__xludf.DUMMYFUNCTION("""COMPUTED_VALUE"""),0.328125)</f>
        <v>0.328125</v>
      </c>
      <c r="O243" s="8">
        <f>IFERROR(__xludf.DUMMYFUNCTION("""COMPUTED_VALUE"""),0.395833333333333)</f>
        <v>0.3958333333</v>
      </c>
      <c r="P243" s="8">
        <f>IFERROR(__xludf.DUMMYFUNCTION("""COMPUTED_VALUE"""),0.106382978723404)</f>
        <v>0.1063829787</v>
      </c>
      <c r="Q243" s="8">
        <f>IFERROR(__xludf.DUMMYFUNCTION("""COMPUTED_VALUE"""),0.025)</f>
        <v>0.025</v>
      </c>
      <c r="R243" s="8">
        <f>IFERROR(__xludf.DUMMYFUNCTION("""COMPUTED_VALUE"""),0.0333333333333333)</f>
        <v>0.03333333333</v>
      </c>
      <c r="S243" s="8">
        <f>IFERROR(__xludf.DUMMYFUNCTION("""COMPUTED_VALUE"""),0.0)</f>
        <v>0</v>
      </c>
      <c r="T243" s="8">
        <f>IFERROR(__xludf.DUMMYFUNCTION("""COMPUTED_VALUE"""),0.0)</f>
        <v>0</v>
      </c>
      <c r="U243" s="8">
        <f>IFERROR(__xludf.DUMMYFUNCTION("""COMPUTED_VALUE"""),0.0)</f>
        <v>0</v>
      </c>
      <c r="V243" s="8">
        <f>IFERROR(__xludf.DUMMYFUNCTION("""COMPUTED_VALUE"""),0.0)</f>
        <v>0</v>
      </c>
      <c r="W243" s="8">
        <f>IFERROR(__xludf.DUMMYFUNCTION("""COMPUTED_VALUE"""),0.0)</f>
        <v>0</v>
      </c>
      <c r="X243" s="8">
        <f>IFERROR(__xludf.DUMMYFUNCTION("""COMPUTED_VALUE"""),0.0)</f>
        <v>0</v>
      </c>
      <c r="Y243" s="8">
        <f>IFERROR(__xludf.DUMMYFUNCTION("""COMPUTED_VALUE"""),0.0)</f>
        <v>0</v>
      </c>
      <c r="Z243" s="8">
        <f>IFERROR(__xludf.DUMMYFUNCTION("""COMPUTED_VALUE"""),0.0)</f>
        <v>0</v>
      </c>
      <c r="AA243" s="8">
        <f>IFERROR(__xludf.DUMMYFUNCTION("""COMPUTED_VALUE"""),0.0)</f>
        <v>0</v>
      </c>
      <c r="AB243" s="8">
        <f>IFERROR(__xludf.DUMMYFUNCTION("""COMPUTED_VALUE"""),0.0)</f>
        <v>0</v>
      </c>
      <c r="AC243" s="8">
        <f>IFERROR(__xludf.DUMMYFUNCTION("""COMPUTED_VALUE"""),0.0)</f>
        <v>0</v>
      </c>
    </row>
    <row r="244" ht="15.75" customHeight="1">
      <c r="A244" s="6" t="str">
        <f>IFERROR(__xludf.DUMMYFUNCTION("""COMPUTED_VALUE"""),"de862851ca66c0ec5a982ecfe58d14472093a185")</f>
        <v>de862851ca66c0ec5a982ecfe58d14472093a185</v>
      </c>
      <c r="B244" s="6" t="str">
        <f>IFERROR(__xludf.DUMMYFUNCTION("""COMPUTED_VALUE"""),"From Trash to a Legend")</f>
        <v>From Trash to a Legend</v>
      </c>
      <c r="C244" s="6" t="str">
        <f>IFERROR(__xludf.DUMMYFUNCTION("""COMPUTED_VALUE"""),"System and Superpower")</f>
        <v>System and Superpower</v>
      </c>
      <c r="D244" s="11">
        <f>IFERROR(__xludf.DUMMYFUNCTION("""COMPUTED_VALUE"""),488.0)</f>
        <v>488</v>
      </c>
      <c r="E244" s="8">
        <f>IFERROR(__xludf.DUMMYFUNCTION("""COMPUTED_VALUE"""),0.967145790554414)</f>
        <v>0.9671457906</v>
      </c>
      <c r="F244" s="8">
        <f>IFERROR(__xludf.DUMMYFUNCTION("""COMPUTED_VALUE"""),0.764462809917355)</f>
        <v>0.7644628099</v>
      </c>
      <c r="G244" s="8">
        <f>IFERROR(__xludf.DUMMYFUNCTION("""COMPUTED_VALUE"""),0.739669421487603)</f>
        <v>0.7396694215</v>
      </c>
      <c r="H244" s="8">
        <f>IFERROR(__xludf.DUMMYFUNCTION("""COMPUTED_VALUE"""),0.708939708939708)</f>
        <v>0.7089397089</v>
      </c>
      <c r="I244" s="8">
        <f>IFERROR(__xludf.DUMMYFUNCTION("""COMPUTED_VALUE"""),0.667364016736401)</f>
        <v>0.6673640167</v>
      </c>
      <c r="J244" s="8">
        <f>IFERROR(__xludf.DUMMYFUNCTION("""COMPUTED_VALUE"""),0.637711864406779)</f>
        <v>0.6377118644</v>
      </c>
      <c r="K244" s="8">
        <f>IFERROR(__xludf.DUMMYFUNCTION("""COMPUTED_VALUE"""),0.622881355932203)</f>
        <v>0.6228813559</v>
      </c>
      <c r="L244" s="8">
        <f>IFERROR(__xludf.DUMMYFUNCTION("""COMPUTED_VALUE"""),0.571753986332574)</f>
        <v>0.5717539863</v>
      </c>
      <c r="M244" s="8">
        <f>IFERROR(__xludf.DUMMYFUNCTION("""COMPUTED_VALUE"""),0.54523227383863)</f>
        <v>0.5452322738</v>
      </c>
      <c r="N244" s="8">
        <f>IFERROR(__xludf.DUMMYFUNCTION("""COMPUTED_VALUE"""),0.54696132596685)</f>
        <v>0.546961326</v>
      </c>
      <c r="O244" s="8">
        <f>IFERROR(__xludf.DUMMYFUNCTION("""COMPUTED_VALUE"""),0.153846153846153)</f>
        <v>0.1538461538</v>
      </c>
      <c r="P244" s="8">
        <f>IFERROR(__xludf.DUMMYFUNCTION("""COMPUTED_VALUE"""),0.285714285714285)</f>
        <v>0.2857142857</v>
      </c>
      <c r="Q244" s="8">
        <f>IFERROR(__xludf.DUMMYFUNCTION("""COMPUTED_VALUE"""),0.0)</f>
        <v>0</v>
      </c>
      <c r="R244" s="8">
        <f>IFERROR(__xludf.DUMMYFUNCTION("""COMPUTED_VALUE"""),0.0)</f>
        <v>0</v>
      </c>
      <c r="S244" s="8">
        <f>IFERROR(__xludf.DUMMYFUNCTION("""COMPUTED_VALUE"""),0.0)</f>
        <v>0</v>
      </c>
      <c r="T244" s="8">
        <f>IFERROR(__xludf.DUMMYFUNCTION("""COMPUTED_VALUE"""),0.0)</f>
        <v>0</v>
      </c>
      <c r="U244" s="8">
        <f>IFERROR(__xludf.DUMMYFUNCTION("""COMPUTED_VALUE"""),0.0)</f>
        <v>0</v>
      </c>
      <c r="V244" s="8">
        <f>IFERROR(__xludf.DUMMYFUNCTION("""COMPUTED_VALUE"""),0.0)</f>
        <v>0</v>
      </c>
      <c r="W244" s="8">
        <f>IFERROR(__xludf.DUMMYFUNCTION("""COMPUTED_VALUE"""),0.0)</f>
        <v>0</v>
      </c>
      <c r="X244" s="8">
        <f>IFERROR(__xludf.DUMMYFUNCTION("""COMPUTED_VALUE"""),0.0)</f>
        <v>0</v>
      </c>
      <c r="Y244" s="8">
        <f>IFERROR(__xludf.DUMMYFUNCTION("""COMPUTED_VALUE"""),0.0)</f>
        <v>0</v>
      </c>
      <c r="Z244" s="8">
        <f>IFERROR(__xludf.DUMMYFUNCTION("""COMPUTED_VALUE"""),0.0)</f>
        <v>0</v>
      </c>
      <c r="AA244" s="8">
        <f>IFERROR(__xludf.DUMMYFUNCTION("""COMPUTED_VALUE"""),0.0)</f>
        <v>0</v>
      </c>
      <c r="AB244" s="8">
        <f>IFERROR(__xludf.DUMMYFUNCTION("""COMPUTED_VALUE"""),0.0)</f>
        <v>0</v>
      </c>
      <c r="AC244" s="8">
        <f>IFERROR(__xludf.DUMMYFUNCTION("""COMPUTED_VALUE"""),0.0)</f>
        <v>0</v>
      </c>
    </row>
    <row r="245" ht="15.75" customHeight="1">
      <c r="A245" s="6" t="str">
        <f>IFERROR(__xludf.DUMMYFUNCTION("""COMPUTED_VALUE"""),"df497806d02c2dcc2e8f8e790fcc3fb9e72f8166")</f>
        <v>df497806d02c2dcc2e8f8e790fcc3fb9e72f8166</v>
      </c>
      <c r="B245" s="6" t="str">
        <f>IFERROR(__xludf.DUMMYFUNCTION("""COMPUTED_VALUE"""),"Never Letting You Go")</f>
        <v>Never Letting You Go</v>
      </c>
      <c r="C245" s="6" t="str">
        <f>IFERROR(__xludf.DUMMYFUNCTION("""COMPUTED_VALUE"""),"Romance")</f>
        <v>Romance</v>
      </c>
      <c r="D245" s="11">
        <f>IFERROR(__xludf.DUMMYFUNCTION("""COMPUTED_VALUE"""),225.0)</f>
        <v>225</v>
      </c>
      <c r="E245" s="8">
        <f>IFERROR(__xludf.DUMMYFUNCTION("""COMPUTED_VALUE"""),0.981981981981981)</f>
        <v>0.981981982</v>
      </c>
      <c r="F245" s="8">
        <f>IFERROR(__xludf.DUMMYFUNCTION("""COMPUTED_VALUE"""),0.5)</f>
        <v>0.5</v>
      </c>
      <c r="G245" s="8">
        <f>IFERROR(__xludf.DUMMYFUNCTION("""COMPUTED_VALUE"""),0.415887850467289)</f>
        <v>0.4158878505</v>
      </c>
      <c r="H245" s="8">
        <f>IFERROR(__xludf.DUMMYFUNCTION("""COMPUTED_VALUE"""),0.366666666666666)</f>
        <v>0.3666666667</v>
      </c>
      <c r="I245" s="8">
        <f>IFERROR(__xludf.DUMMYFUNCTION("""COMPUTED_VALUE"""),0.321951219512195)</f>
        <v>0.3219512195</v>
      </c>
      <c r="J245" s="8">
        <f>IFERROR(__xludf.DUMMYFUNCTION("""COMPUTED_VALUE"""),0.310344827586206)</f>
        <v>0.3103448276</v>
      </c>
      <c r="K245" s="8">
        <f>IFERROR(__xludf.DUMMYFUNCTION("""COMPUTED_VALUE"""),0.282722513089005)</f>
        <v>0.2827225131</v>
      </c>
      <c r="L245" s="8">
        <f>IFERROR(__xludf.DUMMYFUNCTION("""COMPUTED_VALUE"""),0.278106508875739)</f>
        <v>0.2781065089</v>
      </c>
      <c r="M245" s="8">
        <f>IFERROR(__xludf.DUMMYFUNCTION("""COMPUTED_VALUE"""),0.226277372262773)</f>
        <v>0.2262773723</v>
      </c>
      <c r="N245" s="8">
        <f>IFERROR(__xludf.DUMMYFUNCTION("""COMPUTED_VALUE"""),0.222222222222222)</f>
        <v>0.2222222222</v>
      </c>
      <c r="O245" s="8">
        <f>IFERROR(__xludf.DUMMYFUNCTION("""COMPUTED_VALUE"""),0.176470588235294)</f>
        <v>0.1764705882</v>
      </c>
      <c r="P245" s="8">
        <f>IFERROR(__xludf.DUMMYFUNCTION("""COMPUTED_VALUE"""),0.153846153846153)</f>
        <v>0.1538461538</v>
      </c>
      <c r="Q245" s="8">
        <f>IFERROR(__xludf.DUMMYFUNCTION("""COMPUTED_VALUE"""),0.125)</f>
        <v>0.125</v>
      </c>
      <c r="R245" s="8">
        <f>IFERROR(__xludf.DUMMYFUNCTION("""COMPUTED_VALUE"""),0.0)</f>
        <v>0</v>
      </c>
      <c r="S245" s="8">
        <f>IFERROR(__xludf.DUMMYFUNCTION("""COMPUTED_VALUE"""),0.0)</f>
        <v>0</v>
      </c>
      <c r="T245" s="8">
        <f>IFERROR(__xludf.DUMMYFUNCTION("""COMPUTED_VALUE"""),0.0)</f>
        <v>0</v>
      </c>
      <c r="U245" s="8">
        <f>IFERROR(__xludf.DUMMYFUNCTION("""COMPUTED_VALUE"""),0.0)</f>
        <v>0</v>
      </c>
      <c r="V245" s="8">
        <f>IFERROR(__xludf.DUMMYFUNCTION("""COMPUTED_VALUE"""),0.0)</f>
        <v>0</v>
      </c>
      <c r="W245" s="8">
        <f>IFERROR(__xludf.DUMMYFUNCTION("""COMPUTED_VALUE"""),0.0)</f>
        <v>0</v>
      </c>
      <c r="X245" s="8">
        <f>IFERROR(__xludf.DUMMYFUNCTION("""COMPUTED_VALUE"""),0.0)</f>
        <v>0</v>
      </c>
      <c r="Y245" s="8">
        <f>IFERROR(__xludf.DUMMYFUNCTION("""COMPUTED_VALUE"""),0.0)</f>
        <v>0</v>
      </c>
      <c r="Z245" s="8">
        <f>IFERROR(__xludf.DUMMYFUNCTION("""COMPUTED_VALUE"""),0.0)</f>
        <v>0</v>
      </c>
      <c r="AA245" s="8">
        <f>IFERROR(__xludf.DUMMYFUNCTION("""COMPUTED_VALUE"""),0.0)</f>
        <v>0</v>
      </c>
      <c r="AB245" s="8">
        <f>IFERROR(__xludf.DUMMYFUNCTION("""COMPUTED_VALUE"""),0.0)</f>
        <v>0</v>
      </c>
      <c r="AC245" s="8">
        <f>IFERROR(__xludf.DUMMYFUNCTION("""COMPUTED_VALUE"""),0.0)</f>
        <v>0</v>
      </c>
    </row>
    <row r="246" ht="15.75" customHeight="1">
      <c r="A246" s="6" t="str">
        <f>IFERROR(__xludf.DUMMYFUNCTION("""COMPUTED_VALUE"""),"e0cc4d535444616635b899b0d8d7d34e8dde5fa7")</f>
        <v>e0cc4d535444616635b899b0d8d7d34e8dde5fa7</v>
      </c>
      <c r="B246" s="6" t="str">
        <f>IFERROR(__xludf.DUMMYFUNCTION("""COMPUTED_VALUE"""),"Fated Bond")</f>
        <v>Fated Bond</v>
      </c>
      <c r="C246" s="6" t="str">
        <f>IFERROR(__xludf.DUMMYFUNCTION("""COMPUTED_VALUE"""),"Romantasy")</f>
        <v>Romantasy</v>
      </c>
      <c r="D246" s="11">
        <f>IFERROR(__xludf.DUMMYFUNCTION("""COMPUTED_VALUE"""),2533.0)</f>
        <v>2533</v>
      </c>
      <c r="E246" s="8">
        <f>IFERROR(__xludf.DUMMYFUNCTION("""COMPUTED_VALUE"""),0.963241106719367)</f>
        <v>0.9632411067</v>
      </c>
      <c r="F246" s="8">
        <f>IFERROR(__xludf.DUMMYFUNCTION("""COMPUTED_VALUE"""),0.544088572558323)</f>
        <v>0.5440885726</v>
      </c>
      <c r="G246" s="8">
        <f>IFERROR(__xludf.DUMMYFUNCTION("""COMPUTED_VALUE"""),0.487544483985765)</f>
        <v>0.487544484</v>
      </c>
      <c r="H246" s="8">
        <f>IFERROR(__xludf.DUMMYFUNCTION("""COMPUTED_VALUE"""),0.441013460015835)</f>
        <v>0.44101346</v>
      </c>
      <c r="I246" s="8">
        <f>IFERROR(__xludf.DUMMYFUNCTION("""COMPUTED_VALUE"""),0.423366336633663)</f>
        <v>0.4233663366</v>
      </c>
      <c r="J246" s="8">
        <f>IFERROR(__xludf.DUMMYFUNCTION("""COMPUTED_VALUE"""),0.405705229793977)</f>
        <v>0.4057052298</v>
      </c>
      <c r="K246" s="8">
        <f>IFERROR(__xludf.DUMMYFUNCTION("""COMPUTED_VALUE"""),0.389770023790642)</f>
        <v>0.3897700238</v>
      </c>
      <c r="L246" s="8">
        <f>IFERROR(__xludf.DUMMYFUNCTION("""COMPUTED_VALUE"""),0.382446386020651)</f>
        <v>0.382446386</v>
      </c>
      <c r="M246" s="8">
        <f>IFERROR(__xludf.DUMMYFUNCTION("""COMPUTED_VALUE"""),0.372712808273667)</f>
        <v>0.3727128083</v>
      </c>
      <c r="N246" s="8">
        <f>IFERROR(__xludf.DUMMYFUNCTION("""COMPUTED_VALUE"""),0.364108713029576)</f>
        <v>0.364108713</v>
      </c>
      <c r="O246" s="8">
        <f>IFERROR(__xludf.DUMMYFUNCTION("""COMPUTED_VALUE"""),0.350855745721271)</f>
        <v>0.3508557457</v>
      </c>
      <c r="P246" s="8">
        <f>IFERROR(__xludf.DUMMYFUNCTION("""COMPUTED_VALUE"""),0.293132328308207)</f>
        <v>0.2931323283</v>
      </c>
      <c r="Q246" s="8">
        <f>IFERROR(__xludf.DUMMYFUNCTION("""COMPUTED_VALUE"""),0.253897550111358)</f>
        <v>0.2538975501</v>
      </c>
      <c r="R246" s="8">
        <f>IFERROR(__xludf.DUMMYFUNCTION("""COMPUTED_VALUE"""),0.20269442743417)</f>
        <v>0.2026944274</v>
      </c>
      <c r="S246" s="8">
        <f>IFERROR(__xludf.DUMMYFUNCTION("""COMPUTED_VALUE"""),0.160893854748603)</f>
        <v>0.1608938547</v>
      </c>
      <c r="T246" s="8">
        <f>IFERROR(__xludf.DUMMYFUNCTION("""COMPUTED_VALUE"""),0.117302052785923)</f>
        <v>0.1173020528</v>
      </c>
      <c r="U246" s="8">
        <f>IFERROR(__xludf.DUMMYFUNCTION("""COMPUTED_VALUE"""),0.075812274368231)</f>
        <v>0.07581227437</v>
      </c>
      <c r="V246" s="8">
        <f>IFERROR(__xludf.DUMMYFUNCTION("""COMPUTED_VALUE"""),0.05)</f>
        <v>0.05</v>
      </c>
      <c r="W246" s="8">
        <f>IFERROR(__xludf.DUMMYFUNCTION("""COMPUTED_VALUE"""),0.040506329113924)</f>
        <v>0.04050632911</v>
      </c>
      <c r="X246" s="8">
        <f>IFERROR(__xludf.DUMMYFUNCTION("""COMPUTED_VALUE"""),0.00949367088607595)</f>
        <v>0.009493670886</v>
      </c>
      <c r="Y246" s="8">
        <f>IFERROR(__xludf.DUMMYFUNCTION("""COMPUTED_VALUE"""),0.0)</f>
        <v>0</v>
      </c>
      <c r="Z246" s="8">
        <f>IFERROR(__xludf.DUMMYFUNCTION("""COMPUTED_VALUE"""),0.0)</f>
        <v>0</v>
      </c>
      <c r="AA246" s="8">
        <f>IFERROR(__xludf.DUMMYFUNCTION("""COMPUTED_VALUE"""),0.0)</f>
        <v>0</v>
      </c>
      <c r="AB246" s="8">
        <f>IFERROR(__xludf.DUMMYFUNCTION("""COMPUTED_VALUE"""),0.0)</f>
        <v>0</v>
      </c>
      <c r="AC246" s="8">
        <f>IFERROR(__xludf.DUMMYFUNCTION("""COMPUTED_VALUE"""),0.0)</f>
        <v>0</v>
      </c>
    </row>
    <row r="247" ht="15.75" customHeight="1">
      <c r="A247" s="6" t="str">
        <f>IFERROR(__xludf.DUMMYFUNCTION("""COMPUTED_VALUE"""),"e0df7c51c42acc2ebb07fef0853244b617b34a0a")</f>
        <v>e0df7c51c42acc2ebb07fef0853244b617b34a0a</v>
      </c>
      <c r="B247" s="6" t="str">
        <f>IFERROR(__xludf.DUMMYFUNCTION("""COMPUTED_VALUE"""),"Hunted by the Alpha")</f>
        <v>Hunted by the Alpha</v>
      </c>
      <c r="C247" s="6" t="str">
        <f>IFERROR(__xludf.DUMMYFUNCTION("""COMPUTED_VALUE"""),"Romantasy")</f>
        <v>Romantasy</v>
      </c>
      <c r="D247" s="11">
        <f>IFERROR(__xludf.DUMMYFUNCTION("""COMPUTED_VALUE"""),2404.0)</f>
        <v>2404</v>
      </c>
      <c r="E247" s="8">
        <f>IFERROR(__xludf.DUMMYFUNCTION("""COMPUTED_VALUE"""),0.980865224625624)</f>
        <v>0.9808652246</v>
      </c>
      <c r="F247" s="8">
        <f>IFERROR(__xludf.DUMMYFUNCTION("""COMPUTED_VALUE"""),0.463171036204744)</f>
        <v>0.4631710362</v>
      </c>
      <c r="G247" s="8">
        <f>IFERROR(__xludf.DUMMYFUNCTION("""COMPUTED_VALUE"""),0.396752706078268)</f>
        <v>0.3967527061</v>
      </c>
      <c r="H247" s="8">
        <f>IFERROR(__xludf.DUMMYFUNCTION("""COMPUTED_VALUE"""),0.37125)</f>
        <v>0.37125</v>
      </c>
      <c r="I247" s="8">
        <f>IFERROR(__xludf.DUMMYFUNCTION("""COMPUTED_VALUE"""),0.349457881567973)</f>
        <v>0.3494578816</v>
      </c>
      <c r="J247" s="8">
        <f>IFERROR(__xludf.DUMMYFUNCTION("""COMPUTED_VALUE"""),0.330413016270337)</f>
        <v>0.3304130163</v>
      </c>
      <c r="K247" s="8">
        <f>IFERROR(__xludf.DUMMYFUNCTION("""COMPUTED_VALUE"""),0.303549060542797)</f>
        <v>0.3035490605</v>
      </c>
      <c r="L247" s="8">
        <f>IFERROR(__xludf.DUMMYFUNCTION("""COMPUTED_VALUE"""),0.282845188284518)</f>
        <v>0.2828451883</v>
      </c>
      <c r="M247" s="8">
        <f>IFERROR(__xludf.DUMMYFUNCTION("""COMPUTED_VALUE"""),0.283461210571185)</f>
        <v>0.2834612106</v>
      </c>
      <c r="N247" s="8">
        <f>IFERROR(__xludf.DUMMYFUNCTION("""COMPUTED_VALUE"""),0.27380410022779)</f>
        <v>0.2738041002</v>
      </c>
      <c r="O247" s="8">
        <f>IFERROR(__xludf.DUMMYFUNCTION("""COMPUTED_VALUE"""),0.241313960833859)</f>
        <v>0.2413139608</v>
      </c>
      <c r="P247" s="8">
        <f>IFERROR(__xludf.DUMMYFUNCTION("""COMPUTED_VALUE"""),0.227642276422764)</f>
        <v>0.2276422764</v>
      </c>
      <c r="Q247" s="8">
        <f>IFERROR(__xludf.DUMMYFUNCTION("""COMPUTED_VALUE"""),0.37037037037037)</f>
        <v>0.3703703704</v>
      </c>
      <c r="R247" s="8">
        <f>IFERROR(__xludf.DUMMYFUNCTION("""COMPUTED_VALUE"""),0.0)</f>
        <v>0</v>
      </c>
      <c r="S247" s="8">
        <f>IFERROR(__xludf.DUMMYFUNCTION("""COMPUTED_VALUE"""),0.0)</f>
        <v>0</v>
      </c>
      <c r="T247" s="8">
        <f>IFERROR(__xludf.DUMMYFUNCTION("""COMPUTED_VALUE"""),0.0)</f>
        <v>0</v>
      </c>
      <c r="U247" s="8">
        <f>IFERROR(__xludf.DUMMYFUNCTION("""COMPUTED_VALUE"""),0.0)</f>
        <v>0</v>
      </c>
      <c r="V247" s="8">
        <f>IFERROR(__xludf.DUMMYFUNCTION("""COMPUTED_VALUE"""),0.0)</f>
        <v>0</v>
      </c>
      <c r="W247" s="8">
        <f>IFERROR(__xludf.DUMMYFUNCTION("""COMPUTED_VALUE"""),0.0)</f>
        <v>0</v>
      </c>
      <c r="X247" s="8">
        <f>IFERROR(__xludf.DUMMYFUNCTION("""COMPUTED_VALUE"""),0.0)</f>
        <v>0</v>
      </c>
      <c r="Y247" s="8">
        <f>IFERROR(__xludf.DUMMYFUNCTION("""COMPUTED_VALUE"""),0.0)</f>
        <v>0</v>
      </c>
      <c r="Z247" s="8">
        <f>IFERROR(__xludf.DUMMYFUNCTION("""COMPUTED_VALUE"""),0.0)</f>
        <v>0</v>
      </c>
      <c r="AA247" s="8">
        <f>IFERROR(__xludf.DUMMYFUNCTION("""COMPUTED_VALUE"""),0.0)</f>
        <v>0</v>
      </c>
      <c r="AB247" s="8">
        <f>IFERROR(__xludf.DUMMYFUNCTION("""COMPUTED_VALUE"""),0.0)</f>
        <v>0</v>
      </c>
      <c r="AC247" s="8">
        <f>IFERROR(__xludf.DUMMYFUNCTION("""COMPUTED_VALUE"""),0.0)</f>
        <v>0</v>
      </c>
    </row>
    <row r="248" ht="15.75" customHeight="1">
      <c r="A248" s="6" t="str">
        <f>IFERROR(__xludf.DUMMYFUNCTION("""COMPUTED_VALUE"""),"e168f716089521f9d1fe95769f273458c64e2ba9")</f>
        <v>e168f716089521f9d1fe95769f273458c64e2ba9</v>
      </c>
      <c r="B248" s="6" t="str">
        <f>IFERROR(__xludf.DUMMYFUNCTION("""COMPUTED_VALUE"""),"My Young Bodyguard")</f>
        <v>My Young Bodyguard</v>
      </c>
      <c r="C248" s="6" t="str">
        <f>IFERROR(__xludf.DUMMYFUNCTION("""COMPUTED_VALUE"""),"Drama")</f>
        <v>Drama</v>
      </c>
      <c r="D248" s="11">
        <f>IFERROR(__xludf.DUMMYFUNCTION("""COMPUTED_VALUE"""),448.0)</f>
        <v>448</v>
      </c>
      <c r="E248" s="8">
        <f>IFERROR(__xludf.DUMMYFUNCTION("""COMPUTED_VALUE"""),0.977628635346756)</f>
        <v>0.9776286353</v>
      </c>
      <c r="F248" s="8">
        <f>IFERROR(__xludf.DUMMYFUNCTION("""COMPUTED_VALUE"""),0.572429906542056)</f>
        <v>0.5724299065</v>
      </c>
      <c r="G248" s="8">
        <f>IFERROR(__xludf.DUMMYFUNCTION("""COMPUTED_VALUE"""),0.502380952380952)</f>
        <v>0.5023809524</v>
      </c>
      <c r="H248" s="8">
        <f>IFERROR(__xludf.DUMMYFUNCTION("""COMPUTED_VALUE"""),0.464102564102564)</f>
        <v>0.4641025641</v>
      </c>
      <c r="I248" s="8">
        <f>IFERROR(__xludf.DUMMYFUNCTION("""COMPUTED_VALUE"""),0.411140583554376)</f>
        <v>0.4111405836</v>
      </c>
      <c r="J248" s="8">
        <f>IFERROR(__xludf.DUMMYFUNCTION("""COMPUTED_VALUE"""),0.410112359550561)</f>
        <v>0.4101123596</v>
      </c>
      <c r="K248" s="8">
        <f>IFERROR(__xludf.DUMMYFUNCTION("""COMPUTED_VALUE"""),0.389380530973451)</f>
        <v>0.389380531</v>
      </c>
      <c r="L248" s="8">
        <f>IFERROR(__xludf.DUMMYFUNCTION("""COMPUTED_VALUE"""),0.381578947368421)</f>
        <v>0.3815789474</v>
      </c>
      <c r="M248" s="8">
        <f>IFERROR(__xludf.DUMMYFUNCTION("""COMPUTED_VALUE"""),0.362369337979094)</f>
        <v>0.362369338</v>
      </c>
      <c r="N248" s="8">
        <f>IFERROR(__xludf.DUMMYFUNCTION("""COMPUTED_VALUE"""),0.315018315018315)</f>
        <v>0.315018315</v>
      </c>
      <c r="O248" s="8">
        <f>IFERROR(__xludf.DUMMYFUNCTION("""COMPUTED_VALUE"""),0.263636363636363)</f>
        <v>0.2636363636</v>
      </c>
      <c r="P248" s="8">
        <f>IFERROR(__xludf.DUMMYFUNCTION("""COMPUTED_VALUE"""),0.257142857142857)</f>
        <v>0.2571428571</v>
      </c>
      <c r="Q248" s="8">
        <f>IFERROR(__xludf.DUMMYFUNCTION("""COMPUTED_VALUE"""),0.151162790697674)</f>
        <v>0.1511627907</v>
      </c>
      <c r="R248" s="8">
        <f>IFERROR(__xludf.DUMMYFUNCTION("""COMPUTED_VALUE"""),0.0465116279069767)</f>
        <v>0.04651162791</v>
      </c>
      <c r="S248" s="8">
        <f>IFERROR(__xludf.DUMMYFUNCTION("""COMPUTED_VALUE"""),0.0)</f>
        <v>0</v>
      </c>
      <c r="T248" s="8">
        <f>IFERROR(__xludf.DUMMYFUNCTION("""COMPUTED_VALUE"""),0.0)</f>
        <v>0</v>
      </c>
      <c r="U248" s="8">
        <f>IFERROR(__xludf.DUMMYFUNCTION("""COMPUTED_VALUE"""),0.0)</f>
        <v>0</v>
      </c>
      <c r="V248" s="8">
        <f>IFERROR(__xludf.DUMMYFUNCTION("""COMPUTED_VALUE"""),0.0)</f>
        <v>0</v>
      </c>
      <c r="W248" s="8">
        <f>IFERROR(__xludf.DUMMYFUNCTION("""COMPUTED_VALUE"""),0.0)</f>
        <v>0</v>
      </c>
      <c r="X248" s="8">
        <f>IFERROR(__xludf.DUMMYFUNCTION("""COMPUTED_VALUE"""),0.0)</f>
        <v>0</v>
      </c>
      <c r="Y248" s="8">
        <f>IFERROR(__xludf.DUMMYFUNCTION("""COMPUTED_VALUE"""),0.0)</f>
        <v>0</v>
      </c>
      <c r="Z248" s="8">
        <f>IFERROR(__xludf.DUMMYFUNCTION("""COMPUTED_VALUE"""),0.0)</f>
        <v>0</v>
      </c>
      <c r="AA248" s="8">
        <f>IFERROR(__xludf.DUMMYFUNCTION("""COMPUTED_VALUE"""),0.0)</f>
        <v>0</v>
      </c>
      <c r="AB248" s="8">
        <f>IFERROR(__xludf.DUMMYFUNCTION("""COMPUTED_VALUE"""),0.0)</f>
        <v>0</v>
      </c>
      <c r="AC248" s="8">
        <f>IFERROR(__xludf.DUMMYFUNCTION("""COMPUTED_VALUE"""),0.0)</f>
        <v>0</v>
      </c>
    </row>
    <row r="249" ht="15.75" customHeight="1">
      <c r="A249" s="6" t="str">
        <f>IFERROR(__xludf.DUMMYFUNCTION("""COMPUTED_VALUE"""),"e1e025613df0bb24a28711b19cbefdbc254e0c21")</f>
        <v>e1e025613df0bb24a28711b19cbefdbc254e0c21</v>
      </c>
      <c r="B249" s="6" t="str">
        <f>IFERROR(__xludf.DUMMYFUNCTION("""COMPUTED_VALUE"""),"The Ceo Hidden Bride")</f>
        <v>The Ceo Hidden Bride</v>
      </c>
      <c r="C249" s="6" t="str">
        <f>IFERROR(__xludf.DUMMYFUNCTION("""COMPUTED_VALUE"""),"Romance")</f>
        <v>Romance</v>
      </c>
      <c r="D249" s="11">
        <f>IFERROR(__xludf.DUMMYFUNCTION("""COMPUTED_VALUE"""),493.0)</f>
        <v>493</v>
      </c>
      <c r="E249" s="8">
        <f>IFERROR(__xludf.DUMMYFUNCTION("""COMPUTED_VALUE"""),0.972789115646258)</f>
        <v>0.9727891156</v>
      </c>
      <c r="F249" s="8">
        <f>IFERROR(__xludf.DUMMYFUNCTION("""COMPUTED_VALUE"""),0.597560975609756)</f>
        <v>0.5975609756</v>
      </c>
      <c r="G249" s="8">
        <f>IFERROR(__xludf.DUMMYFUNCTION("""COMPUTED_VALUE"""),0.491271820448877)</f>
        <v>0.4912718204</v>
      </c>
      <c r="H249" s="8">
        <f>IFERROR(__xludf.DUMMYFUNCTION("""COMPUTED_VALUE"""),0.445843828715365)</f>
        <v>0.4458438287</v>
      </c>
      <c r="I249" s="8">
        <f>IFERROR(__xludf.DUMMYFUNCTION("""COMPUTED_VALUE"""),0.407124681933842)</f>
        <v>0.4071246819</v>
      </c>
      <c r="J249" s="8">
        <f>IFERROR(__xludf.DUMMYFUNCTION("""COMPUTED_VALUE"""),0.362204724409448)</f>
        <v>0.3622047244</v>
      </c>
      <c r="K249" s="8">
        <f>IFERROR(__xludf.DUMMYFUNCTION("""COMPUTED_VALUE"""),0.357333333333333)</f>
        <v>0.3573333333</v>
      </c>
      <c r="L249" s="8">
        <f>IFERROR(__xludf.DUMMYFUNCTION("""COMPUTED_VALUE"""),0.339181286549707)</f>
        <v>0.3391812865</v>
      </c>
      <c r="M249" s="8">
        <f>IFERROR(__xludf.DUMMYFUNCTION("""COMPUTED_VALUE"""),0.331288343558282)</f>
        <v>0.3312883436</v>
      </c>
      <c r="N249" s="8">
        <f>IFERROR(__xludf.DUMMYFUNCTION("""COMPUTED_VALUE"""),0.321428571428571)</f>
        <v>0.3214285714</v>
      </c>
      <c r="O249" s="8">
        <f>IFERROR(__xludf.DUMMYFUNCTION("""COMPUTED_VALUE"""),0.236842105263157)</f>
        <v>0.2368421053</v>
      </c>
      <c r="P249" s="8">
        <f>IFERROR(__xludf.DUMMYFUNCTION("""COMPUTED_VALUE"""),0.229729729729729)</f>
        <v>0.2297297297</v>
      </c>
      <c r="Q249" s="8">
        <f>IFERROR(__xludf.DUMMYFUNCTION("""COMPUTED_VALUE"""),0.0)</f>
        <v>0</v>
      </c>
      <c r="R249" s="8">
        <f>IFERROR(__xludf.DUMMYFUNCTION("""COMPUTED_VALUE"""),0.0)</f>
        <v>0</v>
      </c>
      <c r="S249" s="8">
        <f>IFERROR(__xludf.DUMMYFUNCTION("""COMPUTED_VALUE"""),0.0)</f>
        <v>0</v>
      </c>
      <c r="T249" s="8">
        <f>IFERROR(__xludf.DUMMYFUNCTION("""COMPUTED_VALUE"""),0.0)</f>
        <v>0</v>
      </c>
      <c r="U249" s="8">
        <f>IFERROR(__xludf.DUMMYFUNCTION("""COMPUTED_VALUE"""),0.0)</f>
        <v>0</v>
      </c>
      <c r="V249" s="8">
        <f>IFERROR(__xludf.DUMMYFUNCTION("""COMPUTED_VALUE"""),0.0)</f>
        <v>0</v>
      </c>
      <c r="W249" s="8">
        <f>IFERROR(__xludf.DUMMYFUNCTION("""COMPUTED_VALUE"""),0.0)</f>
        <v>0</v>
      </c>
      <c r="X249" s="8">
        <f>IFERROR(__xludf.DUMMYFUNCTION("""COMPUTED_VALUE"""),0.0)</f>
        <v>0</v>
      </c>
      <c r="Y249" s="8">
        <f>IFERROR(__xludf.DUMMYFUNCTION("""COMPUTED_VALUE"""),0.0)</f>
        <v>0</v>
      </c>
      <c r="Z249" s="8">
        <f>IFERROR(__xludf.DUMMYFUNCTION("""COMPUTED_VALUE"""),0.0)</f>
        <v>0</v>
      </c>
      <c r="AA249" s="8">
        <f>IFERROR(__xludf.DUMMYFUNCTION("""COMPUTED_VALUE"""),0.0)</f>
        <v>0</v>
      </c>
      <c r="AB249" s="8">
        <f>IFERROR(__xludf.DUMMYFUNCTION("""COMPUTED_VALUE"""),0.0)</f>
        <v>0</v>
      </c>
      <c r="AC249" s="8">
        <f>IFERROR(__xludf.DUMMYFUNCTION("""COMPUTED_VALUE"""),0.0)</f>
        <v>0</v>
      </c>
    </row>
    <row r="250" ht="15.75" customHeight="1">
      <c r="A250" s="6" t="str">
        <f>IFERROR(__xludf.DUMMYFUNCTION("""COMPUTED_VALUE"""),"e2f077e58449b7e3e415bd16eb5bb755606936b6")</f>
        <v>e2f077e58449b7e3e415bd16eb5bb755606936b6</v>
      </c>
      <c r="B250" s="6" t="str">
        <f>IFERROR(__xludf.DUMMYFUNCTION("""COMPUTED_VALUE"""),"Powerless Heir to Throne")</f>
        <v>Powerless Heir to Throne</v>
      </c>
      <c r="C250" s="6" t="str">
        <f>IFERROR(__xludf.DUMMYFUNCTION("""COMPUTED_VALUE"""),"System and Superpower")</f>
        <v>System and Superpower</v>
      </c>
      <c r="D250" s="11">
        <f>IFERROR(__xludf.DUMMYFUNCTION("""COMPUTED_VALUE"""),622.0)</f>
        <v>622</v>
      </c>
      <c r="E250" s="8">
        <f>IFERROR(__xludf.DUMMYFUNCTION("""COMPUTED_VALUE"""),0.959807073954983)</f>
        <v>0.959807074</v>
      </c>
      <c r="F250" s="8">
        <f>IFERROR(__xludf.DUMMYFUNCTION("""COMPUTED_VALUE"""),0.689210950080515)</f>
        <v>0.6892109501</v>
      </c>
      <c r="G250" s="8">
        <f>IFERROR(__xludf.DUMMYFUNCTION("""COMPUTED_VALUE"""),0.636070853462157)</f>
        <v>0.6360708535</v>
      </c>
      <c r="H250" s="8">
        <f>IFERROR(__xludf.DUMMYFUNCTION("""COMPUTED_VALUE"""),0.598387096774193)</f>
        <v>0.5983870968</v>
      </c>
      <c r="I250" s="8">
        <f>IFERROR(__xludf.DUMMYFUNCTION("""COMPUTED_VALUE"""),0.531502423263328)</f>
        <v>0.5315024233</v>
      </c>
      <c r="J250" s="8">
        <f>IFERROR(__xludf.DUMMYFUNCTION("""COMPUTED_VALUE"""),0.503246753246753)</f>
        <v>0.5032467532</v>
      </c>
      <c r="K250" s="8">
        <f>IFERROR(__xludf.DUMMYFUNCTION("""COMPUTED_VALUE"""),0.464285714285714)</f>
        <v>0.4642857143</v>
      </c>
      <c r="L250" s="8">
        <f>IFERROR(__xludf.DUMMYFUNCTION("""COMPUTED_VALUE"""),0.429967426710097)</f>
        <v>0.4299674267</v>
      </c>
      <c r="M250" s="8">
        <f>IFERROR(__xludf.DUMMYFUNCTION("""COMPUTED_VALUE"""),0.404567699836867)</f>
        <v>0.4045676998</v>
      </c>
      <c r="N250" s="8">
        <f>IFERROR(__xludf.DUMMYFUNCTION("""COMPUTED_VALUE"""),0.394779771615008)</f>
        <v>0.3947797716</v>
      </c>
      <c r="O250" s="8">
        <f>IFERROR(__xludf.DUMMYFUNCTION("""COMPUTED_VALUE"""),0.337726523887973)</f>
        <v>0.3377265239</v>
      </c>
      <c r="P250" s="8">
        <f>IFERROR(__xludf.DUMMYFUNCTION("""COMPUTED_VALUE"""),0.226130653266331)</f>
        <v>0.2261306533</v>
      </c>
      <c r="Q250" s="8">
        <f>IFERROR(__xludf.DUMMYFUNCTION("""COMPUTED_VALUE"""),0.126537785588752)</f>
        <v>0.1265377856</v>
      </c>
      <c r="R250" s="8">
        <f>IFERROR(__xludf.DUMMYFUNCTION("""COMPUTED_VALUE"""),0.0876865671641791)</f>
        <v>0.08768656716</v>
      </c>
      <c r="S250" s="8">
        <f>IFERROR(__xludf.DUMMYFUNCTION("""COMPUTED_VALUE"""),0.142857142857142)</f>
        <v>0.1428571429</v>
      </c>
      <c r="T250" s="8">
        <f>IFERROR(__xludf.DUMMYFUNCTION("""COMPUTED_VALUE"""),0.0)</f>
        <v>0</v>
      </c>
      <c r="U250" s="8">
        <f>IFERROR(__xludf.DUMMYFUNCTION("""COMPUTED_VALUE"""),0.0)</f>
        <v>0</v>
      </c>
      <c r="V250" s="8">
        <f>IFERROR(__xludf.DUMMYFUNCTION("""COMPUTED_VALUE"""),0.0)</f>
        <v>0</v>
      </c>
      <c r="W250" s="8">
        <f>IFERROR(__xludf.DUMMYFUNCTION("""COMPUTED_VALUE"""),0.0)</f>
        <v>0</v>
      </c>
      <c r="X250" s="8">
        <f>IFERROR(__xludf.DUMMYFUNCTION("""COMPUTED_VALUE"""),0.0)</f>
        <v>0</v>
      </c>
      <c r="Y250" s="8">
        <f>IFERROR(__xludf.DUMMYFUNCTION("""COMPUTED_VALUE"""),0.0)</f>
        <v>0</v>
      </c>
      <c r="Z250" s="8">
        <f>IFERROR(__xludf.DUMMYFUNCTION("""COMPUTED_VALUE"""),0.0)</f>
        <v>0</v>
      </c>
      <c r="AA250" s="8">
        <f>IFERROR(__xludf.DUMMYFUNCTION("""COMPUTED_VALUE"""),0.0)</f>
        <v>0</v>
      </c>
      <c r="AB250" s="8">
        <f>IFERROR(__xludf.DUMMYFUNCTION("""COMPUTED_VALUE"""),0.0)</f>
        <v>0</v>
      </c>
      <c r="AC250" s="8">
        <f>IFERROR(__xludf.DUMMYFUNCTION("""COMPUTED_VALUE"""),0.0)</f>
        <v>0</v>
      </c>
    </row>
    <row r="251" ht="15.75" customHeight="1">
      <c r="A251" s="6" t="str">
        <f>IFERROR(__xludf.DUMMYFUNCTION("""COMPUTED_VALUE"""),"e3ea22ad9a736918a7619bfed3abf1f862c9bdb2")</f>
        <v>e3ea22ad9a736918a7619bfed3abf1f862c9bdb2</v>
      </c>
      <c r="B251" s="6" t="str">
        <f>IFERROR(__xludf.DUMMYFUNCTION("""COMPUTED_VALUE"""),"The Empress's Cold Return")</f>
        <v>The Empress's Cold Return</v>
      </c>
      <c r="C251" s="6" t="str">
        <f>IFERROR(__xludf.DUMMYFUNCTION("""COMPUTED_VALUE"""),"Drama")</f>
        <v>Drama</v>
      </c>
      <c r="D251" s="11">
        <f>IFERROR(__xludf.DUMMYFUNCTION("""COMPUTED_VALUE"""),486.0)</f>
        <v>486</v>
      </c>
      <c r="E251" s="8">
        <f>IFERROR(__xludf.DUMMYFUNCTION("""COMPUTED_VALUE"""),0.975308641975308)</f>
        <v>0.975308642</v>
      </c>
      <c r="F251" s="8">
        <f>IFERROR(__xludf.DUMMYFUNCTION("""COMPUTED_VALUE"""),0.557613168724279)</f>
        <v>0.5576131687</v>
      </c>
      <c r="G251" s="8">
        <f>IFERROR(__xludf.DUMMYFUNCTION("""COMPUTED_VALUE"""),0.467078189300411)</f>
        <v>0.4670781893</v>
      </c>
      <c r="H251" s="8">
        <f>IFERROR(__xludf.DUMMYFUNCTION("""COMPUTED_VALUE"""),0.421810699588477)</f>
        <v>0.4218106996</v>
      </c>
      <c r="I251" s="8">
        <f>IFERROR(__xludf.DUMMYFUNCTION("""COMPUTED_VALUE"""),0.401234567901234)</f>
        <v>0.4012345679</v>
      </c>
      <c r="J251" s="8">
        <f>IFERROR(__xludf.DUMMYFUNCTION("""COMPUTED_VALUE"""),0.386831275720164)</f>
        <v>0.3868312757</v>
      </c>
      <c r="K251" s="8">
        <f>IFERROR(__xludf.DUMMYFUNCTION("""COMPUTED_VALUE"""),0.349794238683127)</f>
        <v>0.3497942387</v>
      </c>
      <c r="L251" s="8">
        <f>IFERROR(__xludf.DUMMYFUNCTION("""COMPUTED_VALUE"""),0.362139917695473)</f>
        <v>0.3621399177</v>
      </c>
      <c r="M251" s="8">
        <f>IFERROR(__xludf.DUMMYFUNCTION("""COMPUTED_VALUE"""),0.316872427983539)</f>
        <v>0.316872428</v>
      </c>
      <c r="N251" s="8">
        <f>IFERROR(__xludf.DUMMYFUNCTION("""COMPUTED_VALUE"""),0.31275720164609)</f>
        <v>0.3127572016</v>
      </c>
      <c r="O251" s="8">
        <f>IFERROR(__xludf.DUMMYFUNCTION("""COMPUTED_VALUE"""),0.252066115702479)</f>
        <v>0.2520661157</v>
      </c>
      <c r="P251" s="8">
        <f>IFERROR(__xludf.DUMMYFUNCTION("""COMPUTED_VALUE"""),0.176842105263157)</f>
        <v>0.1768421053</v>
      </c>
      <c r="Q251" s="8">
        <f>IFERROR(__xludf.DUMMYFUNCTION("""COMPUTED_VALUE"""),0.0842572062084257)</f>
        <v>0.08425720621</v>
      </c>
      <c r="R251" s="8">
        <f>IFERROR(__xludf.DUMMYFUNCTION("""COMPUTED_VALUE"""),0.0428571428571428)</f>
        <v>0.04285714286</v>
      </c>
      <c r="S251" s="8">
        <f>IFERROR(__xludf.DUMMYFUNCTION("""COMPUTED_VALUE"""),0.0)</f>
        <v>0</v>
      </c>
      <c r="T251" s="8">
        <f>IFERROR(__xludf.DUMMYFUNCTION("""COMPUTED_VALUE"""),0.0)</f>
        <v>0</v>
      </c>
      <c r="U251" s="8">
        <f>IFERROR(__xludf.DUMMYFUNCTION("""COMPUTED_VALUE"""),0.0)</f>
        <v>0</v>
      </c>
      <c r="V251" s="8">
        <f>IFERROR(__xludf.DUMMYFUNCTION("""COMPUTED_VALUE"""),0.0)</f>
        <v>0</v>
      </c>
      <c r="W251" s="8">
        <f>IFERROR(__xludf.DUMMYFUNCTION("""COMPUTED_VALUE"""),0.0)</f>
        <v>0</v>
      </c>
      <c r="X251" s="8">
        <f>IFERROR(__xludf.DUMMYFUNCTION("""COMPUTED_VALUE"""),0.0)</f>
        <v>0</v>
      </c>
      <c r="Y251" s="8">
        <f>IFERROR(__xludf.DUMMYFUNCTION("""COMPUTED_VALUE"""),0.0)</f>
        <v>0</v>
      </c>
      <c r="Z251" s="8">
        <f>IFERROR(__xludf.DUMMYFUNCTION("""COMPUTED_VALUE"""),0.0)</f>
        <v>0</v>
      </c>
      <c r="AA251" s="8">
        <f>IFERROR(__xludf.DUMMYFUNCTION("""COMPUTED_VALUE"""),0.0)</f>
        <v>0</v>
      </c>
      <c r="AB251" s="8">
        <f>IFERROR(__xludf.DUMMYFUNCTION("""COMPUTED_VALUE"""),0.0)</f>
        <v>0</v>
      </c>
      <c r="AC251" s="8">
        <f>IFERROR(__xludf.DUMMYFUNCTION("""COMPUTED_VALUE"""),0.0)</f>
        <v>0</v>
      </c>
    </row>
    <row r="252" ht="15.75" customHeight="1">
      <c r="A252" s="6" t="str">
        <f>IFERROR(__xludf.DUMMYFUNCTION("""COMPUTED_VALUE"""),"e40505b31ca87f2f6b736e3f18b3e9f46e21cd04")</f>
        <v>e40505b31ca87f2f6b736e3f18b3e9f46e21cd04</v>
      </c>
      <c r="B252" s="6" t="str">
        <f>IFERROR(__xludf.DUMMYFUNCTION("""COMPUTED_VALUE"""),"My Dragonic System")</f>
        <v>My Dragonic System</v>
      </c>
      <c r="C252" s="6" t="str">
        <f>IFERROR(__xludf.DUMMYFUNCTION("""COMPUTED_VALUE"""),"System and Superpower")</f>
        <v>System and Superpower</v>
      </c>
      <c r="D252" s="11">
        <f>IFERROR(__xludf.DUMMYFUNCTION("""COMPUTED_VALUE"""),23279.0)</f>
        <v>23279</v>
      </c>
      <c r="E252" s="8">
        <f>IFERROR(__xludf.DUMMYFUNCTION("""COMPUTED_VALUE"""),0.961831076724693)</f>
        <v>0.9618310767</v>
      </c>
      <c r="F252" s="8">
        <f>IFERROR(__xludf.DUMMYFUNCTION("""COMPUTED_VALUE"""),0.629360089570235)</f>
        <v>0.6293600896</v>
      </c>
      <c r="G252" s="8">
        <f>IFERROR(__xludf.DUMMYFUNCTION("""COMPUTED_VALUE"""),0.57877952077228)</f>
        <v>0.5787795208</v>
      </c>
      <c r="H252" s="8">
        <f>IFERROR(__xludf.DUMMYFUNCTION("""COMPUTED_VALUE"""),0.54197450853316)</f>
        <v>0.5419745085</v>
      </c>
      <c r="I252" s="8">
        <f>IFERROR(__xludf.DUMMYFUNCTION("""COMPUTED_VALUE"""),0.522386122766795)</f>
        <v>0.5223861228</v>
      </c>
      <c r="J252" s="8">
        <f>IFERROR(__xludf.DUMMYFUNCTION("""COMPUTED_VALUE"""),0.504811443433029)</f>
        <v>0.5048114434</v>
      </c>
      <c r="K252" s="8">
        <f>IFERROR(__xludf.DUMMYFUNCTION("""COMPUTED_VALUE"""),0.486325750998437)</f>
        <v>0.486325751</v>
      </c>
      <c r="L252" s="8">
        <f>IFERROR(__xludf.DUMMYFUNCTION("""COMPUTED_VALUE"""),0.474511340385703)</f>
        <v>0.4745113404</v>
      </c>
      <c r="M252" s="8">
        <f>IFERROR(__xludf.DUMMYFUNCTION("""COMPUTED_VALUE"""),0.461743383701633)</f>
        <v>0.4617433837</v>
      </c>
      <c r="N252" s="8">
        <f>IFERROR(__xludf.DUMMYFUNCTION("""COMPUTED_VALUE"""),0.450645655504486)</f>
        <v>0.4506456555</v>
      </c>
      <c r="O252" s="8">
        <f>IFERROR(__xludf.DUMMYFUNCTION("""COMPUTED_VALUE"""),0.424720491404834)</f>
        <v>0.4247204914</v>
      </c>
      <c r="P252" s="8">
        <f>IFERROR(__xludf.DUMMYFUNCTION("""COMPUTED_VALUE"""),0.364004416635995)</f>
        <v>0.3640044166</v>
      </c>
      <c r="Q252" s="8">
        <f>IFERROR(__xludf.DUMMYFUNCTION("""COMPUTED_VALUE"""),0.292817950225357)</f>
        <v>0.2928179502</v>
      </c>
      <c r="R252" s="8">
        <f>IFERROR(__xludf.DUMMYFUNCTION("""COMPUTED_VALUE"""),0.24647681422139)</f>
        <v>0.2464768142</v>
      </c>
      <c r="S252" s="8">
        <f>IFERROR(__xludf.DUMMYFUNCTION("""COMPUTED_VALUE"""),0.202372328866352)</f>
        <v>0.2023723289</v>
      </c>
      <c r="T252" s="8">
        <f>IFERROR(__xludf.DUMMYFUNCTION("""COMPUTED_VALUE"""),0.148052618003611)</f>
        <v>0.148052618</v>
      </c>
      <c r="U252" s="8">
        <f>IFERROR(__xludf.DUMMYFUNCTION("""COMPUTED_VALUE"""),0.110087517273146)</f>
        <v>0.1100875173</v>
      </c>
      <c r="V252" s="8">
        <f>IFERROR(__xludf.DUMMYFUNCTION("""COMPUTED_VALUE"""),0.0)</f>
        <v>0</v>
      </c>
      <c r="W252" s="8">
        <f>IFERROR(__xludf.DUMMYFUNCTION("""COMPUTED_VALUE"""),0.0)</f>
        <v>0</v>
      </c>
      <c r="X252" s="8">
        <f>IFERROR(__xludf.DUMMYFUNCTION("""COMPUTED_VALUE"""),0.0)</f>
        <v>0</v>
      </c>
      <c r="Y252" s="8">
        <f>IFERROR(__xludf.DUMMYFUNCTION("""COMPUTED_VALUE"""),0.0)</f>
        <v>0</v>
      </c>
      <c r="Z252" s="8">
        <f>IFERROR(__xludf.DUMMYFUNCTION("""COMPUTED_VALUE"""),0.0)</f>
        <v>0</v>
      </c>
      <c r="AA252" s="8">
        <f>IFERROR(__xludf.DUMMYFUNCTION("""COMPUTED_VALUE"""),0.0)</f>
        <v>0</v>
      </c>
      <c r="AB252" s="8">
        <f>IFERROR(__xludf.DUMMYFUNCTION("""COMPUTED_VALUE"""),0.0)</f>
        <v>0</v>
      </c>
      <c r="AC252" s="8">
        <f>IFERROR(__xludf.DUMMYFUNCTION("""COMPUTED_VALUE"""),0.0)</f>
        <v>0</v>
      </c>
    </row>
    <row r="253" ht="15.75" customHeight="1">
      <c r="A253" s="6" t="str">
        <f>IFERROR(__xludf.DUMMYFUNCTION("""COMPUTED_VALUE"""),"e5b71f4b40481cb15ce33532df56be566352534e")</f>
        <v>e5b71f4b40481cb15ce33532df56be566352534e</v>
      </c>
      <c r="B253" s="6" t="str">
        <f>IFERROR(__xludf.DUMMYFUNCTION("""COMPUTED_VALUE"""),"Rewind and Rise")</f>
        <v>Rewind and Rise</v>
      </c>
      <c r="C253" s="6" t="str">
        <f>IFERROR(__xludf.DUMMYFUNCTION("""COMPUTED_VALUE"""),"Romantasy")</f>
        <v>Romantasy</v>
      </c>
      <c r="D253" s="11">
        <f>IFERROR(__xludf.DUMMYFUNCTION("""COMPUTED_VALUE"""),137.0)</f>
        <v>137</v>
      </c>
      <c r="E253" s="8">
        <f>IFERROR(__xludf.DUMMYFUNCTION("""COMPUTED_VALUE"""),0.968253968253968)</f>
        <v>0.9682539683</v>
      </c>
      <c r="F253" s="8">
        <f>IFERROR(__xludf.DUMMYFUNCTION("""COMPUTED_VALUE"""),0.773584905660377)</f>
        <v>0.7735849057</v>
      </c>
      <c r="G253" s="8">
        <f>IFERROR(__xludf.DUMMYFUNCTION("""COMPUTED_VALUE"""),0.666666666666666)</f>
        <v>0.6666666667</v>
      </c>
      <c r="H253" s="8">
        <f>IFERROR(__xludf.DUMMYFUNCTION("""COMPUTED_VALUE"""),0.617283950617283)</f>
        <v>0.6172839506</v>
      </c>
      <c r="I253" s="8">
        <f>IFERROR(__xludf.DUMMYFUNCTION("""COMPUTED_VALUE"""),0.594936708860759)</f>
        <v>0.5949367089</v>
      </c>
      <c r="J253" s="8">
        <f>IFERROR(__xludf.DUMMYFUNCTION("""COMPUTED_VALUE"""),0.56338028169014)</f>
        <v>0.5633802817</v>
      </c>
      <c r="K253" s="8">
        <f>IFERROR(__xludf.DUMMYFUNCTION("""COMPUTED_VALUE"""),0.553846153846153)</f>
        <v>0.5538461538</v>
      </c>
      <c r="L253" s="8">
        <f>IFERROR(__xludf.DUMMYFUNCTION("""COMPUTED_VALUE"""),0.526315789473684)</f>
        <v>0.5263157895</v>
      </c>
      <c r="M253" s="8">
        <f>IFERROR(__xludf.DUMMYFUNCTION("""COMPUTED_VALUE"""),0.44)</f>
        <v>0.44</v>
      </c>
      <c r="N253" s="8">
        <f>IFERROR(__xludf.DUMMYFUNCTION("""COMPUTED_VALUE"""),0.457142857142857)</f>
        <v>0.4571428571</v>
      </c>
      <c r="O253" s="8">
        <f>IFERROR(__xludf.DUMMYFUNCTION("""COMPUTED_VALUE"""),0.5)</f>
        <v>0.5</v>
      </c>
      <c r="P253" s="8">
        <f>IFERROR(__xludf.DUMMYFUNCTION("""COMPUTED_VALUE"""),0.166666666666666)</f>
        <v>0.1666666667</v>
      </c>
      <c r="Q253" s="8">
        <f>IFERROR(__xludf.DUMMYFUNCTION("""COMPUTED_VALUE"""),0.0)</f>
        <v>0</v>
      </c>
      <c r="R253" s="8">
        <f>IFERROR(__xludf.DUMMYFUNCTION("""COMPUTED_VALUE"""),0.0)</f>
        <v>0</v>
      </c>
      <c r="S253" s="8">
        <f>IFERROR(__xludf.DUMMYFUNCTION("""COMPUTED_VALUE"""),0.0)</f>
        <v>0</v>
      </c>
      <c r="T253" s="8">
        <f>IFERROR(__xludf.DUMMYFUNCTION("""COMPUTED_VALUE"""),0.0)</f>
        <v>0</v>
      </c>
      <c r="U253" s="8">
        <f>IFERROR(__xludf.DUMMYFUNCTION("""COMPUTED_VALUE"""),0.0)</f>
        <v>0</v>
      </c>
      <c r="V253" s="8">
        <f>IFERROR(__xludf.DUMMYFUNCTION("""COMPUTED_VALUE"""),0.0)</f>
        <v>0</v>
      </c>
      <c r="W253" s="8">
        <f>IFERROR(__xludf.DUMMYFUNCTION("""COMPUTED_VALUE"""),0.0)</f>
        <v>0</v>
      </c>
      <c r="X253" s="8">
        <f>IFERROR(__xludf.DUMMYFUNCTION("""COMPUTED_VALUE"""),0.0)</f>
        <v>0</v>
      </c>
      <c r="Y253" s="8">
        <f>IFERROR(__xludf.DUMMYFUNCTION("""COMPUTED_VALUE"""),0.0)</f>
        <v>0</v>
      </c>
      <c r="Z253" s="8">
        <f>IFERROR(__xludf.DUMMYFUNCTION("""COMPUTED_VALUE"""),0.0)</f>
        <v>0</v>
      </c>
      <c r="AA253" s="8">
        <f>IFERROR(__xludf.DUMMYFUNCTION("""COMPUTED_VALUE"""),0.0)</f>
        <v>0</v>
      </c>
      <c r="AB253" s="8">
        <f>IFERROR(__xludf.DUMMYFUNCTION("""COMPUTED_VALUE"""),0.0)</f>
        <v>0</v>
      </c>
      <c r="AC253" s="8">
        <f>IFERROR(__xludf.DUMMYFUNCTION("""COMPUTED_VALUE"""),0.0)</f>
        <v>0</v>
      </c>
    </row>
    <row r="254" ht="15.75" customHeight="1">
      <c r="A254" s="6" t="str">
        <f>IFERROR(__xludf.DUMMYFUNCTION("""COMPUTED_VALUE"""),"e79ceb682265a42fb44c988f861c20672776f19d")</f>
        <v>e79ceb682265a42fb44c988f861c20672776f19d</v>
      </c>
      <c r="B254" s="6" t="str">
        <f>IFERROR(__xludf.DUMMYFUNCTION("""COMPUTED_VALUE"""),"Faction of Unity: Wyrmara")</f>
        <v>Faction of Unity: Wyrmara</v>
      </c>
      <c r="C254" s="6" t="str">
        <f>IFERROR(__xludf.DUMMYFUNCTION("""COMPUTED_VALUE"""),"Fantasy")</f>
        <v>Fantasy</v>
      </c>
      <c r="D254" s="11">
        <f>IFERROR(__xludf.DUMMYFUNCTION("""COMPUTED_VALUE"""),40.0)</f>
        <v>40</v>
      </c>
      <c r="E254" s="8">
        <f>IFERROR(__xludf.DUMMYFUNCTION("""COMPUTED_VALUE"""),0.975)</f>
        <v>0.975</v>
      </c>
      <c r="F254" s="8">
        <f>IFERROR(__xludf.DUMMYFUNCTION("""COMPUTED_VALUE"""),0.475)</f>
        <v>0.475</v>
      </c>
      <c r="G254" s="8">
        <f>IFERROR(__xludf.DUMMYFUNCTION("""COMPUTED_VALUE"""),0.4)</f>
        <v>0.4</v>
      </c>
      <c r="H254" s="8">
        <f>IFERROR(__xludf.DUMMYFUNCTION("""COMPUTED_VALUE"""),0.375)</f>
        <v>0.375</v>
      </c>
      <c r="I254" s="8">
        <f>IFERROR(__xludf.DUMMYFUNCTION("""COMPUTED_VALUE"""),0.375)</f>
        <v>0.375</v>
      </c>
      <c r="J254" s="8">
        <f>IFERROR(__xludf.DUMMYFUNCTION("""COMPUTED_VALUE"""),0.35)</f>
        <v>0.35</v>
      </c>
      <c r="K254" s="8">
        <f>IFERROR(__xludf.DUMMYFUNCTION("""COMPUTED_VALUE"""),0.3)</f>
        <v>0.3</v>
      </c>
      <c r="L254" s="8">
        <f>IFERROR(__xludf.DUMMYFUNCTION("""COMPUTED_VALUE"""),0.282051282051282)</f>
        <v>0.2820512821</v>
      </c>
      <c r="M254" s="8">
        <f>IFERROR(__xludf.DUMMYFUNCTION("""COMPUTED_VALUE"""),0.282051282051282)</f>
        <v>0.2820512821</v>
      </c>
      <c r="N254" s="8">
        <f>IFERROR(__xludf.DUMMYFUNCTION("""COMPUTED_VALUE"""),0.282051282051282)</f>
        <v>0.2820512821</v>
      </c>
      <c r="O254" s="8">
        <f>IFERROR(__xludf.DUMMYFUNCTION("""COMPUTED_VALUE"""),0.162162162162162)</f>
        <v>0.1621621622</v>
      </c>
      <c r="P254" s="8">
        <f>IFERROR(__xludf.DUMMYFUNCTION("""COMPUTED_VALUE"""),0.0357142857142857)</f>
        <v>0.03571428571</v>
      </c>
      <c r="Q254" s="8">
        <f>IFERROR(__xludf.DUMMYFUNCTION("""COMPUTED_VALUE"""),0.0)</f>
        <v>0</v>
      </c>
      <c r="R254" s="8">
        <f>IFERROR(__xludf.DUMMYFUNCTION("""COMPUTED_VALUE"""),0.0)</f>
        <v>0</v>
      </c>
      <c r="S254" s="8">
        <f>IFERROR(__xludf.DUMMYFUNCTION("""COMPUTED_VALUE"""),0.0)</f>
        <v>0</v>
      </c>
      <c r="T254" s="8">
        <f>IFERROR(__xludf.DUMMYFUNCTION("""COMPUTED_VALUE"""),0.0)</f>
        <v>0</v>
      </c>
      <c r="U254" s="8">
        <f>IFERROR(__xludf.DUMMYFUNCTION("""COMPUTED_VALUE"""),0.0)</f>
        <v>0</v>
      </c>
      <c r="V254" s="8">
        <f>IFERROR(__xludf.DUMMYFUNCTION("""COMPUTED_VALUE"""),0.0)</f>
        <v>0</v>
      </c>
      <c r="W254" s="8">
        <f>IFERROR(__xludf.DUMMYFUNCTION("""COMPUTED_VALUE"""),0.0)</f>
        <v>0</v>
      </c>
      <c r="X254" s="8">
        <f>IFERROR(__xludf.DUMMYFUNCTION("""COMPUTED_VALUE"""),0.0)</f>
        <v>0</v>
      </c>
      <c r="Y254" s="8">
        <f>IFERROR(__xludf.DUMMYFUNCTION("""COMPUTED_VALUE"""),0.0)</f>
        <v>0</v>
      </c>
      <c r="Z254" s="8">
        <f>IFERROR(__xludf.DUMMYFUNCTION("""COMPUTED_VALUE"""),0.0)</f>
        <v>0</v>
      </c>
      <c r="AA254" s="8">
        <f>IFERROR(__xludf.DUMMYFUNCTION("""COMPUTED_VALUE"""),0.0)</f>
        <v>0</v>
      </c>
      <c r="AB254" s="8">
        <f>IFERROR(__xludf.DUMMYFUNCTION("""COMPUTED_VALUE"""),0.0)</f>
        <v>0</v>
      </c>
      <c r="AC254" s="8">
        <f>IFERROR(__xludf.DUMMYFUNCTION("""COMPUTED_VALUE"""),0.0)</f>
        <v>0</v>
      </c>
    </row>
    <row r="255" ht="15.75" customHeight="1">
      <c r="A255" s="6" t="str">
        <f>IFERROR(__xludf.DUMMYFUNCTION("""COMPUTED_VALUE"""),"e7a3ee79841762542e0eb645666b039c707001f5")</f>
        <v>e7a3ee79841762542e0eb645666b039c707001f5</v>
      </c>
      <c r="B255" s="6" t="str">
        <f>IFERROR(__xludf.DUMMYFUNCTION("""COMPUTED_VALUE"""),"Masked Prince's Princess")</f>
        <v>Masked Prince's Princess</v>
      </c>
      <c r="C255" s="6" t="str">
        <f>IFERROR(__xludf.DUMMYFUNCTION("""COMPUTED_VALUE"""),"Romance")</f>
        <v>Romance</v>
      </c>
      <c r="D255" s="11">
        <f>IFERROR(__xludf.DUMMYFUNCTION("""COMPUTED_VALUE"""),658.0)</f>
        <v>658</v>
      </c>
      <c r="E255" s="8">
        <f>IFERROR(__xludf.DUMMYFUNCTION("""COMPUTED_VALUE"""),0.967741935483871)</f>
        <v>0.9677419355</v>
      </c>
      <c r="F255" s="8">
        <f>IFERROR(__xludf.DUMMYFUNCTION("""COMPUTED_VALUE"""),0.602484472049689)</f>
        <v>0.602484472</v>
      </c>
      <c r="G255" s="8">
        <f>IFERROR(__xludf.DUMMYFUNCTION("""COMPUTED_VALUE"""),0.545171339563862)</f>
        <v>0.5451713396</v>
      </c>
      <c r="H255" s="8">
        <f>IFERROR(__xludf.DUMMYFUNCTION("""COMPUTED_VALUE"""),0.502354788069073)</f>
        <v>0.5023547881</v>
      </c>
      <c r="I255" s="8">
        <f>IFERROR(__xludf.DUMMYFUNCTION("""COMPUTED_VALUE"""),0.471608832807571)</f>
        <v>0.4716088328</v>
      </c>
      <c r="J255" s="8">
        <f>IFERROR(__xludf.DUMMYFUNCTION("""COMPUTED_VALUE"""),0.455555555555555)</f>
        <v>0.4555555556</v>
      </c>
      <c r="K255" s="8">
        <f>IFERROR(__xludf.DUMMYFUNCTION("""COMPUTED_VALUE"""),0.451043338683788)</f>
        <v>0.4510433387</v>
      </c>
      <c r="L255" s="8">
        <f>IFERROR(__xludf.DUMMYFUNCTION("""COMPUTED_VALUE"""),0.426494345718901)</f>
        <v>0.4264943457</v>
      </c>
      <c r="M255" s="8">
        <f>IFERROR(__xludf.DUMMYFUNCTION("""COMPUTED_VALUE"""),0.409385113268608)</f>
        <v>0.4093851133</v>
      </c>
      <c r="N255" s="8">
        <f>IFERROR(__xludf.DUMMYFUNCTION("""COMPUTED_VALUE"""),0.389250814332247)</f>
        <v>0.3892508143</v>
      </c>
      <c r="O255" s="8">
        <f>IFERROR(__xludf.DUMMYFUNCTION("""COMPUTED_VALUE"""),0.370805369127516)</f>
        <v>0.3708053691</v>
      </c>
      <c r="P255" s="8">
        <f>IFERROR(__xludf.DUMMYFUNCTION("""COMPUTED_VALUE"""),0.310996563573883)</f>
        <v>0.3109965636</v>
      </c>
      <c r="Q255" s="8">
        <f>IFERROR(__xludf.DUMMYFUNCTION("""COMPUTED_VALUE"""),0.240282685512367)</f>
        <v>0.2402826855</v>
      </c>
      <c r="R255" s="8">
        <f>IFERROR(__xludf.DUMMYFUNCTION("""COMPUTED_VALUE"""),0.213740458015267)</f>
        <v>0.213740458</v>
      </c>
      <c r="S255" s="8">
        <f>IFERROR(__xludf.DUMMYFUNCTION("""COMPUTED_VALUE"""),0.0925925925925925)</f>
        <v>0.09259259259</v>
      </c>
      <c r="T255" s="8">
        <f>IFERROR(__xludf.DUMMYFUNCTION("""COMPUTED_VALUE"""),0.0)</f>
        <v>0</v>
      </c>
      <c r="U255" s="8">
        <f>IFERROR(__xludf.DUMMYFUNCTION("""COMPUTED_VALUE"""),0.0)</f>
        <v>0</v>
      </c>
      <c r="V255" s="8">
        <f>IFERROR(__xludf.DUMMYFUNCTION("""COMPUTED_VALUE"""),0.0)</f>
        <v>0</v>
      </c>
      <c r="W255" s="8">
        <f>IFERROR(__xludf.DUMMYFUNCTION("""COMPUTED_VALUE"""),0.0)</f>
        <v>0</v>
      </c>
      <c r="X255" s="8">
        <f>IFERROR(__xludf.DUMMYFUNCTION("""COMPUTED_VALUE"""),0.0)</f>
        <v>0</v>
      </c>
      <c r="Y255" s="8">
        <f>IFERROR(__xludf.DUMMYFUNCTION("""COMPUTED_VALUE"""),0.0)</f>
        <v>0</v>
      </c>
      <c r="Z255" s="8">
        <f>IFERROR(__xludf.DUMMYFUNCTION("""COMPUTED_VALUE"""),0.0)</f>
        <v>0</v>
      </c>
      <c r="AA255" s="8">
        <f>IFERROR(__xludf.DUMMYFUNCTION("""COMPUTED_VALUE"""),0.0)</f>
        <v>0</v>
      </c>
      <c r="AB255" s="8">
        <f>IFERROR(__xludf.DUMMYFUNCTION("""COMPUTED_VALUE"""),0.0)</f>
        <v>0</v>
      </c>
      <c r="AC255" s="8">
        <f>IFERROR(__xludf.DUMMYFUNCTION("""COMPUTED_VALUE"""),0.0)</f>
        <v>0</v>
      </c>
    </row>
    <row r="256" ht="15.75" customHeight="1">
      <c r="A256" s="6" t="str">
        <f>IFERROR(__xludf.DUMMYFUNCTION("""COMPUTED_VALUE"""),"e835267a1c9909e759d530cea3d17b5999d86761")</f>
        <v>e835267a1c9909e759d530cea3d17b5999d86761</v>
      </c>
      <c r="B256" s="6" t="str">
        <f>IFERROR(__xludf.DUMMYFUNCTION("""COMPUTED_VALUE"""),"Her Lightness System")</f>
        <v>Her Lightness System</v>
      </c>
      <c r="C256" s="6" t="str">
        <f>IFERROR(__xludf.DUMMYFUNCTION("""COMPUTED_VALUE"""),"System and Superpower")</f>
        <v>System and Superpower</v>
      </c>
      <c r="D256" s="11">
        <f>IFERROR(__xludf.DUMMYFUNCTION("""COMPUTED_VALUE"""),265.0)</f>
        <v>265</v>
      </c>
      <c r="E256" s="8">
        <f>IFERROR(__xludf.DUMMYFUNCTION("""COMPUTED_VALUE"""),0.96414342629482)</f>
        <v>0.9641434263</v>
      </c>
      <c r="F256" s="8">
        <f>IFERROR(__xludf.DUMMYFUNCTION("""COMPUTED_VALUE"""),0.652360515021459)</f>
        <v>0.652360515</v>
      </c>
      <c r="G256" s="8">
        <f>IFERROR(__xludf.DUMMYFUNCTION("""COMPUTED_VALUE"""),0.599078341013824)</f>
        <v>0.599078341</v>
      </c>
      <c r="H256" s="8">
        <f>IFERROR(__xludf.DUMMYFUNCTION("""COMPUTED_VALUE"""),0.626315789473684)</f>
        <v>0.6263157895</v>
      </c>
      <c r="I256" s="8">
        <f>IFERROR(__xludf.DUMMYFUNCTION("""COMPUTED_VALUE"""),0.565217391304347)</f>
        <v>0.5652173913</v>
      </c>
      <c r="J256" s="8">
        <f>IFERROR(__xludf.DUMMYFUNCTION("""COMPUTED_VALUE"""),0.491017964071856)</f>
        <v>0.4910179641</v>
      </c>
      <c r="K256" s="8">
        <f>IFERROR(__xludf.DUMMYFUNCTION("""COMPUTED_VALUE"""),0.460122699386503)</f>
        <v>0.4601226994</v>
      </c>
      <c r="L256" s="8">
        <f>IFERROR(__xludf.DUMMYFUNCTION("""COMPUTED_VALUE"""),0.407894736842105)</f>
        <v>0.4078947368</v>
      </c>
      <c r="M256" s="8">
        <f>IFERROR(__xludf.DUMMYFUNCTION("""COMPUTED_VALUE"""),0.369127516778523)</f>
        <v>0.3691275168</v>
      </c>
      <c r="N256" s="8">
        <f>IFERROR(__xludf.DUMMYFUNCTION("""COMPUTED_VALUE"""),0.373239436619718)</f>
        <v>0.3732394366</v>
      </c>
      <c r="O256" s="8">
        <f>IFERROR(__xludf.DUMMYFUNCTION("""COMPUTED_VALUE"""),0.328)</f>
        <v>0.328</v>
      </c>
      <c r="P256" s="8">
        <f>IFERROR(__xludf.DUMMYFUNCTION("""COMPUTED_VALUE"""),0.184)</f>
        <v>0.184</v>
      </c>
      <c r="Q256" s="8">
        <f>IFERROR(__xludf.DUMMYFUNCTION("""COMPUTED_VALUE"""),0.103448275862068)</f>
        <v>0.1034482759</v>
      </c>
      <c r="R256" s="8">
        <f>IFERROR(__xludf.DUMMYFUNCTION("""COMPUTED_VALUE"""),0.0649350649350649)</f>
        <v>0.06493506494</v>
      </c>
      <c r="S256" s="8">
        <f>IFERROR(__xludf.DUMMYFUNCTION("""COMPUTED_VALUE"""),0.0)</f>
        <v>0</v>
      </c>
      <c r="T256" s="8">
        <f>IFERROR(__xludf.DUMMYFUNCTION("""COMPUTED_VALUE"""),0.0)</f>
        <v>0</v>
      </c>
      <c r="U256" s="8">
        <f>IFERROR(__xludf.DUMMYFUNCTION("""COMPUTED_VALUE"""),0.0)</f>
        <v>0</v>
      </c>
      <c r="V256" s="8">
        <f>IFERROR(__xludf.DUMMYFUNCTION("""COMPUTED_VALUE"""),0.0)</f>
        <v>0</v>
      </c>
      <c r="W256" s="8">
        <f>IFERROR(__xludf.DUMMYFUNCTION("""COMPUTED_VALUE"""),0.0)</f>
        <v>0</v>
      </c>
      <c r="X256" s="8">
        <f>IFERROR(__xludf.DUMMYFUNCTION("""COMPUTED_VALUE"""),0.0)</f>
        <v>0</v>
      </c>
      <c r="Y256" s="8">
        <f>IFERROR(__xludf.DUMMYFUNCTION("""COMPUTED_VALUE"""),0.0)</f>
        <v>0</v>
      </c>
      <c r="Z256" s="8">
        <f>IFERROR(__xludf.DUMMYFUNCTION("""COMPUTED_VALUE"""),0.0)</f>
        <v>0</v>
      </c>
      <c r="AA256" s="8">
        <f>IFERROR(__xludf.DUMMYFUNCTION("""COMPUTED_VALUE"""),0.0)</f>
        <v>0</v>
      </c>
      <c r="AB256" s="8">
        <f>IFERROR(__xludf.DUMMYFUNCTION("""COMPUTED_VALUE"""),0.0)</f>
        <v>0</v>
      </c>
      <c r="AC256" s="8">
        <f>IFERROR(__xludf.DUMMYFUNCTION("""COMPUTED_VALUE"""),0.0)</f>
        <v>0</v>
      </c>
    </row>
    <row r="257" ht="15.75" customHeight="1">
      <c r="A257" s="6" t="str">
        <f>IFERROR(__xludf.DUMMYFUNCTION("""COMPUTED_VALUE"""),"e83bb9290a73242b13db9a4453b23f1b0ca9fed0")</f>
        <v>e83bb9290a73242b13db9a4453b23f1b0ca9fed0</v>
      </c>
      <c r="B257" s="6" t="str">
        <f>IFERROR(__xludf.DUMMYFUNCTION("""COMPUTED_VALUE"""),"The Baby He Denied")</f>
        <v>The Baby He Denied</v>
      </c>
      <c r="C257" s="6" t="str">
        <f>IFERROR(__xludf.DUMMYFUNCTION("""COMPUTED_VALUE"""),"Romance")</f>
        <v>Romance</v>
      </c>
      <c r="D257" s="11">
        <f>IFERROR(__xludf.DUMMYFUNCTION("""COMPUTED_VALUE"""),1317.0)</f>
        <v>1317</v>
      </c>
      <c r="E257" s="8">
        <f>IFERROR(__xludf.DUMMYFUNCTION("""COMPUTED_VALUE"""),0.968109339407744)</f>
        <v>0.9681093394</v>
      </c>
      <c r="F257" s="8">
        <f>IFERROR(__xludf.DUMMYFUNCTION("""COMPUTED_VALUE"""),0.749809885931559)</f>
        <v>0.7498098859</v>
      </c>
      <c r="G257" s="8">
        <f>IFERROR(__xludf.DUMMYFUNCTION("""COMPUTED_VALUE"""),0.680365296803653)</f>
        <v>0.6803652968</v>
      </c>
      <c r="H257" s="8">
        <f>IFERROR(__xludf.DUMMYFUNCTION("""COMPUTED_VALUE"""),0.615677321156773)</f>
        <v>0.6156773212</v>
      </c>
      <c r="I257" s="8">
        <f>IFERROR(__xludf.DUMMYFUNCTION("""COMPUTED_VALUE"""),0.609291698400609)</f>
        <v>0.6092916984</v>
      </c>
      <c r="J257" s="8">
        <f>IFERROR(__xludf.DUMMYFUNCTION("""COMPUTED_VALUE"""),0.573495811119573)</f>
        <v>0.5734958111</v>
      </c>
      <c r="K257" s="8">
        <f>IFERROR(__xludf.DUMMYFUNCTION("""COMPUTED_VALUE"""),0.522103658536585)</f>
        <v>0.5221036585</v>
      </c>
      <c r="L257" s="8">
        <f>IFERROR(__xludf.DUMMYFUNCTION("""COMPUTED_VALUE"""),0.474446987032799)</f>
        <v>0.474446987</v>
      </c>
      <c r="M257" s="8">
        <f>IFERROR(__xludf.DUMMYFUNCTION("""COMPUTED_VALUE"""),0.455309396485867)</f>
        <v>0.4553093965</v>
      </c>
      <c r="N257" s="8">
        <f>IFERROR(__xludf.DUMMYFUNCTION("""COMPUTED_VALUE"""),0.418515684774292)</f>
        <v>0.4185156848</v>
      </c>
      <c r="O257" s="8">
        <f>IFERROR(__xludf.DUMMYFUNCTION("""COMPUTED_VALUE"""),0.347190146266358)</f>
        <v>0.3471901463</v>
      </c>
      <c r="P257" s="8">
        <f>IFERROR(__xludf.DUMMYFUNCTION("""COMPUTED_VALUE"""),0.289308176100628)</f>
        <v>0.2893081761</v>
      </c>
      <c r="Q257" s="8">
        <f>IFERROR(__xludf.DUMMYFUNCTION("""COMPUTED_VALUE"""),0.131313131313131)</f>
        <v>0.1313131313</v>
      </c>
      <c r="R257" s="8">
        <f>IFERROR(__xludf.DUMMYFUNCTION("""COMPUTED_VALUE"""),0.0491803278688524)</f>
        <v>0.04918032787</v>
      </c>
      <c r="S257" s="8">
        <f>IFERROR(__xludf.DUMMYFUNCTION("""COMPUTED_VALUE"""),0.0909090909090909)</f>
        <v>0.09090909091</v>
      </c>
      <c r="T257" s="8">
        <f>IFERROR(__xludf.DUMMYFUNCTION("""COMPUTED_VALUE"""),0.142857142857142)</f>
        <v>0.1428571429</v>
      </c>
      <c r="U257" s="8">
        <f>IFERROR(__xludf.DUMMYFUNCTION("""COMPUTED_VALUE"""),0.0)</f>
        <v>0</v>
      </c>
      <c r="V257" s="8">
        <f>IFERROR(__xludf.DUMMYFUNCTION("""COMPUTED_VALUE"""),0.0)</f>
        <v>0</v>
      </c>
      <c r="W257" s="8">
        <f>IFERROR(__xludf.DUMMYFUNCTION("""COMPUTED_VALUE"""),0.0)</f>
        <v>0</v>
      </c>
      <c r="X257" s="8">
        <f>IFERROR(__xludf.DUMMYFUNCTION("""COMPUTED_VALUE"""),0.0)</f>
        <v>0</v>
      </c>
      <c r="Y257" s="8">
        <f>IFERROR(__xludf.DUMMYFUNCTION("""COMPUTED_VALUE"""),0.0)</f>
        <v>0</v>
      </c>
      <c r="Z257" s="8">
        <f>IFERROR(__xludf.DUMMYFUNCTION("""COMPUTED_VALUE"""),0.0)</f>
        <v>0</v>
      </c>
      <c r="AA257" s="8">
        <f>IFERROR(__xludf.DUMMYFUNCTION("""COMPUTED_VALUE"""),0.0)</f>
        <v>0</v>
      </c>
      <c r="AB257" s="8">
        <f>IFERROR(__xludf.DUMMYFUNCTION("""COMPUTED_VALUE"""),0.0)</f>
        <v>0</v>
      </c>
      <c r="AC257" s="8">
        <f>IFERROR(__xludf.DUMMYFUNCTION("""COMPUTED_VALUE"""),0.0)</f>
        <v>0</v>
      </c>
    </row>
    <row r="258" ht="15.75" customHeight="1">
      <c r="A258" s="6" t="str">
        <f>IFERROR(__xludf.DUMMYFUNCTION("""COMPUTED_VALUE"""),"e8df3cfef87feac45c4c024f9cbd7254cfc15952")</f>
        <v>e8df3cfef87feac45c4c024f9cbd7254cfc15952</v>
      </c>
      <c r="B258" s="6" t="str">
        <f>IFERROR(__xludf.DUMMYFUNCTION("""COMPUTED_VALUE"""),"Between Wolves and Lies")</f>
        <v>Between Wolves and Lies</v>
      </c>
      <c r="C258" s="6" t="str">
        <f>IFERROR(__xludf.DUMMYFUNCTION("""COMPUTED_VALUE"""),"Romantasy")</f>
        <v>Romantasy</v>
      </c>
      <c r="D258" s="11">
        <f>IFERROR(__xludf.DUMMYFUNCTION("""COMPUTED_VALUE"""),434.0)</f>
        <v>434</v>
      </c>
      <c r="E258" s="8">
        <f>IFERROR(__xludf.DUMMYFUNCTION("""COMPUTED_VALUE"""),0.988479262672811)</f>
        <v>0.9884792627</v>
      </c>
      <c r="F258" s="8">
        <f>IFERROR(__xludf.DUMMYFUNCTION("""COMPUTED_VALUE"""),0.536866359447004)</f>
        <v>0.5368663594</v>
      </c>
      <c r="G258" s="8">
        <f>IFERROR(__xludf.DUMMYFUNCTION("""COMPUTED_VALUE"""),0.456221198156682)</f>
        <v>0.4562211982</v>
      </c>
      <c r="H258" s="8">
        <f>IFERROR(__xludf.DUMMYFUNCTION("""COMPUTED_VALUE"""),0.398617511520737)</f>
        <v>0.3986175115</v>
      </c>
      <c r="I258" s="8">
        <f>IFERROR(__xludf.DUMMYFUNCTION("""COMPUTED_VALUE"""),0.347926267281106)</f>
        <v>0.3479262673</v>
      </c>
      <c r="J258" s="8">
        <f>IFERROR(__xludf.DUMMYFUNCTION("""COMPUTED_VALUE"""),0.32258064516129)</f>
        <v>0.3225806452</v>
      </c>
      <c r="K258" s="8">
        <f>IFERROR(__xludf.DUMMYFUNCTION("""COMPUTED_VALUE"""),0.297235023041474)</f>
        <v>0.297235023</v>
      </c>
      <c r="L258" s="8">
        <f>IFERROR(__xludf.DUMMYFUNCTION("""COMPUTED_VALUE"""),0.267281105990783)</f>
        <v>0.267281106</v>
      </c>
      <c r="M258" s="8">
        <f>IFERROR(__xludf.DUMMYFUNCTION("""COMPUTED_VALUE"""),0.248847926267281)</f>
        <v>0.2488479263</v>
      </c>
      <c r="N258" s="8">
        <f>IFERROR(__xludf.DUMMYFUNCTION("""COMPUTED_VALUE"""),0.228110599078341)</f>
        <v>0.2281105991</v>
      </c>
      <c r="O258" s="8">
        <f>IFERROR(__xludf.DUMMYFUNCTION("""COMPUTED_VALUE"""),0.161662817551963)</f>
        <v>0.1616628176</v>
      </c>
      <c r="P258" s="8">
        <f>IFERROR(__xludf.DUMMYFUNCTION("""COMPUTED_VALUE"""),0.0672853828306264)</f>
        <v>0.06728538283</v>
      </c>
      <c r="Q258" s="8">
        <f>IFERROR(__xludf.DUMMYFUNCTION("""COMPUTED_VALUE"""),0.0288184438040345)</f>
        <v>0.0288184438</v>
      </c>
      <c r="R258" s="8">
        <f>IFERROR(__xludf.DUMMYFUNCTION("""COMPUTED_VALUE"""),0.00840336134453781)</f>
        <v>0.008403361345</v>
      </c>
      <c r="S258" s="8">
        <f>IFERROR(__xludf.DUMMYFUNCTION("""COMPUTED_VALUE"""),0.0)</f>
        <v>0</v>
      </c>
      <c r="T258" s="8">
        <f>IFERROR(__xludf.DUMMYFUNCTION("""COMPUTED_VALUE"""),0.0)</f>
        <v>0</v>
      </c>
      <c r="U258" s="8">
        <f>IFERROR(__xludf.DUMMYFUNCTION("""COMPUTED_VALUE"""),0.0)</f>
        <v>0</v>
      </c>
      <c r="V258" s="8">
        <f>IFERROR(__xludf.DUMMYFUNCTION("""COMPUTED_VALUE"""),0.0)</f>
        <v>0</v>
      </c>
      <c r="W258" s="8">
        <f>IFERROR(__xludf.DUMMYFUNCTION("""COMPUTED_VALUE"""),0.0)</f>
        <v>0</v>
      </c>
      <c r="X258" s="8">
        <f>IFERROR(__xludf.DUMMYFUNCTION("""COMPUTED_VALUE"""),0.0)</f>
        <v>0</v>
      </c>
      <c r="Y258" s="8">
        <f>IFERROR(__xludf.DUMMYFUNCTION("""COMPUTED_VALUE"""),0.0)</f>
        <v>0</v>
      </c>
      <c r="Z258" s="8">
        <f>IFERROR(__xludf.DUMMYFUNCTION("""COMPUTED_VALUE"""),0.0)</f>
        <v>0</v>
      </c>
      <c r="AA258" s="8">
        <f>IFERROR(__xludf.DUMMYFUNCTION("""COMPUTED_VALUE"""),0.0)</f>
        <v>0</v>
      </c>
      <c r="AB258" s="8">
        <f>IFERROR(__xludf.DUMMYFUNCTION("""COMPUTED_VALUE"""),0.0)</f>
        <v>0</v>
      </c>
      <c r="AC258" s="8">
        <f>IFERROR(__xludf.DUMMYFUNCTION("""COMPUTED_VALUE"""),0.0)</f>
        <v>0</v>
      </c>
    </row>
    <row r="259" ht="15.75" customHeight="1">
      <c r="A259" s="6" t="str">
        <f>IFERROR(__xludf.DUMMYFUNCTION("""COMPUTED_VALUE"""),"ed37d82285cfdcacdd3008ef7825d877fd575b57")</f>
        <v>ed37d82285cfdcacdd3008ef7825d877fd575b57</v>
      </c>
      <c r="B259" s="6" t="str">
        <f>IFERROR(__xludf.DUMMYFUNCTION("""COMPUTED_VALUE"""),"Charade")</f>
        <v>Charade</v>
      </c>
      <c r="C259" s="6" t="str">
        <f>IFERROR(__xludf.DUMMYFUNCTION("""COMPUTED_VALUE"""),"Fantasy")</f>
        <v>Fantasy</v>
      </c>
      <c r="D259" s="11">
        <f>IFERROR(__xludf.DUMMYFUNCTION("""COMPUTED_VALUE"""),9.0)</f>
        <v>9</v>
      </c>
      <c r="E259" s="8">
        <f>IFERROR(__xludf.DUMMYFUNCTION("""COMPUTED_VALUE"""),1.0)</f>
        <v>1</v>
      </c>
      <c r="F259" s="8">
        <f>IFERROR(__xludf.DUMMYFUNCTION("""COMPUTED_VALUE"""),0.444444444444444)</f>
        <v>0.4444444444</v>
      </c>
      <c r="G259" s="8">
        <f>IFERROR(__xludf.DUMMYFUNCTION("""COMPUTED_VALUE"""),0.333333333333333)</f>
        <v>0.3333333333</v>
      </c>
      <c r="H259" s="8">
        <f>IFERROR(__xludf.DUMMYFUNCTION("""COMPUTED_VALUE"""),0.333333333333333)</f>
        <v>0.3333333333</v>
      </c>
      <c r="I259" s="8">
        <f>IFERROR(__xludf.DUMMYFUNCTION("""COMPUTED_VALUE"""),0.333333333333333)</f>
        <v>0.3333333333</v>
      </c>
      <c r="J259" s="8">
        <f>IFERROR(__xludf.DUMMYFUNCTION("""COMPUTED_VALUE"""),0.333333333333333)</f>
        <v>0.3333333333</v>
      </c>
      <c r="K259" s="8">
        <f>IFERROR(__xludf.DUMMYFUNCTION("""COMPUTED_VALUE"""),0.333333333333333)</f>
        <v>0.3333333333</v>
      </c>
      <c r="L259" s="8">
        <f>IFERROR(__xludf.DUMMYFUNCTION("""COMPUTED_VALUE"""),0.222222222222222)</f>
        <v>0.2222222222</v>
      </c>
      <c r="M259" s="8">
        <f>IFERROR(__xludf.DUMMYFUNCTION("""COMPUTED_VALUE"""),0.222222222222222)</f>
        <v>0.2222222222</v>
      </c>
      <c r="N259" s="8">
        <f>IFERROR(__xludf.DUMMYFUNCTION("""COMPUTED_VALUE"""),0.25)</f>
        <v>0.25</v>
      </c>
      <c r="O259" s="8">
        <f>IFERROR(__xludf.DUMMYFUNCTION("""COMPUTED_VALUE"""),0.25)</f>
        <v>0.25</v>
      </c>
      <c r="P259" s="8">
        <f>IFERROR(__xludf.DUMMYFUNCTION("""COMPUTED_VALUE"""),0.125)</f>
        <v>0.125</v>
      </c>
      <c r="Q259" s="8">
        <f>IFERROR(__xludf.DUMMYFUNCTION("""COMPUTED_VALUE"""),0.0)</f>
        <v>0</v>
      </c>
      <c r="R259" s="8">
        <f>IFERROR(__xludf.DUMMYFUNCTION("""COMPUTED_VALUE"""),0.0)</f>
        <v>0</v>
      </c>
      <c r="S259" s="8">
        <f>IFERROR(__xludf.DUMMYFUNCTION("""COMPUTED_VALUE"""),0.0)</f>
        <v>0</v>
      </c>
      <c r="T259" s="8">
        <f>IFERROR(__xludf.DUMMYFUNCTION("""COMPUTED_VALUE"""),0.0)</f>
        <v>0</v>
      </c>
      <c r="U259" s="8">
        <f>IFERROR(__xludf.DUMMYFUNCTION("""COMPUTED_VALUE"""),0.0)</f>
        <v>0</v>
      </c>
      <c r="V259" s="8">
        <f>IFERROR(__xludf.DUMMYFUNCTION("""COMPUTED_VALUE"""),0.0)</f>
        <v>0</v>
      </c>
      <c r="W259" s="8">
        <f>IFERROR(__xludf.DUMMYFUNCTION("""COMPUTED_VALUE"""),0.0)</f>
        <v>0</v>
      </c>
      <c r="X259" s="8">
        <f>IFERROR(__xludf.DUMMYFUNCTION("""COMPUTED_VALUE"""),0.0)</f>
        <v>0</v>
      </c>
      <c r="Y259" s="8">
        <f>IFERROR(__xludf.DUMMYFUNCTION("""COMPUTED_VALUE"""),0.0)</f>
        <v>0</v>
      </c>
      <c r="Z259" s="8">
        <f>IFERROR(__xludf.DUMMYFUNCTION("""COMPUTED_VALUE"""),0.0)</f>
        <v>0</v>
      </c>
      <c r="AA259" s="8">
        <f>IFERROR(__xludf.DUMMYFUNCTION("""COMPUTED_VALUE"""),0.0)</f>
        <v>0</v>
      </c>
      <c r="AB259" s="8">
        <f>IFERROR(__xludf.DUMMYFUNCTION("""COMPUTED_VALUE"""),0.0)</f>
        <v>0</v>
      </c>
      <c r="AC259" s="8">
        <f>IFERROR(__xludf.DUMMYFUNCTION("""COMPUTED_VALUE"""),0.0)</f>
        <v>0</v>
      </c>
    </row>
    <row r="260" ht="15.75" customHeight="1">
      <c r="A260" s="6" t="str">
        <f>IFERROR(__xludf.DUMMYFUNCTION("""COMPUTED_VALUE"""),"ee2e216e3dceba69118e501b055c3b7b9a0335a3")</f>
        <v>ee2e216e3dceba69118e501b055c3b7b9a0335a3</v>
      </c>
      <c r="B260" s="6" t="str">
        <f>IFERROR(__xludf.DUMMYFUNCTION("""COMPUTED_VALUE"""),"Kyan's System Awakening")</f>
        <v>Kyan's System Awakening</v>
      </c>
      <c r="C260" s="6" t="str">
        <f>IFERROR(__xludf.DUMMYFUNCTION("""COMPUTED_VALUE"""),"Fantasy")</f>
        <v>Fantasy</v>
      </c>
      <c r="D260" s="11">
        <f>IFERROR(__xludf.DUMMYFUNCTION("""COMPUTED_VALUE"""),2980.0)</f>
        <v>2980</v>
      </c>
      <c r="E260" s="8">
        <f>IFERROR(__xludf.DUMMYFUNCTION("""COMPUTED_VALUE"""),0.972653612424037)</f>
        <v>0.9726536124</v>
      </c>
      <c r="F260" s="8">
        <f>IFERROR(__xludf.DUMMYFUNCTION("""COMPUTED_VALUE"""),0.650891632373113)</f>
        <v>0.6508916324</v>
      </c>
      <c r="G260" s="8">
        <f>IFERROR(__xludf.DUMMYFUNCTION("""COMPUTED_VALUE"""),0.594359331476323)</f>
        <v>0.5943593315</v>
      </c>
      <c r="H260" s="8">
        <f>IFERROR(__xludf.DUMMYFUNCTION("""COMPUTED_VALUE"""),0.578424414478353)</f>
        <v>0.5784244145</v>
      </c>
      <c r="I260" s="8">
        <f>IFERROR(__xludf.DUMMYFUNCTION("""COMPUTED_VALUE"""),0.555635319454414)</f>
        <v>0.5556353195</v>
      </c>
      <c r="J260" s="8">
        <f>IFERROR(__xludf.DUMMYFUNCTION("""COMPUTED_VALUE"""),0.538685070831819)</f>
        <v>0.5386850708</v>
      </c>
      <c r="K260" s="8">
        <f>IFERROR(__xludf.DUMMYFUNCTION("""COMPUTED_VALUE"""),0.519561243144424)</f>
        <v>0.5195612431</v>
      </c>
      <c r="L260" s="8">
        <f>IFERROR(__xludf.DUMMYFUNCTION("""COMPUTED_VALUE"""),0.498700334199777)</f>
        <v>0.4987003342</v>
      </c>
      <c r="M260" s="8">
        <f>IFERROR(__xludf.DUMMYFUNCTION("""COMPUTED_VALUE"""),0.48048048048048)</f>
        <v>0.4804804805</v>
      </c>
      <c r="N260" s="8">
        <f>IFERROR(__xludf.DUMMYFUNCTION("""COMPUTED_VALUE"""),0.468965517241379)</f>
        <v>0.4689655172</v>
      </c>
      <c r="O260" s="8">
        <f>IFERROR(__xludf.DUMMYFUNCTION("""COMPUTED_VALUE"""),0.433210028771064)</f>
        <v>0.4332100288</v>
      </c>
      <c r="P260" s="8">
        <f>IFERROR(__xludf.DUMMYFUNCTION("""COMPUTED_VALUE"""),0.331914893617021)</f>
        <v>0.3319148936</v>
      </c>
      <c r="Q260" s="8">
        <f>IFERROR(__xludf.DUMMYFUNCTION("""COMPUTED_VALUE"""),0.227803738317757)</f>
        <v>0.2278037383</v>
      </c>
      <c r="R260" s="8">
        <f>IFERROR(__xludf.DUMMYFUNCTION("""COMPUTED_VALUE"""),0.139825218476903)</f>
        <v>0.1398252185</v>
      </c>
      <c r="S260" s="8">
        <f>IFERROR(__xludf.DUMMYFUNCTION("""COMPUTED_VALUE"""),0.0874751491053678)</f>
        <v>0.08747514911</v>
      </c>
      <c r="T260" s="8">
        <f>IFERROR(__xludf.DUMMYFUNCTION("""COMPUTED_VALUE"""),0.069090909090909)</f>
        <v>0.06909090909</v>
      </c>
      <c r="U260" s="8">
        <f>IFERROR(__xludf.DUMMYFUNCTION("""COMPUTED_VALUE"""),0.0)</f>
        <v>0</v>
      </c>
      <c r="V260" s="8">
        <f>IFERROR(__xludf.DUMMYFUNCTION("""COMPUTED_VALUE"""),0.0)</f>
        <v>0</v>
      </c>
      <c r="W260" s="8">
        <f>IFERROR(__xludf.DUMMYFUNCTION("""COMPUTED_VALUE"""),0.0)</f>
        <v>0</v>
      </c>
      <c r="X260" s="8">
        <f>IFERROR(__xludf.DUMMYFUNCTION("""COMPUTED_VALUE"""),0.0)</f>
        <v>0</v>
      </c>
      <c r="Y260" s="8">
        <f>IFERROR(__xludf.DUMMYFUNCTION("""COMPUTED_VALUE"""),0.0)</f>
        <v>0</v>
      </c>
      <c r="Z260" s="8">
        <f>IFERROR(__xludf.DUMMYFUNCTION("""COMPUTED_VALUE"""),0.0)</f>
        <v>0</v>
      </c>
      <c r="AA260" s="8">
        <f>IFERROR(__xludf.DUMMYFUNCTION("""COMPUTED_VALUE"""),0.0)</f>
        <v>0</v>
      </c>
      <c r="AB260" s="8">
        <f>IFERROR(__xludf.DUMMYFUNCTION("""COMPUTED_VALUE"""),0.0)</f>
        <v>0</v>
      </c>
      <c r="AC260" s="8">
        <f>IFERROR(__xludf.DUMMYFUNCTION("""COMPUTED_VALUE"""),0.0)</f>
        <v>0</v>
      </c>
    </row>
    <row r="261" ht="15.75" customHeight="1">
      <c r="A261" s="6" t="str">
        <f>IFERROR(__xludf.DUMMYFUNCTION("""COMPUTED_VALUE"""),"ef47552b570f8fc4cc243b88fae469ea12c31df0")</f>
        <v>ef47552b570f8fc4cc243b88fae469ea12c31df0</v>
      </c>
      <c r="B261" s="6" t="str">
        <f>IFERROR(__xludf.DUMMYFUNCTION("""COMPUTED_VALUE"""),"Mated to Enemy’s Luna")</f>
        <v>Mated to Enemy’s Luna</v>
      </c>
      <c r="C261" s="6" t="str">
        <f>IFERROR(__xludf.DUMMYFUNCTION("""COMPUTED_VALUE"""),"Romantasy")</f>
        <v>Romantasy</v>
      </c>
      <c r="D261" s="11">
        <f>IFERROR(__xludf.DUMMYFUNCTION("""COMPUTED_VALUE"""),117.0)</f>
        <v>117</v>
      </c>
      <c r="E261" s="8">
        <f>IFERROR(__xludf.DUMMYFUNCTION("""COMPUTED_VALUE"""),0.957264957264957)</f>
        <v>0.9572649573</v>
      </c>
      <c r="F261" s="8">
        <f>IFERROR(__xludf.DUMMYFUNCTION("""COMPUTED_VALUE"""),0.717948717948718)</f>
        <v>0.7179487179</v>
      </c>
      <c r="G261" s="8">
        <f>IFERROR(__xludf.DUMMYFUNCTION("""COMPUTED_VALUE"""),0.658119658119658)</f>
        <v>0.6581196581</v>
      </c>
      <c r="H261" s="8">
        <f>IFERROR(__xludf.DUMMYFUNCTION("""COMPUTED_VALUE"""),0.666666666666666)</f>
        <v>0.6666666667</v>
      </c>
      <c r="I261" s="8">
        <f>IFERROR(__xludf.DUMMYFUNCTION("""COMPUTED_VALUE"""),0.589743589743589)</f>
        <v>0.5897435897</v>
      </c>
      <c r="J261" s="8">
        <f>IFERROR(__xludf.DUMMYFUNCTION("""COMPUTED_VALUE"""),0.504273504273504)</f>
        <v>0.5042735043</v>
      </c>
      <c r="K261" s="8">
        <f>IFERROR(__xludf.DUMMYFUNCTION("""COMPUTED_VALUE"""),0.461538461538461)</f>
        <v>0.4615384615</v>
      </c>
      <c r="L261" s="8">
        <f>IFERROR(__xludf.DUMMYFUNCTION("""COMPUTED_VALUE"""),0.46551724137931)</f>
        <v>0.4655172414</v>
      </c>
      <c r="M261" s="8">
        <f>IFERROR(__xludf.DUMMYFUNCTION("""COMPUTED_VALUE"""),0.491379310344827)</f>
        <v>0.4913793103</v>
      </c>
      <c r="N261" s="8">
        <f>IFERROR(__xludf.DUMMYFUNCTION("""COMPUTED_VALUE"""),0.482758620689655)</f>
        <v>0.4827586207</v>
      </c>
      <c r="O261" s="8">
        <f>IFERROR(__xludf.DUMMYFUNCTION("""COMPUTED_VALUE"""),0.421052631578947)</f>
        <v>0.4210526316</v>
      </c>
      <c r="P261" s="8">
        <f>IFERROR(__xludf.DUMMYFUNCTION("""COMPUTED_VALUE"""),0.27433628318584)</f>
        <v>0.2743362832</v>
      </c>
      <c r="Q261" s="8">
        <f>IFERROR(__xludf.DUMMYFUNCTION("""COMPUTED_VALUE"""),0.0808080808080808)</f>
        <v>0.08080808081</v>
      </c>
      <c r="R261" s="8">
        <f>IFERROR(__xludf.DUMMYFUNCTION("""COMPUTED_VALUE"""),0.118279569892473)</f>
        <v>0.1182795699</v>
      </c>
      <c r="S261" s="8">
        <f>IFERROR(__xludf.DUMMYFUNCTION("""COMPUTED_VALUE"""),0.0256410256410256)</f>
        <v>0.02564102564</v>
      </c>
      <c r="T261" s="8">
        <f>IFERROR(__xludf.DUMMYFUNCTION("""COMPUTED_VALUE"""),0.027027027027027)</f>
        <v>0.02702702703</v>
      </c>
      <c r="U261" s="8">
        <f>IFERROR(__xludf.DUMMYFUNCTION("""COMPUTED_VALUE"""),0.0)</f>
        <v>0</v>
      </c>
      <c r="V261" s="8">
        <f>IFERROR(__xludf.DUMMYFUNCTION("""COMPUTED_VALUE"""),0.0)</f>
        <v>0</v>
      </c>
      <c r="W261" s="8">
        <f>IFERROR(__xludf.DUMMYFUNCTION("""COMPUTED_VALUE"""),0.0)</f>
        <v>0</v>
      </c>
      <c r="X261" s="8">
        <f>IFERROR(__xludf.DUMMYFUNCTION("""COMPUTED_VALUE"""),0.0)</f>
        <v>0</v>
      </c>
      <c r="Y261" s="8">
        <f>IFERROR(__xludf.DUMMYFUNCTION("""COMPUTED_VALUE"""),0.0)</f>
        <v>0</v>
      </c>
      <c r="Z261" s="8">
        <f>IFERROR(__xludf.DUMMYFUNCTION("""COMPUTED_VALUE"""),0.0)</f>
        <v>0</v>
      </c>
      <c r="AA261" s="8">
        <f>IFERROR(__xludf.DUMMYFUNCTION("""COMPUTED_VALUE"""),0.0)</f>
        <v>0</v>
      </c>
      <c r="AB261" s="8">
        <f>IFERROR(__xludf.DUMMYFUNCTION("""COMPUTED_VALUE"""),0.0)</f>
        <v>0</v>
      </c>
      <c r="AC261" s="8">
        <f>IFERROR(__xludf.DUMMYFUNCTION("""COMPUTED_VALUE"""),0.0)</f>
        <v>0</v>
      </c>
    </row>
    <row r="262" ht="15.75" customHeight="1">
      <c r="A262" s="6" t="str">
        <f>IFERROR(__xludf.DUMMYFUNCTION("""COMPUTED_VALUE"""),"efc5ab9117a97ffce6537344dcb0416ed5ff0dc1")</f>
        <v>efc5ab9117a97ffce6537344dcb0416ed5ff0dc1</v>
      </c>
      <c r="B262" s="6" t="str">
        <f>IFERROR(__xludf.DUMMYFUNCTION("""COMPUTED_VALUE"""),"Imperial Clan Descends")</f>
        <v>Imperial Clan Descends</v>
      </c>
      <c r="C262" s="6" t="str">
        <f>IFERROR(__xludf.DUMMYFUNCTION("""COMPUTED_VALUE"""),"Drama")</f>
        <v>Drama</v>
      </c>
      <c r="D262" s="11">
        <f>IFERROR(__xludf.DUMMYFUNCTION("""COMPUTED_VALUE"""),203.0)</f>
        <v>203</v>
      </c>
      <c r="E262" s="8">
        <f>IFERROR(__xludf.DUMMYFUNCTION("""COMPUTED_VALUE"""),0.994186046511627)</f>
        <v>0.9941860465</v>
      </c>
      <c r="F262" s="8">
        <f>IFERROR(__xludf.DUMMYFUNCTION("""COMPUTED_VALUE"""),0.436090225563909)</f>
        <v>0.4360902256</v>
      </c>
      <c r="G262" s="8">
        <f>IFERROR(__xludf.DUMMYFUNCTION("""COMPUTED_VALUE"""),0.345132743362831)</f>
        <v>0.3451327434</v>
      </c>
      <c r="H262" s="8">
        <f>IFERROR(__xludf.DUMMYFUNCTION("""COMPUTED_VALUE"""),0.260869565217391)</f>
        <v>0.2608695652</v>
      </c>
      <c r="I262" s="8">
        <f>IFERROR(__xludf.DUMMYFUNCTION("""COMPUTED_VALUE"""),0.218390804597701)</f>
        <v>0.2183908046</v>
      </c>
      <c r="J262" s="8">
        <f>IFERROR(__xludf.DUMMYFUNCTION("""COMPUTED_VALUE"""),0.16)</f>
        <v>0.16</v>
      </c>
      <c r="K262" s="8">
        <f>IFERROR(__xludf.DUMMYFUNCTION("""COMPUTED_VALUE"""),0.166666666666666)</f>
        <v>0.1666666667</v>
      </c>
      <c r="L262" s="8">
        <f>IFERROR(__xludf.DUMMYFUNCTION("""COMPUTED_VALUE"""),0.152542372881355)</f>
        <v>0.1525423729</v>
      </c>
      <c r="M262" s="8">
        <f>IFERROR(__xludf.DUMMYFUNCTION("""COMPUTED_VALUE"""),0.163636363636363)</f>
        <v>0.1636363636</v>
      </c>
      <c r="N262" s="8">
        <f>IFERROR(__xludf.DUMMYFUNCTION("""COMPUTED_VALUE"""),0.133333333333333)</f>
        <v>0.1333333333</v>
      </c>
      <c r="O262" s="8">
        <f>IFERROR(__xludf.DUMMYFUNCTION("""COMPUTED_VALUE"""),0.1)</f>
        <v>0.1</v>
      </c>
      <c r="P262" s="8">
        <f>IFERROR(__xludf.DUMMYFUNCTION("""COMPUTED_VALUE"""),0.137931034482758)</f>
        <v>0.1379310345</v>
      </c>
      <c r="Q262" s="8">
        <f>IFERROR(__xludf.DUMMYFUNCTION("""COMPUTED_VALUE"""),0.111111111111111)</f>
        <v>0.1111111111</v>
      </c>
      <c r="R262" s="8">
        <f>IFERROR(__xludf.DUMMYFUNCTION("""COMPUTED_VALUE"""),0.12)</f>
        <v>0.12</v>
      </c>
      <c r="S262" s="8">
        <f>IFERROR(__xludf.DUMMYFUNCTION("""COMPUTED_VALUE"""),0.0)</f>
        <v>0</v>
      </c>
      <c r="T262" s="8">
        <f>IFERROR(__xludf.DUMMYFUNCTION("""COMPUTED_VALUE"""),0.0)</f>
        <v>0</v>
      </c>
      <c r="U262" s="8">
        <f>IFERROR(__xludf.DUMMYFUNCTION("""COMPUTED_VALUE"""),0.0)</f>
        <v>0</v>
      </c>
      <c r="V262" s="8">
        <f>IFERROR(__xludf.DUMMYFUNCTION("""COMPUTED_VALUE"""),0.0)</f>
        <v>0</v>
      </c>
      <c r="W262" s="8">
        <f>IFERROR(__xludf.DUMMYFUNCTION("""COMPUTED_VALUE"""),0.0)</f>
        <v>0</v>
      </c>
      <c r="X262" s="8">
        <f>IFERROR(__xludf.DUMMYFUNCTION("""COMPUTED_VALUE"""),0.0)</f>
        <v>0</v>
      </c>
      <c r="Y262" s="8">
        <f>IFERROR(__xludf.DUMMYFUNCTION("""COMPUTED_VALUE"""),0.0)</f>
        <v>0</v>
      </c>
      <c r="Z262" s="8">
        <f>IFERROR(__xludf.DUMMYFUNCTION("""COMPUTED_VALUE"""),0.0)</f>
        <v>0</v>
      </c>
      <c r="AA262" s="8">
        <f>IFERROR(__xludf.DUMMYFUNCTION("""COMPUTED_VALUE"""),0.0)</f>
        <v>0</v>
      </c>
      <c r="AB262" s="8">
        <f>IFERROR(__xludf.DUMMYFUNCTION("""COMPUTED_VALUE"""),0.0)</f>
        <v>0</v>
      </c>
      <c r="AC262" s="8">
        <f>IFERROR(__xludf.DUMMYFUNCTION("""COMPUTED_VALUE"""),0.0)</f>
        <v>0</v>
      </c>
    </row>
    <row r="263" ht="15.75" customHeight="1">
      <c r="A263" s="6" t="str">
        <f>IFERROR(__xludf.DUMMYFUNCTION("""COMPUTED_VALUE"""),"f06451dc56081680609a77b52825c3da76e8ae66")</f>
        <v>f06451dc56081680609a77b52825c3da76e8ae66</v>
      </c>
      <c r="B263" s="6" t="str">
        <f>IFERROR(__xludf.DUMMYFUNCTION("""COMPUTED_VALUE"""),"Her Exit, His Regret")</f>
        <v>Her Exit, His Regret</v>
      </c>
      <c r="C263" s="6" t="str">
        <f>IFERROR(__xludf.DUMMYFUNCTION("""COMPUTED_VALUE"""),"Romance")</f>
        <v>Romance</v>
      </c>
      <c r="D263" s="11">
        <f>IFERROR(__xludf.DUMMYFUNCTION("""COMPUTED_VALUE"""),636.0)</f>
        <v>636</v>
      </c>
      <c r="E263" s="8">
        <f>IFERROR(__xludf.DUMMYFUNCTION("""COMPUTED_VALUE"""),0.968553459119496)</f>
        <v>0.9685534591</v>
      </c>
      <c r="F263" s="8">
        <f>IFERROR(__xludf.DUMMYFUNCTION("""COMPUTED_VALUE"""),0.630503144654088)</f>
        <v>0.6305031447</v>
      </c>
      <c r="G263" s="8">
        <f>IFERROR(__xludf.DUMMYFUNCTION("""COMPUTED_VALUE"""),0.547169811320754)</f>
        <v>0.5471698113</v>
      </c>
      <c r="H263" s="8">
        <f>IFERROR(__xludf.DUMMYFUNCTION("""COMPUTED_VALUE"""),0.476415094339622)</f>
        <v>0.4764150943</v>
      </c>
      <c r="I263" s="8">
        <f>IFERROR(__xludf.DUMMYFUNCTION("""COMPUTED_VALUE"""),0.416666666666666)</f>
        <v>0.4166666667</v>
      </c>
      <c r="J263" s="8">
        <f>IFERROR(__xludf.DUMMYFUNCTION("""COMPUTED_VALUE"""),0.385220125786163)</f>
        <v>0.3852201258</v>
      </c>
      <c r="K263" s="8">
        <f>IFERROR(__xludf.DUMMYFUNCTION("""COMPUTED_VALUE"""),0.385826771653543)</f>
        <v>0.3858267717</v>
      </c>
      <c r="L263" s="8">
        <f>IFERROR(__xludf.DUMMYFUNCTION("""COMPUTED_VALUE"""),0.321486268174474)</f>
        <v>0.3214862682</v>
      </c>
      <c r="M263" s="8">
        <f>IFERROR(__xludf.DUMMYFUNCTION("""COMPUTED_VALUE"""),0.295638126009693)</f>
        <v>0.295638126</v>
      </c>
      <c r="N263" s="8">
        <f>IFERROR(__xludf.DUMMYFUNCTION("""COMPUTED_VALUE"""),0.277867528271405)</f>
        <v>0.2778675283</v>
      </c>
      <c r="O263" s="8">
        <f>IFERROR(__xludf.DUMMYFUNCTION("""COMPUTED_VALUE"""),0.258536585365853)</f>
        <v>0.2585365854</v>
      </c>
      <c r="P263" s="8">
        <f>IFERROR(__xludf.DUMMYFUNCTION("""COMPUTED_VALUE"""),0.14662273476112)</f>
        <v>0.1466227348</v>
      </c>
      <c r="Q263" s="8">
        <f>IFERROR(__xludf.DUMMYFUNCTION("""COMPUTED_VALUE"""),0.155737704918032)</f>
        <v>0.1557377049</v>
      </c>
      <c r="R263" s="8">
        <f>IFERROR(__xludf.DUMMYFUNCTION("""COMPUTED_VALUE"""),0.142857142857142)</f>
        <v>0.1428571429</v>
      </c>
      <c r="S263" s="8">
        <f>IFERROR(__xludf.DUMMYFUNCTION("""COMPUTED_VALUE"""),0.0)</f>
        <v>0</v>
      </c>
      <c r="T263" s="8">
        <f>IFERROR(__xludf.DUMMYFUNCTION("""COMPUTED_VALUE"""),0.0)</f>
        <v>0</v>
      </c>
      <c r="U263" s="8">
        <f>IFERROR(__xludf.DUMMYFUNCTION("""COMPUTED_VALUE"""),0.0)</f>
        <v>0</v>
      </c>
      <c r="V263" s="8">
        <f>IFERROR(__xludf.DUMMYFUNCTION("""COMPUTED_VALUE"""),0.0)</f>
        <v>0</v>
      </c>
      <c r="W263" s="8">
        <f>IFERROR(__xludf.DUMMYFUNCTION("""COMPUTED_VALUE"""),0.0)</f>
        <v>0</v>
      </c>
      <c r="X263" s="8">
        <f>IFERROR(__xludf.DUMMYFUNCTION("""COMPUTED_VALUE"""),0.0)</f>
        <v>0</v>
      </c>
      <c r="Y263" s="8">
        <f>IFERROR(__xludf.DUMMYFUNCTION("""COMPUTED_VALUE"""),0.0)</f>
        <v>0</v>
      </c>
      <c r="Z263" s="8">
        <f>IFERROR(__xludf.DUMMYFUNCTION("""COMPUTED_VALUE"""),0.0)</f>
        <v>0</v>
      </c>
      <c r="AA263" s="8">
        <f>IFERROR(__xludf.DUMMYFUNCTION("""COMPUTED_VALUE"""),0.0)</f>
        <v>0</v>
      </c>
      <c r="AB263" s="8">
        <f>IFERROR(__xludf.DUMMYFUNCTION("""COMPUTED_VALUE"""),0.0)</f>
        <v>0</v>
      </c>
      <c r="AC263" s="8">
        <f>IFERROR(__xludf.DUMMYFUNCTION("""COMPUTED_VALUE"""),0.0)</f>
        <v>0</v>
      </c>
    </row>
    <row r="264" ht="15.75" customHeight="1">
      <c r="A264" s="6" t="str">
        <f>IFERROR(__xludf.DUMMYFUNCTION("""COMPUTED_VALUE"""),"f11e794eecc64915145ae97085e04201646abfe3")</f>
        <v>f11e794eecc64915145ae97085e04201646abfe3</v>
      </c>
      <c r="B264" s="6" t="str">
        <f>IFERROR(__xludf.DUMMYFUNCTION("""COMPUTED_VALUE"""),"Almost His Bride ")</f>
        <v>Almost His Bride </v>
      </c>
      <c r="C264" s="6" t="str">
        <f>IFERROR(__xludf.DUMMYFUNCTION("""COMPUTED_VALUE"""),"Romance")</f>
        <v>Romance</v>
      </c>
      <c r="D264" s="11">
        <f>IFERROR(__xludf.DUMMYFUNCTION("""COMPUTED_VALUE"""),23.0)</f>
        <v>23</v>
      </c>
      <c r="E264" s="8">
        <f>IFERROR(__xludf.DUMMYFUNCTION("""COMPUTED_VALUE"""),0.913043478260869)</f>
        <v>0.9130434783</v>
      </c>
      <c r="F264" s="8">
        <f>IFERROR(__xludf.DUMMYFUNCTION("""COMPUTED_VALUE"""),0.608695652173913)</f>
        <v>0.6086956522</v>
      </c>
      <c r="G264" s="8">
        <f>IFERROR(__xludf.DUMMYFUNCTION("""COMPUTED_VALUE"""),0.652173913043478)</f>
        <v>0.652173913</v>
      </c>
      <c r="H264" s="8">
        <f>IFERROR(__xludf.DUMMYFUNCTION("""COMPUTED_VALUE"""),0.652173913043478)</f>
        <v>0.652173913</v>
      </c>
      <c r="I264" s="8">
        <f>IFERROR(__xludf.DUMMYFUNCTION("""COMPUTED_VALUE"""),0.565217391304347)</f>
        <v>0.5652173913</v>
      </c>
      <c r="J264" s="8">
        <f>IFERROR(__xludf.DUMMYFUNCTION("""COMPUTED_VALUE"""),0.608695652173913)</f>
        <v>0.6086956522</v>
      </c>
      <c r="K264" s="8">
        <f>IFERROR(__xludf.DUMMYFUNCTION("""COMPUTED_VALUE"""),0.521739130434782)</f>
        <v>0.5217391304</v>
      </c>
      <c r="L264" s="8">
        <f>IFERROR(__xludf.DUMMYFUNCTION("""COMPUTED_VALUE"""),0.478260869565217)</f>
        <v>0.4782608696</v>
      </c>
      <c r="M264" s="8">
        <f>IFERROR(__xludf.DUMMYFUNCTION("""COMPUTED_VALUE"""),0.434782608695652)</f>
        <v>0.4347826087</v>
      </c>
      <c r="N264" s="8">
        <f>IFERROR(__xludf.DUMMYFUNCTION("""COMPUTED_VALUE"""),0.565217391304347)</f>
        <v>0.5652173913</v>
      </c>
      <c r="O264" s="8">
        <f>IFERROR(__xludf.DUMMYFUNCTION("""COMPUTED_VALUE"""),0.409090909090909)</f>
        <v>0.4090909091</v>
      </c>
      <c r="P264" s="8">
        <f>IFERROR(__xludf.DUMMYFUNCTION("""COMPUTED_VALUE"""),0.227272727272727)</f>
        <v>0.2272727273</v>
      </c>
      <c r="Q264" s="8">
        <f>IFERROR(__xludf.DUMMYFUNCTION("""COMPUTED_VALUE"""),0.2)</f>
        <v>0.2</v>
      </c>
      <c r="R264" s="8">
        <f>IFERROR(__xludf.DUMMYFUNCTION("""COMPUTED_VALUE"""),0.0666666666666666)</f>
        <v>0.06666666667</v>
      </c>
      <c r="S264" s="8">
        <f>IFERROR(__xludf.DUMMYFUNCTION("""COMPUTED_VALUE"""),0.0)</f>
        <v>0</v>
      </c>
      <c r="T264" s="8">
        <f>IFERROR(__xludf.DUMMYFUNCTION("""COMPUTED_VALUE"""),0.0)</f>
        <v>0</v>
      </c>
      <c r="U264" s="8">
        <f>IFERROR(__xludf.DUMMYFUNCTION("""COMPUTED_VALUE"""),0.0)</f>
        <v>0</v>
      </c>
      <c r="V264" s="8">
        <f>IFERROR(__xludf.DUMMYFUNCTION("""COMPUTED_VALUE"""),0.0)</f>
        <v>0</v>
      </c>
      <c r="W264" s="8">
        <f>IFERROR(__xludf.DUMMYFUNCTION("""COMPUTED_VALUE"""),0.0)</f>
        <v>0</v>
      </c>
      <c r="X264" s="8">
        <f>IFERROR(__xludf.DUMMYFUNCTION("""COMPUTED_VALUE"""),0.0)</f>
        <v>0</v>
      </c>
      <c r="Y264" s="8">
        <f>IFERROR(__xludf.DUMMYFUNCTION("""COMPUTED_VALUE"""),0.0)</f>
        <v>0</v>
      </c>
      <c r="Z264" s="8">
        <f>IFERROR(__xludf.DUMMYFUNCTION("""COMPUTED_VALUE"""),0.0)</f>
        <v>0</v>
      </c>
      <c r="AA264" s="8">
        <f>IFERROR(__xludf.DUMMYFUNCTION("""COMPUTED_VALUE"""),0.0)</f>
        <v>0</v>
      </c>
      <c r="AB264" s="8">
        <f>IFERROR(__xludf.DUMMYFUNCTION("""COMPUTED_VALUE"""),0.0)</f>
        <v>0</v>
      </c>
      <c r="AC264" s="8">
        <f>IFERROR(__xludf.DUMMYFUNCTION("""COMPUTED_VALUE"""),0.0)</f>
        <v>0</v>
      </c>
    </row>
    <row r="265" ht="15.75" customHeight="1">
      <c r="A265" s="6" t="str">
        <f>IFERROR(__xludf.DUMMYFUNCTION("""COMPUTED_VALUE"""),"f16d45e2702863e71bf480a3e2490ded19c4cbd9")</f>
        <v>f16d45e2702863e71bf480a3e2490ded19c4cbd9</v>
      </c>
      <c r="B265" s="6" t="str">
        <f>IFERROR(__xludf.DUMMYFUNCTION("""COMPUTED_VALUE"""),"Supreme Sword Cultivator")</f>
        <v>Supreme Sword Cultivator</v>
      </c>
      <c r="C265" s="6" t="str">
        <f>IFERROR(__xludf.DUMMYFUNCTION("""COMPUTED_VALUE"""),"Fantasy")</f>
        <v>Fantasy</v>
      </c>
      <c r="D265" s="11">
        <f>IFERROR(__xludf.DUMMYFUNCTION("""COMPUTED_VALUE"""),174.0)</f>
        <v>174</v>
      </c>
      <c r="E265" s="8">
        <f>IFERROR(__xludf.DUMMYFUNCTION("""COMPUTED_VALUE"""),0.971264367816091)</f>
        <v>0.9712643678</v>
      </c>
      <c r="F265" s="8">
        <f>IFERROR(__xludf.DUMMYFUNCTION("""COMPUTED_VALUE"""),0.739884393063583)</f>
        <v>0.7398843931</v>
      </c>
      <c r="G265" s="8">
        <f>IFERROR(__xludf.DUMMYFUNCTION("""COMPUTED_VALUE"""),0.699421965317919)</f>
        <v>0.6994219653</v>
      </c>
      <c r="H265" s="8">
        <f>IFERROR(__xludf.DUMMYFUNCTION("""COMPUTED_VALUE"""),0.6878612716763)</f>
        <v>0.6878612717</v>
      </c>
      <c r="I265" s="8">
        <f>IFERROR(__xludf.DUMMYFUNCTION("""COMPUTED_VALUE"""),0.662790697674418)</f>
        <v>0.6627906977</v>
      </c>
      <c r="J265" s="8">
        <f>IFERROR(__xludf.DUMMYFUNCTION("""COMPUTED_VALUE"""),0.633720930232558)</f>
        <v>0.6337209302</v>
      </c>
      <c r="K265" s="8">
        <f>IFERROR(__xludf.DUMMYFUNCTION("""COMPUTED_VALUE"""),0.614035087719298)</f>
        <v>0.6140350877</v>
      </c>
      <c r="L265" s="8">
        <f>IFERROR(__xludf.DUMMYFUNCTION("""COMPUTED_VALUE"""),0.625730994152046)</f>
        <v>0.6257309942</v>
      </c>
      <c r="M265" s="8">
        <f>IFERROR(__xludf.DUMMYFUNCTION("""COMPUTED_VALUE"""),0.602339181286549)</f>
        <v>0.6023391813</v>
      </c>
      <c r="N265" s="8">
        <f>IFERROR(__xludf.DUMMYFUNCTION("""COMPUTED_VALUE"""),0.578947368421052)</f>
        <v>0.5789473684</v>
      </c>
      <c r="O265" s="8">
        <f>IFERROR(__xludf.DUMMYFUNCTION("""COMPUTED_VALUE"""),0.508982035928143)</f>
        <v>0.5089820359</v>
      </c>
      <c r="P265" s="8">
        <f>IFERROR(__xludf.DUMMYFUNCTION("""COMPUTED_VALUE"""),0.441717791411042)</f>
        <v>0.4417177914</v>
      </c>
      <c r="Q265" s="8">
        <f>IFERROR(__xludf.DUMMYFUNCTION("""COMPUTED_VALUE"""),0.387596899224806)</f>
        <v>0.3875968992</v>
      </c>
      <c r="R265" s="8">
        <f>IFERROR(__xludf.DUMMYFUNCTION("""COMPUTED_VALUE"""),0.352)</f>
        <v>0.352</v>
      </c>
      <c r="S265" s="8">
        <f>IFERROR(__xludf.DUMMYFUNCTION("""COMPUTED_VALUE"""),0.308333333333333)</f>
        <v>0.3083333333</v>
      </c>
      <c r="T265" s="8">
        <f>IFERROR(__xludf.DUMMYFUNCTION("""COMPUTED_VALUE"""),0.17391304347826)</f>
        <v>0.1739130435</v>
      </c>
      <c r="U265" s="8">
        <f>IFERROR(__xludf.DUMMYFUNCTION("""COMPUTED_VALUE"""),0.0476190476190476)</f>
        <v>0.04761904762</v>
      </c>
      <c r="V265" s="8">
        <f>IFERROR(__xludf.DUMMYFUNCTION("""COMPUTED_VALUE"""),0.0)</f>
        <v>0</v>
      </c>
      <c r="W265" s="8">
        <f>IFERROR(__xludf.DUMMYFUNCTION("""COMPUTED_VALUE"""),0.0)</f>
        <v>0</v>
      </c>
      <c r="X265" s="8">
        <f>IFERROR(__xludf.DUMMYFUNCTION("""COMPUTED_VALUE"""),0.0)</f>
        <v>0</v>
      </c>
      <c r="Y265" s="8">
        <f>IFERROR(__xludf.DUMMYFUNCTION("""COMPUTED_VALUE"""),0.0)</f>
        <v>0</v>
      </c>
      <c r="Z265" s="8">
        <f>IFERROR(__xludf.DUMMYFUNCTION("""COMPUTED_VALUE"""),0.0)</f>
        <v>0</v>
      </c>
      <c r="AA265" s="8">
        <f>IFERROR(__xludf.DUMMYFUNCTION("""COMPUTED_VALUE"""),0.0)</f>
        <v>0</v>
      </c>
      <c r="AB265" s="8">
        <f>IFERROR(__xludf.DUMMYFUNCTION("""COMPUTED_VALUE"""),0.0)</f>
        <v>0</v>
      </c>
      <c r="AC265" s="8">
        <f>IFERROR(__xludf.DUMMYFUNCTION("""COMPUTED_VALUE"""),0.0)</f>
        <v>0</v>
      </c>
    </row>
    <row r="266" ht="15.75" customHeight="1">
      <c r="A266" s="6" t="str">
        <f>IFERROR(__xludf.DUMMYFUNCTION("""COMPUTED_VALUE"""),"f23c3d5745910e4c7cf490450f5314358a0cec03")</f>
        <v>f23c3d5745910e4c7cf490450f5314358a0cec03</v>
      </c>
      <c r="B266" s="6" t="str">
        <f>IFERROR(__xludf.DUMMYFUNCTION("""COMPUTED_VALUE"""),"When My Ex Returned")</f>
        <v>When My Ex Returned</v>
      </c>
      <c r="C266" s="6" t="str">
        <f>IFERROR(__xludf.DUMMYFUNCTION("""COMPUTED_VALUE"""),"Romance")</f>
        <v>Romance</v>
      </c>
      <c r="D266" s="11">
        <f>IFERROR(__xludf.DUMMYFUNCTION("""COMPUTED_VALUE"""),464.0)</f>
        <v>464</v>
      </c>
      <c r="E266" s="8">
        <f>IFERROR(__xludf.DUMMYFUNCTION("""COMPUTED_VALUE"""),0.969827586206896)</f>
        <v>0.9698275862</v>
      </c>
      <c r="F266" s="8">
        <f>IFERROR(__xludf.DUMMYFUNCTION("""COMPUTED_VALUE"""),0.529157667386609)</f>
        <v>0.5291576674</v>
      </c>
      <c r="G266" s="8">
        <f>IFERROR(__xludf.DUMMYFUNCTION("""COMPUTED_VALUE"""),0.477321814254859)</f>
        <v>0.4773218143</v>
      </c>
      <c r="H266" s="8">
        <f>IFERROR(__xludf.DUMMYFUNCTION("""COMPUTED_VALUE"""),0.442764578833693)</f>
        <v>0.4427645788</v>
      </c>
      <c r="I266" s="8">
        <f>IFERROR(__xludf.DUMMYFUNCTION("""COMPUTED_VALUE"""),0.422077922077922)</f>
        <v>0.4220779221</v>
      </c>
      <c r="J266" s="8">
        <f>IFERROR(__xludf.DUMMYFUNCTION("""COMPUTED_VALUE"""),0.391774891774891)</f>
        <v>0.3917748918</v>
      </c>
      <c r="K266" s="8">
        <f>IFERROR(__xludf.DUMMYFUNCTION("""COMPUTED_VALUE"""),0.365800865800865)</f>
        <v>0.3658008658</v>
      </c>
      <c r="L266" s="8">
        <f>IFERROR(__xludf.DUMMYFUNCTION("""COMPUTED_VALUE"""),0.329004329004329)</f>
        <v>0.329004329</v>
      </c>
      <c r="M266" s="8">
        <f>IFERROR(__xludf.DUMMYFUNCTION("""COMPUTED_VALUE"""),0.311688311688311)</f>
        <v>0.3116883117</v>
      </c>
      <c r="N266" s="8">
        <f>IFERROR(__xludf.DUMMYFUNCTION("""COMPUTED_VALUE"""),0.303030303030303)</f>
        <v>0.303030303</v>
      </c>
      <c r="O266" s="8">
        <f>IFERROR(__xludf.DUMMYFUNCTION("""COMPUTED_VALUE"""),0.246753246753246)</f>
        <v>0.2467532468</v>
      </c>
      <c r="P266" s="8">
        <f>IFERROR(__xludf.DUMMYFUNCTION("""COMPUTED_VALUE"""),0.148471615720524)</f>
        <v>0.1484716157</v>
      </c>
      <c r="Q266" s="8">
        <f>IFERROR(__xludf.DUMMYFUNCTION("""COMPUTED_VALUE"""),0.171641791044776)</f>
        <v>0.171641791</v>
      </c>
      <c r="R266" s="8">
        <f>IFERROR(__xludf.DUMMYFUNCTION("""COMPUTED_VALUE"""),0.0)</f>
        <v>0</v>
      </c>
      <c r="S266" s="8">
        <f>IFERROR(__xludf.DUMMYFUNCTION("""COMPUTED_VALUE"""),0.0)</f>
        <v>0</v>
      </c>
      <c r="T266" s="8">
        <f>IFERROR(__xludf.DUMMYFUNCTION("""COMPUTED_VALUE"""),0.0)</f>
        <v>0</v>
      </c>
      <c r="U266" s="8">
        <f>IFERROR(__xludf.DUMMYFUNCTION("""COMPUTED_VALUE"""),0.0)</f>
        <v>0</v>
      </c>
      <c r="V266" s="8">
        <f>IFERROR(__xludf.DUMMYFUNCTION("""COMPUTED_VALUE"""),0.0)</f>
        <v>0</v>
      </c>
      <c r="W266" s="8">
        <f>IFERROR(__xludf.DUMMYFUNCTION("""COMPUTED_VALUE"""),0.0)</f>
        <v>0</v>
      </c>
      <c r="X266" s="8">
        <f>IFERROR(__xludf.DUMMYFUNCTION("""COMPUTED_VALUE"""),0.0)</f>
        <v>0</v>
      </c>
      <c r="Y266" s="8">
        <f>IFERROR(__xludf.DUMMYFUNCTION("""COMPUTED_VALUE"""),0.0)</f>
        <v>0</v>
      </c>
      <c r="Z266" s="8">
        <f>IFERROR(__xludf.DUMMYFUNCTION("""COMPUTED_VALUE"""),0.0)</f>
        <v>0</v>
      </c>
      <c r="AA266" s="8">
        <f>IFERROR(__xludf.DUMMYFUNCTION("""COMPUTED_VALUE"""),0.0)</f>
        <v>0</v>
      </c>
      <c r="AB266" s="8">
        <f>IFERROR(__xludf.DUMMYFUNCTION("""COMPUTED_VALUE"""),0.0)</f>
        <v>0</v>
      </c>
      <c r="AC266" s="8">
        <f>IFERROR(__xludf.DUMMYFUNCTION("""COMPUTED_VALUE"""),0.0)</f>
        <v>0</v>
      </c>
    </row>
    <row r="267" ht="15.75" customHeight="1">
      <c r="A267" s="6" t="str">
        <f>IFERROR(__xludf.DUMMYFUNCTION("""COMPUTED_VALUE"""),"f2ec53ac7f98813aea65ea59e50f32077fe08707")</f>
        <v>f2ec53ac7f98813aea65ea59e50f32077fe08707</v>
      </c>
      <c r="B267" s="6" t="str">
        <f>IFERROR(__xludf.DUMMYFUNCTION("""COMPUTED_VALUE"""),"The Forbidden Kiss")</f>
        <v>The Forbidden Kiss</v>
      </c>
      <c r="C267" s="6" t="str">
        <f>IFERROR(__xludf.DUMMYFUNCTION("""COMPUTED_VALUE"""),"Romance")</f>
        <v>Romance</v>
      </c>
      <c r="D267" s="11">
        <f>IFERROR(__xludf.DUMMYFUNCTION("""COMPUTED_VALUE"""),341.0)</f>
        <v>341</v>
      </c>
      <c r="E267" s="8">
        <f>IFERROR(__xludf.DUMMYFUNCTION("""COMPUTED_VALUE"""),0.978193146417445)</f>
        <v>0.9781931464</v>
      </c>
      <c r="F267" s="8">
        <f>IFERROR(__xludf.DUMMYFUNCTION("""COMPUTED_VALUE"""),0.547038327526132)</f>
        <v>0.5470383275</v>
      </c>
      <c r="G267" s="8">
        <f>IFERROR(__xludf.DUMMYFUNCTION("""COMPUTED_VALUE"""),0.459558823529411)</f>
        <v>0.4595588235</v>
      </c>
      <c r="H267" s="8">
        <f>IFERROR(__xludf.DUMMYFUNCTION("""COMPUTED_VALUE"""),0.388185654008438)</f>
        <v>0.388185654</v>
      </c>
      <c r="I267" s="8">
        <f>IFERROR(__xludf.DUMMYFUNCTION("""COMPUTED_VALUE"""),0.342222222222222)</f>
        <v>0.3422222222</v>
      </c>
      <c r="J267" s="8">
        <f>IFERROR(__xludf.DUMMYFUNCTION("""COMPUTED_VALUE"""),0.308056872037914)</f>
        <v>0.308056872</v>
      </c>
      <c r="K267" s="8">
        <f>IFERROR(__xludf.DUMMYFUNCTION("""COMPUTED_VALUE"""),0.284313725490196)</f>
        <v>0.2843137255</v>
      </c>
      <c r="L267" s="8">
        <f>IFERROR(__xludf.DUMMYFUNCTION("""COMPUTED_VALUE"""),0.272727272727272)</f>
        <v>0.2727272727</v>
      </c>
      <c r="M267" s="8">
        <f>IFERROR(__xludf.DUMMYFUNCTION("""COMPUTED_VALUE"""),0.272151898734177)</f>
        <v>0.2721518987</v>
      </c>
      <c r="N267" s="8">
        <f>IFERROR(__xludf.DUMMYFUNCTION("""COMPUTED_VALUE"""),0.27433628318584)</f>
        <v>0.2743362832</v>
      </c>
      <c r="O267" s="8">
        <f>IFERROR(__xludf.DUMMYFUNCTION("""COMPUTED_VALUE"""),0.245283018867924)</f>
        <v>0.2452830189</v>
      </c>
      <c r="P267" s="8">
        <f>IFERROR(__xludf.DUMMYFUNCTION("""COMPUTED_VALUE"""),0.137254901960784)</f>
        <v>0.137254902</v>
      </c>
      <c r="Q267" s="8">
        <f>IFERROR(__xludf.DUMMYFUNCTION("""COMPUTED_VALUE"""),0.133333333333333)</f>
        <v>0.1333333333</v>
      </c>
      <c r="R267" s="8">
        <f>IFERROR(__xludf.DUMMYFUNCTION("""COMPUTED_VALUE"""),0.0909090909090909)</f>
        <v>0.09090909091</v>
      </c>
      <c r="S267" s="8">
        <f>IFERROR(__xludf.DUMMYFUNCTION("""COMPUTED_VALUE"""),0.0)</f>
        <v>0</v>
      </c>
      <c r="T267" s="8">
        <f>IFERROR(__xludf.DUMMYFUNCTION("""COMPUTED_VALUE"""),0.0)</f>
        <v>0</v>
      </c>
      <c r="U267" s="8">
        <f>IFERROR(__xludf.DUMMYFUNCTION("""COMPUTED_VALUE"""),0.0)</f>
        <v>0</v>
      </c>
      <c r="V267" s="8">
        <f>IFERROR(__xludf.DUMMYFUNCTION("""COMPUTED_VALUE"""),0.0)</f>
        <v>0</v>
      </c>
      <c r="W267" s="8">
        <f>IFERROR(__xludf.DUMMYFUNCTION("""COMPUTED_VALUE"""),0.0)</f>
        <v>0</v>
      </c>
      <c r="X267" s="8">
        <f>IFERROR(__xludf.DUMMYFUNCTION("""COMPUTED_VALUE"""),0.0)</f>
        <v>0</v>
      </c>
      <c r="Y267" s="8">
        <f>IFERROR(__xludf.DUMMYFUNCTION("""COMPUTED_VALUE"""),0.0)</f>
        <v>0</v>
      </c>
      <c r="Z267" s="8">
        <f>IFERROR(__xludf.DUMMYFUNCTION("""COMPUTED_VALUE"""),0.0)</f>
        <v>0</v>
      </c>
      <c r="AA267" s="8">
        <f>IFERROR(__xludf.DUMMYFUNCTION("""COMPUTED_VALUE"""),0.0)</f>
        <v>0</v>
      </c>
      <c r="AB267" s="8">
        <f>IFERROR(__xludf.DUMMYFUNCTION("""COMPUTED_VALUE"""),0.0)</f>
        <v>0</v>
      </c>
      <c r="AC267" s="8">
        <f>IFERROR(__xludf.DUMMYFUNCTION("""COMPUTED_VALUE"""),0.0)</f>
        <v>0</v>
      </c>
    </row>
    <row r="268" ht="15.75" customHeight="1">
      <c r="A268" s="6" t="str">
        <f>IFERROR(__xludf.DUMMYFUNCTION("""COMPUTED_VALUE"""),"f32ed59a93a11812f5a5a57e2c663028b1c65f89")</f>
        <v>f32ed59a93a11812f5a5a57e2c663028b1c65f89</v>
      </c>
      <c r="B268" s="6" t="str">
        <f>IFERROR(__xludf.DUMMYFUNCTION("""COMPUTED_VALUE"""),"Trillionaire Sterling")</f>
        <v>Trillionaire Sterling</v>
      </c>
      <c r="C268" s="6" t="str">
        <f>IFERROR(__xludf.DUMMYFUNCTION("""COMPUTED_VALUE"""),"Fantasy")</f>
        <v>Fantasy</v>
      </c>
      <c r="D268" s="11">
        <f>IFERROR(__xludf.DUMMYFUNCTION("""COMPUTED_VALUE"""),7742.0)</f>
        <v>7742</v>
      </c>
      <c r="E268" s="8">
        <f>IFERROR(__xludf.DUMMYFUNCTION("""COMPUTED_VALUE"""),0.940956072351421)</f>
        <v>0.9409560724</v>
      </c>
      <c r="F268" s="8">
        <f>IFERROR(__xludf.DUMMYFUNCTION("""COMPUTED_VALUE"""),0.670245795601552)</f>
        <v>0.6702457956</v>
      </c>
      <c r="G268" s="8">
        <f>IFERROR(__xludf.DUMMYFUNCTION("""COMPUTED_VALUE"""),0.620390736188381)</f>
        <v>0.6203907362</v>
      </c>
      <c r="H268" s="8">
        <f>IFERROR(__xludf.DUMMYFUNCTION("""COMPUTED_VALUE"""),0.592875647668393)</f>
        <v>0.5928756477</v>
      </c>
      <c r="I268" s="8">
        <f>IFERROR(__xludf.DUMMYFUNCTION("""COMPUTED_VALUE"""),0.57148412184057)</f>
        <v>0.5714841218</v>
      </c>
      <c r="J268" s="8">
        <f>IFERROR(__xludf.DUMMYFUNCTION("""COMPUTED_VALUE"""),0.554155844155844)</f>
        <v>0.5541558442</v>
      </c>
      <c r="K268" s="8">
        <f>IFERROR(__xludf.DUMMYFUNCTION("""COMPUTED_VALUE"""),0.541623309053069)</f>
        <v>0.5416233091</v>
      </c>
      <c r="L268" s="8">
        <f>IFERROR(__xludf.DUMMYFUNCTION("""COMPUTED_VALUE"""),0.531551499348109)</f>
        <v>0.5315514993</v>
      </c>
      <c r="M268" s="8">
        <f>IFERROR(__xludf.DUMMYFUNCTION("""COMPUTED_VALUE"""),0.524680073126142)</f>
        <v>0.5246800731</v>
      </c>
      <c r="N268" s="8">
        <f>IFERROR(__xludf.DUMMYFUNCTION("""COMPUTED_VALUE"""),0.518911137285695)</f>
        <v>0.5189111373</v>
      </c>
      <c r="O268" s="8">
        <f>IFERROR(__xludf.DUMMYFUNCTION("""COMPUTED_VALUE"""),0.477044854881266)</f>
        <v>0.4770448549</v>
      </c>
      <c r="P268" s="8">
        <f>IFERROR(__xludf.DUMMYFUNCTION("""COMPUTED_VALUE"""),0.404465837678834)</f>
        <v>0.4044658377</v>
      </c>
      <c r="Q268" s="8">
        <f>IFERROR(__xludf.DUMMYFUNCTION("""COMPUTED_VALUE"""),0.335568632817845)</f>
        <v>0.3355686328</v>
      </c>
      <c r="R268" s="8">
        <f>IFERROR(__xludf.DUMMYFUNCTION("""COMPUTED_VALUE"""),0.270718232044198)</f>
        <v>0.270718232</v>
      </c>
      <c r="S268" s="8">
        <f>IFERROR(__xludf.DUMMYFUNCTION("""COMPUTED_VALUE"""),0.232882087502452)</f>
        <v>0.2328820875</v>
      </c>
      <c r="T268" s="8">
        <f>IFERROR(__xludf.DUMMYFUNCTION("""COMPUTED_VALUE"""),0.15443803242649)</f>
        <v>0.1544380324</v>
      </c>
      <c r="U268" s="8">
        <f>IFERROR(__xludf.DUMMYFUNCTION("""COMPUTED_VALUE"""),0.085137614678899)</f>
        <v>0.08513761468</v>
      </c>
      <c r="V268" s="8">
        <f>IFERROR(__xludf.DUMMYFUNCTION("""COMPUTED_VALUE"""),0.0834845735027223)</f>
        <v>0.0834845735</v>
      </c>
      <c r="W268" s="8">
        <f>IFERROR(__xludf.DUMMYFUNCTION("""COMPUTED_VALUE"""),0.0497835497835497)</f>
        <v>0.04978354978</v>
      </c>
      <c r="X268" s="8">
        <f>IFERROR(__xludf.DUMMYFUNCTION("""COMPUTED_VALUE"""),0.0)</f>
        <v>0</v>
      </c>
      <c r="Y268" s="8">
        <f>IFERROR(__xludf.DUMMYFUNCTION("""COMPUTED_VALUE"""),0.0)</f>
        <v>0</v>
      </c>
      <c r="Z268" s="8">
        <f>IFERROR(__xludf.DUMMYFUNCTION("""COMPUTED_VALUE"""),0.0)</f>
        <v>0</v>
      </c>
      <c r="AA268" s="8">
        <f>IFERROR(__xludf.DUMMYFUNCTION("""COMPUTED_VALUE"""),0.0)</f>
        <v>0</v>
      </c>
      <c r="AB268" s="8">
        <f>IFERROR(__xludf.DUMMYFUNCTION("""COMPUTED_VALUE"""),0.0)</f>
        <v>0</v>
      </c>
      <c r="AC268" s="8">
        <f>IFERROR(__xludf.DUMMYFUNCTION("""COMPUTED_VALUE"""),0.0)</f>
        <v>0</v>
      </c>
    </row>
    <row r="269" ht="15.75" customHeight="1">
      <c r="A269" s="6" t="str">
        <f>IFERROR(__xludf.DUMMYFUNCTION("""COMPUTED_VALUE"""),"f3b45a9b931b38c0315d82ad645b9e45b513664b")</f>
        <v>f3b45a9b931b38c0315d82ad645b9e45b513664b</v>
      </c>
      <c r="B269" s="6" t="str">
        <f>IFERROR(__xludf.DUMMYFUNCTION("""COMPUTED_VALUE"""),"Reborn as a Golblin?!")</f>
        <v>Reborn as a Golblin?!</v>
      </c>
      <c r="C269" s="6" t="str">
        <f>IFERROR(__xludf.DUMMYFUNCTION("""COMPUTED_VALUE"""),"System and Superpower")</f>
        <v>System and Superpower</v>
      </c>
      <c r="D269" s="11">
        <f>IFERROR(__xludf.DUMMYFUNCTION("""COMPUTED_VALUE"""),479.0)</f>
        <v>479</v>
      </c>
      <c r="E269" s="8">
        <f>IFERROR(__xludf.DUMMYFUNCTION("""COMPUTED_VALUE"""),0.997912317327766)</f>
        <v>0.9979123173</v>
      </c>
      <c r="F269" s="8">
        <f>IFERROR(__xludf.DUMMYFUNCTION("""COMPUTED_VALUE"""),0.676470588235294)</f>
        <v>0.6764705882</v>
      </c>
      <c r="G269" s="8">
        <f>IFERROR(__xludf.DUMMYFUNCTION("""COMPUTED_VALUE"""),0.596638655462184)</f>
        <v>0.5966386555</v>
      </c>
      <c r="H269" s="8">
        <f>IFERROR(__xludf.DUMMYFUNCTION("""COMPUTED_VALUE"""),0.504255319148936)</f>
        <v>0.5042553191</v>
      </c>
      <c r="I269" s="8">
        <f>IFERROR(__xludf.DUMMYFUNCTION("""COMPUTED_VALUE"""),0.455913978494623)</f>
        <v>0.4559139785</v>
      </c>
      <c r="J269" s="8">
        <f>IFERROR(__xludf.DUMMYFUNCTION("""COMPUTED_VALUE"""),0.388157894736842)</f>
        <v>0.3881578947</v>
      </c>
      <c r="K269" s="8">
        <f>IFERROR(__xludf.DUMMYFUNCTION("""COMPUTED_VALUE"""),0.368888888888888)</f>
        <v>0.3688888889</v>
      </c>
      <c r="L269" s="8">
        <f>IFERROR(__xludf.DUMMYFUNCTION("""COMPUTED_VALUE"""),0.326876513317191)</f>
        <v>0.3268765133</v>
      </c>
      <c r="M269" s="8">
        <f>IFERROR(__xludf.DUMMYFUNCTION("""COMPUTED_VALUE"""),0.293785310734463)</f>
        <v>0.2937853107</v>
      </c>
      <c r="N269" s="8">
        <f>IFERROR(__xludf.DUMMYFUNCTION("""COMPUTED_VALUE"""),0.281914893617021)</f>
        <v>0.2819148936</v>
      </c>
      <c r="O269" s="8">
        <f>IFERROR(__xludf.DUMMYFUNCTION("""COMPUTED_VALUE"""),0.285714285714285)</f>
        <v>0.2857142857</v>
      </c>
      <c r="P269" s="8">
        <f>IFERROR(__xludf.DUMMYFUNCTION("""COMPUTED_VALUE"""),0.0)</f>
        <v>0</v>
      </c>
      <c r="Q269" s="8">
        <f>IFERROR(__xludf.DUMMYFUNCTION("""COMPUTED_VALUE"""),0.0)</f>
        <v>0</v>
      </c>
      <c r="R269" s="8">
        <f>IFERROR(__xludf.DUMMYFUNCTION("""COMPUTED_VALUE"""),0.0)</f>
        <v>0</v>
      </c>
      <c r="S269" s="8">
        <f>IFERROR(__xludf.DUMMYFUNCTION("""COMPUTED_VALUE"""),0.0)</f>
        <v>0</v>
      </c>
      <c r="T269" s="8">
        <f>IFERROR(__xludf.DUMMYFUNCTION("""COMPUTED_VALUE"""),0.0)</f>
        <v>0</v>
      </c>
      <c r="U269" s="8">
        <f>IFERROR(__xludf.DUMMYFUNCTION("""COMPUTED_VALUE"""),0.0)</f>
        <v>0</v>
      </c>
      <c r="V269" s="8">
        <f>IFERROR(__xludf.DUMMYFUNCTION("""COMPUTED_VALUE"""),0.0)</f>
        <v>0</v>
      </c>
      <c r="W269" s="8">
        <f>IFERROR(__xludf.DUMMYFUNCTION("""COMPUTED_VALUE"""),0.0)</f>
        <v>0</v>
      </c>
      <c r="X269" s="8">
        <f>IFERROR(__xludf.DUMMYFUNCTION("""COMPUTED_VALUE"""),0.0)</f>
        <v>0</v>
      </c>
      <c r="Y269" s="8">
        <f>IFERROR(__xludf.DUMMYFUNCTION("""COMPUTED_VALUE"""),0.0)</f>
        <v>0</v>
      </c>
      <c r="Z269" s="8">
        <f>IFERROR(__xludf.DUMMYFUNCTION("""COMPUTED_VALUE"""),0.0)</f>
        <v>0</v>
      </c>
      <c r="AA269" s="8">
        <f>IFERROR(__xludf.DUMMYFUNCTION("""COMPUTED_VALUE"""),0.0)</f>
        <v>0</v>
      </c>
      <c r="AB269" s="8">
        <f>IFERROR(__xludf.DUMMYFUNCTION("""COMPUTED_VALUE"""),0.0)</f>
        <v>0</v>
      </c>
      <c r="AC269" s="8">
        <f>IFERROR(__xludf.DUMMYFUNCTION("""COMPUTED_VALUE"""),0.0)</f>
        <v>0</v>
      </c>
    </row>
    <row r="270" ht="15.75" customHeight="1">
      <c r="A270" s="6" t="str">
        <f>IFERROR(__xludf.DUMMYFUNCTION("""COMPUTED_VALUE"""),"f47e2c3c03d765bd054b92de405403a6c90b8d7f")</f>
        <v>f47e2c3c03d765bd054b92de405403a6c90b8d7f</v>
      </c>
      <c r="B270" s="6" t="str">
        <f>IFERROR(__xludf.DUMMYFUNCTION("""COMPUTED_VALUE"""),"It Was You Mister Cross")</f>
        <v>It Was You Mister Cross</v>
      </c>
      <c r="C270" s="6" t="str">
        <f>IFERROR(__xludf.DUMMYFUNCTION("""COMPUTED_VALUE"""),"Romance")</f>
        <v>Romance</v>
      </c>
      <c r="D270" s="11">
        <f>IFERROR(__xludf.DUMMYFUNCTION("""COMPUTED_VALUE"""),86.0)</f>
        <v>86</v>
      </c>
      <c r="E270" s="8">
        <f>IFERROR(__xludf.DUMMYFUNCTION("""COMPUTED_VALUE"""),0.941176470588235)</f>
        <v>0.9411764706</v>
      </c>
      <c r="F270" s="8">
        <f>IFERROR(__xludf.DUMMYFUNCTION("""COMPUTED_VALUE"""),0.635294117647058)</f>
        <v>0.6352941176</v>
      </c>
      <c r="G270" s="8">
        <f>IFERROR(__xludf.DUMMYFUNCTION("""COMPUTED_VALUE"""),0.6)</f>
        <v>0.6</v>
      </c>
      <c r="H270" s="8">
        <f>IFERROR(__xludf.DUMMYFUNCTION("""COMPUTED_VALUE"""),0.517647058823529)</f>
        <v>0.5176470588</v>
      </c>
      <c r="I270" s="8">
        <f>IFERROR(__xludf.DUMMYFUNCTION("""COMPUTED_VALUE"""),0.517647058823529)</f>
        <v>0.5176470588</v>
      </c>
      <c r="J270" s="8">
        <f>IFERROR(__xludf.DUMMYFUNCTION("""COMPUTED_VALUE"""),0.529411764705882)</f>
        <v>0.5294117647</v>
      </c>
      <c r="K270" s="8">
        <f>IFERROR(__xludf.DUMMYFUNCTION("""COMPUTED_VALUE"""),0.435294117647058)</f>
        <v>0.4352941176</v>
      </c>
      <c r="L270" s="8">
        <f>IFERROR(__xludf.DUMMYFUNCTION("""COMPUTED_VALUE"""),0.411764705882352)</f>
        <v>0.4117647059</v>
      </c>
      <c r="M270" s="8">
        <f>IFERROR(__xludf.DUMMYFUNCTION("""COMPUTED_VALUE"""),0.363636363636363)</f>
        <v>0.3636363636</v>
      </c>
      <c r="N270" s="8">
        <f>IFERROR(__xludf.DUMMYFUNCTION("""COMPUTED_VALUE"""),0.402597402597402)</f>
        <v>0.4025974026</v>
      </c>
      <c r="O270" s="8">
        <f>IFERROR(__xludf.DUMMYFUNCTION("""COMPUTED_VALUE"""),0.263157894736842)</f>
        <v>0.2631578947</v>
      </c>
      <c r="P270" s="8">
        <f>IFERROR(__xludf.DUMMYFUNCTION("""COMPUTED_VALUE"""),0.202702702702702)</f>
        <v>0.2027027027</v>
      </c>
      <c r="Q270" s="8">
        <f>IFERROR(__xludf.DUMMYFUNCTION("""COMPUTED_VALUE"""),0.0857142857142857)</f>
        <v>0.08571428571</v>
      </c>
      <c r="R270" s="8">
        <f>IFERROR(__xludf.DUMMYFUNCTION("""COMPUTED_VALUE"""),0.0612244897959183)</f>
        <v>0.0612244898</v>
      </c>
      <c r="S270" s="8">
        <f>IFERROR(__xludf.DUMMYFUNCTION("""COMPUTED_VALUE"""),0.0)</f>
        <v>0</v>
      </c>
      <c r="T270" s="8">
        <f>IFERROR(__xludf.DUMMYFUNCTION("""COMPUTED_VALUE"""),0.0)</f>
        <v>0</v>
      </c>
      <c r="U270" s="8">
        <f>IFERROR(__xludf.DUMMYFUNCTION("""COMPUTED_VALUE"""),0.0)</f>
        <v>0</v>
      </c>
      <c r="V270" s="8">
        <f>IFERROR(__xludf.DUMMYFUNCTION("""COMPUTED_VALUE"""),0.0)</f>
        <v>0</v>
      </c>
      <c r="W270" s="8">
        <f>IFERROR(__xludf.DUMMYFUNCTION("""COMPUTED_VALUE"""),0.0)</f>
        <v>0</v>
      </c>
      <c r="X270" s="8">
        <f>IFERROR(__xludf.DUMMYFUNCTION("""COMPUTED_VALUE"""),0.0)</f>
        <v>0</v>
      </c>
      <c r="Y270" s="8">
        <f>IFERROR(__xludf.DUMMYFUNCTION("""COMPUTED_VALUE"""),0.0)</f>
        <v>0</v>
      </c>
      <c r="Z270" s="8">
        <f>IFERROR(__xludf.DUMMYFUNCTION("""COMPUTED_VALUE"""),0.0)</f>
        <v>0</v>
      </c>
      <c r="AA270" s="8">
        <f>IFERROR(__xludf.DUMMYFUNCTION("""COMPUTED_VALUE"""),0.0)</f>
        <v>0</v>
      </c>
      <c r="AB270" s="8">
        <f>IFERROR(__xludf.DUMMYFUNCTION("""COMPUTED_VALUE"""),0.0)</f>
        <v>0</v>
      </c>
      <c r="AC270" s="8">
        <f>IFERROR(__xludf.DUMMYFUNCTION("""COMPUTED_VALUE"""),0.0)</f>
        <v>0</v>
      </c>
    </row>
    <row r="271" ht="15.75" customHeight="1">
      <c r="A271" s="6" t="str">
        <f>IFERROR(__xludf.DUMMYFUNCTION("""COMPUTED_VALUE"""),"f55e0806430f9f979b0bfc889bab608a05d8bb5b")</f>
        <v>f55e0806430f9f979b0bfc889bab608a05d8bb5b</v>
      </c>
      <c r="B271" s="6" t="str">
        <f>IFERROR(__xludf.DUMMYFUNCTION("""COMPUTED_VALUE"""),"Light of a New World")</f>
        <v>Light of a New World</v>
      </c>
      <c r="C271" s="6" t="str">
        <f>IFERROR(__xludf.DUMMYFUNCTION("""COMPUTED_VALUE"""),"Sci-Fi")</f>
        <v>Sci-Fi</v>
      </c>
      <c r="D271" s="11">
        <f>IFERROR(__xludf.DUMMYFUNCTION("""COMPUTED_VALUE"""),348.0)</f>
        <v>348</v>
      </c>
      <c r="E271" s="8">
        <f>IFERROR(__xludf.DUMMYFUNCTION("""COMPUTED_VALUE"""),0.991279069767441)</f>
        <v>0.9912790698</v>
      </c>
      <c r="F271" s="8">
        <f>IFERROR(__xludf.DUMMYFUNCTION("""COMPUTED_VALUE"""),0.402941176470588)</f>
        <v>0.4029411765</v>
      </c>
      <c r="G271" s="8">
        <f>IFERROR(__xludf.DUMMYFUNCTION("""COMPUTED_VALUE"""),0.321428571428571)</f>
        <v>0.3214285714</v>
      </c>
      <c r="H271" s="8">
        <f>IFERROR(__xludf.DUMMYFUNCTION("""COMPUTED_VALUE"""),0.258258258258258)</f>
        <v>0.2582582583</v>
      </c>
      <c r="I271" s="8">
        <f>IFERROR(__xludf.DUMMYFUNCTION("""COMPUTED_VALUE"""),0.192192192192192)</f>
        <v>0.1921921922</v>
      </c>
      <c r="J271" s="8">
        <f>IFERROR(__xludf.DUMMYFUNCTION("""COMPUTED_VALUE"""),0.166163141993957)</f>
        <v>0.166163142</v>
      </c>
      <c r="K271" s="8">
        <f>IFERROR(__xludf.DUMMYFUNCTION("""COMPUTED_VALUE"""),0.141993957703927)</f>
        <v>0.1419939577</v>
      </c>
      <c r="L271" s="8">
        <f>IFERROR(__xludf.DUMMYFUNCTION("""COMPUTED_VALUE"""),0.108761329305135)</f>
        <v>0.1087613293</v>
      </c>
      <c r="M271" s="8">
        <f>IFERROR(__xludf.DUMMYFUNCTION("""COMPUTED_VALUE"""),0.0845921450151057)</f>
        <v>0.08459214502</v>
      </c>
      <c r="N271" s="8">
        <f>IFERROR(__xludf.DUMMYFUNCTION("""COMPUTED_VALUE"""),0.0755287009063444)</f>
        <v>0.07552870091</v>
      </c>
      <c r="O271" s="8">
        <f>IFERROR(__xludf.DUMMYFUNCTION("""COMPUTED_VALUE"""),0.0604229607250755)</f>
        <v>0.06042296073</v>
      </c>
      <c r="P271" s="8">
        <f>IFERROR(__xludf.DUMMYFUNCTION("""COMPUTED_VALUE"""),0.0458715596330275)</f>
        <v>0.04587155963</v>
      </c>
      <c r="Q271" s="8">
        <f>IFERROR(__xludf.DUMMYFUNCTION("""COMPUTED_VALUE"""),0.0184615384615384)</f>
        <v>0.01846153846</v>
      </c>
      <c r="R271" s="8">
        <f>IFERROR(__xludf.DUMMYFUNCTION("""COMPUTED_VALUE"""),0.0123839009287925)</f>
        <v>0.01238390093</v>
      </c>
      <c r="S271" s="8">
        <f>IFERROR(__xludf.DUMMYFUNCTION("""COMPUTED_VALUE"""),0.00643086816720257)</f>
        <v>0.006430868167</v>
      </c>
      <c r="T271" s="8">
        <f>IFERROR(__xludf.DUMMYFUNCTION("""COMPUTED_VALUE"""),0.00677966101694915)</f>
        <v>0.006779661017</v>
      </c>
      <c r="U271" s="8">
        <f>IFERROR(__xludf.DUMMYFUNCTION("""COMPUTED_VALUE"""),0.00706713780918727)</f>
        <v>0.007067137809</v>
      </c>
      <c r="V271" s="8">
        <f>IFERROR(__xludf.DUMMYFUNCTION("""COMPUTED_VALUE"""),0.005)</f>
        <v>0.005</v>
      </c>
      <c r="W271" s="8">
        <f>IFERROR(__xludf.DUMMYFUNCTION("""COMPUTED_VALUE"""),0.0)</f>
        <v>0</v>
      </c>
      <c r="X271" s="8">
        <f>IFERROR(__xludf.DUMMYFUNCTION("""COMPUTED_VALUE"""),0.0)</f>
        <v>0</v>
      </c>
      <c r="Y271" s="8">
        <f>IFERROR(__xludf.DUMMYFUNCTION("""COMPUTED_VALUE"""),0.0)</f>
        <v>0</v>
      </c>
      <c r="Z271" s="8">
        <f>IFERROR(__xludf.DUMMYFUNCTION("""COMPUTED_VALUE"""),0.0)</f>
        <v>0</v>
      </c>
      <c r="AA271" s="8">
        <f>IFERROR(__xludf.DUMMYFUNCTION("""COMPUTED_VALUE"""),0.0)</f>
        <v>0</v>
      </c>
      <c r="AB271" s="8">
        <f>IFERROR(__xludf.DUMMYFUNCTION("""COMPUTED_VALUE"""),0.0)</f>
        <v>0</v>
      </c>
      <c r="AC271" s="8">
        <f>IFERROR(__xludf.DUMMYFUNCTION("""COMPUTED_VALUE"""),0.0)</f>
        <v>0</v>
      </c>
    </row>
    <row r="272" ht="15.75" customHeight="1">
      <c r="A272" s="6" t="str">
        <f>IFERROR(__xludf.DUMMYFUNCTION("""COMPUTED_VALUE"""),"f692474d2ac3ef329a93f72cfedf44bceaced5f1")</f>
        <v>f692474d2ac3ef329a93f72cfedf44bceaced5f1</v>
      </c>
      <c r="B272" s="6" t="str">
        <f>IFERROR(__xludf.DUMMYFUNCTION("""COMPUTED_VALUE"""),"Kingsley Reigns")</f>
        <v>Kingsley Reigns</v>
      </c>
      <c r="C272" s="6" t="str">
        <f>IFERROR(__xludf.DUMMYFUNCTION("""COMPUTED_VALUE"""),"Drama")</f>
        <v>Drama</v>
      </c>
      <c r="D272" s="11">
        <f>IFERROR(__xludf.DUMMYFUNCTION("""COMPUTED_VALUE"""),4775.0)</f>
        <v>4775</v>
      </c>
      <c r="E272" s="8">
        <f>IFERROR(__xludf.DUMMYFUNCTION("""COMPUTED_VALUE"""),0.936531210724759)</f>
        <v>0.9365312107</v>
      </c>
      <c r="F272" s="8">
        <f>IFERROR(__xludf.DUMMYFUNCTION("""COMPUTED_VALUE"""),0.614207879295892)</f>
        <v>0.6142078793</v>
      </c>
      <c r="G272" s="8">
        <f>IFERROR(__xludf.DUMMYFUNCTION("""COMPUTED_VALUE"""),0.572207084468664)</f>
        <v>0.5722070845</v>
      </c>
      <c r="H272" s="8">
        <f>IFERROR(__xludf.DUMMYFUNCTION("""COMPUTED_VALUE"""),0.545607045502201)</f>
        <v>0.5456070455</v>
      </c>
      <c r="I272" s="8">
        <f>IFERROR(__xludf.DUMMYFUNCTION("""COMPUTED_VALUE"""),0.530201342281879)</f>
        <v>0.5302013423</v>
      </c>
      <c r="J272" s="8">
        <f>IFERROR(__xludf.DUMMYFUNCTION("""COMPUTED_VALUE"""),0.51101321585903)</f>
        <v>0.5110132159</v>
      </c>
      <c r="K272" s="8">
        <f>IFERROR(__xludf.DUMMYFUNCTION("""COMPUTED_VALUE"""),0.492343192783721)</f>
        <v>0.4923431928</v>
      </c>
      <c r="L272" s="8">
        <f>IFERROR(__xludf.DUMMYFUNCTION("""COMPUTED_VALUE"""),0.47691984892992)</f>
        <v>0.4769198489</v>
      </c>
      <c r="M272" s="8">
        <f>IFERROR(__xludf.DUMMYFUNCTION("""COMPUTED_VALUE"""),0.468527066722618)</f>
        <v>0.4685270667</v>
      </c>
      <c r="N272" s="8">
        <f>IFERROR(__xludf.DUMMYFUNCTION("""COMPUTED_VALUE"""),0.463993281545244)</f>
        <v>0.4639932815</v>
      </c>
      <c r="O272" s="8">
        <f>IFERROR(__xludf.DUMMYFUNCTION("""COMPUTED_VALUE"""),0.431698589770574)</f>
        <v>0.4316985898</v>
      </c>
      <c r="P272" s="8">
        <f>IFERROR(__xludf.DUMMYFUNCTION("""COMPUTED_VALUE"""),0.362410450906026)</f>
        <v>0.3624104509</v>
      </c>
      <c r="Q272" s="8">
        <f>IFERROR(__xludf.DUMMYFUNCTION("""COMPUTED_VALUE"""),0.283512771796495)</f>
        <v>0.2835127718</v>
      </c>
      <c r="R272" s="8">
        <f>IFERROR(__xludf.DUMMYFUNCTION("""COMPUTED_VALUE"""),0.244232804232804)</f>
        <v>0.2442328042</v>
      </c>
      <c r="S272" s="8">
        <f>IFERROR(__xludf.DUMMYFUNCTION("""COMPUTED_VALUE"""),0.225776754890678)</f>
        <v>0.2257767549</v>
      </c>
      <c r="T272" s="8">
        <f>IFERROR(__xludf.DUMMYFUNCTION("""COMPUTED_VALUE"""),0.199183673469387)</f>
        <v>0.1991836735</v>
      </c>
      <c r="U272" s="8">
        <f>IFERROR(__xludf.DUMMYFUNCTION("""COMPUTED_VALUE"""),0.18146611341632)</f>
        <v>0.1814661134</v>
      </c>
      <c r="V272" s="8">
        <f>IFERROR(__xludf.DUMMYFUNCTION("""COMPUTED_VALUE"""),0.165451055662188)</f>
        <v>0.1654510557</v>
      </c>
      <c r="W272" s="8">
        <f>IFERROR(__xludf.DUMMYFUNCTION("""COMPUTED_VALUE"""),0.137155963302752)</f>
        <v>0.1371559633</v>
      </c>
      <c r="X272" s="8">
        <f>IFERROR(__xludf.DUMMYFUNCTION("""COMPUTED_VALUE"""),0.10733137829912)</f>
        <v>0.1073313783</v>
      </c>
      <c r="Y272" s="8">
        <f>IFERROR(__xludf.DUMMYFUNCTION("""COMPUTED_VALUE"""),0.0845808383233533)</f>
        <v>0.08458083832</v>
      </c>
      <c r="Z272" s="8">
        <f>IFERROR(__xludf.DUMMYFUNCTION("""COMPUTED_VALUE"""),0.0554216867469879)</f>
        <v>0.05542168675</v>
      </c>
      <c r="AA272" s="8">
        <f>IFERROR(__xludf.DUMMYFUNCTION("""COMPUTED_VALUE"""),0.0262008733624454)</f>
        <v>0.02620087336</v>
      </c>
      <c r="AB272" s="8">
        <f>IFERROR(__xludf.DUMMYFUNCTION("""COMPUTED_VALUE"""),0.0190217391304347)</f>
        <v>0.01902173913</v>
      </c>
      <c r="AC272" s="8">
        <f>IFERROR(__xludf.DUMMYFUNCTION("""COMPUTED_VALUE"""),0.0161290322580645)</f>
        <v>0.01612903226</v>
      </c>
    </row>
    <row r="273" ht="15.75" customHeight="1">
      <c r="A273" s="6" t="str">
        <f>IFERROR(__xludf.DUMMYFUNCTION("""COMPUTED_VALUE"""),"f6ea1ee253b53b8124a4f7f92ae0a9ef960a044a")</f>
        <v>f6ea1ee253b53b8124a4f7f92ae0a9ef960a044a</v>
      </c>
      <c r="B273" s="6" t="str">
        <f>IFERROR(__xludf.DUMMYFUNCTION("""COMPUTED_VALUE"""),"Regret of the Ceo")</f>
        <v>Regret of the Ceo</v>
      </c>
      <c r="C273" s="6" t="str">
        <f>IFERROR(__xludf.DUMMYFUNCTION("""COMPUTED_VALUE"""),"Romance")</f>
        <v>Romance</v>
      </c>
      <c r="D273" s="11">
        <f>IFERROR(__xludf.DUMMYFUNCTION("""COMPUTED_VALUE"""),343.0)</f>
        <v>343</v>
      </c>
      <c r="E273" s="8">
        <f>IFERROR(__xludf.DUMMYFUNCTION("""COMPUTED_VALUE"""),0.952830188679245)</f>
        <v>0.9528301887</v>
      </c>
      <c r="F273" s="8">
        <f>IFERROR(__xludf.DUMMYFUNCTION("""COMPUTED_VALUE"""),0.798586572438162)</f>
        <v>0.7985865724</v>
      </c>
      <c r="G273" s="8">
        <f>IFERROR(__xludf.DUMMYFUNCTION("""COMPUTED_VALUE"""),0.763250883392226)</f>
        <v>0.7632508834</v>
      </c>
      <c r="H273" s="8">
        <f>IFERROR(__xludf.DUMMYFUNCTION("""COMPUTED_VALUE"""),0.710247349823321)</f>
        <v>0.7102473498</v>
      </c>
      <c r="I273" s="8">
        <f>IFERROR(__xludf.DUMMYFUNCTION("""COMPUTED_VALUE"""),0.639575971731448)</f>
        <v>0.6395759717</v>
      </c>
      <c r="J273" s="8">
        <f>IFERROR(__xludf.DUMMYFUNCTION("""COMPUTED_VALUE"""),0.548042704626334)</f>
        <v>0.5480427046</v>
      </c>
      <c r="K273" s="8">
        <f>IFERROR(__xludf.DUMMYFUNCTION("""COMPUTED_VALUE"""),0.501779359430605)</f>
        <v>0.5017793594</v>
      </c>
      <c r="L273" s="8">
        <f>IFERROR(__xludf.DUMMYFUNCTION("""COMPUTED_VALUE"""),0.448028673835125)</f>
        <v>0.4480286738</v>
      </c>
      <c r="M273" s="8">
        <f>IFERROR(__xludf.DUMMYFUNCTION("""COMPUTED_VALUE"""),0.384892086330935)</f>
        <v>0.3848920863</v>
      </c>
      <c r="N273" s="8">
        <f>IFERROR(__xludf.DUMMYFUNCTION("""COMPUTED_VALUE"""),0.364620938628158)</f>
        <v>0.3646209386</v>
      </c>
      <c r="O273" s="8">
        <f>IFERROR(__xludf.DUMMYFUNCTION("""COMPUTED_VALUE"""),0.281021897810218)</f>
        <v>0.2810218978</v>
      </c>
      <c r="P273" s="8">
        <f>IFERROR(__xludf.DUMMYFUNCTION("""COMPUTED_VALUE"""),0.213235294117647)</f>
        <v>0.2132352941</v>
      </c>
      <c r="Q273" s="8">
        <f>IFERROR(__xludf.DUMMYFUNCTION("""COMPUTED_VALUE"""),0.126637554585152)</f>
        <v>0.1266375546</v>
      </c>
      <c r="R273" s="8">
        <f>IFERROR(__xludf.DUMMYFUNCTION("""COMPUTED_VALUE"""),0.0588235294117647)</f>
        <v>0.05882352941</v>
      </c>
      <c r="S273" s="8">
        <f>IFERROR(__xludf.DUMMYFUNCTION("""COMPUTED_VALUE"""),0.0256410256410256)</f>
        <v>0.02564102564</v>
      </c>
      <c r="T273" s="8">
        <f>IFERROR(__xludf.DUMMYFUNCTION("""COMPUTED_VALUE"""),0.0)</f>
        <v>0</v>
      </c>
      <c r="U273" s="8">
        <f>IFERROR(__xludf.DUMMYFUNCTION("""COMPUTED_VALUE"""),0.0)</f>
        <v>0</v>
      </c>
      <c r="V273" s="8">
        <f>IFERROR(__xludf.DUMMYFUNCTION("""COMPUTED_VALUE"""),0.0)</f>
        <v>0</v>
      </c>
      <c r="W273" s="8">
        <f>IFERROR(__xludf.DUMMYFUNCTION("""COMPUTED_VALUE"""),0.0)</f>
        <v>0</v>
      </c>
      <c r="X273" s="8">
        <f>IFERROR(__xludf.DUMMYFUNCTION("""COMPUTED_VALUE"""),0.0)</f>
        <v>0</v>
      </c>
      <c r="Y273" s="8">
        <f>IFERROR(__xludf.DUMMYFUNCTION("""COMPUTED_VALUE"""),0.0)</f>
        <v>0</v>
      </c>
      <c r="Z273" s="8">
        <f>IFERROR(__xludf.DUMMYFUNCTION("""COMPUTED_VALUE"""),0.0)</f>
        <v>0</v>
      </c>
      <c r="AA273" s="8">
        <f>IFERROR(__xludf.DUMMYFUNCTION("""COMPUTED_VALUE"""),0.0)</f>
        <v>0</v>
      </c>
      <c r="AB273" s="8">
        <f>IFERROR(__xludf.DUMMYFUNCTION("""COMPUTED_VALUE"""),0.0)</f>
        <v>0</v>
      </c>
      <c r="AC273" s="8">
        <f>IFERROR(__xludf.DUMMYFUNCTION("""COMPUTED_VALUE"""),0.0)</f>
        <v>0</v>
      </c>
    </row>
    <row r="274" ht="15.75" customHeight="1">
      <c r="A274" s="6" t="str">
        <f>IFERROR(__xludf.DUMMYFUNCTION("""COMPUTED_VALUE"""),"fb311a6dd8cd59a51bf680323116bcc5d2798a8e")</f>
        <v>fb311a6dd8cd59a51bf680323116bcc5d2798a8e</v>
      </c>
      <c r="B274" s="6" t="str">
        <f>IFERROR(__xludf.DUMMYFUNCTION("""COMPUTED_VALUE"""),"The Beast Tamer's Legacy")</f>
        <v>The Beast Tamer's Legacy</v>
      </c>
      <c r="C274" s="6" t="str">
        <f>IFERROR(__xludf.DUMMYFUNCTION("""COMPUTED_VALUE"""),"System and Superpower")</f>
        <v>System and Superpower</v>
      </c>
      <c r="D274" s="11">
        <f>IFERROR(__xludf.DUMMYFUNCTION("""COMPUTED_VALUE"""),458.0)</f>
        <v>458</v>
      </c>
      <c r="E274" s="8">
        <f>IFERROR(__xludf.DUMMYFUNCTION("""COMPUTED_VALUE"""),0.980306345733041)</f>
        <v>0.9803063457</v>
      </c>
      <c r="F274" s="8">
        <f>IFERROR(__xludf.DUMMYFUNCTION("""COMPUTED_VALUE"""),0.578021978021978)</f>
        <v>0.578021978</v>
      </c>
      <c r="G274" s="8">
        <f>IFERROR(__xludf.DUMMYFUNCTION("""COMPUTED_VALUE"""),0.513215859030837)</f>
        <v>0.513215859</v>
      </c>
      <c r="H274" s="8">
        <f>IFERROR(__xludf.DUMMYFUNCTION("""COMPUTED_VALUE"""),0.436123348017621)</f>
        <v>0.436123348</v>
      </c>
      <c r="I274" s="8">
        <f>IFERROR(__xludf.DUMMYFUNCTION("""COMPUTED_VALUE"""),0.392935982339955)</f>
        <v>0.3929359823</v>
      </c>
      <c r="J274" s="8">
        <f>IFERROR(__xludf.DUMMYFUNCTION("""COMPUTED_VALUE"""),0.358407079646017)</f>
        <v>0.3584070796</v>
      </c>
      <c r="K274" s="8">
        <f>IFERROR(__xludf.DUMMYFUNCTION("""COMPUTED_VALUE"""),0.327433628318584)</f>
        <v>0.3274336283</v>
      </c>
      <c r="L274" s="8">
        <f>IFERROR(__xludf.DUMMYFUNCTION("""COMPUTED_VALUE"""),0.294247787610619)</f>
        <v>0.2942477876</v>
      </c>
      <c r="M274" s="8">
        <f>IFERROR(__xludf.DUMMYFUNCTION("""COMPUTED_VALUE"""),0.287610619469026)</f>
        <v>0.2876106195</v>
      </c>
      <c r="N274" s="8">
        <f>IFERROR(__xludf.DUMMYFUNCTION("""COMPUTED_VALUE"""),0.268888888888888)</f>
        <v>0.2688888889</v>
      </c>
      <c r="O274" s="8">
        <f>IFERROR(__xludf.DUMMYFUNCTION("""COMPUTED_VALUE"""),0.202733485193621)</f>
        <v>0.2027334852</v>
      </c>
      <c r="P274" s="8">
        <f>IFERROR(__xludf.DUMMYFUNCTION("""COMPUTED_VALUE"""),0.163316582914572)</f>
        <v>0.1633165829</v>
      </c>
      <c r="Q274" s="8">
        <f>IFERROR(__xludf.DUMMYFUNCTION("""COMPUTED_VALUE"""),0.157894736842105)</f>
        <v>0.1578947368</v>
      </c>
      <c r="R274" s="8">
        <f>IFERROR(__xludf.DUMMYFUNCTION("""COMPUTED_VALUE"""),0.0)</f>
        <v>0</v>
      </c>
      <c r="S274" s="8">
        <f>IFERROR(__xludf.DUMMYFUNCTION("""COMPUTED_VALUE"""),0.0)</f>
        <v>0</v>
      </c>
      <c r="T274" s="8">
        <f>IFERROR(__xludf.DUMMYFUNCTION("""COMPUTED_VALUE"""),0.0)</f>
        <v>0</v>
      </c>
      <c r="U274" s="8">
        <f>IFERROR(__xludf.DUMMYFUNCTION("""COMPUTED_VALUE"""),0.0)</f>
        <v>0</v>
      </c>
      <c r="V274" s="8">
        <f>IFERROR(__xludf.DUMMYFUNCTION("""COMPUTED_VALUE"""),0.0)</f>
        <v>0</v>
      </c>
      <c r="W274" s="8">
        <f>IFERROR(__xludf.DUMMYFUNCTION("""COMPUTED_VALUE"""),0.0)</f>
        <v>0</v>
      </c>
      <c r="X274" s="8">
        <f>IFERROR(__xludf.DUMMYFUNCTION("""COMPUTED_VALUE"""),0.0)</f>
        <v>0</v>
      </c>
      <c r="Y274" s="8">
        <f>IFERROR(__xludf.DUMMYFUNCTION("""COMPUTED_VALUE"""),0.0)</f>
        <v>0</v>
      </c>
      <c r="Z274" s="8">
        <f>IFERROR(__xludf.DUMMYFUNCTION("""COMPUTED_VALUE"""),0.0)</f>
        <v>0</v>
      </c>
      <c r="AA274" s="8">
        <f>IFERROR(__xludf.DUMMYFUNCTION("""COMPUTED_VALUE"""),0.0)</f>
        <v>0</v>
      </c>
      <c r="AB274" s="8">
        <f>IFERROR(__xludf.DUMMYFUNCTION("""COMPUTED_VALUE"""),0.0)</f>
        <v>0</v>
      </c>
      <c r="AC274" s="8">
        <f>IFERROR(__xludf.DUMMYFUNCTION("""COMPUTED_VALUE"""),0.0)</f>
        <v>0</v>
      </c>
    </row>
    <row r="275" ht="15.75" customHeight="1">
      <c r="A275" s="6" t="str">
        <f>IFERROR(__xludf.DUMMYFUNCTION("""COMPUTED_VALUE"""),"fc599fbc708fd150dfe8d867a18a17fa8b439c84")</f>
        <v>fc599fbc708fd150dfe8d867a18a17fa8b439c84</v>
      </c>
      <c r="B275" s="6" t="str">
        <f>IFERROR(__xludf.DUMMYFUNCTION("""COMPUTED_VALUE"""),"Anything for Sunny")</f>
        <v>Anything for Sunny</v>
      </c>
      <c r="C275" s="6" t="str">
        <f>IFERROR(__xludf.DUMMYFUNCTION("""COMPUTED_VALUE"""),"Drama")</f>
        <v>Drama</v>
      </c>
      <c r="D275" s="11">
        <f>IFERROR(__xludf.DUMMYFUNCTION("""COMPUTED_VALUE"""),264.0)</f>
        <v>264</v>
      </c>
      <c r="E275" s="8">
        <f>IFERROR(__xludf.DUMMYFUNCTION("""COMPUTED_VALUE"""),0.988593155893536)</f>
        <v>0.9885931559</v>
      </c>
      <c r="F275" s="8">
        <f>IFERROR(__xludf.DUMMYFUNCTION("""COMPUTED_VALUE"""),0.503816793893129)</f>
        <v>0.5038167939</v>
      </c>
      <c r="G275" s="8">
        <f>IFERROR(__xludf.DUMMYFUNCTION("""COMPUTED_VALUE"""),0.402298850574712)</f>
        <v>0.4022988506</v>
      </c>
      <c r="H275" s="8">
        <f>IFERROR(__xludf.DUMMYFUNCTION("""COMPUTED_VALUE"""),0.323076923076923)</f>
        <v>0.3230769231</v>
      </c>
      <c r="I275" s="8">
        <f>IFERROR(__xludf.DUMMYFUNCTION("""COMPUTED_VALUE"""),0.262548262548262)</f>
        <v>0.2625482625</v>
      </c>
      <c r="J275" s="8">
        <f>IFERROR(__xludf.DUMMYFUNCTION("""COMPUTED_VALUE"""),0.239215686274509)</f>
        <v>0.2392156863</v>
      </c>
      <c r="K275" s="8">
        <f>IFERROR(__xludf.DUMMYFUNCTION("""COMPUTED_VALUE"""),0.196850393700787)</f>
        <v>0.1968503937</v>
      </c>
      <c r="L275" s="8">
        <f>IFERROR(__xludf.DUMMYFUNCTION("""COMPUTED_VALUE"""),0.172690763052208)</f>
        <v>0.1726907631</v>
      </c>
      <c r="M275" s="8">
        <f>IFERROR(__xludf.DUMMYFUNCTION("""COMPUTED_VALUE"""),0.152610441767068)</f>
        <v>0.1526104418</v>
      </c>
      <c r="N275" s="8">
        <f>IFERROR(__xludf.DUMMYFUNCTION("""COMPUTED_VALUE"""),0.130612244897959)</f>
        <v>0.1306122449</v>
      </c>
      <c r="O275" s="8">
        <f>IFERROR(__xludf.DUMMYFUNCTION("""COMPUTED_VALUE"""),0.120192307692307)</f>
        <v>0.1201923077</v>
      </c>
      <c r="P275" s="8">
        <f>IFERROR(__xludf.DUMMYFUNCTION("""COMPUTED_VALUE"""),0.0816326530612244)</f>
        <v>0.08163265306</v>
      </c>
      <c r="Q275" s="8">
        <f>IFERROR(__xludf.DUMMYFUNCTION("""COMPUTED_VALUE"""),0.0909090909090909)</f>
        <v>0.09090909091</v>
      </c>
      <c r="R275" s="8">
        <f>IFERROR(__xludf.DUMMYFUNCTION("""COMPUTED_VALUE"""),0.125)</f>
        <v>0.125</v>
      </c>
      <c r="S275" s="8">
        <f>IFERROR(__xludf.DUMMYFUNCTION("""COMPUTED_VALUE"""),0.0)</f>
        <v>0</v>
      </c>
      <c r="T275" s="8">
        <f>IFERROR(__xludf.DUMMYFUNCTION("""COMPUTED_VALUE"""),0.0)</f>
        <v>0</v>
      </c>
      <c r="U275" s="8">
        <f>IFERROR(__xludf.DUMMYFUNCTION("""COMPUTED_VALUE"""),0.0)</f>
        <v>0</v>
      </c>
      <c r="V275" s="8">
        <f>IFERROR(__xludf.DUMMYFUNCTION("""COMPUTED_VALUE"""),0.0)</f>
        <v>0</v>
      </c>
      <c r="W275" s="8">
        <f>IFERROR(__xludf.DUMMYFUNCTION("""COMPUTED_VALUE"""),0.0)</f>
        <v>0</v>
      </c>
      <c r="X275" s="8">
        <f>IFERROR(__xludf.DUMMYFUNCTION("""COMPUTED_VALUE"""),0.0)</f>
        <v>0</v>
      </c>
      <c r="Y275" s="8">
        <f>IFERROR(__xludf.DUMMYFUNCTION("""COMPUTED_VALUE"""),0.0)</f>
        <v>0</v>
      </c>
      <c r="Z275" s="8">
        <f>IFERROR(__xludf.DUMMYFUNCTION("""COMPUTED_VALUE"""),0.0)</f>
        <v>0</v>
      </c>
      <c r="AA275" s="8">
        <f>IFERROR(__xludf.DUMMYFUNCTION("""COMPUTED_VALUE"""),0.0)</f>
        <v>0</v>
      </c>
      <c r="AB275" s="8">
        <f>IFERROR(__xludf.DUMMYFUNCTION("""COMPUTED_VALUE"""),0.0)</f>
        <v>0</v>
      </c>
      <c r="AC275" s="8">
        <f>IFERROR(__xludf.DUMMYFUNCTION("""COMPUTED_VALUE"""),0.0)</f>
        <v>0</v>
      </c>
    </row>
    <row r="276" ht="15.75" customHeight="1">
      <c r="A276" s="6" t="str">
        <f>IFERROR(__xludf.DUMMYFUNCTION("""COMPUTED_VALUE"""),"fcddd3d14a0e1b1dab1bcb5c11d4aec683fdb598")</f>
        <v>fcddd3d14a0e1b1dab1bcb5c11d4aec683fdb598</v>
      </c>
      <c r="B276" s="6" t="str">
        <f>IFERROR(__xludf.DUMMYFUNCTION("""COMPUTED_VALUE"""),"Rise of Drake Callahan")</f>
        <v>Rise of Drake Callahan</v>
      </c>
      <c r="C276" s="6" t="str">
        <f>IFERROR(__xludf.DUMMYFUNCTION("""COMPUTED_VALUE"""),"Drama")</f>
        <v>Drama</v>
      </c>
      <c r="D276" s="11">
        <f>IFERROR(__xludf.DUMMYFUNCTION("""COMPUTED_VALUE"""),485.0)</f>
        <v>485</v>
      </c>
      <c r="E276" s="8">
        <f>IFERROR(__xludf.DUMMYFUNCTION("""COMPUTED_VALUE"""),0.983471074380165)</f>
        <v>0.9834710744</v>
      </c>
      <c r="F276" s="8">
        <f>IFERROR(__xludf.DUMMYFUNCTION("""COMPUTED_VALUE"""),0.62111801242236)</f>
        <v>0.6211180124</v>
      </c>
      <c r="G276" s="8">
        <f>IFERROR(__xludf.DUMMYFUNCTION("""COMPUTED_VALUE"""),0.555093555093555)</f>
        <v>0.5550935551</v>
      </c>
      <c r="H276" s="8">
        <f>IFERROR(__xludf.DUMMYFUNCTION("""COMPUTED_VALUE"""),0.529729729729729)</f>
        <v>0.5297297297</v>
      </c>
      <c r="I276" s="8">
        <f>IFERROR(__xludf.DUMMYFUNCTION("""COMPUTED_VALUE"""),0.479338842975206)</f>
        <v>0.479338843</v>
      </c>
      <c r="J276" s="8">
        <f>IFERROR(__xludf.DUMMYFUNCTION("""COMPUTED_VALUE"""),0.47077922077922)</f>
        <v>0.4707792208</v>
      </c>
      <c r="K276" s="8">
        <f>IFERROR(__xludf.DUMMYFUNCTION("""COMPUTED_VALUE"""),0.476014760147601)</f>
        <v>0.4760147601</v>
      </c>
      <c r="L276" s="8">
        <f>IFERROR(__xludf.DUMMYFUNCTION("""COMPUTED_VALUE"""),0.476415094339622)</f>
        <v>0.4764150943</v>
      </c>
      <c r="M276" s="8">
        <f>IFERROR(__xludf.DUMMYFUNCTION("""COMPUTED_VALUE"""),0.4375)</f>
        <v>0.4375</v>
      </c>
      <c r="N276" s="8">
        <f>IFERROR(__xludf.DUMMYFUNCTION("""COMPUTED_VALUE"""),0.395348837209302)</f>
        <v>0.3953488372</v>
      </c>
      <c r="O276" s="8">
        <f>IFERROR(__xludf.DUMMYFUNCTION("""COMPUTED_VALUE"""),0.193548387096774)</f>
        <v>0.1935483871</v>
      </c>
      <c r="P276" s="8">
        <f>IFERROR(__xludf.DUMMYFUNCTION("""COMPUTED_VALUE"""),0.25)</f>
        <v>0.25</v>
      </c>
      <c r="Q276" s="8">
        <f>IFERROR(__xludf.DUMMYFUNCTION("""COMPUTED_VALUE"""),0.0)</f>
        <v>0</v>
      </c>
      <c r="R276" s="8">
        <f>IFERROR(__xludf.DUMMYFUNCTION("""COMPUTED_VALUE"""),0.0)</f>
        <v>0</v>
      </c>
      <c r="S276" s="8">
        <f>IFERROR(__xludf.DUMMYFUNCTION("""COMPUTED_VALUE"""),0.0)</f>
        <v>0</v>
      </c>
      <c r="T276" s="8">
        <f>IFERROR(__xludf.DUMMYFUNCTION("""COMPUTED_VALUE"""),0.0)</f>
        <v>0</v>
      </c>
      <c r="U276" s="8">
        <f>IFERROR(__xludf.DUMMYFUNCTION("""COMPUTED_VALUE"""),0.0)</f>
        <v>0</v>
      </c>
      <c r="V276" s="8">
        <f>IFERROR(__xludf.DUMMYFUNCTION("""COMPUTED_VALUE"""),0.0)</f>
        <v>0</v>
      </c>
      <c r="W276" s="8">
        <f>IFERROR(__xludf.DUMMYFUNCTION("""COMPUTED_VALUE"""),0.0)</f>
        <v>0</v>
      </c>
      <c r="X276" s="8">
        <f>IFERROR(__xludf.DUMMYFUNCTION("""COMPUTED_VALUE"""),0.0)</f>
        <v>0</v>
      </c>
      <c r="Y276" s="8">
        <f>IFERROR(__xludf.DUMMYFUNCTION("""COMPUTED_VALUE"""),0.0)</f>
        <v>0</v>
      </c>
      <c r="Z276" s="8">
        <f>IFERROR(__xludf.DUMMYFUNCTION("""COMPUTED_VALUE"""),0.0)</f>
        <v>0</v>
      </c>
      <c r="AA276" s="8">
        <f>IFERROR(__xludf.DUMMYFUNCTION("""COMPUTED_VALUE"""),0.0)</f>
        <v>0</v>
      </c>
      <c r="AB276" s="8">
        <f>IFERROR(__xludf.DUMMYFUNCTION("""COMPUTED_VALUE"""),0.0)</f>
        <v>0</v>
      </c>
      <c r="AC276" s="8">
        <f>IFERROR(__xludf.DUMMYFUNCTION("""COMPUTED_VALUE"""),0.0)</f>
        <v>0</v>
      </c>
    </row>
    <row r="277" ht="15.75" customHeight="1">
      <c r="A277" s="6" t="str">
        <f>IFERROR(__xludf.DUMMYFUNCTION("""COMPUTED_VALUE"""),"fce8fe866ed4c3d213e087a4343996d06bb09af7")</f>
        <v>fce8fe866ed4c3d213e087a4343996d06bb09af7</v>
      </c>
      <c r="B277" s="6" t="str">
        <f>IFERROR(__xludf.DUMMYFUNCTION("""COMPUTED_VALUE"""),"The Anderson Rebirth")</f>
        <v>The Anderson Rebirth</v>
      </c>
      <c r="C277" s="6" t="str">
        <f>IFERROR(__xludf.DUMMYFUNCTION("""COMPUTED_VALUE"""),"System and Superpower")</f>
        <v>System and Superpower</v>
      </c>
      <c r="D277" s="11">
        <f>IFERROR(__xludf.DUMMYFUNCTION("""COMPUTED_VALUE"""),676.0)</f>
        <v>676</v>
      </c>
      <c r="E277" s="8">
        <f>IFERROR(__xludf.DUMMYFUNCTION("""COMPUTED_VALUE"""),0.967455621301775)</f>
        <v>0.9674556213</v>
      </c>
      <c r="F277" s="8">
        <f>IFERROR(__xludf.DUMMYFUNCTION("""COMPUTED_VALUE"""),0.692307692307692)</f>
        <v>0.6923076923</v>
      </c>
      <c r="G277" s="8">
        <f>IFERROR(__xludf.DUMMYFUNCTION("""COMPUTED_VALUE"""),0.646449704142011)</f>
        <v>0.6464497041</v>
      </c>
      <c r="H277" s="8">
        <f>IFERROR(__xludf.DUMMYFUNCTION("""COMPUTED_VALUE"""),0.617210682492581)</f>
        <v>0.6172106825</v>
      </c>
      <c r="I277" s="8">
        <f>IFERROR(__xludf.DUMMYFUNCTION("""COMPUTED_VALUE"""),0.565281899109792)</f>
        <v>0.5652818991</v>
      </c>
      <c r="J277" s="8">
        <f>IFERROR(__xludf.DUMMYFUNCTION("""COMPUTED_VALUE"""),0.540059347181008)</f>
        <v>0.5400593472</v>
      </c>
      <c r="K277" s="8">
        <f>IFERROR(__xludf.DUMMYFUNCTION("""COMPUTED_VALUE"""),0.519287833827893)</f>
        <v>0.5192878338</v>
      </c>
      <c r="L277" s="8">
        <f>IFERROR(__xludf.DUMMYFUNCTION("""COMPUTED_VALUE"""),0.50593471810089)</f>
        <v>0.5059347181</v>
      </c>
      <c r="M277" s="8">
        <f>IFERROR(__xludf.DUMMYFUNCTION("""COMPUTED_VALUE"""),0.495548961424332)</f>
        <v>0.4955489614</v>
      </c>
      <c r="N277" s="8">
        <f>IFERROR(__xludf.DUMMYFUNCTION("""COMPUTED_VALUE"""),0.476900149031296)</f>
        <v>0.476900149</v>
      </c>
      <c r="O277" s="8">
        <f>IFERROR(__xludf.DUMMYFUNCTION("""COMPUTED_VALUE"""),0.443438914027149)</f>
        <v>0.443438914</v>
      </c>
      <c r="P277" s="8">
        <f>IFERROR(__xludf.DUMMYFUNCTION("""COMPUTED_VALUE"""),0.311926605504587)</f>
        <v>0.3119266055</v>
      </c>
      <c r="Q277" s="8">
        <f>IFERROR(__xludf.DUMMYFUNCTION("""COMPUTED_VALUE"""),0.166990291262135)</f>
        <v>0.1669902913</v>
      </c>
      <c r="R277" s="8">
        <f>IFERROR(__xludf.DUMMYFUNCTION("""COMPUTED_VALUE"""),0.0958083832335329)</f>
        <v>0.09580838323</v>
      </c>
      <c r="S277" s="8">
        <f>IFERROR(__xludf.DUMMYFUNCTION("""COMPUTED_VALUE"""),0.0)</f>
        <v>0</v>
      </c>
      <c r="T277" s="8">
        <f>IFERROR(__xludf.DUMMYFUNCTION("""COMPUTED_VALUE"""),0.0)</f>
        <v>0</v>
      </c>
      <c r="U277" s="8">
        <f>IFERROR(__xludf.DUMMYFUNCTION("""COMPUTED_VALUE"""),0.0)</f>
        <v>0</v>
      </c>
      <c r="V277" s="8">
        <f>IFERROR(__xludf.DUMMYFUNCTION("""COMPUTED_VALUE"""),0.0)</f>
        <v>0</v>
      </c>
      <c r="W277" s="8">
        <f>IFERROR(__xludf.DUMMYFUNCTION("""COMPUTED_VALUE"""),0.0)</f>
        <v>0</v>
      </c>
      <c r="X277" s="8">
        <f>IFERROR(__xludf.DUMMYFUNCTION("""COMPUTED_VALUE"""),0.0)</f>
        <v>0</v>
      </c>
      <c r="Y277" s="8">
        <f>IFERROR(__xludf.DUMMYFUNCTION("""COMPUTED_VALUE"""),0.0)</f>
        <v>0</v>
      </c>
      <c r="Z277" s="8">
        <f>IFERROR(__xludf.DUMMYFUNCTION("""COMPUTED_VALUE"""),0.0)</f>
        <v>0</v>
      </c>
      <c r="AA277" s="8">
        <f>IFERROR(__xludf.DUMMYFUNCTION("""COMPUTED_VALUE"""),0.0)</f>
        <v>0</v>
      </c>
      <c r="AB277" s="8">
        <f>IFERROR(__xludf.DUMMYFUNCTION("""COMPUTED_VALUE"""),0.0)</f>
        <v>0</v>
      </c>
      <c r="AC277" s="8">
        <f>IFERROR(__xludf.DUMMYFUNCTION("""COMPUTED_VALUE"""),0.0)</f>
        <v>0</v>
      </c>
    </row>
    <row r="278" ht="15.75" customHeight="1">
      <c r="A278" s="6" t="str">
        <f>IFERROR(__xludf.DUMMYFUNCTION("""COMPUTED_VALUE"""),"fce99720ddedf66c6e45f23c6876581e0b796f34")</f>
        <v>fce99720ddedf66c6e45f23c6876581e0b796f34</v>
      </c>
      <c r="B278" s="6" t="str">
        <f>IFERROR(__xludf.DUMMYFUNCTION("""COMPUTED_VALUE"""),"Reborn as Serena Whitmore")</f>
        <v>Reborn as Serena Whitmore</v>
      </c>
      <c r="C278" s="6" t="str">
        <f>IFERROR(__xludf.DUMMYFUNCTION("""COMPUTED_VALUE"""),"Romance")</f>
        <v>Romance</v>
      </c>
      <c r="D278" s="11">
        <f>IFERROR(__xludf.DUMMYFUNCTION("""COMPUTED_VALUE"""),547.0)</f>
        <v>547</v>
      </c>
      <c r="E278" s="8">
        <f>IFERROR(__xludf.DUMMYFUNCTION("""COMPUTED_VALUE"""),0.961608775137111)</f>
        <v>0.9616087751</v>
      </c>
      <c r="F278" s="8">
        <f>IFERROR(__xludf.DUMMYFUNCTION("""COMPUTED_VALUE"""),0.742115027829313)</f>
        <v>0.7421150278</v>
      </c>
      <c r="G278" s="8">
        <f>IFERROR(__xludf.DUMMYFUNCTION("""COMPUTED_VALUE"""),0.678438661710037)</f>
        <v>0.6784386617</v>
      </c>
      <c r="H278" s="8">
        <f>IFERROR(__xludf.DUMMYFUNCTION("""COMPUTED_VALUE"""),0.631775700934579)</f>
        <v>0.6317757009</v>
      </c>
      <c r="I278" s="8">
        <f>IFERROR(__xludf.DUMMYFUNCTION("""COMPUTED_VALUE"""),0.564485981308411)</f>
        <v>0.5644859813</v>
      </c>
      <c r="J278" s="8">
        <f>IFERROR(__xludf.DUMMYFUNCTION("""COMPUTED_VALUE"""),0.546184738955823)</f>
        <v>0.546184739</v>
      </c>
      <c r="K278" s="8">
        <f>IFERROR(__xludf.DUMMYFUNCTION("""COMPUTED_VALUE"""),0.510593220338983)</f>
        <v>0.5105932203</v>
      </c>
      <c r="L278" s="8">
        <f>IFERROR(__xludf.DUMMYFUNCTION("""COMPUTED_VALUE"""),0.474940334128878)</f>
        <v>0.4749403341</v>
      </c>
      <c r="M278" s="8">
        <f>IFERROR(__xludf.DUMMYFUNCTION("""COMPUTED_VALUE"""),0.428934010152284)</f>
        <v>0.4289340102</v>
      </c>
      <c r="N278" s="8">
        <f>IFERROR(__xludf.DUMMYFUNCTION("""COMPUTED_VALUE"""),0.413489736070381)</f>
        <v>0.4134897361</v>
      </c>
      <c r="O278" s="8">
        <f>IFERROR(__xludf.DUMMYFUNCTION("""COMPUTED_VALUE"""),0.341463414634146)</f>
        <v>0.3414634146</v>
      </c>
      <c r="P278" s="8">
        <f>IFERROR(__xludf.DUMMYFUNCTION("""COMPUTED_VALUE"""),0.333333333333333)</f>
        <v>0.3333333333</v>
      </c>
      <c r="Q278" s="8">
        <f>IFERROR(__xludf.DUMMYFUNCTION("""COMPUTED_VALUE"""),0.0)</f>
        <v>0</v>
      </c>
      <c r="R278" s="8">
        <f>IFERROR(__xludf.DUMMYFUNCTION("""COMPUTED_VALUE"""),0.0)</f>
        <v>0</v>
      </c>
      <c r="S278" s="8">
        <f>IFERROR(__xludf.DUMMYFUNCTION("""COMPUTED_VALUE"""),0.0)</f>
        <v>0</v>
      </c>
      <c r="T278" s="8">
        <f>IFERROR(__xludf.DUMMYFUNCTION("""COMPUTED_VALUE"""),0.0)</f>
        <v>0</v>
      </c>
      <c r="U278" s="8">
        <f>IFERROR(__xludf.DUMMYFUNCTION("""COMPUTED_VALUE"""),0.0)</f>
        <v>0</v>
      </c>
      <c r="V278" s="8">
        <f>IFERROR(__xludf.DUMMYFUNCTION("""COMPUTED_VALUE"""),0.0)</f>
        <v>0</v>
      </c>
      <c r="W278" s="8">
        <f>IFERROR(__xludf.DUMMYFUNCTION("""COMPUTED_VALUE"""),0.0)</f>
        <v>0</v>
      </c>
      <c r="X278" s="8">
        <f>IFERROR(__xludf.DUMMYFUNCTION("""COMPUTED_VALUE"""),0.0)</f>
        <v>0</v>
      </c>
      <c r="Y278" s="8">
        <f>IFERROR(__xludf.DUMMYFUNCTION("""COMPUTED_VALUE"""),0.0)</f>
        <v>0</v>
      </c>
      <c r="Z278" s="8">
        <f>IFERROR(__xludf.DUMMYFUNCTION("""COMPUTED_VALUE"""),0.0)</f>
        <v>0</v>
      </c>
      <c r="AA278" s="8">
        <f>IFERROR(__xludf.DUMMYFUNCTION("""COMPUTED_VALUE"""),0.0)</f>
        <v>0</v>
      </c>
      <c r="AB278" s="8">
        <f>IFERROR(__xludf.DUMMYFUNCTION("""COMPUTED_VALUE"""),0.0)</f>
        <v>0</v>
      </c>
      <c r="AC278" s="8">
        <f>IFERROR(__xludf.DUMMYFUNCTION("""COMPUTED_VALUE"""),0.0)</f>
        <v>0</v>
      </c>
    </row>
    <row r="279" ht="15.75" customHeight="1">
      <c r="A279" s="6" t="str">
        <f>IFERROR(__xludf.DUMMYFUNCTION("""COMPUTED_VALUE"""),"fe01aa725eab93a44f707bbab393a9640b0e69db")</f>
        <v>fe01aa725eab93a44f707bbab393a9640b0e69db</v>
      </c>
      <c r="B279" s="6" t="str">
        <f>IFERROR(__xludf.DUMMYFUNCTION("""COMPUTED_VALUE"""),"3 Years Later He Found Me")</f>
        <v>3 Years Later He Found Me</v>
      </c>
      <c r="C279" s="6" t="str">
        <f>IFERROR(__xludf.DUMMYFUNCTION("""COMPUTED_VALUE"""),"Romance")</f>
        <v>Romance</v>
      </c>
      <c r="D279" s="11">
        <f>IFERROR(__xludf.DUMMYFUNCTION("""COMPUTED_VALUE"""),500.0)</f>
        <v>500</v>
      </c>
      <c r="E279" s="8">
        <f>IFERROR(__xludf.DUMMYFUNCTION("""COMPUTED_VALUE"""),0.96)</f>
        <v>0.96</v>
      </c>
      <c r="F279" s="8">
        <f>IFERROR(__xludf.DUMMYFUNCTION("""COMPUTED_VALUE"""),0.558)</f>
        <v>0.558</v>
      </c>
      <c r="G279" s="8">
        <f>IFERROR(__xludf.DUMMYFUNCTION("""COMPUTED_VALUE"""),0.474)</f>
        <v>0.474</v>
      </c>
      <c r="H279" s="8">
        <f>IFERROR(__xludf.DUMMYFUNCTION("""COMPUTED_VALUE"""),0.422845691382765)</f>
        <v>0.4228456914</v>
      </c>
      <c r="I279" s="8">
        <f>IFERROR(__xludf.DUMMYFUNCTION("""COMPUTED_VALUE"""),0.394789579158316)</f>
        <v>0.3947895792</v>
      </c>
      <c r="J279" s="8">
        <f>IFERROR(__xludf.DUMMYFUNCTION("""COMPUTED_VALUE"""),0.374749498997996)</f>
        <v>0.374749499</v>
      </c>
      <c r="K279" s="8">
        <f>IFERROR(__xludf.DUMMYFUNCTION("""COMPUTED_VALUE"""),0.354709418837675)</f>
        <v>0.3547094188</v>
      </c>
      <c r="L279" s="8">
        <f>IFERROR(__xludf.DUMMYFUNCTION("""COMPUTED_VALUE"""),0.339357429718875)</f>
        <v>0.3393574297</v>
      </c>
      <c r="M279" s="8">
        <f>IFERROR(__xludf.DUMMYFUNCTION("""COMPUTED_VALUE"""),0.325301204819277)</f>
        <v>0.3253012048</v>
      </c>
      <c r="N279" s="8">
        <f>IFERROR(__xludf.DUMMYFUNCTION("""COMPUTED_VALUE"""),0.293762575452716)</f>
        <v>0.2937625755</v>
      </c>
      <c r="O279" s="8">
        <f>IFERROR(__xludf.DUMMYFUNCTION("""COMPUTED_VALUE"""),0.256565656565656)</f>
        <v>0.2565656566</v>
      </c>
      <c r="P279" s="8">
        <f>IFERROR(__xludf.DUMMYFUNCTION("""COMPUTED_VALUE"""),0.169421487603305)</f>
        <v>0.1694214876</v>
      </c>
      <c r="Q279" s="8">
        <f>IFERROR(__xludf.DUMMYFUNCTION("""COMPUTED_VALUE"""),0.3125)</f>
        <v>0.3125</v>
      </c>
      <c r="R279" s="8">
        <f>IFERROR(__xludf.DUMMYFUNCTION("""COMPUTED_VALUE"""),1.0)</f>
        <v>1</v>
      </c>
      <c r="S279" s="8">
        <f>IFERROR(__xludf.DUMMYFUNCTION("""COMPUTED_VALUE"""),0.0)</f>
        <v>0</v>
      </c>
      <c r="T279" s="8">
        <f>IFERROR(__xludf.DUMMYFUNCTION("""COMPUTED_VALUE"""),0.0)</f>
        <v>0</v>
      </c>
      <c r="U279" s="8">
        <f>IFERROR(__xludf.DUMMYFUNCTION("""COMPUTED_VALUE"""),0.0)</f>
        <v>0</v>
      </c>
      <c r="V279" s="8">
        <f>IFERROR(__xludf.DUMMYFUNCTION("""COMPUTED_VALUE"""),0.0)</f>
        <v>0</v>
      </c>
      <c r="W279" s="8">
        <f>IFERROR(__xludf.DUMMYFUNCTION("""COMPUTED_VALUE"""),0.0)</f>
        <v>0</v>
      </c>
      <c r="X279" s="8">
        <f>IFERROR(__xludf.DUMMYFUNCTION("""COMPUTED_VALUE"""),0.0)</f>
        <v>0</v>
      </c>
      <c r="Y279" s="8">
        <f>IFERROR(__xludf.DUMMYFUNCTION("""COMPUTED_VALUE"""),0.0)</f>
        <v>0</v>
      </c>
      <c r="Z279" s="8">
        <f>IFERROR(__xludf.DUMMYFUNCTION("""COMPUTED_VALUE"""),0.0)</f>
        <v>0</v>
      </c>
      <c r="AA279" s="8">
        <f>IFERROR(__xludf.DUMMYFUNCTION("""COMPUTED_VALUE"""),0.0)</f>
        <v>0</v>
      </c>
      <c r="AB279" s="8">
        <f>IFERROR(__xludf.DUMMYFUNCTION("""COMPUTED_VALUE"""),0.0)</f>
        <v>0</v>
      </c>
      <c r="AC279" s="8">
        <f>IFERROR(__xludf.DUMMYFUNCTION("""COMPUTED_VALUE"""),0.0)</f>
        <v>0</v>
      </c>
    </row>
    <row r="280" ht="15.75" customHeight="1">
      <c r="A280" s="6" t="str">
        <f>IFERROR(__xludf.DUMMYFUNCTION("""COMPUTED_VALUE"""),"fe218223c3cbc0377d2bb07ad68251723f1b3792")</f>
        <v>fe218223c3cbc0377d2bb07ad68251723f1b3792</v>
      </c>
      <c r="B280" s="6" t="str">
        <f>IFERROR(__xludf.DUMMYFUNCTION("""COMPUTED_VALUE"""),"Return of the Gamer God")</f>
        <v>Return of the Gamer God</v>
      </c>
      <c r="C280" s="6" t="str">
        <f>IFERROR(__xludf.DUMMYFUNCTION("""COMPUTED_VALUE"""),"System and Superpower")</f>
        <v>System and Superpower</v>
      </c>
      <c r="D280" s="11">
        <f>IFERROR(__xludf.DUMMYFUNCTION("""COMPUTED_VALUE"""),3288.0)</f>
        <v>3288</v>
      </c>
      <c r="E280" s="8">
        <f>IFERROR(__xludf.DUMMYFUNCTION("""COMPUTED_VALUE"""),0.980529358077274)</f>
        <v>0.9805293581</v>
      </c>
      <c r="F280" s="8">
        <f>IFERROR(__xludf.DUMMYFUNCTION("""COMPUTED_VALUE"""),0.546118721461187)</f>
        <v>0.5461187215</v>
      </c>
      <c r="G280" s="8">
        <f>IFERROR(__xludf.DUMMYFUNCTION("""COMPUTED_VALUE"""),0.508991161231331)</f>
        <v>0.5089911612</v>
      </c>
      <c r="H280" s="8">
        <f>IFERROR(__xludf.DUMMYFUNCTION("""COMPUTED_VALUE"""),0.478765658417354)</f>
        <v>0.4787656584</v>
      </c>
      <c r="I280" s="8">
        <f>IFERROR(__xludf.DUMMYFUNCTION("""COMPUTED_VALUE"""),0.451958384332925)</f>
        <v>0.4519583843</v>
      </c>
      <c r="J280" s="8">
        <f>IFERROR(__xludf.DUMMYFUNCTION("""COMPUTED_VALUE"""),0.432780847145488)</f>
        <v>0.4327808471</v>
      </c>
      <c r="K280" s="8">
        <f>IFERROR(__xludf.DUMMYFUNCTION("""COMPUTED_VALUE"""),0.419483712354025)</f>
        <v>0.4194837124</v>
      </c>
      <c r="L280" s="8">
        <f>IFERROR(__xludf.DUMMYFUNCTION("""COMPUTED_VALUE"""),0.407578558225508)</f>
        <v>0.4075785582</v>
      </c>
      <c r="M280" s="8">
        <f>IFERROR(__xludf.DUMMYFUNCTION("""COMPUTED_VALUE"""),0.387774004322321)</f>
        <v>0.3877740043</v>
      </c>
      <c r="N280" s="8">
        <f>IFERROR(__xludf.DUMMYFUNCTION("""COMPUTED_VALUE"""),0.379609544468546)</f>
        <v>0.3796095445</v>
      </c>
      <c r="O280" s="8">
        <f>IFERROR(__xludf.DUMMYFUNCTION("""COMPUTED_VALUE"""),0.322638146167557)</f>
        <v>0.3226381462</v>
      </c>
      <c r="P280" s="8">
        <f>IFERROR(__xludf.DUMMYFUNCTION("""COMPUTED_VALUE"""),0.261146496815286)</f>
        <v>0.2611464968</v>
      </c>
      <c r="Q280" s="8">
        <f>IFERROR(__xludf.DUMMYFUNCTION("""COMPUTED_VALUE"""),0.0526315789473684)</f>
        <v>0.05263157895</v>
      </c>
      <c r="R280" s="8">
        <f>IFERROR(__xludf.DUMMYFUNCTION("""COMPUTED_VALUE"""),0.0)</f>
        <v>0</v>
      </c>
      <c r="S280" s="8">
        <f>IFERROR(__xludf.DUMMYFUNCTION("""COMPUTED_VALUE"""),0.0)</f>
        <v>0</v>
      </c>
      <c r="T280" s="8">
        <f>IFERROR(__xludf.DUMMYFUNCTION("""COMPUTED_VALUE"""),0.0)</f>
        <v>0</v>
      </c>
      <c r="U280" s="8">
        <f>IFERROR(__xludf.DUMMYFUNCTION("""COMPUTED_VALUE"""),0.0)</f>
        <v>0</v>
      </c>
      <c r="V280" s="8">
        <f>IFERROR(__xludf.DUMMYFUNCTION("""COMPUTED_VALUE"""),0.0)</f>
        <v>0</v>
      </c>
      <c r="W280" s="8">
        <f>IFERROR(__xludf.DUMMYFUNCTION("""COMPUTED_VALUE"""),0.0)</f>
        <v>0</v>
      </c>
      <c r="X280" s="8">
        <f>IFERROR(__xludf.DUMMYFUNCTION("""COMPUTED_VALUE"""),0.0)</f>
        <v>0</v>
      </c>
      <c r="Y280" s="8">
        <f>IFERROR(__xludf.DUMMYFUNCTION("""COMPUTED_VALUE"""),0.0)</f>
        <v>0</v>
      </c>
      <c r="Z280" s="8">
        <f>IFERROR(__xludf.DUMMYFUNCTION("""COMPUTED_VALUE"""),0.0)</f>
        <v>0</v>
      </c>
      <c r="AA280" s="8">
        <f>IFERROR(__xludf.DUMMYFUNCTION("""COMPUTED_VALUE"""),0.0)</f>
        <v>0</v>
      </c>
      <c r="AB280" s="8">
        <f>IFERROR(__xludf.DUMMYFUNCTION("""COMPUTED_VALUE"""),0.0)</f>
        <v>0</v>
      </c>
      <c r="AC280" s="8">
        <f>IFERROR(__xludf.DUMMYFUNCTION("""COMPUTED_VALUE"""),0.0)</f>
        <v>0</v>
      </c>
    </row>
    <row r="281" ht="15.75" customHeight="1">
      <c r="A281" s="1"/>
      <c r="B281" s="1"/>
      <c r="C281" s="1"/>
      <c r="D281" s="2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5.75" customHeight="1">
      <c r="A282" s="1"/>
      <c r="B282" s="1"/>
      <c r="C282" s="1"/>
      <c r="D282" s="2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5.75" customHeight="1">
      <c r="A283" s="1"/>
      <c r="B283" s="1"/>
      <c r="C283" s="1"/>
      <c r="D283" s="2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5.75" customHeight="1">
      <c r="A284" s="12"/>
      <c r="B284" s="12"/>
      <c r="C284" s="12"/>
      <c r="D284" s="3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5.75" customHeight="1">
      <c r="A285" s="12"/>
      <c r="B285" s="12"/>
      <c r="C285" s="12"/>
      <c r="D285" s="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5.75" customHeight="1">
      <c r="A286" s="12"/>
      <c r="B286" s="12"/>
      <c r="C286" s="12"/>
      <c r="D286" s="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5.75" customHeight="1">
      <c r="A287" s="12"/>
      <c r="B287" s="12"/>
      <c r="C287" s="12"/>
      <c r="D287" s="3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5.75" customHeight="1">
      <c r="A288" s="12"/>
      <c r="B288" s="12"/>
      <c r="C288" s="12"/>
      <c r="D288" s="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5.75" customHeight="1">
      <c r="A289" s="12"/>
      <c r="B289" s="12"/>
      <c r="C289" s="12"/>
      <c r="D289" s="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5.75" customHeight="1">
      <c r="A290" s="12"/>
      <c r="B290" s="12"/>
      <c r="C290" s="12"/>
      <c r="D290" s="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5.75" customHeight="1">
      <c r="A291" s="12"/>
      <c r="B291" s="12"/>
      <c r="C291" s="12"/>
      <c r="D291" s="3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15.75" customHeight="1">
      <c r="A292" s="12"/>
      <c r="B292" s="12"/>
      <c r="C292" s="12"/>
      <c r="D292" s="3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15.75" customHeight="1">
      <c r="A293" s="12"/>
      <c r="B293" s="12"/>
      <c r="C293" s="12"/>
      <c r="D293" s="3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5.75" customHeight="1">
      <c r="A294" s="12"/>
      <c r="B294" s="12"/>
      <c r="C294" s="12"/>
      <c r="D294" s="3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15.75" customHeight="1">
      <c r="A295" s="12"/>
      <c r="B295" s="12"/>
      <c r="C295" s="12"/>
      <c r="D295" s="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15.75" customHeight="1">
      <c r="A296" s="12"/>
      <c r="B296" s="12"/>
      <c r="C296" s="12"/>
      <c r="D296" s="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15.75" customHeight="1">
      <c r="A297" s="12"/>
      <c r="B297" s="12"/>
      <c r="C297" s="12"/>
      <c r="D297" s="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5.75" customHeight="1">
      <c r="A298" s="12"/>
      <c r="B298" s="12"/>
      <c r="C298" s="12"/>
      <c r="D298" s="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15.75" customHeight="1">
      <c r="A299" s="12"/>
      <c r="B299" s="12"/>
      <c r="C299" s="12"/>
      <c r="D299" s="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15.75" customHeight="1">
      <c r="A300" s="12"/>
      <c r="B300" s="12"/>
      <c r="C300" s="12"/>
      <c r="D300" s="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15.75" customHeight="1">
      <c r="A301" s="12"/>
      <c r="B301" s="12"/>
      <c r="C301" s="12"/>
      <c r="D301" s="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5.75" customHeight="1">
      <c r="A302" s="12"/>
      <c r="B302" s="12"/>
      <c r="C302" s="12"/>
      <c r="D302" s="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15.75" customHeight="1">
      <c r="A303" s="12"/>
      <c r="B303" s="12"/>
      <c r="C303" s="12"/>
      <c r="D303" s="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15.75" customHeight="1">
      <c r="A304" s="12"/>
      <c r="B304" s="12"/>
      <c r="C304" s="12"/>
      <c r="D304" s="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5.75" customHeight="1">
      <c r="A305" s="12"/>
      <c r="B305" s="12"/>
      <c r="C305" s="12"/>
      <c r="D305" s="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15.75" customHeight="1">
      <c r="A306" s="12"/>
      <c r="B306" s="12"/>
      <c r="C306" s="12"/>
      <c r="D306" s="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5.75" customHeight="1">
      <c r="A307" s="12"/>
      <c r="B307" s="12"/>
      <c r="C307" s="12"/>
      <c r="D307" s="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15.75" customHeight="1">
      <c r="A308" s="12"/>
      <c r="B308" s="12"/>
      <c r="C308" s="12"/>
      <c r="D308" s="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5.75" customHeight="1">
      <c r="A309" s="12"/>
      <c r="B309" s="12"/>
      <c r="C309" s="12"/>
      <c r="D309" s="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15.75" customHeight="1">
      <c r="A310" s="12"/>
      <c r="B310" s="12"/>
      <c r="C310" s="12"/>
      <c r="D310" s="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15.75" customHeight="1">
      <c r="A311" s="12"/>
      <c r="B311" s="12"/>
      <c r="C311" s="12"/>
      <c r="D311" s="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15.75" customHeight="1">
      <c r="A312" s="12"/>
      <c r="B312" s="12"/>
      <c r="C312" s="12"/>
      <c r="D312" s="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5.75" customHeight="1">
      <c r="A313" s="12"/>
      <c r="B313" s="12"/>
      <c r="C313" s="12"/>
      <c r="D313" s="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15.75" customHeight="1">
      <c r="A314" s="12"/>
      <c r="B314" s="12"/>
      <c r="C314" s="12"/>
      <c r="D314" s="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15.75" customHeight="1">
      <c r="A315" s="12"/>
      <c r="B315" s="12"/>
      <c r="C315" s="12"/>
      <c r="D315" s="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15.75" customHeight="1">
      <c r="A316" s="12"/>
      <c r="B316" s="12"/>
      <c r="C316" s="12"/>
      <c r="D316" s="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5.75" customHeight="1">
      <c r="A317" s="12"/>
      <c r="B317" s="12"/>
      <c r="C317" s="12"/>
      <c r="D317" s="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15.75" customHeight="1">
      <c r="A318" s="12"/>
      <c r="B318" s="12"/>
      <c r="C318" s="12"/>
      <c r="D318" s="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15.75" customHeight="1">
      <c r="A319" s="12"/>
      <c r="B319" s="12"/>
      <c r="C319" s="12"/>
      <c r="D319" s="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15.75" customHeight="1">
      <c r="A320" s="12"/>
      <c r="B320" s="12"/>
      <c r="C320" s="12"/>
      <c r="D320" s="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5.75" customHeight="1">
      <c r="A321" s="12"/>
      <c r="B321" s="12"/>
      <c r="C321" s="12"/>
      <c r="D321" s="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15.75" customHeight="1">
      <c r="A322" s="12"/>
      <c r="B322" s="12"/>
      <c r="C322" s="12"/>
      <c r="D322" s="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15.75" customHeight="1">
      <c r="A323" s="12"/>
      <c r="B323" s="12"/>
      <c r="C323" s="12"/>
      <c r="D323" s="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5.75" customHeight="1">
      <c r="A324" s="12"/>
      <c r="B324" s="12"/>
      <c r="C324" s="12"/>
      <c r="D324" s="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15.75" customHeight="1">
      <c r="A325" s="12"/>
      <c r="B325" s="12"/>
      <c r="C325" s="12"/>
      <c r="D325" s="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15.75" customHeight="1">
      <c r="A326" s="12"/>
      <c r="B326" s="12"/>
      <c r="C326" s="12"/>
      <c r="D326" s="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15.75" customHeight="1">
      <c r="A327" s="12"/>
      <c r="B327" s="12"/>
      <c r="C327" s="12"/>
      <c r="D327" s="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5.75" customHeight="1">
      <c r="A328" s="12"/>
      <c r="B328" s="12"/>
      <c r="C328" s="12"/>
      <c r="D328" s="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15.75" customHeight="1">
      <c r="A329" s="12"/>
      <c r="B329" s="12"/>
      <c r="C329" s="12"/>
      <c r="D329" s="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15.75" customHeight="1">
      <c r="A330" s="12"/>
      <c r="B330" s="12"/>
      <c r="C330" s="12"/>
      <c r="D330" s="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5.75" customHeight="1">
      <c r="A331" s="12"/>
      <c r="B331" s="12"/>
      <c r="C331" s="12"/>
      <c r="D331" s="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15.75" customHeight="1">
      <c r="A332" s="12"/>
      <c r="B332" s="12"/>
      <c r="C332" s="12"/>
      <c r="D332" s="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15.75" customHeight="1">
      <c r="A333" s="12"/>
      <c r="B333" s="12"/>
      <c r="C333" s="12"/>
      <c r="D333" s="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5.75" customHeight="1">
      <c r="A334" s="12"/>
      <c r="B334" s="12"/>
      <c r="C334" s="12"/>
      <c r="D334" s="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15.75" customHeight="1">
      <c r="A335" s="12"/>
      <c r="B335" s="12"/>
      <c r="C335" s="12"/>
      <c r="D335" s="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15.75" customHeight="1">
      <c r="A336" s="12"/>
      <c r="B336" s="12"/>
      <c r="C336" s="12"/>
      <c r="D336" s="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15.75" customHeight="1">
      <c r="A337" s="12"/>
      <c r="B337" s="12"/>
      <c r="C337" s="12"/>
      <c r="D337" s="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5.75" customHeight="1">
      <c r="A338" s="12"/>
      <c r="B338" s="12"/>
      <c r="C338" s="12"/>
      <c r="D338" s="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15.75" customHeight="1">
      <c r="A339" s="12"/>
      <c r="B339" s="12"/>
      <c r="C339" s="12"/>
      <c r="D339" s="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15.75" customHeight="1">
      <c r="A340" s="12"/>
      <c r="B340" s="12"/>
      <c r="C340" s="12"/>
      <c r="D340" s="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5.75" customHeight="1">
      <c r="A341" s="12"/>
      <c r="B341" s="12"/>
      <c r="C341" s="12"/>
      <c r="D341" s="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15.75" customHeight="1">
      <c r="A342" s="12"/>
      <c r="B342" s="12"/>
      <c r="C342" s="12"/>
      <c r="D342" s="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15.75" customHeight="1">
      <c r="A343" s="12"/>
      <c r="B343" s="12"/>
      <c r="C343" s="12"/>
      <c r="D343" s="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5.75" customHeight="1">
      <c r="A344" s="12"/>
      <c r="B344" s="12"/>
      <c r="C344" s="12"/>
      <c r="D344" s="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15.75" customHeight="1">
      <c r="A345" s="12"/>
      <c r="B345" s="12"/>
      <c r="C345" s="12"/>
      <c r="D345" s="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15.75" customHeight="1">
      <c r="A346" s="12"/>
      <c r="B346" s="12"/>
      <c r="C346" s="12"/>
      <c r="D346" s="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15.75" customHeight="1">
      <c r="A347" s="12"/>
      <c r="B347" s="12"/>
      <c r="C347" s="12"/>
      <c r="D347" s="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15.75" customHeight="1">
      <c r="A348" s="12"/>
      <c r="B348" s="12"/>
      <c r="C348" s="12"/>
      <c r="D348" s="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15.75" customHeight="1">
      <c r="A349" s="12"/>
      <c r="B349" s="12"/>
      <c r="C349" s="12"/>
      <c r="D349" s="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15.75" customHeight="1">
      <c r="A350" s="12"/>
      <c r="B350" s="12"/>
      <c r="C350" s="12"/>
      <c r="D350" s="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15.75" customHeight="1">
      <c r="A351" s="12"/>
      <c r="B351" s="12"/>
      <c r="C351" s="12"/>
      <c r="D351" s="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15.75" customHeight="1">
      <c r="A352" s="12"/>
      <c r="B352" s="12"/>
      <c r="C352" s="12"/>
      <c r="D352" s="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15.75" customHeight="1">
      <c r="A353" s="12"/>
      <c r="B353" s="12"/>
      <c r="C353" s="12"/>
      <c r="D353" s="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15.75" customHeight="1">
      <c r="A354" s="12"/>
      <c r="B354" s="12"/>
      <c r="C354" s="12"/>
      <c r="D354" s="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15.75" customHeight="1">
      <c r="A355" s="12"/>
      <c r="B355" s="12"/>
      <c r="C355" s="12"/>
      <c r="D355" s="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15.75" customHeight="1">
      <c r="A356" s="12"/>
      <c r="B356" s="12"/>
      <c r="C356" s="12"/>
      <c r="D356" s="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15.75" customHeight="1">
      <c r="A357" s="12"/>
      <c r="B357" s="12"/>
      <c r="C357" s="12"/>
      <c r="D357" s="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15.75" customHeight="1">
      <c r="A358" s="12"/>
      <c r="B358" s="12"/>
      <c r="C358" s="12"/>
      <c r="D358" s="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15.75" customHeight="1">
      <c r="A359" s="12"/>
      <c r="B359" s="12"/>
      <c r="C359" s="12"/>
      <c r="D359" s="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15.75" customHeight="1">
      <c r="A360" s="12"/>
      <c r="B360" s="12"/>
      <c r="C360" s="12"/>
      <c r="D360" s="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15.75" customHeight="1">
      <c r="A361" s="12"/>
      <c r="B361" s="12"/>
      <c r="C361" s="12"/>
      <c r="D361" s="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15.75" customHeight="1">
      <c r="A362" s="12"/>
      <c r="B362" s="12"/>
      <c r="C362" s="12"/>
      <c r="D362" s="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15.75" customHeight="1">
      <c r="A363" s="12"/>
      <c r="B363" s="12"/>
      <c r="C363" s="12"/>
      <c r="D363" s="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15.75" customHeight="1">
      <c r="A364" s="12"/>
      <c r="B364" s="12"/>
      <c r="C364" s="12"/>
      <c r="D364" s="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15.75" customHeight="1">
      <c r="A365" s="12"/>
      <c r="B365" s="12"/>
      <c r="C365" s="12"/>
      <c r="D365" s="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15.75" customHeight="1">
      <c r="A366" s="12"/>
      <c r="B366" s="12"/>
      <c r="C366" s="12"/>
      <c r="D366" s="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15.75" customHeight="1">
      <c r="A367" s="12"/>
      <c r="B367" s="12"/>
      <c r="C367" s="12"/>
      <c r="D367" s="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15.75" customHeight="1">
      <c r="A368" s="12"/>
      <c r="B368" s="12"/>
      <c r="C368" s="12"/>
      <c r="D368" s="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15.75" customHeight="1">
      <c r="A369" s="12"/>
      <c r="B369" s="12"/>
      <c r="C369" s="12"/>
      <c r="D369" s="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15.75" customHeight="1">
      <c r="A370" s="12"/>
      <c r="B370" s="12"/>
      <c r="C370" s="12"/>
      <c r="D370" s="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15.75" customHeight="1">
      <c r="A371" s="12"/>
      <c r="B371" s="12"/>
      <c r="C371" s="12"/>
      <c r="D371" s="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15.75" customHeight="1">
      <c r="A372" s="12"/>
      <c r="B372" s="12"/>
      <c r="C372" s="12"/>
      <c r="D372" s="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15.75" customHeight="1">
      <c r="A373" s="12"/>
      <c r="B373" s="12"/>
      <c r="C373" s="12"/>
      <c r="D373" s="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15.75" customHeight="1">
      <c r="A374" s="12"/>
      <c r="B374" s="12"/>
      <c r="C374" s="12"/>
      <c r="D374" s="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15.75" customHeight="1">
      <c r="A375" s="12"/>
      <c r="B375" s="12"/>
      <c r="C375" s="12"/>
      <c r="D375" s="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15.75" customHeight="1">
      <c r="A376" s="12"/>
      <c r="B376" s="12"/>
      <c r="C376" s="12"/>
      <c r="D376" s="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15.75" customHeight="1">
      <c r="A377" s="12"/>
      <c r="B377" s="12"/>
      <c r="C377" s="12"/>
      <c r="D377" s="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15.75" customHeight="1">
      <c r="A378" s="12"/>
      <c r="B378" s="12"/>
      <c r="C378" s="12"/>
      <c r="D378" s="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15.75" customHeight="1">
      <c r="A379" s="12"/>
      <c r="B379" s="12"/>
      <c r="C379" s="12"/>
      <c r="D379" s="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15.75" customHeight="1">
      <c r="A380" s="12"/>
      <c r="B380" s="12"/>
      <c r="C380" s="12"/>
      <c r="D380" s="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15.75" customHeight="1">
      <c r="A381" s="12"/>
      <c r="B381" s="12"/>
      <c r="C381" s="12"/>
      <c r="D381" s="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15.75" customHeight="1">
      <c r="A382" s="12"/>
      <c r="B382" s="12"/>
      <c r="C382" s="12"/>
      <c r="D382" s="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15.75" customHeight="1">
      <c r="A383" s="12"/>
      <c r="B383" s="12"/>
      <c r="C383" s="12"/>
      <c r="D383" s="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15.75" customHeight="1">
      <c r="A384" s="12"/>
      <c r="B384" s="12"/>
      <c r="C384" s="12"/>
      <c r="D384" s="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15.75" customHeight="1">
      <c r="A385" s="12"/>
      <c r="B385" s="12"/>
      <c r="C385" s="12"/>
      <c r="D385" s="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15.75" customHeight="1">
      <c r="A386" s="12"/>
      <c r="B386" s="12"/>
      <c r="C386" s="12"/>
      <c r="D386" s="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15.75" customHeight="1">
      <c r="A387" s="12"/>
      <c r="B387" s="12"/>
      <c r="C387" s="12"/>
      <c r="D387" s="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15.75" customHeight="1">
      <c r="A388" s="12"/>
      <c r="B388" s="12"/>
      <c r="C388" s="12"/>
      <c r="D388" s="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15.75" customHeight="1">
      <c r="A389" s="12"/>
      <c r="B389" s="12"/>
      <c r="C389" s="12"/>
      <c r="D389" s="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15.75" customHeight="1">
      <c r="A390" s="12"/>
      <c r="B390" s="12"/>
      <c r="C390" s="12"/>
      <c r="D390" s="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15.75" customHeight="1">
      <c r="A391" s="12"/>
      <c r="B391" s="12"/>
      <c r="C391" s="12"/>
      <c r="D391" s="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15.75" customHeight="1">
      <c r="A392" s="12"/>
      <c r="B392" s="12"/>
      <c r="C392" s="12"/>
      <c r="D392" s="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15.75" customHeight="1">
      <c r="A393" s="12"/>
      <c r="B393" s="12"/>
      <c r="C393" s="12"/>
      <c r="D393" s="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15.75" customHeight="1">
      <c r="A394" s="12"/>
      <c r="B394" s="12"/>
      <c r="C394" s="12"/>
      <c r="D394" s="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15.75" customHeight="1">
      <c r="A395" s="12"/>
      <c r="B395" s="12"/>
      <c r="C395" s="12"/>
      <c r="D395" s="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15.75" customHeight="1">
      <c r="A396" s="12"/>
      <c r="B396" s="12"/>
      <c r="C396" s="12"/>
      <c r="D396" s="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15.75" customHeight="1">
      <c r="A397" s="12"/>
      <c r="B397" s="12"/>
      <c r="C397" s="12"/>
      <c r="D397" s="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15.75" customHeight="1">
      <c r="A398" s="12"/>
      <c r="B398" s="12"/>
      <c r="C398" s="12"/>
      <c r="D398" s="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15.75" customHeight="1">
      <c r="A399" s="12"/>
      <c r="B399" s="12"/>
      <c r="C399" s="12"/>
      <c r="D399" s="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15.75" customHeight="1">
      <c r="A400" s="12"/>
      <c r="B400" s="12"/>
      <c r="C400" s="12"/>
      <c r="D400" s="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15.75" customHeight="1">
      <c r="A401" s="12"/>
      <c r="B401" s="12"/>
      <c r="C401" s="12"/>
      <c r="D401" s="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15.75" customHeight="1">
      <c r="A402" s="12"/>
      <c r="B402" s="12"/>
      <c r="C402" s="12"/>
      <c r="D402" s="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15.75" customHeight="1">
      <c r="A403" s="12"/>
      <c r="B403" s="12"/>
      <c r="C403" s="12"/>
      <c r="D403" s="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15.75" customHeight="1">
      <c r="A404" s="12"/>
      <c r="B404" s="12"/>
      <c r="C404" s="12"/>
      <c r="D404" s="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15.75" customHeight="1">
      <c r="A405" s="12"/>
      <c r="B405" s="12"/>
      <c r="C405" s="12"/>
      <c r="D405" s="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15.75" customHeight="1">
      <c r="A406" s="12"/>
      <c r="B406" s="12"/>
      <c r="C406" s="12"/>
      <c r="D406" s="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15.75" customHeight="1">
      <c r="A407" s="12"/>
      <c r="B407" s="12"/>
      <c r="C407" s="12"/>
      <c r="D407" s="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15.75" customHeight="1">
      <c r="A408" s="12"/>
      <c r="B408" s="12"/>
      <c r="C408" s="12"/>
      <c r="D408" s="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15.75" customHeight="1">
      <c r="A409" s="12"/>
      <c r="B409" s="12"/>
      <c r="C409" s="12"/>
      <c r="D409" s="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15.75" customHeight="1">
      <c r="A410" s="12"/>
      <c r="B410" s="12"/>
      <c r="C410" s="12"/>
      <c r="D410" s="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15.75" customHeight="1">
      <c r="A411" s="12"/>
      <c r="B411" s="12"/>
      <c r="C411" s="12"/>
      <c r="D411" s="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15.75" customHeight="1">
      <c r="A412" s="12"/>
      <c r="B412" s="12"/>
      <c r="C412" s="12"/>
      <c r="D412" s="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15.75" customHeight="1">
      <c r="A413" s="12"/>
      <c r="B413" s="12"/>
      <c r="C413" s="12"/>
      <c r="D413" s="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15.75" customHeight="1">
      <c r="A414" s="12"/>
      <c r="B414" s="12"/>
      <c r="C414" s="12"/>
      <c r="D414" s="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15.75" customHeight="1">
      <c r="A415" s="12"/>
      <c r="B415" s="12"/>
      <c r="C415" s="12"/>
      <c r="D415" s="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15.75" customHeight="1">
      <c r="A416" s="12"/>
      <c r="B416" s="12"/>
      <c r="C416" s="12"/>
      <c r="D416" s="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15.75" customHeight="1">
      <c r="A417" s="12"/>
      <c r="B417" s="12"/>
      <c r="C417" s="12"/>
      <c r="D417" s="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15.75" customHeight="1">
      <c r="A418" s="12"/>
      <c r="B418" s="12"/>
      <c r="C418" s="12"/>
      <c r="D418" s="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15.75" customHeight="1">
      <c r="A419" s="12"/>
      <c r="B419" s="12"/>
      <c r="C419" s="12"/>
      <c r="D419" s="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15.75" customHeight="1">
      <c r="A420" s="12"/>
      <c r="B420" s="12"/>
      <c r="C420" s="12"/>
      <c r="D420" s="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15.75" customHeight="1">
      <c r="A421" s="12"/>
      <c r="B421" s="12"/>
      <c r="C421" s="12"/>
      <c r="D421" s="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15.75" customHeight="1">
      <c r="A422" s="12"/>
      <c r="B422" s="12"/>
      <c r="C422" s="12"/>
      <c r="D422" s="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15.75" customHeight="1">
      <c r="A423" s="12"/>
      <c r="B423" s="12"/>
      <c r="C423" s="12"/>
      <c r="D423" s="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15.75" customHeight="1">
      <c r="A424" s="12"/>
      <c r="B424" s="12"/>
      <c r="C424" s="12"/>
      <c r="D424" s="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15.75" customHeight="1">
      <c r="A425" s="12"/>
      <c r="B425" s="12"/>
      <c r="C425" s="12"/>
      <c r="D425" s="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15.75" customHeight="1">
      <c r="A426" s="12"/>
      <c r="B426" s="12"/>
      <c r="C426" s="12"/>
      <c r="D426" s="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15.75" customHeight="1">
      <c r="A427" s="12"/>
      <c r="B427" s="12"/>
      <c r="C427" s="12"/>
      <c r="D427" s="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15.75" customHeight="1">
      <c r="A428" s="12"/>
      <c r="B428" s="12"/>
      <c r="C428" s="12"/>
      <c r="D428" s="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15.75" customHeight="1">
      <c r="A429" s="12"/>
      <c r="B429" s="12"/>
      <c r="C429" s="12"/>
      <c r="D429" s="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15.75" customHeight="1">
      <c r="A430" s="12"/>
      <c r="B430" s="12"/>
      <c r="C430" s="12"/>
      <c r="D430" s="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15.75" customHeight="1">
      <c r="A431" s="12"/>
      <c r="B431" s="12"/>
      <c r="C431" s="12"/>
      <c r="D431" s="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15.75" customHeight="1">
      <c r="A432" s="12"/>
      <c r="B432" s="12"/>
      <c r="C432" s="12"/>
      <c r="D432" s="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15.75" customHeight="1">
      <c r="A433" s="12"/>
      <c r="B433" s="12"/>
      <c r="C433" s="12"/>
      <c r="D433" s="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15.75" customHeight="1">
      <c r="A434" s="12"/>
      <c r="B434" s="12"/>
      <c r="C434" s="12"/>
      <c r="D434" s="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15.75" customHeight="1">
      <c r="A435" s="12"/>
      <c r="B435" s="12"/>
      <c r="C435" s="12"/>
      <c r="D435" s="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15.75" customHeight="1">
      <c r="A436" s="12"/>
      <c r="B436" s="12"/>
      <c r="C436" s="12"/>
      <c r="D436" s="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15.75" customHeight="1">
      <c r="A437" s="12"/>
      <c r="B437" s="12"/>
      <c r="C437" s="12"/>
      <c r="D437" s="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15.75" customHeight="1">
      <c r="A438" s="12"/>
      <c r="B438" s="12"/>
      <c r="C438" s="12"/>
      <c r="D438" s="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15.75" customHeight="1">
      <c r="A439" s="12"/>
      <c r="B439" s="12"/>
      <c r="C439" s="12"/>
      <c r="D439" s="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15.75" customHeight="1">
      <c r="A440" s="12"/>
      <c r="B440" s="12"/>
      <c r="C440" s="12"/>
      <c r="D440" s="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15.75" customHeight="1">
      <c r="A441" s="12"/>
      <c r="B441" s="12"/>
      <c r="C441" s="12"/>
      <c r="D441" s="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15.75" customHeight="1">
      <c r="A442" s="12"/>
      <c r="B442" s="12"/>
      <c r="C442" s="12"/>
      <c r="D442" s="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15.75" customHeight="1">
      <c r="A443" s="12"/>
      <c r="B443" s="12"/>
      <c r="C443" s="12"/>
      <c r="D443" s="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15.75" customHeight="1">
      <c r="A444" s="12"/>
      <c r="B444" s="12"/>
      <c r="C444" s="12"/>
      <c r="D444" s="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15.75" customHeight="1">
      <c r="A445" s="12"/>
      <c r="B445" s="12"/>
      <c r="C445" s="12"/>
      <c r="D445" s="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15.75" customHeight="1">
      <c r="A446" s="12"/>
      <c r="B446" s="12"/>
      <c r="C446" s="12"/>
      <c r="D446" s="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15.75" customHeight="1">
      <c r="A447" s="12"/>
      <c r="B447" s="12"/>
      <c r="C447" s="12"/>
      <c r="D447" s="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15.75" customHeight="1">
      <c r="A448" s="12"/>
      <c r="B448" s="12"/>
      <c r="C448" s="12"/>
      <c r="D448" s="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15.75" customHeight="1">
      <c r="A449" s="12"/>
      <c r="B449" s="12"/>
      <c r="C449" s="12"/>
      <c r="D449" s="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15.75" customHeight="1">
      <c r="A450" s="12"/>
      <c r="B450" s="12"/>
      <c r="C450" s="12"/>
      <c r="D450" s="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15.75" customHeight="1">
      <c r="A451" s="12"/>
      <c r="B451" s="12"/>
      <c r="C451" s="12"/>
      <c r="D451" s="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15.75" customHeight="1">
      <c r="A452" s="12"/>
      <c r="B452" s="12"/>
      <c r="C452" s="12"/>
      <c r="D452" s="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15.75" customHeight="1">
      <c r="A453" s="12"/>
      <c r="B453" s="12"/>
      <c r="C453" s="12"/>
      <c r="D453" s="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15.75" customHeight="1">
      <c r="A454" s="12"/>
      <c r="B454" s="12"/>
      <c r="C454" s="12"/>
      <c r="D454" s="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15.75" customHeight="1">
      <c r="A455" s="12"/>
      <c r="B455" s="12"/>
      <c r="C455" s="12"/>
      <c r="D455" s="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15.75" customHeight="1">
      <c r="A456" s="12"/>
      <c r="B456" s="12"/>
      <c r="C456" s="12"/>
      <c r="D456" s="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15.75" customHeight="1">
      <c r="A457" s="12"/>
      <c r="B457" s="12"/>
      <c r="C457" s="12"/>
      <c r="D457" s="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15.75" customHeight="1">
      <c r="A458" s="12"/>
      <c r="B458" s="12"/>
      <c r="C458" s="12"/>
      <c r="D458" s="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15.75" customHeight="1">
      <c r="A459" s="12"/>
      <c r="B459" s="12"/>
      <c r="C459" s="12"/>
      <c r="D459" s="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15.75" customHeight="1">
      <c r="A460" s="12"/>
      <c r="B460" s="12"/>
      <c r="C460" s="12"/>
      <c r="D460" s="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15.75" customHeight="1">
      <c r="A461" s="12"/>
      <c r="B461" s="12"/>
      <c r="C461" s="12"/>
      <c r="D461" s="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15.75" customHeight="1">
      <c r="A462" s="12"/>
      <c r="B462" s="12"/>
      <c r="C462" s="12"/>
      <c r="D462" s="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15.75" customHeight="1">
      <c r="A463" s="12"/>
      <c r="B463" s="12"/>
      <c r="C463" s="12"/>
      <c r="D463" s="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15.75" customHeight="1">
      <c r="A464" s="12"/>
      <c r="B464" s="12"/>
      <c r="C464" s="12"/>
      <c r="D464" s="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15.75" customHeight="1">
      <c r="A465" s="12"/>
      <c r="B465" s="12"/>
      <c r="C465" s="12"/>
      <c r="D465" s="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15.75" customHeight="1">
      <c r="A466" s="12"/>
      <c r="B466" s="12"/>
      <c r="C466" s="12"/>
      <c r="D466" s="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15.75" customHeight="1">
      <c r="A467" s="12"/>
      <c r="B467" s="12"/>
      <c r="C467" s="12"/>
      <c r="D467" s="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15.75" customHeight="1">
      <c r="A468" s="12"/>
      <c r="B468" s="12"/>
      <c r="C468" s="12"/>
      <c r="D468" s="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15.75" customHeight="1">
      <c r="A469" s="12"/>
      <c r="B469" s="12"/>
      <c r="C469" s="12"/>
      <c r="D469" s="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15.75" customHeight="1">
      <c r="A470" s="12"/>
      <c r="B470" s="12"/>
      <c r="C470" s="12"/>
      <c r="D470" s="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15.75" customHeight="1">
      <c r="A471" s="12"/>
      <c r="B471" s="12"/>
      <c r="C471" s="12"/>
      <c r="D471" s="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15.75" customHeight="1">
      <c r="A472" s="12"/>
      <c r="B472" s="12"/>
      <c r="C472" s="12"/>
      <c r="D472" s="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15.75" customHeight="1">
      <c r="A473" s="12"/>
      <c r="B473" s="12"/>
      <c r="C473" s="12"/>
      <c r="D473" s="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ht="15.75" customHeight="1">
      <c r="A474" s="12"/>
      <c r="B474" s="12"/>
      <c r="C474" s="12"/>
      <c r="D474" s="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ht="15.75" customHeight="1">
      <c r="A475" s="12"/>
      <c r="B475" s="12"/>
      <c r="C475" s="12"/>
      <c r="D475" s="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ht="15.75" customHeight="1">
      <c r="A476" s="12"/>
      <c r="B476" s="12"/>
      <c r="C476" s="12"/>
      <c r="D476" s="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15.75" customHeight="1">
      <c r="A477" s="12"/>
      <c r="B477" s="12"/>
      <c r="C477" s="12"/>
      <c r="D477" s="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ht="15.75" customHeight="1">
      <c r="A478" s="12"/>
      <c r="B478" s="12"/>
      <c r="C478" s="12"/>
      <c r="D478" s="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ht="15.75" customHeight="1">
      <c r="A479" s="12"/>
      <c r="B479" s="12"/>
      <c r="C479" s="12"/>
      <c r="D479" s="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ht="15.75" customHeight="1">
      <c r="A480" s="12"/>
      <c r="B480" s="12"/>
      <c r="C480" s="12"/>
      <c r="D480" s="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15.75" customHeight="1">
      <c r="A481" s="12"/>
      <c r="B481" s="12"/>
      <c r="C481" s="12"/>
      <c r="D481" s="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ht="15.75" customHeight="1">
      <c r="A482" s="12"/>
      <c r="B482" s="12"/>
      <c r="C482" s="12"/>
      <c r="D482" s="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ht="15.75" customHeight="1">
      <c r="A483" s="12"/>
      <c r="B483" s="12"/>
      <c r="C483" s="12"/>
      <c r="D483" s="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</sheetData>
  <conditionalFormatting sqref="E5:E483">
    <cfRule type="expression" dxfId="0" priority="1" stopIfTrue="1">
      <formula>AND(ISNUMBER(E5),IF($C5="Romantasy",E$2,IF(OR($C5="Romance",$C5="Drama"),E$3,E$1))&gt;0,E5&gt;=(IF($C5="Romantasy",E$2,IF(OR($C5="Romance",$C5="Drama"),E$3,E$1))))</formula>
    </cfRule>
  </conditionalFormatting>
  <conditionalFormatting sqref="E5:E483">
    <cfRule type="expression" dxfId="1" priority="2" stopIfTrue="1">
      <formula>AND(ISNUMBER(E5),IF($C5="Romantasy",E$2,IF(OR($C5="Romance",$C5="Drama"),E$3,E$1))&gt;0,E5&gt;=0.7*(IF($C5="Romantasy",E$2,IF(OR($C5="Romance",$C5="Drama"),E$3,E$1))),E5&lt;(IF($C5="Romantasy",E$2,IF(OR($C5="Romance",$C5="Drama"),E$3,E$1))))</formula>
    </cfRule>
  </conditionalFormatting>
  <conditionalFormatting sqref="E5:E483">
    <cfRule type="expression" dxfId="2" priority="3" stopIfTrue="1">
      <formula>AND(ISNUMBER(E5),IF($C5="Romantasy",E$2,IF(OR($C5="Romance",$C5="Drama"),E$3,E$1))&gt;0,E5&lt;0.7*(IF($C5="Romantasy",E$2,IF(OR($C5="Romance",$C5="Drama"),E$3,E$1))))</formula>
    </cfRule>
  </conditionalFormatting>
  <conditionalFormatting sqref="F5:F483">
    <cfRule type="expression" dxfId="0" priority="4" stopIfTrue="1">
      <formula>AND(ISNUMBER(F5),IF($C5="Romantasy",F$2,IF(OR($C5="Romance",$C5="Drama"),F$3,F$1))&gt;0,F5&gt;=(IF($C5="Romantasy",F$2,IF(OR($C5="Romance",$C5="Drama"),F$3,F$1))))</formula>
    </cfRule>
  </conditionalFormatting>
  <conditionalFormatting sqref="F5:F483">
    <cfRule type="expression" dxfId="1" priority="5" stopIfTrue="1">
      <formula>AND(ISNUMBER(F5),IF($C5="Romantasy",F$2,IF(OR($C5="Romance",$C5="Drama"),F$3,F$1))&gt;0,F5&gt;=0.7*(IF($C5="Romantasy",F$2,IF(OR($C5="Romance",$C5="Drama"),F$3,F$1))),F5&lt;(IF($C5="Romantasy",F$2,IF(OR($C5="Romance",$C5="Drama"),F$3,F$1))))</formula>
    </cfRule>
  </conditionalFormatting>
  <conditionalFormatting sqref="F5:F483">
    <cfRule type="expression" dxfId="2" priority="6" stopIfTrue="1">
      <formula>AND(ISNUMBER(F5),IF($C5="Romantasy",F$2,IF(OR($C5="Romance",$C5="Drama"),F$3,F$1))&gt;0,F5&lt;0.7*(IF($C5="Romantasy",F$2,IF(OR($C5="Romance",$C5="Drama"),F$3,F$1))))</formula>
    </cfRule>
  </conditionalFormatting>
  <conditionalFormatting sqref="G5:G483">
    <cfRule type="expression" dxfId="0" priority="7" stopIfTrue="1">
      <formula>AND(ISNUMBER(G5),IF($C5="Romantasy",G$2,IF(OR($C5="Romance",$C5="Drama"),G$3,G$1))&gt;0,G5&gt;=(IF($C5="Romantasy",G$2,IF(OR($C5="Romance",$C5="Drama"),G$3,G$1))))</formula>
    </cfRule>
  </conditionalFormatting>
  <conditionalFormatting sqref="G5:G483">
    <cfRule type="expression" dxfId="1" priority="8" stopIfTrue="1">
      <formula>AND(ISNUMBER(G5),IF($C5="Romantasy",G$2,IF(OR($C5="Romance",$C5="Drama"),G$3,G$1))&gt;0,G5&gt;=0.7*(IF($C5="Romantasy",G$2,IF(OR($C5="Romance",$C5="Drama"),G$3,G$1))),G5&lt;(IF($C5="Romantasy",G$2,IF(OR($C5="Romance",$C5="Drama"),G$3,G$1))))</formula>
    </cfRule>
  </conditionalFormatting>
  <conditionalFormatting sqref="G5:G483">
    <cfRule type="expression" dxfId="2" priority="9" stopIfTrue="1">
      <formula>AND(ISNUMBER(G5),IF($C5="Romantasy",G$2,IF(OR($C5="Romance",$C5="Drama"),G$3,G$1))&gt;0,G5&lt;0.7*(IF($C5="Romantasy",G$2,IF(OR($C5="Romance",$C5="Drama"),G$3,G$1))))</formula>
    </cfRule>
  </conditionalFormatting>
  <conditionalFormatting sqref="H5:H483">
    <cfRule type="expression" dxfId="0" priority="10" stopIfTrue="1">
      <formula>AND(ISNUMBER(H5),IF($C5="Romantasy",H$2,IF(OR($C5="Romance",$C5="Drama"),H$3,H$1))&gt;0,H5&gt;=(IF($C5="Romantasy",H$2,IF(OR($C5="Romance",$C5="Drama"),H$3,H$1))))</formula>
    </cfRule>
  </conditionalFormatting>
  <conditionalFormatting sqref="H5:H483">
    <cfRule type="expression" dxfId="1" priority="11" stopIfTrue="1">
      <formula>AND(ISNUMBER(H5),IF($C5="Romantasy",H$2,IF(OR($C5="Romance",$C5="Drama"),H$3,H$1))&gt;0,H5&gt;=0.7*(IF($C5="Romantasy",H$2,IF(OR($C5="Romance",$C5="Drama"),H$3,H$1))),H5&lt;(IF($C5="Romantasy",H$2,IF(OR($C5="Romance",$C5="Drama"),H$3,H$1))))</formula>
    </cfRule>
  </conditionalFormatting>
  <conditionalFormatting sqref="H5:H483">
    <cfRule type="expression" dxfId="2" priority="12" stopIfTrue="1">
      <formula>AND(ISNUMBER(H5),IF($C5="Romantasy",H$2,IF(OR($C5="Romance",$C5="Drama"),H$3,H$1))&gt;0,H5&lt;0.7*(IF($C5="Romantasy",H$2,IF(OR($C5="Romance",$C5="Drama"),H$3,H$1))))</formula>
    </cfRule>
  </conditionalFormatting>
  <conditionalFormatting sqref="I5:I483">
    <cfRule type="expression" dxfId="0" priority="13" stopIfTrue="1">
      <formula>AND(ISNUMBER(I5),IF($C5="Romantasy",I$2,IF(OR($C5="Romance",$C5="Drama"),I$3,I$1))&gt;0,I5&gt;=(IF($C5="Romantasy",I$2,IF(OR($C5="Romance",$C5="Drama"),I$3,I$1))))</formula>
    </cfRule>
  </conditionalFormatting>
  <conditionalFormatting sqref="I5:I483">
    <cfRule type="expression" dxfId="1" priority="14" stopIfTrue="1">
      <formula>AND(ISNUMBER(I5),IF($C5="Romantasy",I$2,IF(OR($C5="Romance",$C5="Drama"),I$3,I$1))&gt;0,I5&gt;=0.7*(IF($C5="Romantasy",I$2,IF(OR($C5="Romance",$C5="Drama"),I$3,I$1))),I5&lt;(IF($C5="Romantasy",I$2,IF(OR($C5="Romance",$C5="Drama"),I$3,I$1))))</formula>
    </cfRule>
  </conditionalFormatting>
  <conditionalFormatting sqref="I5:I483">
    <cfRule type="expression" dxfId="2" priority="15" stopIfTrue="1">
      <formula>AND(ISNUMBER(I5),IF($C5="Romantasy",I$2,IF(OR($C5="Romance",$C5="Drama"),I$3,I$1))&gt;0,I5&lt;0.7*(IF($C5="Romantasy",I$2,IF(OR($C5="Romance",$C5="Drama"),I$3,I$1))))</formula>
    </cfRule>
  </conditionalFormatting>
  <conditionalFormatting sqref="J5:J483">
    <cfRule type="expression" dxfId="0" priority="16" stopIfTrue="1">
      <formula>AND(ISNUMBER(J5),IF($C5="Romantasy",J$2,IF(OR($C5="Romance",$C5="Drama"),J$3,J$1))&gt;0,J5&gt;=(IF($C5="Romantasy",J$2,IF(OR($C5="Romance",$C5="Drama"),J$3,J$1))))</formula>
    </cfRule>
  </conditionalFormatting>
  <conditionalFormatting sqref="J5:J483">
    <cfRule type="expression" dxfId="1" priority="17" stopIfTrue="1">
      <formula>AND(ISNUMBER(J5),IF($C5="Romantasy",J$2,IF(OR($C5="Romance",$C5="Drama"),J$3,J$1))&gt;0,J5&gt;=0.7*(IF($C5="Romantasy",J$2,IF(OR($C5="Romance",$C5="Drama"),J$3,J$1))),J5&lt;(IF($C5="Romantasy",J$2,IF(OR($C5="Romance",$C5="Drama"),J$3,J$1))))</formula>
    </cfRule>
  </conditionalFormatting>
  <conditionalFormatting sqref="J5:J483">
    <cfRule type="expression" dxfId="2" priority="18" stopIfTrue="1">
      <formula>AND(ISNUMBER(J5),IF($C5="Romantasy",J$2,IF(OR($C5="Romance",$C5="Drama"),J$3,J$1))&gt;0,J5&lt;0.7*(IF($C5="Romantasy",J$2,IF(OR($C5="Romance",$C5="Drama"),J$3,J$1))))</formula>
    </cfRule>
  </conditionalFormatting>
  <conditionalFormatting sqref="K5:K483">
    <cfRule type="expression" dxfId="0" priority="19" stopIfTrue="1">
      <formula>AND(ISNUMBER(K5),IF($C5="Romantasy",K$2,IF(OR($C5="Romance",$C5="Drama"),K$3,K$1))&gt;0,K5&gt;=(IF($C5="Romantasy",K$2,IF(OR($C5="Romance",$C5="Drama"),K$3,K$1))))</formula>
    </cfRule>
  </conditionalFormatting>
  <conditionalFormatting sqref="K5:K483">
    <cfRule type="expression" dxfId="1" priority="20" stopIfTrue="1">
      <formula>AND(ISNUMBER(K5),IF($C5="Romantasy",K$2,IF(OR($C5="Romance",$C5="Drama"),K$3,K$1))&gt;0,K5&gt;=0.7*(IF($C5="Romantasy",K$2,IF(OR($C5="Romance",$C5="Drama"),K$3,K$1))),K5&lt;(IF($C5="Romantasy",K$2,IF(OR($C5="Romance",$C5="Drama"),K$3,K$1))))</formula>
    </cfRule>
  </conditionalFormatting>
  <conditionalFormatting sqref="K5:K483">
    <cfRule type="expression" dxfId="2" priority="21" stopIfTrue="1">
      <formula>AND(ISNUMBER(K5),IF($C5="Romantasy",K$2,IF(OR($C5="Romance",$C5="Drama"),K$3,K$1))&gt;0,K5&lt;0.7*(IF($C5="Romantasy",K$2,IF(OR($C5="Romance",$C5="Drama"),K$3,K$1))))</formula>
    </cfRule>
  </conditionalFormatting>
  <conditionalFormatting sqref="L5:L483">
    <cfRule type="expression" dxfId="0" priority="22" stopIfTrue="1">
      <formula>AND(ISNUMBER(L5),IF($C5="Romantasy",L$2,IF(OR($C5="Romance",$C5="Drama"),L$3,L$1))&gt;0,L5&gt;=(IF($C5="Romantasy",L$2,IF(OR($C5="Romance",$C5="Drama"),L$3,L$1))))</formula>
    </cfRule>
  </conditionalFormatting>
  <conditionalFormatting sqref="L5:L483">
    <cfRule type="expression" dxfId="1" priority="23" stopIfTrue="1">
      <formula>AND(ISNUMBER(L5),IF($C5="Romantasy",L$2,IF(OR($C5="Romance",$C5="Drama"),L$3,L$1))&gt;0,L5&gt;=0.7*(IF($C5="Romantasy",L$2,IF(OR($C5="Romance",$C5="Drama"),L$3,L$1))),L5&lt;(IF($C5="Romantasy",L$2,IF(OR($C5="Romance",$C5="Drama"),L$3,L$1))))</formula>
    </cfRule>
  </conditionalFormatting>
  <conditionalFormatting sqref="L5:L483">
    <cfRule type="expression" dxfId="2" priority="24" stopIfTrue="1">
      <formula>AND(ISNUMBER(L5),IF($C5="Romantasy",L$2,IF(OR($C5="Romance",$C5="Drama"),L$3,L$1))&gt;0,L5&lt;0.7*(IF($C5="Romantasy",L$2,IF(OR($C5="Romance",$C5="Drama"),L$3,L$1))))</formula>
    </cfRule>
  </conditionalFormatting>
  <conditionalFormatting sqref="M5:M483">
    <cfRule type="expression" dxfId="0" priority="25" stopIfTrue="1">
      <formula>AND(ISNUMBER(M5),IF($C5="Romantasy",M$2,IF(OR($C5="Romance",$C5="Drama"),M$3,M$1))&gt;0,M5&gt;=(IF($C5="Romantasy",M$2,IF(OR($C5="Romance",$C5="Drama"),M$3,M$1))))</formula>
    </cfRule>
  </conditionalFormatting>
  <conditionalFormatting sqref="M5:M483">
    <cfRule type="expression" dxfId="1" priority="26" stopIfTrue="1">
      <formula>AND(ISNUMBER(M5),IF($C5="Romantasy",M$2,IF(OR($C5="Romance",$C5="Drama"),M$3,M$1))&gt;0,M5&gt;=0.7*(IF($C5="Romantasy",M$2,IF(OR($C5="Romance",$C5="Drama"),M$3,M$1))),M5&lt;(IF($C5="Romantasy",M$2,IF(OR($C5="Romance",$C5="Drama"),M$3,M$1))))</formula>
    </cfRule>
  </conditionalFormatting>
  <conditionalFormatting sqref="M5:M483">
    <cfRule type="expression" dxfId="2" priority="27" stopIfTrue="1">
      <formula>AND(ISNUMBER(M5),IF($C5="Romantasy",M$2,IF(OR($C5="Romance",$C5="Drama"),M$3,M$1))&gt;0,M5&lt;0.7*(IF($C5="Romantasy",M$2,IF(OR($C5="Romance",$C5="Drama"),M$3,M$1))))</formula>
    </cfRule>
  </conditionalFormatting>
  <conditionalFormatting sqref="N5:N483">
    <cfRule type="expression" dxfId="0" priority="28" stopIfTrue="1">
      <formula>AND(ISNUMBER(N5),IF($C5="Romantasy",N$2,IF(OR($C5="Romance",$C5="Drama"),N$3,N$1))&gt;0,N5&gt;=(IF($C5="Romantasy",N$2,IF(OR($C5="Romance",$C5="Drama"),N$3,N$1))))</formula>
    </cfRule>
  </conditionalFormatting>
  <conditionalFormatting sqref="N5:N483">
    <cfRule type="expression" dxfId="1" priority="29" stopIfTrue="1">
      <formula>AND(ISNUMBER(N5),IF($C5="Romantasy",N$2,IF(OR($C5="Romance",$C5="Drama"),N$3,N$1))&gt;0,N5&gt;=0.7*(IF($C5="Romantasy",N$2,IF(OR($C5="Romance",$C5="Drama"),N$3,N$1))),N5&lt;(IF($C5="Romantasy",N$2,IF(OR($C5="Romance",$C5="Drama"),N$3,N$1))))</formula>
    </cfRule>
  </conditionalFormatting>
  <conditionalFormatting sqref="N5:N483">
    <cfRule type="expression" dxfId="2" priority="30" stopIfTrue="1">
      <formula>AND(ISNUMBER(N5),IF($C5="Romantasy",N$2,IF(OR($C5="Romance",$C5="Drama"),N$3,N$1))&gt;0,N5&lt;0.7*(IF($C5="Romantasy",N$2,IF(OR($C5="Romance",$C5="Drama"),N$3,N$1))))</formula>
    </cfRule>
  </conditionalFormatting>
  <conditionalFormatting sqref="O5:O483">
    <cfRule type="expression" dxfId="0" priority="31" stopIfTrue="1">
      <formula>AND(ISNUMBER(O5),IF($C5="Romantasy",O$2,IF(OR($C5="Romance",$C5="Drama"),O$3,O$1))&gt;0,O5&gt;=(IF($C5="Romantasy",O$2,IF(OR($C5="Romance",$C5="Drama"),O$3,O$1))))</formula>
    </cfRule>
  </conditionalFormatting>
  <conditionalFormatting sqref="O5:O483">
    <cfRule type="expression" dxfId="1" priority="32" stopIfTrue="1">
      <formula>AND(ISNUMBER(O5),IF($C5="Romantasy",O$2,IF(OR($C5="Romance",$C5="Drama"),O$3,O$1))&gt;0,O5&gt;=0.7*(IF($C5="Romantasy",O$2,IF(OR($C5="Romance",$C5="Drama"),O$3,O$1))),O5&lt;(IF($C5="Romantasy",O$2,IF(OR($C5="Romance",$C5="Drama"),O$3,O$1))))</formula>
    </cfRule>
  </conditionalFormatting>
  <conditionalFormatting sqref="O5:O483">
    <cfRule type="expression" dxfId="2" priority="33" stopIfTrue="1">
      <formula>AND(ISNUMBER(O5),IF($C5="Romantasy",O$2,IF(OR($C5="Romance",$C5="Drama"),O$3,O$1))&gt;0,O5&lt;0.7*(IF($C5="Romantasy",O$2,IF(OR($C5="Romance",$C5="Drama"),O$3,O$1))))</formula>
    </cfRule>
  </conditionalFormatting>
  <conditionalFormatting sqref="P5:P483">
    <cfRule type="expression" dxfId="0" priority="34" stopIfTrue="1">
      <formula>AND(ISNUMBER(P5),IF($C5="Romantasy",P$2,IF(OR($C5="Romance",$C5="Drama"),P$3,P$1))&gt;0,P5&gt;=(IF($C5="Romantasy",P$2,IF(OR($C5="Romance",$C5="Drama"),P$3,P$1))))</formula>
    </cfRule>
  </conditionalFormatting>
  <conditionalFormatting sqref="P5:P483">
    <cfRule type="expression" dxfId="1" priority="35" stopIfTrue="1">
      <formula>AND(ISNUMBER(P5),IF($C5="Romantasy",P$2,IF(OR($C5="Romance",$C5="Drama"),P$3,P$1))&gt;0,P5&gt;=0.7*(IF($C5="Romantasy",P$2,IF(OR($C5="Romance",$C5="Drama"),P$3,P$1))),P5&lt;(IF($C5="Romantasy",P$2,IF(OR($C5="Romance",$C5="Drama"),P$3,P$1))))</formula>
    </cfRule>
  </conditionalFormatting>
  <conditionalFormatting sqref="P5:P483">
    <cfRule type="expression" dxfId="2" priority="36" stopIfTrue="1">
      <formula>AND(ISNUMBER(P5),IF($C5="Romantasy",P$2,IF(OR($C5="Romance",$C5="Drama"),P$3,P$1))&gt;0,P5&lt;0.7*(IF($C5="Romantasy",P$2,IF(OR($C5="Romance",$C5="Drama"),P$3,P$1))))</formula>
    </cfRule>
  </conditionalFormatting>
  <conditionalFormatting sqref="Q5:Q483">
    <cfRule type="expression" dxfId="0" priority="37" stopIfTrue="1">
      <formula>AND(ISNUMBER(Q5),IF($C5="Romantasy",Q$2,IF(OR($C5="Romance",$C5="Drama"),Q$3,Q$1))&gt;0,Q5&gt;=(IF($C5="Romantasy",Q$2,IF(OR($C5="Romance",$C5="Drama"),Q$3,Q$1))))</formula>
    </cfRule>
  </conditionalFormatting>
  <conditionalFormatting sqref="Q5:Q483">
    <cfRule type="expression" dxfId="1" priority="38" stopIfTrue="1">
      <formula>AND(ISNUMBER(Q5),IF($C5="Romantasy",Q$2,IF(OR($C5="Romance",$C5="Drama"),Q$3,Q$1))&gt;0,Q5&gt;=0.7*(IF($C5="Romantasy",Q$2,IF(OR($C5="Romance",$C5="Drama"),Q$3,Q$1))),Q5&lt;(IF($C5="Romantasy",Q$2,IF(OR($C5="Romance",$C5="Drama"),Q$3,Q$1))))</formula>
    </cfRule>
  </conditionalFormatting>
  <conditionalFormatting sqref="Q5:Q483">
    <cfRule type="expression" dxfId="2" priority="39" stopIfTrue="1">
      <formula>AND(ISNUMBER(Q5),IF($C5="Romantasy",Q$2,IF(OR($C5="Romance",$C5="Drama"),Q$3,Q$1))&gt;0,Q5&lt;0.7*(IF($C5="Romantasy",Q$2,IF(OR($C5="Romance",$C5="Drama"),Q$3,Q$1))))</formula>
    </cfRule>
  </conditionalFormatting>
  <conditionalFormatting sqref="R5:R483">
    <cfRule type="expression" dxfId="0" priority="40" stopIfTrue="1">
      <formula>AND(ISNUMBER(R5),IF($C5="Romantasy",R$2,IF(OR($C5="Romance",$C5="Drama"),R$3,R$1))&gt;0,R5&gt;=(IF($C5="Romantasy",R$2,IF(OR($C5="Romance",$C5="Drama"),R$3,R$1))))</formula>
    </cfRule>
  </conditionalFormatting>
  <conditionalFormatting sqref="R5:R483">
    <cfRule type="expression" dxfId="1" priority="41" stopIfTrue="1">
      <formula>AND(ISNUMBER(R5),IF($C5="Romantasy",R$2,IF(OR($C5="Romance",$C5="Drama"),R$3,R$1))&gt;0,R5&gt;=0.7*(IF($C5="Romantasy",R$2,IF(OR($C5="Romance",$C5="Drama"),R$3,R$1))),R5&lt;(IF($C5="Romantasy",R$2,IF(OR($C5="Romance",$C5="Drama"),R$3,R$1))))</formula>
    </cfRule>
  </conditionalFormatting>
  <conditionalFormatting sqref="R5:R483">
    <cfRule type="expression" dxfId="2" priority="42" stopIfTrue="1">
      <formula>AND(ISNUMBER(R5),IF($C5="Romantasy",R$2,IF(OR($C5="Romance",$C5="Drama"),R$3,R$1))&gt;0,R5&lt;0.7*(IF($C5="Romantasy",R$2,IF(OR($C5="Romance",$C5="Drama"),R$3,R$1))))</formula>
    </cfRule>
  </conditionalFormatting>
  <conditionalFormatting sqref="S5:S483">
    <cfRule type="expression" dxfId="0" priority="43" stopIfTrue="1">
      <formula>AND(ISNUMBER(S5),IF($C5="Romantasy",S$2,IF(OR($C5="Romance",$C5="Drama"),S$3,S$1))&gt;0,S5&gt;=(IF($C5="Romantasy",S$2,IF(OR($C5="Romance",$C5="Drama"),S$3,S$1))))</formula>
    </cfRule>
  </conditionalFormatting>
  <conditionalFormatting sqref="S5:S483">
    <cfRule type="expression" dxfId="1" priority="44" stopIfTrue="1">
      <formula>AND(ISNUMBER(S5),IF($C5="Romantasy",S$2,IF(OR($C5="Romance",$C5="Drama"),S$3,S$1))&gt;0,S5&gt;=0.7*(IF($C5="Romantasy",S$2,IF(OR($C5="Romance",$C5="Drama"),S$3,S$1))),S5&lt;(IF($C5="Romantasy",S$2,IF(OR($C5="Romance",$C5="Drama"),S$3,S$1))))</formula>
    </cfRule>
  </conditionalFormatting>
  <conditionalFormatting sqref="S5:S483">
    <cfRule type="expression" dxfId="2" priority="45" stopIfTrue="1">
      <formula>AND(ISNUMBER(S5),IF($C5="Romantasy",S$2,IF(OR($C5="Romance",$C5="Drama"),S$3,S$1))&gt;0,S5&lt;0.7*(IF($C5="Romantasy",S$2,IF(OR($C5="Romance",$C5="Drama"),S$3,S$1))))</formula>
    </cfRule>
  </conditionalFormatting>
  <conditionalFormatting sqref="T5:T483">
    <cfRule type="expression" dxfId="0" priority="46" stopIfTrue="1">
      <formula>AND(ISNUMBER(T5),IF($C5="Romantasy",T$2,IF(OR($C5="Romance",$C5="Drama"),T$3,T$1))&gt;0,T5&gt;=(IF($C5="Romantasy",T$2,IF(OR($C5="Romance",$C5="Drama"),T$3,T$1))))</formula>
    </cfRule>
  </conditionalFormatting>
  <conditionalFormatting sqref="T5:T483">
    <cfRule type="expression" dxfId="1" priority="47" stopIfTrue="1">
      <formula>AND(ISNUMBER(T5),IF($C5="Romantasy",T$2,IF(OR($C5="Romance",$C5="Drama"),T$3,T$1))&gt;0,T5&gt;=0.7*(IF($C5="Romantasy",T$2,IF(OR($C5="Romance",$C5="Drama"),T$3,T$1))),T5&lt;(IF($C5="Romantasy",T$2,IF(OR($C5="Romance",$C5="Drama"),T$3,T$1))))</formula>
    </cfRule>
  </conditionalFormatting>
  <conditionalFormatting sqref="T5:T483">
    <cfRule type="expression" dxfId="2" priority="48" stopIfTrue="1">
      <formula>AND(ISNUMBER(T5),IF($C5="Romantasy",T$2,IF(OR($C5="Romance",$C5="Drama"),T$3,T$1))&gt;0,T5&lt;0.7*(IF($C5="Romantasy",T$2,IF(OR($C5="Romance",$C5="Drama"),T$3,T$1))))</formula>
    </cfRule>
  </conditionalFormatting>
  <conditionalFormatting sqref="U5:U483">
    <cfRule type="expression" dxfId="0" priority="49" stopIfTrue="1">
      <formula>AND(ISNUMBER(U5),IF($C5="Romantasy",U$2,IF(OR($C5="Romance",$C5="Drama"),U$3,U$1))&gt;0,U5&gt;=(IF($C5="Romantasy",U$2,IF(OR($C5="Romance",$C5="Drama"),U$3,U$1))))</formula>
    </cfRule>
  </conditionalFormatting>
  <conditionalFormatting sqref="U5:U483">
    <cfRule type="expression" dxfId="1" priority="50" stopIfTrue="1">
      <formula>AND(ISNUMBER(U5),IF($C5="Romantasy",U$2,IF(OR($C5="Romance",$C5="Drama"),U$3,U$1))&gt;0,U5&gt;=0.7*(IF($C5="Romantasy",U$2,IF(OR($C5="Romance",$C5="Drama"),U$3,U$1))),U5&lt;(IF($C5="Romantasy",U$2,IF(OR($C5="Romance",$C5="Drama"),U$3,U$1))))</formula>
    </cfRule>
  </conditionalFormatting>
  <conditionalFormatting sqref="U5:U483">
    <cfRule type="expression" dxfId="2" priority="51" stopIfTrue="1">
      <formula>AND(ISNUMBER(U5),IF($C5="Romantasy",U$2,IF(OR($C5="Romance",$C5="Drama"),U$3,U$1))&gt;0,U5&lt;0.7*(IF($C5="Romantasy",U$2,IF(OR($C5="Romance",$C5="Drama"),U$3,U$1))))</formula>
    </cfRule>
  </conditionalFormatting>
  <conditionalFormatting sqref="V5:V483">
    <cfRule type="expression" dxfId="0" priority="52" stopIfTrue="1">
      <formula>AND(ISNUMBER(V5),IF($C5="Romantasy",V$2,IF(OR($C5="Romance",$C5="Drama"),V$3,V$1))&gt;0,V5&gt;=(IF($C5="Romantasy",V$2,IF(OR($C5="Romance",$C5="Drama"),V$3,V$1))))</formula>
    </cfRule>
  </conditionalFormatting>
  <conditionalFormatting sqref="V5:V483">
    <cfRule type="expression" dxfId="1" priority="53" stopIfTrue="1">
      <formula>AND(ISNUMBER(V5),IF($C5="Romantasy",V$2,IF(OR($C5="Romance",$C5="Drama"),V$3,V$1))&gt;0,V5&gt;=0.7*(IF($C5="Romantasy",V$2,IF(OR($C5="Romance",$C5="Drama"),V$3,V$1))),V5&lt;(IF($C5="Romantasy",V$2,IF(OR($C5="Romance",$C5="Drama"),V$3,V$1))))</formula>
    </cfRule>
  </conditionalFormatting>
  <conditionalFormatting sqref="V5:V483">
    <cfRule type="expression" dxfId="2" priority="54" stopIfTrue="1">
      <formula>AND(ISNUMBER(V5),IF($C5="Romantasy",V$2,IF(OR($C5="Romance",$C5="Drama"),V$3,V$1))&gt;0,V5&lt;0.7*(IF($C5="Romantasy",V$2,IF(OR($C5="Romance",$C5="Drama"),V$3,V$1))))</formula>
    </cfRule>
  </conditionalFormatting>
  <conditionalFormatting sqref="W5:W483">
    <cfRule type="expression" dxfId="0" priority="55" stopIfTrue="1">
      <formula>AND(ISNUMBER(W5),IF($C5="Romantasy",W$2,IF(OR($C5="Romance",$C5="Drama"),W$3,W$1))&gt;0,W5&gt;=(IF($C5="Romantasy",W$2,IF(OR($C5="Romance",$C5="Drama"),W$3,W$1))))</formula>
    </cfRule>
  </conditionalFormatting>
  <conditionalFormatting sqref="W5:W483">
    <cfRule type="expression" dxfId="1" priority="56" stopIfTrue="1">
      <formula>AND(ISNUMBER(W5),IF($C5="Romantasy",W$2,IF(OR($C5="Romance",$C5="Drama"),W$3,W$1))&gt;0,W5&gt;=0.7*(IF($C5="Romantasy",W$2,IF(OR($C5="Romance",$C5="Drama"),W$3,W$1))),W5&lt;(IF($C5="Romantasy",W$2,IF(OR($C5="Romance",$C5="Drama"),W$3,W$1))))</formula>
    </cfRule>
  </conditionalFormatting>
  <conditionalFormatting sqref="W5:W483">
    <cfRule type="expression" dxfId="2" priority="57" stopIfTrue="1">
      <formula>AND(ISNUMBER(W5),IF($C5="Romantasy",W$2,IF(OR($C5="Romance",$C5="Drama"),W$3,W$1))&gt;0,W5&lt;0.7*(IF($C5="Romantasy",W$2,IF(OR($C5="Romance",$C5="Drama"),W$3,W$1))))</formula>
    </cfRule>
  </conditionalFormatting>
  <conditionalFormatting sqref="X5:X483">
    <cfRule type="expression" dxfId="0" priority="58" stopIfTrue="1">
      <formula>AND(ISNUMBER(X5),IF($C5="Romantasy",X$2,IF(OR($C5="Romance",$C5="Drama"),X$3,X$1))&gt;0,X5&gt;=(IF($C5="Romantasy",X$2,IF(OR($C5="Romance",$C5="Drama"),X$3,X$1))))</formula>
    </cfRule>
  </conditionalFormatting>
  <conditionalFormatting sqref="X5:X483">
    <cfRule type="expression" dxfId="1" priority="59" stopIfTrue="1">
      <formula>AND(ISNUMBER(X5),IF($C5="Romantasy",X$2,IF(OR($C5="Romance",$C5="Drama"),X$3,X$1))&gt;0,X5&gt;=0.7*(IF($C5="Romantasy",X$2,IF(OR($C5="Romance",$C5="Drama"),X$3,X$1))),X5&lt;(IF($C5="Romantasy",X$2,IF(OR($C5="Romance",$C5="Drama"),X$3,X$1))))</formula>
    </cfRule>
  </conditionalFormatting>
  <conditionalFormatting sqref="X5:X483">
    <cfRule type="expression" dxfId="2" priority="60" stopIfTrue="1">
      <formula>AND(ISNUMBER(X5),IF($C5="Romantasy",X$2,IF(OR($C5="Romance",$C5="Drama"),X$3,X$1))&gt;0,X5&lt;0.7*(IF($C5="Romantasy",X$2,IF(OR($C5="Romance",$C5="Drama"),X$3,X$1))))</formula>
    </cfRule>
  </conditionalFormatting>
  <conditionalFormatting sqref="Y5:Y483">
    <cfRule type="expression" dxfId="0" priority="61" stopIfTrue="1">
      <formula>AND(ISNUMBER(Y5),IF($C5="Romantasy",Y$2,IF(OR($C5="Romance",$C5="Drama"),Y$3,Y$1))&gt;0,Y5&gt;=(IF($C5="Romantasy",Y$2,IF(OR($C5="Romance",$C5="Drama"),Y$3,Y$1))))</formula>
    </cfRule>
  </conditionalFormatting>
  <conditionalFormatting sqref="Y5:Y483">
    <cfRule type="expression" dxfId="1" priority="62" stopIfTrue="1">
      <formula>AND(ISNUMBER(Y5),IF($C5="Romantasy",Y$2,IF(OR($C5="Romance",$C5="Drama"),Y$3,Y$1))&gt;0,Y5&gt;=0.7*(IF($C5="Romantasy",Y$2,IF(OR($C5="Romance",$C5="Drama"),Y$3,Y$1))),Y5&lt;(IF($C5="Romantasy",Y$2,IF(OR($C5="Romance",$C5="Drama"),Y$3,Y$1))))</formula>
    </cfRule>
  </conditionalFormatting>
  <conditionalFormatting sqref="Y5:Y483">
    <cfRule type="expression" dxfId="2" priority="63" stopIfTrue="1">
      <formula>AND(ISNUMBER(Y5),IF($C5="Romantasy",Y$2,IF(OR($C5="Romance",$C5="Drama"),Y$3,Y$1))&gt;0,Y5&lt;0.7*(IF($C5="Romantasy",Y$2,IF(OR($C5="Romance",$C5="Drama"),Y$3,Y$1))))</formula>
    </cfRule>
  </conditionalFormatting>
  <conditionalFormatting sqref="Z5:Z483">
    <cfRule type="expression" dxfId="0" priority="64" stopIfTrue="1">
      <formula>AND(ISNUMBER(Z5),IF($C5="Romantasy",Z$2,IF(OR($C5="Romance",$C5="Drama"),Z$3,Z$1))&gt;0,Z5&gt;=(IF($C5="Romantasy",Z$2,IF(OR($C5="Romance",$C5="Drama"),Z$3,Z$1))))</formula>
    </cfRule>
  </conditionalFormatting>
  <conditionalFormatting sqref="Z5:Z483">
    <cfRule type="expression" dxfId="1" priority="65" stopIfTrue="1">
      <formula>AND(ISNUMBER(Z5),IF($C5="Romantasy",Z$2,IF(OR($C5="Romance",$C5="Drama"),Z$3,Z$1))&gt;0,Z5&gt;=0.7*(IF($C5="Romantasy",Z$2,IF(OR($C5="Romance",$C5="Drama"),Z$3,Z$1))),Z5&lt;(IF($C5="Romantasy",Z$2,IF(OR($C5="Romance",$C5="Drama"),Z$3,Z$1))))</formula>
    </cfRule>
  </conditionalFormatting>
  <conditionalFormatting sqref="Z5:Z483">
    <cfRule type="expression" dxfId="2" priority="66" stopIfTrue="1">
      <formula>AND(ISNUMBER(Z5),IF($C5="Romantasy",Z$2,IF(OR($C5="Romance",$C5="Drama"),Z$3,Z$1))&gt;0,Z5&lt;0.7*(IF($C5="Romantasy",Z$2,IF(OR($C5="Romance",$C5="Drama"),Z$3,Z$1))))</formula>
    </cfRule>
  </conditionalFormatting>
  <conditionalFormatting sqref="AA5:AA483">
    <cfRule type="expression" dxfId="0" priority="67" stopIfTrue="1">
      <formula>AND(ISNUMBER(AA5),IF($C5="Romantasy",AA$2,IF(OR($C5="Romance",$C5="Drama"),AA$3,AA$1))&gt;0,AA5&gt;=(IF($C5="Romantasy",AA$2,IF(OR($C5="Romance",$C5="Drama"),AA$3,AA$1))))</formula>
    </cfRule>
  </conditionalFormatting>
  <conditionalFormatting sqref="AA5:AA483">
    <cfRule type="expression" dxfId="1" priority="68" stopIfTrue="1">
      <formula>AND(ISNUMBER(AA5),IF($C5="Romantasy",AA$2,IF(OR($C5="Romance",$C5="Drama"),AA$3,AA$1))&gt;0,AA5&gt;=0.7*(IF($C5="Romantasy",AA$2,IF(OR($C5="Romance",$C5="Drama"),AA$3,AA$1))),AA5&lt;(IF($C5="Romantasy",AA$2,IF(OR($C5="Romance",$C5="Drama"),AA$3,AA$1))))</formula>
    </cfRule>
  </conditionalFormatting>
  <conditionalFormatting sqref="AA5:AA483">
    <cfRule type="expression" dxfId="2" priority="69" stopIfTrue="1">
      <formula>AND(ISNUMBER(AA5),IF($C5="Romantasy",AA$2,IF(OR($C5="Romance",$C5="Drama"),AA$3,AA$1))&gt;0,AA5&lt;0.7*(IF($C5="Romantasy",AA$2,IF(OR($C5="Romance",$C5="Drama"),AA$3,AA$1))))</formula>
    </cfRule>
  </conditionalFormatting>
  <conditionalFormatting sqref="AB5:AB483">
    <cfRule type="expression" dxfId="0" priority="70" stopIfTrue="1">
      <formula>AND(ISNUMBER(AB5),IF($C5="Romantasy",AB$2,IF(OR($C5="Romance",$C5="Drama"),AB$3,AB$1))&gt;0,AB5&gt;=(IF($C5="Romantasy",AB$2,IF(OR($C5="Romance",$C5="Drama"),AB$3,AB$1))))</formula>
    </cfRule>
  </conditionalFormatting>
  <conditionalFormatting sqref="AB5:AB483">
    <cfRule type="expression" dxfId="1" priority="71" stopIfTrue="1">
      <formula>AND(ISNUMBER(AB5),IF($C5="Romantasy",AB$2,IF(OR($C5="Romance",$C5="Drama"),AB$3,AB$1))&gt;0,AB5&gt;=0.7*(IF($C5="Romantasy",AB$2,IF(OR($C5="Romance",$C5="Drama"),AB$3,AB$1))),AB5&lt;(IF($C5="Romantasy",AB$2,IF(OR($C5="Romance",$C5="Drama"),AB$3,AB$1))))</formula>
    </cfRule>
  </conditionalFormatting>
  <conditionalFormatting sqref="AB5:AB483">
    <cfRule type="expression" dxfId="2" priority="72" stopIfTrue="1">
      <formula>AND(ISNUMBER(AB5),IF($C5="Romantasy",AB$2,IF(OR($C5="Romance",$C5="Drama"),AB$3,AB$1))&gt;0,AB5&lt;0.7*(IF($C5="Romantasy",AB$2,IF(OR($C5="Romance",$C5="Drama"),AB$3,AB$1))))</formula>
    </cfRule>
  </conditionalFormatting>
  <conditionalFormatting sqref="AC5:AC483">
    <cfRule type="expression" dxfId="0" priority="73" stopIfTrue="1">
      <formula>AND(ISNUMBER(AC5),IF($C5="Romantasy",AC$2,IF(OR($C5="Romance",$C5="Drama"),AC$3,AC$1))&gt;0,AC5&gt;=(IF($C5="Romantasy",AC$2,IF(OR($C5="Romance",$C5="Drama"),AC$3,AC$1))))</formula>
    </cfRule>
  </conditionalFormatting>
  <conditionalFormatting sqref="AC5:AC483">
    <cfRule type="expression" dxfId="1" priority="74" stopIfTrue="1">
      <formula>AND(ISNUMBER(AC5),IF($C5="Romantasy",AC$2,IF(OR($C5="Romance",$C5="Drama"),AC$3,AC$1))&gt;0,AC5&gt;=0.7*(IF($C5="Romantasy",AC$2,IF(OR($C5="Romance",$C5="Drama"),AC$3,AC$1))),AC5&lt;(IF($C5="Romantasy",AC$2,IF(OR($C5="Romance",$C5="Drama"),AC$3,AC$1))))</formula>
    </cfRule>
  </conditionalFormatting>
  <conditionalFormatting sqref="AC5:AC483">
    <cfRule type="expression" dxfId="2" priority="75" stopIfTrue="1">
      <formula>AND(ISNUMBER(AC5),IF($C5="Romantasy",AC$2,IF(OR($C5="Romance",$C5="Drama"),AC$3,AC$1))&gt;0,AC5&lt;0.7*(IF($C5="Romantasy",AC$2,IF(OR($C5="Romance",$C5="Drama"),AC$3,AC$1))))</formula>
    </cfRule>
  </conditionalFormatting>
  <printOptions/>
  <pageMargins bottom="1.0" footer="0.0" header="0.0" left="0.75" right="0.75" top="1.0"/>
  <pageSetup orientation="landscape"/>
  <drawing r:id="rId1"/>
</worksheet>
</file>